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John\Desktop\products-filter\input\"/>
    </mc:Choice>
  </mc:AlternateContent>
  <xr:revisionPtr revIDLastSave="0" documentId="8_{D8D97544-5ABF-4C11-A868-E1E80392D372}" xr6:coauthVersionLast="47" xr6:coauthVersionMax="47" xr10:uidLastSave="{00000000-0000-0000-0000-000000000000}"/>
  <bookViews>
    <workbookView xWindow="7320" yWindow="1800" windowWidth="22490" windowHeight="15450" xr2:uid="{00000000-000D-0000-FFFF-FFFF00000000}"/>
  </bookViews>
  <sheets>
    <sheet name="Sheet"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48" i="1" l="1"/>
  <c r="G7148" i="1"/>
  <c r="E7148" i="1"/>
  <c r="B7148" i="1"/>
  <c r="A7148" i="1"/>
  <c r="H7147" i="1"/>
  <c r="G7147" i="1"/>
  <c r="E7147" i="1"/>
  <c r="B7147" i="1"/>
  <c r="A7147" i="1"/>
  <c r="H7146" i="1"/>
  <c r="G7146" i="1"/>
  <c r="E7146" i="1"/>
  <c r="B7146" i="1"/>
  <c r="A7146" i="1"/>
  <c r="H7145" i="1"/>
  <c r="G7145" i="1"/>
  <c r="E7145" i="1"/>
  <c r="B7145" i="1"/>
  <c r="A7145" i="1"/>
  <c r="H7144" i="1"/>
  <c r="G7144" i="1"/>
  <c r="E7144" i="1"/>
  <c r="B7144" i="1"/>
  <c r="A7144" i="1"/>
  <c r="H7143" i="1"/>
  <c r="G7143" i="1"/>
  <c r="E7143" i="1"/>
  <c r="B7143" i="1"/>
  <c r="A7143" i="1"/>
  <c r="H7142" i="1"/>
  <c r="G7142" i="1"/>
  <c r="E7142" i="1"/>
  <c r="B7142" i="1"/>
  <c r="A7142" i="1"/>
  <c r="H7141" i="1"/>
  <c r="G7141" i="1"/>
  <c r="E7141" i="1"/>
  <c r="B7141" i="1"/>
  <c r="A7141" i="1"/>
  <c r="H7140" i="1"/>
  <c r="G7140" i="1"/>
  <c r="E7140" i="1"/>
  <c r="B7140" i="1"/>
  <c r="A7140" i="1"/>
  <c r="H7139" i="1"/>
  <c r="G7139" i="1"/>
  <c r="E7139" i="1"/>
  <c r="B7139" i="1"/>
  <c r="A7139" i="1"/>
  <c r="H7138" i="1"/>
  <c r="G7138" i="1"/>
  <c r="E7138" i="1"/>
  <c r="B7138" i="1"/>
  <c r="A7138" i="1"/>
  <c r="H7137" i="1"/>
  <c r="G7137" i="1"/>
  <c r="E7137" i="1"/>
  <c r="B7137" i="1"/>
  <c r="A7137" i="1"/>
  <c r="H7136" i="1"/>
  <c r="G7136" i="1"/>
  <c r="E7136" i="1"/>
  <c r="B7136" i="1"/>
  <c r="A7136" i="1"/>
  <c r="H7135" i="1"/>
  <c r="G7135" i="1"/>
  <c r="E7135" i="1"/>
  <c r="B7135" i="1"/>
  <c r="A7135" i="1"/>
  <c r="H7134" i="1"/>
  <c r="G7134" i="1"/>
  <c r="E7134" i="1"/>
  <c r="B7134" i="1"/>
  <c r="A7134" i="1"/>
  <c r="H7133" i="1"/>
  <c r="G7133" i="1"/>
  <c r="E7133" i="1"/>
  <c r="B7133" i="1"/>
  <c r="A7133" i="1"/>
  <c r="H7132" i="1"/>
  <c r="G7132" i="1"/>
  <c r="E7132" i="1"/>
  <c r="B7132" i="1"/>
  <c r="A7132" i="1"/>
  <c r="H7131" i="1"/>
  <c r="G7131" i="1"/>
  <c r="E7131" i="1"/>
  <c r="B7131" i="1"/>
  <c r="A7131" i="1"/>
  <c r="H7130" i="1"/>
  <c r="G7130" i="1"/>
  <c r="E7130" i="1"/>
  <c r="B7130" i="1"/>
  <c r="A7130" i="1"/>
  <c r="H7129" i="1"/>
  <c r="G7129" i="1"/>
  <c r="E7129" i="1"/>
  <c r="B7129" i="1"/>
  <c r="A7129" i="1"/>
  <c r="H7128" i="1"/>
  <c r="G7128" i="1"/>
  <c r="E7128" i="1"/>
  <c r="B7128" i="1"/>
  <c r="A7128" i="1"/>
  <c r="H7127" i="1"/>
  <c r="G7127" i="1"/>
  <c r="E7127" i="1"/>
  <c r="B7127" i="1"/>
  <c r="A7127" i="1"/>
  <c r="H7126" i="1"/>
  <c r="G7126" i="1"/>
  <c r="E7126" i="1"/>
  <c r="B7126" i="1"/>
  <c r="A7126" i="1"/>
  <c r="H7125" i="1"/>
  <c r="G7125" i="1"/>
  <c r="E7125" i="1"/>
  <c r="B7125" i="1"/>
  <c r="A7125" i="1"/>
  <c r="H7124" i="1"/>
  <c r="G7124" i="1"/>
  <c r="E7124" i="1"/>
  <c r="B7124" i="1"/>
  <c r="A7124" i="1"/>
  <c r="H7123" i="1"/>
  <c r="G7123" i="1"/>
  <c r="E7123" i="1"/>
  <c r="B7123" i="1"/>
  <c r="A7123" i="1"/>
  <c r="H7122" i="1"/>
  <c r="G7122" i="1"/>
  <c r="E7122" i="1"/>
  <c r="B7122" i="1"/>
  <c r="A7122" i="1"/>
  <c r="H7121" i="1"/>
  <c r="G7121" i="1"/>
  <c r="E7121" i="1"/>
  <c r="B7121" i="1"/>
  <c r="A7121" i="1"/>
  <c r="H7120" i="1"/>
  <c r="G7120" i="1"/>
  <c r="E7120" i="1"/>
  <c r="B7120" i="1"/>
  <c r="A7120" i="1"/>
  <c r="H7119" i="1"/>
  <c r="G7119" i="1"/>
  <c r="E7119" i="1"/>
  <c r="B7119" i="1"/>
  <c r="A7119" i="1"/>
  <c r="H7118" i="1"/>
  <c r="G7118" i="1"/>
  <c r="E7118" i="1"/>
  <c r="B7118" i="1"/>
  <c r="A7118" i="1"/>
  <c r="H7117" i="1"/>
  <c r="G7117" i="1"/>
  <c r="E7117" i="1"/>
  <c r="B7117" i="1"/>
  <c r="A7117" i="1"/>
  <c r="H7116" i="1"/>
  <c r="G7116" i="1"/>
  <c r="E7116" i="1"/>
  <c r="B7116" i="1"/>
  <c r="A7116" i="1"/>
  <c r="H7115" i="1"/>
  <c r="G7115" i="1"/>
  <c r="E7115" i="1"/>
  <c r="B7115" i="1"/>
  <c r="A7115" i="1"/>
  <c r="H7114" i="1"/>
  <c r="G7114" i="1"/>
  <c r="E7114" i="1"/>
  <c r="B7114" i="1"/>
  <c r="A7114" i="1"/>
  <c r="H7113" i="1"/>
  <c r="G7113" i="1"/>
  <c r="E7113" i="1"/>
  <c r="B7113" i="1"/>
  <c r="A7113" i="1"/>
  <c r="H7112" i="1"/>
  <c r="G7112" i="1"/>
  <c r="E7112" i="1"/>
  <c r="B7112" i="1"/>
  <c r="A7112" i="1"/>
  <c r="H7111" i="1"/>
  <c r="G7111" i="1"/>
  <c r="E7111" i="1"/>
  <c r="B7111" i="1"/>
  <c r="A7111" i="1"/>
  <c r="H7110" i="1"/>
  <c r="G7110" i="1"/>
  <c r="E7110" i="1"/>
  <c r="B7110" i="1"/>
  <c r="A7110" i="1"/>
  <c r="H7109" i="1"/>
  <c r="G7109" i="1"/>
  <c r="E7109" i="1"/>
  <c r="B7109" i="1"/>
  <c r="A7109" i="1"/>
  <c r="H7108" i="1"/>
  <c r="G7108" i="1"/>
  <c r="E7108" i="1"/>
  <c r="B7108" i="1"/>
  <c r="A7108" i="1"/>
  <c r="H7107" i="1"/>
  <c r="G7107" i="1"/>
  <c r="E7107" i="1"/>
  <c r="B7107" i="1"/>
  <c r="A7107" i="1"/>
  <c r="H7106" i="1"/>
  <c r="G7106" i="1"/>
  <c r="E7106" i="1"/>
  <c r="B7106" i="1"/>
  <c r="A7106" i="1"/>
  <c r="H7105" i="1"/>
  <c r="G7105" i="1"/>
  <c r="E7105" i="1"/>
  <c r="B7105" i="1"/>
  <c r="A7105" i="1"/>
  <c r="H7104" i="1"/>
  <c r="G7104" i="1"/>
  <c r="E7104" i="1"/>
  <c r="B7104" i="1"/>
  <c r="A7104" i="1"/>
  <c r="H7103" i="1"/>
  <c r="G7103" i="1"/>
  <c r="E7103" i="1"/>
  <c r="B7103" i="1"/>
  <c r="A7103" i="1"/>
  <c r="H7102" i="1"/>
  <c r="G7102" i="1"/>
  <c r="E7102" i="1"/>
  <c r="B7102" i="1"/>
  <c r="A7102" i="1"/>
  <c r="H7101" i="1"/>
  <c r="G7101" i="1"/>
  <c r="E7101" i="1"/>
  <c r="B7101" i="1"/>
  <c r="A7101" i="1"/>
  <c r="H7100" i="1"/>
  <c r="G7100" i="1"/>
  <c r="E7100" i="1"/>
  <c r="B7100" i="1"/>
  <c r="A7100" i="1"/>
  <c r="H7099" i="1"/>
  <c r="G7099" i="1"/>
  <c r="E7099" i="1"/>
  <c r="B7099" i="1"/>
  <c r="A7099" i="1"/>
  <c r="H7098" i="1"/>
  <c r="G7098" i="1"/>
  <c r="E7098" i="1"/>
  <c r="B7098" i="1"/>
  <c r="A7098" i="1"/>
  <c r="H7097" i="1"/>
  <c r="G7097" i="1"/>
  <c r="E7097" i="1"/>
  <c r="B7097" i="1"/>
  <c r="A7097" i="1"/>
  <c r="H7096" i="1"/>
  <c r="G7096" i="1"/>
  <c r="E7096" i="1"/>
  <c r="B7096" i="1"/>
  <c r="A7096" i="1"/>
  <c r="H7095" i="1"/>
  <c r="G7095" i="1"/>
  <c r="E7095" i="1"/>
  <c r="B7095" i="1"/>
  <c r="A7095" i="1"/>
  <c r="H7094" i="1"/>
  <c r="G7094" i="1"/>
  <c r="E7094" i="1"/>
  <c r="B7094" i="1"/>
  <c r="A7094" i="1"/>
  <c r="H7093" i="1"/>
  <c r="G7093" i="1"/>
  <c r="E7093" i="1"/>
  <c r="B7093" i="1"/>
  <c r="A7093" i="1"/>
  <c r="H7092" i="1"/>
  <c r="G7092" i="1"/>
  <c r="E7092" i="1"/>
  <c r="B7092" i="1"/>
  <c r="A7092" i="1"/>
  <c r="H7091" i="1"/>
  <c r="G7091" i="1"/>
  <c r="E7091" i="1"/>
  <c r="B7091" i="1"/>
  <c r="A7091" i="1"/>
  <c r="H7090" i="1"/>
  <c r="G7090" i="1"/>
  <c r="E7090" i="1"/>
  <c r="B7090" i="1"/>
  <c r="A7090" i="1"/>
  <c r="H7089" i="1"/>
  <c r="G7089" i="1"/>
  <c r="E7089" i="1"/>
  <c r="B7089" i="1"/>
  <c r="A7089" i="1"/>
  <c r="H7088" i="1"/>
  <c r="G7088" i="1"/>
  <c r="E7088" i="1"/>
  <c r="B7088" i="1"/>
  <c r="A7088" i="1"/>
  <c r="H7087" i="1"/>
  <c r="G7087" i="1"/>
  <c r="E7087" i="1"/>
  <c r="B7087" i="1"/>
  <c r="A7087" i="1"/>
  <c r="H7086" i="1"/>
  <c r="G7086" i="1"/>
  <c r="E7086" i="1"/>
  <c r="B7086" i="1"/>
  <c r="A7086" i="1"/>
  <c r="H7085" i="1"/>
  <c r="G7085" i="1"/>
  <c r="E7085" i="1"/>
  <c r="B7085" i="1"/>
  <c r="A7085" i="1"/>
  <c r="H7084" i="1"/>
  <c r="G7084" i="1"/>
  <c r="E7084" i="1"/>
  <c r="B7084" i="1"/>
  <c r="A7084" i="1"/>
  <c r="H7083" i="1"/>
  <c r="G7083" i="1"/>
  <c r="E7083" i="1"/>
  <c r="B7083" i="1"/>
  <c r="A7083" i="1"/>
  <c r="H7082" i="1"/>
  <c r="G7082" i="1"/>
  <c r="E7082" i="1"/>
  <c r="B7082" i="1"/>
  <c r="A7082" i="1"/>
  <c r="H7081" i="1"/>
  <c r="G7081" i="1"/>
  <c r="B7081" i="1"/>
  <c r="A7081" i="1"/>
  <c r="H7080" i="1"/>
  <c r="G7080" i="1"/>
  <c r="E7080" i="1"/>
  <c r="B7080" i="1"/>
  <c r="A7080" i="1"/>
  <c r="H7079" i="1"/>
  <c r="G7079" i="1"/>
  <c r="E7079" i="1"/>
  <c r="B7079" i="1"/>
  <c r="A7079" i="1"/>
  <c r="H7078" i="1"/>
  <c r="G7078" i="1"/>
  <c r="E7078" i="1"/>
  <c r="B7078" i="1"/>
  <c r="A7078" i="1"/>
  <c r="H7077" i="1"/>
  <c r="G7077" i="1"/>
  <c r="E7077" i="1"/>
  <c r="B7077" i="1"/>
  <c r="A7077" i="1"/>
  <c r="H7076" i="1"/>
  <c r="G7076" i="1"/>
  <c r="E7076" i="1"/>
  <c r="B7076" i="1"/>
  <c r="A7076" i="1"/>
  <c r="H7075" i="1"/>
  <c r="G7075" i="1"/>
  <c r="E7075" i="1"/>
  <c r="B7075" i="1"/>
  <c r="A7075" i="1"/>
  <c r="H7074" i="1"/>
  <c r="G7074" i="1"/>
  <c r="E7074" i="1"/>
  <c r="B7074" i="1"/>
  <c r="A7074" i="1"/>
  <c r="H7073" i="1"/>
  <c r="G7073" i="1"/>
  <c r="E7073" i="1"/>
  <c r="B7073" i="1"/>
  <c r="A7073" i="1"/>
  <c r="H7072" i="1"/>
  <c r="G7072" i="1"/>
  <c r="E7072" i="1"/>
  <c r="B7072" i="1"/>
  <c r="A7072" i="1"/>
  <c r="H7071" i="1"/>
  <c r="G7071" i="1"/>
  <c r="E7071" i="1"/>
  <c r="B7071" i="1"/>
  <c r="A7071" i="1"/>
  <c r="H7070" i="1"/>
  <c r="G7070" i="1"/>
  <c r="E7070" i="1"/>
  <c r="B7070" i="1"/>
  <c r="A7070" i="1"/>
  <c r="H7069" i="1"/>
  <c r="G7069" i="1"/>
  <c r="E7069" i="1"/>
  <c r="B7069" i="1"/>
  <c r="A7069" i="1"/>
  <c r="H7068" i="1"/>
  <c r="G7068" i="1"/>
  <c r="E7068" i="1"/>
  <c r="B7068" i="1"/>
  <c r="A7068" i="1"/>
  <c r="H7067" i="1"/>
  <c r="G7067" i="1"/>
  <c r="E7067" i="1"/>
  <c r="B7067" i="1"/>
  <c r="A7067" i="1"/>
  <c r="H7066" i="1"/>
  <c r="G7066" i="1"/>
  <c r="E7066" i="1"/>
  <c r="B7066" i="1"/>
  <c r="A7066" i="1"/>
  <c r="H7065" i="1"/>
  <c r="G7065" i="1"/>
  <c r="E7065" i="1"/>
  <c r="B7065" i="1"/>
  <c r="A7065" i="1"/>
  <c r="H7064" i="1"/>
  <c r="G7064" i="1"/>
  <c r="E7064" i="1"/>
  <c r="B7064" i="1"/>
  <c r="A7064" i="1"/>
  <c r="H7063" i="1"/>
  <c r="G7063" i="1"/>
  <c r="E7063" i="1"/>
  <c r="B7063" i="1"/>
  <c r="A7063" i="1"/>
  <c r="H7062" i="1"/>
  <c r="G7062" i="1"/>
  <c r="E7062" i="1"/>
  <c r="B7062" i="1"/>
  <c r="A7062" i="1"/>
  <c r="H7061" i="1"/>
  <c r="G7061" i="1"/>
  <c r="E7061" i="1"/>
  <c r="B7061" i="1"/>
  <c r="A7061" i="1"/>
  <c r="H7060" i="1"/>
  <c r="G7060" i="1"/>
  <c r="E7060" i="1"/>
  <c r="B7060" i="1"/>
  <c r="A7060" i="1"/>
  <c r="H7059" i="1"/>
  <c r="G7059" i="1"/>
  <c r="E7059" i="1"/>
  <c r="B7059" i="1"/>
  <c r="A7059" i="1"/>
  <c r="H7058" i="1"/>
  <c r="G7058" i="1"/>
  <c r="E7058" i="1"/>
  <c r="B7058" i="1"/>
  <c r="A7058" i="1"/>
  <c r="H7057" i="1"/>
  <c r="G7057" i="1"/>
  <c r="E7057" i="1"/>
  <c r="B7057" i="1"/>
  <c r="A7057" i="1"/>
  <c r="H7056" i="1"/>
  <c r="G7056" i="1"/>
  <c r="E7056" i="1"/>
  <c r="B7056" i="1"/>
  <c r="A7056" i="1"/>
  <c r="H7055" i="1"/>
  <c r="G7055" i="1"/>
  <c r="E7055" i="1"/>
  <c r="B7055" i="1"/>
  <c r="A7055" i="1"/>
  <c r="H7054" i="1"/>
  <c r="G7054" i="1"/>
  <c r="E7054" i="1"/>
  <c r="B7054" i="1"/>
  <c r="A7054" i="1"/>
  <c r="H7053" i="1"/>
  <c r="G7053" i="1"/>
  <c r="E7053" i="1"/>
  <c r="B7053" i="1"/>
  <c r="A7053" i="1"/>
  <c r="H7052" i="1"/>
  <c r="G7052" i="1"/>
  <c r="E7052" i="1"/>
  <c r="B7052" i="1"/>
  <c r="A7052" i="1"/>
  <c r="H7051" i="1"/>
  <c r="G7051" i="1"/>
  <c r="E7051" i="1"/>
  <c r="B7051" i="1"/>
  <c r="A7051" i="1"/>
  <c r="H7050" i="1"/>
  <c r="G7050" i="1"/>
  <c r="E7050" i="1"/>
  <c r="B7050" i="1"/>
  <c r="A7050" i="1"/>
  <c r="H7049" i="1"/>
  <c r="G7049" i="1"/>
  <c r="E7049" i="1"/>
  <c r="B7049" i="1"/>
  <c r="A7049" i="1"/>
  <c r="H7048" i="1"/>
  <c r="G7048" i="1"/>
  <c r="E7048" i="1"/>
  <c r="B7048" i="1"/>
  <c r="A7048" i="1"/>
  <c r="H7047" i="1"/>
  <c r="G7047" i="1"/>
  <c r="E7047" i="1"/>
  <c r="B7047" i="1"/>
  <c r="A7047" i="1"/>
  <c r="H7046" i="1"/>
  <c r="G7046" i="1"/>
  <c r="E7046" i="1"/>
  <c r="B7046" i="1"/>
  <c r="A7046" i="1"/>
  <c r="H7045" i="1"/>
  <c r="G7045" i="1"/>
  <c r="E7045" i="1"/>
  <c r="B7045" i="1"/>
  <c r="A7045" i="1"/>
  <c r="H7044" i="1"/>
  <c r="G7044" i="1"/>
  <c r="E7044" i="1"/>
  <c r="B7044" i="1"/>
  <c r="A7044" i="1"/>
  <c r="H7043" i="1"/>
  <c r="G7043" i="1"/>
  <c r="E7043" i="1"/>
  <c r="B7043" i="1"/>
  <c r="A7043" i="1"/>
  <c r="H7042" i="1"/>
  <c r="G7042" i="1"/>
  <c r="E7042" i="1"/>
  <c r="B7042" i="1"/>
  <c r="A7042" i="1"/>
  <c r="H7041" i="1"/>
  <c r="G7041" i="1"/>
  <c r="E7041" i="1"/>
  <c r="B7041" i="1"/>
  <c r="A7041" i="1"/>
  <c r="H7040" i="1"/>
  <c r="G7040" i="1"/>
  <c r="E7040" i="1"/>
  <c r="B7040" i="1"/>
  <c r="A7040" i="1"/>
  <c r="H7039" i="1"/>
  <c r="G7039" i="1"/>
  <c r="E7039" i="1"/>
  <c r="B7039" i="1"/>
  <c r="A7039" i="1"/>
  <c r="H7038" i="1"/>
  <c r="G7038" i="1"/>
  <c r="E7038" i="1"/>
  <c r="B7038" i="1"/>
  <c r="A7038" i="1"/>
  <c r="H7037" i="1"/>
  <c r="G7037" i="1"/>
  <c r="E7037" i="1"/>
  <c r="B7037" i="1"/>
  <c r="A7037" i="1"/>
  <c r="H7036" i="1"/>
  <c r="G7036" i="1"/>
  <c r="E7036" i="1"/>
  <c r="B7036" i="1"/>
  <c r="A7036" i="1"/>
  <c r="H7035" i="1"/>
  <c r="G7035" i="1"/>
  <c r="E7035" i="1"/>
  <c r="B7035" i="1"/>
  <c r="A7035" i="1"/>
  <c r="H7034" i="1"/>
  <c r="G7034" i="1"/>
  <c r="E7034" i="1"/>
  <c r="B7034" i="1"/>
  <c r="A7034" i="1"/>
  <c r="H7033" i="1"/>
  <c r="G7033" i="1"/>
  <c r="E7033" i="1"/>
  <c r="B7033" i="1"/>
  <c r="A7033" i="1"/>
  <c r="H7032" i="1"/>
  <c r="G7032" i="1"/>
  <c r="E7032" i="1"/>
  <c r="B7032" i="1"/>
  <c r="A7032" i="1"/>
  <c r="H7031" i="1"/>
  <c r="G7031" i="1"/>
  <c r="E7031" i="1"/>
  <c r="B7031" i="1"/>
  <c r="A7031" i="1"/>
  <c r="H7030" i="1"/>
  <c r="G7030" i="1"/>
  <c r="E7030" i="1"/>
  <c r="B7030" i="1"/>
  <c r="A7030" i="1"/>
  <c r="H7029" i="1"/>
  <c r="G7029" i="1"/>
  <c r="E7029" i="1"/>
  <c r="B7029" i="1"/>
  <c r="A7029" i="1"/>
  <c r="H7028" i="1"/>
  <c r="G7028" i="1"/>
  <c r="E7028" i="1"/>
  <c r="B7028" i="1"/>
  <c r="A7028" i="1"/>
  <c r="H7027" i="1"/>
  <c r="G7027" i="1"/>
  <c r="E7027" i="1"/>
  <c r="B7027" i="1"/>
  <c r="A7027" i="1"/>
  <c r="H7026" i="1"/>
  <c r="G7026" i="1"/>
  <c r="E7026" i="1"/>
  <c r="B7026" i="1"/>
  <c r="A7026" i="1"/>
  <c r="H7025" i="1"/>
  <c r="G7025" i="1"/>
  <c r="E7025" i="1"/>
  <c r="B7025" i="1"/>
  <c r="A7025" i="1"/>
  <c r="H7024" i="1"/>
  <c r="G7024" i="1"/>
  <c r="E7024" i="1"/>
  <c r="B7024" i="1"/>
  <c r="A7024" i="1"/>
  <c r="H7023" i="1"/>
  <c r="G7023" i="1"/>
  <c r="E7023" i="1"/>
  <c r="B7023" i="1"/>
  <c r="A7023" i="1"/>
  <c r="H7022" i="1"/>
  <c r="G7022" i="1"/>
  <c r="E7022" i="1"/>
  <c r="B7022" i="1"/>
  <c r="A7022" i="1"/>
  <c r="H7021" i="1"/>
  <c r="G7021" i="1"/>
  <c r="E7021" i="1"/>
  <c r="B7021" i="1"/>
  <c r="A7021" i="1"/>
  <c r="H7020" i="1"/>
  <c r="G7020" i="1"/>
  <c r="E7020" i="1"/>
  <c r="B7020" i="1"/>
  <c r="A7020" i="1"/>
  <c r="H7019" i="1"/>
  <c r="G7019" i="1"/>
  <c r="E7019" i="1"/>
  <c r="B7019" i="1"/>
  <c r="A7019" i="1"/>
  <c r="H7018" i="1"/>
  <c r="G7018" i="1"/>
  <c r="E7018" i="1"/>
  <c r="B7018" i="1"/>
  <c r="A7018" i="1"/>
  <c r="H7017" i="1"/>
  <c r="G7017" i="1"/>
  <c r="E7017" i="1"/>
  <c r="B7017" i="1"/>
  <c r="A7017" i="1"/>
  <c r="H7016" i="1"/>
  <c r="G7016" i="1"/>
  <c r="B7016" i="1"/>
  <c r="A7016" i="1"/>
  <c r="H7015" i="1"/>
  <c r="G7015" i="1"/>
  <c r="E7015" i="1"/>
  <c r="B7015" i="1"/>
  <c r="A7015" i="1"/>
  <c r="H7014" i="1"/>
  <c r="G7014" i="1"/>
  <c r="E7014" i="1"/>
  <c r="B7014" i="1"/>
  <c r="A7014" i="1"/>
  <c r="H7013" i="1"/>
  <c r="G7013" i="1"/>
  <c r="E7013" i="1"/>
  <c r="B7013" i="1"/>
  <c r="A7013" i="1"/>
  <c r="H7012" i="1"/>
  <c r="G7012" i="1"/>
  <c r="E7012" i="1"/>
  <c r="B7012" i="1"/>
  <c r="A7012" i="1"/>
  <c r="H7011" i="1"/>
  <c r="G7011" i="1"/>
  <c r="E7011" i="1"/>
  <c r="B7011" i="1"/>
  <c r="A7011" i="1"/>
  <c r="H7010" i="1"/>
  <c r="G7010" i="1"/>
  <c r="E7010" i="1"/>
  <c r="B7010" i="1"/>
  <c r="A7010" i="1"/>
  <c r="H7009" i="1"/>
  <c r="G7009" i="1"/>
  <c r="E7009" i="1"/>
  <c r="B7009" i="1"/>
  <c r="A7009" i="1"/>
  <c r="H7008" i="1"/>
  <c r="G7008" i="1"/>
  <c r="E7008" i="1"/>
  <c r="B7008" i="1"/>
  <c r="A7008" i="1"/>
  <c r="H7007" i="1"/>
  <c r="G7007" i="1"/>
  <c r="E7007" i="1"/>
  <c r="B7007" i="1"/>
  <c r="A7007" i="1"/>
  <c r="H7006" i="1"/>
  <c r="G7006" i="1"/>
  <c r="E7006" i="1"/>
  <c r="B7006" i="1"/>
  <c r="A7006" i="1"/>
  <c r="H7005" i="1"/>
  <c r="G7005" i="1"/>
  <c r="E7005" i="1"/>
  <c r="B7005" i="1"/>
  <c r="A7005" i="1"/>
  <c r="H7004" i="1"/>
  <c r="G7004" i="1"/>
  <c r="E7004" i="1"/>
  <c r="B7004" i="1"/>
  <c r="A7004" i="1"/>
  <c r="H7003" i="1"/>
  <c r="G7003" i="1"/>
  <c r="E7003" i="1"/>
  <c r="B7003" i="1"/>
  <c r="A7003" i="1"/>
  <c r="H7002" i="1"/>
  <c r="G7002" i="1"/>
  <c r="E7002" i="1"/>
  <c r="B7002" i="1"/>
  <c r="A7002" i="1"/>
  <c r="H7001" i="1"/>
  <c r="G7001" i="1"/>
  <c r="E7001" i="1"/>
  <c r="B7001" i="1"/>
  <c r="A7001" i="1"/>
  <c r="H7000" i="1"/>
  <c r="G7000" i="1"/>
  <c r="E7000" i="1"/>
  <c r="B7000" i="1"/>
  <c r="A7000" i="1"/>
  <c r="H6999" i="1"/>
  <c r="G6999" i="1"/>
  <c r="E6999" i="1"/>
  <c r="B6999" i="1"/>
  <c r="A6999" i="1"/>
  <c r="H6998" i="1"/>
  <c r="G6998" i="1"/>
  <c r="E6998" i="1"/>
  <c r="B6998" i="1"/>
  <c r="A6998" i="1"/>
  <c r="H6997" i="1"/>
  <c r="G6997" i="1"/>
  <c r="E6997" i="1"/>
  <c r="B6997" i="1"/>
  <c r="A6997" i="1"/>
  <c r="H6996" i="1"/>
  <c r="G6996" i="1"/>
  <c r="E6996" i="1"/>
  <c r="B6996" i="1"/>
  <c r="A6996" i="1"/>
  <c r="H6995" i="1"/>
  <c r="G6995" i="1"/>
  <c r="E6995" i="1"/>
  <c r="B6995" i="1"/>
  <c r="A6995" i="1"/>
  <c r="H6994" i="1"/>
  <c r="G6994" i="1"/>
  <c r="E6994" i="1"/>
  <c r="B6994" i="1"/>
  <c r="A6994" i="1"/>
  <c r="H6993" i="1"/>
  <c r="G6993" i="1"/>
  <c r="E6993" i="1"/>
  <c r="B6993" i="1"/>
  <c r="A6993" i="1"/>
  <c r="H6992" i="1"/>
  <c r="G6992" i="1"/>
  <c r="E6992" i="1"/>
  <c r="B6992" i="1"/>
  <c r="A6992" i="1"/>
  <c r="H6991" i="1"/>
  <c r="G6991" i="1"/>
  <c r="E6991" i="1"/>
  <c r="B6991" i="1"/>
  <c r="A6991" i="1"/>
  <c r="H6990" i="1"/>
  <c r="G6990" i="1"/>
  <c r="E6990" i="1"/>
  <c r="B6990" i="1"/>
  <c r="A6990" i="1"/>
  <c r="H6989" i="1"/>
  <c r="G6989" i="1"/>
  <c r="E6989" i="1"/>
  <c r="B6989" i="1"/>
  <c r="A6989" i="1"/>
  <c r="H6988" i="1"/>
  <c r="G6988" i="1"/>
  <c r="E6988" i="1"/>
  <c r="B6988" i="1"/>
  <c r="A6988" i="1"/>
  <c r="H6987" i="1"/>
  <c r="G6987" i="1"/>
  <c r="E6987" i="1"/>
  <c r="B6987" i="1"/>
  <c r="A6987" i="1"/>
  <c r="H6986" i="1"/>
  <c r="G6986" i="1"/>
  <c r="E6986" i="1"/>
  <c r="B6986" i="1"/>
  <c r="A6986" i="1"/>
  <c r="H6985" i="1"/>
  <c r="G6985" i="1"/>
  <c r="E6985" i="1"/>
  <c r="B6985" i="1"/>
  <c r="A6985" i="1"/>
  <c r="H6984" i="1"/>
  <c r="G6984" i="1"/>
  <c r="E6984" i="1"/>
  <c r="B6984" i="1"/>
  <c r="A6984" i="1"/>
  <c r="H6983" i="1"/>
  <c r="G6983" i="1"/>
  <c r="E6983" i="1"/>
  <c r="B6983" i="1"/>
  <c r="A6983" i="1"/>
  <c r="H6982" i="1"/>
  <c r="G6982" i="1"/>
  <c r="E6982" i="1"/>
  <c r="B6982" i="1"/>
  <c r="A6982" i="1"/>
  <c r="H6981" i="1"/>
  <c r="G6981" i="1"/>
  <c r="E6981" i="1"/>
  <c r="B6981" i="1"/>
  <c r="A6981" i="1"/>
  <c r="H6980" i="1"/>
  <c r="G6980" i="1"/>
  <c r="E6980" i="1"/>
  <c r="B6980" i="1"/>
  <c r="A6980" i="1"/>
  <c r="H6979" i="1"/>
  <c r="G6979" i="1"/>
  <c r="E6979" i="1"/>
  <c r="B6979" i="1"/>
  <c r="A6979" i="1"/>
  <c r="H6978" i="1"/>
  <c r="G6978" i="1"/>
  <c r="E6978" i="1"/>
  <c r="B6978" i="1"/>
  <c r="A6978" i="1"/>
  <c r="H6977" i="1"/>
  <c r="G6977" i="1"/>
  <c r="E6977" i="1"/>
  <c r="B6977" i="1"/>
  <c r="A6977" i="1"/>
  <c r="H6976" i="1"/>
  <c r="G6976" i="1"/>
  <c r="E6976" i="1"/>
  <c r="B6976" i="1"/>
  <c r="A6976" i="1"/>
  <c r="H6975" i="1"/>
  <c r="G6975" i="1"/>
  <c r="E6975" i="1"/>
  <c r="B6975" i="1"/>
  <c r="A6975" i="1"/>
  <c r="H6974" i="1"/>
  <c r="G6974" i="1"/>
  <c r="E6974" i="1"/>
  <c r="B6974" i="1"/>
  <c r="A6974" i="1"/>
  <c r="H6973" i="1"/>
  <c r="G6973" i="1"/>
  <c r="E6973" i="1"/>
  <c r="B6973" i="1"/>
  <c r="A6973" i="1"/>
  <c r="H6972" i="1"/>
  <c r="G6972" i="1"/>
  <c r="E6972" i="1"/>
  <c r="B6972" i="1"/>
  <c r="A6972" i="1"/>
  <c r="H6971" i="1"/>
  <c r="G6971" i="1"/>
  <c r="E6971" i="1"/>
  <c r="B6971" i="1"/>
  <c r="A6971" i="1"/>
  <c r="H6970" i="1"/>
  <c r="G6970" i="1"/>
  <c r="E6970" i="1"/>
  <c r="B6970" i="1"/>
  <c r="A6970" i="1"/>
  <c r="H6969" i="1"/>
  <c r="G6969" i="1"/>
  <c r="E6969" i="1"/>
  <c r="B6969" i="1"/>
  <c r="A6969" i="1"/>
  <c r="H6968" i="1"/>
  <c r="G6968" i="1"/>
  <c r="E6968" i="1"/>
  <c r="B6968" i="1"/>
  <c r="A6968" i="1"/>
  <c r="H6967" i="1"/>
  <c r="G6967" i="1"/>
  <c r="E6967" i="1"/>
  <c r="B6967" i="1"/>
  <c r="A6967" i="1"/>
  <c r="H6966" i="1"/>
  <c r="G6966" i="1"/>
  <c r="E6966" i="1"/>
  <c r="B6966" i="1"/>
  <c r="A6966" i="1"/>
  <c r="H6965" i="1"/>
  <c r="G6965" i="1"/>
  <c r="E6965" i="1"/>
  <c r="B6965" i="1"/>
  <c r="A6965" i="1"/>
  <c r="H6964" i="1"/>
  <c r="G6964" i="1"/>
  <c r="E6964" i="1"/>
  <c r="B6964" i="1"/>
  <c r="A6964" i="1"/>
  <c r="H6963" i="1"/>
  <c r="G6963" i="1"/>
  <c r="E6963" i="1"/>
  <c r="B6963" i="1"/>
  <c r="A6963" i="1"/>
  <c r="H6962" i="1"/>
  <c r="G6962" i="1"/>
  <c r="E6962" i="1"/>
  <c r="B6962" i="1"/>
  <c r="A6962" i="1"/>
  <c r="H6961" i="1"/>
  <c r="G6961" i="1"/>
  <c r="E6961" i="1"/>
  <c r="B6961" i="1"/>
  <c r="A6961" i="1"/>
  <c r="H6960" i="1"/>
  <c r="G6960" i="1"/>
  <c r="E6960" i="1"/>
  <c r="B6960" i="1"/>
  <c r="A6960" i="1"/>
  <c r="H6959" i="1"/>
  <c r="G6959" i="1"/>
  <c r="E6959" i="1"/>
  <c r="B6959" i="1"/>
  <c r="A6959" i="1"/>
  <c r="H6958" i="1"/>
  <c r="G6958" i="1"/>
  <c r="E6958" i="1"/>
  <c r="B6958" i="1"/>
  <c r="A6958" i="1"/>
  <c r="H6957" i="1"/>
  <c r="G6957" i="1"/>
  <c r="E6957" i="1"/>
  <c r="B6957" i="1"/>
  <c r="A6957" i="1"/>
  <c r="H6956" i="1"/>
  <c r="G6956" i="1"/>
  <c r="E6956" i="1"/>
  <c r="B6956" i="1"/>
  <c r="A6956" i="1"/>
  <c r="H6955" i="1"/>
  <c r="G6955" i="1"/>
  <c r="E6955" i="1"/>
  <c r="B6955" i="1"/>
  <c r="A6955" i="1"/>
  <c r="H6954" i="1"/>
  <c r="G6954" i="1"/>
  <c r="E6954" i="1"/>
  <c r="B6954" i="1"/>
  <c r="A6954" i="1"/>
  <c r="H6953" i="1"/>
  <c r="G6953" i="1"/>
  <c r="E6953" i="1"/>
  <c r="B6953" i="1"/>
  <c r="A6953" i="1"/>
  <c r="H6952" i="1"/>
  <c r="G6952" i="1"/>
  <c r="E6952" i="1"/>
  <c r="B6952" i="1"/>
  <c r="A6952" i="1"/>
  <c r="H6951" i="1"/>
  <c r="G6951" i="1"/>
  <c r="E6951" i="1"/>
  <c r="B6951" i="1"/>
  <c r="A6951" i="1"/>
  <c r="H6950" i="1"/>
  <c r="G6950" i="1"/>
  <c r="E6950" i="1"/>
  <c r="B6950" i="1"/>
  <c r="A6950" i="1"/>
  <c r="H6949" i="1"/>
  <c r="G6949" i="1"/>
  <c r="E6949" i="1"/>
  <c r="B6949" i="1"/>
  <c r="A6949" i="1"/>
  <c r="H6948" i="1"/>
  <c r="G6948" i="1"/>
  <c r="E6948" i="1"/>
  <c r="B6948" i="1"/>
  <c r="A6948" i="1"/>
  <c r="H6947" i="1"/>
  <c r="G6947" i="1"/>
  <c r="E6947" i="1"/>
  <c r="B6947" i="1"/>
  <c r="A6947" i="1"/>
  <c r="H6946" i="1"/>
  <c r="G6946" i="1"/>
  <c r="E6946" i="1"/>
  <c r="B6946" i="1"/>
  <c r="A6946" i="1"/>
  <c r="H6945" i="1"/>
  <c r="G6945" i="1"/>
  <c r="E6945" i="1"/>
  <c r="B6945" i="1"/>
  <c r="A6945" i="1"/>
  <c r="H6944" i="1"/>
  <c r="G6944" i="1"/>
  <c r="E6944" i="1"/>
  <c r="B6944" i="1"/>
  <c r="A6944" i="1"/>
  <c r="H6943" i="1"/>
  <c r="G6943" i="1"/>
  <c r="E6943" i="1"/>
  <c r="B6943" i="1"/>
  <c r="A6943" i="1"/>
  <c r="H6942" i="1"/>
  <c r="G6942" i="1"/>
  <c r="E6942" i="1"/>
  <c r="B6942" i="1"/>
  <c r="A6942" i="1"/>
  <c r="H6941" i="1"/>
  <c r="G6941" i="1"/>
  <c r="E6941" i="1"/>
  <c r="B6941" i="1"/>
  <c r="A6941" i="1"/>
  <c r="H6940" i="1"/>
  <c r="G6940" i="1"/>
  <c r="E6940" i="1"/>
  <c r="B6940" i="1"/>
  <c r="A6940" i="1"/>
  <c r="H6939" i="1"/>
  <c r="G6939" i="1"/>
  <c r="E6939" i="1"/>
  <c r="B6939" i="1"/>
  <c r="A6939" i="1"/>
  <c r="H6938" i="1"/>
  <c r="G6938" i="1"/>
  <c r="E6938" i="1"/>
  <c r="B6938" i="1"/>
  <c r="A6938" i="1"/>
  <c r="H6937" i="1"/>
  <c r="G6937" i="1"/>
  <c r="E6937" i="1"/>
  <c r="B6937" i="1"/>
  <c r="A6937" i="1"/>
  <c r="H6936" i="1"/>
  <c r="G6936" i="1"/>
  <c r="E6936" i="1"/>
  <c r="B6936" i="1"/>
  <c r="A6936" i="1"/>
  <c r="H6935" i="1"/>
  <c r="G6935" i="1"/>
  <c r="E6935" i="1"/>
  <c r="B6935" i="1"/>
  <c r="A6935" i="1"/>
  <c r="H6934" i="1"/>
  <c r="G6934" i="1"/>
  <c r="E6934" i="1"/>
  <c r="B6934" i="1"/>
  <c r="A6934" i="1"/>
  <c r="H6933" i="1"/>
  <c r="G6933" i="1"/>
  <c r="E6933" i="1"/>
  <c r="B6933" i="1"/>
  <c r="A6933" i="1"/>
  <c r="H6932" i="1"/>
  <c r="G6932" i="1"/>
  <c r="E6932" i="1"/>
  <c r="B6932" i="1"/>
  <c r="A6932" i="1"/>
  <c r="H6931" i="1"/>
  <c r="G6931" i="1"/>
  <c r="E6931" i="1"/>
  <c r="B6931" i="1"/>
  <c r="A6931" i="1"/>
  <c r="H6930" i="1"/>
  <c r="G6930" i="1"/>
  <c r="E6930" i="1"/>
  <c r="B6930" i="1"/>
  <c r="A6930" i="1"/>
  <c r="H6929" i="1"/>
  <c r="G6929" i="1"/>
  <c r="E6929" i="1"/>
  <c r="B6929" i="1"/>
  <c r="A6929" i="1"/>
  <c r="H6928" i="1"/>
  <c r="G6928" i="1"/>
  <c r="E6928" i="1"/>
  <c r="B6928" i="1"/>
  <c r="A6928" i="1"/>
  <c r="H6927" i="1"/>
  <c r="G6927" i="1"/>
  <c r="E6927" i="1"/>
  <c r="B6927" i="1"/>
  <c r="A6927" i="1"/>
  <c r="H6926" i="1"/>
  <c r="G6926" i="1"/>
  <c r="E6926" i="1"/>
  <c r="B6926" i="1"/>
  <c r="A6926" i="1"/>
  <c r="H6925" i="1"/>
  <c r="G6925" i="1"/>
  <c r="E6925" i="1"/>
  <c r="B6925" i="1"/>
  <c r="A6925" i="1"/>
  <c r="H6924" i="1"/>
  <c r="G6924" i="1"/>
  <c r="E6924" i="1"/>
  <c r="B6924" i="1"/>
  <c r="A6924" i="1"/>
  <c r="H6923" i="1"/>
  <c r="G6923" i="1"/>
  <c r="E6923" i="1"/>
  <c r="B6923" i="1"/>
  <c r="A6923" i="1"/>
  <c r="H6922" i="1"/>
  <c r="G6922" i="1"/>
  <c r="E6922" i="1"/>
  <c r="B6922" i="1"/>
  <c r="A6922" i="1"/>
  <c r="H6921" i="1"/>
  <c r="G6921" i="1"/>
  <c r="E6921" i="1"/>
  <c r="B6921" i="1"/>
  <c r="A6921" i="1"/>
  <c r="H6920" i="1"/>
  <c r="G6920" i="1"/>
  <c r="E6920" i="1"/>
  <c r="B6920" i="1"/>
  <c r="A6920" i="1"/>
  <c r="H6919" i="1"/>
  <c r="G6919" i="1"/>
  <c r="E6919" i="1"/>
  <c r="B6919" i="1"/>
  <c r="A6919" i="1"/>
  <c r="H6918" i="1"/>
  <c r="G6918" i="1"/>
  <c r="E6918" i="1"/>
  <c r="B6918" i="1"/>
  <c r="A6918" i="1"/>
  <c r="H6917" i="1"/>
  <c r="G6917" i="1"/>
  <c r="E6917" i="1"/>
  <c r="B6917" i="1"/>
  <c r="A6917" i="1"/>
  <c r="H6916" i="1"/>
  <c r="G6916" i="1"/>
  <c r="E6916" i="1"/>
  <c r="B6916" i="1"/>
  <c r="A6916" i="1"/>
  <c r="H6915" i="1"/>
  <c r="G6915" i="1"/>
  <c r="E6915" i="1"/>
  <c r="B6915" i="1"/>
  <c r="A6915" i="1"/>
  <c r="H6914" i="1"/>
  <c r="G6914" i="1"/>
  <c r="E6914" i="1"/>
  <c r="B6914" i="1"/>
  <c r="A6914" i="1"/>
  <c r="H6913" i="1"/>
  <c r="G6913" i="1"/>
  <c r="E6913" i="1"/>
  <c r="B6913" i="1"/>
  <c r="A6913" i="1"/>
  <c r="H6912" i="1"/>
  <c r="G6912" i="1"/>
  <c r="E6912" i="1"/>
  <c r="B6912" i="1"/>
  <c r="A6912" i="1"/>
  <c r="H6911" i="1"/>
  <c r="G6911" i="1"/>
  <c r="E6911" i="1"/>
  <c r="B6911" i="1"/>
  <c r="A6911" i="1"/>
  <c r="H6910" i="1"/>
  <c r="G6910" i="1"/>
  <c r="E6910" i="1"/>
  <c r="B6910" i="1"/>
  <c r="A6910" i="1"/>
  <c r="H6909" i="1"/>
  <c r="G6909" i="1"/>
  <c r="E6909" i="1"/>
  <c r="B6909" i="1"/>
  <c r="A6909" i="1"/>
  <c r="H6908" i="1"/>
  <c r="G6908" i="1"/>
  <c r="E6908" i="1"/>
  <c r="B6908" i="1"/>
  <c r="A6908" i="1"/>
  <c r="H6907" i="1"/>
  <c r="G6907" i="1"/>
  <c r="E6907" i="1"/>
  <c r="B6907" i="1"/>
  <c r="A6907" i="1"/>
  <c r="H6906" i="1"/>
  <c r="G6906" i="1"/>
  <c r="E6906" i="1"/>
  <c r="B6906" i="1"/>
  <c r="A6906" i="1"/>
  <c r="H6905" i="1"/>
  <c r="G6905" i="1"/>
  <c r="E6905" i="1"/>
  <c r="B6905" i="1"/>
  <c r="A6905" i="1"/>
  <c r="H6904" i="1"/>
  <c r="G6904" i="1"/>
  <c r="E6904" i="1"/>
  <c r="B6904" i="1"/>
  <c r="A6904" i="1"/>
  <c r="H6903" i="1"/>
  <c r="G6903" i="1"/>
  <c r="E6903" i="1"/>
  <c r="B6903" i="1"/>
  <c r="A6903" i="1"/>
  <c r="H6902" i="1"/>
  <c r="G6902" i="1"/>
  <c r="E6902" i="1"/>
  <c r="B6902" i="1"/>
  <c r="A6902" i="1"/>
  <c r="H6901" i="1"/>
  <c r="G6901" i="1"/>
  <c r="E6901" i="1"/>
  <c r="B6901" i="1"/>
  <c r="A6901" i="1"/>
  <c r="H6900" i="1"/>
  <c r="G6900" i="1"/>
  <c r="E6900" i="1"/>
  <c r="B6900" i="1"/>
  <c r="A6900" i="1"/>
  <c r="H6899" i="1"/>
  <c r="G6899" i="1"/>
  <c r="E6899" i="1"/>
  <c r="B6899" i="1"/>
  <c r="A6899" i="1"/>
  <c r="H6898" i="1"/>
  <c r="G6898" i="1"/>
  <c r="E6898" i="1"/>
  <c r="B6898" i="1"/>
  <c r="A6898" i="1"/>
  <c r="H6897" i="1"/>
  <c r="G6897" i="1"/>
  <c r="E6897" i="1"/>
  <c r="B6897" i="1"/>
  <c r="A6897" i="1"/>
  <c r="H6896" i="1"/>
  <c r="G6896" i="1"/>
  <c r="E6896" i="1"/>
  <c r="B6896" i="1"/>
  <c r="A6896" i="1"/>
  <c r="H6895" i="1"/>
  <c r="G6895" i="1"/>
  <c r="E6895" i="1"/>
  <c r="B6895" i="1"/>
  <c r="A6895" i="1"/>
  <c r="H6894" i="1"/>
  <c r="G6894" i="1"/>
  <c r="E6894" i="1"/>
  <c r="B6894" i="1"/>
  <c r="A6894" i="1"/>
  <c r="H6893" i="1"/>
  <c r="G6893" i="1"/>
  <c r="E6893" i="1"/>
  <c r="B6893" i="1"/>
  <c r="A6893" i="1"/>
  <c r="H6892" i="1"/>
  <c r="G6892" i="1"/>
  <c r="E6892" i="1"/>
  <c r="B6892" i="1"/>
  <c r="A6892" i="1"/>
  <c r="H6891" i="1"/>
  <c r="G6891" i="1"/>
  <c r="E6891" i="1"/>
  <c r="B6891" i="1"/>
  <c r="A6891" i="1"/>
  <c r="H6890" i="1"/>
  <c r="G6890" i="1"/>
  <c r="E6890" i="1"/>
  <c r="B6890" i="1"/>
  <c r="A6890" i="1"/>
  <c r="H6889" i="1"/>
  <c r="G6889" i="1"/>
  <c r="E6889" i="1"/>
  <c r="B6889" i="1"/>
  <c r="A6889" i="1"/>
  <c r="H6888" i="1"/>
  <c r="G6888" i="1"/>
  <c r="E6888" i="1"/>
  <c r="B6888" i="1"/>
  <c r="A6888" i="1"/>
  <c r="H6887" i="1"/>
  <c r="G6887" i="1"/>
  <c r="E6887" i="1"/>
  <c r="B6887" i="1"/>
  <c r="A6887" i="1"/>
  <c r="H6886" i="1"/>
  <c r="G6886" i="1"/>
  <c r="E6886" i="1"/>
  <c r="B6886" i="1"/>
  <c r="A6886" i="1"/>
  <c r="H6885" i="1"/>
  <c r="G6885" i="1"/>
  <c r="E6885" i="1"/>
  <c r="B6885" i="1"/>
  <c r="A6885" i="1"/>
  <c r="H6884" i="1"/>
  <c r="G6884" i="1"/>
  <c r="E6884" i="1"/>
  <c r="B6884" i="1"/>
  <c r="A6884" i="1"/>
  <c r="H6883" i="1"/>
  <c r="G6883" i="1"/>
  <c r="E6883" i="1"/>
  <c r="B6883" i="1"/>
  <c r="A6883" i="1"/>
  <c r="H6882" i="1"/>
  <c r="G6882" i="1"/>
  <c r="E6882" i="1"/>
  <c r="B6882" i="1"/>
  <c r="A6882" i="1"/>
  <c r="H6881" i="1"/>
  <c r="G6881" i="1"/>
  <c r="E6881" i="1"/>
  <c r="B6881" i="1"/>
  <c r="A6881" i="1"/>
  <c r="H6880" i="1"/>
  <c r="G6880" i="1"/>
  <c r="E6880" i="1"/>
  <c r="B6880" i="1"/>
  <c r="A6880" i="1"/>
  <c r="H6879" i="1"/>
  <c r="G6879" i="1"/>
  <c r="E6879" i="1"/>
  <c r="B6879" i="1"/>
  <c r="A6879" i="1"/>
  <c r="H6878" i="1"/>
  <c r="G6878" i="1"/>
  <c r="E6878" i="1"/>
  <c r="B6878" i="1"/>
  <c r="A6878" i="1"/>
  <c r="H6877" i="1"/>
  <c r="G6877" i="1"/>
  <c r="E6877" i="1"/>
  <c r="B6877" i="1"/>
  <c r="A6877" i="1"/>
  <c r="H6876" i="1"/>
  <c r="G6876" i="1"/>
  <c r="E6876" i="1"/>
  <c r="B6876" i="1"/>
  <c r="A6876" i="1"/>
  <c r="H6875" i="1"/>
  <c r="G6875" i="1"/>
  <c r="E6875" i="1"/>
  <c r="B6875" i="1"/>
  <c r="A6875" i="1"/>
  <c r="H6874" i="1"/>
  <c r="G6874" i="1"/>
  <c r="E6874" i="1"/>
  <c r="B6874" i="1"/>
  <c r="A6874" i="1"/>
  <c r="H6873" i="1"/>
  <c r="G6873" i="1"/>
  <c r="E6873" i="1"/>
  <c r="B6873" i="1"/>
  <c r="A6873" i="1"/>
  <c r="H6872" i="1"/>
  <c r="G6872" i="1"/>
  <c r="E6872" i="1"/>
  <c r="B6872" i="1"/>
  <c r="A6872" i="1"/>
  <c r="H6871" i="1"/>
  <c r="G6871" i="1"/>
  <c r="E6871" i="1"/>
  <c r="B6871" i="1"/>
  <c r="A6871" i="1"/>
  <c r="H6870" i="1"/>
  <c r="G6870" i="1"/>
  <c r="E6870" i="1"/>
  <c r="B6870" i="1"/>
  <c r="A6870" i="1"/>
  <c r="H6869" i="1"/>
  <c r="G6869" i="1"/>
  <c r="E6869" i="1"/>
  <c r="B6869" i="1"/>
  <c r="A6869" i="1"/>
  <c r="H6868" i="1"/>
  <c r="G6868" i="1"/>
  <c r="E6868" i="1"/>
  <c r="B6868" i="1"/>
  <c r="A6868" i="1"/>
  <c r="H6867" i="1"/>
  <c r="G6867" i="1"/>
  <c r="E6867" i="1"/>
  <c r="B6867" i="1"/>
  <c r="A6867" i="1"/>
  <c r="H6866" i="1"/>
  <c r="G6866" i="1"/>
  <c r="E6866" i="1"/>
  <c r="B6866" i="1"/>
  <c r="A6866" i="1"/>
  <c r="H6865" i="1"/>
  <c r="G6865" i="1"/>
  <c r="E6865" i="1"/>
  <c r="B6865" i="1"/>
  <c r="A6865" i="1"/>
  <c r="H6864" i="1"/>
  <c r="G6864" i="1"/>
  <c r="E6864" i="1"/>
  <c r="B6864" i="1"/>
  <c r="A6864" i="1"/>
  <c r="H6863" i="1"/>
  <c r="G6863" i="1"/>
  <c r="E6863" i="1"/>
  <c r="B6863" i="1"/>
  <c r="A6863" i="1"/>
  <c r="H6862" i="1"/>
  <c r="G6862" i="1"/>
  <c r="E6862" i="1"/>
  <c r="B6862" i="1"/>
  <c r="A6862" i="1"/>
  <c r="H6861" i="1"/>
  <c r="G6861" i="1"/>
  <c r="E6861" i="1"/>
  <c r="B6861" i="1"/>
  <c r="A6861" i="1"/>
  <c r="H6860" i="1"/>
  <c r="G6860" i="1"/>
  <c r="E6860" i="1"/>
  <c r="B6860" i="1"/>
  <c r="A6860" i="1"/>
  <c r="H6859" i="1"/>
  <c r="G6859" i="1"/>
  <c r="E6859" i="1"/>
  <c r="B6859" i="1"/>
  <c r="A6859" i="1"/>
  <c r="H6858" i="1"/>
  <c r="G6858" i="1"/>
  <c r="E6858" i="1"/>
  <c r="B6858" i="1"/>
  <c r="A6858" i="1"/>
  <c r="H6857" i="1"/>
  <c r="G6857" i="1"/>
  <c r="E6857" i="1"/>
  <c r="B6857" i="1"/>
  <c r="A6857" i="1"/>
  <c r="H6856" i="1"/>
  <c r="G6856" i="1"/>
  <c r="E6856" i="1"/>
  <c r="B6856" i="1"/>
  <c r="A6856" i="1"/>
  <c r="H6855" i="1"/>
  <c r="G6855" i="1"/>
  <c r="E6855" i="1"/>
  <c r="B6855" i="1"/>
  <c r="A6855" i="1"/>
  <c r="H6854" i="1"/>
  <c r="G6854" i="1"/>
  <c r="E6854" i="1"/>
  <c r="B6854" i="1"/>
  <c r="A6854" i="1"/>
  <c r="H6853" i="1"/>
  <c r="G6853" i="1"/>
  <c r="E6853" i="1"/>
  <c r="B6853" i="1"/>
  <c r="A6853" i="1"/>
  <c r="H6852" i="1"/>
  <c r="G6852" i="1"/>
  <c r="E6852" i="1"/>
  <c r="B6852" i="1"/>
  <c r="A6852" i="1"/>
  <c r="H6851" i="1"/>
  <c r="G6851" i="1"/>
  <c r="E6851" i="1"/>
  <c r="B6851" i="1"/>
  <c r="A6851" i="1"/>
  <c r="H6850" i="1"/>
  <c r="G6850" i="1"/>
  <c r="E6850" i="1"/>
  <c r="B6850" i="1"/>
  <c r="A6850" i="1"/>
  <c r="H6849" i="1"/>
  <c r="G6849" i="1"/>
  <c r="E6849" i="1"/>
  <c r="B6849" i="1"/>
  <c r="A6849" i="1"/>
  <c r="H6848" i="1"/>
  <c r="G6848" i="1"/>
  <c r="E6848" i="1"/>
  <c r="B6848" i="1"/>
  <c r="A6848" i="1"/>
  <c r="H6847" i="1"/>
  <c r="G6847" i="1"/>
  <c r="E6847" i="1"/>
  <c r="B6847" i="1"/>
  <c r="A6847" i="1"/>
  <c r="H6846" i="1"/>
  <c r="G6846" i="1"/>
  <c r="E6846" i="1"/>
  <c r="B6846" i="1"/>
  <c r="A6846" i="1"/>
  <c r="H6845" i="1"/>
  <c r="G6845" i="1"/>
  <c r="E6845" i="1"/>
  <c r="B6845" i="1"/>
  <c r="A6845" i="1"/>
  <c r="H6844" i="1"/>
  <c r="G6844" i="1"/>
  <c r="E6844" i="1"/>
  <c r="B6844" i="1"/>
  <c r="A6844" i="1"/>
  <c r="H6843" i="1"/>
  <c r="G6843" i="1"/>
  <c r="E6843" i="1"/>
  <c r="B6843" i="1"/>
  <c r="A6843" i="1"/>
  <c r="H6842" i="1"/>
  <c r="G6842" i="1"/>
  <c r="E6842" i="1"/>
  <c r="B6842" i="1"/>
  <c r="A6842" i="1"/>
  <c r="H6841" i="1"/>
  <c r="G6841" i="1"/>
  <c r="E6841" i="1"/>
  <c r="B6841" i="1"/>
  <c r="A6841" i="1"/>
  <c r="H6840" i="1"/>
  <c r="G6840" i="1"/>
  <c r="E6840" i="1"/>
  <c r="B6840" i="1"/>
  <c r="A6840" i="1"/>
  <c r="H6839" i="1"/>
  <c r="G6839" i="1"/>
  <c r="E6839" i="1"/>
  <c r="B6839" i="1"/>
  <c r="A6839" i="1"/>
  <c r="H6838" i="1"/>
  <c r="G6838" i="1"/>
  <c r="E6838" i="1"/>
  <c r="B6838" i="1"/>
  <c r="A6838" i="1"/>
  <c r="H6837" i="1"/>
  <c r="G6837" i="1"/>
  <c r="E6837" i="1"/>
  <c r="B6837" i="1"/>
  <c r="A6837" i="1"/>
  <c r="H6836" i="1"/>
  <c r="G6836" i="1"/>
  <c r="E6836" i="1"/>
  <c r="B6836" i="1"/>
  <c r="A6836" i="1"/>
  <c r="H6835" i="1"/>
  <c r="G6835" i="1"/>
  <c r="E6835" i="1"/>
  <c r="B6835" i="1"/>
  <c r="A6835" i="1"/>
  <c r="H6834" i="1"/>
  <c r="G6834" i="1"/>
  <c r="E6834" i="1"/>
  <c r="B6834" i="1"/>
  <c r="A6834" i="1"/>
  <c r="H6833" i="1"/>
  <c r="G6833" i="1"/>
  <c r="E6833" i="1"/>
  <c r="B6833" i="1"/>
  <c r="A6833" i="1"/>
  <c r="H6832" i="1"/>
  <c r="G6832" i="1"/>
  <c r="E6832" i="1"/>
  <c r="B6832" i="1"/>
  <c r="A6832" i="1"/>
  <c r="H6831" i="1"/>
  <c r="G6831" i="1"/>
  <c r="E6831" i="1"/>
  <c r="B6831" i="1"/>
  <c r="A6831" i="1"/>
  <c r="H6830" i="1"/>
  <c r="G6830" i="1"/>
  <c r="E6830" i="1"/>
  <c r="B6830" i="1"/>
  <c r="A6830" i="1"/>
  <c r="H6829" i="1"/>
  <c r="G6829" i="1"/>
  <c r="E6829" i="1"/>
  <c r="B6829" i="1"/>
  <c r="A6829" i="1"/>
  <c r="H6828" i="1"/>
  <c r="G6828" i="1"/>
  <c r="E6828" i="1"/>
  <c r="B6828" i="1"/>
  <c r="A6828" i="1"/>
  <c r="H6827" i="1"/>
  <c r="G6827" i="1"/>
  <c r="E6827" i="1"/>
  <c r="B6827" i="1"/>
  <c r="A6827" i="1"/>
  <c r="H6826" i="1"/>
  <c r="G6826" i="1"/>
  <c r="E6826" i="1"/>
  <c r="B6826" i="1"/>
  <c r="A6826" i="1"/>
  <c r="H6825" i="1"/>
  <c r="G6825" i="1"/>
  <c r="E6825" i="1"/>
  <c r="B6825" i="1"/>
  <c r="A6825" i="1"/>
  <c r="H6824" i="1"/>
  <c r="G6824" i="1"/>
  <c r="E6824" i="1"/>
  <c r="B6824" i="1"/>
  <c r="A6824" i="1"/>
  <c r="H6823" i="1"/>
  <c r="G6823" i="1"/>
  <c r="E6823" i="1"/>
  <c r="B6823" i="1"/>
  <c r="A6823" i="1"/>
  <c r="H6822" i="1"/>
  <c r="G6822" i="1"/>
  <c r="E6822" i="1"/>
  <c r="B6822" i="1"/>
  <c r="A6822" i="1"/>
  <c r="H6821" i="1"/>
  <c r="G6821" i="1"/>
  <c r="E6821" i="1"/>
  <c r="B6821" i="1"/>
  <c r="A6821" i="1"/>
  <c r="H6820" i="1"/>
  <c r="G6820" i="1"/>
  <c r="E6820" i="1"/>
  <c r="B6820" i="1"/>
  <c r="A6820" i="1"/>
  <c r="H6819" i="1"/>
  <c r="G6819" i="1"/>
  <c r="E6819" i="1"/>
  <c r="B6819" i="1"/>
  <c r="A6819" i="1"/>
  <c r="H6818" i="1"/>
  <c r="G6818" i="1"/>
  <c r="E6818" i="1"/>
  <c r="B6818" i="1"/>
  <c r="A6818" i="1"/>
  <c r="H6817" i="1"/>
  <c r="G6817" i="1"/>
  <c r="E6817" i="1"/>
  <c r="B6817" i="1"/>
  <c r="A6817" i="1"/>
  <c r="H6816" i="1"/>
  <c r="G6816" i="1"/>
  <c r="E6816" i="1"/>
  <c r="B6816" i="1"/>
  <c r="A6816" i="1"/>
  <c r="H6815" i="1"/>
  <c r="G6815" i="1"/>
  <c r="E6815" i="1"/>
  <c r="B6815" i="1"/>
  <c r="A6815" i="1"/>
  <c r="H6814" i="1"/>
  <c r="G6814" i="1"/>
  <c r="E6814" i="1"/>
  <c r="B6814" i="1"/>
  <c r="A6814" i="1"/>
  <c r="H6813" i="1"/>
  <c r="G6813" i="1"/>
  <c r="E6813" i="1"/>
  <c r="B6813" i="1"/>
  <c r="A6813" i="1"/>
  <c r="H6812" i="1"/>
  <c r="G6812" i="1"/>
  <c r="E6812" i="1"/>
  <c r="B6812" i="1"/>
  <c r="A6812" i="1"/>
  <c r="H6811" i="1"/>
  <c r="G6811" i="1"/>
  <c r="E6811" i="1"/>
  <c r="B6811" i="1"/>
  <c r="A6811" i="1"/>
  <c r="H6810" i="1"/>
  <c r="G6810" i="1"/>
  <c r="E6810" i="1"/>
  <c r="B6810" i="1"/>
  <c r="A6810" i="1"/>
  <c r="H6809" i="1"/>
  <c r="G6809" i="1"/>
  <c r="E6809" i="1"/>
  <c r="B6809" i="1"/>
  <c r="A6809" i="1"/>
  <c r="H6808" i="1"/>
  <c r="G6808" i="1"/>
  <c r="E6808" i="1"/>
  <c r="B6808" i="1"/>
  <c r="A6808" i="1"/>
  <c r="H6807" i="1"/>
  <c r="G6807" i="1"/>
  <c r="E6807" i="1"/>
  <c r="B6807" i="1"/>
  <c r="A6807" i="1"/>
  <c r="H6806" i="1"/>
  <c r="G6806" i="1"/>
  <c r="E6806" i="1"/>
  <c r="B6806" i="1"/>
  <c r="A6806" i="1"/>
  <c r="H6805" i="1"/>
  <c r="G6805" i="1"/>
  <c r="E6805" i="1"/>
  <c r="B6805" i="1"/>
  <c r="A6805" i="1"/>
  <c r="H6804" i="1"/>
  <c r="G6804" i="1"/>
  <c r="E6804" i="1"/>
  <c r="B6804" i="1"/>
  <c r="A6804" i="1"/>
  <c r="H6803" i="1"/>
  <c r="G6803" i="1"/>
  <c r="E6803" i="1"/>
  <c r="B6803" i="1"/>
  <c r="A6803" i="1"/>
  <c r="H6802" i="1"/>
  <c r="G6802" i="1"/>
  <c r="E6802" i="1"/>
  <c r="B6802" i="1"/>
  <c r="A6802" i="1"/>
  <c r="H6801" i="1"/>
  <c r="G6801" i="1"/>
  <c r="E6801" i="1"/>
  <c r="B6801" i="1"/>
  <c r="A6801" i="1"/>
  <c r="H6800" i="1"/>
  <c r="G6800" i="1"/>
  <c r="E6800" i="1"/>
  <c r="B6800" i="1"/>
  <c r="A6800" i="1"/>
  <c r="H6799" i="1"/>
  <c r="G6799" i="1"/>
  <c r="E6799" i="1"/>
  <c r="B6799" i="1"/>
  <c r="A6799" i="1"/>
  <c r="H6798" i="1"/>
  <c r="G6798" i="1"/>
  <c r="E6798" i="1"/>
  <c r="B6798" i="1"/>
  <c r="A6798" i="1"/>
  <c r="H6797" i="1"/>
  <c r="G6797" i="1"/>
  <c r="E6797" i="1"/>
  <c r="B6797" i="1"/>
  <c r="A6797" i="1"/>
  <c r="H6796" i="1"/>
  <c r="G6796" i="1"/>
  <c r="E6796" i="1"/>
  <c r="B6796" i="1"/>
  <c r="A6796" i="1"/>
  <c r="H6795" i="1"/>
  <c r="G6795" i="1"/>
  <c r="E6795" i="1"/>
  <c r="B6795" i="1"/>
  <c r="A6795" i="1"/>
  <c r="H6794" i="1"/>
  <c r="G6794" i="1"/>
  <c r="E6794" i="1"/>
  <c r="B6794" i="1"/>
  <c r="A6794" i="1"/>
  <c r="H6793" i="1"/>
  <c r="G6793" i="1"/>
  <c r="E6793" i="1"/>
  <c r="B6793" i="1"/>
  <c r="A6793" i="1"/>
  <c r="H6792" i="1"/>
  <c r="G6792" i="1"/>
  <c r="E6792" i="1"/>
  <c r="B6792" i="1"/>
  <c r="A6792" i="1"/>
  <c r="H6791" i="1"/>
  <c r="G6791" i="1"/>
  <c r="E6791" i="1"/>
  <c r="B6791" i="1"/>
  <c r="A6791" i="1"/>
  <c r="H6790" i="1"/>
  <c r="G6790" i="1"/>
  <c r="E6790" i="1"/>
  <c r="B6790" i="1"/>
  <c r="A6790" i="1"/>
  <c r="H6789" i="1"/>
  <c r="G6789" i="1"/>
  <c r="E6789" i="1"/>
  <c r="B6789" i="1"/>
  <c r="A6789" i="1"/>
  <c r="H6788" i="1"/>
  <c r="G6788" i="1"/>
  <c r="E6788" i="1"/>
  <c r="B6788" i="1"/>
  <c r="A6788" i="1"/>
  <c r="H6787" i="1"/>
  <c r="G6787" i="1"/>
  <c r="E6787" i="1"/>
  <c r="B6787" i="1"/>
  <c r="A6787" i="1"/>
  <c r="H6786" i="1"/>
  <c r="G6786" i="1"/>
  <c r="E6786" i="1"/>
  <c r="B6786" i="1"/>
  <c r="A6786" i="1"/>
  <c r="H6785" i="1"/>
  <c r="G6785" i="1"/>
  <c r="E6785" i="1"/>
  <c r="B6785" i="1"/>
  <c r="A6785" i="1"/>
  <c r="H6784" i="1"/>
  <c r="G6784" i="1"/>
  <c r="E6784" i="1"/>
  <c r="B6784" i="1"/>
  <c r="A6784" i="1"/>
  <c r="H6783" i="1"/>
  <c r="G6783" i="1"/>
  <c r="E6783" i="1"/>
  <c r="B6783" i="1"/>
  <c r="A6783" i="1"/>
  <c r="H6782" i="1"/>
  <c r="G6782" i="1"/>
  <c r="E6782" i="1"/>
  <c r="B6782" i="1"/>
  <c r="A6782" i="1"/>
  <c r="H6781" i="1"/>
  <c r="G6781" i="1"/>
  <c r="E6781" i="1"/>
  <c r="B6781" i="1"/>
  <c r="A6781" i="1"/>
  <c r="H6780" i="1"/>
  <c r="G6780" i="1"/>
  <c r="E6780" i="1"/>
  <c r="B6780" i="1"/>
  <c r="A6780" i="1"/>
  <c r="H6779" i="1"/>
  <c r="G6779" i="1"/>
  <c r="E6779" i="1"/>
  <c r="B6779" i="1"/>
  <c r="A6779" i="1"/>
  <c r="H6778" i="1"/>
  <c r="G6778" i="1"/>
  <c r="E6778" i="1"/>
  <c r="B6778" i="1"/>
  <c r="A6778" i="1"/>
  <c r="H6777" i="1"/>
  <c r="G6777" i="1"/>
  <c r="E6777" i="1"/>
  <c r="B6777" i="1"/>
  <c r="A6777" i="1"/>
  <c r="H6776" i="1"/>
  <c r="G6776" i="1"/>
  <c r="E6776" i="1"/>
  <c r="B6776" i="1"/>
  <c r="A6776" i="1"/>
  <c r="H6775" i="1"/>
  <c r="G6775" i="1"/>
  <c r="E6775" i="1"/>
  <c r="B6775" i="1"/>
  <c r="A6775" i="1"/>
  <c r="H6774" i="1"/>
  <c r="G6774" i="1"/>
  <c r="E6774" i="1"/>
  <c r="B6774" i="1"/>
  <c r="A6774" i="1"/>
  <c r="H6773" i="1"/>
  <c r="G6773" i="1"/>
  <c r="E6773" i="1"/>
  <c r="B6773" i="1"/>
  <c r="A6773" i="1"/>
  <c r="H6772" i="1"/>
  <c r="G6772" i="1"/>
  <c r="E6772" i="1"/>
  <c r="B6772" i="1"/>
  <c r="A6772" i="1"/>
  <c r="H6771" i="1"/>
  <c r="G6771" i="1"/>
  <c r="E6771" i="1"/>
  <c r="B6771" i="1"/>
  <c r="A6771" i="1"/>
  <c r="H6770" i="1"/>
  <c r="G6770" i="1"/>
  <c r="E6770" i="1"/>
  <c r="B6770" i="1"/>
  <c r="A6770" i="1"/>
  <c r="H6769" i="1"/>
  <c r="G6769" i="1"/>
  <c r="E6769" i="1"/>
  <c r="B6769" i="1"/>
  <c r="A6769" i="1"/>
  <c r="H6768" i="1"/>
  <c r="G6768" i="1"/>
  <c r="E6768" i="1"/>
  <c r="B6768" i="1"/>
  <c r="A6768" i="1"/>
  <c r="H6767" i="1"/>
  <c r="G6767" i="1"/>
  <c r="E6767" i="1"/>
  <c r="B6767" i="1"/>
  <c r="A6767" i="1"/>
  <c r="H6766" i="1"/>
  <c r="G6766" i="1"/>
  <c r="E6766" i="1"/>
  <c r="B6766" i="1"/>
  <c r="A6766" i="1"/>
  <c r="H6765" i="1"/>
  <c r="G6765" i="1"/>
  <c r="E6765" i="1"/>
  <c r="B6765" i="1"/>
  <c r="A6765" i="1"/>
  <c r="H6764" i="1"/>
  <c r="G6764" i="1"/>
  <c r="E6764" i="1"/>
  <c r="B6764" i="1"/>
  <c r="A6764" i="1"/>
  <c r="H6763" i="1"/>
  <c r="G6763" i="1"/>
  <c r="E6763" i="1"/>
  <c r="B6763" i="1"/>
  <c r="A6763" i="1"/>
  <c r="H6762" i="1"/>
  <c r="G6762" i="1"/>
  <c r="E6762" i="1"/>
  <c r="B6762" i="1"/>
  <c r="A6762" i="1"/>
  <c r="H6761" i="1"/>
  <c r="G6761" i="1"/>
  <c r="E6761" i="1"/>
  <c r="B6761" i="1"/>
  <c r="A6761" i="1"/>
  <c r="H6760" i="1"/>
  <c r="G6760" i="1"/>
  <c r="E6760" i="1"/>
  <c r="B6760" i="1"/>
  <c r="A6760" i="1"/>
  <c r="H6759" i="1"/>
  <c r="G6759" i="1"/>
  <c r="E6759" i="1"/>
  <c r="B6759" i="1"/>
  <c r="A6759" i="1"/>
  <c r="H6758" i="1"/>
  <c r="G6758" i="1"/>
  <c r="E6758" i="1"/>
  <c r="B6758" i="1"/>
  <c r="A6758" i="1"/>
  <c r="H6757" i="1"/>
  <c r="G6757" i="1"/>
  <c r="E6757" i="1"/>
  <c r="B6757" i="1"/>
  <c r="A6757" i="1"/>
  <c r="H6756" i="1"/>
  <c r="G6756" i="1"/>
  <c r="E6756" i="1"/>
  <c r="B6756" i="1"/>
  <c r="A6756" i="1"/>
  <c r="H6755" i="1"/>
  <c r="G6755" i="1"/>
  <c r="E6755" i="1"/>
  <c r="B6755" i="1"/>
  <c r="A6755" i="1"/>
  <c r="H6754" i="1"/>
  <c r="G6754" i="1"/>
  <c r="E6754" i="1"/>
  <c r="B6754" i="1"/>
  <c r="A6754" i="1"/>
  <c r="H6753" i="1"/>
  <c r="G6753" i="1"/>
  <c r="E6753" i="1"/>
  <c r="B6753" i="1"/>
  <c r="A6753" i="1"/>
  <c r="H6752" i="1"/>
  <c r="G6752" i="1"/>
  <c r="E6752" i="1"/>
  <c r="B6752" i="1"/>
  <c r="A6752" i="1"/>
  <c r="H6751" i="1"/>
  <c r="G6751" i="1"/>
  <c r="E6751" i="1"/>
  <c r="B6751" i="1"/>
  <c r="A6751" i="1"/>
  <c r="H6750" i="1"/>
  <c r="G6750" i="1"/>
  <c r="E6750" i="1"/>
  <c r="B6750" i="1"/>
  <c r="A6750" i="1"/>
  <c r="H6749" i="1"/>
  <c r="G6749" i="1"/>
  <c r="E6749" i="1"/>
  <c r="B6749" i="1"/>
  <c r="A6749" i="1"/>
  <c r="H6748" i="1"/>
  <c r="G6748" i="1"/>
  <c r="E6748" i="1"/>
  <c r="B6748" i="1"/>
  <c r="A6748" i="1"/>
  <c r="H6747" i="1"/>
  <c r="G6747" i="1"/>
  <c r="E6747" i="1"/>
  <c r="B6747" i="1"/>
  <c r="A6747" i="1"/>
  <c r="H6746" i="1"/>
  <c r="G6746" i="1"/>
  <c r="E6746" i="1"/>
  <c r="B6746" i="1"/>
  <c r="A6746" i="1"/>
  <c r="H6745" i="1"/>
  <c r="G6745" i="1"/>
  <c r="E6745" i="1"/>
  <c r="B6745" i="1"/>
  <c r="A6745" i="1"/>
  <c r="H6744" i="1"/>
  <c r="G6744" i="1"/>
  <c r="E6744" i="1"/>
  <c r="B6744" i="1"/>
  <c r="A6744" i="1"/>
  <c r="H6743" i="1"/>
  <c r="G6743" i="1"/>
  <c r="E6743" i="1"/>
  <c r="B6743" i="1"/>
  <c r="A6743" i="1"/>
  <c r="H6742" i="1"/>
  <c r="G6742" i="1"/>
  <c r="E6742" i="1"/>
  <c r="B6742" i="1"/>
  <c r="A6742" i="1"/>
  <c r="H6741" i="1"/>
  <c r="G6741" i="1"/>
  <c r="E6741" i="1"/>
  <c r="B6741" i="1"/>
  <c r="A6741" i="1"/>
  <c r="H6740" i="1"/>
  <c r="G6740" i="1"/>
  <c r="E6740" i="1"/>
  <c r="B6740" i="1"/>
  <c r="A6740" i="1"/>
  <c r="H6739" i="1"/>
  <c r="G6739" i="1"/>
  <c r="E6739" i="1"/>
  <c r="B6739" i="1"/>
  <c r="A6739" i="1"/>
  <c r="H6738" i="1"/>
  <c r="G6738" i="1"/>
  <c r="E6738" i="1"/>
  <c r="B6738" i="1"/>
  <c r="A6738" i="1"/>
  <c r="H6737" i="1"/>
  <c r="G6737" i="1"/>
  <c r="E6737" i="1"/>
  <c r="B6737" i="1"/>
  <c r="A6737" i="1"/>
  <c r="H6736" i="1"/>
  <c r="G6736" i="1"/>
  <c r="E6736" i="1"/>
  <c r="B6736" i="1"/>
  <c r="A6736" i="1"/>
  <c r="H6735" i="1"/>
  <c r="G6735" i="1"/>
  <c r="E6735" i="1"/>
  <c r="B6735" i="1"/>
  <c r="A6735" i="1"/>
  <c r="H6734" i="1"/>
  <c r="G6734" i="1"/>
  <c r="E6734" i="1"/>
  <c r="B6734" i="1"/>
  <c r="A6734" i="1"/>
  <c r="H6733" i="1"/>
  <c r="G6733" i="1"/>
  <c r="E6733" i="1"/>
  <c r="B6733" i="1"/>
  <c r="A6733" i="1"/>
  <c r="H6732" i="1"/>
  <c r="G6732" i="1"/>
  <c r="E6732" i="1"/>
  <c r="B6732" i="1"/>
  <c r="A6732" i="1"/>
  <c r="H6731" i="1"/>
  <c r="G6731" i="1"/>
  <c r="E6731" i="1"/>
  <c r="B6731" i="1"/>
  <c r="A6731" i="1"/>
  <c r="H6730" i="1"/>
  <c r="G6730" i="1"/>
  <c r="E6730" i="1"/>
  <c r="B6730" i="1"/>
  <c r="A6730" i="1"/>
  <c r="H6729" i="1"/>
  <c r="G6729" i="1"/>
  <c r="E6729" i="1"/>
  <c r="B6729" i="1"/>
  <c r="A6729" i="1"/>
  <c r="H6728" i="1"/>
  <c r="G6728" i="1"/>
  <c r="E6728" i="1"/>
  <c r="B6728" i="1"/>
  <c r="A6728" i="1"/>
  <c r="H6727" i="1"/>
  <c r="G6727" i="1"/>
  <c r="E6727" i="1"/>
  <c r="B6727" i="1"/>
  <c r="A6727" i="1"/>
  <c r="H6726" i="1"/>
  <c r="G6726" i="1"/>
  <c r="E6726" i="1"/>
  <c r="B6726" i="1"/>
  <c r="A6726" i="1"/>
  <c r="H6725" i="1"/>
  <c r="G6725" i="1"/>
  <c r="E6725" i="1"/>
  <c r="B6725" i="1"/>
  <c r="A6725" i="1"/>
  <c r="H6724" i="1"/>
  <c r="G6724" i="1"/>
  <c r="E6724" i="1"/>
  <c r="B6724" i="1"/>
  <c r="A6724" i="1"/>
  <c r="H6723" i="1"/>
  <c r="G6723" i="1"/>
  <c r="E6723" i="1"/>
  <c r="B6723" i="1"/>
  <c r="A6723" i="1"/>
  <c r="H6722" i="1"/>
  <c r="G6722" i="1"/>
  <c r="E6722" i="1"/>
  <c r="B6722" i="1"/>
  <c r="A6722" i="1"/>
  <c r="H6721" i="1"/>
  <c r="G6721" i="1"/>
  <c r="E6721" i="1"/>
  <c r="B6721" i="1"/>
  <c r="A6721" i="1"/>
  <c r="H6720" i="1"/>
  <c r="G6720" i="1"/>
  <c r="E6720" i="1"/>
  <c r="B6720" i="1"/>
  <c r="A6720" i="1"/>
  <c r="H6719" i="1"/>
  <c r="G6719" i="1"/>
  <c r="E6719" i="1"/>
  <c r="B6719" i="1"/>
  <c r="A6719" i="1"/>
  <c r="H6718" i="1"/>
  <c r="G6718" i="1"/>
  <c r="E6718" i="1"/>
  <c r="B6718" i="1"/>
  <c r="A6718" i="1"/>
  <c r="H6717" i="1"/>
  <c r="G6717" i="1"/>
  <c r="E6717" i="1"/>
  <c r="B6717" i="1"/>
  <c r="A6717" i="1"/>
  <c r="H6716" i="1"/>
  <c r="G6716" i="1"/>
  <c r="E6716" i="1"/>
  <c r="B6716" i="1"/>
  <c r="A6716" i="1"/>
  <c r="H6715" i="1"/>
  <c r="G6715" i="1"/>
  <c r="E6715" i="1"/>
  <c r="B6715" i="1"/>
  <c r="A6715" i="1"/>
  <c r="H6714" i="1"/>
  <c r="G6714" i="1"/>
  <c r="E6714" i="1"/>
  <c r="B6714" i="1"/>
  <c r="A6714" i="1"/>
  <c r="H6713" i="1"/>
  <c r="G6713" i="1"/>
  <c r="E6713" i="1"/>
  <c r="B6713" i="1"/>
  <c r="A6713" i="1"/>
  <c r="H6712" i="1"/>
  <c r="G6712" i="1"/>
  <c r="E6712" i="1"/>
  <c r="B6712" i="1"/>
  <c r="A6712" i="1"/>
  <c r="H6711" i="1"/>
  <c r="G6711" i="1"/>
  <c r="E6711" i="1"/>
  <c r="B6711" i="1"/>
  <c r="A6711" i="1"/>
  <c r="H6710" i="1"/>
  <c r="G6710" i="1"/>
  <c r="E6710" i="1"/>
  <c r="B6710" i="1"/>
  <c r="A6710" i="1"/>
  <c r="H6709" i="1"/>
  <c r="G6709" i="1"/>
  <c r="E6709" i="1"/>
  <c r="B6709" i="1"/>
  <c r="A6709" i="1"/>
  <c r="H6708" i="1"/>
  <c r="G6708" i="1"/>
  <c r="E6708" i="1"/>
  <c r="B6708" i="1"/>
  <c r="A6708" i="1"/>
  <c r="H6707" i="1"/>
  <c r="G6707" i="1"/>
  <c r="E6707" i="1"/>
  <c r="B6707" i="1"/>
  <c r="A6707" i="1"/>
  <c r="H6706" i="1"/>
  <c r="G6706" i="1"/>
  <c r="E6706" i="1"/>
  <c r="B6706" i="1"/>
  <c r="A6706" i="1"/>
  <c r="H6705" i="1"/>
  <c r="G6705" i="1"/>
  <c r="E6705" i="1"/>
  <c r="B6705" i="1"/>
  <c r="A6705" i="1"/>
  <c r="H6704" i="1"/>
  <c r="G6704" i="1"/>
  <c r="E6704" i="1"/>
  <c r="B6704" i="1"/>
  <c r="A6704" i="1"/>
  <c r="H6703" i="1"/>
  <c r="G6703" i="1"/>
  <c r="E6703" i="1"/>
  <c r="B6703" i="1"/>
  <c r="A6703" i="1"/>
  <c r="H6702" i="1"/>
  <c r="G6702" i="1"/>
  <c r="E6702" i="1"/>
  <c r="B6702" i="1"/>
  <c r="A6702" i="1"/>
  <c r="H6701" i="1"/>
  <c r="G6701" i="1"/>
  <c r="E6701" i="1"/>
  <c r="B6701" i="1"/>
  <c r="A6701" i="1"/>
  <c r="H6700" i="1"/>
  <c r="G6700" i="1"/>
  <c r="E6700" i="1"/>
  <c r="B6700" i="1"/>
  <c r="A6700" i="1"/>
  <c r="H6699" i="1"/>
  <c r="G6699" i="1"/>
  <c r="E6699" i="1"/>
  <c r="B6699" i="1"/>
  <c r="A6699" i="1"/>
  <c r="H6698" i="1"/>
  <c r="G6698" i="1"/>
  <c r="E6698" i="1"/>
  <c r="B6698" i="1"/>
  <c r="A6698" i="1"/>
  <c r="H6697" i="1"/>
  <c r="G6697" i="1"/>
  <c r="E6697" i="1"/>
  <c r="B6697" i="1"/>
  <c r="A6697" i="1"/>
  <c r="H6696" i="1"/>
  <c r="G6696" i="1"/>
  <c r="E6696" i="1"/>
  <c r="B6696" i="1"/>
  <c r="A6696" i="1"/>
  <c r="H6695" i="1"/>
  <c r="G6695" i="1"/>
  <c r="E6695" i="1"/>
  <c r="B6695" i="1"/>
  <c r="A6695" i="1"/>
  <c r="H6694" i="1"/>
  <c r="G6694" i="1"/>
  <c r="E6694" i="1"/>
  <c r="B6694" i="1"/>
  <c r="A6694" i="1"/>
  <c r="H6693" i="1"/>
  <c r="G6693" i="1"/>
  <c r="E6693" i="1"/>
  <c r="B6693" i="1"/>
  <c r="A6693" i="1"/>
  <c r="H6692" i="1"/>
  <c r="G6692" i="1"/>
  <c r="E6692" i="1"/>
  <c r="B6692" i="1"/>
  <c r="A6692" i="1"/>
  <c r="H6691" i="1"/>
  <c r="G6691" i="1"/>
  <c r="E6691" i="1"/>
  <c r="B6691" i="1"/>
  <c r="A6691" i="1"/>
  <c r="H6690" i="1"/>
  <c r="G6690" i="1"/>
  <c r="E6690" i="1"/>
  <c r="B6690" i="1"/>
  <c r="A6690" i="1"/>
  <c r="H6689" i="1"/>
  <c r="G6689" i="1"/>
  <c r="E6689" i="1"/>
  <c r="B6689" i="1"/>
  <c r="A6689" i="1"/>
  <c r="H6688" i="1"/>
  <c r="G6688" i="1"/>
  <c r="E6688" i="1"/>
  <c r="B6688" i="1"/>
  <c r="A6688" i="1"/>
  <c r="H6687" i="1"/>
  <c r="G6687" i="1"/>
  <c r="E6687" i="1"/>
  <c r="B6687" i="1"/>
  <c r="A6687" i="1"/>
  <c r="H6686" i="1"/>
  <c r="G6686" i="1"/>
  <c r="E6686" i="1"/>
  <c r="B6686" i="1"/>
  <c r="A6686" i="1"/>
  <c r="H6685" i="1"/>
  <c r="G6685" i="1"/>
  <c r="E6685" i="1"/>
  <c r="B6685" i="1"/>
  <c r="A6685" i="1"/>
  <c r="H6684" i="1"/>
  <c r="G6684" i="1"/>
  <c r="E6684" i="1"/>
  <c r="B6684" i="1"/>
  <c r="A6684" i="1"/>
  <c r="H6683" i="1"/>
  <c r="G6683" i="1"/>
  <c r="E6683" i="1"/>
  <c r="B6683" i="1"/>
  <c r="A6683" i="1"/>
  <c r="H6682" i="1"/>
  <c r="G6682" i="1"/>
  <c r="E6682" i="1"/>
  <c r="B6682" i="1"/>
  <c r="A6682" i="1"/>
  <c r="H6681" i="1"/>
  <c r="G6681" i="1"/>
  <c r="E6681" i="1"/>
  <c r="B6681" i="1"/>
  <c r="A6681" i="1"/>
  <c r="H6680" i="1"/>
  <c r="G6680" i="1"/>
  <c r="E6680" i="1"/>
  <c r="B6680" i="1"/>
  <c r="A6680" i="1"/>
  <c r="H6679" i="1"/>
  <c r="G6679" i="1"/>
  <c r="E6679" i="1"/>
  <c r="B6679" i="1"/>
  <c r="A6679" i="1"/>
  <c r="H6678" i="1"/>
  <c r="G6678" i="1"/>
  <c r="E6678" i="1"/>
  <c r="B6678" i="1"/>
  <c r="A6678" i="1"/>
  <c r="H6677" i="1"/>
  <c r="G6677" i="1"/>
  <c r="E6677" i="1"/>
  <c r="B6677" i="1"/>
  <c r="A6677" i="1"/>
  <c r="H6676" i="1"/>
  <c r="G6676" i="1"/>
  <c r="E6676" i="1"/>
  <c r="B6676" i="1"/>
  <c r="A6676" i="1"/>
  <c r="H6675" i="1"/>
  <c r="G6675" i="1"/>
  <c r="E6675" i="1"/>
  <c r="B6675" i="1"/>
  <c r="A6675" i="1"/>
  <c r="H6674" i="1"/>
  <c r="G6674" i="1"/>
  <c r="E6674" i="1"/>
  <c r="B6674" i="1"/>
  <c r="A6674" i="1"/>
  <c r="H6673" i="1"/>
  <c r="G6673" i="1"/>
  <c r="E6673" i="1"/>
  <c r="B6673" i="1"/>
  <c r="A6673" i="1"/>
  <c r="H6672" i="1"/>
  <c r="G6672" i="1"/>
  <c r="E6672" i="1"/>
  <c r="B6672" i="1"/>
  <c r="A6672" i="1"/>
  <c r="H6671" i="1"/>
  <c r="G6671" i="1"/>
  <c r="E6671" i="1"/>
  <c r="B6671" i="1"/>
  <c r="A6671" i="1"/>
  <c r="H6670" i="1"/>
  <c r="G6670" i="1"/>
  <c r="E6670" i="1"/>
  <c r="B6670" i="1"/>
  <c r="A6670" i="1"/>
  <c r="H6669" i="1"/>
  <c r="G6669" i="1"/>
  <c r="E6669" i="1"/>
  <c r="B6669" i="1"/>
  <c r="A6669" i="1"/>
  <c r="H6668" i="1"/>
  <c r="G6668" i="1"/>
  <c r="E6668" i="1"/>
  <c r="B6668" i="1"/>
  <c r="A6668" i="1"/>
  <c r="H6667" i="1"/>
  <c r="G6667" i="1"/>
  <c r="E6667" i="1"/>
  <c r="B6667" i="1"/>
  <c r="A6667" i="1"/>
  <c r="H6666" i="1"/>
  <c r="G6666" i="1"/>
  <c r="E6666" i="1"/>
  <c r="B6666" i="1"/>
  <c r="A6666" i="1"/>
  <c r="H6665" i="1"/>
  <c r="G6665" i="1"/>
  <c r="E6665" i="1"/>
  <c r="B6665" i="1"/>
  <c r="A6665" i="1"/>
  <c r="H6664" i="1"/>
  <c r="G6664" i="1"/>
  <c r="E6664" i="1"/>
  <c r="B6664" i="1"/>
  <c r="A6664" i="1"/>
  <c r="H6663" i="1"/>
  <c r="G6663" i="1"/>
  <c r="E6663" i="1"/>
  <c r="B6663" i="1"/>
  <c r="A6663" i="1"/>
  <c r="H6662" i="1"/>
  <c r="G6662" i="1"/>
  <c r="E6662" i="1"/>
  <c r="B6662" i="1"/>
  <c r="A6662" i="1"/>
  <c r="H6661" i="1"/>
  <c r="G6661" i="1"/>
  <c r="E6661" i="1"/>
  <c r="B6661" i="1"/>
  <c r="A6661" i="1"/>
  <c r="H6660" i="1"/>
  <c r="G6660" i="1"/>
  <c r="E6660" i="1"/>
  <c r="B6660" i="1"/>
  <c r="A6660" i="1"/>
  <c r="H6659" i="1"/>
  <c r="G6659" i="1"/>
  <c r="E6659" i="1"/>
  <c r="B6659" i="1"/>
  <c r="A6659" i="1"/>
  <c r="H6658" i="1"/>
  <c r="G6658" i="1"/>
  <c r="E6658" i="1"/>
  <c r="B6658" i="1"/>
  <c r="A6658" i="1"/>
  <c r="H6657" i="1"/>
  <c r="G6657" i="1"/>
  <c r="E6657" i="1"/>
  <c r="B6657" i="1"/>
  <c r="A6657" i="1"/>
  <c r="H6656" i="1"/>
  <c r="G6656" i="1"/>
  <c r="E6656" i="1"/>
  <c r="B6656" i="1"/>
  <c r="A6656" i="1"/>
  <c r="H6655" i="1"/>
  <c r="G6655" i="1"/>
  <c r="E6655" i="1"/>
  <c r="B6655" i="1"/>
  <c r="A6655" i="1"/>
  <c r="H6654" i="1"/>
  <c r="G6654" i="1"/>
  <c r="E6654" i="1"/>
  <c r="B6654" i="1"/>
  <c r="A6654" i="1"/>
  <c r="H6653" i="1"/>
  <c r="G6653" i="1"/>
  <c r="E6653" i="1"/>
  <c r="B6653" i="1"/>
  <c r="A6653" i="1"/>
  <c r="H6652" i="1"/>
  <c r="G6652" i="1"/>
  <c r="E6652" i="1"/>
  <c r="B6652" i="1"/>
  <c r="A6652" i="1"/>
  <c r="H6651" i="1"/>
  <c r="G6651" i="1"/>
  <c r="E6651" i="1"/>
  <c r="B6651" i="1"/>
  <c r="A6651" i="1"/>
  <c r="H6650" i="1"/>
  <c r="G6650" i="1"/>
  <c r="E6650" i="1"/>
  <c r="B6650" i="1"/>
  <c r="A6650" i="1"/>
  <c r="H6649" i="1"/>
  <c r="G6649" i="1"/>
  <c r="E6649" i="1"/>
  <c r="B6649" i="1"/>
  <c r="A6649" i="1"/>
  <c r="H6648" i="1"/>
  <c r="G6648" i="1"/>
  <c r="E6648" i="1"/>
  <c r="B6648" i="1"/>
  <c r="A6648" i="1"/>
  <c r="H6647" i="1"/>
  <c r="G6647" i="1"/>
  <c r="E6647" i="1"/>
  <c r="B6647" i="1"/>
  <c r="A6647" i="1"/>
  <c r="H6646" i="1"/>
  <c r="G6646" i="1"/>
  <c r="E6646" i="1"/>
  <c r="B6646" i="1"/>
  <c r="A6646" i="1"/>
  <c r="H6645" i="1"/>
  <c r="G6645" i="1"/>
  <c r="E6645" i="1"/>
  <c r="B6645" i="1"/>
  <c r="A6645" i="1"/>
  <c r="H6644" i="1"/>
  <c r="G6644" i="1"/>
  <c r="E6644" i="1"/>
  <c r="B6644" i="1"/>
  <c r="A6644" i="1"/>
  <c r="H6643" i="1"/>
  <c r="G6643" i="1"/>
  <c r="E6643" i="1"/>
  <c r="B6643" i="1"/>
  <c r="A6643" i="1"/>
  <c r="H6642" i="1"/>
  <c r="G6642" i="1"/>
  <c r="E6642" i="1"/>
  <c r="B6642" i="1"/>
  <c r="A6642" i="1"/>
  <c r="H6641" i="1"/>
  <c r="G6641" i="1"/>
  <c r="E6641" i="1"/>
  <c r="B6641" i="1"/>
  <c r="A6641" i="1"/>
  <c r="H6640" i="1"/>
  <c r="G6640" i="1"/>
  <c r="E6640" i="1"/>
  <c r="B6640" i="1"/>
  <c r="A6640" i="1"/>
  <c r="H6639" i="1"/>
  <c r="G6639" i="1"/>
  <c r="E6639" i="1"/>
  <c r="B6639" i="1"/>
  <c r="A6639" i="1"/>
  <c r="H6638" i="1"/>
  <c r="G6638" i="1"/>
  <c r="E6638" i="1"/>
  <c r="B6638" i="1"/>
  <c r="A6638" i="1"/>
  <c r="H6637" i="1"/>
  <c r="G6637" i="1"/>
  <c r="E6637" i="1"/>
  <c r="B6637" i="1"/>
  <c r="A6637" i="1"/>
  <c r="H6636" i="1"/>
  <c r="G6636" i="1"/>
  <c r="E6636" i="1"/>
  <c r="B6636" i="1"/>
  <c r="A6636" i="1"/>
  <c r="H6635" i="1"/>
  <c r="G6635" i="1"/>
  <c r="E6635" i="1"/>
  <c r="B6635" i="1"/>
  <c r="A6635" i="1"/>
  <c r="H6634" i="1"/>
  <c r="G6634" i="1"/>
  <c r="E6634" i="1"/>
  <c r="B6634" i="1"/>
  <c r="A6634" i="1"/>
  <c r="H6633" i="1"/>
  <c r="G6633" i="1"/>
  <c r="E6633" i="1"/>
  <c r="B6633" i="1"/>
  <c r="A6633" i="1"/>
  <c r="H6632" i="1"/>
  <c r="G6632" i="1"/>
  <c r="E6632" i="1"/>
  <c r="B6632" i="1"/>
  <c r="A6632" i="1"/>
  <c r="H6631" i="1"/>
  <c r="G6631" i="1"/>
  <c r="E6631" i="1"/>
  <c r="B6631" i="1"/>
  <c r="A6631" i="1"/>
  <c r="H6630" i="1"/>
  <c r="G6630" i="1"/>
  <c r="E6630" i="1"/>
  <c r="B6630" i="1"/>
  <c r="A6630" i="1"/>
  <c r="H6629" i="1"/>
  <c r="G6629" i="1"/>
  <c r="E6629" i="1"/>
  <c r="B6629" i="1"/>
  <c r="A6629" i="1"/>
  <c r="H6628" i="1"/>
  <c r="G6628" i="1"/>
  <c r="E6628" i="1"/>
  <c r="B6628" i="1"/>
  <c r="A6628" i="1"/>
  <c r="H6627" i="1"/>
  <c r="G6627" i="1"/>
  <c r="E6627" i="1"/>
  <c r="B6627" i="1"/>
  <c r="A6627" i="1"/>
  <c r="H6626" i="1"/>
  <c r="G6626" i="1"/>
  <c r="E6626" i="1"/>
  <c r="B6626" i="1"/>
  <c r="A6626" i="1"/>
  <c r="H6625" i="1"/>
  <c r="G6625" i="1"/>
  <c r="E6625" i="1"/>
  <c r="B6625" i="1"/>
  <c r="A6625" i="1"/>
  <c r="H6624" i="1"/>
  <c r="G6624" i="1"/>
  <c r="E6624" i="1"/>
  <c r="B6624" i="1"/>
  <c r="A6624" i="1"/>
  <c r="H6623" i="1"/>
  <c r="G6623" i="1"/>
  <c r="E6623" i="1"/>
  <c r="B6623" i="1"/>
  <c r="A6623" i="1"/>
  <c r="H6622" i="1"/>
  <c r="G6622" i="1"/>
  <c r="E6622" i="1"/>
  <c r="B6622" i="1"/>
  <c r="A6622" i="1"/>
  <c r="H6621" i="1"/>
  <c r="G6621" i="1"/>
  <c r="E6621" i="1"/>
  <c r="B6621" i="1"/>
  <c r="A6621" i="1"/>
  <c r="H6620" i="1"/>
  <c r="G6620" i="1"/>
  <c r="E6620" i="1"/>
  <c r="B6620" i="1"/>
  <c r="A6620" i="1"/>
  <c r="H6619" i="1"/>
  <c r="G6619" i="1"/>
  <c r="E6619" i="1"/>
  <c r="B6619" i="1"/>
  <c r="A6619" i="1"/>
  <c r="H6618" i="1"/>
  <c r="G6618" i="1"/>
  <c r="E6618" i="1"/>
  <c r="B6618" i="1"/>
  <c r="A6618" i="1"/>
  <c r="H6617" i="1"/>
  <c r="G6617" i="1"/>
  <c r="E6617" i="1"/>
  <c r="B6617" i="1"/>
  <c r="A6617" i="1"/>
  <c r="H6616" i="1"/>
  <c r="G6616" i="1"/>
  <c r="E6616" i="1"/>
  <c r="B6616" i="1"/>
  <c r="A6616" i="1"/>
  <c r="H6615" i="1"/>
  <c r="G6615" i="1"/>
  <c r="E6615" i="1"/>
  <c r="B6615" i="1"/>
  <c r="A6615" i="1"/>
  <c r="H6614" i="1"/>
  <c r="G6614" i="1"/>
  <c r="E6614" i="1"/>
  <c r="B6614" i="1"/>
  <c r="A6614" i="1"/>
  <c r="H6613" i="1"/>
  <c r="G6613" i="1"/>
  <c r="E6613" i="1"/>
  <c r="B6613" i="1"/>
  <c r="A6613" i="1"/>
  <c r="H6612" i="1"/>
  <c r="G6612" i="1"/>
  <c r="E6612" i="1"/>
  <c r="B6612" i="1"/>
  <c r="A6612" i="1"/>
  <c r="H6611" i="1"/>
  <c r="G6611" i="1"/>
  <c r="E6611" i="1"/>
  <c r="B6611" i="1"/>
  <c r="A6611" i="1"/>
  <c r="H6610" i="1"/>
  <c r="G6610" i="1"/>
  <c r="E6610" i="1"/>
  <c r="B6610" i="1"/>
  <c r="A6610" i="1"/>
  <c r="H6609" i="1"/>
  <c r="G6609" i="1"/>
  <c r="E6609" i="1"/>
  <c r="B6609" i="1"/>
  <c r="A6609" i="1"/>
  <c r="H6608" i="1"/>
  <c r="G6608" i="1"/>
  <c r="E6608" i="1"/>
  <c r="B6608" i="1"/>
  <c r="A6608" i="1"/>
  <c r="H6607" i="1"/>
  <c r="G6607" i="1"/>
  <c r="E6607" i="1"/>
  <c r="B6607" i="1"/>
  <c r="A6607" i="1"/>
  <c r="H6606" i="1"/>
  <c r="G6606" i="1"/>
  <c r="E6606" i="1"/>
  <c r="B6606" i="1"/>
  <c r="A6606" i="1"/>
  <c r="H6605" i="1"/>
  <c r="G6605" i="1"/>
  <c r="E6605" i="1"/>
  <c r="B6605" i="1"/>
  <c r="A6605" i="1"/>
  <c r="H6604" i="1"/>
  <c r="G6604" i="1"/>
  <c r="E6604" i="1"/>
  <c r="B6604" i="1"/>
  <c r="A6604" i="1"/>
  <c r="H6603" i="1"/>
  <c r="G6603" i="1"/>
  <c r="E6603" i="1"/>
  <c r="B6603" i="1"/>
  <c r="A6603" i="1"/>
  <c r="H6602" i="1"/>
  <c r="G6602" i="1"/>
  <c r="E6602" i="1"/>
  <c r="B6602" i="1"/>
  <c r="A6602" i="1"/>
  <c r="H6601" i="1"/>
  <c r="G6601" i="1"/>
  <c r="E6601" i="1"/>
  <c r="B6601" i="1"/>
  <c r="A6601" i="1"/>
  <c r="H6600" i="1"/>
  <c r="G6600" i="1"/>
  <c r="E6600" i="1"/>
  <c r="B6600" i="1"/>
  <c r="A6600" i="1"/>
  <c r="H6599" i="1"/>
  <c r="G6599" i="1"/>
  <c r="E6599" i="1"/>
  <c r="B6599" i="1"/>
  <c r="A6599" i="1"/>
  <c r="H6598" i="1"/>
  <c r="G6598" i="1"/>
  <c r="E6598" i="1"/>
  <c r="B6598" i="1"/>
  <c r="A6598" i="1"/>
  <c r="H6597" i="1"/>
  <c r="G6597" i="1"/>
  <c r="E6597" i="1"/>
  <c r="B6597" i="1"/>
  <c r="A6597" i="1"/>
  <c r="H6596" i="1"/>
  <c r="G6596" i="1"/>
  <c r="E6596" i="1"/>
  <c r="B6596" i="1"/>
  <c r="A6596" i="1"/>
  <c r="H6595" i="1"/>
  <c r="G6595" i="1"/>
  <c r="E6595" i="1"/>
  <c r="B6595" i="1"/>
  <c r="A6595" i="1"/>
  <c r="H6594" i="1"/>
  <c r="G6594" i="1"/>
  <c r="E6594" i="1"/>
  <c r="B6594" i="1"/>
  <c r="A6594" i="1"/>
  <c r="H6593" i="1"/>
  <c r="G6593" i="1"/>
  <c r="E6593" i="1"/>
  <c r="B6593" i="1"/>
  <c r="A6593" i="1"/>
  <c r="H6592" i="1"/>
  <c r="G6592" i="1"/>
  <c r="E6592" i="1"/>
  <c r="B6592" i="1"/>
  <c r="A6592" i="1"/>
  <c r="H6591" i="1"/>
  <c r="G6591" i="1"/>
  <c r="E6591" i="1"/>
  <c r="B6591" i="1"/>
  <c r="A6591" i="1"/>
  <c r="H6590" i="1"/>
  <c r="G6590" i="1"/>
  <c r="E6590" i="1"/>
  <c r="B6590" i="1"/>
  <c r="A6590" i="1"/>
  <c r="H6589" i="1"/>
  <c r="G6589" i="1"/>
  <c r="E6589" i="1"/>
  <c r="B6589" i="1"/>
  <c r="A6589" i="1"/>
  <c r="H6588" i="1"/>
  <c r="G6588" i="1"/>
  <c r="E6588" i="1"/>
  <c r="B6588" i="1"/>
  <c r="A6588" i="1"/>
  <c r="H6587" i="1"/>
  <c r="G6587" i="1"/>
  <c r="E6587" i="1"/>
  <c r="B6587" i="1"/>
  <c r="A6587" i="1"/>
  <c r="H6586" i="1"/>
  <c r="G6586" i="1"/>
  <c r="E6586" i="1"/>
  <c r="B6586" i="1"/>
  <c r="A6586" i="1"/>
  <c r="H6585" i="1"/>
  <c r="G6585" i="1"/>
  <c r="E6585" i="1"/>
  <c r="B6585" i="1"/>
  <c r="A6585" i="1"/>
  <c r="H6584" i="1"/>
  <c r="G6584" i="1"/>
  <c r="E6584" i="1"/>
  <c r="B6584" i="1"/>
  <c r="A6584" i="1"/>
  <c r="H6583" i="1"/>
  <c r="G6583" i="1"/>
  <c r="E6583" i="1"/>
  <c r="B6583" i="1"/>
  <c r="A6583" i="1"/>
  <c r="H6582" i="1"/>
  <c r="G6582" i="1"/>
  <c r="E6582" i="1"/>
  <c r="B6582" i="1"/>
  <c r="A6582" i="1"/>
  <c r="H6581" i="1"/>
  <c r="G6581" i="1"/>
  <c r="E6581" i="1"/>
  <c r="B6581" i="1"/>
  <c r="A6581" i="1"/>
  <c r="H6580" i="1"/>
  <c r="G6580" i="1"/>
  <c r="E6580" i="1"/>
  <c r="B6580" i="1"/>
  <c r="A6580" i="1"/>
  <c r="H6579" i="1"/>
  <c r="G6579" i="1"/>
  <c r="E6579" i="1"/>
  <c r="B6579" i="1"/>
  <c r="A6579" i="1"/>
  <c r="H6578" i="1"/>
  <c r="G6578" i="1"/>
  <c r="E6578" i="1"/>
  <c r="B6578" i="1"/>
  <c r="A6578" i="1"/>
  <c r="H6577" i="1"/>
  <c r="G6577" i="1"/>
  <c r="E6577" i="1"/>
  <c r="B6577" i="1"/>
  <c r="A6577" i="1"/>
  <c r="H6576" i="1"/>
  <c r="G6576" i="1"/>
  <c r="E6576" i="1"/>
  <c r="B6576" i="1"/>
  <c r="A6576" i="1"/>
  <c r="H6575" i="1"/>
  <c r="G6575" i="1"/>
  <c r="E6575" i="1"/>
  <c r="B6575" i="1"/>
  <c r="A6575" i="1"/>
  <c r="H6574" i="1"/>
  <c r="G6574" i="1"/>
  <c r="E6574" i="1"/>
  <c r="B6574" i="1"/>
  <c r="A6574" i="1"/>
  <c r="H6573" i="1"/>
  <c r="G6573" i="1"/>
  <c r="E6573" i="1"/>
  <c r="B6573" i="1"/>
  <c r="A6573" i="1"/>
  <c r="H6572" i="1"/>
  <c r="G6572" i="1"/>
  <c r="E6572" i="1"/>
  <c r="B6572" i="1"/>
  <c r="A6572" i="1"/>
  <c r="H6571" i="1"/>
  <c r="G6571" i="1"/>
  <c r="E6571" i="1"/>
  <c r="B6571" i="1"/>
  <c r="A6571" i="1"/>
  <c r="H6570" i="1"/>
  <c r="G6570" i="1"/>
  <c r="E6570" i="1"/>
  <c r="B6570" i="1"/>
  <c r="A6570" i="1"/>
  <c r="H6569" i="1"/>
  <c r="G6569" i="1"/>
  <c r="E6569" i="1"/>
  <c r="B6569" i="1"/>
  <c r="A6569" i="1"/>
  <c r="H6568" i="1"/>
  <c r="G6568" i="1"/>
  <c r="E6568" i="1"/>
  <c r="B6568" i="1"/>
  <c r="A6568" i="1"/>
  <c r="H6567" i="1"/>
  <c r="G6567" i="1"/>
  <c r="E6567" i="1"/>
  <c r="B6567" i="1"/>
  <c r="A6567" i="1"/>
  <c r="H6566" i="1"/>
  <c r="G6566" i="1"/>
  <c r="E6566" i="1"/>
  <c r="B6566" i="1"/>
  <c r="A6566" i="1"/>
  <c r="H6565" i="1"/>
  <c r="G6565" i="1"/>
  <c r="E6565" i="1"/>
  <c r="B6565" i="1"/>
  <c r="A6565" i="1"/>
  <c r="H6564" i="1"/>
  <c r="G6564" i="1"/>
  <c r="E6564" i="1"/>
  <c r="B6564" i="1"/>
  <c r="A6564" i="1"/>
  <c r="H6563" i="1"/>
  <c r="G6563" i="1"/>
  <c r="E6563" i="1"/>
  <c r="B6563" i="1"/>
  <c r="A6563" i="1"/>
  <c r="H6562" i="1"/>
  <c r="G6562" i="1"/>
  <c r="E6562" i="1"/>
  <c r="B6562" i="1"/>
  <c r="A6562" i="1"/>
  <c r="H6561" i="1"/>
  <c r="G6561" i="1"/>
  <c r="E6561" i="1"/>
  <c r="B6561" i="1"/>
  <c r="A6561" i="1"/>
  <c r="H6560" i="1"/>
  <c r="G6560" i="1"/>
  <c r="E6560" i="1"/>
  <c r="B6560" i="1"/>
  <c r="A6560" i="1"/>
  <c r="H6559" i="1"/>
  <c r="G6559" i="1"/>
  <c r="E6559" i="1"/>
  <c r="B6559" i="1"/>
  <c r="A6559" i="1"/>
  <c r="H6558" i="1"/>
  <c r="G6558" i="1"/>
  <c r="E6558" i="1"/>
  <c r="B6558" i="1"/>
  <c r="A6558" i="1"/>
  <c r="H6557" i="1"/>
  <c r="G6557" i="1"/>
  <c r="E6557" i="1"/>
  <c r="B6557" i="1"/>
  <c r="A6557" i="1"/>
  <c r="H6556" i="1"/>
  <c r="G6556" i="1"/>
  <c r="E6556" i="1"/>
  <c r="B6556" i="1"/>
  <c r="A6556" i="1"/>
  <c r="H6555" i="1"/>
  <c r="G6555" i="1"/>
  <c r="E6555" i="1"/>
  <c r="B6555" i="1"/>
  <c r="A6555" i="1"/>
  <c r="H6554" i="1"/>
  <c r="G6554" i="1"/>
  <c r="E6554" i="1"/>
  <c r="B6554" i="1"/>
  <c r="A6554" i="1"/>
  <c r="H6553" i="1"/>
  <c r="G6553" i="1"/>
  <c r="E6553" i="1"/>
  <c r="B6553" i="1"/>
  <c r="A6553" i="1"/>
  <c r="H6552" i="1"/>
  <c r="G6552" i="1"/>
  <c r="E6552" i="1"/>
  <c r="B6552" i="1"/>
  <c r="A6552" i="1"/>
  <c r="H6551" i="1"/>
  <c r="G6551" i="1"/>
  <c r="E6551" i="1"/>
  <c r="B6551" i="1"/>
  <c r="A6551" i="1"/>
  <c r="H6550" i="1"/>
  <c r="G6550" i="1"/>
  <c r="E6550" i="1"/>
  <c r="B6550" i="1"/>
  <c r="A6550" i="1"/>
  <c r="H6549" i="1"/>
  <c r="G6549" i="1"/>
  <c r="E6549" i="1"/>
  <c r="B6549" i="1"/>
  <c r="A6549" i="1"/>
  <c r="H6548" i="1"/>
  <c r="G6548" i="1"/>
  <c r="E6548" i="1"/>
  <c r="B6548" i="1"/>
  <c r="A6548" i="1"/>
  <c r="H6547" i="1"/>
  <c r="G6547" i="1"/>
  <c r="E6547" i="1"/>
  <c r="B6547" i="1"/>
  <c r="A6547" i="1"/>
  <c r="H6546" i="1"/>
  <c r="G6546" i="1"/>
  <c r="E6546" i="1"/>
  <c r="B6546" i="1"/>
  <c r="A6546" i="1"/>
  <c r="H6545" i="1"/>
  <c r="G6545" i="1"/>
  <c r="E6545" i="1"/>
  <c r="B6545" i="1"/>
  <c r="A6545" i="1"/>
  <c r="H6544" i="1"/>
  <c r="G6544" i="1"/>
  <c r="E6544" i="1"/>
  <c r="B6544" i="1"/>
  <c r="A6544" i="1"/>
  <c r="H6543" i="1"/>
  <c r="G6543" i="1"/>
  <c r="E6543" i="1"/>
  <c r="B6543" i="1"/>
  <c r="A6543" i="1"/>
  <c r="H6542" i="1"/>
  <c r="G6542" i="1"/>
  <c r="E6542" i="1"/>
  <c r="B6542" i="1"/>
  <c r="A6542" i="1"/>
  <c r="H6541" i="1"/>
  <c r="G6541" i="1"/>
  <c r="E6541" i="1"/>
  <c r="B6541" i="1"/>
  <c r="A6541" i="1"/>
  <c r="H6540" i="1"/>
  <c r="G6540" i="1"/>
  <c r="E6540" i="1"/>
  <c r="B6540" i="1"/>
  <c r="A6540" i="1"/>
  <c r="H6539" i="1"/>
  <c r="G6539" i="1"/>
  <c r="E6539" i="1"/>
  <c r="B6539" i="1"/>
  <c r="A6539" i="1"/>
  <c r="H6538" i="1"/>
  <c r="G6538" i="1"/>
  <c r="E6538" i="1"/>
  <c r="B6538" i="1"/>
  <c r="A6538" i="1"/>
  <c r="H6537" i="1"/>
  <c r="G6537" i="1"/>
  <c r="E6537" i="1"/>
  <c r="B6537" i="1"/>
  <c r="A6537" i="1"/>
  <c r="H6536" i="1"/>
  <c r="G6536" i="1"/>
  <c r="E6536" i="1"/>
  <c r="B6536" i="1"/>
  <c r="A6536" i="1"/>
  <c r="H6535" i="1"/>
  <c r="G6535" i="1"/>
  <c r="E6535" i="1"/>
  <c r="B6535" i="1"/>
  <c r="A6535" i="1"/>
  <c r="H6534" i="1"/>
  <c r="G6534" i="1"/>
  <c r="E6534" i="1"/>
  <c r="B6534" i="1"/>
  <c r="A6534" i="1"/>
  <c r="H6533" i="1"/>
  <c r="G6533" i="1"/>
  <c r="E6533" i="1"/>
  <c r="B6533" i="1"/>
  <c r="A6533" i="1"/>
  <c r="H6532" i="1"/>
  <c r="G6532" i="1"/>
  <c r="E6532" i="1"/>
  <c r="B6532" i="1"/>
  <c r="A6532" i="1"/>
  <c r="H6531" i="1"/>
  <c r="G6531" i="1"/>
  <c r="E6531" i="1"/>
  <c r="B6531" i="1"/>
  <c r="A6531" i="1"/>
  <c r="H6530" i="1"/>
  <c r="G6530" i="1"/>
  <c r="E6530" i="1"/>
  <c r="B6530" i="1"/>
  <c r="A6530" i="1"/>
  <c r="H6529" i="1"/>
  <c r="G6529" i="1"/>
  <c r="E6529" i="1"/>
  <c r="B6529" i="1"/>
  <c r="A6529" i="1"/>
  <c r="H6528" i="1"/>
  <c r="G6528" i="1"/>
  <c r="E6528" i="1"/>
  <c r="B6528" i="1"/>
  <c r="A6528" i="1"/>
  <c r="H6527" i="1"/>
  <c r="G6527" i="1"/>
  <c r="E6527" i="1"/>
  <c r="B6527" i="1"/>
  <c r="A6527" i="1"/>
  <c r="H6526" i="1"/>
  <c r="G6526" i="1"/>
  <c r="E6526" i="1"/>
  <c r="B6526" i="1"/>
  <c r="A6526" i="1"/>
  <c r="H6525" i="1"/>
  <c r="G6525" i="1"/>
  <c r="E6525" i="1"/>
  <c r="B6525" i="1"/>
  <c r="A6525" i="1"/>
  <c r="H6524" i="1"/>
  <c r="G6524" i="1"/>
  <c r="E6524" i="1"/>
  <c r="B6524" i="1"/>
  <c r="A6524" i="1"/>
  <c r="H6523" i="1"/>
  <c r="G6523" i="1"/>
  <c r="E6523" i="1"/>
  <c r="B6523" i="1"/>
  <c r="A6523" i="1"/>
  <c r="H6522" i="1"/>
  <c r="G6522" i="1"/>
  <c r="E6522" i="1"/>
  <c r="B6522" i="1"/>
  <c r="A6522" i="1"/>
  <c r="H6521" i="1"/>
  <c r="G6521" i="1"/>
  <c r="E6521" i="1"/>
  <c r="B6521" i="1"/>
  <c r="A6521" i="1"/>
  <c r="H6520" i="1"/>
  <c r="G6520" i="1"/>
  <c r="E6520" i="1"/>
  <c r="B6520" i="1"/>
  <c r="A6520" i="1"/>
  <c r="H6519" i="1"/>
  <c r="G6519" i="1"/>
  <c r="E6519" i="1"/>
  <c r="B6519" i="1"/>
  <c r="A6519" i="1"/>
  <c r="H6518" i="1"/>
  <c r="G6518" i="1"/>
  <c r="E6518" i="1"/>
  <c r="B6518" i="1"/>
  <c r="A6518" i="1"/>
  <c r="H6517" i="1"/>
  <c r="G6517" i="1"/>
  <c r="E6517" i="1"/>
  <c r="B6517" i="1"/>
  <c r="A6517" i="1"/>
  <c r="H6516" i="1"/>
  <c r="G6516" i="1"/>
  <c r="E6516" i="1"/>
  <c r="B6516" i="1"/>
  <c r="A6516" i="1"/>
  <c r="H6515" i="1"/>
  <c r="G6515" i="1"/>
  <c r="E6515" i="1"/>
  <c r="B6515" i="1"/>
  <c r="A6515" i="1"/>
  <c r="H6514" i="1"/>
  <c r="G6514" i="1"/>
  <c r="E6514" i="1"/>
  <c r="B6514" i="1"/>
  <c r="A6514" i="1"/>
  <c r="H6513" i="1"/>
  <c r="G6513" i="1"/>
  <c r="E6513" i="1"/>
  <c r="B6513" i="1"/>
  <c r="A6513" i="1"/>
  <c r="H6512" i="1"/>
  <c r="G6512" i="1"/>
  <c r="E6512" i="1"/>
  <c r="B6512" i="1"/>
  <c r="A6512" i="1"/>
  <c r="H6511" i="1"/>
  <c r="G6511" i="1"/>
  <c r="E6511" i="1"/>
  <c r="B6511" i="1"/>
  <c r="A6511" i="1"/>
  <c r="H6510" i="1"/>
  <c r="G6510" i="1"/>
  <c r="E6510" i="1"/>
  <c r="B6510" i="1"/>
  <c r="A6510" i="1"/>
  <c r="H6509" i="1"/>
  <c r="G6509" i="1"/>
  <c r="E6509" i="1"/>
  <c r="B6509" i="1"/>
  <c r="A6509" i="1"/>
  <c r="H6508" i="1"/>
  <c r="G6508" i="1"/>
  <c r="E6508" i="1"/>
  <c r="B6508" i="1"/>
  <c r="A6508" i="1"/>
  <c r="H6507" i="1"/>
  <c r="G6507" i="1"/>
  <c r="E6507" i="1"/>
  <c r="B6507" i="1"/>
  <c r="A6507" i="1"/>
  <c r="H6506" i="1"/>
  <c r="G6506" i="1"/>
  <c r="E6506" i="1"/>
  <c r="B6506" i="1"/>
  <c r="A6506" i="1"/>
  <c r="H6505" i="1"/>
  <c r="G6505" i="1"/>
  <c r="E6505" i="1"/>
  <c r="B6505" i="1"/>
  <c r="A6505" i="1"/>
  <c r="H6504" i="1"/>
  <c r="G6504" i="1"/>
  <c r="E6504" i="1"/>
  <c r="B6504" i="1"/>
  <c r="A6504" i="1"/>
  <c r="H6503" i="1"/>
  <c r="G6503" i="1"/>
  <c r="E6503" i="1"/>
  <c r="B6503" i="1"/>
  <c r="A6503" i="1"/>
  <c r="H6502" i="1"/>
  <c r="G6502" i="1"/>
  <c r="E6502" i="1"/>
  <c r="B6502" i="1"/>
  <c r="A6502" i="1"/>
  <c r="H6501" i="1"/>
  <c r="G6501" i="1"/>
  <c r="E6501" i="1"/>
  <c r="B6501" i="1"/>
  <c r="A6501" i="1"/>
  <c r="H6500" i="1"/>
  <c r="G6500" i="1"/>
  <c r="E6500" i="1"/>
  <c r="B6500" i="1"/>
  <c r="A6500" i="1"/>
  <c r="H6499" i="1"/>
  <c r="G6499" i="1"/>
  <c r="E6499" i="1"/>
  <c r="B6499" i="1"/>
  <c r="A6499" i="1"/>
  <c r="H6498" i="1"/>
  <c r="G6498" i="1"/>
  <c r="E6498" i="1"/>
  <c r="B6498" i="1"/>
  <c r="A6498" i="1"/>
  <c r="H6497" i="1"/>
  <c r="G6497" i="1"/>
  <c r="E6497" i="1"/>
  <c r="B6497" i="1"/>
  <c r="A6497" i="1"/>
  <c r="H6496" i="1"/>
  <c r="G6496" i="1"/>
  <c r="E6496" i="1"/>
  <c r="B6496" i="1"/>
  <c r="A6496" i="1"/>
  <c r="H6495" i="1"/>
  <c r="G6495" i="1"/>
  <c r="E6495" i="1"/>
  <c r="B6495" i="1"/>
  <c r="A6495" i="1"/>
  <c r="H6494" i="1"/>
  <c r="G6494" i="1"/>
  <c r="E6494" i="1"/>
  <c r="B6494" i="1"/>
  <c r="A6494" i="1"/>
  <c r="H6493" i="1"/>
  <c r="G6493" i="1"/>
  <c r="E6493" i="1"/>
  <c r="B6493" i="1"/>
  <c r="A6493" i="1"/>
  <c r="H6492" i="1"/>
  <c r="G6492" i="1"/>
  <c r="E6492" i="1"/>
  <c r="B6492" i="1"/>
  <c r="A6492" i="1"/>
  <c r="H6491" i="1"/>
  <c r="G6491" i="1"/>
  <c r="E6491" i="1"/>
  <c r="B6491" i="1"/>
  <c r="A6491" i="1"/>
  <c r="H6490" i="1"/>
  <c r="G6490" i="1"/>
  <c r="E6490" i="1"/>
  <c r="B6490" i="1"/>
  <c r="A6490" i="1"/>
  <c r="H6489" i="1"/>
  <c r="G6489" i="1"/>
  <c r="E6489" i="1"/>
  <c r="B6489" i="1"/>
  <c r="A6489" i="1"/>
  <c r="H6488" i="1"/>
  <c r="G6488" i="1"/>
  <c r="E6488" i="1"/>
  <c r="B6488" i="1"/>
  <c r="A6488" i="1"/>
  <c r="H6487" i="1"/>
  <c r="G6487" i="1"/>
  <c r="E6487" i="1"/>
  <c r="B6487" i="1"/>
  <c r="A6487" i="1"/>
  <c r="H6486" i="1"/>
  <c r="G6486" i="1"/>
  <c r="E6486" i="1"/>
  <c r="B6486" i="1"/>
  <c r="A6486" i="1"/>
  <c r="H6485" i="1"/>
  <c r="G6485" i="1"/>
  <c r="E6485" i="1"/>
  <c r="B6485" i="1"/>
  <c r="A6485" i="1"/>
  <c r="H6484" i="1"/>
  <c r="G6484" i="1"/>
  <c r="E6484" i="1"/>
  <c r="B6484" i="1"/>
  <c r="A6484" i="1"/>
  <c r="H6483" i="1"/>
  <c r="G6483" i="1"/>
  <c r="E6483" i="1"/>
  <c r="B6483" i="1"/>
  <c r="A6483" i="1"/>
  <c r="H6482" i="1"/>
  <c r="G6482" i="1"/>
  <c r="E6482" i="1"/>
  <c r="B6482" i="1"/>
  <c r="A6482" i="1"/>
  <c r="H6481" i="1"/>
  <c r="G6481" i="1"/>
  <c r="E6481" i="1"/>
  <c r="B6481" i="1"/>
  <c r="A6481" i="1"/>
  <c r="H6480" i="1"/>
  <c r="G6480" i="1"/>
  <c r="E6480" i="1"/>
  <c r="B6480" i="1"/>
  <c r="A6480" i="1"/>
  <c r="H6479" i="1"/>
  <c r="G6479" i="1"/>
  <c r="E6479" i="1"/>
  <c r="B6479" i="1"/>
  <c r="A6479" i="1"/>
  <c r="H6478" i="1"/>
  <c r="G6478" i="1"/>
  <c r="E6478" i="1"/>
  <c r="B6478" i="1"/>
  <c r="A6478" i="1"/>
  <c r="H6477" i="1"/>
  <c r="G6477" i="1"/>
  <c r="E6477" i="1"/>
  <c r="B6477" i="1"/>
  <c r="A6477" i="1"/>
  <c r="H6476" i="1"/>
  <c r="G6476" i="1"/>
  <c r="E6476" i="1"/>
  <c r="B6476" i="1"/>
  <c r="A6476" i="1"/>
  <c r="H6475" i="1"/>
  <c r="G6475" i="1"/>
  <c r="E6475" i="1"/>
  <c r="B6475" i="1"/>
  <c r="A6475" i="1"/>
  <c r="H6474" i="1"/>
  <c r="G6474" i="1"/>
  <c r="E6474" i="1"/>
  <c r="B6474" i="1"/>
  <c r="A6474" i="1"/>
  <c r="H6473" i="1"/>
  <c r="G6473" i="1"/>
  <c r="E6473" i="1"/>
  <c r="B6473" i="1"/>
  <c r="A6473" i="1"/>
  <c r="H6472" i="1"/>
  <c r="G6472" i="1"/>
  <c r="E6472" i="1"/>
  <c r="B6472" i="1"/>
  <c r="A6472" i="1"/>
  <c r="H6471" i="1"/>
  <c r="G6471" i="1"/>
  <c r="E6471" i="1"/>
  <c r="B6471" i="1"/>
  <c r="A6471" i="1"/>
  <c r="H6470" i="1"/>
  <c r="G6470" i="1"/>
  <c r="E6470" i="1"/>
  <c r="B6470" i="1"/>
  <c r="A6470" i="1"/>
  <c r="H6469" i="1"/>
  <c r="G6469" i="1"/>
  <c r="E6469" i="1"/>
  <c r="B6469" i="1"/>
  <c r="A6469" i="1"/>
  <c r="H6468" i="1"/>
  <c r="G6468" i="1"/>
  <c r="E6468" i="1"/>
  <c r="B6468" i="1"/>
  <c r="A6468" i="1"/>
  <c r="H6467" i="1"/>
  <c r="G6467" i="1"/>
  <c r="E6467" i="1"/>
  <c r="B6467" i="1"/>
  <c r="A6467" i="1"/>
  <c r="H6466" i="1"/>
  <c r="G6466" i="1"/>
  <c r="E6466" i="1"/>
  <c r="B6466" i="1"/>
  <c r="A6466" i="1"/>
  <c r="H6465" i="1"/>
  <c r="G6465" i="1"/>
  <c r="E6465" i="1"/>
  <c r="B6465" i="1"/>
  <c r="A6465" i="1"/>
  <c r="H6464" i="1"/>
  <c r="G6464" i="1"/>
  <c r="E6464" i="1"/>
  <c r="B6464" i="1"/>
  <c r="A6464" i="1"/>
  <c r="H6463" i="1"/>
  <c r="G6463" i="1"/>
  <c r="E6463" i="1"/>
  <c r="B6463" i="1"/>
  <c r="A6463" i="1"/>
  <c r="H6462" i="1"/>
  <c r="G6462" i="1"/>
  <c r="E6462" i="1"/>
  <c r="B6462" i="1"/>
  <c r="A6462" i="1"/>
  <c r="H6461" i="1"/>
  <c r="G6461" i="1"/>
  <c r="E6461" i="1"/>
  <c r="B6461" i="1"/>
  <c r="A6461" i="1"/>
  <c r="H6460" i="1"/>
  <c r="G6460" i="1"/>
  <c r="E6460" i="1"/>
  <c r="B6460" i="1"/>
  <c r="A6460" i="1"/>
  <c r="H6459" i="1"/>
  <c r="G6459" i="1"/>
  <c r="E6459" i="1"/>
  <c r="B6459" i="1"/>
  <c r="A6459" i="1"/>
  <c r="H6458" i="1"/>
  <c r="G6458" i="1"/>
  <c r="E6458" i="1"/>
  <c r="B6458" i="1"/>
  <c r="A6458" i="1"/>
  <c r="H6457" i="1"/>
  <c r="G6457" i="1"/>
  <c r="E6457" i="1"/>
  <c r="B6457" i="1"/>
  <c r="A6457" i="1"/>
  <c r="H6456" i="1"/>
  <c r="G6456" i="1"/>
  <c r="E6456" i="1"/>
  <c r="B6456" i="1"/>
  <c r="A6456" i="1"/>
  <c r="H6455" i="1"/>
  <c r="G6455" i="1"/>
  <c r="E6455" i="1"/>
  <c r="B6455" i="1"/>
  <c r="A6455" i="1"/>
  <c r="H6454" i="1"/>
  <c r="G6454" i="1"/>
  <c r="E6454" i="1"/>
  <c r="B6454" i="1"/>
  <c r="A6454" i="1"/>
  <c r="H6453" i="1"/>
  <c r="G6453" i="1"/>
  <c r="E6453" i="1"/>
  <c r="B6453" i="1"/>
  <c r="A6453" i="1"/>
  <c r="H6452" i="1"/>
  <c r="G6452" i="1"/>
  <c r="E6452" i="1"/>
  <c r="B6452" i="1"/>
  <c r="A6452" i="1"/>
  <c r="H6451" i="1"/>
  <c r="G6451" i="1"/>
  <c r="E6451" i="1"/>
  <c r="B6451" i="1"/>
  <c r="A6451" i="1"/>
  <c r="H6450" i="1"/>
  <c r="G6450" i="1"/>
  <c r="E6450" i="1"/>
  <c r="B6450" i="1"/>
  <c r="A6450" i="1"/>
  <c r="H6449" i="1"/>
  <c r="G6449" i="1"/>
  <c r="E6449" i="1"/>
  <c r="B6449" i="1"/>
  <c r="A6449" i="1"/>
  <c r="H6448" i="1"/>
  <c r="G6448" i="1"/>
  <c r="E6448" i="1"/>
  <c r="B6448" i="1"/>
  <c r="A6448" i="1"/>
  <c r="H6447" i="1"/>
  <c r="G6447" i="1"/>
  <c r="E6447" i="1"/>
  <c r="B6447" i="1"/>
  <c r="A6447" i="1"/>
  <c r="H6446" i="1"/>
  <c r="G6446" i="1"/>
  <c r="E6446" i="1"/>
  <c r="B6446" i="1"/>
  <c r="A6446" i="1"/>
  <c r="H6445" i="1"/>
  <c r="G6445" i="1"/>
  <c r="E6445" i="1"/>
  <c r="B6445" i="1"/>
  <c r="A6445" i="1"/>
  <c r="H6444" i="1"/>
  <c r="G6444" i="1"/>
  <c r="E6444" i="1"/>
  <c r="B6444" i="1"/>
  <c r="A6444" i="1"/>
  <c r="H6443" i="1"/>
  <c r="G6443" i="1"/>
  <c r="E6443" i="1"/>
  <c r="B6443" i="1"/>
  <c r="A6443" i="1"/>
  <c r="H6442" i="1"/>
  <c r="G6442" i="1"/>
  <c r="E6442" i="1"/>
  <c r="B6442" i="1"/>
  <c r="A6442" i="1"/>
  <c r="H6441" i="1"/>
  <c r="G6441" i="1"/>
  <c r="E6441" i="1"/>
  <c r="B6441" i="1"/>
  <c r="A6441" i="1"/>
  <c r="H6440" i="1"/>
  <c r="G6440" i="1"/>
  <c r="E6440" i="1"/>
  <c r="B6440" i="1"/>
  <c r="A6440" i="1"/>
  <c r="H6439" i="1"/>
  <c r="G6439" i="1"/>
  <c r="E6439" i="1"/>
  <c r="B6439" i="1"/>
  <c r="A6439" i="1"/>
  <c r="H6438" i="1"/>
  <c r="G6438" i="1"/>
  <c r="E6438" i="1"/>
  <c r="B6438" i="1"/>
  <c r="A6438" i="1"/>
  <c r="H6437" i="1"/>
  <c r="G6437" i="1"/>
  <c r="E6437" i="1"/>
  <c r="B6437" i="1"/>
  <c r="A6437" i="1"/>
  <c r="H6436" i="1"/>
  <c r="G6436" i="1"/>
  <c r="E6436" i="1"/>
  <c r="B6436" i="1"/>
  <c r="A6436" i="1"/>
  <c r="H6435" i="1"/>
  <c r="G6435" i="1"/>
  <c r="E6435" i="1"/>
  <c r="B6435" i="1"/>
  <c r="A6435" i="1"/>
  <c r="H6434" i="1"/>
  <c r="G6434" i="1"/>
  <c r="E6434" i="1"/>
  <c r="B6434" i="1"/>
  <c r="A6434" i="1"/>
  <c r="H6433" i="1"/>
  <c r="G6433" i="1"/>
  <c r="E6433" i="1"/>
  <c r="B6433" i="1"/>
  <c r="A6433" i="1"/>
  <c r="H6432" i="1"/>
  <c r="G6432" i="1"/>
  <c r="E6432" i="1"/>
  <c r="B6432" i="1"/>
  <c r="A6432" i="1"/>
  <c r="H6431" i="1"/>
  <c r="G6431" i="1"/>
  <c r="E6431" i="1"/>
  <c r="B6431" i="1"/>
  <c r="A6431" i="1"/>
  <c r="H6430" i="1"/>
  <c r="G6430" i="1"/>
  <c r="E6430" i="1"/>
  <c r="B6430" i="1"/>
  <c r="A6430" i="1"/>
  <c r="H6429" i="1"/>
  <c r="G6429" i="1"/>
  <c r="E6429" i="1"/>
  <c r="B6429" i="1"/>
  <c r="A6429" i="1"/>
  <c r="H6428" i="1"/>
  <c r="G6428" i="1"/>
  <c r="E6428" i="1"/>
  <c r="B6428" i="1"/>
  <c r="A6428" i="1"/>
  <c r="H6427" i="1"/>
  <c r="G6427" i="1"/>
  <c r="E6427" i="1"/>
  <c r="B6427" i="1"/>
  <c r="A6427" i="1"/>
  <c r="H6426" i="1"/>
  <c r="G6426" i="1"/>
  <c r="E6426" i="1"/>
  <c r="B6426" i="1"/>
  <c r="A6426" i="1"/>
  <c r="H6425" i="1"/>
  <c r="G6425" i="1"/>
  <c r="E6425" i="1"/>
  <c r="B6425" i="1"/>
  <c r="A6425" i="1"/>
  <c r="H6424" i="1"/>
  <c r="G6424" i="1"/>
  <c r="E6424" i="1"/>
  <c r="B6424" i="1"/>
  <c r="A6424" i="1"/>
  <c r="H6423" i="1"/>
  <c r="G6423" i="1"/>
  <c r="E6423" i="1"/>
  <c r="B6423" i="1"/>
  <c r="A6423" i="1"/>
  <c r="H6422" i="1"/>
  <c r="G6422" i="1"/>
  <c r="E6422" i="1"/>
  <c r="B6422" i="1"/>
  <c r="A6422" i="1"/>
  <c r="H6421" i="1"/>
  <c r="G6421" i="1"/>
  <c r="E6421" i="1"/>
  <c r="B6421" i="1"/>
  <c r="A6421" i="1"/>
  <c r="H6420" i="1"/>
  <c r="G6420" i="1"/>
  <c r="E6420" i="1"/>
  <c r="B6420" i="1"/>
  <c r="A6420" i="1"/>
  <c r="H6419" i="1"/>
  <c r="G6419" i="1"/>
  <c r="E6419" i="1"/>
  <c r="B6419" i="1"/>
  <c r="A6419" i="1"/>
  <c r="H6418" i="1"/>
  <c r="G6418" i="1"/>
  <c r="E6418" i="1"/>
  <c r="B6418" i="1"/>
  <c r="A6418" i="1"/>
  <c r="H6417" i="1"/>
  <c r="G6417" i="1"/>
  <c r="E6417" i="1"/>
  <c r="B6417" i="1"/>
  <c r="A6417" i="1"/>
  <c r="H6416" i="1"/>
  <c r="G6416" i="1"/>
  <c r="E6416" i="1"/>
  <c r="B6416" i="1"/>
  <c r="A6416" i="1"/>
  <c r="H6415" i="1"/>
  <c r="G6415" i="1"/>
  <c r="E6415" i="1"/>
  <c r="B6415" i="1"/>
  <c r="A6415" i="1"/>
  <c r="H6414" i="1"/>
  <c r="G6414" i="1"/>
  <c r="E6414" i="1"/>
  <c r="B6414" i="1"/>
  <c r="A6414" i="1"/>
  <c r="H6413" i="1"/>
  <c r="G6413" i="1"/>
  <c r="E6413" i="1"/>
  <c r="B6413" i="1"/>
  <c r="A6413" i="1"/>
  <c r="H6412" i="1"/>
  <c r="G6412" i="1"/>
  <c r="E6412" i="1"/>
  <c r="B6412" i="1"/>
  <c r="A6412" i="1"/>
  <c r="H6411" i="1"/>
  <c r="G6411" i="1"/>
  <c r="E6411" i="1"/>
  <c r="B6411" i="1"/>
  <c r="A6411" i="1"/>
  <c r="H6410" i="1"/>
  <c r="G6410" i="1"/>
  <c r="E6410" i="1"/>
  <c r="B6410" i="1"/>
  <c r="A6410" i="1"/>
  <c r="H6409" i="1"/>
  <c r="G6409" i="1"/>
  <c r="E6409" i="1"/>
  <c r="B6409" i="1"/>
  <c r="A6409" i="1"/>
  <c r="H6408" i="1"/>
  <c r="G6408" i="1"/>
  <c r="E6408" i="1"/>
  <c r="B6408" i="1"/>
  <c r="A6408" i="1"/>
  <c r="H6407" i="1"/>
  <c r="G6407" i="1"/>
  <c r="E6407" i="1"/>
  <c r="B6407" i="1"/>
  <c r="A6407" i="1"/>
  <c r="H6406" i="1"/>
  <c r="G6406" i="1"/>
  <c r="E6406" i="1"/>
  <c r="B6406" i="1"/>
  <c r="A6406" i="1"/>
  <c r="H6405" i="1"/>
  <c r="G6405" i="1"/>
  <c r="E6405" i="1"/>
  <c r="B6405" i="1"/>
  <c r="A6405" i="1"/>
  <c r="H6404" i="1"/>
  <c r="G6404" i="1"/>
  <c r="E6404" i="1"/>
  <c r="B6404" i="1"/>
  <c r="A6404" i="1"/>
  <c r="H6403" i="1"/>
  <c r="G6403" i="1"/>
  <c r="E6403" i="1"/>
  <c r="B6403" i="1"/>
  <c r="A6403" i="1"/>
  <c r="H6402" i="1"/>
  <c r="G6402" i="1"/>
  <c r="E6402" i="1"/>
  <c r="B6402" i="1"/>
  <c r="A6402" i="1"/>
  <c r="H6401" i="1"/>
  <c r="G6401" i="1"/>
  <c r="E6401" i="1"/>
  <c r="B6401" i="1"/>
  <c r="A6401" i="1"/>
  <c r="H6400" i="1"/>
  <c r="G6400" i="1"/>
  <c r="E6400" i="1"/>
  <c r="B6400" i="1"/>
  <c r="A6400" i="1"/>
  <c r="H6399" i="1"/>
  <c r="G6399" i="1"/>
  <c r="E6399" i="1"/>
  <c r="B6399" i="1"/>
  <c r="A6399" i="1"/>
  <c r="H6398" i="1"/>
  <c r="G6398" i="1"/>
  <c r="E6398" i="1"/>
  <c r="B6398" i="1"/>
  <c r="A6398" i="1"/>
  <c r="H6397" i="1"/>
  <c r="G6397" i="1"/>
  <c r="E6397" i="1"/>
  <c r="B6397" i="1"/>
  <c r="A6397" i="1"/>
  <c r="H6396" i="1"/>
  <c r="G6396" i="1"/>
  <c r="E6396" i="1"/>
  <c r="B6396" i="1"/>
  <c r="A6396" i="1"/>
  <c r="H6395" i="1"/>
  <c r="G6395" i="1"/>
  <c r="E6395" i="1"/>
  <c r="B6395" i="1"/>
  <c r="A6395" i="1"/>
  <c r="H6394" i="1"/>
  <c r="G6394" i="1"/>
  <c r="E6394" i="1"/>
  <c r="B6394" i="1"/>
  <c r="A6394" i="1"/>
  <c r="H6393" i="1"/>
  <c r="G6393" i="1"/>
  <c r="E6393" i="1"/>
  <c r="B6393" i="1"/>
  <c r="A6393" i="1"/>
  <c r="H6392" i="1"/>
  <c r="G6392" i="1"/>
  <c r="E6392" i="1"/>
  <c r="B6392" i="1"/>
  <c r="A6392" i="1"/>
  <c r="H6391" i="1"/>
  <c r="G6391" i="1"/>
  <c r="E6391" i="1"/>
  <c r="B6391" i="1"/>
  <c r="A6391" i="1"/>
  <c r="H6390" i="1"/>
  <c r="G6390" i="1"/>
  <c r="E6390" i="1"/>
  <c r="B6390" i="1"/>
  <c r="A6390" i="1"/>
  <c r="H6389" i="1"/>
  <c r="G6389" i="1"/>
  <c r="E6389" i="1"/>
  <c r="B6389" i="1"/>
  <c r="A6389" i="1"/>
  <c r="H6388" i="1"/>
  <c r="G6388" i="1"/>
  <c r="E6388" i="1"/>
  <c r="B6388" i="1"/>
  <c r="A6388" i="1"/>
  <c r="H6387" i="1"/>
  <c r="G6387" i="1"/>
  <c r="E6387" i="1"/>
  <c r="B6387" i="1"/>
  <c r="A6387" i="1"/>
  <c r="H6386" i="1"/>
  <c r="G6386" i="1"/>
  <c r="E6386" i="1"/>
  <c r="B6386" i="1"/>
  <c r="A6386" i="1"/>
  <c r="H6385" i="1"/>
  <c r="G6385" i="1"/>
  <c r="E6385" i="1"/>
  <c r="B6385" i="1"/>
  <c r="A6385" i="1"/>
  <c r="H6384" i="1"/>
  <c r="G6384" i="1"/>
  <c r="E6384" i="1"/>
  <c r="B6384" i="1"/>
  <c r="A6384" i="1"/>
  <c r="H6383" i="1"/>
  <c r="G6383" i="1"/>
  <c r="E6383" i="1"/>
  <c r="B6383" i="1"/>
  <c r="A6383" i="1"/>
  <c r="H6382" i="1"/>
  <c r="G6382" i="1"/>
  <c r="E6382" i="1"/>
  <c r="B6382" i="1"/>
  <c r="A6382" i="1"/>
  <c r="H6381" i="1"/>
  <c r="G6381" i="1"/>
  <c r="E6381" i="1"/>
  <c r="B6381" i="1"/>
  <c r="A6381" i="1"/>
  <c r="H6380" i="1"/>
  <c r="G6380" i="1"/>
  <c r="E6380" i="1"/>
  <c r="B6380" i="1"/>
  <c r="A6380" i="1"/>
  <c r="H6379" i="1"/>
  <c r="G6379" i="1"/>
  <c r="E6379" i="1"/>
  <c r="B6379" i="1"/>
  <c r="A6379" i="1"/>
  <c r="H6378" i="1"/>
  <c r="G6378" i="1"/>
  <c r="E6378" i="1"/>
  <c r="B6378" i="1"/>
  <c r="A6378" i="1"/>
  <c r="H6377" i="1"/>
  <c r="G6377" i="1"/>
  <c r="E6377" i="1"/>
  <c r="B6377" i="1"/>
  <c r="A6377" i="1"/>
  <c r="H6376" i="1"/>
  <c r="G6376" i="1"/>
  <c r="E6376" i="1"/>
  <c r="B6376" i="1"/>
  <c r="A6376" i="1"/>
  <c r="H6375" i="1"/>
  <c r="G6375" i="1"/>
  <c r="E6375" i="1"/>
  <c r="B6375" i="1"/>
  <c r="A6375" i="1"/>
  <c r="H6374" i="1"/>
  <c r="G6374" i="1"/>
  <c r="E6374" i="1"/>
  <c r="B6374" i="1"/>
  <c r="A6374" i="1"/>
  <c r="H6373" i="1"/>
  <c r="G6373" i="1"/>
  <c r="E6373" i="1"/>
  <c r="B6373" i="1"/>
  <c r="A6373" i="1"/>
  <c r="H6372" i="1"/>
  <c r="G6372" i="1"/>
  <c r="E6372" i="1"/>
  <c r="B6372" i="1"/>
  <c r="A6372" i="1"/>
  <c r="H6371" i="1"/>
  <c r="G6371" i="1"/>
  <c r="E6371" i="1"/>
  <c r="B6371" i="1"/>
  <c r="A6371" i="1"/>
  <c r="H6370" i="1"/>
  <c r="G6370" i="1"/>
  <c r="E6370" i="1"/>
  <c r="B6370" i="1"/>
  <c r="A6370" i="1"/>
  <c r="H6369" i="1"/>
  <c r="G6369" i="1"/>
  <c r="E6369" i="1"/>
  <c r="B6369" i="1"/>
  <c r="A6369" i="1"/>
  <c r="H6368" i="1"/>
  <c r="G6368" i="1"/>
  <c r="E6368" i="1"/>
  <c r="B6368" i="1"/>
  <c r="A6368" i="1"/>
  <c r="H6367" i="1"/>
  <c r="G6367" i="1"/>
  <c r="E6367" i="1"/>
  <c r="B6367" i="1"/>
  <c r="A6367" i="1"/>
  <c r="H6366" i="1"/>
  <c r="G6366" i="1"/>
  <c r="E6366" i="1"/>
  <c r="B6366" i="1"/>
  <c r="A6366" i="1"/>
  <c r="H6365" i="1"/>
  <c r="G6365" i="1"/>
  <c r="E6365" i="1"/>
  <c r="B6365" i="1"/>
  <c r="A6365" i="1"/>
  <c r="H6364" i="1"/>
  <c r="G6364" i="1"/>
  <c r="E6364" i="1"/>
  <c r="B6364" i="1"/>
  <c r="A6364" i="1"/>
  <c r="H6363" i="1"/>
  <c r="G6363" i="1"/>
  <c r="E6363" i="1"/>
  <c r="B6363" i="1"/>
  <c r="A6363" i="1"/>
  <c r="H6362" i="1"/>
  <c r="G6362" i="1"/>
  <c r="E6362" i="1"/>
  <c r="B6362" i="1"/>
  <c r="A6362" i="1"/>
  <c r="H6361" i="1"/>
  <c r="G6361" i="1"/>
  <c r="E6361" i="1"/>
  <c r="B6361" i="1"/>
  <c r="A6361" i="1"/>
  <c r="H6360" i="1"/>
  <c r="G6360" i="1"/>
  <c r="E6360" i="1"/>
  <c r="B6360" i="1"/>
  <c r="A6360" i="1"/>
  <c r="H6359" i="1"/>
  <c r="G6359" i="1"/>
  <c r="E6359" i="1"/>
  <c r="B6359" i="1"/>
  <c r="A6359" i="1"/>
  <c r="H6358" i="1"/>
  <c r="G6358" i="1"/>
  <c r="E6358" i="1"/>
  <c r="B6358" i="1"/>
  <c r="A6358" i="1"/>
  <c r="H6357" i="1"/>
  <c r="G6357" i="1"/>
  <c r="E6357" i="1"/>
  <c r="B6357" i="1"/>
  <c r="A6357" i="1"/>
  <c r="H6356" i="1"/>
  <c r="G6356" i="1"/>
  <c r="E6356" i="1"/>
  <c r="B6356" i="1"/>
  <c r="A6356" i="1"/>
  <c r="H6355" i="1"/>
  <c r="G6355" i="1"/>
  <c r="E6355" i="1"/>
  <c r="B6355" i="1"/>
  <c r="A6355" i="1"/>
  <c r="H6354" i="1"/>
  <c r="G6354" i="1"/>
  <c r="E6354" i="1"/>
  <c r="B6354" i="1"/>
  <c r="A6354" i="1"/>
  <c r="H6353" i="1"/>
  <c r="G6353" i="1"/>
  <c r="E6353" i="1"/>
  <c r="B6353" i="1"/>
  <c r="A6353" i="1"/>
  <c r="H6352" i="1"/>
  <c r="G6352" i="1"/>
  <c r="E6352" i="1"/>
  <c r="B6352" i="1"/>
  <c r="A6352" i="1"/>
  <c r="H6351" i="1"/>
  <c r="G6351" i="1"/>
  <c r="E6351" i="1"/>
  <c r="B6351" i="1"/>
  <c r="A6351" i="1"/>
  <c r="H6350" i="1"/>
  <c r="G6350" i="1"/>
  <c r="E6350" i="1"/>
  <c r="B6350" i="1"/>
  <c r="A6350" i="1"/>
  <c r="H6349" i="1"/>
  <c r="G6349" i="1"/>
  <c r="E6349" i="1"/>
  <c r="B6349" i="1"/>
  <c r="A6349" i="1"/>
  <c r="H6348" i="1"/>
  <c r="G6348" i="1"/>
  <c r="E6348" i="1"/>
  <c r="B6348" i="1"/>
  <c r="A6348" i="1"/>
  <c r="H6347" i="1"/>
  <c r="G6347" i="1"/>
  <c r="E6347" i="1"/>
  <c r="B6347" i="1"/>
  <c r="A6347" i="1"/>
  <c r="H6346" i="1"/>
  <c r="G6346" i="1"/>
  <c r="E6346" i="1"/>
  <c r="B6346" i="1"/>
  <c r="A6346" i="1"/>
  <c r="H6345" i="1"/>
  <c r="G6345" i="1"/>
  <c r="E6345" i="1"/>
  <c r="B6345" i="1"/>
  <c r="A6345" i="1"/>
  <c r="H6344" i="1"/>
  <c r="G6344" i="1"/>
  <c r="E6344" i="1"/>
  <c r="B6344" i="1"/>
  <c r="A6344" i="1"/>
  <c r="H6343" i="1"/>
  <c r="G6343" i="1"/>
  <c r="E6343" i="1"/>
  <c r="B6343" i="1"/>
  <c r="A6343" i="1"/>
  <c r="H6342" i="1"/>
  <c r="G6342" i="1"/>
  <c r="E6342" i="1"/>
  <c r="B6342" i="1"/>
  <c r="A6342" i="1"/>
  <c r="H6341" i="1"/>
  <c r="G6341" i="1"/>
  <c r="E6341" i="1"/>
  <c r="B6341" i="1"/>
  <c r="A6341" i="1"/>
  <c r="H6340" i="1"/>
  <c r="G6340" i="1"/>
  <c r="E6340" i="1"/>
  <c r="B6340" i="1"/>
  <c r="A6340" i="1"/>
  <c r="H6339" i="1"/>
  <c r="G6339" i="1"/>
  <c r="E6339" i="1"/>
  <c r="B6339" i="1"/>
  <c r="A6339" i="1"/>
  <c r="H6338" i="1"/>
  <c r="G6338" i="1"/>
  <c r="E6338" i="1"/>
  <c r="B6338" i="1"/>
  <c r="A6338" i="1"/>
  <c r="H6337" i="1"/>
  <c r="G6337" i="1"/>
  <c r="E6337" i="1"/>
  <c r="B6337" i="1"/>
  <c r="A6337" i="1"/>
  <c r="H6336" i="1"/>
  <c r="G6336" i="1"/>
  <c r="E6336" i="1"/>
  <c r="B6336" i="1"/>
  <c r="A6336" i="1"/>
  <c r="H6335" i="1"/>
  <c r="G6335" i="1"/>
  <c r="E6335" i="1"/>
  <c r="B6335" i="1"/>
  <c r="A6335" i="1"/>
  <c r="H6334" i="1"/>
  <c r="G6334" i="1"/>
  <c r="E6334" i="1"/>
  <c r="B6334" i="1"/>
  <c r="A6334" i="1"/>
  <c r="H6333" i="1"/>
  <c r="G6333" i="1"/>
  <c r="E6333" i="1"/>
  <c r="B6333" i="1"/>
  <c r="A6333" i="1"/>
  <c r="H6332" i="1"/>
  <c r="G6332" i="1"/>
  <c r="E6332" i="1"/>
  <c r="B6332" i="1"/>
  <c r="A6332" i="1"/>
  <c r="H6331" i="1"/>
  <c r="G6331" i="1"/>
  <c r="E6331" i="1"/>
  <c r="B6331" i="1"/>
  <c r="A6331" i="1"/>
  <c r="H6330" i="1"/>
  <c r="G6330" i="1"/>
  <c r="E6330" i="1"/>
  <c r="B6330" i="1"/>
  <c r="A6330" i="1"/>
  <c r="H6329" i="1"/>
  <c r="G6329" i="1"/>
  <c r="E6329" i="1"/>
  <c r="B6329" i="1"/>
  <c r="A6329" i="1"/>
  <c r="H6328" i="1"/>
  <c r="G6328" i="1"/>
  <c r="E6328" i="1"/>
  <c r="B6328" i="1"/>
  <c r="A6328" i="1"/>
  <c r="H6327" i="1"/>
  <c r="G6327" i="1"/>
  <c r="E6327" i="1"/>
  <c r="B6327" i="1"/>
  <c r="A6327" i="1"/>
  <c r="H6326" i="1"/>
  <c r="G6326" i="1"/>
  <c r="E6326" i="1"/>
  <c r="B6326" i="1"/>
  <c r="A6326" i="1"/>
  <c r="H6325" i="1"/>
  <c r="G6325" i="1"/>
  <c r="E6325" i="1"/>
  <c r="B6325" i="1"/>
  <c r="A6325" i="1"/>
  <c r="H6324" i="1"/>
  <c r="G6324" i="1"/>
  <c r="E6324" i="1"/>
  <c r="B6324" i="1"/>
  <c r="A6324" i="1"/>
  <c r="H6323" i="1"/>
  <c r="G6323" i="1"/>
  <c r="E6323" i="1"/>
  <c r="B6323" i="1"/>
  <c r="A6323" i="1"/>
  <c r="H6322" i="1"/>
  <c r="G6322" i="1"/>
  <c r="E6322" i="1"/>
  <c r="B6322" i="1"/>
  <c r="A6322" i="1"/>
  <c r="H6321" i="1"/>
  <c r="G6321" i="1"/>
  <c r="E6321" i="1"/>
  <c r="B6321" i="1"/>
  <c r="A6321" i="1"/>
  <c r="H6320" i="1"/>
  <c r="G6320" i="1"/>
  <c r="E6320" i="1"/>
  <c r="B6320" i="1"/>
  <c r="A6320" i="1"/>
  <c r="H6319" i="1"/>
  <c r="G6319" i="1"/>
  <c r="E6319" i="1"/>
  <c r="B6319" i="1"/>
  <c r="A6319" i="1"/>
  <c r="H6318" i="1"/>
  <c r="G6318" i="1"/>
  <c r="E6318" i="1"/>
  <c r="B6318" i="1"/>
  <c r="A6318" i="1"/>
  <c r="H6317" i="1"/>
  <c r="G6317" i="1"/>
  <c r="E6317" i="1"/>
  <c r="B6317" i="1"/>
  <c r="A6317" i="1"/>
  <c r="H6316" i="1"/>
  <c r="G6316" i="1"/>
  <c r="E6316" i="1"/>
  <c r="B6316" i="1"/>
  <c r="A6316" i="1"/>
  <c r="H6315" i="1"/>
  <c r="G6315" i="1"/>
  <c r="E6315" i="1"/>
  <c r="B6315" i="1"/>
  <c r="A6315" i="1"/>
  <c r="H6314" i="1"/>
  <c r="G6314" i="1"/>
  <c r="E6314" i="1"/>
  <c r="B6314" i="1"/>
  <c r="A6314" i="1"/>
  <c r="H6313" i="1"/>
  <c r="G6313" i="1"/>
  <c r="E6313" i="1"/>
  <c r="B6313" i="1"/>
  <c r="A6313" i="1"/>
  <c r="H6312" i="1"/>
  <c r="G6312" i="1"/>
  <c r="E6312" i="1"/>
  <c r="B6312" i="1"/>
  <c r="A6312" i="1"/>
  <c r="H6311" i="1"/>
  <c r="G6311" i="1"/>
  <c r="E6311" i="1"/>
  <c r="B6311" i="1"/>
  <c r="A6311" i="1"/>
  <c r="H6310" i="1"/>
  <c r="G6310" i="1"/>
  <c r="E6310" i="1"/>
  <c r="B6310" i="1"/>
  <c r="A6310" i="1"/>
  <c r="H6309" i="1"/>
  <c r="G6309" i="1"/>
  <c r="E6309" i="1"/>
  <c r="B6309" i="1"/>
  <c r="A6309" i="1"/>
  <c r="H6308" i="1"/>
  <c r="G6308" i="1"/>
  <c r="E6308" i="1"/>
  <c r="B6308" i="1"/>
  <c r="A6308" i="1"/>
  <c r="H6307" i="1"/>
  <c r="G6307" i="1"/>
  <c r="E6307" i="1"/>
  <c r="B6307" i="1"/>
  <c r="A6307" i="1"/>
  <c r="H6306" i="1"/>
  <c r="G6306" i="1"/>
  <c r="E6306" i="1"/>
  <c r="B6306" i="1"/>
  <c r="A6306" i="1"/>
  <c r="H6305" i="1"/>
  <c r="G6305" i="1"/>
  <c r="E6305" i="1"/>
  <c r="B6305" i="1"/>
  <c r="A6305" i="1"/>
  <c r="H6304" i="1"/>
  <c r="G6304" i="1"/>
  <c r="E6304" i="1"/>
  <c r="B6304" i="1"/>
  <c r="A6304" i="1"/>
  <c r="H6303" i="1"/>
  <c r="G6303" i="1"/>
  <c r="E6303" i="1"/>
  <c r="B6303" i="1"/>
  <c r="A6303" i="1"/>
  <c r="H6302" i="1"/>
  <c r="G6302" i="1"/>
  <c r="E6302" i="1"/>
  <c r="B6302" i="1"/>
  <c r="A6302" i="1"/>
  <c r="H6301" i="1"/>
  <c r="G6301" i="1"/>
  <c r="E6301" i="1"/>
  <c r="B6301" i="1"/>
  <c r="A6301" i="1"/>
  <c r="H6300" i="1"/>
  <c r="G6300" i="1"/>
  <c r="E6300" i="1"/>
  <c r="B6300" i="1"/>
  <c r="A6300" i="1"/>
  <c r="H6299" i="1"/>
  <c r="G6299" i="1"/>
  <c r="E6299" i="1"/>
  <c r="B6299" i="1"/>
  <c r="A6299" i="1"/>
  <c r="H6298" i="1"/>
  <c r="G6298" i="1"/>
  <c r="E6298" i="1"/>
  <c r="B6298" i="1"/>
  <c r="A6298" i="1"/>
  <c r="H6297" i="1"/>
  <c r="G6297" i="1"/>
  <c r="E6297" i="1"/>
  <c r="B6297" i="1"/>
  <c r="A6297" i="1"/>
  <c r="H6296" i="1"/>
  <c r="G6296" i="1"/>
  <c r="E6296" i="1"/>
  <c r="B6296" i="1"/>
  <c r="A6296" i="1"/>
  <c r="H6295" i="1"/>
  <c r="G6295" i="1"/>
  <c r="E6295" i="1"/>
  <c r="B6295" i="1"/>
  <c r="A6295" i="1"/>
  <c r="H6294" i="1"/>
  <c r="G6294" i="1"/>
  <c r="E6294" i="1"/>
  <c r="B6294" i="1"/>
  <c r="A6294" i="1"/>
  <c r="H6293" i="1"/>
  <c r="G6293" i="1"/>
  <c r="E6293" i="1"/>
  <c r="B6293" i="1"/>
  <c r="A6293" i="1"/>
  <c r="H6292" i="1"/>
  <c r="G6292" i="1"/>
  <c r="E6292" i="1"/>
  <c r="B6292" i="1"/>
  <c r="A6292" i="1"/>
  <c r="H6291" i="1"/>
  <c r="G6291" i="1"/>
  <c r="E6291" i="1"/>
  <c r="B6291" i="1"/>
  <c r="A6291" i="1"/>
  <c r="H6290" i="1"/>
  <c r="G6290" i="1"/>
  <c r="E6290" i="1"/>
  <c r="B6290" i="1"/>
  <c r="A6290" i="1"/>
  <c r="H6289" i="1"/>
  <c r="G6289" i="1"/>
  <c r="E6289" i="1"/>
  <c r="B6289" i="1"/>
  <c r="A6289" i="1"/>
  <c r="H6288" i="1"/>
  <c r="G6288" i="1"/>
  <c r="E6288" i="1"/>
  <c r="B6288" i="1"/>
  <c r="A6288" i="1"/>
  <c r="H6287" i="1"/>
  <c r="G6287" i="1"/>
  <c r="E6287" i="1"/>
  <c r="B6287" i="1"/>
  <c r="A6287" i="1"/>
  <c r="H6286" i="1"/>
  <c r="G6286" i="1"/>
  <c r="E6286" i="1"/>
  <c r="B6286" i="1"/>
  <c r="A6286" i="1"/>
  <c r="H6285" i="1"/>
  <c r="G6285" i="1"/>
  <c r="E6285" i="1"/>
  <c r="B6285" i="1"/>
  <c r="A6285" i="1"/>
  <c r="H6284" i="1"/>
  <c r="G6284" i="1"/>
  <c r="E6284" i="1"/>
  <c r="B6284" i="1"/>
  <c r="A6284" i="1"/>
  <c r="H6283" i="1"/>
  <c r="G6283" i="1"/>
  <c r="E6283" i="1"/>
  <c r="B6283" i="1"/>
  <c r="A6283" i="1"/>
  <c r="H6282" i="1"/>
  <c r="G6282" i="1"/>
  <c r="E6282" i="1"/>
  <c r="B6282" i="1"/>
  <c r="A6282" i="1"/>
  <c r="H6281" i="1"/>
  <c r="G6281" i="1"/>
  <c r="E6281" i="1"/>
  <c r="B6281" i="1"/>
  <c r="A6281" i="1"/>
  <c r="H6280" i="1"/>
  <c r="G6280" i="1"/>
  <c r="E6280" i="1"/>
  <c r="B6280" i="1"/>
  <c r="A6280" i="1"/>
  <c r="H6279" i="1"/>
  <c r="G6279" i="1"/>
  <c r="E6279" i="1"/>
  <c r="B6279" i="1"/>
  <c r="A6279" i="1"/>
  <c r="H6278" i="1"/>
  <c r="G6278" i="1"/>
  <c r="E6278" i="1"/>
  <c r="B6278" i="1"/>
  <c r="A6278" i="1"/>
  <c r="H6277" i="1"/>
  <c r="G6277" i="1"/>
  <c r="E6277" i="1"/>
  <c r="B6277" i="1"/>
  <c r="A6277" i="1"/>
  <c r="H6276" i="1"/>
  <c r="G6276" i="1"/>
  <c r="E6276" i="1"/>
  <c r="B6276" i="1"/>
  <c r="A6276" i="1"/>
  <c r="H6275" i="1"/>
  <c r="G6275" i="1"/>
  <c r="E6275" i="1"/>
  <c r="B6275" i="1"/>
  <c r="A6275" i="1"/>
  <c r="H6274" i="1"/>
  <c r="G6274" i="1"/>
  <c r="E6274" i="1"/>
  <c r="B6274" i="1"/>
  <c r="A6274" i="1"/>
  <c r="H6273" i="1"/>
  <c r="G6273" i="1"/>
  <c r="E6273" i="1"/>
  <c r="B6273" i="1"/>
  <c r="A6273" i="1"/>
  <c r="H6272" i="1"/>
  <c r="G6272" i="1"/>
  <c r="E6272" i="1"/>
  <c r="B6272" i="1"/>
  <c r="A6272" i="1"/>
  <c r="H6271" i="1"/>
  <c r="G6271" i="1"/>
  <c r="E6271" i="1"/>
  <c r="B6271" i="1"/>
  <c r="A6271" i="1"/>
  <c r="H6270" i="1"/>
  <c r="G6270" i="1"/>
  <c r="E6270" i="1"/>
  <c r="B6270" i="1"/>
  <c r="A6270" i="1"/>
  <c r="H6269" i="1"/>
  <c r="G6269" i="1"/>
  <c r="E6269" i="1"/>
  <c r="B6269" i="1"/>
  <c r="A6269" i="1"/>
  <c r="H6268" i="1"/>
  <c r="G6268" i="1"/>
  <c r="E6268" i="1"/>
  <c r="B6268" i="1"/>
  <c r="A6268" i="1"/>
  <c r="H6267" i="1"/>
  <c r="G6267" i="1"/>
  <c r="E6267" i="1"/>
  <c r="B6267" i="1"/>
  <c r="A6267" i="1"/>
  <c r="H6266" i="1"/>
  <c r="G6266" i="1"/>
  <c r="E6266" i="1"/>
  <c r="B6266" i="1"/>
  <c r="A6266" i="1"/>
  <c r="H6265" i="1"/>
  <c r="G6265" i="1"/>
  <c r="E6265" i="1"/>
  <c r="B6265" i="1"/>
  <c r="A6265" i="1"/>
  <c r="H6264" i="1"/>
  <c r="G6264" i="1"/>
  <c r="E6264" i="1"/>
  <c r="B6264" i="1"/>
  <c r="A6264" i="1"/>
  <c r="H6263" i="1"/>
  <c r="G6263" i="1"/>
  <c r="E6263" i="1"/>
  <c r="B6263" i="1"/>
  <c r="A6263" i="1"/>
  <c r="H6262" i="1"/>
  <c r="G6262" i="1"/>
  <c r="E6262" i="1"/>
  <c r="B6262" i="1"/>
  <c r="A6262" i="1"/>
  <c r="H6261" i="1"/>
  <c r="G6261" i="1"/>
  <c r="E6261" i="1"/>
  <c r="B6261" i="1"/>
  <c r="A6261" i="1"/>
  <c r="H6260" i="1"/>
  <c r="G6260" i="1"/>
  <c r="E6260" i="1"/>
  <c r="B6260" i="1"/>
  <c r="A6260" i="1"/>
  <c r="H6259" i="1"/>
  <c r="G6259" i="1"/>
  <c r="E6259" i="1"/>
  <c r="B6259" i="1"/>
  <c r="A6259" i="1"/>
  <c r="H6258" i="1"/>
  <c r="G6258" i="1"/>
  <c r="E6258" i="1"/>
  <c r="B6258" i="1"/>
  <c r="A6258" i="1"/>
  <c r="H6257" i="1"/>
  <c r="G6257" i="1"/>
  <c r="E6257" i="1"/>
  <c r="B6257" i="1"/>
  <c r="A6257" i="1"/>
  <c r="H6256" i="1"/>
  <c r="G6256" i="1"/>
  <c r="E6256" i="1"/>
  <c r="B6256" i="1"/>
  <c r="A6256" i="1"/>
  <c r="H6255" i="1"/>
  <c r="G6255" i="1"/>
  <c r="E6255" i="1"/>
  <c r="B6255" i="1"/>
  <c r="A6255" i="1"/>
  <c r="H6254" i="1"/>
  <c r="G6254" i="1"/>
  <c r="E6254" i="1"/>
  <c r="B6254" i="1"/>
  <c r="A6254" i="1"/>
  <c r="H6253" i="1"/>
  <c r="G6253" i="1"/>
  <c r="E6253" i="1"/>
  <c r="B6253" i="1"/>
  <c r="A6253" i="1"/>
  <c r="H6252" i="1"/>
  <c r="G6252" i="1"/>
  <c r="E6252" i="1"/>
  <c r="B6252" i="1"/>
  <c r="A6252" i="1"/>
  <c r="H6251" i="1"/>
  <c r="G6251" i="1"/>
  <c r="E6251" i="1"/>
  <c r="B6251" i="1"/>
  <c r="A6251" i="1"/>
  <c r="H6250" i="1"/>
  <c r="G6250" i="1"/>
  <c r="E6250" i="1"/>
  <c r="B6250" i="1"/>
  <c r="A6250" i="1"/>
  <c r="H6249" i="1"/>
  <c r="G6249" i="1"/>
  <c r="E6249" i="1"/>
  <c r="B6249" i="1"/>
  <c r="A6249" i="1"/>
  <c r="H6248" i="1"/>
  <c r="G6248" i="1"/>
  <c r="E6248" i="1"/>
  <c r="B6248" i="1"/>
  <c r="A6248" i="1"/>
  <c r="H6247" i="1"/>
  <c r="G6247" i="1"/>
  <c r="E6247" i="1"/>
  <c r="B6247" i="1"/>
  <c r="A6247" i="1"/>
  <c r="H6246" i="1"/>
  <c r="G6246" i="1"/>
  <c r="E6246" i="1"/>
  <c r="B6246" i="1"/>
  <c r="A6246" i="1"/>
  <c r="H6245" i="1"/>
  <c r="G6245" i="1"/>
  <c r="E6245" i="1"/>
  <c r="B6245" i="1"/>
  <c r="A6245" i="1"/>
  <c r="H6244" i="1"/>
  <c r="G6244" i="1"/>
  <c r="E6244" i="1"/>
  <c r="B6244" i="1"/>
  <c r="A6244" i="1"/>
  <c r="H6243" i="1"/>
  <c r="G6243" i="1"/>
  <c r="E6243" i="1"/>
  <c r="B6243" i="1"/>
  <c r="A6243" i="1"/>
  <c r="H6242" i="1"/>
  <c r="G6242" i="1"/>
  <c r="E6242" i="1"/>
  <c r="B6242" i="1"/>
  <c r="A6242" i="1"/>
  <c r="H6241" i="1"/>
  <c r="G6241" i="1"/>
  <c r="E6241" i="1"/>
  <c r="B6241" i="1"/>
  <c r="A6241" i="1"/>
  <c r="H6240" i="1"/>
  <c r="G6240" i="1"/>
  <c r="E6240" i="1"/>
  <c r="B6240" i="1"/>
  <c r="A6240" i="1"/>
  <c r="H6239" i="1"/>
  <c r="G6239" i="1"/>
  <c r="E6239" i="1"/>
  <c r="B6239" i="1"/>
  <c r="A6239" i="1"/>
  <c r="H6238" i="1"/>
  <c r="G6238" i="1"/>
  <c r="E6238" i="1"/>
  <c r="B6238" i="1"/>
  <c r="A6238" i="1"/>
  <c r="H6237" i="1"/>
  <c r="G6237" i="1"/>
  <c r="E6237" i="1"/>
  <c r="B6237" i="1"/>
  <c r="A6237" i="1"/>
  <c r="H6236" i="1"/>
  <c r="G6236" i="1"/>
  <c r="E6236" i="1"/>
  <c r="B6236" i="1"/>
  <c r="A6236" i="1"/>
  <c r="H6235" i="1"/>
  <c r="G6235" i="1"/>
  <c r="E6235" i="1"/>
  <c r="B6235" i="1"/>
  <c r="A6235" i="1"/>
  <c r="H6234" i="1"/>
  <c r="G6234" i="1"/>
  <c r="E6234" i="1"/>
  <c r="B6234" i="1"/>
  <c r="A6234" i="1"/>
  <c r="H6233" i="1"/>
  <c r="G6233" i="1"/>
  <c r="E6233" i="1"/>
  <c r="B6233" i="1"/>
  <c r="A6233" i="1"/>
  <c r="H6232" i="1"/>
  <c r="G6232" i="1"/>
  <c r="E6232" i="1"/>
  <c r="B6232" i="1"/>
  <c r="A6232" i="1"/>
  <c r="H6231" i="1"/>
  <c r="G6231" i="1"/>
  <c r="E6231" i="1"/>
  <c r="B6231" i="1"/>
  <c r="A6231" i="1"/>
  <c r="H6230" i="1"/>
  <c r="G6230" i="1"/>
  <c r="E6230" i="1"/>
  <c r="B6230" i="1"/>
  <c r="A6230" i="1"/>
  <c r="H6229" i="1"/>
  <c r="G6229" i="1"/>
  <c r="E6229" i="1"/>
  <c r="B6229" i="1"/>
  <c r="A6229" i="1"/>
  <c r="H6228" i="1"/>
  <c r="G6228" i="1"/>
  <c r="E6228" i="1"/>
  <c r="B6228" i="1"/>
  <c r="A6228" i="1"/>
  <c r="H6227" i="1"/>
  <c r="G6227" i="1"/>
  <c r="E6227" i="1"/>
  <c r="B6227" i="1"/>
  <c r="A6227" i="1"/>
  <c r="H6226" i="1"/>
  <c r="G6226" i="1"/>
  <c r="E6226" i="1"/>
  <c r="B6226" i="1"/>
  <c r="A6226" i="1"/>
  <c r="H6225" i="1"/>
  <c r="G6225" i="1"/>
  <c r="E6225" i="1"/>
  <c r="B6225" i="1"/>
  <c r="A6225" i="1"/>
  <c r="H6224" i="1"/>
  <c r="G6224" i="1"/>
  <c r="E6224" i="1"/>
  <c r="B6224" i="1"/>
  <c r="A6224" i="1"/>
  <c r="H6223" i="1"/>
  <c r="G6223" i="1"/>
  <c r="E6223" i="1"/>
  <c r="B6223" i="1"/>
  <c r="A6223" i="1"/>
  <c r="H6222" i="1"/>
  <c r="G6222" i="1"/>
  <c r="E6222" i="1"/>
  <c r="B6222" i="1"/>
  <c r="A6222" i="1"/>
  <c r="H6221" i="1"/>
  <c r="G6221" i="1"/>
  <c r="E6221" i="1"/>
  <c r="B6221" i="1"/>
  <c r="A6221" i="1"/>
  <c r="H6220" i="1"/>
  <c r="G6220" i="1"/>
  <c r="E6220" i="1"/>
  <c r="B6220" i="1"/>
  <c r="A6220" i="1"/>
  <c r="H6219" i="1"/>
  <c r="G6219" i="1"/>
  <c r="E6219" i="1"/>
  <c r="B6219" i="1"/>
  <c r="A6219" i="1"/>
  <c r="H6218" i="1"/>
  <c r="G6218" i="1"/>
  <c r="E6218" i="1"/>
  <c r="B6218" i="1"/>
  <c r="A6218" i="1"/>
  <c r="H6217" i="1"/>
  <c r="G6217" i="1"/>
  <c r="E6217" i="1"/>
  <c r="B6217" i="1"/>
  <c r="A6217" i="1"/>
  <c r="H6216" i="1"/>
  <c r="G6216" i="1"/>
  <c r="E6216" i="1"/>
  <c r="B6216" i="1"/>
  <c r="A6216" i="1"/>
  <c r="H6215" i="1"/>
  <c r="G6215" i="1"/>
  <c r="E6215" i="1"/>
  <c r="B6215" i="1"/>
  <c r="A6215" i="1"/>
  <c r="H6214" i="1"/>
  <c r="G6214" i="1"/>
  <c r="E6214" i="1"/>
  <c r="B6214" i="1"/>
  <c r="A6214" i="1"/>
  <c r="H6213" i="1"/>
  <c r="G6213" i="1"/>
  <c r="E6213" i="1"/>
  <c r="B6213" i="1"/>
  <c r="A6213" i="1"/>
  <c r="H6212" i="1"/>
  <c r="G6212" i="1"/>
  <c r="E6212" i="1"/>
  <c r="B6212" i="1"/>
  <c r="A6212" i="1"/>
  <c r="H6211" i="1"/>
  <c r="G6211" i="1"/>
  <c r="E6211" i="1"/>
  <c r="B6211" i="1"/>
  <c r="A6211" i="1"/>
  <c r="H6210" i="1"/>
  <c r="G6210" i="1"/>
  <c r="E6210" i="1"/>
  <c r="B6210" i="1"/>
  <c r="A6210" i="1"/>
  <c r="H6209" i="1"/>
  <c r="G6209" i="1"/>
  <c r="E6209" i="1"/>
  <c r="B6209" i="1"/>
  <c r="A6209" i="1"/>
  <c r="H6208" i="1"/>
  <c r="G6208" i="1"/>
  <c r="E6208" i="1"/>
  <c r="B6208" i="1"/>
  <c r="A6208" i="1"/>
  <c r="H6207" i="1"/>
  <c r="G6207" i="1"/>
  <c r="E6207" i="1"/>
  <c r="B6207" i="1"/>
  <c r="A6207" i="1"/>
  <c r="H6206" i="1"/>
  <c r="G6206" i="1"/>
  <c r="E6206" i="1"/>
  <c r="B6206" i="1"/>
  <c r="A6206" i="1"/>
  <c r="H6205" i="1"/>
  <c r="G6205" i="1"/>
  <c r="E6205" i="1"/>
  <c r="B6205" i="1"/>
  <c r="A6205" i="1"/>
  <c r="H6204" i="1"/>
  <c r="G6204" i="1"/>
  <c r="E6204" i="1"/>
  <c r="B6204" i="1"/>
  <c r="A6204" i="1"/>
  <c r="H6203" i="1"/>
  <c r="G6203" i="1"/>
  <c r="E6203" i="1"/>
  <c r="B6203" i="1"/>
  <c r="A6203" i="1"/>
  <c r="H6202" i="1"/>
  <c r="G6202" i="1"/>
  <c r="E6202" i="1"/>
  <c r="B6202" i="1"/>
  <c r="A6202" i="1"/>
  <c r="H6201" i="1"/>
  <c r="G6201" i="1"/>
  <c r="E6201" i="1"/>
  <c r="B6201" i="1"/>
  <c r="A6201" i="1"/>
  <c r="H6200" i="1"/>
  <c r="G6200" i="1"/>
  <c r="E6200" i="1"/>
  <c r="B6200" i="1"/>
  <c r="A6200" i="1"/>
  <c r="H6199" i="1"/>
  <c r="G6199" i="1"/>
  <c r="E6199" i="1"/>
  <c r="B6199" i="1"/>
  <c r="A6199" i="1"/>
  <c r="H6198" i="1"/>
  <c r="G6198" i="1"/>
  <c r="E6198" i="1"/>
  <c r="B6198" i="1"/>
  <c r="A6198" i="1"/>
  <c r="H6197" i="1"/>
  <c r="G6197" i="1"/>
  <c r="E6197" i="1"/>
  <c r="B6197" i="1"/>
  <c r="A6197" i="1"/>
  <c r="H6196" i="1"/>
  <c r="G6196" i="1"/>
  <c r="E6196" i="1"/>
  <c r="B6196" i="1"/>
  <c r="A6196" i="1"/>
  <c r="H6195" i="1"/>
  <c r="G6195" i="1"/>
  <c r="E6195" i="1"/>
  <c r="B6195" i="1"/>
  <c r="A6195" i="1"/>
  <c r="H6194" i="1"/>
  <c r="G6194" i="1"/>
  <c r="E6194" i="1"/>
  <c r="B6194" i="1"/>
  <c r="A6194" i="1"/>
  <c r="H6193" i="1"/>
  <c r="G6193" i="1"/>
  <c r="E6193" i="1"/>
  <c r="B6193" i="1"/>
  <c r="A6193" i="1"/>
  <c r="H6192" i="1"/>
  <c r="G6192" i="1"/>
  <c r="E6192" i="1"/>
  <c r="B6192" i="1"/>
  <c r="A6192" i="1"/>
  <c r="H6191" i="1"/>
  <c r="G6191" i="1"/>
  <c r="E6191" i="1"/>
  <c r="B6191" i="1"/>
  <c r="A6191" i="1"/>
  <c r="H6190" i="1"/>
  <c r="G6190" i="1"/>
  <c r="E6190" i="1"/>
  <c r="B6190" i="1"/>
  <c r="A6190" i="1"/>
  <c r="H6189" i="1"/>
  <c r="G6189" i="1"/>
  <c r="E6189" i="1"/>
  <c r="B6189" i="1"/>
  <c r="A6189" i="1"/>
  <c r="H6188" i="1"/>
  <c r="G6188" i="1"/>
  <c r="E6188" i="1"/>
  <c r="B6188" i="1"/>
  <c r="A6188" i="1"/>
  <c r="H6187" i="1"/>
  <c r="G6187" i="1"/>
  <c r="E6187" i="1"/>
  <c r="B6187" i="1"/>
  <c r="A6187" i="1"/>
  <c r="H6186" i="1"/>
  <c r="G6186" i="1"/>
  <c r="E6186" i="1"/>
  <c r="B6186" i="1"/>
  <c r="A6186" i="1"/>
  <c r="H6185" i="1"/>
  <c r="G6185" i="1"/>
  <c r="E6185" i="1"/>
  <c r="B6185" i="1"/>
  <c r="A6185" i="1"/>
  <c r="H6184" i="1"/>
  <c r="G6184" i="1"/>
  <c r="E6184" i="1"/>
  <c r="B6184" i="1"/>
  <c r="A6184" i="1"/>
  <c r="H6183" i="1"/>
  <c r="G6183" i="1"/>
  <c r="E6183" i="1"/>
  <c r="B6183" i="1"/>
  <c r="A6183" i="1"/>
  <c r="H6182" i="1"/>
  <c r="G6182" i="1"/>
  <c r="E6182" i="1"/>
  <c r="B6182" i="1"/>
  <c r="A6182" i="1"/>
  <c r="H6181" i="1"/>
  <c r="G6181" i="1"/>
  <c r="E6181" i="1"/>
  <c r="B6181" i="1"/>
  <c r="A6181" i="1"/>
  <c r="H6180" i="1"/>
  <c r="G6180" i="1"/>
  <c r="E6180" i="1"/>
  <c r="B6180" i="1"/>
  <c r="A6180" i="1"/>
  <c r="H6179" i="1"/>
  <c r="G6179" i="1"/>
  <c r="E6179" i="1"/>
  <c r="B6179" i="1"/>
  <c r="A6179" i="1"/>
  <c r="H6178" i="1"/>
  <c r="G6178" i="1"/>
  <c r="E6178" i="1"/>
  <c r="B6178" i="1"/>
  <c r="A6178" i="1"/>
  <c r="H6177" i="1"/>
  <c r="G6177" i="1"/>
  <c r="E6177" i="1"/>
  <c r="B6177" i="1"/>
  <c r="A6177" i="1"/>
  <c r="H6176" i="1"/>
  <c r="G6176" i="1"/>
  <c r="E6176" i="1"/>
  <c r="B6176" i="1"/>
  <c r="A6176" i="1"/>
  <c r="H6175" i="1"/>
  <c r="G6175" i="1"/>
  <c r="E6175" i="1"/>
  <c r="B6175" i="1"/>
  <c r="A6175" i="1"/>
  <c r="H6174" i="1"/>
  <c r="G6174" i="1"/>
  <c r="E6174" i="1"/>
  <c r="B6174" i="1"/>
  <c r="A6174" i="1"/>
  <c r="H6173" i="1"/>
  <c r="G6173" i="1"/>
  <c r="E6173" i="1"/>
  <c r="B6173" i="1"/>
  <c r="A6173" i="1"/>
  <c r="H6172" i="1"/>
  <c r="G6172" i="1"/>
  <c r="E6172" i="1"/>
  <c r="B6172" i="1"/>
  <c r="A6172" i="1"/>
  <c r="H6171" i="1"/>
  <c r="G6171" i="1"/>
  <c r="E6171" i="1"/>
  <c r="B6171" i="1"/>
  <c r="A6171" i="1"/>
  <c r="H6170" i="1"/>
  <c r="G6170" i="1"/>
  <c r="E6170" i="1"/>
  <c r="B6170" i="1"/>
  <c r="A6170" i="1"/>
  <c r="H6169" i="1"/>
  <c r="G6169" i="1"/>
  <c r="E6169" i="1"/>
  <c r="B6169" i="1"/>
  <c r="A6169" i="1"/>
  <c r="H6168" i="1"/>
  <c r="G6168" i="1"/>
  <c r="E6168" i="1"/>
  <c r="B6168" i="1"/>
  <c r="A6168" i="1"/>
  <c r="H6167" i="1"/>
  <c r="G6167" i="1"/>
  <c r="E6167" i="1"/>
  <c r="B6167" i="1"/>
  <c r="A6167" i="1"/>
  <c r="H6166" i="1"/>
  <c r="G6166" i="1"/>
  <c r="E6166" i="1"/>
  <c r="B6166" i="1"/>
  <c r="A6166" i="1"/>
  <c r="H6165" i="1"/>
  <c r="G6165" i="1"/>
  <c r="E6165" i="1"/>
  <c r="B6165" i="1"/>
  <c r="A6165" i="1"/>
  <c r="H6164" i="1"/>
  <c r="G6164" i="1"/>
  <c r="E6164" i="1"/>
  <c r="B6164" i="1"/>
  <c r="A6164" i="1"/>
  <c r="H6163" i="1"/>
  <c r="G6163" i="1"/>
  <c r="E6163" i="1"/>
  <c r="B6163" i="1"/>
  <c r="A6163" i="1"/>
  <c r="H6162" i="1"/>
  <c r="G6162" i="1"/>
  <c r="E6162" i="1"/>
  <c r="B6162" i="1"/>
  <c r="A6162" i="1"/>
  <c r="H6161" i="1"/>
  <c r="G6161" i="1"/>
  <c r="E6161" i="1"/>
  <c r="B6161" i="1"/>
  <c r="A6161" i="1"/>
  <c r="H6160" i="1"/>
  <c r="G6160" i="1"/>
  <c r="E6160" i="1"/>
  <c r="B6160" i="1"/>
  <c r="A6160" i="1"/>
  <c r="H6159" i="1"/>
  <c r="G6159" i="1"/>
  <c r="E6159" i="1"/>
  <c r="B6159" i="1"/>
  <c r="A6159" i="1"/>
  <c r="H6158" i="1"/>
  <c r="G6158" i="1"/>
  <c r="E6158" i="1"/>
  <c r="B6158" i="1"/>
  <c r="A6158" i="1"/>
  <c r="H6157" i="1"/>
  <c r="G6157" i="1"/>
  <c r="E6157" i="1"/>
  <c r="B6157" i="1"/>
  <c r="A6157" i="1"/>
  <c r="H6156" i="1"/>
  <c r="G6156" i="1"/>
  <c r="E6156" i="1"/>
  <c r="B6156" i="1"/>
  <c r="A6156" i="1"/>
  <c r="H6155" i="1"/>
  <c r="G6155" i="1"/>
  <c r="E6155" i="1"/>
  <c r="B6155" i="1"/>
  <c r="A6155" i="1"/>
  <c r="H6154" i="1"/>
  <c r="G6154" i="1"/>
  <c r="E6154" i="1"/>
  <c r="B6154" i="1"/>
  <c r="A6154" i="1"/>
  <c r="H6153" i="1"/>
  <c r="G6153" i="1"/>
  <c r="E6153" i="1"/>
  <c r="B6153" i="1"/>
  <c r="A6153" i="1"/>
  <c r="H6152" i="1"/>
  <c r="G6152" i="1"/>
  <c r="E6152" i="1"/>
  <c r="B6152" i="1"/>
  <c r="A6152" i="1"/>
  <c r="H6151" i="1"/>
  <c r="G6151" i="1"/>
  <c r="E6151" i="1"/>
  <c r="B6151" i="1"/>
  <c r="A6151" i="1"/>
  <c r="H6150" i="1"/>
  <c r="G6150" i="1"/>
  <c r="E6150" i="1"/>
  <c r="B6150" i="1"/>
  <c r="A6150" i="1"/>
  <c r="H6149" i="1"/>
  <c r="G6149" i="1"/>
  <c r="E6149" i="1"/>
  <c r="B6149" i="1"/>
  <c r="A6149" i="1"/>
  <c r="H6148" i="1"/>
  <c r="G6148" i="1"/>
  <c r="E6148" i="1"/>
  <c r="B6148" i="1"/>
  <c r="A6148" i="1"/>
  <c r="H6147" i="1"/>
  <c r="G6147" i="1"/>
  <c r="E6147" i="1"/>
  <c r="B6147" i="1"/>
  <c r="A6147" i="1"/>
  <c r="H6146" i="1"/>
  <c r="G6146" i="1"/>
  <c r="E6146" i="1"/>
  <c r="B6146" i="1"/>
  <c r="A6146" i="1"/>
  <c r="H6145" i="1"/>
  <c r="G6145" i="1"/>
  <c r="E6145" i="1"/>
  <c r="B6145" i="1"/>
  <c r="A6145" i="1"/>
  <c r="H6144" i="1"/>
  <c r="G6144" i="1"/>
  <c r="E6144" i="1"/>
  <c r="B6144" i="1"/>
  <c r="A6144" i="1"/>
  <c r="H6143" i="1"/>
  <c r="G6143" i="1"/>
  <c r="E6143" i="1"/>
  <c r="B6143" i="1"/>
  <c r="A6143" i="1"/>
  <c r="H6142" i="1"/>
  <c r="G6142" i="1"/>
  <c r="E6142" i="1"/>
  <c r="B6142" i="1"/>
  <c r="A6142" i="1"/>
  <c r="H6141" i="1"/>
  <c r="G6141" i="1"/>
  <c r="E6141" i="1"/>
  <c r="B6141" i="1"/>
  <c r="A6141" i="1"/>
  <c r="H6140" i="1"/>
  <c r="G6140" i="1"/>
  <c r="E6140" i="1"/>
  <c r="B6140" i="1"/>
  <c r="A6140" i="1"/>
  <c r="H6139" i="1"/>
  <c r="G6139" i="1"/>
  <c r="E6139" i="1"/>
  <c r="B6139" i="1"/>
  <c r="A6139" i="1"/>
  <c r="H6138" i="1"/>
  <c r="G6138" i="1"/>
  <c r="E6138" i="1"/>
  <c r="B6138" i="1"/>
  <c r="A6138" i="1"/>
  <c r="H6137" i="1"/>
  <c r="G6137" i="1"/>
  <c r="E6137" i="1"/>
  <c r="B6137" i="1"/>
  <c r="A6137" i="1"/>
  <c r="H6136" i="1"/>
  <c r="G6136" i="1"/>
  <c r="E6136" i="1"/>
  <c r="B6136" i="1"/>
  <c r="A6136" i="1"/>
  <c r="H6135" i="1"/>
  <c r="G6135" i="1"/>
  <c r="E6135" i="1"/>
  <c r="B6135" i="1"/>
  <c r="A6135" i="1"/>
  <c r="H6134" i="1"/>
  <c r="G6134" i="1"/>
  <c r="E6134" i="1"/>
  <c r="B6134" i="1"/>
  <c r="A6134" i="1"/>
  <c r="H6133" i="1"/>
  <c r="G6133" i="1"/>
  <c r="E6133" i="1"/>
  <c r="B6133" i="1"/>
  <c r="A6133" i="1"/>
  <c r="H6132" i="1"/>
  <c r="G6132" i="1"/>
  <c r="E6132" i="1"/>
  <c r="B6132" i="1"/>
  <c r="A6132" i="1"/>
  <c r="H6131" i="1"/>
  <c r="G6131" i="1"/>
  <c r="E6131" i="1"/>
  <c r="B6131" i="1"/>
  <c r="A6131" i="1"/>
  <c r="H6130" i="1"/>
  <c r="G6130" i="1"/>
  <c r="E6130" i="1"/>
  <c r="B6130" i="1"/>
  <c r="A6130" i="1"/>
  <c r="H6129" i="1"/>
  <c r="G6129" i="1"/>
  <c r="E6129" i="1"/>
  <c r="B6129" i="1"/>
  <c r="A6129" i="1"/>
  <c r="H6128" i="1"/>
  <c r="G6128" i="1"/>
  <c r="E6128" i="1"/>
  <c r="B6128" i="1"/>
  <c r="A6128" i="1"/>
  <c r="H6127" i="1"/>
  <c r="G6127" i="1"/>
  <c r="E6127" i="1"/>
  <c r="B6127" i="1"/>
  <c r="A6127" i="1"/>
  <c r="H6126" i="1"/>
  <c r="G6126" i="1"/>
  <c r="E6126" i="1"/>
  <c r="B6126" i="1"/>
  <c r="A6126" i="1"/>
  <c r="H6125" i="1"/>
  <c r="G6125" i="1"/>
  <c r="E6125" i="1"/>
  <c r="B6125" i="1"/>
  <c r="A6125" i="1"/>
  <c r="H6124" i="1"/>
  <c r="G6124" i="1"/>
  <c r="E6124" i="1"/>
  <c r="B6124" i="1"/>
  <c r="A6124" i="1"/>
  <c r="H6123" i="1"/>
  <c r="G6123" i="1"/>
  <c r="E6123" i="1"/>
  <c r="B6123" i="1"/>
  <c r="A6123" i="1"/>
  <c r="H6122" i="1"/>
  <c r="G6122" i="1"/>
  <c r="E6122" i="1"/>
  <c r="B6122" i="1"/>
  <c r="A6122" i="1"/>
  <c r="H6121" i="1"/>
  <c r="G6121" i="1"/>
  <c r="E6121" i="1"/>
  <c r="B6121" i="1"/>
  <c r="A6121" i="1"/>
  <c r="H6120" i="1"/>
  <c r="G6120" i="1"/>
  <c r="E6120" i="1"/>
  <c r="B6120" i="1"/>
  <c r="A6120" i="1"/>
  <c r="H6119" i="1"/>
  <c r="G6119" i="1"/>
  <c r="E6119" i="1"/>
  <c r="B6119" i="1"/>
  <c r="A6119" i="1"/>
  <c r="H6118" i="1"/>
  <c r="G6118" i="1"/>
  <c r="E6118" i="1"/>
  <c r="B6118" i="1"/>
  <c r="A6118" i="1"/>
  <c r="H6117" i="1"/>
  <c r="G6117" i="1"/>
  <c r="E6117" i="1"/>
  <c r="B6117" i="1"/>
  <c r="A6117" i="1"/>
  <c r="H6116" i="1"/>
  <c r="G6116" i="1"/>
  <c r="E6116" i="1"/>
  <c r="B6116" i="1"/>
  <c r="A6116" i="1"/>
  <c r="H6115" i="1"/>
  <c r="G6115" i="1"/>
  <c r="E6115" i="1"/>
  <c r="B6115" i="1"/>
  <c r="A6115" i="1"/>
  <c r="H6114" i="1"/>
  <c r="G6114" i="1"/>
  <c r="E6114" i="1"/>
  <c r="B6114" i="1"/>
  <c r="A6114" i="1"/>
  <c r="H6113" i="1"/>
  <c r="G6113" i="1"/>
  <c r="E6113" i="1"/>
  <c r="B6113" i="1"/>
  <c r="A6113" i="1"/>
  <c r="H6112" i="1"/>
  <c r="G6112" i="1"/>
  <c r="E6112" i="1"/>
  <c r="B6112" i="1"/>
  <c r="A6112" i="1"/>
  <c r="H6111" i="1"/>
  <c r="G6111" i="1"/>
  <c r="E6111" i="1"/>
  <c r="B6111" i="1"/>
  <c r="A6111" i="1"/>
  <c r="H6110" i="1"/>
  <c r="G6110" i="1"/>
  <c r="E6110" i="1"/>
  <c r="B6110" i="1"/>
  <c r="A6110" i="1"/>
  <c r="H6109" i="1"/>
  <c r="G6109" i="1"/>
  <c r="E6109" i="1"/>
  <c r="B6109" i="1"/>
  <c r="A6109" i="1"/>
  <c r="H6108" i="1"/>
  <c r="G6108" i="1"/>
  <c r="E6108" i="1"/>
  <c r="B6108" i="1"/>
  <c r="A6108" i="1"/>
  <c r="H6107" i="1"/>
  <c r="G6107" i="1"/>
  <c r="E6107" i="1"/>
  <c r="B6107" i="1"/>
  <c r="A6107" i="1"/>
  <c r="H6106" i="1"/>
  <c r="G6106" i="1"/>
  <c r="E6106" i="1"/>
  <c r="B6106" i="1"/>
  <c r="A6106" i="1"/>
  <c r="H6105" i="1"/>
  <c r="G6105" i="1"/>
  <c r="E6105" i="1"/>
  <c r="B6105" i="1"/>
  <c r="A6105" i="1"/>
  <c r="H6104" i="1"/>
  <c r="G6104" i="1"/>
  <c r="E6104" i="1"/>
  <c r="B6104" i="1"/>
  <c r="A6104" i="1"/>
  <c r="H6103" i="1"/>
  <c r="G6103" i="1"/>
  <c r="E6103" i="1"/>
  <c r="B6103" i="1"/>
  <c r="A6103" i="1"/>
  <c r="H6102" i="1"/>
  <c r="G6102" i="1"/>
  <c r="B6102" i="1"/>
  <c r="A6102" i="1"/>
  <c r="H6101" i="1"/>
  <c r="G6101" i="1"/>
  <c r="E6101" i="1"/>
  <c r="B6101" i="1"/>
  <c r="A6101" i="1"/>
  <c r="H6100" i="1"/>
  <c r="G6100" i="1"/>
  <c r="E6100" i="1"/>
  <c r="B6100" i="1"/>
  <c r="A6100" i="1"/>
  <c r="H6099" i="1"/>
  <c r="G6099" i="1"/>
  <c r="E6099" i="1"/>
  <c r="B6099" i="1"/>
  <c r="A6099" i="1"/>
  <c r="H6098" i="1"/>
  <c r="G6098" i="1"/>
  <c r="E6098" i="1"/>
  <c r="B6098" i="1"/>
  <c r="A6098" i="1"/>
  <c r="H6097" i="1"/>
  <c r="G6097" i="1"/>
  <c r="E6097" i="1"/>
  <c r="B6097" i="1"/>
  <c r="A6097" i="1"/>
  <c r="H6096" i="1"/>
  <c r="G6096" i="1"/>
  <c r="E6096" i="1"/>
  <c r="B6096" i="1"/>
  <c r="A6096" i="1"/>
  <c r="H6095" i="1"/>
  <c r="G6095" i="1"/>
  <c r="E6095" i="1"/>
  <c r="B6095" i="1"/>
  <c r="A6095" i="1"/>
  <c r="H6094" i="1"/>
  <c r="G6094" i="1"/>
  <c r="E6094" i="1"/>
  <c r="B6094" i="1"/>
  <c r="A6094" i="1"/>
  <c r="H6093" i="1"/>
  <c r="G6093" i="1"/>
  <c r="E6093" i="1"/>
  <c r="B6093" i="1"/>
  <c r="A6093" i="1"/>
  <c r="H6092" i="1"/>
  <c r="G6092" i="1"/>
  <c r="E6092" i="1"/>
  <c r="B6092" i="1"/>
  <c r="A6092" i="1"/>
  <c r="H6091" i="1"/>
  <c r="G6091" i="1"/>
  <c r="E6091" i="1"/>
  <c r="B6091" i="1"/>
  <c r="A6091" i="1"/>
  <c r="H6090" i="1"/>
  <c r="G6090" i="1"/>
  <c r="E6090" i="1"/>
  <c r="B6090" i="1"/>
  <c r="A6090" i="1"/>
  <c r="H6089" i="1"/>
  <c r="G6089" i="1"/>
  <c r="E6089" i="1"/>
  <c r="B6089" i="1"/>
  <c r="A6089" i="1"/>
  <c r="H6088" i="1"/>
  <c r="G6088" i="1"/>
  <c r="E6088" i="1"/>
  <c r="B6088" i="1"/>
  <c r="A6088" i="1"/>
  <c r="H6087" i="1"/>
  <c r="G6087" i="1"/>
  <c r="E6087" i="1"/>
  <c r="B6087" i="1"/>
  <c r="A6087" i="1"/>
  <c r="H6086" i="1"/>
  <c r="G6086" i="1"/>
  <c r="E6086" i="1"/>
  <c r="B6086" i="1"/>
  <c r="A6086" i="1"/>
  <c r="H6085" i="1"/>
  <c r="G6085" i="1"/>
  <c r="E6085" i="1"/>
  <c r="B6085" i="1"/>
  <c r="A6085" i="1"/>
  <c r="H6084" i="1"/>
  <c r="G6084" i="1"/>
  <c r="E6084" i="1"/>
  <c r="B6084" i="1"/>
  <c r="A6084" i="1"/>
  <c r="H6083" i="1"/>
  <c r="G6083" i="1"/>
  <c r="E6083" i="1"/>
  <c r="B6083" i="1"/>
  <c r="A6083" i="1"/>
  <c r="H6082" i="1"/>
  <c r="G6082" i="1"/>
  <c r="E6082" i="1"/>
  <c r="B6082" i="1"/>
  <c r="A6082" i="1"/>
  <c r="H6081" i="1"/>
  <c r="G6081" i="1"/>
  <c r="E6081" i="1"/>
  <c r="B6081" i="1"/>
  <c r="A6081" i="1"/>
  <c r="H6080" i="1"/>
  <c r="G6080" i="1"/>
  <c r="E6080" i="1"/>
  <c r="B6080" i="1"/>
  <c r="A6080" i="1"/>
  <c r="H6079" i="1"/>
  <c r="G6079" i="1"/>
  <c r="E6079" i="1"/>
  <c r="B6079" i="1"/>
  <c r="A6079" i="1"/>
  <c r="H6078" i="1"/>
  <c r="G6078" i="1"/>
  <c r="E6078" i="1"/>
  <c r="B6078" i="1"/>
  <c r="A6078" i="1"/>
  <c r="H6077" i="1"/>
  <c r="G6077" i="1"/>
  <c r="E6077" i="1"/>
  <c r="B6077" i="1"/>
  <c r="A6077" i="1"/>
  <c r="H6076" i="1"/>
  <c r="G6076" i="1"/>
  <c r="E6076" i="1"/>
  <c r="B6076" i="1"/>
  <c r="A6076" i="1"/>
  <c r="H6075" i="1"/>
  <c r="G6075" i="1"/>
  <c r="E6075" i="1"/>
  <c r="B6075" i="1"/>
  <c r="A6075" i="1"/>
  <c r="H6074" i="1"/>
  <c r="G6074" i="1"/>
  <c r="E6074" i="1"/>
  <c r="B6074" i="1"/>
  <c r="A6074" i="1"/>
  <c r="H6073" i="1"/>
  <c r="G6073" i="1"/>
  <c r="E6073" i="1"/>
  <c r="B6073" i="1"/>
  <c r="A6073" i="1"/>
  <c r="H6072" i="1"/>
  <c r="G6072" i="1"/>
  <c r="E6072" i="1"/>
  <c r="B6072" i="1"/>
  <c r="A6072" i="1"/>
  <c r="H6071" i="1"/>
  <c r="G6071" i="1"/>
  <c r="E6071" i="1"/>
  <c r="B6071" i="1"/>
  <c r="A6071" i="1"/>
  <c r="H6070" i="1"/>
  <c r="G6070" i="1"/>
  <c r="E6070" i="1"/>
  <c r="B6070" i="1"/>
  <c r="A6070" i="1"/>
  <c r="H6069" i="1"/>
  <c r="G6069" i="1"/>
  <c r="E6069" i="1"/>
  <c r="B6069" i="1"/>
  <c r="A6069" i="1"/>
  <c r="H6068" i="1"/>
  <c r="G6068" i="1"/>
  <c r="E6068" i="1"/>
  <c r="B6068" i="1"/>
  <c r="A6068" i="1"/>
  <c r="H6067" i="1"/>
  <c r="G6067" i="1"/>
  <c r="E6067" i="1"/>
  <c r="B6067" i="1"/>
  <c r="A6067" i="1"/>
  <c r="H6066" i="1"/>
  <c r="G6066" i="1"/>
  <c r="E6066" i="1"/>
  <c r="B6066" i="1"/>
  <c r="A6066" i="1"/>
  <c r="H6065" i="1"/>
  <c r="G6065" i="1"/>
  <c r="E6065" i="1"/>
  <c r="B6065" i="1"/>
  <c r="A6065" i="1"/>
  <c r="H6064" i="1"/>
  <c r="G6064" i="1"/>
  <c r="E6064" i="1"/>
  <c r="B6064" i="1"/>
  <c r="A6064" i="1"/>
  <c r="H6063" i="1"/>
  <c r="G6063" i="1"/>
  <c r="E6063" i="1"/>
  <c r="B6063" i="1"/>
  <c r="A6063" i="1"/>
  <c r="H6062" i="1"/>
  <c r="G6062" i="1"/>
  <c r="E6062" i="1"/>
  <c r="B6062" i="1"/>
  <c r="A6062" i="1"/>
  <c r="H6061" i="1"/>
  <c r="G6061" i="1"/>
  <c r="E6061" i="1"/>
  <c r="B6061" i="1"/>
  <c r="A6061" i="1"/>
  <c r="H6060" i="1"/>
  <c r="G6060" i="1"/>
  <c r="E6060" i="1"/>
  <c r="B6060" i="1"/>
  <c r="A6060" i="1"/>
  <c r="H6059" i="1"/>
  <c r="G6059" i="1"/>
  <c r="E6059" i="1"/>
  <c r="B6059" i="1"/>
  <c r="A6059" i="1"/>
  <c r="H6058" i="1"/>
  <c r="G6058" i="1"/>
  <c r="E6058" i="1"/>
  <c r="B6058" i="1"/>
  <c r="A6058" i="1"/>
  <c r="H6057" i="1"/>
  <c r="G6057" i="1"/>
  <c r="E6057" i="1"/>
  <c r="B6057" i="1"/>
  <c r="A6057" i="1"/>
  <c r="H6056" i="1"/>
  <c r="G6056" i="1"/>
  <c r="E6056" i="1"/>
  <c r="B6056" i="1"/>
  <c r="A6056" i="1"/>
  <c r="H6055" i="1"/>
  <c r="G6055" i="1"/>
  <c r="E6055" i="1"/>
  <c r="B6055" i="1"/>
  <c r="A6055" i="1"/>
  <c r="H6054" i="1"/>
  <c r="G6054" i="1"/>
  <c r="E6054" i="1"/>
  <c r="B6054" i="1"/>
  <c r="A6054" i="1"/>
  <c r="H6053" i="1"/>
  <c r="G6053" i="1"/>
  <c r="E6053" i="1"/>
  <c r="B6053" i="1"/>
  <c r="A6053" i="1"/>
  <c r="H6052" i="1"/>
  <c r="G6052" i="1"/>
  <c r="E6052" i="1"/>
  <c r="B6052" i="1"/>
  <c r="A6052" i="1"/>
  <c r="H6051" i="1"/>
  <c r="G6051" i="1"/>
  <c r="E6051" i="1"/>
  <c r="B6051" i="1"/>
  <c r="A6051" i="1"/>
  <c r="H6050" i="1"/>
  <c r="G6050" i="1"/>
  <c r="E6050" i="1"/>
  <c r="B6050" i="1"/>
  <c r="A6050" i="1"/>
  <c r="H6049" i="1"/>
  <c r="G6049" i="1"/>
  <c r="E6049" i="1"/>
  <c r="B6049" i="1"/>
  <c r="A6049" i="1"/>
  <c r="H6048" i="1"/>
  <c r="G6048" i="1"/>
  <c r="E6048" i="1"/>
  <c r="B6048" i="1"/>
  <c r="A6048" i="1"/>
  <c r="H6047" i="1"/>
  <c r="G6047" i="1"/>
  <c r="E6047" i="1"/>
  <c r="B6047" i="1"/>
  <c r="A6047" i="1"/>
  <c r="H6046" i="1"/>
  <c r="G6046" i="1"/>
  <c r="E6046" i="1"/>
  <c r="B6046" i="1"/>
  <c r="A6046" i="1"/>
  <c r="H6045" i="1"/>
  <c r="G6045" i="1"/>
  <c r="E6045" i="1"/>
  <c r="B6045" i="1"/>
  <c r="A6045" i="1"/>
  <c r="H6044" i="1"/>
  <c r="G6044" i="1"/>
  <c r="E6044" i="1"/>
  <c r="B6044" i="1"/>
  <c r="A6044" i="1"/>
  <c r="H6043" i="1"/>
  <c r="G6043" i="1"/>
  <c r="E6043" i="1"/>
  <c r="B6043" i="1"/>
  <c r="A6043" i="1"/>
  <c r="H6042" i="1"/>
  <c r="G6042" i="1"/>
  <c r="E6042" i="1"/>
  <c r="B6042" i="1"/>
  <c r="A6042" i="1"/>
  <c r="H6041" i="1"/>
  <c r="G6041" i="1"/>
  <c r="E6041" i="1"/>
  <c r="B6041" i="1"/>
  <c r="A6041" i="1"/>
  <c r="H6040" i="1"/>
  <c r="G6040" i="1"/>
  <c r="E6040" i="1"/>
  <c r="B6040" i="1"/>
  <c r="A6040" i="1"/>
  <c r="H6039" i="1"/>
  <c r="G6039" i="1"/>
  <c r="E6039" i="1"/>
  <c r="B6039" i="1"/>
  <c r="A6039" i="1"/>
  <c r="H6038" i="1"/>
  <c r="G6038" i="1"/>
  <c r="E6038" i="1"/>
  <c r="B6038" i="1"/>
  <c r="A6038" i="1"/>
  <c r="H6037" i="1"/>
  <c r="G6037" i="1"/>
  <c r="E6037" i="1"/>
  <c r="B6037" i="1"/>
  <c r="A6037" i="1"/>
  <c r="H6036" i="1"/>
  <c r="G6036" i="1"/>
  <c r="E6036" i="1"/>
  <c r="B6036" i="1"/>
  <c r="A6036" i="1"/>
  <c r="H6035" i="1"/>
  <c r="G6035" i="1"/>
  <c r="E6035" i="1"/>
  <c r="B6035" i="1"/>
  <c r="A6035" i="1"/>
  <c r="H6034" i="1"/>
  <c r="G6034" i="1"/>
  <c r="E6034" i="1"/>
  <c r="B6034" i="1"/>
  <c r="A6034" i="1"/>
  <c r="H6033" i="1"/>
  <c r="G6033" i="1"/>
  <c r="E6033" i="1"/>
  <c r="B6033" i="1"/>
  <c r="A6033" i="1"/>
  <c r="H6032" i="1"/>
  <c r="G6032" i="1"/>
  <c r="E6032" i="1"/>
  <c r="B6032" i="1"/>
  <c r="A6032" i="1"/>
  <c r="H6031" i="1"/>
  <c r="G6031" i="1"/>
  <c r="E6031" i="1"/>
  <c r="B6031" i="1"/>
  <c r="A6031" i="1"/>
  <c r="H6030" i="1"/>
  <c r="G6030" i="1"/>
  <c r="E6030" i="1"/>
  <c r="B6030" i="1"/>
  <c r="A6030" i="1"/>
  <c r="H6029" i="1"/>
  <c r="G6029" i="1"/>
  <c r="E6029" i="1"/>
  <c r="B6029" i="1"/>
  <c r="A6029" i="1"/>
  <c r="H6028" i="1"/>
  <c r="G6028" i="1"/>
  <c r="E6028" i="1"/>
  <c r="B6028" i="1"/>
  <c r="A6028" i="1"/>
  <c r="H6027" i="1"/>
  <c r="G6027" i="1"/>
  <c r="E6027" i="1"/>
  <c r="B6027" i="1"/>
  <c r="A6027" i="1"/>
  <c r="H6026" i="1"/>
  <c r="G6026" i="1"/>
  <c r="E6026" i="1"/>
  <c r="B6026" i="1"/>
  <c r="A6026" i="1"/>
  <c r="H6025" i="1"/>
  <c r="G6025" i="1"/>
  <c r="E6025" i="1"/>
  <c r="B6025" i="1"/>
  <c r="A6025" i="1"/>
  <c r="H6024" i="1"/>
  <c r="G6024" i="1"/>
  <c r="E6024" i="1"/>
  <c r="B6024" i="1"/>
  <c r="A6024" i="1"/>
  <c r="H6023" i="1"/>
  <c r="G6023" i="1"/>
  <c r="E6023" i="1"/>
  <c r="B6023" i="1"/>
  <c r="A6023" i="1"/>
  <c r="H6022" i="1"/>
  <c r="G6022" i="1"/>
  <c r="E6022" i="1"/>
  <c r="B6022" i="1"/>
  <c r="A6022" i="1"/>
  <c r="H6021" i="1"/>
  <c r="G6021" i="1"/>
  <c r="E6021" i="1"/>
  <c r="B6021" i="1"/>
  <c r="A6021" i="1"/>
  <c r="H6020" i="1"/>
  <c r="G6020" i="1"/>
  <c r="E6020" i="1"/>
  <c r="B6020" i="1"/>
  <c r="A6020" i="1"/>
  <c r="H6019" i="1"/>
  <c r="G6019" i="1"/>
  <c r="E6019" i="1"/>
  <c r="B6019" i="1"/>
  <c r="A6019" i="1"/>
  <c r="H6018" i="1"/>
  <c r="G6018" i="1"/>
  <c r="E6018" i="1"/>
  <c r="B6018" i="1"/>
  <c r="A6018" i="1"/>
  <c r="H6017" i="1"/>
  <c r="G6017" i="1"/>
  <c r="E6017" i="1"/>
  <c r="B6017" i="1"/>
  <c r="A6017" i="1"/>
  <c r="H6016" i="1"/>
  <c r="G6016" i="1"/>
  <c r="E6016" i="1"/>
  <c r="B6016" i="1"/>
  <c r="A6016" i="1"/>
  <c r="H6015" i="1"/>
  <c r="G6015" i="1"/>
  <c r="E6015" i="1"/>
  <c r="B6015" i="1"/>
  <c r="A6015" i="1"/>
  <c r="H6014" i="1"/>
  <c r="G6014" i="1"/>
  <c r="E6014" i="1"/>
  <c r="B6014" i="1"/>
  <c r="A6014" i="1"/>
  <c r="H6013" i="1"/>
  <c r="G6013" i="1"/>
  <c r="E6013" i="1"/>
  <c r="B6013" i="1"/>
  <c r="A6013" i="1"/>
  <c r="H6012" i="1"/>
  <c r="G6012" i="1"/>
  <c r="E6012" i="1"/>
  <c r="B6012" i="1"/>
  <c r="A6012" i="1"/>
  <c r="H6011" i="1"/>
  <c r="G6011" i="1"/>
  <c r="E6011" i="1"/>
  <c r="B6011" i="1"/>
  <c r="A6011" i="1"/>
  <c r="H6010" i="1"/>
  <c r="G6010" i="1"/>
  <c r="E6010" i="1"/>
  <c r="B6010" i="1"/>
  <c r="A6010" i="1"/>
  <c r="H6009" i="1"/>
  <c r="G6009" i="1"/>
  <c r="E6009" i="1"/>
  <c r="B6009" i="1"/>
  <c r="A6009" i="1"/>
  <c r="H6008" i="1"/>
  <c r="G6008" i="1"/>
  <c r="E6008" i="1"/>
  <c r="B6008" i="1"/>
  <c r="A6008" i="1"/>
  <c r="H6007" i="1"/>
  <c r="G6007" i="1"/>
  <c r="E6007" i="1"/>
  <c r="B6007" i="1"/>
  <c r="A6007" i="1"/>
  <c r="H6006" i="1"/>
  <c r="G6006" i="1"/>
  <c r="E6006" i="1"/>
  <c r="B6006" i="1"/>
  <c r="A6006" i="1"/>
  <c r="H6005" i="1"/>
  <c r="G6005" i="1"/>
  <c r="E6005" i="1"/>
  <c r="B6005" i="1"/>
  <c r="A6005" i="1"/>
  <c r="H6004" i="1"/>
  <c r="G6004" i="1"/>
  <c r="E6004" i="1"/>
  <c r="B6004" i="1"/>
  <c r="A6004" i="1"/>
  <c r="H6003" i="1"/>
  <c r="G6003" i="1"/>
  <c r="E6003" i="1"/>
  <c r="B6003" i="1"/>
  <c r="A6003" i="1"/>
  <c r="H6002" i="1"/>
  <c r="G6002" i="1"/>
  <c r="E6002" i="1"/>
  <c r="B6002" i="1"/>
  <c r="A6002" i="1"/>
  <c r="H6001" i="1"/>
  <c r="G6001" i="1"/>
  <c r="E6001" i="1"/>
  <c r="B6001" i="1"/>
  <c r="A6001" i="1"/>
  <c r="H6000" i="1"/>
  <c r="G6000" i="1"/>
  <c r="E6000" i="1"/>
  <c r="B6000" i="1"/>
  <c r="A6000" i="1"/>
  <c r="H5999" i="1"/>
  <c r="G5999" i="1"/>
  <c r="E5999" i="1"/>
  <c r="B5999" i="1"/>
  <c r="A5999" i="1"/>
  <c r="H5998" i="1"/>
  <c r="G5998" i="1"/>
  <c r="E5998" i="1"/>
  <c r="B5998" i="1"/>
  <c r="A5998" i="1"/>
  <c r="H5997" i="1"/>
  <c r="G5997" i="1"/>
  <c r="E5997" i="1"/>
  <c r="B5997" i="1"/>
  <c r="A5997" i="1"/>
  <c r="H5996" i="1"/>
  <c r="G5996" i="1"/>
  <c r="E5996" i="1"/>
  <c r="B5996" i="1"/>
  <c r="A5996" i="1"/>
  <c r="H5995" i="1"/>
  <c r="G5995" i="1"/>
  <c r="E5995" i="1"/>
  <c r="B5995" i="1"/>
  <c r="A5995" i="1"/>
  <c r="H5994" i="1"/>
  <c r="G5994" i="1"/>
  <c r="E5994" i="1"/>
  <c r="B5994" i="1"/>
  <c r="A5994" i="1"/>
  <c r="H5993" i="1"/>
  <c r="G5993" i="1"/>
  <c r="E5993" i="1"/>
  <c r="B5993" i="1"/>
  <c r="A5993" i="1"/>
  <c r="H5992" i="1"/>
  <c r="G5992" i="1"/>
  <c r="E5992" i="1"/>
  <c r="B5992" i="1"/>
  <c r="A5992" i="1"/>
  <c r="H5991" i="1"/>
  <c r="G5991" i="1"/>
  <c r="E5991" i="1"/>
  <c r="B5991" i="1"/>
  <c r="A5991" i="1"/>
  <c r="H5990" i="1"/>
  <c r="G5990" i="1"/>
  <c r="E5990" i="1"/>
  <c r="B5990" i="1"/>
  <c r="A5990" i="1"/>
  <c r="H5989" i="1"/>
  <c r="G5989" i="1"/>
  <c r="E5989" i="1"/>
  <c r="B5989" i="1"/>
  <c r="A5989" i="1"/>
  <c r="H5988" i="1"/>
  <c r="G5988" i="1"/>
  <c r="E5988" i="1"/>
  <c r="B5988" i="1"/>
  <c r="A5988" i="1"/>
  <c r="H5987" i="1"/>
  <c r="G5987" i="1"/>
  <c r="E5987" i="1"/>
  <c r="B5987" i="1"/>
  <c r="A5987" i="1"/>
  <c r="H5986" i="1"/>
  <c r="G5986" i="1"/>
  <c r="E5986" i="1"/>
  <c r="B5986" i="1"/>
  <c r="A5986" i="1"/>
  <c r="H5985" i="1"/>
  <c r="G5985" i="1"/>
  <c r="E5985" i="1"/>
  <c r="B5985" i="1"/>
  <c r="A5985" i="1"/>
  <c r="H5984" i="1"/>
  <c r="G5984" i="1"/>
  <c r="E5984" i="1"/>
  <c r="B5984" i="1"/>
  <c r="A5984" i="1"/>
  <c r="H5983" i="1"/>
  <c r="G5983" i="1"/>
  <c r="E5983" i="1"/>
  <c r="B5983" i="1"/>
  <c r="A5983" i="1"/>
  <c r="H5982" i="1"/>
  <c r="G5982" i="1"/>
  <c r="E5982" i="1"/>
  <c r="B5982" i="1"/>
  <c r="A5982" i="1"/>
  <c r="H5981" i="1"/>
  <c r="G5981" i="1"/>
  <c r="E5981" i="1"/>
  <c r="B5981" i="1"/>
  <c r="A5981" i="1"/>
  <c r="H5980" i="1"/>
  <c r="G5980" i="1"/>
  <c r="E5980" i="1"/>
  <c r="B5980" i="1"/>
  <c r="A5980" i="1"/>
  <c r="H5979" i="1"/>
  <c r="G5979" i="1"/>
  <c r="E5979" i="1"/>
  <c r="B5979" i="1"/>
  <c r="A5979" i="1"/>
  <c r="H5978" i="1"/>
  <c r="G5978" i="1"/>
  <c r="E5978" i="1"/>
  <c r="B5978" i="1"/>
  <c r="A5978" i="1"/>
  <c r="H5977" i="1"/>
  <c r="G5977" i="1"/>
  <c r="E5977" i="1"/>
  <c r="B5977" i="1"/>
  <c r="A5977" i="1"/>
  <c r="H5976" i="1"/>
  <c r="G5976" i="1"/>
  <c r="E5976" i="1"/>
  <c r="B5976" i="1"/>
  <c r="A5976" i="1"/>
  <c r="H5975" i="1"/>
  <c r="G5975" i="1"/>
  <c r="E5975" i="1"/>
  <c r="B5975" i="1"/>
  <c r="A5975" i="1"/>
  <c r="H5974" i="1"/>
  <c r="G5974" i="1"/>
  <c r="E5974" i="1"/>
  <c r="B5974" i="1"/>
  <c r="A5974" i="1"/>
  <c r="H5973" i="1"/>
  <c r="G5973" i="1"/>
  <c r="E5973" i="1"/>
  <c r="B5973" i="1"/>
  <c r="A5973" i="1"/>
  <c r="H5972" i="1"/>
  <c r="G5972" i="1"/>
  <c r="E5972" i="1"/>
  <c r="B5972" i="1"/>
  <c r="A5972" i="1"/>
  <c r="H5971" i="1"/>
  <c r="G5971" i="1"/>
  <c r="E5971" i="1"/>
  <c r="B5971" i="1"/>
  <c r="A5971" i="1"/>
  <c r="H5970" i="1"/>
  <c r="G5970" i="1"/>
  <c r="E5970" i="1"/>
  <c r="B5970" i="1"/>
  <c r="A5970" i="1"/>
  <c r="H5969" i="1"/>
  <c r="G5969" i="1"/>
  <c r="E5969" i="1"/>
  <c r="B5969" i="1"/>
  <c r="A5969" i="1"/>
  <c r="H5968" i="1"/>
  <c r="G5968" i="1"/>
  <c r="E5968" i="1"/>
  <c r="B5968" i="1"/>
  <c r="A5968" i="1"/>
  <c r="H5967" i="1"/>
  <c r="G5967" i="1"/>
  <c r="E5967" i="1"/>
  <c r="B5967" i="1"/>
  <c r="A5967" i="1"/>
  <c r="H5966" i="1"/>
  <c r="G5966" i="1"/>
  <c r="E5966" i="1"/>
  <c r="B5966" i="1"/>
  <c r="A5966" i="1"/>
  <c r="H5965" i="1"/>
  <c r="G5965" i="1"/>
  <c r="E5965" i="1"/>
  <c r="B5965" i="1"/>
  <c r="A5965" i="1"/>
  <c r="H5964" i="1"/>
  <c r="G5964" i="1"/>
  <c r="E5964" i="1"/>
  <c r="B5964" i="1"/>
  <c r="A5964" i="1"/>
  <c r="H5963" i="1"/>
  <c r="G5963" i="1"/>
  <c r="E5963" i="1"/>
  <c r="B5963" i="1"/>
  <c r="A5963" i="1"/>
  <c r="H5962" i="1"/>
  <c r="G5962" i="1"/>
  <c r="E5962" i="1"/>
  <c r="B5962" i="1"/>
  <c r="A5962" i="1"/>
  <c r="H5961" i="1"/>
  <c r="G5961" i="1"/>
  <c r="E5961" i="1"/>
  <c r="B5961" i="1"/>
  <c r="A5961" i="1"/>
  <c r="H5960" i="1"/>
  <c r="G5960" i="1"/>
  <c r="E5960" i="1"/>
  <c r="B5960" i="1"/>
  <c r="A5960" i="1"/>
  <c r="H5959" i="1"/>
  <c r="G5959" i="1"/>
  <c r="E5959" i="1"/>
  <c r="B5959" i="1"/>
  <c r="A5959" i="1"/>
  <c r="H5958" i="1"/>
  <c r="G5958" i="1"/>
  <c r="E5958" i="1"/>
  <c r="B5958" i="1"/>
  <c r="A5958" i="1"/>
  <c r="H5957" i="1"/>
  <c r="G5957" i="1"/>
  <c r="E5957" i="1"/>
  <c r="B5957" i="1"/>
  <c r="A5957" i="1"/>
  <c r="H5956" i="1"/>
  <c r="G5956" i="1"/>
  <c r="E5956" i="1"/>
  <c r="B5956" i="1"/>
  <c r="A5956" i="1"/>
  <c r="H5955" i="1"/>
  <c r="G5955" i="1"/>
  <c r="E5955" i="1"/>
  <c r="B5955" i="1"/>
  <c r="A5955" i="1"/>
  <c r="H5954" i="1"/>
  <c r="G5954" i="1"/>
  <c r="E5954" i="1"/>
  <c r="B5954" i="1"/>
  <c r="A5954" i="1"/>
  <c r="H5953" i="1"/>
  <c r="G5953" i="1"/>
  <c r="E5953" i="1"/>
  <c r="B5953" i="1"/>
  <c r="A5953" i="1"/>
  <c r="H5952" i="1"/>
  <c r="G5952" i="1"/>
  <c r="E5952" i="1"/>
  <c r="B5952" i="1"/>
  <c r="A5952" i="1"/>
  <c r="H5951" i="1"/>
  <c r="G5951" i="1"/>
  <c r="E5951" i="1"/>
  <c r="B5951" i="1"/>
  <c r="A5951" i="1"/>
  <c r="H5950" i="1"/>
  <c r="G5950" i="1"/>
  <c r="E5950" i="1"/>
  <c r="B5950" i="1"/>
  <c r="A5950" i="1"/>
  <c r="H5949" i="1"/>
  <c r="G5949" i="1"/>
  <c r="E5949" i="1"/>
  <c r="B5949" i="1"/>
  <c r="A5949" i="1"/>
  <c r="H5948" i="1"/>
  <c r="G5948" i="1"/>
  <c r="E5948" i="1"/>
  <c r="B5948" i="1"/>
  <c r="A5948" i="1"/>
  <c r="H5947" i="1"/>
  <c r="G5947" i="1"/>
  <c r="E5947" i="1"/>
  <c r="B5947" i="1"/>
  <c r="A5947" i="1"/>
  <c r="H5946" i="1"/>
  <c r="G5946" i="1"/>
  <c r="E5946" i="1"/>
  <c r="B5946" i="1"/>
  <c r="A5946" i="1"/>
  <c r="H5945" i="1"/>
  <c r="G5945" i="1"/>
  <c r="E5945" i="1"/>
  <c r="B5945" i="1"/>
  <c r="A5945" i="1"/>
  <c r="H5944" i="1"/>
  <c r="G5944" i="1"/>
  <c r="E5944" i="1"/>
  <c r="B5944" i="1"/>
  <c r="A5944" i="1"/>
  <c r="H5943" i="1"/>
  <c r="G5943" i="1"/>
  <c r="E5943" i="1"/>
  <c r="B5943" i="1"/>
  <c r="A5943" i="1"/>
  <c r="H5942" i="1"/>
  <c r="G5942" i="1"/>
  <c r="E5942" i="1"/>
  <c r="B5942" i="1"/>
  <c r="A5942" i="1"/>
  <c r="H5941" i="1"/>
  <c r="G5941" i="1"/>
  <c r="E5941" i="1"/>
  <c r="B5941" i="1"/>
  <c r="A5941" i="1"/>
  <c r="H5940" i="1"/>
  <c r="G5940" i="1"/>
  <c r="E5940" i="1"/>
  <c r="B5940" i="1"/>
  <c r="A5940" i="1"/>
  <c r="H5939" i="1"/>
  <c r="G5939" i="1"/>
  <c r="E5939" i="1"/>
  <c r="B5939" i="1"/>
  <c r="A5939" i="1"/>
  <c r="H5938" i="1"/>
  <c r="G5938" i="1"/>
  <c r="E5938" i="1"/>
  <c r="B5938" i="1"/>
  <c r="A5938" i="1"/>
  <c r="H5937" i="1"/>
  <c r="G5937" i="1"/>
  <c r="E5937" i="1"/>
  <c r="B5937" i="1"/>
  <c r="A5937" i="1"/>
  <c r="H5936" i="1"/>
  <c r="G5936" i="1"/>
  <c r="E5936" i="1"/>
  <c r="B5936" i="1"/>
  <c r="A5936" i="1"/>
  <c r="H5935" i="1"/>
  <c r="G5935" i="1"/>
  <c r="E5935" i="1"/>
  <c r="B5935" i="1"/>
  <c r="A5935" i="1"/>
  <c r="H5934" i="1"/>
  <c r="G5934" i="1"/>
  <c r="E5934" i="1"/>
  <c r="B5934" i="1"/>
  <c r="A5934" i="1"/>
  <c r="H5933" i="1"/>
  <c r="G5933" i="1"/>
  <c r="E5933" i="1"/>
  <c r="B5933" i="1"/>
  <c r="A5933" i="1"/>
  <c r="H5932" i="1"/>
  <c r="G5932" i="1"/>
  <c r="E5932" i="1"/>
  <c r="B5932" i="1"/>
  <c r="A5932" i="1"/>
  <c r="H5931" i="1"/>
  <c r="G5931" i="1"/>
  <c r="E5931" i="1"/>
  <c r="B5931" i="1"/>
  <c r="A5931" i="1"/>
  <c r="H5930" i="1"/>
  <c r="G5930" i="1"/>
  <c r="E5930" i="1"/>
  <c r="B5930" i="1"/>
  <c r="A5930" i="1"/>
  <c r="H5929" i="1"/>
  <c r="G5929" i="1"/>
  <c r="E5929" i="1"/>
  <c r="B5929" i="1"/>
  <c r="A5929" i="1"/>
  <c r="H5928" i="1"/>
  <c r="G5928" i="1"/>
  <c r="E5928" i="1"/>
  <c r="B5928" i="1"/>
  <c r="A5928" i="1"/>
  <c r="H5927" i="1"/>
  <c r="G5927" i="1"/>
  <c r="E5927" i="1"/>
  <c r="B5927" i="1"/>
  <c r="A5927" i="1"/>
  <c r="H5926" i="1"/>
  <c r="G5926" i="1"/>
  <c r="E5926" i="1"/>
  <c r="B5926" i="1"/>
  <c r="A5926" i="1"/>
  <c r="H5925" i="1"/>
  <c r="G5925" i="1"/>
  <c r="E5925" i="1"/>
  <c r="B5925" i="1"/>
  <c r="A5925" i="1"/>
  <c r="H5924" i="1"/>
  <c r="G5924" i="1"/>
  <c r="E5924" i="1"/>
  <c r="B5924" i="1"/>
  <c r="A5924" i="1"/>
  <c r="H5923" i="1"/>
  <c r="G5923" i="1"/>
  <c r="E5923" i="1"/>
  <c r="B5923" i="1"/>
  <c r="A5923" i="1"/>
  <c r="H5922" i="1"/>
  <c r="G5922" i="1"/>
  <c r="E5922" i="1"/>
  <c r="B5922" i="1"/>
  <c r="A5922" i="1"/>
  <c r="H5921" i="1"/>
  <c r="G5921" i="1"/>
  <c r="E5921" i="1"/>
  <c r="B5921" i="1"/>
  <c r="A5921" i="1"/>
  <c r="H5920" i="1"/>
  <c r="G5920" i="1"/>
  <c r="E5920" i="1"/>
  <c r="B5920" i="1"/>
  <c r="A5920" i="1"/>
  <c r="H5919" i="1"/>
  <c r="G5919" i="1"/>
  <c r="E5919" i="1"/>
  <c r="B5919" i="1"/>
  <c r="A5919" i="1"/>
  <c r="H5918" i="1"/>
  <c r="G5918" i="1"/>
  <c r="E5918" i="1"/>
  <c r="B5918" i="1"/>
  <c r="A5918" i="1"/>
  <c r="H5917" i="1"/>
  <c r="G5917" i="1"/>
  <c r="E5917" i="1"/>
  <c r="B5917" i="1"/>
  <c r="A5917" i="1"/>
  <c r="H5916" i="1"/>
  <c r="G5916" i="1"/>
  <c r="E5916" i="1"/>
  <c r="B5916" i="1"/>
  <c r="A5916" i="1"/>
  <c r="H5915" i="1"/>
  <c r="G5915" i="1"/>
  <c r="E5915" i="1"/>
  <c r="B5915" i="1"/>
  <c r="A5915" i="1"/>
  <c r="H5914" i="1"/>
  <c r="G5914" i="1"/>
  <c r="E5914" i="1"/>
  <c r="B5914" i="1"/>
  <c r="A5914" i="1"/>
  <c r="H5913" i="1"/>
  <c r="G5913" i="1"/>
  <c r="E5913" i="1"/>
  <c r="B5913" i="1"/>
  <c r="A5913" i="1"/>
  <c r="H5912" i="1"/>
  <c r="G5912" i="1"/>
  <c r="E5912" i="1"/>
  <c r="B5912" i="1"/>
  <c r="A5912" i="1"/>
  <c r="H5911" i="1"/>
  <c r="G5911" i="1"/>
  <c r="E5911" i="1"/>
  <c r="B5911" i="1"/>
  <c r="A5911" i="1"/>
  <c r="H5910" i="1"/>
  <c r="G5910" i="1"/>
  <c r="E5910" i="1"/>
  <c r="B5910" i="1"/>
  <c r="A5910" i="1"/>
  <c r="H5909" i="1"/>
  <c r="G5909" i="1"/>
  <c r="E5909" i="1"/>
  <c r="B5909" i="1"/>
  <c r="A5909" i="1"/>
  <c r="H5908" i="1"/>
  <c r="G5908" i="1"/>
  <c r="E5908" i="1"/>
  <c r="B5908" i="1"/>
  <c r="A5908" i="1"/>
  <c r="H5907" i="1"/>
  <c r="G5907" i="1"/>
  <c r="E5907" i="1"/>
  <c r="B5907" i="1"/>
  <c r="A5907" i="1"/>
  <c r="H5906" i="1"/>
  <c r="G5906" i="1"/>
  <c r="E5906" i="1"/>
  <c r="B5906" i="1"/>
  <c r="A5906" i="1"/>
  <c r="H5905" i="1"/>
  <c r="G5905" i="1"/>
  <c r="E5905" i="1"/>
  <c r="B5905" i="1"/>
  <c r="A5905" i="1"/>
  <c r="H5904" i="1"/>
  <c r="G5904" i="1"/>
  <c r="E5904" i="1"/>
  <c r="B5904" i="1"/>
  <c r="A5904" i="1"/>
  <c r="H5903" i="1"/>
  <c r="G5903" i="1"/>
  <c r="E5903" i="1"/>
  <c r="B5903" i="1"/>
  <c r="A5903" i="1"/>
  <c r="H5902" i="1"/>
  <c r="G5902" i="1"/>
  <c r="E5902" i="1"/>
  <c r="B5902" i="1"/>
  <c r="A5902" i="1"/>
  <c r="H5901" i="1"/>
  <c r="G5901" i="1"/>
  <c r="E5901" i="1"/>
  <c r="B5901" i="1"/>
  <c r="A5901" i="1"/>
  <c r="H5900" i="1"/>
  <c r="G5900" i="1"/>
  <c r="E5900" i="1"/>
  <c r="B5900" i="1"/>
  <c r="A5900" i="1"/>
  <c r="H5899" i="1"/>
  <c r="G5899" i="1"/>
  <c r="E5899" i="1"/>
  <c r="B5899" i="1"/>
  <c r="A5899" i="1"/>
  <c r="H5898" i="1"/>
  <c r="G5898" i="1"/>
  <c r="E5898" i="1"/>
  <c r="B5898" i="1"/>
  <c r="A5898" i="1"/>
  <c r="H5897" i="1"/>
  <c r="G5897" i="1"/>
  <c r="E5897" i="1"/>
  <c r="B5897" i="1"/>
  <c r="A5897" i="1"/>
  <c r="H5896" i="1"/>
  <c r="G5896" i="1"/>
  <c r="E5896" i="1"/>
  <c r="B5896" i="1"/>
  <c r="A5896" i="1"/>
  <c r="H5895" i="1"/>
  <c r="G5895" i="1"/>
  <c r="E5895" i="1"/>
  <c r="B5895" i="1"/>
  <c r="A5895" i="1"/>
  <c r="H5894" i="1"/>
  <c r="G5894" i="1"/>
  <c r="E5894" i="1"/>
  <c r="B5894" i="1"/>
  <c r="A5894" i="1"/>
  <c r="H5893" i="1"/>
  <c r="G5893" i="1"/>
  <c r="E5893" i="1"/>
  <c r="B5893" i="1"/>
  <c r="A5893" i="1"/>
  <c r="H5892" i="1"/>
  <c r="G5892" i="1"/>
  <c r="E5892" i="1"/>
  <c r="B5892" i="1"/>
  <c r="A5892" i="1"/>
  <c r="H5891" i="1"/>
  <c r="G5891" i="1"/>
  <c r="E5891" i="1"/>
  <c r="B5891" i="1"/>
  <c r="A5891" i="1"/>
  <c r="H5890" i="1"/>
  <c r="G5890" i="1"/>
  <c r="E5890" i="1"/>
  <c r="B5890" i="1"/>
  <c r="A5890" i="1"/>
  <c r="H5889" i="1"/>
  <c r="G5889" i="1"/>
  <c r="E5889" i="1"/>
  <c r="B5889" i="1"/>
  <c r="A5889" i="1"/>
  <c r="H5888" i="1"/>
  <c r="G5888" i="1"/>
  <c r="E5888" i="1"/>
  <c r="B5888" i="1"/>
  <c r="A5888" i="1"/>
  <c r="H5887" i="1"/>
  <c r="G5887" i="1"/>
  <c r="E5887" i="1"/>
  <c r="B5887" i="1"/>
  <c r="A5887" i="1"/>
  <c r="H5886" i="1"/>
  <c r="G5886" i="1"/>
  <c r="E5886" i="1"/>
  <c r="B5886" i="1"/>
  <c r="A5886" i="1"/>
  <c r="H5885" i="1"/>
  <c r="G5885" i="1"/>
  <c r="E5885" i="1"/>
  <c r="B5885" i="1"/>
  <c r="A5885" i="1"/>
  <c r="H5884" i="1"/>
  <c r="G5884" i="1"/>
  <c r="E5884" i="1"/>
  <c r="B5884" i="1"/>
  <c r="A5884" i="1"/>
  <c r="H5883" i="1"/>
  <c r="G5883" i="1"/>
  <c r="E5883" i="1"/>
  <c r="B5883" i="1"/>
  <c r="A5883" i="1"/>
  <c r="H5882" i="1"/>
  <c r="G5882" i="1"/>
  <c r="E5882" i="1"/>
  <c r="B5882" i="1"/>
  <c r="A5882" i="1"/>
  <c r="H5881" i="1"/>
  <c r="G5881" i="1"/>
  <c r="E5881" i="1"/>
  <c r="B5881" i="1"/>
  <c r="A5881" i="1"/>
  <c r="H5880" i="1"/>
  <c r="G5880" i="1"/>
  <c r="E5880" i="1"/>
  <c r="B5880" i="1"/>
  <c r="A5880" i="1"/>
  <c r="H5879" i="1"/>
  <c r="G5879" i="1"/>
  <c r="E5879" i="1"/>
  <c r="B5879" i="1"/>
  <c r="A5879" i="1"/>
  <c r="H5878" i="1"/>
  <c r="G5878" i="1"/>
  <c r="E5878" i="1"/>
  <c r="B5878" i="1"/>
  <c r="A5878" i="1"/>
  <c r="H5877" i="1"/>
  <c r="G5877" i="1"/>
  <c r="E5877" i="1"/>
  <c r="B5877" i="1"/>
  <c r="A5877" i="1"/>
  <c r="H5876" i="1"/>
  <c r="G5876" i="1"/>
  <c r="E5876" i="1"/>
  <c r="B5876" i="1"/>
  <c r="A5876" i="1"/>
  <c r="H5875" i="1"/>
  <c r="G5875" i="1"/>
  <c r="E5875" i="1"/>
  <c r="B5875" i="1"/>
  <c r="A5875" i="1"/>
  <c r="H5874" i="1"/>
  <c r="G5874" i="1"/>
  <c r="E5874" i="1"/>
  <c r="B5874" i="1"/>
  <c r="A5874" i="1"/>
  <c r="H5873" i="1"/>
  <c r="G5873" i="1"/>
  <c r="E5873" i="1"/>
  <c r="B5873" i="1"/>
  <c r="A5873" i="1"/>
  <c r="H5872" i="1"/>
  <c r="G5872" i="1"/>
  <c r="E5872" i="1"/>
  <c r="B5872" i="1"/>
  <c r="A5872" i="1"/>
  <c r="H5871" i="1"/>
  <c r="G5871" i="1"/>
  <c r="E5871" i="1"/>
  <c r="B5871" i="1"/>
  <c r="A5871" i="1"/>
  <c r="H5870" i="1"/>
  <c r="G5870" i="1"/>
  <c r="E5870" i="1"/>
  <c r="B5870" i="1"/>
  <c r="A5870" i="1"/>
  <c r="H5869" i="1"/>
  <c r="G5869" i="1"/>
  <c r="E5869" i="1"/>
  <c r="B5869" i="1"/>
  <c r="A5869" i="1"/>
  <c r="H5868" i="1"/>
  <c r="G5868" i="1"/>
  <c r="E5868" i="1"/>
  <c r="B5868" i="1"/>
  <c r="A5868" i="1"/>
  <c r="H5867" i="1"/>
  <c r="G5867" i="1"/>
  <c r="E5867" i="1"/>
  <c r="B5867" i="1"/>
  <c r="A5867" i="1"/>
  <c r="H5866" i="1"/>
  <c r="G5866" i="1"/>
  <c r="E5866" i="1"/>
  <c r="B5866" i="1"/>
  <c r="A5866" i="1"/>
  <c r="H5865" i="1"/>
  <c r="G5865" i="1"/>
  <c r="E5865" i="1"/>
  <c r="B5865" i="1"/>
  <c r="A5865" i="1"/>
  <c r="H5864" i="1"/>
  <c r="G5864" i="1"/>
  <c r="E5864" i="1"/>
  <c r="B5864" i="1"/>
  <c r="A5864" i="1"/>
  <c r="H5863" i="1"/>
  <c r="G5863" i="1"/>
  <c r="E5863" i="1"/>
  <c r="B5863" i="1"/>
  <c r="A5863" i="1"/>
  <c r="H5862" i="1"/>
  <c r="G5862" i="1"/>
  <c r="E5862" i="1"/>
  <c r="B5862" i="1"/>
  <c r="A5862" i="1"/>
  <c r="H5861" i="1"/>
  <c r="G5861" i="1"/>
  <c r="E5861" i="1"/>
  <c r="B5861" i="1"/>
  <c r="A5861" i="1"/>
  <c r="H5860" i="1"/>
  <c r="G5860" i="1"/>
  <c r="E5860" i="1"/>
  <c r="B5860" i="1"/>
  <c r="A5860" i="1"/>
  <c r="H5859" i="1"/>
  <c r="G5859" i="1"/>
  <c r="E5859" i="1"/>
  <c r="B5859" i="1"/>
  <c r="A5859" i="1"/>
  <c r="H5858" i="1"/>
  <c r="G5858" i="1"/>
  <c r="E5858" i="1"/>
  <c r="B5858" i="1"/>
  <c r="A5858" i="1"/>
  <c r="H5857" i="1"/>
  <c r="G5857" i="1"/>
  <c r="E5857" i="1"/>
  <c r="B5857" i="1"/>
  <c r="A5857" i="1"/>
  <c r="H5856" i="1"/>
  <c r="G5856" i="1"/>
  <c r="E5856" i="1"/>
  <c r="B5856" i="1"/>
  <c r="A5856" i="1"/>
  <c r="H5855" i="1"/>
  <c r="G5855" i="1"/>
  <c r="E5855" i="1"/>
  <c r="B5855" i="1"/>
  <c r="A5855" i="1"/>
  <c r="H5854" i="1"/>
  <c r="G5854" i="1"/>
  <c r="E5854" i="1"/>
  <c r="B5854" i="1"/>
  <c r="A5854" i="1"/>
  <c r="H5853" i="1"/>
  <c r="G5853" i="1"/>
  <c r="E5853" i="1"/>
  <c r="B5853" i="1"/>
  <c r="A5853" i="1"/>
  <c r="H5852" i="1"/>
  <c r="G5852" i="1"/>
  <c r="E5852" i="1"/>
  <c r="B5852" i="1"/>
  <c r="A5852" i="1"/>
  <c r="H5851" i="1"/>
  <c r="G5851" i="1"/>
  <c r="E5851" i="1"/>
  <c r="B5851" i="1"/>
  <c r="A5851" i="1"/>
  <c r="H5850" i="1"/>
  <c r="G5850" i="1"/>
  <c r="E5850" i="1"/>
  <c r="B5850" i="1"/>
  <c r="A5850" i="1"/>
  <c r="H5849" i="1"/>
  <c r="G5849" i="1"/>
  <c r="E5849" i="1"/>
  <c r="B5849" i="1"/>
  <c r="A5849" i="1"/>
  <c r="H5848" i="1"/>
  <c r="G5848" i="1"/>
  <c r="E5848" i="1"/>
  <c r="B5848" i="1"/>
  <c r="A5848" i="1"/>
  <c r="H5847" i="1"/>
  <c r="G5847" i="1"/>
  <c r="E5847" i="1"/>
  <c r="B5847" i="1"/>
  <c r="A5847" i="1"/>
  <c r="H5846" i="1"/>
  <c r="G5846" i="1"/>
  <c r="E5846" i="1"/>
  <c r="B5846" i="1"/>
  <c r="A5846" i="1"/>
  <c r="H5845" i="1"/>
  <c r="G5845" i="1"/>
  <c r="E5845" i="1"/>
  <c r="B5845" i="1"/>
  <c r="A5845" i="1"/>
  <c r="H5844" i="1"/>
  <c r="G5844" i="1"/>
  <c r="E5844" i="1"/>
  <c r="B5844" i="1"/>
  <c r="A5844" i="1"/>
  <c r="H5843" i="1"/>
  <c r="G5843" i="1"/>
  <c r="E5843" i="1"/>
  <c r="B5843" i="1"/>
  <c r="A5843" i="1"/>
  <c r="H5842" i="1"/>
  <c r="G5842" i="1"/>
  <c r="E5842" i="1"/>
  <c r="B5842" i="1"/>
  <c r="A5842" i="1"/>
  <c r="H5841" i="1"/>
  <c r="G5841" i="1"/>
  <c r="E5841" i="1"/>
  <c r="B5841" i="1"/>
  <c r="A5841" i="1"/>
  <c r="H5840" i="1"/>
  <c r="G5840" i="1"/>
  <c r="E5840" i="1"/>
  <c r="B5840" i="1"/>
  <c r="A5840" i="1"/>
  <c r="H5839" i="1"/>
  <c r="G5839" i="1"/>
  <c r="E5839" i="1"/>
  <c r="B5839" i="1"/>
  <c r="A5839" i="1"/>
  <c r="H5838" i="1"/>
  <c r="G5838" i="1"/>
  <c r="E5838" i="1"/>
  <c r="B5838" i="1"/>
  <c r="A5838" i="1"/>
  <c r="H5837" i="1"/>
  <c r="G5837" i="1"/>
  <c r="E5837" i="1"/>
  <c r="B5837" i="1"/>
  <c r="A5837" i="1"/>
  <c r="H5836" i="1"/>
  <c r="G5836" i="1"/>
  <c r="E5836" i="1"/>
  <c r="B5836" i="1"/>
  <c r="A5836" i="1"/>
  <c r="H5835" i="1"/>
  <c r="G5835" i="1"/>
  <c r="E5835" i="1"/>
  <c r="B5835" i="1"/>
  <c r="A5835" i="1"/>
  <c r="H5834" i="1"/>
  <c r="G5834" i="1"/>
  <c r="E5834" i="1"/>
  <c r="B5834" i="1"/>
  <c r="A5834" i="1"/>
  <c r="H5833" i="1"/>
  <c r="G5833" i="1"/>
  <c r="E5833" i="1"/>
  <c r="B5833" i="1"/>
  <c r="A5833" i="1"/>
  <c r="H5832" i="1"/>
  <c r="G5832" i="1"/>
  <c r="E5832" i="1"/>
  <c r="B5832" i="1"/>
  <c r="A5832" i="1"/>
  <c r="H5831" i="1"/>
  <c r="G5831" i="1"/>
  <c r="E5831" i="1"/>
  <c r="B5831" i="1"/>
  <c r="A5831" i="1"/>
  <c r="H5830" i="1"/>
  <c r="G5830" i="1"/>
  <c r="E5830" i="1"/>
  <c r="B5830" i="1"/>
  <c r="A5830" i="1"/>
  <c r="H5829" i="1"/>
  <c r="G5829" i="1"/>
  <c r="E5829" i="1"/>
  <c r="B5829" i="1"/>
  <c r="A5829" i="1"/>
  <c r="H5828" i="1"/>
  <c r="G5828" i="1"/>
  <c r="E5828" i="1"/>
  <c r="B5828" i="1"/>
  <c r="A5828" i="1"/>
  <c r="H5827" i="1"/>
  <c r="G5827" i="1"/>
  <c r="E5827" i="1"/>
  <c r="B5827" i="1"/>
  <c r="A5827" i="1"/>
  <c r="H5826" i="1"/>
  <c r="G5826" i="1"/>
  <c r="E5826" i="1"/>
  <c r="B5826" i="1"/>
  <c r="A5826" i="1"/>
  <c r="H5825" i="1"/>
  <c r="G5825" i="1"/>
  <c r="E5825" i="1"/>
  <c r="B5825" i="1"/>
  <c r="A5825" i="1"/>
  <c r="H5824" i="1"/>
  <c r="G5824" i="1"/>
  <c r="E5824" i="1"/>
  <c r="B5824" i="1"/>
  <c r="A5824" i="1"/>
  <c r="H5823" i="1"/>
  <c r="G5823" i="1"/>
  <c r="E5823" i="1"/>
  <c r="B5823" i="1"/>
  <c r="A5823" i="1"/>
  <c r="H5822" i="1"/>
  <c r="G5822" i="1"/>
  <c r="E5822" i="1"/>
  <c r="B5822" i="1"/>
  <c r="A5822" i="1"/>
  <c r="H5821" i="1"/>
  <c r="G5821" i="1"/>
  <c r="E5821" i="1"/>
  <c r="B5821" i="1"/>
  <c r="A5821" i="1"/>
  <c r="H5820" i="1"/>
  <c r="G5820" i="1"/>
  <c r="E5820" i="1"/>
  <c r="B5820" i="1"/>
  <c r="A5820" i="1"/>
  <c r="H5819" i="1"/>
  <c r="G5819" i="1"/>
  <c r="E5819" i="1"/>
  <c r="B5819" i="1"/>
  <c r="A5819" i="1"/>
  <c r="H5818" i="1"/>
  <c r="G5818" i="1"/>
  <c r="E5818" i="1"/>
  <c r="B5818" i="1"/>
  <c r="A5818" i="1"/>
  <c r="H5817" i="1"/>
  <c r="G5817" i="1"/>
  <c r="E5817" i="1"/>
  <c r="B5817" i="1"/>
  <c r="A5817" i="1"/>
  <c r="H5816" i="1"/>
  <c r="G5816" i="1"/>
  <c r="E5816" i="1"/>
  <c r="B5816" i="1"/>
  <c r="A5816" i="1"/>
  <c r="H5815" i="1"/>
  <c r="G5815" i="1"/>
  <c r="E5815" i="1"/>
  <c r="B5815" i="1"/>
  <c r="A5815" i="1"/>
  <c r="H5814" i="1"/>
  <c r="G5814" i="1"/>
  <c r="E5814" i="1"/>
  <c r="B5814" i="1"/>
  <c r="A5814" i="1"/>
  <c r="H5813" i="1"/>
  <c r="G5813" i="1"/>
  <c r="E5813" i="1"/>
  <c r="B5813" i="1"/>
  <c r="A5813" i="1"/>
  <c r="H5812" i="1"/>
  <c r="G5812" i="1"/>
  <c r="E5812" i="1"/>
  <c r="B5812" i="1"/>
  <c r="A5812" i="1"/>
  <c r="H5811" i="1"/>
  <c r="G5811" i="1"/>
  <c r="E5811" i="1"/>
  <c r="B5811" i="1"/>
  <c r="A5811" i="1"/>
  <c r="H5810" i="1"/>
  <c r="G5810" i="1"/>
  <c r="E5810" i="1"/>
  <c r="B5810" i="1"/>
  <c r="A5810" i="1"/>
  <c r="H5809" i="1"/>
  <c r="G5809" i="1"/>
  <c r="E5809" i="1"/>
  <c r="B5809" i="1"/>
  <c r="A5809" i="1"/>
  <c r="H5808" i="1"/>
  <c r="G5808" i="1"/>
  <c r="E5808" i="1"/>
  <c r="B5808" i="1"/>
  <c r="A5808" i="1"/>
  <c r="H5807" i="1"/>
  <c r="G5807" i="1"/>
  <c r="E5807" i="1"/>
  <c r="B5807" i="1"/>
  <c r="A5807" i="1"/>
  <c r="H5806" i="1"/>
  <c r="G5806" i="1"/>
  <c r="E5806" i="1"/>
  <c r="B5806" i="1"/>
  <c r="A5806" i="1"/>
  <c r="H5805" i="1"/>
  <c r="G5805" i="1"/>
  <c r="E5805" i="1"/>
  <c r="B5805" i="1"/>
  <c r="A5805" i="1"/>
  <c r="H5804" i="1"/>
  <c r="G5804" i="1"/>
  <c r="E5804" i="1"/>
  <c r="B5804" i="1"/>
  <c r="A5804" i="1"/>
  <c r="H5803" i="1"/>
  <c r="G5803" i="1"/>
  <c r="E5803" i="1"/>
  <c r="B5803" i="1"/>
  <c r="A5803" i="1"/>
  <c r="H5802" i="1"/>
  <c r="G5802" i="1"/>
  <c r="E5802" i="1"/>
  <c r="B5802" i="1"/>
  <c r="A5802" i="1"/>
  <c r="H5801" i="1"/>
  <c r="G5801" i="1"/>
  <c r="E5801" i="1"/>
  <c r="B5801" i="1"/>
  <c r="A5801" i="1"/>
  <c r="H5800" i="1"/>
  <c r="G5800" i="1"/>
  <c r="E5800" i="1"/>
  <c r="B5800" i="1"/>
  <c r="A5800" i="1"/>
  <c r="H5799" i="1"/>
  <c r="G5799" i="1"/>
  <c r="E5799" i="1"/>
  <c r="B5799" i="1"/>
  <c r="A5799" i="1"/>
  <c r="H5798" i="1"/>
  <c r="G5798" i="1"/>
  <c r="E5798" i="1"/>
  <c r="B5798" i="1"/>
  <c r="A5798" i="1"/>
  <c r="H5797" i="1"/>
  <c r="G5797" i="1"/>
  <c r="E5797" i="1"/>
  <c r="B5797" i="1"/>
  <c r="A5797" i="1"/>
  <c r="H5796" i="1"/>
  <c r="G5796" i="1"/>
  <c r="E5796" i="1"/>
  <c r="B5796" i="1"/>
  <c r="A5796" i="1"/>
  <c r="H5795" i="1"/>
  <c r="G5795" i="1"/>
  <c r="E5795" i="1"/>
  <c r="B5795" i="1"/>
  <c r="A5795" i="1"/>
  <c r="H5794" i="1"/>
  <c r="G5794" i="1"/>
  <c r="E5794" i="1"/>
  <c r="B5794" i="1"/>
  <c r="A5794" i="1"/>
  <c r="H5793" i="1"/>
  <c r="G5793" i="1"/>
  <c r="E5793" i="1"/>
  <c r="B5793" i="1"/>
  <c r="A5793" i="1"/>
  <c r="H5792" i="1"/>
  <c r="G5792" i="1"/>
  <c r="E5792" i="1"/>
  <c r="B5792" i="1"/>
  <c r="A5792" i="1"/>
  <c r="H5791" i="1"/>
  <c r="G5791" i="1"/>
  <c r="E5791" i="1"/>
  <c r="B5791" i="1"/>
  <c r="A5791" i="1"/>
  <c r="H5790" i="1"/>
  <c r="G5790" i="1"/>
  <c r="E5790" i="1"/>
  <c r="B5790" i="1"/>
  <c r="A5790" i="1"/>
  <c r="H5789" i="1"/>
  <c r="G5789" i="1"/>
  <c r="E5789" i="1"/>
  <c r="B5789" i="1"/>
  <c r="A5789" i="1"/>
  <c r="H5788" i="1"/>
  <c r="G5788" i="1"/>
  <c r="E5788" i="1"/>
  <c r="B5788" i="1"/>
  <c r="A5788" i="1"/>
  <c r="H5787" i="1"/>
  <c r="G5787" i="1"/>
  <c r="E5787" i="1"/>
  <c r="B5787" i="1"/>
  <c r="A5787" i="1"/>
  <c r="H5786" i="1"/>
  <c r="G5786" i="1"/>
  <c r="E5786" i="1"/>
  <c r="B5786" i="1"/>
  <c r="A5786" i="1"/>
  <c r="H5785" i="1"/>
  <c r="G5785" i="1"/>
  <c r="E5785" i="1"/>
  <c r="B5785" i="1"/>
  <c r="A5785" i="1"/>
  <c r="H5784" i="1"/>
  <c r="G5784" i="1"/>
  <c r="E5784" i="1"/>
  <c r="B5784" i="1"/>
  <c r="A5784" i="1"/>
  <c r="H5783" i="1"/>
  <c r="G5783" i="1"/>
  <c r="E5783" i="1"/>
  <c r="B5783" i="1"/>
  <c r="A5783" i="1"/>
  <c r="H5782" i="1"/>
  <c r="G5782" i="1"/>
  <c r="E5782" i="1"/>
  <c r="B5782" i="1"/>
  <c r="A5782" i="1"/>
  <c r="H5781" i="1"/>
  <c r="G5781" i="1"/>
  <c r="E5781" i="1"/>
  <c r="B5781" i="1"/>
  <c r="A5781" i="1"/>
  <c r="H5780" i="1"/>
  <c r="G5780" i="1"/>
  <c r="E5780" i="1"/>
  <c r="B5780" i="1"/>
  <c r="A5780" i="1"/>
  <c r="H5779" i="1"/>
  <c r="G5779" i="1"/>
  <c r="E5779" i="1"/>
  <c r="B5779" i="1"/>
  <c r="A5779" i="1"/>
  <c r="H5778" i="1"/>
  <c r="G5778" i="1"/>
  <c r="E5778" i="1"/>
  <c r="B5778" i="1"/>
  <c r="A5778" i="1"/>
  <c r="H5777" i="1"/>
  <c r="G5777" i="1"/>
  <c r="E5777" i="1"/>
  <c r="B5777" i="1"/>
  <c r="A5777" i="1"/>
  <c r="H5776" i="1"/>
  <c r="G5776" i="1"/>
  <c r="E5776" i="1"/>
  <c r="B5776" i="1"/>
  <c r="A5776" i="1"/>
  <c r="H5775" i="1"/>
  <c r="G5775" i="1"/>
  <c r="E5775" i="1"/>
  <c r="B5775" i="1"/>
  <c r="A5775" i="1"/>
  <c r="H5774" i="1"/>
  <c r="G5774" i="1"/>
  <c r="E5774" i="1"/>
  <c r="B5774" i="1"/>
  <c r="A5774" i="1"/>
  <c r="H5773" i="1"/>
  <c r="G5773" i="1"/>
  <c r="E5773" i="1"/>
  <c r="B5773" i="1"/>
  <c r="A5773" i="1"/>
  <c r="H5772" i="1"/>
  <c r="G5772" i="1"/>
  <c r="E5772" i="1"/>
  <c r="B5772" i="1"/>
  <c r="A5772" i="1"/>
  <c r="H5771" i="1"/>
  <c r="G5771" i="1"/>
  <c r="E5771" i="1"/>
  <c r="B5771" i="1"/>
  <c r="A5771" i="1"/>
  <c r="H5770" i="1"/>
  <c r="G5770" i="1"/>
  <c r="E5770" i="1"/>
  <c r="B5770" i="1"/>
  <c r="A5770" i="1"/>
  <c r="H5769" i="1"/>
  <c r="G5769" i="1"/>
  <c r="E5769" i="1"/>
  <c r="B5769" i="1"/>
  <c r="A5769" i="1"/>
  <c r="H5768" i="1"/>
  <c r="G5768" i="1"/>
  <c r="E5768" i="1"/>
  <c r="B5768" i="1"/>
  <c r="A5768" i="1"/>
  <c r="H5767" i="1"/>
  <c r="G5767" i="1"/>
  <c r="E5767" i="1"/>
  <c r="B5767" i="1"/>
  <c r="A5767" i="1"/>
  <c r="H5766" i="1"/>
  <c r="G5766" i="1"/>
  <c r="E5766" i="1"/>
  <c r="B5766" i="1"/>
  <c r="A5766" i="1"/>
  <c r="H5765" i="1"/>
  <c r="G5765" i="1"/>
  <c r="E5765" i="1"/>
  <c r="B5765" i="1"/>
  <c r="A5765" i="1"/>
  <c r="H5764" i="1"/>
  <c r="G5764" i="1"/>
  <c r="E5764" i="1"/>
  <c r="B5764" i="1"/>
  <c r="A5764" i="1"/>
  <c r="H5763" i="1"/>
  <c r="G5763" i="1"/>
  <c r="E5763" i="1"/>
  <c r="B5763" i="1"/>
  <c r="A5763" i="1"/>
  <c r="H5762" i="1"/>
  <c r="G5762" i="1"/>
  <c r="E5762" i="1"/>
  <c r="B5762" i="1"/>
  <c r="A5762" i="1"/>
  <c r="H5761" i="1"/>
  <c r="G5761" i="1"/>
  <c r="E5761" i="1"/>
  <c r="B5761" i="1"/>
  <c r="A5761" i="1"/>
  <c r="H5760" i="1"/>
  <c r="G5760" i="1"/>
  <c r="E5760" i="1"/>
  <c r="B5760" i="1"/>
  <c r="A5760" i="1"/>
  <c r="H5759" i="1"/>
  <c r="G5759" i="1"/>
  <c r="E5759" i="1"/>
  <c r="B5759" i="1"/>
  <c r="A5759" i="1"/>
  <c r="H5758" i="1"/>
  <c r="G5758" i="1"/>
  <c r="E5758" i="1"/>
  <c r="B5758" i="1"/>
  <c r="A5758" i="1"/>
  <c r="H5757" i="1"/>
  <c r="G5757" i="1"/>
  <c r="E5757" i="1"/>
  <c r="B5757" i="1"/>
  <c r="A5757" i="1"/>
  <c r="H5756" i="1"/>
  <c r="G5756" i="1"/>
  <c r="E5756" i="1"/>
  <c r="B5756" i="1"/>
  <c r="A5756" i="1"/>
  <c r="H5755" i="1"/>
  <c r="G5755" i="1"/>
  <c r="E5755" i="1"/>
  <c r="B5755" i="1"/>
  <c r="A5755" i="1"/>
  <c r="H5754" i="1"/>
  <c r="G5754" i="1"/>
  <c r="E5754" i="1"/>
  <c r="B5754" i="1"/>
  <c r="A5754" i="1"/>
  <c r="H5753" i="1"/>
  <c r="G5753" i="1"/>
  <c r="E5753" i="1"/>
  <c r="B5753" i="1"/>
  <c r="A5753" i="1"/>
  <c r="H5752" i="1"/>
  <c r="G5752" i="1"/>
  <c r="E5752" i="1"/>
  <c r="B5752" i="1"/>
  <c r="A5752" i="1"/>
  <c r="H5751" i="1"/>
  <c r="G5751" i="1"/>
  <c r="E5751" i="1"/>
  <c r="B5751" i="1"/>
  <c r="A5751" i="1"/>
  <c r="H5750" i="1"/>
  <c r="G5750" i="1"/>
  <c r="E5750" i="1"/>
  <c r="B5750" i="1"/>
  <c r="A5750" i="1"/>
  <c r="H5749" i="1"/>
  <c r="G5749" i="1"/>
  <c r="E5749" i="1"/>
  <c r="B5749" i="1"/>
  <c r="A5749" i="1"/>
  <c r="H5748" i="1"/>
  <c r="G5748" i="1"/>
  <c r="E5748" i="1"/>
  <c r="B5748" i="1"/>
  <c r="A5748" i="1"/>
  <c r="H5747" i="1"/>
  <c r="G5747" i="1"/>
  <c r="E5747" i="1"/>
  <c r="B5747" i="1"/>
  <c r="A5747" i="1"/>
  <c r="H5746" i="1"/>
  <c r="G5746" i="1"/>
  <c r="E5746" i="1"/>
  <c r="B5746" i="1"/>
  <c r="A5746" i="1"/>
  <c r="H5745" i="1"/>
  <c r="G5745" i="1"/>
  <c r="E5745" i="1"/>
  <c r="B5745" i="1"/>
  <c r="A5745" i="1"/>
  <c r="H5744" i="1"/>
  <c r="G5744" i="1"/>
  <c r="E5744" i="1"/>
  <c r="B5744" i="1"/>
  <c r="A5744" i="1"/>
  <c r="H5743" i="1"/>
  <c r="G5743" i="1"/>
  <c r="E5743" i="1"/>
  <c r="B5743" i="1"/>
  <c r="A5743" i="1"/>
  <c r="H5742" i="1"/>
  <c r="G5742" i="1"/>
  <c r="E5742" i="1"/>
  <c r="B5742" i="1"/>
  <c r="A5742" i="1"/>
  <c r="H5741" i="1"/>
  <c r="G5741" i="1"/>
  <c r="E5741" i="1"/>
  <c r="B5741" i="1"/>
  <c r="A5741" i="1"/>
  <c r="H5740" i="1"/>
  <c r="G5740" i="1"/>
  <c r="E5740" i="1"/>
  <c r="B5740" i="1"/>
  <c r="A5740" i="1"/>
  <c r="H5739" i="1"/>
  <c r="G5739" i="1"/>
  <c r="E5739" i="1"/>
  <c r="B5739" i="1"/>
  <c r="A5739" i="1"/>
  <c r="H5738" i="1"/>
  <c r="G5738" i="1"/>
  <c r="E5738" i="1"/>
  <c r="B5738" i="1"/>
  <c r="A5738" i="1"/>
  <c r="H5737" i="1"/>
  <c r="G5737" i="1"/>
  <c r="E5737" i="1"/>
  <c r="B5737" i="1"/>
  <c r="A5737" i="1"/>
  <c r="H5736" i="1"/>
  <c r="G5736" i="1"/>
  <c r="E5736" i="1"/>
  <c r="B5736" i="1"/>
  <c r="A5736" i="1"/>
  <c r="H5735" i="1"/>
  <c r="G5735" i="1"/>
  <c r="E5735" i="1"/>
  <c r="B5735" i="1"/>
  <c r="A5735" i="1"/>
  <c r="H5734" i="1"/>
  <c r="G5734" i="1"/>
  <c r="E5734" i="1"/>
  <c r="B5734" i="1"/>
  <c r="A5734" i="1"/>
  <c r="H5733" i="1"/>
  <c r="G5733" i="1"/>
  <c r="E5733" i="1"/>
  <c r="B5733" i="1"/>
  <c r="A5733" i="1"/>
  <c r="H5732" i="1"/>
  <c r="G5732" i="1"/>
  <c r="E5732" i="1"/>
  <c r="B5732" i="1"/>
  <c r="A5732" i="1"/>
  <c r="H5731" i="1"/>
  <c r="G5731" i="1"/>
  <c r="E5731" i="1"/>
  <c r="B5731" i="1"/>
  <c r="A5731" i="1"/>
  <c r="H5730" i="1"/>
  <c r="G5730" i="1"/>
  <c r="E5730" i="1"/>
  <c r="B5730" i="1"/>
  <c r="A5730" i="1"/>
  <c r="H5729" i="1"/>
  <c r="G5729" i="1"/>
  <c r="E5729" i="1"/>
  <c r="B5729" i="1"/>
  <c r="A5729" i="1"/>
  <c r="H5728" i="1"/>
  <c r="G5728" i="1"/>
  <c r="E5728" i="1"/>
  <c r="B5728" i="1"/>
  <c r="A5728" i="1"/>
  <c r="H5727" i="1"/>
  <c r="G5727" i="1"/>
  <c r="E5727" i="1"/>
  <c r="B5727" i="1"/>
  <c r="A5727" i="1"/>
  <c r="H5726" i="1"/>
  <c r="G5726" i="1"/>
  <c r="E5726" i="1"/>
  <c r="B5726" i="1"/>
  <c r="A5726" i="1"/>
  <c r="H5725" i="1"/>
  <c r="G5725" i="1"/>
  <c r="E5725" i="1"/>
  <c r="B5725" i="1"/>
  <c r="A5725" i="1"/>
  <c r="H5724" i="1"/>
  <c r="G5724" i="1"/>
  <c r="E5724" i="1"/>
  <c r="B5724" i="1"/>
  <c r="A5724" i="1"/>
  <c r="H5723" i="1"/>
  <c r="G5723" i="1"/>
  <c r="E5723" i="1"/>
  <c r="B5723" i="1"/>
  <c r="A5723" i="1"/>
  <c r="H5722" i="1"/>
  <c r="G5722" i="1"/>
  <c r="E5722" i="1"/>
  <c r="B5722" i="1"/>
  <c r="A5722" i="1"/>
  <c r="H5721" i="1"/>
  <c r="G5721" i="1"/>
  <c r="E5721" i="1"/>
  <c r="B5721" i="1"/>
  <c r="A5721" i="1"/>
  <c r="H5720" i="1"/>
  <c r="G5720" i="1"/>
  <c r="E5720" i="1"/>
  <c r="B5720" i="1"/>
  <c r="A5720" i="1"/>
  <c r="H5719" i="1"/>
  <c r="G5719" i="1"/>
  <c r="E5719" i="1"/>
  <c r="B5719" i="1"/>
  <c r="A5719" i="1"/>
  <c r="H5718" i="1"/>
  <c r="G5718" i="1"/>
  <c r="E5718" i="1"/>
  <c r="B5718" i="1"/>
  <c r="A5718" i="1"/>
  <c r="H5717" i="1"/>
  <c r="G5717" i="1"/>
  <c r="E5717" i="1"/>
  <c r="B5717" i="1"/>
  <c r="A5717" i="1"/>
  <c r="H5716" i="1"/>
  <c r="G5716" i="1"/>
  <c r="E5716" i="1"/>
  <c r="B5716" i="1"/>
  <c r="A5716" i="1"/>
  <c r="H5715" i="1"/>
  <c r="G5715" i="1"/>
  <c r="E5715" i="1"/>
  <c r="B5715" i="1"/>
  <c r="A5715" i="1"/>
  <c r="H5714" i="1"/>
  <c r="G5714" i="1"/>
  <c r="E5714" i="1"/>
  <c r="B5714" i="1"/>
  <c r="A5714" i="1"/>
  <c r="H5713" i="1"/>
  <c r="G5713" i="1"/>
  <c r="E5713" i="1"/>
  <c r="B5713" i="1"/>
  <c r="A5713" i="1"/>
  <c r="H5712" i="1"/>
  <c r="G5712" i="1"/>
  <c r="E5712" i="1"/>
  <c r="B5712" i="1"/>
  <c r="A5712" i="1"/>
  <c r="H5711" i="1"/>
  <c r="G5711" i="1"/>
  <c r="E5711" i="1"/>
  <c r="B5711" i="1"/>
  <c r="A5711" i="1"/>
  <c r="H5710" i="1"/>
  <c r="G5710" i="1"/>
  <c r="E5710" i="1"/>
  <c r="B5710" i="1"/>
  <c r="A5710" i="1"/>
  <c r="H5709" i="1"/>
  <c r="G5709" i="1"/>
  <c r="E5709" i="1"/>
  <c r="B5709" i="1"/>
  <c r="A5709" i="1"/>
  <c r="H5708" i="1"/>
  <c r="G5708" i="1"/>
  <c r="E5708" i="1"/>
  <c r="B5708" i="1"/>
  <c r="A5708" i="1"/>
  <c r="H5707" i="1"/>
  <c r="G5707" i="1"/>
  <c r="E5707" i="1"/>
  <c r="B5707" i="1"/>
  <c r="A5707" i="1"/>
  <c r="H5706" i="1"/>
  <c r="G5706" i="1"/>
  <c r="E5706" i="1"/>
  <c r="B5706" i="1"/>
  <c r="A5706" i="1"/>
  <c r="H5705" i="1"/>
  <c r="G5705" i="1"/>
  <c r="E5705" i="1"/>
  <c r="B5705" i="1"/>
  <c r="A5705" i="1"/>
  <c r="H5704" i="1"/>
  <c r="G5704" i="1"/>
  <c r="E5704" i="1"/>
  <c r="B5704" i="1"/>
  <c r="A5704" i="1"/>
  <c r="H5703" i="1"/>
  <c r="G5703" i="1"/>
  <c r="E5703" i="1"/>
  <c r="B5703" i="1"/>
  <c r="A5703" i="1"/>
  <c r="H5702" i="1"/>
  <c r="G5702" i="1"/>
  <c r="E5702" i="1"/>
  <c r="B5702" i="1"/>
  <c r="A5702" i="1"/>
  <c r="H5701" i="1"/>
  <c r="G5701" i="1"/>
  <c r="E5701" i="1"/>
  <c r="B5701" i="1"/>
  <c r="A5701" i="1"/>
  <c r="H5700" i="1"/>
  <c r="G5700" i="1"/>
  <c r="E5700" i="1"/>
  <c r="B5700" i="1"/>
  <c r="A5700" i="1"/>
  <c r="H5699" i="1"/>
  <c r="G5699" i="1"/>
  <c r="E5699" i="1"/>
  <c r="B5699" i="1"/>
  <c r="A5699" i="1"/>
  <c r="H5698" i="1"/>
  <c r="G5698" i="1"/>
  <c r="E5698" i="1"/>
  <c r="B5698" i="1"/>
  <c r="A5698" i="1"/>
  <c r="H5697" i="1"/>
  <c r="G5697" i="1"/>
  <c r="E5697" i="1"/>
  <c r="B5697" i="1"/>
  <c r="A5697" i="1"/>
  <c r="H5696" i="1"/>
  <c r="G5696" i="1"/>
  <c r="E5696" i="1"/>
  <c r="B5696" i="1"/>
  <c r="A5696" i="1"/>
  <c r="H5695" i="1"/>
  <c r="G5695" i="1"/>
  <c r="E5695" i="1"/>
  <c r="B5695" i="1"/>
  <c r="A5695" i="1"/>
  <c r="H5694" i="1"/>
  <c r="G5694" i="1"/>
  <c r="E5694" i="1"/>
  <c r="B5694" i="1"/>
  <c r="A5694" i="1"/>
  <c r="H5693" i="1"/>
  <c r="G5693" i="1"/>
  <c r="E5693" i="1"/>
  <c r="B5693" i="1"/>
  <c r="A5693" i="1"/>
  <c r="H5692" i="1"/>
  <c r="G5692" i="1"/>
  <c r="E5692" i="1"/>
  <c r="B5692" i="1"/>
  <c r="A5692" i="1"/>
  <c r="H5691" i="1"/>
  <c r="G5691" i="1"/>
  <c r="E5691" i="1"/>
  <c r="B5691" i="1"/>
  <c r="A5691" i="1"/>
  <c r="H5690" i="1"/>
  <c r="G5690" i="1"/>
  <c r="E5690" i="1"/>
  <c r="B5690" i="1"/>
  <c r="A5690" i="1"/>
  <c r="H5689" i="1"/>
  <c r="G5689" i="1"/>
  <c r="E5689" i="1"/>
  <c r="B5689" i="1"/>
  <c r="A5689" i="1"/>
  <c r="H5688" i="1"/>
  <c r="G5688" i="1"/>
  <c r="E5688" i="1"/>
  <c r="B5688" i="1"/>
  <c r="A5688" i="1"/>
  <c r="H5687" i="1"/>
  <c r="G5687" i="1"/>
  <c r="E5687" i="1"/>
  <c r="B5687" i="1"/>
  <c r="A5687" i="1"/>
  <c r="H5686" i="1"/>
  <c r="G5686" i="1"/>
  <c r="E5686" i="1"/>
  <c r="B5686" i="1"/>
  <c r="A5686" i="1"/>
  <c r="H5685" i="1"/>
  <c r="G5685" i="1"/>
  <c r="E5685" i="1"/>
  <c r="B5685" i="1"/>
  <c r="A5685" i="1"/>
  <c r="H5684" i="1"/>
  <c r="G5684" i="1"/>
  <c r="E5684" i="1"/>
  <c r="B5684" i="1"/>
  <c r="A5684" i="1"/>
  <c r="H5683" i="1"/>
  <c r="G5683" i="1"/>
  <c r="E5683" i="1"/>
  <c r="B5683" i="1"/>
  <c r="A5683" i="1"/>
  <c r="H5682" i="1"/>
  <c r="G5682" i="1"/>
  <c r="E5682" i="1"/>
  <c r="B5682" i="1"/>
  <c r="A5682" i="1"/>
  <c r="H5681" i="1"/>
  <c r="G5681" i="1"/>
  <c r="E5681" i="1"/>
  <c r="B5681" i="1"/>
  <c r="A5681" i="1"/>
  <c r="H5680" i="1"/>
  <c r="G5680" i="1"/>
  <c r="E5680" i="1"/>
  <c r="B5680" i="1"/>
  <c r="A5680" i="1"/>
  <c r="H5679" i="1"/>
  <c r="G5679" i="1"/>
  <c r="E5679" i="1"/>
  <c r="B5679" i="1"/>
  <c r="A5679" i="1"/>
  <c r="H5678" i="1"/>
  <c r="G5678" i="1"/>
  <c r="E5678" i="1"/>
  <c r="B5678" i="1"/>
  <c r="A5678" i="1"/>
  <c r="H5677" i="1"/>
  <c r="G5677" i="1"/>
  <c r="E5677" i="1"/>
  <c r="B5677" i="1"/>
  <c r="A5677" i="1"/>
  <c r="H5676" i="1"/>
  <c r="G5676" i="1"/>
  <c r="E5676" i="1"/>
  <c r="B5676" i="1"/>
  <c r="A5676" i="1"/>
  <c r="H5675" i="1"/>
  <c r="G5675" i="1"/>
  <c r="E5675" i="1"/>
  <c r="B5675" i="1"/>
  <c r="A5675" i="1"/>
  <c r="H5674" i="1"/>
  <c r="G5674" i="1"/>
  <c r="E5674" i="1"/>
  <c r="B5674" i="1"/>
  <c r="A5674" i="1"/>
  <c r="H5673" i="1"/>
  <c r="G5673" i="1"/>
  <c r="E5673" i="1"/>
  <c r="B5673" i="1"/>
  <c r="A5673" i="1"/>
  <c r="H5672" i="1"/>
  <c r="G5672" i="1"/>
  <c r="E5672" i="1"/>
  <c r="B5672" i="1"/>
  <c r="A5672" i="1"/>
  <c r="H5671" i="1"/>
  <c r="G5671" i="1"/>
  <c r="E5671" i="1"/>
  <c r="B5671" i="1"/>
  <c r="A5671" i="1"/>
  <c r="H5670" i="1"/>
  <c r="G5670" i="1"/>
  <c r="E5670" i="1"/>
  <c r="B5670" i="1"/>
  <c r="A5670" i="1"/>
  <c r="H5669" i="1"/>
  <c r="G5669" i="1"/>
  <c r="E5669" i="1"/>
  <c r="B5669" i="1"/>
  <c r="A5669" i="1"/>
  <c r="H5668" i="1"/>
  <c r="G5668" i="1"/>
  <c r="E5668" i="1"/>
  <c r="B5668" i="1"/>
  <c r="A5668" i="1"/>
  <c r="H5667" i="1"/>
  <c r="G5667" i="1"/>
  <c r="E5667" i="1"/>
  <c r="B5667" i="1"/>
  <c r="A5667" i="1"/>
  <c r="H5666" i="1"/>
  <c r="G5666" i="1"/>
  <c r="E5666" i="1"/>
  <c r="B5666" i="1"/>
  <c r="A5666" i="1"/>
  <c r="H5665" i="1"/>
  <c r="G5665" i="1"/>
  <c r="E5665" i="1"/>
  <c r="B5665" i="1"/>
  <c r="A5665" i="1"/>
  <c r="H5664" i="1"/>
  <c r="G5664" i="1"/>
  <c r="E5664" i="1"/>
  <c r="B5664" i="1"/>
  <c r="A5664" i="1"/>
  <c r="H5663" i="1"/>
  <c r="G5663" i="1"/>
  <c r="E5663" i="1"/>
  <c r="B5663" i="1"/>
  <c r="A5663" i="1"/>
  <c r="H5662" i="1"/>
  <c r="G5662" i="1"/>
  <c r="E5662" i="1"/>
  <c r="B5662" i="1"/>
  <c r="A5662" i="1"/>
  <c r="H5661" i="1"/>
  <c r="G5661" i="1"/>
  <c r="E5661" i="1"/>
  <c r="B5661" i="1"/>
  <c r="A5661" i="1"/>
  <c r="H5660" i="1"/>
  <c r="G5660" i="1"/>
  <c r="E5660" i="1"/>
  <c r="B5660" i="1"/>
  <c r="A5660" i="1"/>
  <c r="H5659" i="1"/>
  <c r="G5659" i="1"/>
  <c r="E5659" i="1"/>
  <c r="B5659" i="1"/>
  <c r="A5659" i="1"/>
  <c r="H5658" i="1"/>
  <c r="G5658" i="1"/>
  <c r="E5658" i="1"/>
  <c r="B5658" i="1"/>
  <c r="A5658" i="1"/>
  <c r="H5657" i="1"/>
  <c r="G5657" i="1"/>
  <c r="E5657" i="1"/>
  <c r="B5657" i="1"/>
  <c r="A5657" i="1"/>
  <c r="H5656" i="1"/>
  <c r="G5656" i="1"/>
  <c r="E5656" i="1"/>
  <c r="B5656" i="1"/>
  <c r="A5656" i="1"/>
  <c r="H5655" i="1"/>
  <c r="G5655" i="1"/>
  <c r="E5655" i="1"/>
  <c r="B5655" i="1"/>
  <c r="A5655" i="1"/>
  <c r="H5654" i="1"/>
  <c r="G5654" i="1"/>
  <c r="E5654" i="1"/>
  <c r="B5654" i="1"/>
  <c r="A5654" i="1"/>
  <c r="H5653" i="1"/>
  <c r="G5653" i="1"/>
  <c r="E5653" i="1"/>
  <c r="B5653" i="1"/>
  <c r="A5653" i="1"/>
  <c r="H5652" i="1"/>
  <c r="G5652" i="1"/>
  <c r="E5652" i="1"/>
  <c r="B5652" i="1"/>
  <c r="A5652" i="1"/>
  <c r="H5651" i="1"/>
  <c r="G5651" i="1"/>
  <c r="E5651" i="1"/>
  <c r="B5651" i="1"/>
  <c r="A5651" i="1"/>
  <c r="H5650" i="1"/>
  <c r="G5650" i="1"/>
  <c r="E5650" i="1"/>
  <c r="B5650" i="1"/>
  <c r="A5650" i="1"/>
  <c r="H5649" i="1"/>
  <c r="G5649" i="1"/>
  <c r="E5649" i="1"/>
  <c r="B5649" i="1"/>
  <c r="A5649" i="1"/>
  <c r="H5648" i="1"/>
  <c r="G5648" i="1"/>
  <c r="E5648" i="1"/>
  <c r="B5648" i="1"/>
  <c r="A5648" i="1"/>
  <c r="H5647" i="1"/>
  <c r="G5647" i="1"/>
  <c r="E5647" i="1"/>
  <c r="B5647" i="1"/>
  <c r="A5647" i="1"/>
  <c r="H5646" i="1"/>
  <c r="G5646" i="1"/>
  <c r="E5646" i="1"/>
  <c r="B5646" i="1"/>
  <c r="A5646" i="1"/>
  <c r="H5645" i="1"/>
  <c r="G5645" i="1"/>
  <c r="E5645" i="1"/>
  <c r="B5645" i="1"/>
  <c r="A5645" i="1"/>
  <c r="H5644" i="1"/>
  <c r="G5644" i="1"/>
  <c r="E5644" i="1"/>
  <c r="B5644" i="1"/>
  <c r="A5644" i="1"/>
  <c r="H5643" i="1"/>
  <c r="G5643" i="1"/>
  <c r="E5643" i="1"/>
  <c r="B5643" i="1"/>
  <c r="A5643" i="1"/>
  <c r="H5642" i="1"/>
  <c r="G5642" i="1"/>
  <c r="E5642" i="1"/>
  <c r="B5642" i="1"/>
  <c r="A5642" i="1"/>
  <c r="H5641" i="1"/>
  <c r="G5641" i="1"/>
  <c r="E5641" i="1"/>
  <c r="B5641" i="1"/>
  <c r="A5641" i="1"/>
  <c r="H5640" i="1"/>
  <c r="G5640" i="1"/>
  <c r="E5640" i="1"/>
  <c r="B5640" i="1"/>
  <c r="A5640" i="1"/>
  <c r="H5639" i="1"/>
  <c r="G5639" i="1"/>
  <c r="E5639" i="1"/>
  <c r="B5639" i="1"/>
  <c r="A5639" i="1"/>
  <c r="H5638" i="1"/>
  <c r="G5638" i="1"/>
  <c r="E5638" i="1"/>
  <c r="B5638" i="1"/>
  <c r="A5638" i="1"/>
  <c r="H5637" i="1"/>
  <c r="G5637" i="1"/>
  <c r="E5637" i="1"/>
  <c r="B5637" i="1"/>
  <c r="A5637" i="1"/>
  <c r="H5636" i="1"/>
  <c r="G5636" i="1"/>
  <c r="E5636" i="1"/>
  <c r="B5636" i="1"/>
  <c r="A5636" i="1"/>
  <c r="H5635" i="1"/>
  <c r="G5635" i="1"/>
  <c r="E5635" i="1"/>
  <c r="B5635" i="1"/>
  <c r="A5635" i="1"/>
  <c r="H5634" i="1"/>
  <c r="G5634" i="1"/>
  <c r="E5634" i="1"/>
  <c r="B5634" i="1"/>
  <c r="A5634" i="1"/>
  <c r="H5633" i="1"/>
  <c r="G5633" i="1"/>
  <c r="E5633" i="1"/>
  <c r="B5633" i="1"/>
  <c r="A5633" i="1"/>
  <c r="H5632" i="1"/>
  <c r="G5632" i="1"/>
  <c r="E5632" i="1"/>
  <c r="B5632" i="1"/>
  <c r="A5632" i="1"/>
  <c r="H5631" i="1"/>
  <c r="G5631" i="1"/>
  <c r="E5631" i="1"/>
  <c r="B5631" i="1"/>
  <c r="A5631" i="1"/>
  <c r="H5630" i="1"/>
  <c r="G5630" i="1"/>
  <c r="E5630" i="1"/>
  <c r="B5630" i="1"/>
  <c r="A5630" i="1"/>
  <c r="H5629" i="1"/>
  <c r="G5629" i="1"/>
  <c r="E5629" i="1"/>
  <c r="B5629" i="1"/>
  <c r="A5629" i="1"/>
  <c r="H5628" i="1"/>
  <c r="G5628" i="1"/>
  <c r="E5628" i="1"/>
  <c r="B5628" i="1"/>
  <c r="A5628" i="1"/>
  <c r="H5627" i="1"/>
  <c r="G5627" i="1"/>
  <c r="E5627" i="1"/>
  <c r="B5627" i="1"/>
  <c r="A5627" i="1"/>
  <c r="H5626" i="1"/>
  <c r="G5626" i="1"/>
  <c r="E5626" i="1"/>
  <c r="B5626" i="1"/>
  <c r="A5626" i="1"/>
  <c r="H5625" i="1"/>
  <c r="G5625" i="1"/>
  <c r="E5625" i="1"/>
  <c r="B5625" i="1"/>
  <c r="A5625" i="1"/>
  <c r="H5624" i="1"/>
  <c r="G5624" i="1"/>
  <c r="E5624" i="1"/>
  <c r="B5624" i="1"/>
  <c r="A5624" i="1"/>
  <c r="H5623" i="1"/>
  <c r="G5623" i="1"/>
  <c r="E5623" i="1"/>
  <c r="B5623" i="1"/>
  <c r="A5623" i="1"/>
  <c r="H5622" i="1"/>
  <c r="G5622" i="1"/>
  <c r="E5622" i="1"/>
  <c r="B5622" i="1"/>
  <c r="A5622" i="1"/>
  <c r="H5621" i="1"/>
  <c r="G5621" i="1"/>
  <c r="E5621" i="1"/>
  <c r="B5621" i="1"/>
  <c r="A5621" i="1"/>
  <c r="H5620" i="1"/>
  <c r="G5620" i="1"/>
  <c r="E5620" i="1"/>
  <c r="B5620" i="1"/>
  <c r="A5620" i="1"/>
  <c r="H5619" i="1"/>
  <c r="G5619" i="1"/>
  <c r="E5619" i="1"/>
  <c r="B5619" i="1"/>
  <c r="A5619" i="1"/>
  <c r="H5618" i="1"/>
  <c r="G5618" i="1"/>
  <c r="E5618" i="1"/>
  <c r="B5618" i="1"/>
  <c r="A5618" i="1"/>
  <c r="H5617" i="1"/>
  <c r="G5617" i="1"/>
  <c r="E5617" i="1"/>
  <c r="B5617" i="1"/>
  <c r="A5617" i="1"/>
  <c r="H5616" i="1"/>
  <c r="G5616" i="1"/>
  <c r="E5616" i="1"/>
  <c r="B5616" i="1"/>
  <c r="A5616" i="1"/>
  <c r="H5615" i="1"/>
  <c r="G5615" i="1"/>
  <c r="E5615" i="1"/>
  <c r="B5615" i="1"/>
  <c r="A5615" i="1"/>
  <c r="H5614" i="1"/>
  <c r="G5614" i="1"/>
  <c r="E5614" i="1"/>
  <c r="B5614" i="1"/>
  <c r="A5614" i="1"/>
  <c r="H5613" i="1"/>
  <c r="G5613" i="1"/>
  <c r="E5613" i="1"/>
  <c r="B5613" i="1"/>
  <c r="A5613" i="1"/>
  <c r="H5612" i="1"/>
  <c r="G5612" i="1"/>
  <c r="E5612" i="1"/>
  <c r="B5612" i="1"/>
  <c r="A5612" i="1"/>
  <c r="H5611" i="1"/>
  <c r="G5611" i="1"/>
  <c r="E5611" i="1"/>
  <c r="B5611" i="1"/>
  <c r="A5611" i="1"/>
  <c r="H5610" i="1"/>
  <c r="G5610" i="1"/>
  <c r="E5610" i="1"/>
  <c r="B5610" i="1"/>
  <c r="A5610" i="1"/>
  <c r="H5609" i="1"/>
  <c r="G5609" i="1"/>
  <c r="E5609" i="1"/>
  <c r="B5609" i="1"/>
  <c r="A5609" i="1"/>
  <c r="H5608" i="1"/>
  <c r="G5608" i="1"/>
  <c r="E5608" i="1"/>
  <c r="B5608" i="1"/>
  <c r="A5608" i="1"/>
  <c r="H5607" i="1"/>
  <c r="G5607" i="1"/>
  <c r="E5607" i="1"/>
  <c r="B5607" i="1"/>
  <c r="A5607" i="1"/>
  <c r="H5606" i="1"/>
  <c r="G5606" i="1"/>
  <c r="E5606" i="1"/>
  <c r="B5606" i="1"/>
  <c r="A5606" i="1"/>
  <c r="H5605" i="1"/>
  <c r="G5605" i="1"/>
  <c r="E5605" i="1"/>
  <c r="B5605" i="1"/>
  <c r="A5605" i="1"/>
  <c r="H5604" i="1"/>
  <c r="G5604" i="1"/>
  <c r="E5604" i="1"/>
  <c r="B5604" i="1"/>
  <c r="A5604" i="1"/>
  <c r="H5603" i="1"/>
  <c r="G5603" i="1"/>
  <c r="E5603" i="1"/>
  <c r="B5603" i="1"/>
  <c r="A5603" i="1"/>
  <c r="H5602" i="1"/>
  <c r="G5602" i="1"/>
  <c r="E5602" i="1"/>
  <c r="B5602" i="1"/>
  <c r="A5602" i="1"/>
  <c r="H5601" i="1"/>
  <c r="G5601" i="1"/>
  <c r="E5601" i="1"/>
  <c r="B5601" i="1"/>
  <c r="A5601" i="1"/>
  <c r="H5600" i="1"/>
  <c r="G5600" i="1"/>
  <c r="E5600" i="1"/>
  <c r="B5600" i="1"/>
  <c r="A5600" i="1"/>
  <c r="H5599" i="1"/>
  <c r="G5599" i="1"/>
  <c r="E5599" i="1"/>
  <c r="B5599" i="1"/>
  <c r="A5599" i="1"/>
  <c r="H5598" i="1"/>
  <c r="G5598" i="1"/>
  <c r="E5598" i="1"/>
  <c r="B5598" i="1"/>
  <c r="A5598" i="1"/>
  <c r="H5597" i="1"/>
  <c r="G5597" i="1"/>
  <c r="E5597" i="1"/>
  <c r="B5597" i="1"/>
  <c r="A5597" i="1"/>
  <c r="H5596" i="1"/>
  <c r="G5596" i="1"/>
  <c r="E5596" i="1"/>
  <c r="B5596" i="1"/>
  <c r="A5596" i="1"/>
  <c r="H5595" i="1"/>
  <c r="G5595" i="1"/>
  <c r="E5595" i="1"/>
  <c r="B5595" i="1"/>
  <c r="A5595" i="1"/>
  <c r="H5594" i="1"/>
  <c r="G5594" i="1"/>
  <c r="E5594" i="1"/>
  <c r="B5594" i="1"/>
  <c r="A5594" i="1"/>
  <c r="H5593" i="1"/>
  <c r="G5593" i="1"/>
  <c r="E5593" i="1"/>
  <c r="B5593" i="1"/>
  <c r="A5593" i="1"/>
  <c r="H5592" i="1"/>
  <c r="G5592" i="1"/>
  <c r="E5592" i="1"/>
  <c r="B5592" i="1"/>
  <c r="A5592" i="1"/>
  <c r="H5591" i="1"/>
  <c r="G5591" i="1"/>
  <c r="E5591" i="1"/>
  <c r="B5591" i="1"/>
  <c r="A5591" i="1"/>
  <c r="H5590" i="1"/>
  <c r="G5590" i="1"/>
  <c r="E5590" i="1"/>
  <c r="B5590" i="1"/>
  <c r="A5590" i="1"/>
  <c r="H5589" i="1"/>
  <c r="G5589" i="1"/>
  <c r="E5589" i="1"/>
  <c r="B5589" i="1"/>
  <c r="A5589" i="1"/>
  <c r="H5588" i="1"/>
  <c r="G5588" i="1"/>
  <c r="E5588" i="1"/>
  <c r="B5588" i="1"/>
  <c r="A5588" i="1"/>
  <c r="H5587" i="1"/>
  <c r="G5587" i="1"/>
  <c r="E5587" i="1"/>
  <c r="B5587" i="1"/>
  <c r="A5587" i="1"/>
  <c r="H5586" i="1"/>
  <c r="G5586" i="1"/>
  <c r="E5586" i="1"/>
  <c r="B5586" i="1"/>
  <c r="A5586" i="1"/>
  <c r="H5585" i="1"/>
  <c r="G5585" i="1"/>
  <c r="E5585" i="1"/>
  <c r="B5585" i="1"/>
  <c r="A5585" i="1"/>
  <c r="H5584" i="1"/>
  <c r="G5584" i="1"/>
  <c r="E5584" i="1"/>
  <c r="B5584" i="1"/>
  <c r="A5584" i="1"/>
  <c r="H5583" i="1"/>
  <c r="G5583" i="1"/>
  <c r="E5583" i="1"/>
  <c r="B5583" i="1"/>
  <c r="A5583" i="1"/>
  <c r="H5582" i="1"/>
  <c r="G5582" i="1"/>
  <c r="E5582" i="1"/>
  <c r="B5582" i="1"/>
  <c r="A5582" i="1"/>
  <c r="H5581" i="1"/>
  <c r="G5581" i="1"/>
  <c r="E5581" i="1"/>
  <c r="B5581" i="1"/>
  <c r="A5581" i="1"/>
  <c r="H5580" i="1"/>
  <c r="G5580" i="1"/>
  <c r="E5580" i="1"/>
  <c r="B5580" i="1"/>
  <c r="A5580" i="1"/>
  <c r="H5579" i="1"/>
  <c r="G5579" i="1"/>
  <c r="E5579" i="1"/>
  <c r="B5579" i="1"/>
  <c r="A5579" i="1"/>
  <c r="H5578" i="1"/>
  <c r="G5578" i="1"/>
  <c r="E5578" i="1"/>
  <c r="B5578" i="1"/>
  <c r="A5578" i="1"/>
  <c r="H5577" i="1"/>
  <c r="G5577" i="1"/>
  <c r="E5577" i="1"/>
  <c r="B5577" i="1"/>
  <c r="A5577" i="1"/>
  <c r="H5576" i="1"/>
  <c r="G5576" i="1"/>
  <c r="E5576" i="1"/>
  <c r="B5576" i="1"/>
  <c r="A5576" i="1"/>
  <c r="H5575" i="1"/>
  <c r="G5575" i="1"/>
  <c r="E5575" i="1"/>
  <c r="B5575" i="1"/>
  <c r="A5575" i="1"/>
  <c r="H5574" i="1"/>
  <c r="G5574" i="1"/>
  <c r="E5574" i="1"/>
  <c r="B5574" i="1"/>
  <c r="A5574" i="1"/>
  <c r="H5573" i="1"/>
  <c r="G5573" i="1"/>
  <c r="E5573" i="1"/>
  <c r="B5573" i="1"/>
  <c r="A5573" i="1"/>
  <c r="H5572" i="1"/>
  <c r="G5572" i="1"/>
  <c r="E5572" i="1"/>
  <c r="B5572" i="1"/>
  <c r="A5572" i="1"/>
  <c r="H5571" i="1"/>
  <c r="G5571" i="1"/>
  <c r="E5571" i="1"/>
  <c r="B5571" i="1"/>
  <c r="A5571" i="1"/>
  <c r="H5570" i="1"/>
  <c r="G5570" i="1"/>
  <c r="E5570" i="1"/>
  <c r="B5570" i="1"/>
  <c r="A5570" i="1"/>
  <c r="H5569" i="1"/>
  <c r="G5569" i="1"/>
  <c r="E5569" i="1"/>
  <c r="B5569" i="1"/>
  <c r="A5569" i="1"/>
  <c r="H5568" i="1"/>
  <c r="G5568" i="1"/>
  <c r="E5568" i="1"/>
  <c r="B5568" i="1"/>
  <c r="A5568" i="1"/>
  <c r="H5567" i="1"/>
  <c r="G5567" i="1"/>
  <c r="E5567" i="1"/>
  <c r="B5567" i="1"/>
  <c r="A5567" i="1"/>
  <c r="H5566" i="1"/>
  <c r="G5566" i="1"/>
  <c r="E5566" i="1"/>
  <c r="B5566" i="1"/>
  <c r="A5566" i="1"/>
  <c r="H5565" i="1"/>
  <c r="G5565" i="1"/>
  <c r="E5565" i="1"/>
  <c r="B5565" i="1"/>
  <c r="A5565" i="1"/>
  <c r="H5564" i="1"/>
  <c r="G5564" i="1"/>
  <c r="E5564" i="1"/>
  <c r="B5564" i="1"/>
  <c r="A5564" i="1"/>
  <c r="H5563" i="1"/>
  <c r="G5563" i="1"/>
  <c r="E5563" i="1"/>
  <c r="B5563" i="1"/>
  <c r="A5563" i="1"/>
  <c r="H5562" i="1"/>
  <c r="G5562" i="1"/>
  <c r="E5562" i="1"/>
  <c r="B5562" i="1"/>
  <c r="A5562" i="1"/>
  <c r="H5561" i="1"/>
  <c r="G5561" i="1"/>
  <c r="E5561" i="1"/>
  <c r="B5561" i="1"/>
  <c r="A5561" i="1"/>
  <c r="H5560" i="1"/>
  <c r="G5560" i="1"/>
  <c r="E5560" i="1"/>
  <c r="B5560" i="1"/>
  <c r="A5560" i="1"/>
  <c r="H5559" i="1"/>
  <c r="G5559" i="1"/>
  <c r="E5559" i="1"/>
  <c r="B5559" i="1"/>
  <c r="A5559" i="1"/>
  <c r="H5558" i="1"/>
  <c r="G5558" i="1"/>
  <c r="E5558" i="1"/>
  <c r="B5558" i="1"/>
  <c r="A5558" i="1"/>
  <c r="H5557" i="1"/>
  <c r="G5557" i="1"/>
  <c r="E5557" i="1"/>
  <c r="B5557" i="1"/>
  <c r="A5557" i="1"/>
  <c r="H5556" i="1"/>
  <c r="G5556" i="1"/>
  <c r="E5556" i="1"/>
  <c r="B5556" i="1"/>
  <c r="A5556" i="1"/>
  <c r="H5555" i="1"/>
  <c r="G5555" i="1"/>
  <c r="E5555" i="1"/>
  <c r="B5555" i="1"/>
  <c r="A5555" i="1"/>
  <c r="H5554" i="1"/>
  <c r="G5554" i="1"/>
  <c r="E5554" i="1"/>
  <c r="B5554" i="1"/>
  <c r="A5554" i="1"/>
  <c r="H5553" i="1"/>
  <c r="G5553" i="1"/>
  <c r="E5553" i="1"/>
  <c r="B5553" i="1"/>
  <c r="A5553" i="1"/>
  <c r="H5552" i="1"/>
  <c r="G5552" i="1"/>
  <c r="E5552" i="1"/>
  <c r="B5552" i="1"/>
  <c r="A5552" i="1"/>
  <c r="H5551" i="1"/>
  <c r="G5551" i="1"/>
  <c r="E5551" i="1"/>
  <c r="B5551" i="1"/>
  <c r="A5551" i="1"/>
  <c r="H5550" i="1"/>
  <c r="G5550" i="1"/>
  <c r="E5550" i="1"/>
  <c r="B5550" i="1"/>
  <c r="A5550" i="1"/>
  <c r="H5549" i="1"/>
  <c r="G5549" i="1"/>
  <c r="E5549" i="1"/>
  <c r="B5549" i="1"/>
  <c r="A5549" i="1"/>
  <c r="H5548" i="1"/>
  <c r="G5548" i="1"/>
  <c r="E5548" i="1"/>
  <c r="B5548" i="1"/>
  <c r="A5548" i="1"/>
  <c r="H5547" i="1"/>
  <c r="G5547" i="1"/>
  <c r="E5547" i="1"/>
  <c r="B5547" i="1"/>
  <c r="A5547" i="1"/>
  <c r="H5546" i="1"/>
  <c r="G5546" i="1"/>
  <c r="E5546" i="1"/>
  <c r="B5546" i="1"/>
  <c r="A5546" i="1"/>
  <c r="H5545" i="1"/>
  <c r="G5545" i="1"/>
  <c r="E5545" i="1"/>
  <c r="B5545" i="1"/>
  <c r="A5545" i="1"/>
  <c r="H5544" i="1"/>
  <c r="G5544" i="1"/>
  <c r="E5544" i="1"/>
  <c r="B5544" i="1"/>
  <c r="A5544" i="1"/>
  <c r="H5543" i="1"/>
  <c r="G5543" i="1"/>
  <c r="E5543" i="1"/>
  <c r="B5543" i="1"/>
  <c r="A5543" i="1"/>
  <c r="H5542" i="1"/>
  <c r="G5542" i="1"/>
  <c r="E5542" i="1"/>
  <c r="B5542" i="1"/>
  <c r="A5542" i="1"/>
  <c r="H5541" i="1"/>
  <c r="G5541" i="1"/>
  <c r="E5541" i="1"/>
  <c r="B5541" i="1"/>
  <c r="A5541" i="1"/>
  <c r="H5540" i="1"/>
  <c r="G5540" i="1"/>
  <c r="E5540" i="1"/>
  <c r="B5540" i="1"/>
  <c r="A5540" i="1"/>
  <c r="H5539" i="1"/>
  <c r="G5539" i="1"/>
  <c r="E5539" i="1"/>
  <c r="B5539" i="1"/>
  <c r="A5539" i="1"/>
  <c r="H5538" i="1"/>
  <c r="G5538" i="1"/>
  <c r="E5538" i="1"/>
  <c r="B5538" i="1"/>
  <c r="A5538" i="1"/>
  <c r="H5537" i="1"/>
  <c r="G5537" i="1"/>
  <c r="E5537" i="1"/>
  <c r="B5537" i="1"/>
  <c r="A5537" i="1"/>
  <c r="H5536" i="1"/>
  <c r="G5536" i="1"/>
  <c r="E5536" i="1"/>
  <c r="B5536" i="1"/>
  <c r="A5536" i="1"/>
  <c r="H5535" i="1"/>
  <c r="G5535" i="1"/>
  <c r="E5535" i="1"/>
  <c r="B5535" i="1"/>
  <c r="A5535" i="1"/>
  <c r="H5534" i="1"/>
  <c r="G5534" i="1"/>
  <c r="E5534" i="1"/>
  <c r="B5534" i="1"/>
  <c r="A5534" i="1"/>
  <c r="H5533" i="1"/>
  <c r="G5533" i="1"/>
  <c r="E5533" i="1"/>
  <c r="B5533" i="1"/>
  <c r="A5533" i="1"/>
  <c r="H5532" i="1"/>
  <c r="G5532" i="1"/>
  <c r="E5532" i="1"/>
  <c r="B5532" i="1"/>
  <c r="A5532" i="1"/>
  <c r="H5531" i="1"/>
  <c r="G5531" i="1"/>
  <c r="E5531" i="1"/>
  <c r="B5531" i="1"/>
  <c r="A5531" i="1"/>
  <c r="H5530" i="1"/>
  <c r="G5530" i="1"/>
  <c r="E5530" i="1"/>
  <c r="B5530" i="1"/>
  <c r="A5530" i="1"/>
  <c r="H5529" i="1"/>
  <c r="G5529" i="1"/>
  <c r="E5529" i="1"/>
  <c r="B5529" i="1"/>
  <c r="A5529" i="1"/>
  <c r="H5528" i="1"/>
  <c r="G5528" i="1"/>
  <c r="E5528" i="1"/>
  <c r="B5528" i="1"/>
  <c r="A5528" i="1"/>
  <c r="H5527" i="1"/>
  <c r="G5527" i="1"/>
  <c r="E5527" i="1"/>
  <c r="B5527" i="1"/>
  <c r="A5527" i="1"/>
  <c r="H5526" i="1"/>
  <c r="G5526" i="1"/>
  <c r="E5526" i="1"/>
  <c r="B5526" i="1"/>
  <c r="A5526" i="1"/>
  <c r="H5525" i="1"/>
  <c r="G5525" i="1"/>
  <c r="E5525" i="1"/>
  <c r="B5525" i="1"/>
  <c r="A5525" i="1"/>
  <c r="H5524" i="1"/>
  <c r="G5524" i="1"/>
  <c r="E5524" i="1"/>
  <c r="B5524" i="1"/>
  <c r="A5524" i="1"/>
  <c r="H5523" i="1"/>
  <c r="G5523" i="1"/>
  <c r="E5523" i="1"/>
  <c r="B5523" i="1"/>
  <c r="A5523" i="1"/>
  <c r="H5522" i="1"/>
  <c r="G5522" i="1"/>
  <c r="E5522" i="1"/>
  <c r="B5522" i="1"/>
  <c r="A5522" i="1"/>
  <c r="H5521" i="1"/>
  <c r="G5521" i="1"/>
  <c r="E5521" i="1"/>
  <c r="B5521" i="1"/>
  <c r="A5521" i="1"/>
  <c r="H5520" i="1"/>
  <c r="G5520" i="1"/>
  <c r="E5520" i="1"/>
  <c r="B5520" i="1"/>
  <c r="A5520" i="1"/>
  <c r="H5519" i="1"/>
  <c r="G5519" i="1"/>
  <c r="E5519" i="1"/>
  <c r="B5519" i="1"/>
  <c r="A5519" i="1"/>
  <c r="H5518" i="1"/>
  <c r="G5518" i="1"/>
  <c r="E5518" i="1"/>
  <c r="B5518" i="1"/>
  <c r="A5518" i="1"/>
  <c r="H5517" i="1"/>
  <c r="G5517" i="1"/>
  <c r="E5517" i="1"/>
  <c r="B5517" i="1"/>
  <c r="A5517" i="1"/>
  <c r="H5516" i="1"/>
  <c r="G5516" i="1"/>
  <c r="E5516" i="1"/>
  <c r="B5516" i="1"/>
  <c r="A5516" i="1"/>
  <c r="H5515" i="1"/>
  <c r="G5515" i="1"/>
  <c r="E5515" i="1"/>
  <c r="B5515" i="1"/>
  <c r="A5515" i="1"/>
  <c r="H5514" i="1"/>
  <c r="G5514" i="1"/>
  <c r="E5514" i="1"/>
  <c r="B5514" i="1"/>
  <c r="A5514" i="1"/>
  <c r="H5513" i="1"/>
  <c r="G5513" i="1"/>
  <c r="E5513" i="1"/>
  <c r="B5513" i="1"/>
  <c r="A5513" i="1"/>
  <c r="H5512" i="1"/>
  <c r="G5512" i="1"/>
  <c r="E5512" i="1"/>
  <c r="B5512" i="1"/>
  <c r="A5512" i="1"/>
  <c r="H5511" i="1"/>
  <c r="G5511" i="1"/>
  <c r="E5511" i="1"/>
  <c r="B5511" i="1"/>
  <c r="A5511" i="1"/>
  <c r="H5510" i="1"/>
  <c r="G5510" i="1"/>
  <c r="E5510" i="1"/>
  <c r="B5510" i="1"/>
  <c r="A5510" i="1"/>
  <c r="H5509" i="1"/>
  <c r="G5509" i="1"/>
  <c r="E5509" i="1"/>
  <c r="B5509" i="1"/>
  <c r="A5509" i="1"/>
  <c r="H5508" i="1"/>
  <c r="G5508" i="1"/>
  <c r="E5508" i="1"/>
  <c r="B5508" i="1"/>
  <c r="A5508" i="1"/>
  <c r="H5507" i="1"/>
  <c r="G5507" i="1"/>
  <c r="E5507" i="1"/>
  <c r="B5507" i="1"/>
  <c r="A5507" i="1"/>
  <c r="H5506" i="1"/>
  <c r="G5506" i="1"/>
  <c r="E5506" i="1"/>
  <c r="B5506" i="1"/>
  <c r="A5506" i="1"/>
  <c r="H5505" i="1"/>
  <c r="G5505" i="1"/>
  <c r="E5505" i="1"/>
  <c r="B5505" i="1"/>
  <c r="A5505" i="1"/>
  <c r="H5504" i="1"/>
  <c r="G5504" i="1"/>
  <c r="E5504" i="1"/>
  <c r="B5504" i="1"/>
  <c r="A5504" i="1"/>
  <c r="H5503" i="1"/>
  <c r="G5503" i="1"/>
  <c r="E5503" i="1"/>
  <c r="B5503" i="1"/>
  <c r="A5503" i="1"/>
  <c r="H5502" i="1"/>
  <c r="G5502" i="1"/>
  <c r="E5502" i="1"/>
  <c r="B5502" i="1"/>
  <c r="A5502" i="1"/>
  <c r="H5501" i="1"/>
  <c r="G5501" i="1"/>
  <c r="E5501" i="1"/>
  <c r="B5501" i="1"/>
  <c r="A5501" i="1"/>
  <c r="H5500" i="1"/>
  <c r="G5500" i="1"/>
  <c r="E5500" i="1"/>
  <c r="B5500" i="1"/>
  <c r="A5500" i="1"/>
  <c r="H5499" i="1"/>
  <c r="G5499" i="1"/>
  <c r="E5499" i="1"/>
  <c r="B5499" i="1"/>
  <c r="A5499" i="1"/>
  <c r="H5498" i="1"/>
  <c r="G5498" i="1"/>
  <c r="E5498" i="1"/>
  <c r="B5498" i="1"/>
  <c r="A5498" i="1"/>
  <c r="H5497" i="1"/>
  <c r="G5497" i="1"/>
  <c r="E5497" i="1"/>
  <c r="B5497" i="1"/>
  <c r="A5497" i="1"/>
  <c r="H5496" i="1"/>
  <c r="G5496" i="1"/>
  <c r="E5496" i="1"/>
  <c r="B5496" i="1"/>
  <c r="A5496" i="1"/>
  <c r="H5495" i="1"/>
  <c r="G5495" i="1"/>
  <c r="E5495" i="1"/>
  <c r="B5495" i="1"/>
  <c r="A5495" i="1"/>
  <c r="H5494" i="1"/>
  <c r="G5494" i="1"/>
  <c r="E5494" i="1"/>
  <c r="B5494" i="1"/>
  <c r="A5494" i="1"/>
  <c r="H5493" i="1"/>
  <c r="G5493" i="1"/>
  <c r="E5493" i="1"/>
  <c r="B5493" i="1"/>
  <c r="A5493" i="1"/>
  <c r="H5492" i="1"/>
  <c r="G5492" i="1"/>
  <c r="E5492" i="1"/>
  <c r="B5492" i="1"/>
  <c r="A5492" i="1"/>
  <c r="H5491" i="1"/>
  <c r="G5491" i="1"/>
  <c r="E5491" i="1"/>
  <c r="B5491" i="1"/>
  <c r="A5491" i="1"/>
  <c r="H5490" i="1"/>
  <c r="G5490" i="1"/>
  <c r="E5490" i="1"/>
  <c r="B5490" i="1"/>
  <c r="A5490" i="1"/>
  <c r="H5489" i="1"/>
  <c r="G5489" i="1"/>
  <c r="E5489" i="1"/>
  <c r="B5489" i="1"/>
  <c r="A5489" i="1"/>
  <c r="H5488" i="1"/>
  <c r="G5488" i="1"/>
  <c r="E5488" i="1"/>
  <c r="B5488" i="1"/>
  <c r="A5488" i="1"/>
  <c r="H5487" i="1"/>
  <c r="G5487" i="1"/>
  <c r="E5487" i="1"/>
  <c r="B5487" i="1"/>
  <c r="A5487" i="1"/>
  <c r="H5486" i="1"/>
  <c r="G5486" i="1"/>
  <c r="E5486" i="1"/>
  <c r="B5486" i="1"/>
  <c r="A5486" i="1"/>
  <c r="H5485" i="1"/>
  <c r="G5485" i="1"/>
  <c r="E5485" i="1"/>
  <c r="B5485" i="1"/>
  <c r="A5485" i="1"/>
  <c r="H5484" i="1"/>
  <c r="G5484" i="1"/>
  <c r="E5484" i="1"/>
  <c r="B5484" i="1"/>
  <c r="A5484" i="1"/>
  <c r="H5483" i="1"/>
  <c r="G5483" i="1"/>
  <c r="E5483" i="1"/>
  <c r="B5483" i="1"/>
  <c r="A5483" i="1"/>
  <c r="H5482" i="1"/>
  <c r="G5482" i="1"/>
  <c r="E5482" i="1"/>
  <c r="B5482" i="1"/>
  <c r="A5482" i="1"/>
  <c r="H5481" i="1"/>
  <c r="G5481" i="1"/>
  <c r="E5481" i="1"/>
  <c r="B5481" i="1"/>
  <c r="A5481" i="1"/>
  <c r="H5480" i="1"/>
  <c r="G5480" i="1"/>
  <c r="E5480" i="1"/>
  <c r="B5480" i="1"/>
  <c r="A5480" i="1"/>
  <c r="H5479" i="1"/>
  <c r="G5479" i="1"/>
  <c r="E5479" i="1"/>
  <c r="B5479" i="1"/>
  <c r="A5479" i="1"/>
  <c r="H5478" i="1"/>
  <c r="G5478" i="1"/>
  <c r="E5478" i="1"/>
  <c r="B5478" i="1"/>
  <c r="A5478" i="1"/>
  <c r="H5477" i="1"/>
  <c r="G5477" i="1"/>
  <c r="E5477" i="1"/>
  <c r="B5477" i="1"/>
  <c r="A5477" i="1"/>
  <c r="H5476" i="1"/>
  <c r="G5476" i="1"/>
  <c r="E5476" i="1"/>
  <c r="B5476" i="1"/>
  <c r="A5476" i="1"/>
  <c r="H5475" i="1"/>
  <c r="G5475" i="1"/>
  <c r="E5475" i="1"/>
  <c r="B5475" i="1"/>
  <c r="A5475" i="1"/>
  <c r="H5474" i="1"/>
  <c r="G5474" i="1"/>
  <c r="E5474" i="1"/>
  <c r="B5474" i="1"/>
  <c r="A5474" i="1"/>
  <c r="H5473" i="1"/>
  <c r="G5473" i="1"/>
  <c r="E5473" i="1"/>
  <c r="B5473" i="1"/>
  <c r="A5473" i="1"/>
  <c r="H5472" i="1"/>
  <c r="G5472" i="1"/>
  <c r="E5472" i="1"/>
  <c r="B5472" i="1"/>
  <c r="A5472" i="1"/>
  <c r="H5471" i="1"/>
  <c r="G5471" i="1"/>
  <c r="E5471" i="1"/>
  <c r="B5471" i="1"/>
  <c r="A5471" i="1"/>
  <c r="H5470" i="1"/>
  <c r="G5470" i="1"/>
  <c r="E5470" i="1"/>
  <c r="B5470" i="1"/>
  <c r="A5470" i="1"/>
  <c r="H5469" i="1"/>
  <c r="G5469" i="1"/>
  <c r="E5469" i="1"/>
  <c r="B5469" i="1"/>
  <c r="A5469" i="1"/>
  <c r="H5468" i="1"/>
  <c r="G5468" i="1"/>
  <c r="E5468" i="1"/>
  <c r="B5468" i="1"/>
  <c r="A5468" i="1"/>
  <c r="H5467" i="1"/>
  <c r="G5467" i="1"/>
  <c r="E5467" i="1"/>
  <c r="B5467" i="1"/>
  <c r="A5467" i="1"/>
  <c r="H5466" i="1"/>
  <c r="G5466" i="1"/>
  <c r="E5466" i="1"/>
  <c r="B5466" i="1"/>
  <c r="A5466" i="1"/>
  <c r="H5465" i="1"/>
  <c r="G5465" i="1"/>
  <c r="E5465" i="1"/>
  <c r="B5465" i="1"/>
  <c r="A5465" i="1"/>
  <c r="H5464" i="1"/>
  <c r="G5464" i="1"/>
  <c r="E5464" i="1"/>
  <c r="B5464" i="1"/>
  <c r="A5464" i="1"/>
  <c r="H5463" i="1"/>
  <c r="G5463" i="1"/>
  <c r="E5463" i="1"/>
  <c r="B5463" i="1"/>
  <c r="A5463" i="1"/>
  <c r="H5462" i="1"/>
  <c r="G5462" i="1"/>
  <c r="E5462" i="1"/>
  <c r="B5462" i="1"/>
  <c r="A5462" i="1"/>
  <c r="H5461" i="1"/>
  <c r="G5461" i="1"/>
  <c r="E5461" i="1"/>
  <c r="B5461" i="1"/>
  <c r="A5461" i="1"/>
  <c r="H5460" i="1"/>
  <c r="G5460" i="1"/>
  <c r="E5460" i="1"/>
  <c r="B5460" i="1"/>
  <c r="A5460" i="1"/>
  <c r="H5459" i="1"/>
  <c r="G5459" i="1"/>
  <c r="E5459" i="1"/>
  <c r="B5459" i="1"/>
  <c r="A5459" i="1"/>
  <c r="H5458" i="1"/>
  <c r="G5458" i="1"/>
  <c r="E5458" i="1"/>
  <c r="B5458" i="1"/>
  <c r="A5458" i="1"/>
  <c r="H5457" i="1"/>
  <c r="G5457" i="1"/>
  <c r="E5457" i="1"/>
  <c r="B5457" i="1"/>
  <c r="A5457" i="1"/>
  <c r="H5456" i="1"/>
  <c r="G5456" i="1"/>
  <c r="E5456" i="1"/>
  <c r="B5456" i="1"/>
  <c r="A5456" i="1"/>
  <c r="H5455" i="1"/>
  <c r="G5455" i="1"/>
  <c r="E5455" i="1"/>
  <c r="B5455" i="1"/>
  <c r="A5455" i="1"/>
  <c r="H5454" i="1"/>
  <c r="G5454" i="1"/>
  <c r="E5454" i="1"/>
  <c r="B5454" i="1"/>
  <c r="A5454" i="1"/>
  <c r="H5453" i="1"/>
  <c r="G5453" i="1"/>
  <c r="E5453" i="1"/>
  <c r="B5453" i="1"/>
  <c r="A5453" i="1"/>
  <c r="H5452" i="1"/>
  <c r="G5452" i="1"/>
  <c r="E5452" i="1"/>
  <c r="B5452" i="1"/>
  <c r="A5452" i="1"/>
  <c r="H5451" i="1"/>
  <c r="G5451" i="1"/>
  <c r="E5451" i="1"/>
  <c r="B5451" i="1"/>
  <c r="A5451" i="1"/>
  <c r="H5450" i="1"/>
  <c r="G5450" i="1"/>
  <c r="E5450" i="1"/>
  <c r="B5450" i="1"/>
  <c r="A5450" i="1"/>
  <c r="H5449" i="1"/>
  <c r="G5449" i="1"/>
  <c r="E5449" i="1"/>
  <c r="B5449" i="1"/>
  <c r="A5449" i="1"/>
  <c r="H5448" i="1"/>
  <c r="G5448" i="1"/>
  <c r="E5448" i="1"/>
  <c r="B5448" i="1"/>
  <c r="A5448" i="1"/>
  <c r="H5447" i="1"/>
  <c r="G5447" i="1"/>
  <c r="E5447" i="1"/>
  <c r="B5447" i="1"/>
  <c r="A5447" i="1"/>
  <c r="H5446" i="1"/>
  <c r="G5446" i="1"/>
  <c r="E5446" i="1"/>
  <c r="B5446" i="1"/>
  <c r="A5446" i="1"/>
  <c r="H5445" i="1"/>
  <c r="G5445" i="1"/>
  <c r="E5445" i="1"/>
  <c r="B5445" i="1"/>
  <c r="A5445" i="1"/>
  <c r="H5444" i="1"/>
  <c r="G5444" i="1"/>
  <c r="E5444" i="1"/>
  <c r="B5444" i="1"/>
  <c r="A5444" i="1"/>
  <c r="H5443" i="1"/>
  <c r="G5443" i="1"/>
  <c r="E5443" i="1"/>
  <c r="B5443" i="1"/>
  <c r="A5443" i="1"/>
  <c r="H5442" i="1"/>
  <c r="G5442" i="1"/>
  <c r="E5442" i="1"/>
  <c r="B5442" i="1"/>
  <c r="A5442" i="1"/>
  <c r="H5441" i="1"/>
  <c r="G5441" i="1"/>
  <c r="E5441" i="1"/>
  <c r="B5441" i="1"/>
  <c r="A5441" i="1"/>
  <c r="H5440" i="1"/>
  <c r="G5440" i="1"/>
  <c r="E5440" i="1"/>
  <c r="B5440" i="1"/>
  <c r="A5440" i="1"/>
  <c r="H5439" i="1"/>
  <c r="G5439" i="1"/>
  <c r="E5439" i="1"/>
  <c r="B5439" i="1"/>
  <c r="A5439" i="1"/>
  <c r="H5438" i="1"/>
  <c r="G5438" i="1"/>
  <c r="E5438" i="1"/>
  <c r="B5438" i="1"/>
  <c r="A5438" i="1"/>
  <c r="H5437" i="1"/>
  <c r="G5437" i="1"/>
  <c r="E5437" i="1"/>
  <c r="B5437" i="1"/>
  <c r="A5437" i="1"/>
  <c r="H5436" i="1"/>
  <c r="G5436" i="1"/>
  <c r="E5436" i="1"/>
  <c r="B5436" i="1"/>
  <c r="A5436" i="1"/>
  <c r="H5435" i="1"/>
  <c r="G5435" i="1"/>
  <c r="E5435" i="1"/>
  <c r="B5435" i="1"/>
  <c r="A5435" i="1"/>
  <c r="H5434" i="1"/>
  <c r="G5434" i="1"/>
  <c r="E5434" i="1"/>
  <c r="B5434" i="1"/>
  <c r="A5434" i="1"/>
  <c r="H5433" i="1"/>
  <c r="G5433" i="1"/>
  <c r="E5433" i="1"/>
  <c r="B5433" i="1"/>
  <c r="A5433" i="1"/>
  <c r="H5432" i="1"/>
  <c r="G5432" i="1"/>
  <c r="E5432" i="1"/>
  <c r="B5432" i="1"/>
  <c r="A5432" i="1"/>
  <c r="H5431" i="1"/>
  <c r="G5431" i="1"/>
  <c r="E5431" i="1"/>
  <c r="B5431" i="1"/>
  <c r="A5431" i="1"/>
  <c r="H5430" i="1"/>
  <c r="G5430" i="1"/>
  <c r="E5430" i="1"/>
  <c r="B5430" i="1"/>
  <c r="A5430" i="1"/>
  <c r="H5429" i="1"/>
  <c r="G5429" i="1"/>
  <c r="E5429" i="1"/>
  <c r="B5429" i="1"/>
  <c r="A5429" i="1"/>
  <c r="H5428" i="1"/>
  <c r="G5428" i="1"/>
  <c r="E5428" i="1"/>
  <c r="B5428" i="1"/>
  <c r="A5428" i="1"/>
  <c r="H5427" i="1"/>
  <c r="G5427" i="1"/>
  <c r="E5427" i="1"/>
  <c r="B5427" i="1"/>
  <c r="A5427" i="1"/>
  <c r="H5426" i="1"/>
  <c r="G5426" i="1"/>
  <c r="E5426" i="1"/>
  <c r="B5426" i="1"/>
  <c r="A5426" i="1"/>
  <c r="H5425" i="1"/>
  <c r="G5425" i="1"/>
  <c r="E5425" i="1"/>
  <c r="B5425" i="1"/>
  <c r="A5425" i="1"/>
  <c r="H5424" i="1"/>
  <c r="G5424" i="1"/>
  <c r="E5424" i="1"/>
  <c r="B5424" i="1"/>
  <c r="A5424" i="1"/>
  <c r="H5423" i="1"/>
  <c r="G5423" i="1"/>
  <c r="E5423" i="1"/>
  <c r="B5423" i="1"/>
  <c r="A5423" i="1"/>
  <c r="H5422" i="1"/>
  <c r="G5422" i="1"/>
  <c r="E5422" i="1"/>
  <c r="B5422" i="1"/>
  <c r="A5422" i="1"/>
  <c r="H5421" i="1"/>
  <c r="G5421" i="1"/>
  <c r="E5421" i="1"/>
  <c r="B5421" i="1"/>
  <c r="A5421" i="1"/>
  <c r="H5420" i="1"/>
  <c r="G5420" i="1"/>
  <c r="E5420" i="1"/>
  <c r="B5420" i="1"/>
  <c r="A5420" i="1"/>
  <c r="H5419" i="1"/>
  <c r="G5419" i="1"/>
  <c r="E5419" i="1"/>
  <c r="B5419" i="1"/>
  <c r="A5419" i="1"/>
  <c r="H5418" i="1"/>
  <c r="G5418" i="1"/>
  <c r="E5418" i="1"/>
  <c r="B5418" i="1"/>
  <c r="A5418" i="1"/>
  <c r="H5417" i="1"/>
  <c r="G5417" i="1"/>
  <c r="E5417" i="1"/>
  <c r="B5417" i="1"/>
  <c r="A5417" i="1"/>
  <c r="H5416" i="1"/>
  <c r="G5416" i="1"/>
  <c r="E5416" i="1"/>
  <c r="B5416" i="1"/>
  <c r="A5416" i="1"/>
  <c r="H5415" i="1"/>
  <c r="G5415" i="1"/>
  <c r="E5415" i="1"/>
  <c r="B5415" i="1"/>
  <c r="A5415" i="1"/>
  <c r="H5414" i="1"/>
  <c r="G5414" i="1"/>
  <c r="E5414" i="1"/>
  <c r="B5414" i="1"/>
  <c r="A5414" i="1"/>
  <c r="H5413" i="1"/>
  <c r="G5413" i="1"/>
  <c r="E5413" i="1"/>
  <c r="B5413" i="1"/>
  <c r="A5413" i="1"/>
  <c r="H5412" i="1"/>
  <c r="G5412" i="1"/>
  <c r="E5412" i="1"/>
  <c r="B5412" i="1"/>
  <c r="A5412" i="1"/>
  <c r="H5411" i="1"/>
  <c r="G5411" i="1"/>
  <c r="E5411" i="1"/>
  <c r="B5411" i="1"/>
  <c r="A5411" i="1"/>
  <c r="H5410" i="1"/>
  <c r="G5410" i="1"/>
  <c r="E5410" i="1"/>
  <c r="B5410" i="1"/>
  <c r="A5410" i="1"/>
  <c r="H5409" i="1"/>
  <c r="G5409" i="1"/>
  <c r="E5409" i="1"/>
  <c r="B5409" i="1"/>
  <c r="A5409" i="1"/>
  <c r="H5408" i="1"/>
  <c r="G5408" i="1"/>
  <c r="E5408" i="1"/>
  <c r="B5408" i="1"/>
  <c r="A5408" i="1"/>
  <c r="H5407" i="1"/>
  <c r="G5407" i="1"/>
  <c r="E5407" i="1"/>
  <c r="B5407" i="1"/>
  <c r="A5407" i="1"/>
  <c r="H5406" i="1"/>
  <c r="G5406" i="1"/>
  <c r="E5406" i="1"/>
  <c r="B5406" i="1"/>
  <c r="A5406" i="1"/>
  <c r="H5405" i="1"/>
  <c r="G5405" i="1"/>
  <c r="E5405" i="1"/>
  <c r="B5405" i="1"/>
  <c r="A5405" i="1"/>
  <c r="H5404" i="1"/>
  <c r="G5404" i="1"/>
  <c r="E5404" i="1"/>
  <c r="B5404" i="1"/>
  <c r="A5404" i="1"/>
  <c r="H5403" i="1"/>
  <c r="G5403" i="1"/>
  <c r="E5403" i="1"/>
  <c r="B5403" i="1"/>
  <c r="A5403" i="1"/>
  <c r="H5402" i="1"/>
  <c r="G5402" i="1"/>
  <c r="E5402" i="1"/>
  <c r="B5402" i="1"/>
  <c r="A5402" i="1"/>
  <c r="H5401" i="1"/>
  <c r="G5401" i="1"/>
  <c r="E5401" i="1"/>
  <c r="B5401" i="1"/>
  <c r="A5401" i="1"/>
  <c r="H5400" i="1"/>
  <c r="G5400" i="1"/>
  <c r="E5400" i="1"/>
  <c r="B5400" i="1"/>
  <c r="A5400" i="1"/>
  <c r="H5399" i="1"/>
  <c r="G5399" i="1"/>
  <c r="E5399" i="1"/>
  <c r="B5399" i="1"/>
  <c r="A5399" i="1"/>
  <c r="H5398" i="1"/>
  <c r="G5398" i="1"/>
  <c r="E5398" i="1"/>
  <c r="B5398" i="1"/>
  <c r="A5398" i="1"/>
  <c r="H5397" i="1"/>
  <c r="G5397" i="1"/>
  <c r="E5397" i="1"/>
  <c r="B5397" i="1"/>
  <c r="A5397" i="1"/>
  <c r="H5396" i="1"/>
  <c r="G5396" i="1"/>
  <c r="E5396" i="1"/>
  <c r="B5396" i="1"/>
  <c r="A5396" i="1"/>
  <c r="H5395" i="1"/>
  <c r="G5395" i="1"/>
  <c r="E5395" i="1"/>
  <c r="B5395" i="1"/>
  <c r="A5395" i="1"/>
  <c r="H5394" i="1"/>
  <c r="G5394" i="1"/>
  <c r="E5394" i="1"/>
  <c r="B5394" i="1"/>
  <c r="A5394" i="1"/>
  <c r="H5393" i="1"/>
  <c r="G5393" i="1"/>
  <c r="E5393" i="1"/>
  <c r="B5393" i="1"/>
  <c r="A5393" i="1"/>
  <c r="H5392" i="1"/>
  <c r="G5392" i="1"/>
  <c r="E5392" i="1"/>
  <c r="B5392" i="1"/>
  <c r="A5392" i="1"/>
  <c r="H5391" i="1"/>
  <c r="G5391" i="1"/>
  <c r="E5391" i="1"/>
  <c r="B5391" i="1"/>
  <c r="A5391" i="1"/>
  <c r="H5390" i="1"/>
  <c r="G5390" i="1"/>
  <c r="E5390" i="1"/>
  <c r="B5390" i="1"/>
  <c r="A5390" i="1"/>
  <c r="H5389" i="1"/>
  <c r="G5389" i="1"/>
  <c r="E5389" i="1"/>
  <c r="B5389" i="1"/>
  <c r="A5389" i="1"/>
  <c r="H5388" i="1"/>
  <c r="G5388" i="1"/>
  <c r="E5388" i="1"/>
  <c r="B5388" i="1"/>
  <c r="A5388" i="1"/>
  <c r="H5387" i="1"/>
  <c r="G5387" i="1"/>
  <c r="E5387" i="1"/>
  <c r="B5387" i="1"/>
  <c r="A5387" i="1"/>
  <c r="H5386" i="1"/>
  <c r="G5386" i="1"/>
  <c r="E5386" i="1"/>
  <c r="B5386" i="1"/>
  <c r="A5386" i="1"/>
  <c r="H5385" i="1"/>
  <c r="G5385" i="1"/>
  <c r="E5385" i="1"/>
  <c r="B5385" i="1"/>
  <c r="A5385" i="1"/>
  <c r="H5384" i="1"/>
  <c r="G5384" i="1"/>
  <c r="E5384" i="1"/>
  <c r="B5384" i="1"/>
  <c r="A5384" i="1"/>
  <c r="H5383" i="1"/>
  <c r="G5383" i="1"/>
  <c r="E5383" i="1"/>
  <c r="B5383" i="1"/>
  <c r="A5383" i="1"/>
  <c r="H5382" i="1"/>
  <c r="G5382" i="1"/>
  <c r="E5382" i="1"/>
  <c r="B5382" i="1"/>
  <c r="A5382" i="1"/>
  <c r="H5381" i="1"/>
  <c r="G5381" i="1"/>
  <c r="E5381" i="1"/>
  <c r="B5381" i="1"/>
  <c r="A5381" i="1"/>
  <c r="H5380" i="1"/>
  <c r="G5380" i="1"/>
  <c r="E5380" i="1"/>
  <c r="B5380" i="1"/>
  <c r="A5380" i="1"/>
  <c r="H5379" i="1"/>
  <c r="G5379" i="1"/>
  <c r="E5379" i="1"/>
  <c r="B5379" i="1"/>
  <c r="A5379" i="1"/>
  <c r="H5378" i="1"/>
  <c r="G5378" i="1"/>
  <c r="E5378" i="1"/>
  <c r="B5378" i="1"/>
  <c r="A5378" i="1"/>
  <c r="H5377" i="1"/>
  <c r="G5377" i="1"/>
  <c r="E5377" i="1"/>
  <c r="B5377" i="1"/>
  <c r="A5377" i="1"/>
  <c r="H5376" i="1"/>
  <c r="G5376" i="1"/>
  <c r="E5376" i="1"/>
  <c r="B5376" i="1"/>
  <c r="A5376" i="1"/>
  <c r="H5375" i="1"/>
  <c r="G5375" i="1"/>
  <c r="E5375" i="1"/>
  <c r="B5375" i="1"/>
  <c r="A5375" i="1"/>
  <c r="H5374" i="1"/>
  <c r="G5374" i="1"/>
  <c r="E5374" i="1"/>
  <c r="B5374" i="1"/>
  <c r="A5374" i="1"/>
  <c r="H5373" i="1"/>
  <c r="G5373" i="1"/>
  <c r="E5373" i="1"/>
  <c r="B5373" i="1"/>
  <c r="A5373" i="1"/>
  <c r="H5372" i="1"/>
  <c r="G5372" i="1"/>
  <c r="E5372" i="1"/>
  <c r="B5372" i="1"/>
  <c r="A5372" i="1"/>
  <c r="H5371" i="1"/>
  <c r="G5371" i="1"/>
  <c r="E5371" i="1"/>
  <c r="B5371" i="1"/>
  <c r="A5371" i="1"/>
  <c r="H5370" i="1"/>
  <c r="G5370" i="1"/>
  <c r="E5370" i="1"/>
  <c r="B5370" i="1"/>
  <c r="A5370" i="1"/>
  <c r="H5369" i="1"/>
  <c r="G5369" i="1"/>
  <c r="E5369" i="1"/>
  <c r="B5369" i="1"/>
  <c r="A5369" i="1"/>
  <c r="H5368" i="1"/>
  <c r="G5368" i="1"/>
  <c r="E5368" i="1"/>
  <c r="B5368" i="1"/>
  <c r="A5368" i="1"/>
  <c r="H5367" i="1"/>
  <c r="G5367" i="1"/>
  <c r="E5367" i="1"/>
  <c r="B5367" i="1"/>
  <c r="A5367" i="1"/>
  <c r="H5366" i="1"/>
  <c r="G5366" i="1"/>
  <c r="E5366" i="1"/>
  <c r="B5366" i="1"/>
  <c r="A5366" i="1"/>
  <c r="H5365" i="1"/>
  <c r="G5365" i="1"/>
  <c r="E5365" i="1"/>
  <c r="B5365" i="1"/>
  <c r="A5365" i="1"/>
  <c r="H5364" i="1"/>
  <c r="G5364" i="1"/>
  <c r="E5364" i="1"/>
  <c r="B5364" i="1"/>
  <c r="A5364" i="1"/>
  <c r="H5363" i="1"/>
  <c r="G5363" i="1"/>
  <c r="E5363" i="1"/>
  <c r="B5363" i="1"/>
  <c r="A5363" i="1"/>
  <c r="H5362" i="1"/>
  <c r="G5362" i="1"/>
  <c r="E5362" i="1"/>
  <c r="B5362" i="1"/>
  <c r="A5362" i="1"/>
  <c r="H5361" i="1"/>
  <c r="G5361" i="1"/>
  <c r="E5361" i="1"/>
  <c r="B5361" i="1"/>
  <c r="A5361" i="1"/>
  <c r="H5360" i="1"/>
  <c r="G5360" i="1"/>
  <c r="E5360" i="1"/>
  <c r="B5360" i="1"/>
  <c r="A5360" i="1"/>
  <c r="H5359" i="1"/>
  <c r="G5359" i="1"/>
  <c r="E5359" i="1"/>
  <c r="B5359" i="1"/>
  <c r="A5359" i="1"/>
  <c r="H5358" i="1"/>
  <c r="G5358" i="1"/>
  <c r="E5358" i="1"/>
  <c r="B5358" i="1"/>
  <c r="A5358" i="1"/>
  <c r="H5357" i="1"/>
  <c r="G5357" i="1"/>
  <c r="E5357" i="1"/>
  <c r="B5357" i="1"/>
  <c r="A5357" i="1"/>
  <c r="H5356" i="1"/>
  <c r="G5356" i="1"/>
  <c r="E5356" i="1"/>
  <c r="B5356" i="1"/>
  <c r="A5356" i="1"/>
  <c r="H5355" i="1"/>
  <c r="G5355" i="1"/>
  <c r="E5355" i="1"/>
  <c r="B5355" i="1"/>
  <c r="A5355" i="1"/>
  <c r="H5354" i="1"/>
  <c r="G5354" i="1"/>
  <c r="E5354" i="1"/>
  <c r="B5354" i="1"/>
  <c r="A5354" i="1"/>
  <c r="H5353" i="1"/>
  <c r="G5353" i="1"/>
  <c r="E5353" i="1"/>
  <c r="B5353" i="1"/>
  <c r="A5353" i="1"/>
  <c r="H5352" i="1"/>
  <c r="G5352" i="1"/>
  <c r="E5352" i="1"/>
  <c r="B5352" i="1"/>
  <c r="A5352" i="1"/>
  <c r="H5351" i="1"/>
  <c r="G5351" i="1"/>
  <c r="E5351" i="1"/>
  <c r="B5351" i="1"/>
  <c r="A5351" i="1"/>
  <c r="H5350" i="1"/>
  <c r="G5350" i="1"/>
  <c r="E5350" i="1"/>
  <c r="B5350" i="1"/>
  <c r="A5350" i="1"/>
  <c r="H5349" i="1"/>
  <c r="G5349" i="1"/>
  <c r="E5349" i="1"/>
  <c r="B5349" i="1"/>
  <c r="A5349" i="1"/>
  <c r="H5348" i="1"/>
  <c r="G5348" i="1"/>
  <c r="E5348" i="1"/>
  <c r="B5348" i="1"/>
  <c r="A5348" i="1"/>
  <c r="H5347" i="1"/>
  <c r="G5347" i="1"/>
  <c r="E5347" i="1"/>
  <c r="B5347" i="1"/>
  <c r="A5347" i="1"/>
  <c r="H5346" i="1"/>
  <c r="G5346" i="1"/>
  <c r="E5346" i="1"/>
  <c r="B5346" i="1"/>
  <c r="A5346" i="1"/>
  <c r="H5345" i="1"/>
  <c r="G5345" i="1"/>
  <c r="E5345" i="1"/>
  <c r="B5345" i="1"/>
  <c r="A5345" i="1"/>
  <c r="H5344" i="1"/>
  <c r="G5344" i="1"/>
  <c r="E5344" i="1"/>
  <c r="B5344" i="1"/>
  <c r="A5344" i="1"/>
  <c r="H5343" i="1"/>
  <c r="G5343" i="1"/>
  <c r="E5343" i="1"/>
  <c r="B5343" i="1"/>
  <c r="A5343" i="1"/>
  <c r="H5342" i="1"/>
  <c r="G5342" i="1"/>
  <c r="E5342" i="1"/>
  <c r="B5342" i="1"/>
  <c r="A5342" i="1"/>
  <c r="H5341" i="1"/>
  <c r="G5341" i="1"/>
  <c r="E5341" i="1"/>
  <c r="B5341" i="1"/>
  <c r="A5341" i="1"/>
  <c r="H5340" i="1"/>
  <c r="G5340" i="1"/>
  <c r="E5340" i="1"/>
  <c r="B5340" i="1"/>
  <c r="A5340" i="1"/>
  <c r="H5339" i="1"/>
  <c r="G5339" i="1"/>
  <c r="E5339" i="1"/>
  <c r="B5339" i="1"/>
  <c r="A5339" i="1"/>
  <c r="H5338" i="1"/>
  <c r="G5338" i="1"/>
  <c r="E5338" i="1"/>
  <c r="B5338" i="1"/>
  <c r="A5338" i="1"/>
  <c r="H5337" i="1"/>
  <c r="G5337" i="1"/>
  <c r="E5337" i="1"/>
  <c r="B5337" i="1"/>
  <c r="A5337" i="1"/>
  <c r="H5336" i="1"/>
  <c r="G5336" i="1"/>
  <c r="E5336" i="1"/>
  <c r="B5336" i="1"/>
  <c r="A5336" i="1"/>
  <c r="H5335" i="1"/>
  <c r="G5335" i="1"/>
  <c r="E5335" i="1"/>
  <c r="B5335" i="1"/>
  <c r="A5335" i="1"/>
  <c r="H5334" i="1"/>
  <c r="G5334" i="1"/>
  <c r="E5334" i="1"/>
  <c r="B5334" i="1"/>
  <c r="A5334" i="1"/>
  <c r="H5333" i="1"/>
  <c r="G5333" i="1"/>
  <c r="E5333" i="1"/>
  <c r="B5333" i="1"/>
  <c r="A5333" i="1"/>
  <c r="H5332" i="1"/>
  <c r="G5332" i="1"/>
  <c r="E5332" i="1"/>
  <c r="B5332" i="1"/>
  <c r="A5332" i="1"/>
  <c r="H5331" i="1"/>
  <c r="G5331" i="1"/>
  <c r="E5331" i="1"/>
  <c r="B5331" i="1"/>
  <c r="A5331" i="1"/>
  <c r="H5330" i="1"/>
  <c r="G5330" i="1"/>
  <c r="E5330" i="1"/>
  <c r="B5330" i="1"/>
  <c r="A5330" i="1"/>
  <c r="H5329" i="1"/>
  <c r="G5329" i="1"/>
  <c r="E5329" i="1"/>
  <c r="B5329" i="1"/>
  <c r="A5329" i="1"/>
  <c r="H5328" i="1"/>
  <c r="G5328" i="1"/>
  <c r="E5328" i="1"/>
  <c r="B5328" i="1"/>
  <c r="A5328" i="1"/>
  <c r="H5327" i="1"/>
  <c r="G5327" i="1"/>
  <c r="E5327" i="1"/>
  <c r="B5327" i="1"/>
  <c r="A5327" i="1"/>
  <c r="H5326" i="1"/>
  <c r="G5326" i="1"/>
  <c r="E5326" i="1"/>
  <c r="B5326" i="1"/>
  <c r="A5326" i="1"/>
  <c r="H5325" i="1"/>
  <c r="G5325" i="1"/>
  <c r="E5325" i="1"/>
  <c r="B5325" i="1"/>
  <c r="A5325" i="1"/>
  <c r="H5324" i="1"/>
  <c r="G5324" i="1"/>
  <c r="E5324" i="1"/>
  <c r="B5324" i="1"/>
  <c r="A5324" i="1"/>
  <c r="H5323" i="1"/>
  <c r="G5323" i="1"/>
  <c r="E5323" i="1"/>
  <c r="B5323" i="1"/>
  <c r="A5323" i="1"/>
  <c r="H5322" i="1"/>
  <c r="G5322" i="1"/>
  <c r="E5322" i="1"/>
  <c r="B5322" i="1"/>
  <c r="A5322" i="1"/>
  <c r="H5321" i="1"/>
  <c r="G5321" i="1"/>
  <c r="E5321" i="1"/>
  <c r="B5321" i="1"/>
  <c r="A5321" i="1"/>
  <c r="H5320" i="1"/>
  <c r="G5320" i="1"/>
  <c r="E5320" i="1"/>
  <c r="B5320" i="1"/>
  <c r="A5320" i="1"/>
  <c r="H5319" i="1"/>
  <c r="G5319" i="1"/>
  <c r="E5319" i="1"/>
  <c r="B5319" i="1"/>
  <c r="A5319" i="1"/>
  <c r="H5318" i="1"/>
  <c r="G5318" i="1"/>
  <c r="E5318" i="1"/>
  <c r="B5318" i="1"/>
  <c r="A5318" i="1"/>
  <c r="H5317" i="1"/>
  <c r="G5317" i="1"/>
  <c r="E5317" i="1"/>
  <c r="B5317" i="1"/>
  <c r="A5317" i="1"/>
  <c r="H5316" i="1"/>
  <c r="G5316" i="1"/>
  <c r="E5316" i="1"/>
  <c r="B5316" i="1"/>
  <c r="A5316" i="1"/>
  <c r="H5315" i="1"/>
  <c r="G5315" i="1"/>
  <c r="E5315" i="1"/>
  <c r="B5315" i="1"/>
  <c r="A5315" i="1"/>
  <c r="H5314" i="1"/>
  <c r="G5314" i="1"/>
  <c r="E5314" i="1"/>
  <c r="B5314" i="1"/>
  <c r="A5314" i="1"/>
  <c r="H5313" i="1"/>
  <c r="G5313" i="1"/>
  <c r="E5313" i="1"/>
  <c r="B5313" i="1"/>
  <c r="A5313" i="1"/>
  <c r="H5312" i="1"/>
  <c r="G5312" i="1"/>
  <c r="E5312" i="1"/>
  <c r="B5312" i="1"/>
  <c r="A5312" i="1"/>
  <c r="H5311" i="1"/>
  <c r="G5311" i="1"/>
  <c r="E5311" i="1"/>
  <c r="B5311" i="1"/>
  <c r="A5311" i="1"/>
  <c r="H5310" i="1"/>
  <c r="G5310" i="1"/>
  <c r="E5310" i="1"/>
  <c r="B5310" i="1"/>
  <c r="A5310" i="1"/>
  <c r="H5309" i="1"/>
  <c r="G5309" i="1"/>
  <c r="E5309" i="1"/>
  <c r="B5309" i="1"/>
  <c r="A5309" i="1"/>
  <c r="H5308" i="1"/>
  <c r="G5308" i="1"/>
  <c r="E5308" i="1"/>
  <c r="B5308" i="1"/>
  <c r="A5308" i="1"/>
  <c r="H5307" i="1"/>
  <c r="G5307" i="1"/>
  <c r="E5307" i="1"/>
  <c r="B5307" i="1"/>
  <c r="A5307" i="1"/>
  <c r="H5306" i="1"/>
  <c r="G5306" i="1"/>
  <c r="E5306" i="1"/>
  <c r="B5306" i="1"/>
  <c r="A5306" i="1"/>
  <c r="H5305" i="1"/>
  <c r="G5305" i="1"/>
  <c r="E5305" i="1"/>
  <c r="B5305" i="1"/>
  <c r="A5305" i="1"/>
  <c r="H5304" i="1"/>
  <c r="G5304" i="1"/>
  <c r="E5304" i="1"/>
  <c r="B5304" i="1"/>
  <c r="A5304" i="1"/>
  <c r="H5303" i="1"/>
  <c r="G5303" i="1"/>
  <c r="E5303" i="1"/>
  <c r="B5303" i="1"/>
  <c r="A5303" i="1"/>
  <c r="H5302" i="1"/>
  <c r="G5302" i="1"/>
  <c r="E5302" i="1"/>
  <c r="B5302" i="1"/>
  <c r="A5302" i="1"/>
  <c r="H5301" i="1"/>
  <c r="G5301" i="1"/>
  <c r="E5301" i="1"/>
  <c r="B5301" i="1"/>
  <c r="A5301" i="1"/>
  <c r="H5300" i="1"/>
  <c r="G5300" i="1"/>
  <c r="E5300" i="1"/>
  <c r="B5300" i="1"/>
  <c r="A5300" i="1"/>
  <c r="H5299" i="1"/>
  <c r="G5299" i="1"/>
  <c r="E5299" i="1"/>
  <c r="B5299" i="1"/>
  <c r="A5299" i="1"/>
  <c r="H5298" i="1"/>
  <c r="G5298" i="1"/>
  <c r="E5298" i="1"/>
  <c r="B5298" i="1"/>
  <c r="A5298" i="1"/>
  <c r="H5297" i="1"/>
  <c r="G5297" i="1"/>
  <c r="E5297" i="1"/>
  <c r="B5297" i="1"/>
  <c r="A5297" i="1"/>
  <c r="H5296" i="1"/>
  <c r="G5296" i="1"/>
  <c r="E5296" i="1"/>
  <c r="B5296" i="1"/>
  <c r="A5296" i="1"/>
  <c r="H5295" i="1"/>
  <c r="G5295" i="1"/>
  <c r="E5295" i="1"/>
  <c r="B5295" i="1"/>
  <c r="A5295" i="1"/>
  <c r="H5294" i="1"/>
  <c r="G5294" i="1"/>
  <c r="E5294" i="1"/>
  <c r="B5294" i="1"/>
  <c r="A5294" i="1"/>
  <c r="H5293" i="1"/>
  <c r="G5293" i="1"/>
  <c r="E5293" i="1"/>
  <c r="B5293" i="1"/>
  <c r="A5293" i="1"/>
  <c r="H5292" i="1"/>
  <c r="G5292" i="1"/>
  <c r="E5292" i="1"/>
  <c r="B5292" i="1"/>
  <c r="A5292" i="1"/>
  <c r="H5291" i="1"/>
  <c r="G5291" i="1"/>
  <c r="E5291" i="1"/>
  <c r="B5291" i="1"/>
  <c r="A5291" i="1"/>
  <c r="H5290" i="1"/>
  <c r="G5290" i="1"/>
  <c r="E5290" i="1"/>
  <c r="B5290" i="1"/>
  <c r="A5290" i="1"/>
  <c r="H5289" i="1"/>
  <c r="G5289" i="1"/>
  <c r="E5289" i="1"/>
  <c r="B5289" i="1"/>
  <c r="A5289" i="1"/>
  <c r="H5288" i="1"/>
  <c r="G5288" i="1"/>
  <c r="E5288" i="1"/>
  <c r="B5288" i="1"/>
  <c r="A5288" i="1"/>
  <c r="H5287" i="1"/>
  <c r="G5287" i="1"/>
  <c r="E5287" i="1"/>
  <c r="B5287" i="1"/>
  <c r="A5287" i="1"/>
  <c r="H5286" i="1"/>
  <c r="G5286" i="1"/>
  <c r="E5286" i="1"/>
  <c r="B5286" i="1"/>
  <c r="A5286" i="1"/>
  <c r="H5285" i="1"/>
  <c r="G5285" i="1"/>
  <c r="E5285" i="1"/>
  <c r="B5285" i="1"/>
  <c r="A5285" i="1"/>
  <c r="H5284" i="1"/>
  <c r="G5284" i="1"/>
  <c r="E5284" i="1"/>
  <c r="B5284" i="1"/>
  <c r="A5284" i="1"/>
  <c r="H5283" i="1"/>
  <c r="G5283" i="1"/>
  <c r="E5283" i="1"/>
  <c r="B5283" i="1"/>
  <c r="A5283" i="1"/>
  <c r="H5282" i="1"/>
  <c r="G5282" i="1"/>
  <c r="E5282" i="1"/>
  <c r="B5282" i="1"/>
  <c r="A5282" i="1"/>
  <c r="H5281" i="1"/>
  <c r="G5281" i="1"/>
  <c r="E5281" i="1"/>
  <c r="B5281" i="1"/>
  <c r="A5281" i="1"/>
  <c r="H5280" i="1"/>
  <c r="G5280" i="1"/>
  <c r="E5280" i="1"/>
  <c r="B5280" i="1"/>
  <c r="A5280" i="1"/>
  <c r="H5279" i="1"/>
  <c r="G5279" i="1"/>
  <c r="E5279" i="1"/>
  <c r="B5279" i="1"/>
  <c r="A5279" i="1"/>
  <c r="H5278" i="1"/>
  <c r="G5278" i="1"/>
  <c r="E5278" i="1"/>
  <c r="B5278" i="1"/>
  <c r="A5278" i="1"/>
  <c r="H5277" i="1"/>
  <c r="G5277" i="1"/>
  <c r="E5277" i="1"/>
  <c r="B5277" i="1"/>
  <c r="A5277" i="1"/>
  <c r="H5276" i="1"/>
  <c r="G5276" i="1"/>
  <c r="E5276" i="1"/>
  <c r="B5276" i="1"/>
  <c r="A5276" i="1"/>
  <c r="H5275" i="1"/>
  <c r="G5275" i="1"/>
  <c r="E5275" i="1"/>
  <c r="B5275" i="1"/>
  <c r="A5275" i="1"/>
  <c r="H5274" i="1"/>
  <c r="G5274" i="1"/>
  <c r="E5274" i="1"/>
  <c r="B5274" i="1"/>
  <c r="A5274" i="1"/>
  <c r="H5273" i="1"/>
  <c r="G5273" i="1"/>
  <c r="E5273" i="1"/>
  <c r="B5273" i="1"/>
  <c r="A5273" i="1"/>
  <c r="H5272" i="1"/>
  <c r="G5272" i="1"/>
  <c r="E5272" i="1"/>
  <c r="B5272" i="1"/>
  <c r="A5272" i="1"/>
  <c r="H5271" i="1"/>
  <c r="G5271" i="1"/>
  <c r="E5271" i="1"/>
  <c r="B5271" i="1"/>
  <c r="A5271" i="1"/>
  <c r="H5270" i="1"/>
  <c r="G5270" i="1"/>
  <c r="E5270" i="1"/>
  <c r="B5270" i="1"/>
  <c r="A5270" i="1"/>
  <c r="H5269" i="1"/>
  <c r="G5269" i="1"/>
  <c r="E5269" i="1"/>
  <c r="B5269" i="1"/>
  <c r="A5269" i="1"/>
  <c r="H5268" i="1"/>
  <c r="G5268" i="1"/>
  <c r="E5268" i="1"/>
  <c r="B5268" i="1"/>
  <c r="A5268" i="1"/>
  <c r="H5267" i="1"/>
  <c r="G5267" i="1"/>
  <c r="E5267" i="1"/>
  <c r="B5267" i="1"/>
  <c r="A5267" i="1"/>
  <c r="H5266" i="1"/>
  <c r="G5266" i="1"/>
  <c r="E5266" i="1"/>
  <c r="B5266" i="1"/>
  <c r="A5266" i="1"/>
  <c r="H5265" i="1"/>
  <c r="G5265" i="1"/>
  <c r="E5265" i="1"/>
  <c r="B5265" i="1"/>
  <c r="A5265" i="1"/>
  <c r="H5264" i="1"/>
  <c r="G5264" i="1"/>
  <c r="E5264" i="1"/>
  <c r="B5264" i="1"/>
  <c r="A5264" i="1"/>
  <c r="H5263" i="1"/>
  <c r="G5263" i="1"/>
  <c r="E5263" i="1"/>
  <c r="B5263" i="1"/>
  <c r="A5263" i="1"/>
  <c r="H5262" i="1"/>
  <c r="G5262" i="1"/>
  <c r="E5262" i="1"/>
  <c r="B5262" i="1"/>
  <c r="A5262" i="1"/>
  <c r="H5261" i="1"/>
  <c r="G5261" i="1"/>
  <c r="E5261" i="1"/>
  <c r="B5261" i="1"/>
  <c r="A5261" i="1"/>
  <c r="H5260" i="1"/>
  <c r="G5260" i="1"/>
  <c r="E5260" i="1"/>
  <c r="B5260" i="1"/>
  <c r="A5260" i="1"/>
  <c r="H5259" i="1"/>
  <c r="G5259" i="1"/>
  <c r="E5259" i="1"/>
  <c r="B5259" i="1"/>
  <c r="A5259" i="1"/>
  <c r="H5258" i="1"/>
  <c r="G5258" i="1"/>
  <c r="E5258" i="1"/>
  <c r="B5258" i="1"/>
  <c r="A5258" i="1"/>
  <c r="H5257" i="1"/>
  <c r="G5257" i="1"/>
  <c r="E5257" i="1"/>
  <c r="B5257" i="1"/>
  <c r="A5257" i="1"/>
  <c r="H5256" i="1"/>
  <c r="G5256" i="1"/>
  <c r="E5256" i="1"/>
  <c r="B5256" i="1"/>
  <c r="A5256" i="1"/>
  <c r="H5255" i="1"/>
  <c r="G5255" i="1"/>
  <c r="E5255" i="1"/>
  <c r="B5255" i="1"/>
  <c r="A5255" i="1"/>
  <c r="H5254" i="1"/>
  <c r="G5254" i="1"/>
  <c r="E5254" i="1"/>
  <c r="B5254" i="1"/>
  <c r="A5254" i="1"/>
  <c r="H5253" i="1"/>
  <c r="G5253" i="1"/>
  <c r="E5253" i="1"/>
  <c r="B5253" i="1"/>
  <c r="A5253" i="1"/>
  <c r="H5252" i="1"/>
  <c r="G5252" i="1"/>
  <c r="E5252" i="1"/>
  <c r="B5252" i="1"/>
  <c r="A5252" i="1"/>
  <c r="H5251" i="1"/>
  <c r="G5251" i="1"/>
  <c r="E5251" i="1"/>
  <c r="B5251" i="1"/>
  <c r="A5251" i="1"/>
  <c r="H5250" i="1"/>
  <c r="G5250" i="1"/>
  <c r="E5250" i="1"/>
  <c r="B5250" i="1"/>
  <c r="A5250" i="1"/>
  <c r="H5249" i="1"/>
  <c r="G5249" i="1"/>
  <c r="E5249" i="1"/>
  <c r="B5249" i="1"/>
  <c r="A5249" i="1"/>
  <c r="H5248" i="1"/>
  <c r="G5248" i="1"/>
  <c r="E5248" i="1"/>
  <c r="B5248" i="1"/>
  <c r="A5248" i="1"/>
  <c r="H5247" i="1"/>
  <c r="G5247" i="1"/>
  <c r="E5247" i="1"/>
  <c r="B5247" i="1"/>
  <c r="A5247" i="1"/>
  <c r="H5246" i="1"/>
  <c r="G5246" i="1"/>
  <c r="E5246" i="1"/>
  <c r="B5246" i="1"/>
  <c r="A5246" i="1"/>
  <c r="H5245" i="1"/>
  <c r="G5245" i="1"/>
  <c r="E5245" i="1"/>
  <c r="B5245" i="1"/>
  <c r="A5245" i="1"/>
  <c r="H5244" i="1"/>
  <c r="G5244" i="1"/>
  <c r="E5244" i="1"/>
  <c r="B5244" i="1"/>
  <c r="A5244" i="1"/>
  <c r="H5243" i="1"/>
  <c r="G5243" i="1"/>
  <c r="E5243" i="1"/>
  <c r="B5243" i="1"/>
  <c r="A5243" i="1"/>
  <c r="H5242" i="1"/>
  <c r="G5242" i="1"/>
  <c r="E5242" i="1"/>
  <c r="B5242" i="1"/>
  <c r="A5242" i="1"/>
  <c r="H5241" i="1"/>
  <c r="G5241" i="1"/>
  <c r="E5241" i="1"/>
  <c r="B5241" i="1"/>
  <c r="A5241" i="1"/>
  <c r="H5240" i="1"/>
  <c r="G5240" i="1"/>
  <c r="E5240" i="1"/>
  <c r="B5240" i="1"/>
  <c r="A5240" i="1"/>
  <c r="H5239" i="1"/>
  <c r="G5239" i="1"/>
  <c r="E5239" i="1"/>
  <c r="B5239" i="1"/>
  <c r="A5239" i="1"/>
  <c r="H5238" i="1"/>
  <c r="G5238" i="1"/>
  <c r="E5238" i="1"/>
  <c r="B5238" i="1"/>
  <c r="A5238" i="1"/>
  <c r="H5237" i="1"/>
  <c r="G5237" i="1"/>
  <c r="E5237" i="1"/>
  <c r="B5237" i="1"/>
  <c r="A5237" i="1"/>
  <c r="H5236" i="1"/>
  <c r="G5236" i="1"/>
  <c r="E5236" i="1"/>
  <c r="B5236" i="1"/>
  <c r="A5236" i="1"/>
  <c r="H5235" i="1"/>
  <c r="G5235" i="1"/>
  <c r="E5235" i="1"/>
  <c r="B5235" i="1"/>
  <c r="A5235" i="1"/>
  <c r="H5234" i="1"/>
  <c r="G5234" i="1"/>
  <c r="E5234" i="1"/>
  <c r="B5234" i="1"/>
  <c r="A5234" i="1"/>
  <c r="H5233" i="1"/>
  <c r="G5233" i="1"/>
  <c r="E5233" i="1"/>
  <c r="B5233" i="1"/>
  <c r="A5233" i="1"/>
  <c r="H5232" i="1"/>
  <c r="G5232" i="1"/>
  <c r="E5232" i="1"/>
  <c r="B5232" i="1"/>
  <c r="A5232" i="1"/>
  <c r="H5231" i="1"/>
  <c r="G5231" i="1"/>
  <c r="E5231" i="1"/>
  <c r="B5231" i="1"/>
  <c r="A5231" i="1"/>
  <c r="H5230" i="1"/>
  <c r="G5230" i="1"/>
  <c r="E5230" i="1"/>
  <c r="B5230" i="1"/>
  <c r="A5230" i="1"/>
  <c r="H5229" i="1"/>
  <c r="G5229" i="1"/>
  <c r="E5229" i="1"/>
  <c r="B5229" i="1"/>
  <c r="A5229" i="1"/>
  <c r="H5228" i="1"/>
  <c r="G5228" i="1"/>
  <c r="E5228" i="1"/>
  <c r="B5228" i="1"/>
  <c r="A5228" i="1"/>
  <c r="H5227" i="1"/>
  <c r="G5227" i="1"/>
  <c r="E5227" i="1"/>
  <c r="B5227" i="1"/>
  <c r="A5227" i="1"/>
  <c r="H5226" i="1"/>
  <c r="G5226" i="1"/>
  <c r="E5226" i="1"/>
  <c r="B5226" i="1"/>
  <c r="A5226" i="1"/>
  <c r="H5225" i="1"/>
  <c r="G5225" i="1"/>
  <c r="E5225" i="1"/>
  <c r="B5225" i="1"/>
  <c r="A5225" i="1"/>
  <c r="H5224" i="1"/>
  <c r="G5224" i="1"/>
  <c r="E5224" i="1"/>
  <c r="B5224" i="1"/>
  <c r="A5224" i="1"/>
  <c r="H5223" i="1"/>
  <c r="G5223" i="1"/>
  <c r="E5223" i="1"/>
  <c r="B5223" i="1"/>
  <c r="A5223" i="1"/>
  <c r="H5222" i="1"/>
  <c r="G5222" i="1"/>
  <c r="E5222" i="1"/>
  <c r="B5222" i="1"/>
  <c r="A5222" i="1"/>
  <c r="H5221" i="1"/>
  <c r="G5221" i="1"/>
  <c r="E5221" i="1"/>
  <c r="B5221" i="1"/>
  <c r="A5221" i="1"/>
  <c r="H5220" i="1"/>
  <c r="G5220" i="1"/>
  <c r="E5220" i="1"/>
  <c r="B5220" i="1"/>
  <c r="A5220" i="1"/>
  <c r="H5219" i="1"/>
  <c r="G5219" i="1"/>
  <c r="E5219" i="1"/>
  <c r="B5219" i="1"/>
  <c r="A5219" i="1"/>
  <c r="H5218" i="1"/>
  <c r="G5218" i="1"/>
  <c r="E5218" i="1"/>
  <c r="B5218" i="1"/>
  <c r="A5218" i="1"/>
  <c r="H5217" i="1"/>
  <c r="G5217" i="1"/>
  <c r="E5217" i="1"/>
  <c r="B5217" i="1"/>
  <c r="A5217" i="1"/>
  <c r="H5216" i="1"/>
  <c r="G5216" i="1"/>
  <c r="E5216" i="1"/>
  <c r="B5216" i="1"/>
  <c r="A5216" i="1"/>
  <c r="H5215" i="1"/>
  <c r="G5215" i="1"/>
  <c r="E5215" i="1"/>
  <c r="B5215" i="1"/>
  <c r="A5215" i="1"/>
  <c r="H5214" i="1"/>
  <c r="G5214" i="1"/>
  <c r="E5214" i="1"/>
  <c r="B5214" i="1"/>
  <c r="A5214" i="1"/>
  <c r="H5213" i="1"/>
  <c r="G5213" i="1"/>
  <c r="E5213" i="1"/>
  <c r="B5213" i="1"/>
  <c r="A5213" i="1"/>
  <c r="H5212" i="1"/>
  <c r="G5212" i="1"/>
  <c r="E5212" i="1"/>
  <c r="B5212" i="1"/>
  <c r="A5212" i="1"/>
  <c r="H5211" i="1"/>
  <c r="G5211" i="1"/>
  <c r="E5211" i="1"/>
  <c r="B5211" i="1"/>
  <c r="A5211" i="1"/>
  <c r="H5210" i="1"/>
  <c r="G5210" i="1"/>
  <c r="E5210" i="1"/>
  <c r="B5210" i="1"/>
  <c r="A5210" i="1"/>
  <c r="H5209" i="1"/>
  <c r="G5209" i="1"/>
  <c r="E5209" i="1"/>
  <c r="B5209" i="1"/>
  <c r="A5209" i="1"/>
  <c r="H5208" i="1"/>
  <c r="G5208" i="1"/>
  <c r="E5208" i="1"/>
  <c r="B5208" i="1"/>
  <c r="A5208" i="1"/>
  <c r="H5207" i="1"/>
  <c r="G5207" i="1"/>
  <c r="E5207" i="1"/>
  <c r="B5207" i="1"/>
  <c r="A5207" i="1"/>
  <c r="H5206" i="1"/>
  <c r="G5206" i="1"/>
  <c r="E5206" i="1"/>
  <c r="B5206" i="1"/>
  <c r="A5206" i="1"/>
  <c r="H5205" i="1"/>
  <c r="G5205" i="1"/>
  <c r="E5205" i="1"/>
  <c r="B5205" i="1"/>
  <c r="A5205" i="1"/>
  <c r="H5204" i="1"/>
  <c r="G5204" i="1"/>
  <c r="E5204" i="1"/>
  <c r="B5204" i="1"/>
  <c r="A5204" i="1"/>
  <c r="H5203" i="1"/>
  <c r="G5203" i="1"/>
  <c r="E5203" i="1"/>
  <c r="B5203" i="1"/>
  <c r="A5203" i="1"/>
  <c r="H5202" i="1"/>
  <c r="G5202" i="1"/>
  <c r="E5202" i="1"/>
  <c r="B5202" i="1"/>
  <c r="A5202" i="1"/>
  <c r="H5201" i="1"/>
  <c r="G5201" i="1"/>
  <c r="E5201" i="1"/>
  <c r="B5201" i="1"/>
  <c r="A5201" i="1"/>
  <c r="H5200" i="1"/>
  <c r="G5200" i="1"/>
  <c r="E5200" i="1"/>
  <c r="B5200" i="1"/>
  <c r="A5200" i="1"/>
  <c r="H5199" i="1"/>
  <c r="G5199" i="1"/>
  <c r="E5199" i="1"/>
  <c r="B5199" i="1"/>
  <c r="A5199" i="1"/>
  <c r="H5198" i="1"/>
  <c r="G5198" i="1"/>
  <c r="E5198" i="1"/>
  <c r="B5198" i="1"/>
  <c r="A5198" i="1"/>
  <c r="H5197" i="1"/>
  <c r="G5197" i="1"/>
  <c r="E5197" i="1"/>
  <c r="B5197" i="1"/>
  <c r="A5197" i="1"/>
  <c r="H5196" i="1"/>
  <c r="G5196" i="1"/>
  <c r="E5196" i="1"/>
  <c r="B5196" i="1"/>
  <c r="A5196" i="1"/>
  <c r="H5195" i="1"/>
  <c r="G5195" i="1"/>
  <c r="E5195" i="1"/>
  <c r="B5195" i="1"/>
  <c r="A5195" i="1"/>
  <c r="H5194" i="1"/>
  <c r="G5194" i="1"/>
  <c r="E5194" i="1"/>
  <c r="B5194" i="1"/>
  <c r="A5194" i="1"/>
  <c r="H5193" i="1"/>
  <c r="G5193" i="1"/>
  <c r="E5193" i="1"/>
  <c r="B5193" i="1"/>
  <c r="A5193" i="1"/>
  <c r="H5192" i="1"/>
  <c r="G5192" i="1"/>
  <c r="E5192" i="1"/>
  <c r="B5192" i="1"/>
  <c r="A5192" i="1"/>
  <c r="H5191" i="1"/>
  <c r="G5191" i="1"/>
  <c r="E5191" i="1"/>
  <c r="B5191" i="1"/>
  <c r="A5191" i="1"/>
  <c r="H5190" i="1"/>
  <c r="G5190" i="1"/>
  <c r="E5190" i="1"/>
  <c r="B5190" i="1"/>
  <c r="A5190" i="1"/>
  <c r="H5189" i="1"/>
  <c r="G5189" i="1"/>
  <c r="E5189" i="1"/>
  <c r="B5189" i="1"/>
  <c r="A5189" i="1"/>
  <c r="H5188" i="1"/>
  <c r="G5188" i="1"/>
  <c r="E5188" i="1"/>
  <c r="B5188" i="1"/>
  <c r="A5188" i="1"/>
  <c r="H5187" i="1"/>
  <c r="G5187" i="1"/>
  <c r="E5187" i="1"/>
  <c r="B5187" i="1"/>
  <c r="A5187" i="1"/>
  <c r="H5186" i="1"/>
  <c r="G5186" i="1"/>
  <c r="E5186" i="1"/>
  <c r="B5186" i="1"/>
  <c r="A5186" i="1"/>
  <c r="H5185" i="1"/>
  <c r="G5185" i="1"/>
  <c r="E5185" i="1"/>
  <c r="B5185" i="1"/>
  <c r="A5185" i="1"/>
  <c r="H5184" i="1"/>
  <c r="G5184" i="1"/>
  <c r="E5184" i="1"/>
  <c r="B5184" i="1"/>
  <c r="A5184" i="1"/>
  <c r="H5183" i="1"/>
  <c r="G5183" i="1"/>
  <c r="E5183" i="1"/>
  <c r="B5183" i="1"/>
  <c r="A5183" i="1"/>
  <c r="H5182" i="1"/>
  <c r="G5182" i="1"/>
  <c r="E5182" i="1"/>
  <c r="B5182" i="1"/>
  <c r="A5182" i="1"/>
  <c r="H5181" i="1"/>
  <c r="G5181" i="1"/>
  <c r="E5181" i="1"/>
  <c r="B5181" i="1"/>
  <c r="A5181" i="1"/>
  <c r="H5180" i="1"/>
  <c r="G5180" i="1"/>
  <c r="E5180" i="1"/>
  <c r="B5180" i="1"/>
  <c r="A5180" i="1"/>
  <c r="H5179" i="1"/>
  <c r="G5179" i="1"/>
  <c r="E5179" i="1"/>
  <c r="B5179" i="1"/>
  <c r="A5179" i="1"/>
  <c r="H5178" i="1"/>
  <c r="G5178" i="1"/>
  <c r="E5178" i="1"/>
  <c r="B5178" i="1"/>
  <c r="A5178" i="1"/>
  <c r="H5177" i="1"/>
  <c r="G5177" i="1"/>
  <c r="E5177" i="1"/>
  <c r="B5177" i="1"/>
  <c r="A5177" i="1"/>
  <c r="H5176" i="1"/>
  <c r="G5176" i="1"/>
  <c r="E5176" i="1"/>
  <c r="B5176" i="1"/>
  <c r="A5176" i="1"/>
  <c r="H5175" i="1"/>
  <c r="G5175" i="1"/>
  <c r="E5175" i="1"/>
  <c r="B5175" i="1"/>
  <c r="A5175" i="1"/>
  <c r="H5174" i="1"/>
  <c r="G5174" i="1"/>
  <c r="E5174" i="1"/>
  <c r="B5174" i="1"/>
  <c r="A5174" i="1"/>
  <c r="H5173" i="1"/>
  <c r="G5173" i="1"/>
  <c r="E5173" i="1"/>
  <c r="B5173" i="1"/>
  <c r="A5173" i="1"/>
  <c r="H5172" i="1"/>
  <c r="G5172" i="1"/>
  <c r="E5172" i="1"/>
  <c r="B5172" i="1"/>
  <c r="A5172" i="1"/>
  <c r="H5171" i="1"/>
  <c r="G5171" i="1"/>
  <c r="E5171" i="1"/>
  <c r="B5171" i="1"/>
  <c r="A5171" i="1"/>
  <c r="H5170" i="1"/>
  <c r="G5170" i="1"/>
  <c r="E5170" i="1"/>
  <c r="B5170" i="1"/>
  <c r="A5170" i="1"/>
  <c r="H5169" i="1"/>
  <c r="G5169" i="1"/>
  <c r="E5169" i="1"/>
  <c r="B5169" i="1"/>
  <c r="A5169" i="1"/>
  <c r="H5168" i="1"/>
  <c r="G5168" i="1"/>
  <c r="E5168" i="1"/>
  <c r="B5168" i="1"/>
  <c r="A5168" i="1"/>
  <c r="H5167" i="1"/>
  <c r="G5167" i="1"/>
  <c r="E5167" i="1"/>
  <c r="B5167" i="1"/>
  <c r="A5167" i="1"/>
  <c r="H5166" i="1"/>
  <c r="G5166" i="1"/>
  <c r="E5166" i="1"/>
  <c r="B5166" i="1"/>
  <c r="A5166" i="1"/>
  <c r="H5165" i="1"/>
  <c r="G5165" i="1"/>
  <c r="E5165" i="1"/>
  <c r="B5165" i="1"/>
  <c r="A5165" i="1"/>
  <c r="H5164" i="1"/>
  <c r="G5164" i="1"/>
  <c r="E5164" i="1"/>
  <c r="B5164" i="1"/>
  <c r="A5164" i="1"/>
  <c r="H5163" i="1"/>
  <c r="G5163" i="1"/>
  <c r="E5163" i="1"/>
  <c r="B5163" i="1"/>
  <c r="A5163" i="1"/>
  <c r="H5162" i="1"/>
  <c r="G5162" i="1"/>
  <c r="E5162" i="1"/>
  <c r="B5162" i="1"/>
  <c r="A5162" i="1"/>
  <c r="H5161" i="1"/>
  <c r="G5161" i="1"/>
  <c r="E5161" i="1"/>
  <c r="B5161" i="1"/>
  <c r="A5161" i="1"/>
  <c r="H5160" i="1"/>
  <c r="G5160" i="1"/>
  <c r="E5160" i="1"/>
  <c r="B5160" i="1"/>
  <c r="A5160" i="1"/>
  <c r="H5159" i="1"/>
  <c r="G5159" i="1"/>
  <c r="E5159" i="1"/>
  <c r="B5159" i="1"/>
  <c r="A5159" i="1"/>
  <c r="H5158" i="1"/>
  <c r="G5158" i="1"/>
  <c r="E5158" i="1"/>
  <c r="B5158" i="1"/>
  <c r="A5158" i="1"/>
  <c r="H5157" i="1"/>
  <c r="G5157" i="1"/>
  <c r="E5157" i="1"/>
  <c r="B5157" i="1"/>
  <c r="A5157" i="1"/>
  <c r="H5156" i="1"/>
  <c r="G5156" i="1"/>
  <c r="E5156" i="1"/>
  <c r="B5156" i="1"/>
  <c r="A5156" i="1"/>
  <c r="H5155" i="1"/>
  <c r="G5155" i="1"/>
  <c r="E5155" i="1"/>
  <c r="B5155" i="1"/>
  <c r="A5155" i="1"/>
  <c r="H5154" i="1"/>
  <c r="G5154" i="1"/>
  <c r="E5154" i="1"/>
  <c r="B5154" i="1"/>
  <c r="A5154" i="1"/>
  <c r="H5153" i="1"/>
  <c r="G5153" i="1"/>
  <c r="E5153" i="1"/>
  <c r="B5153" i="1"/>
  <c r="A5153" i="1"/>
  <c r="H5152" i="1"/>
  <c r="G5152" i="1"/>
  <c r="E5152" i="1"/>
  <c r="B5152" i="1"/>
  <c r="A5152" i="1"/>
  <c r="H5151" i="1"/>
  <c r="G5151" i="1"/>
  <c r="E5151" i="1"/>
  <c r="B5151" i="1"/>
  <c r="A5151" i="1"/>
  <c r="H5150" i="1"/>
  <c r="G5150" i="1"/>
  <c r="E5150" i="1"/>
  <c r="B5150" i="1"/>
  <c r="A5150" i="1"/>
  <c r="H5149" i="1"/>
  <c r="G5149" i="1"/>
  <c r="E5149" i="1"/>
  <c r="B5149" i="1"/>
  <c r="A5149" i="1"/>
  <c r="H5148" i="1"/>
  <c r="G5148" i="1"/>
  <c r="E5148" i="1"/>
  <c r="B5148" i="1"/>
  <c r="A5148" i="1"/>
  <c r="H5147" i="1"/>
  <c r="G5147" i="1"/>
  <c r="E5147" i="1"/>
  <c r="B5147" i="1"/>
  <c r="A5147" i="1"/>
  <c r="H5146" i="1"/>
  <c r="G5146" i="1"/>
  <c r="E5146" i="1"/>
  <c r="B5146" i="1"/>
  <c r="A5146" i="1"/>
  <c r="H5145" i="1"/>
  <c r="G5145" i="1"/>
  <c r="E5145" i="1"/>
  <c r="B5145" i="1"/>
  <c r="A5145" i="1"/>
  <c r="H5144" i="1"/>
  <c r="G5144" i="1"/>
  <c r="E5144" i="1"/>
  <c r="B5144" i="1"/>
  <c r="A5144" i="1"/>
  <c r="H5143" i="1"/>
  <c r="G5143" i="1"/>
  <c r="E5143" i="1"/>
  <c r="B5143" i="1"/>
  <c r="A5143" i="1"/>
  <c r="H5142" i="1"/>
  <c r="G5142" i="1"/>
  <c r="E5142" i="1"/>
  <c r="B5142" i="1"/>
  <c r="A5142" i="1"/>
  <c r="H5141" i="1"/>
  <c r="G5141" i="1"/>
  <c r="E5141" i="1"/>
  <c r="B5141" i="1"/>
  <c r="A5141" i="1"/>
  <c r="H5140" i="1"/>
  <c r="G5140" i="1"/>
  <c r="E5140" i="1"/>
  <c r="B5140" i="1"/>
  <c r="A5140" i="1"/>
  <c r="H5139" i="1"/>
  <c r="G5139" i="1"/>
  <c r="E5139" i="1"/>
  <c r="B5139" i="1"/>
  <c r="A5139" i="1"/>
  <c r="H5138" i="1"/>
  <c r="G5138" i="1"/>
  <c r="E5138" i="1"/>
  <c r="B5138" i="1"/>
  <c r="A5138" i="1"/>
  <c r="H5137" i="1"/>
  <c r="G5137" i="1"/>
  <c r="E5137" i="1"/>
  <c r="B5137" i="1"/>
  <c r="A5137" i="1"/>
  <c r="H5136" i="1"/>
  <c r="G5136" i="1"/>
  <c r="E5136" i="1"/>
  <c r="B5136" i="1"/>
  <c r="A5136" i="1"/>
  <c r="H5135" i="1"/>
  <c r="G5135" i="1"/>
  <c r="E5135" i="1"/>
  <c r="B5135" i="1"/>
  <c r="A5135" i="1"/>
  <c r="H5134" i="1"/>
  <c r="G5134" i="1"/>
  <c r="E5134" i="1"/>
  <c r="B5134" i="1"/>
  <c r="A5134" i="1"/>
  <c r="H5133" i="1"/>
  <c r="G5133" i="1"/>
  <c r="E5133" i="1"/>
  <c r="B5133" i="1"/>
  <c r="A5133" i="1"/>
  <c r="H5132" i="1"/>
  <c r="G5132" i="1"/>
  <c r="E5132" i="1"/>
  <c r="B5132" i="1"/>
  <c r="A5132" i="1"/>
  <c r="H5131" i="1"/>
  <c r="G5131" i="1"/>
  <c r="E5131" i="1"/>
  <c r="B5131" i="1"/>
  <c r="A5131" i="1"/>
  <c r="H5130" i="1"/>
  <c r="G5130" i="1"/>
  <c r="E5130" i="1"/>
  <c r="B5130" i="1"/>
  <c r="A5130" i="1"/>
  <c r="H5129" i="1"/>
  <c r="G5129" i="1"/>
  <c r="E5129" i="1"/>
  <c r="B5129" i="1"/>
  <c r="A5129" i="1"/>
  <c r="H5128" i="1"/>
  <c r="G5128" i="1"/>
  <c r="E5128" i="1"/>
  <c r="B5128" i="1"/>
  <c r="A5128" i="1"/>
  <c r="H5127" i="1"/>
  <c r="G5127" i="1"/>
  <c r="E5127" i="1"/>
  <c r="B5127" i="1"/>
  <c r="A5127" i="1"/>
  <c r="H5126" i="1"/>
  <c r="G5126" i="1"/>
  <c r="E5126" i="1"/>
  <c r="B5126" i="1"/>
  <c r="A5126" i="1"/>
  <c r="H5125" i="1"/>
  <c r="G5125" i="1"/>
  <c r="E5125" i="1"/>
  <c r="B5125" i="1"/>
  <c r="A5125" i="1"/>
  <c r="H5124" i="1"/>
  <c r="G5124" i="1"/>
  <c r="E5124" i="1"/>
  <c r="B5124" i="1"/>
  <c r="A5124" i="1"/>
  <c r="H5123" i="1"/>
  <c r="G5123" i="1"/>
  <c r="E5123" i="1"/>
  <c r="B5123" i="1"/>
  <c r="A5123" i="1"/>
  <c r="H5122" i="1"/>
  <c r="G5122" i="1"/>
  <c r="E5122" i="1"/>
  <c r="B5122" i="1"/>
  <c r="A5122" i="1"/>
  <c r="H5121" i="1"/>
  <c r="G5121" i="1"/>
  <c r="E5121" i="1"/>
  <c r="B5121" i="1"/>
  <c r="A5121" i="1"/>
  <c r="H5120" i="1"/>
  <c r="G5120" i="1"/>
  <c r="E5120" i="1"/>
  <c r="B5120" i="1"/>
  <c r="A5120" i="1"/>
  <c r="H5119" i="1"/>
  <c r="G5119" i="1"/>
  <c r="E5119" i="1"/>
  <c r="B5119" i="1"/>
  <c r="A5119" i="1"/>
  <c r="H5118" i="1"/>
  <c r="G5118" i="1"/>
  <c r="E5118" i="1"/>
  <c r="B5118" i="1"/>
  <c r="A5118" i="1"/>
  <c r="H5117" i="1"/>
  <c r="G5117" i="1"/>
  <c r="E5117" i="1"/>
  <c r="B5117" i="1"/>
  <c r="A5117" i="1"/>
  <c r="H5116" i="1"/>
  <c r="G5116" i="1"/>
  <c r="E5116" i="1"/>
  <c r="B5116" i="1"/>
  <c r="A5116" i="1"/>
  <c r="H5115" i="1"/>
  <c r="G5115" i="1"/>
  <c r="E5115" i="1"/>
  <c r="B5115" i="1"/>
  <c r="A5115" i="1"/>
  <c r="H5114" i="1"/>
  <c r="G5114" i="1"/>
  <c r="E5114" i="1"/>
  <c r="B5114" i="1"/>
  <c r="A5114" i="1"/>
  <c r="H5113" i="1"/>
  <c r="G5113" i="1"/>
  <c r="E5113" i="1"/>
  <c r="B5113" i="1"/>
  <c r="A5113" i="1"/>
  <c r="H5112" i="1"/>
  <c r="G5112" i="1"/>
  <c r="E5112" i="1"/>
  <c r="B5112" i="1"/>
  <c r="A5112" i="1"/>
  <c r="H5111" i="1"/>
  <c r="G5111" i="1"/>
  <c r="E5111" i="1"/>
  <c r="B5111" i="1"/>
  <c r="A5111" i="1"/>
  <c r="H5110" i="1"/>
  <c r="G5110" i="1"/>
  <c r="E5110" i="1"/>
  <c r="B5110" i="1"/>
  <c r="A5110" i="1"/>
  <c r="H5109" i="1"/>
  <c r="G5109" i="1"/>
  <c r="E5109" i="1"/>
  <c r="B5109" i="1"/>
  <c r="A5109" i="1"/>
  <c r="H5108" i="1"/>
  <c r="G5108" i="1"/>
  <c r="E5108" i="1"/>
  <c r="B5108" i="1"/>
  <c r="A5108" i="1"/>
  <c r="H5107" i="1"/>
  <c r="G5107" i="1"/>
  <c r="E5107" i="1"/>
  <c r="B5107" i="1"/>
  <c r="A5107" i="1"/>
  <c r="H5106" i="1"/>
  <c r="G5106" i="1"/>
  <c r="E5106" i="1"/>
  <c r="B5106" i="1"/>
  <c r="A5106" i="1"/>
  <c r="H5105" i="1"/>
  <c r="G5105" i="1"/>
  <c r="E5105" i="1"/>
  <c r="B5105" i="1"/>
  <c r="A5105" i="1"/>
  <c r="H5104" i="1"/>
  <c r="G5104" i="1"/>
  <c r="E5104" i="1"/>
  <c r="B5104" i="1"/>
  <c r="A5104" i="1"/>
  <c r="H5103" i="1"/>
  <c r="G5103" i="1"/>
  <c r="E5103" i="1"/>
  <c r="B5103" i="1"/>
  <c r="A5103" i="1"/>
  <c r="H5102" i="1"/>
  <c r="G5102" i="1"/>
  <c r="E5102" i="1"/>
  <c r="B5102" i="1"/>
  <c r="A5102" i="1"/>
  <c r="H5101" i="1"/>
  <c r="G5101" i="1"/>
  <c r="E5101" i="1"/>
  <c r="B5101" i="1"/>
  <c r="A5101" i="1"/>
  <c r="H5100" i="1"/>
  <c r="G5100" i="1"/>
  <c r="E5100" i="1"/>
  <c r="B5100" i="1"/>
  <c r="A5100" i="1"/>
  <c r="H5099" i="1"/>
  <c r="G5099" i="1"/>
  <c r="E5099" i="1"/>
  <c r="B5099" i="1"/>
  <c r="A5099" i="1"/>
  <c r="H5098" i="1"/>
  <c r="G5098" i="1"/>
  <c r="E5098" i="1"/>
  <c r="B5098" i="1"/>
  <c r="A5098" i="1"/>
  <c r="H5097" i="1"/>
  <c r="G5097" i="1"/>
  <c r="E5097" i="1"/>
  <c r="B5097" i="1"/>
  <c r="A5097" i="1"/>
  <c r="H5096" i="1"/>
  <c r="G5096" i="1"/>
  <c r="E5096" i="1"/>
  <c r="B5096" i="1"/>
  <c r="A5096" i="1"/>
  <c r="H5095" i="1"/>
  <c r="G5095" i="1"/>
  <c r="E5095" i="1"/>
  <c r="B5095" i="1"/>
  <c r="A5095" i="1"/>
  <c r="H5094" i="1"/>
  <c r="G5094" i="1"/>
  <c r="E5094" i="1"/>
  <c r="B5094" i="1"/>
  <c r="A5094" i="1"/>
  <c r="H5093" i="1"/>
  <c r="G5093" i="1"/>
  <c r="E5093" i="1"/>
  <c r="B5093" i="1"/>
  <c r="A5093" i="1"/>
  <c r="H5092" i="1"/>
  <c r="G5092" i="1"/>
  <c r="E5092" i="1"/>
  <c r="B5092" i="1"/>
  <c r="A5092" i="1"/>
  <c r="H5091" i="1"/>
  <c r="G5091" i="1"/>
  <c r="E5091" i="1"/>
  <c r="B5091" i="1"/>
  <c r="A5091" i="1"/>
  <c r="H5090" i="1"/>
  <c r="G5090" i="1"/>
  <c r="E5090" i="1"/>
  <c r="B5090" i="1"/>
  <c r="A5090" i="1"/>
  <c r="H5089" i="1"/>
  <c r="G5089" i="1"/>
  <c r="E5089" i="1"/>
  <c r="B5089" i="1"/>
  <c r="A5089" i="1"/>
  <c r="H5088" i="1"/>
  <c r="G5088" i="1"/>
  <c r="E5088" i="1"/>
  <c r="B5088" i="1"/>
  <c r="A5088" i="1"/>
  <c r="H5087" i="1"/>
  <c r="G5087" i="1"/>
  <c r="E5087" i="1"/>
  <c r="B5087" i="1"/>
  <c r="A5087" i="1"/>
  <c r="H5086" i="1"/>
  <c r="G5086" i="1"/>
  <c r="E5086" i="1"/>
  <c r="B5086" i="1"/>
  <c r="A5086" i="1"/>
  <c r="H5085" i="1"/>
  <c r="G5085" i="1"/>
  <c r="E5085" i="1"/>
  <c r="B5085" i="1"/>
  <c r="A5085" i="1"/>
  <c r="H5084" i="1"/>
  <c r="G5084" i="1"/>
  <c r="E5084" i="1"/>
  <c r="B5084" i="1"/>
  <c r="A5084" i="1"/>
  <c r="H5083" i="1"/>
  <c r="G5083" i="1"/>
  <c r="E5083" i="1"/>
  <c r="B5083" i="1"/>
  <c r="A5083" i="1"/>
  <c r="H5082" i="1"/>
  <c r="G5082" i="1"/>
  <c r="E5082" i="1"/>
  <c r="B5082" i="1"/>
  <c r="A5082" i="1"/>
  <c r="H5081" i="1"/>
  <c r="G5081" i="1"/>
  <c r="E5081" i="1"/>
  <c r="B5081" i="1"/>
  <c r="A5081" i="1"/>
  <c r="H5080" i="1"/>
  <c r="G5080" i="1"/>
  <c r="E5080" i="1"/>
  <c r="B5080" i="1"/>
  <c r="A5080" i="1"/>
  <c r="H5079" i="1"/>
  <c r="G5079" i="1"/>
  <c r="E5079" i="1"/>
  <c r="B5079" i="1"/>
  <c r="A5079" i="1"/>
  <c r="H5078" i="1"/>
  <c r="G5078" i="1"/>
  <c r="E5078" i="1"/>
  <c r="B5078" i="1"/>
  <c r="A5078" i="1"/>
  <c r="H5077" i="1"/>
  <c r="G5077" i="1"/>
  <c r="E5077" i="1"/>
  <c r="B5077" i="1"/>
  <c r="A5077" i="1"/>
  <c r="H5076" i="1"/>
  <c r="G5076" i="1"/>
  <c r="E5076" i="1"/>
  <c r="B5076" i="1"/>
  <c r="A5076" i="1"/>
  <c r="H5075" i="1"/>
  <c r="G5075" i="1"/>
  <c r="E5075" i="1"/>
  <c r="B5075" i="1"/>
  <c r="A5075" i="1"/>
  <c r="H5074" i="1"/>
  <c r="G5074" i="1"/>
  <c r="E5074" i="1"/>
  <c r="B5074" i="1"/>
  <c r="A5074" i="1"/>
  <c r="H5073" i="1"/>
  <c r="G5073" i="1"/>
  <c r="E5073" i="1"/>
  <c r="B5073" i="1"/>
  <c r="A5073" i="1"/>
  <c r="H5072" i="1"/>
  <c r="G5072" i="1"/>
  <c r="E5072" i="1"/>
  <c r="B5072" i="1"/>
  <c r="A5072" i="1"/>
  <c r="H5071" i="1"/>
  <c r="G5071" i="1"/>
  <c r="E5071" i="1"/>
  <c r="B5071" i="1"/>
  <c r="A5071" i="1"/>
  <c r="H5070" i="1"/>
  <c r="G5070" i="1"/>
  <c r="E5070" i="1"/>
  <c r="B5070" i="1"/>
  <c r="A5070" i="1"/>
  <c r="H5069" i="1"/>
  <c r="G5069" i="1"/>
  <c r="E5069" i="1"/>
  <c r="B5069" i="1"/>
  <c r="A5069" i="1"/>
  <c r="H5068" i="1"/>
  <c r="G5068" i="1"/>
  <c r="E5068" i="1"/>
  <c r="B5068" i="1"/>
  <c r="A5068" i="1"/>
  <c r="H5067" i="1"/>
  <c r="G5067" i="1"/>
  <c r="E5067" i="1"/>
  <c r="B5067" i="1"/>
  <c r="A5067" i="1"/>
  <c r="H5066" i="1"/>
  <c r="G5066" i="1"/>
  <c r="E5066" i="1"/>
  <c r="B5066" i="1"/>
  <c r="A5066" i="1"/>
  <c r="H5065" i="1"/>
  <c r="G5065" i="1"/>
  <c r="E5065" i="1"/>
  <c r="B5065" i="1"/>
  <c r="A5065" i="1"/>
  <c r="H5064" i="1"/>
  <c r="G5064" i="1"/>
  <c r="E5064" i="1"/>
  <c r="B5064" i="1"/>
  <c r="A5064" i="1"/>
  <c r="H5063" i="1"/>
  <c r="G5063" i="1"/>
  <c r="E5063" i="1"/>
  <c r="B5063" i="1"/>
  <c r="A5063" i="1"/>
  <c r="H5062" i="1"/>
  <c r="G5062" i="1"/>
  <c r="E5062" i="1"/>
  <c r="B5062" i="1"/>
  <c r="A5062" i="1"/>
  <c r="H5061" i="1"/>
  <c r="G5061" i="1"/>
  <c r="E5061" i="1"/>
  <c r="B5061" i="1"/>
  <c r="A5061" i="1"/>
  <c r="H5060" i="1"/>
  <c r="G5060" i="1"/>
  <c r="E5060" i="1"/>
  <c r="B5060" i="1"/>
  <c r="A5060" i="1"/>
  <c r="H5059" i="1"/>
  <c r="G5059" i="1"/>
  <c r="E5059" i="1"/>
  <c r="B5059" i="1"/>
  <c r="A5059" i="1"/>
  <c r="H5058" i="1"/>
  <c r="G5058" i="1"/>
  <c r="E5058" i="1"/>
  <c r="B5058" i="1"/>
  <c r="A5058" i="1"/>
  <c r="H5057" i="1"/>
  <c r="G5057" i="1"/>
  <c r="E5057" i="1"/>
  <c r="B5057" i="1"/>
  <c r="A5057" i="1"/>
  <c r="H5056" i="1"/>
  <c r="G5056" i="1"/>
  <c r="E5056" i="1"/>
  <c r="B5056" i="1"/>
  <c r="A5056" i="1"/>
  <c r="H5055" i="1"/>
  <c r="G5055" i="1"/>
  <c r="E5055" i="1"/>
  <c r="B5055" i="1"/>
  <c r="A5055" i="1"/>
  <c r="H5054" i="1"/>
  <c r="G5054" i="1"/>
  <c r="E5054" i="1"/>
  <c r="B5054" i="1"/>
  <c r="A5054" i="1"/>
  <c r="H5053" i="1"/>
  <c r="G5053" i="1"/>
  <c r="E5053" i="1"/>
  <c r="B5053" i="1"/>
  <c r="A5053" i="1"/>
  <c r="H5052" i="1"/>
  <c r="G5052" i="1"/>
  <c r="E5052" i="1"/>
  <c r="B5052" i="1"/>
  <c r="A5052" i="1"/>
  <c r="H5051" i="1"/>
  <c r="G5051" i="1"/>
  <c r="E5051" i="1"/>
  <c r="B5051" i="1"/>
  <c r="A5051" i="1"/>
  <c r="H5050" i="1"/>
  <c r="G5050" i="1"/>
  <c r="E5050" i="1"/>
  <c r="B5050" i="1"/>
  <c r="A5050" i="1"/>
  <c r="H5049" i="1"/>
  <c r="G5049" i="1"/>
  <c r="E5049" i="1"/>
  <c r="B5049" i="1"/>
  <c r="A5049" i="1"/>
  <c r="H5048" i="1"/>
  <c r="G5048" i="1"/>
  <c r="E5048" i="1"/>
  <c r="B5048" i="1"/>
  <c r="A5048" i="1"/>
  <c r="H5047" i="1"/>
  <c r="G5047" i="1"/>
  <c r="E5047" i="1"/>
  <c r="B5047" i="1"/>
  <c r="A5047" i="1"/>
  <c r="H5046" i="1"/>
  <c r="G5046" i="1"/>
  <c r="E5046" i="1"/>
  <c r="B5046" i="1"/>
  <c r="A5046" i="1"/>
  <c r="H5045" i="1"/>
  <c r="G5045" i="1"/>
  <c r="E5045" i="1"/>
  <c r="B5045" i="1"/>
  <c r="A5045" i="1"/>
  <c r="H5044" i="1"/>
  <c r="G5044" i="1"/>
  <c r="E5044" i="1"/>
  <c r="B5044" i="1"/>
  <c r="A5044" i="1"/>
  <c r="H5043" i="1"/>
  <c r="G5043" i="1"/>
  <c r="E5043" i="1"/>
  <c r="B5043" i="1"/>
  <c r="A5043" i="1"/>
  <c r="H5042" i="1"/>
  <c r="G5042" i="1"/>
  <c r="E5042" i="1"/>
  <c r="B5042" i="1"/>
  <c r="A5042" i="1"/>
  <c r="H5041" i="1"/>
  <c r="G5041" i="1"/>
  <c r="E5041" i="1"/>
  <c r="B5041" i="1"/>
  <c r="A5041" i="1"/>
  <c r="H5040" i="1"/>
  <c r="G5040" i="1"/>
  <c r="E5040" i="1"/>
  <c r="B5040" i="1"/>
  <c r="A5040" i="1"/>
  <c r="H5039" i="1"/>
  <c r="G5039" i="1"/>
  <c r="E5039" i="1"/>
  <c r="B5039" i="1"/>
  <c r="A5039" i="1"/>
  <c r="H5038" i="1"/>
  <c r="G5038" i="1"/>
  <c r="E5038" i="1"/>
  <c r="B5038" i="1"/>
  <c r="A5038" i="1"/>
  <c r="H5037" i="1"/>
  <c r="G5037" i="1"/>
  <c r="E5037" i="1"/>
  <c r="B5037" i="1"/>
  <c r="A5037" i="1"/>
  <c r="H5036" i="1"/>
  <c r="G5036" i="1"/>
  <c r="E5036" i="1"/>
  <c r="B5036" i="1"/>
  <c r="A5036" i="1"/>
  <c r="H5035" i="1"/>
  <c r="G5035" i="1"/>
  <c r="E5035" i="1"/>
  <c r="B5035" i="1"/>
  <c r="A5035" i="1"/>
  <c r="H5034" i="1"/>
  <c r="G5034" i="1"/>
  <c r="E5034" i="1"/>
  <c r="B5034" i="1"/>
  <c r="A5034" i="1"/>
  <c r="H5033" i="1"/>
  <c r="G5033" i="1"/>
  <c r="E5033" i="1"/>
  <c r="B5033" i="1"/>
  <c r="A5033" i="1"/>
  <c r="H5032" i="1"/>
  <c r="G5032" i="1"/>
  <c r="E5032" i="1"/>
  <c r="B5032" i="1"/>
  <c r="A5032" i="1"/>
  <c r="H5031" i="1"/>
  <c r="G5031" i="1"/>
  <c r="E5031" i="1"/>
  <c r="B5031" i="1"/>
  <c r="A5031" i="1"/>
  <c r="H5030" i="1"/>
  <c r="G5030" i="1"/>
  <c r="E5030" i="1"/>
  <c r="B5030" i="1"/>
  <c r="A5030" i="1"/>
  <c r="H5029" i="1"/>
  <c r="G5029" i="1"/>
  <c r="E5029" i="1"/>
  <c r="B5029" i="1"/>
  <c r="A5029" i="1"/>
  <c r="H5028" i="1"/>
  <c r="G5028" i="1"/>
  <c r="E5028" i="1"/>
  <c r="B5028" i="1"/>
  <c r="A5028" i="1"/>
  <c r="H5027" i="1"/>
  <c r="G5027" i="1"/>
  <c r="E5027" i="1"/>
  <c r="B5027" i="1"/>
  <c r="A5027" i="1"/>
  <c r="H5026" i="1"/>
  <c r="G5026" i="1"/>
  <c r="E5026" i="1"/>
  <c r="B5026" i="1"/>
  <c r="A5026" i="1"/>
  <c r="H5025" i="1"/>
  <c r="G5025" i="1"/>
  <c r="E5025" i="1"/>
  <c r="B5025" i="1"/>
  <c r="A5025" i="1"/>
  <c r="H5024" i="1"/>
  <c r="G5024" i="1"/>
  <c r="E5024" i="1"/>
  <c r="B5024" i="1"/>
  <c r="A5024" i="1"/>
  <c r="H5023" i="1"/>
  <c r="G5023" i="1"/>
  <c r="E5023" i="1"/>
  <c r="B5023" i="1"/>
  <c r="A5023" i="1"/>
  <c r="H5022" i="1"/>
  <c r="G5022" i="1"/>
  <c r="E5022" i="1"/>
  <c r="B5022" i="1"/>
  <c r="A5022" i="1"/>
  <c r="H5021" i="1"/>
  <c r="G5021" i="1"/>
  <c r="E5021" i="1"/>
  <c r="B5021" i="1"/>
  <c r="A5021" i="1"/>
  <c r="H5020" i="1"/>
  <c r="G5020" i="1"/>
  <c r="E5020" i="1"/>
  <c r="B5020" i="1"/>
  <c r="A5020" i="1"/>
  <c r="H5019" i="1"/>
  <c r="G5019" i="1"/>
  <c r="E5019" i="1"/>
  <c r="B5019" i="1"/>
  <c r="A5019" i="1"/>
  <c r="H5018" i="1"/>
  <c r="G5018" i="1"/>
  <c r="E5018" i="1"/>
  <c r="B5018" i="1"/>
  <c r="A5018" i="1"/>
  <c r="H5017" i="1"/>
  <c r="G5017" i="1"/>
  <c r="E5017" i="1"/>
  <c r="B5017" i="1"/>
  <c r="A5017" i="1"/>
  <c r="H5016" i="1"/>
  <c r="G5016" i="1"/>
  <c r="E5016" i="1"/>
  <c r="B5016" i="1"/>
  <c r="A5016" i="1"/>
  <c r="H5015" i="1"/>
  <c r="G5015" i="1"/>
  <c r="E5015" i="1"/>
  <c r="B5015" i="1"/>
  <c r="A5015" i="1"/>
  <c r="H5014" i="1"/>
  <c r="G5014" i="1"/>
  <c r="E5014" i="1"/>
  <c r="B5014" i="1"/>
  <c r="A5014" i="1"/>
  <c r="H5013" i="1"/>
  <c r="G5013" i="1"/>
  <c r="E5013" i="1"/>
  <c r="B5013" i="1"/>
  <c r="A5013" i="1"/>
  <c r="H5012" i="1"/>
  <c r="G5012" i="1"/>
  <c r="E5012" i="1"/>
  <c r="B5012" i="1"/>
  <c r="A5012" i="1"/>
  <c r="H5011" i="1"/>
  <c r="G5011" i="1"/>
  <c r="E5011" i="1"/>
  <c r="B5011" i="1"/>
  <c r="A5011" i="1"/>
  <c r="H5010" i="1"/>
  <c r="G5010" i="1"/>
  <c r="E5010" i="1"/>
  <c r="B5010" i="1"/>
  <c r="A5010" i="1"/>
  <c r="H5009" i="1"/>
  <c r="G5009" i="1"/>
  <c r="E5009" i="1"/>
  <c r="B5009" i="1"/>
  <c r="A5009" i="1"/>
  <c r="H5008" i="1"/>
  <c r="G5008" i="1"/>
  <c r="E5008" i="1"/>
  <c r="B5008" i="1"/>
  <c r="A5008" i="1"/>
  <c r="H5007" i="1"/>
  <c r="G5007" i="1"/>
  <c r="E5007" i="1"/>
  <c r="B5007" i="1"/>
  <c r="A5007" i="1"/>
  <c r="H5006" i="1"/>
  <c r="G5006" i="1"/>
  <c r="E5006" i="1"/>
  <c r="B5006" i="1"/>
  <c r="A5006" i="1"/>
  <c r="H5005" i="1"/>
  <c r="G5005" i="1"/>
  <c r="E5005" i="1"/>
  <c r="B5005" i="1"/>
  <c r="A5005" i="1"/>
  <c r="H5004" i="1"/>
  <c r="G5004" i="1"/>
  <c r="E5004" i="1"/>
  <c r="B5004" i="1"/>
  <c r="A5004" i="1"/>
  <c r="H5003" i="1"/>
  <c r="G5003" i="1"/>
  <c r="E5003" i="1"/>
  <c r="B5003" i="1"/>
  <c r="A5003" i="1"/>
  <c r="H5002" i="1"/>
  <c r="G5002" i="1"/>
  <c r="E5002" i="1"/>
  <c r="B5002" i="1"/>
  <c r="A5002" i="1"/>
  <c r="H5001" i="1"/>
  <c r="G5001" i="1"/>
  <c r="E5001" i="1"/>
  <c r="B5001" i="1"/>
  <c r="A5001" i="1"/>
  <c r="H5000" i="1"/>
  <c r="G5000" i="1"/>
  <c r="E5000" i="1"/>
  <c r="B5000" i="1"/>
  <c r="A5000" i="1"/>
  <c r="H4999" i="1"/>
  <c r="G4999" i="1"/>
  <c r="E4999" i="1"/>
  <c r="B4999" i="1"/>
  <c r="A4999" i="1"/>
  <c r="H4998" i="1"/>
  <c r="G4998" i="1"/>
  <c r="E4998" i="1"/>
  <c r="B4998" i="1"/>
  <c r="A4998" i="1"/>
  <c r="H4997" i="1"/>
  <c r="G4997" i="1"/>
  <c r="E4997" i="1"/>
  <c r="B4997" i="1"/>
  <c r="A4997" i="1"/>
  <c r="H4996" i="1"/>
  <c r="G4996" i="1"/>
  <c r="E4996" i="1"/>
  <c r="B4996" i="1"/>
  <c r="A4996" i="1"/>
  <c r="H4995" i="1"/>
  <c r="G4995" i="1"/>
  <c r="E4995" i="1"/>
  <c r="B4995" i="1"/>
  <c r="A4995" i="1"/>
  <c r="H4994" i="1"/>
  <c r="G4994" i="1"/>
  <c r="E4994" i="1"/>
  <c r="B4994" i="1"/>
  <c r="A4994" i="1"/>
  <c r="H4993" i="1"/>
  <c r="G4993" i="1"/>
  <c r="E4993" i="1"/>
  <c r="B4993" i="1"/>
  <c r="A4993" i="1"/>
  <c r="H4992" i="1"/>
  <c r="G4992" i="1"/>
  <c r="E4992" i="1"/>
  <c r="B4992" i="1"/>
  <c r="A4992" i="1"/>
  <c r="H4991" i="1"/>
  <c r="G4991" i="1"/>
  <c r="E4991" i="1"/>
  <c r="B4991" i="1"/>
  <c r="A4991" i="1"/>
  <c r="H4990" i="1"/>
  <c r="G4990" i="1"/>
  <c r="E4990" i="1"/>
  <c r="B4990" i="1"/>
  <c r="A4990" i="1"/>
  <c r="H4989" i="1"/>
  <c r="G4989" i="1"/>
  <c r="E4989" i="1"/>
  <c r="B4989" i="1"/>
  <c r="A4989" i="1"/>
  <c r="H4988" i="1"/>
  <c r="G4988" i="1"/>
  <c r="E4988" i="1"/>
  <c r="B4988" i="1"/>
  <c r="A4988" i="1"/>
  <c r="H4987" i="1"/>
  <c r="G4987" i="1"/>
  <c r="E4987" i="1"/>
  <c r="B4987" i="1"/>
  <c r="A4987" i="1"/>
  <c r="H4986" i="1"/>
  <c r="G4986" i="1"/>
  <c r="E4986" i="1"/>
  <c r="B4986" i="1"/>
  <c r="A4986" i="1"/>
  <c r="H4985" i="1"/>
  <c r="G4985" i="1"/>
  <c r="E4985" i="1"/>
  <c r="B4985" i="1"/>
  <c r="A4985" i="1"/>
  <c r="H4984" i="1"/>
  <c r="G4984" i="1"/>
  <c r="E4984" i="1"/>
  <c r="B4984" i="1"/>
  <c r="A4984" i="1"/>
  <c r="H4983" i="1"/>
  <c r="G4983" i="1"/>
  <c r="E4983" i="1"/>
  <c r="B4983" i="1"/>
  <c r="A4983" i="1"/>
  <c r="H4982" i="1"/>
  <c r="G4982" i="1"/>
  <c r="E4982" i="1"/>
  <c r="B4982" i="1"/>
  <c r="A4982" i="1"/>
  <c r="H4981" i="1"/>
  <c r="G4981" i="1"/>
  <c r="E4981" i="1"/>
  <c r="B4981" i="1"/>
  <c r="A4981" i="1"/>
  <c r="H4980" i="1"/>
  <c r="G4980" i="1"/>
  <c r="E4980" i="1"/>
  <c r="B4980" i="1"/>
  <c r="A4980" i="1"/>
  <c r="H4979" i="1"/>
  <c r="G4979" i="1"/>
  <c r="E4979" i="1"/>
  <c r="B4979" i="1"/>
  <c r="A4979" i="1"/>
  <c r="H4978" i="1"/>
  <c r="G4978" i="1"/>
  <c r="E4978" i="1"/>
  <c r="B4978" i="1"/>
  <c r="A4978" i="1"/>
  <c r="H4977" i="1"/>
  <c r="G4977" i="1"/>
  <c r="E4977" i="1"/>
  <c r="B4977" i="1"/>
  <c r="A4977" i="1"/>
  <c r="H4976" i="1"/>
  <c r="G4976" i="1"/>
  <c r="E4976" i="1"/>
  <c r="B4976" i="1"/>
  <c r="A4976" i="1"/>
  <c r="H4975" i="1"/>
  <c r="G4975" i="1"/>
  <c r="E4975" i="1"/>
  <c r="B4975" i="1"/>
  <c r="A4975" i="1"/>
  <c r="H4974" i="1"/>
  <c r="G4974" i="1"/>
  <c r="E4974" i="1"/>
  <c r="B4974" i="1"/>
  <c r="A4974" i="1"/>
  <c r="H4973" i="1"/>
  <c r="G4973" i="1"/>
  <c r="E4973" i="1"/>
  <c r="B4973" i="1"/>
  <c r="A4973" i="1"/>
  <c r="H4972" i="1"/>
  <c r="G4972" i="1"/>
  <c r="E4972" i="1"/>
  <c r="B4972" i="1"/>
  <c r="A4972" i="1"/>
  <c r="H4971" i="1"/>
  <c r="G4971" i="1"/>
  <c r="E4971" i="1"/>
  <c r="B4971" i="1"/>
  <c r="A4971" i="1"/>
  <c r="H4970" i="1"/>
  <c r="G4970" i="1"/>
  <c r="E4970" i="1"/>
  <c r="B4970" i="1"/>
  <c r="A4970" i="1"/>
  <c r="H4969" i="1"/>
  <c r="G4969" i="1"/>
  <c r="E4969" i="1"/>
  <c r="B4969" i="1"/>
  <c r="A4969" i="1"/>
  <c r="H4968" i="1"/>
  <c r="G4968" i="1"/>
  <c r="E4968" i="1"/>
  <c r="B4968" i="1"/>
  <c r="A4968" i="1"/>
  <c r="H4967" i="1"/>
  <c r="G4967" i="1"/>
  <c r="E4967" i="1"/>
  <c r="B4967" i="1"/>
  <c r="A4967" i="1"/>
  <c r="H4966" i="1"/>
  <c r="G4966" i="1"/>
  <c r="E4966" i="1"/>
  <c r="B4966" i="1"/>
  <c r="A4966" i="1"/>
  <c r="H4965" i="1"/>
  <c r="G4965" i="1"/>
  <c r="E4965" i="1"/>
  <c r="B4965" i="1"/>
  <c r="A4965" i="1"/>
  <c r="H4964" i="1"/>
  <c r="G4964" i="1"/>
  <c r="E4964" i="1"/>
  <c r="B4964" i="1"/>
  <c r="A4964" i="1"/>
  <c r="H4963" i="1"/>
  <c r="G4963" i="1"/>
  <c r="E4963" i="1"/>
  <c r="B4963" i="1"/>
  <c r="A4963" i="1"/>
  <c r="H4962" i="1"/>
  <c r="G4962" i="1"/>
  <c r="E4962" i="1"/>
  <c r="B4962" i="1"/>
  <c r="A4962" i="1"/>
  <c r="H4961" i="1"/>
  <c r="G4961" i="1"/>
  <c r="E4961" i="1"/>
  <c r="B4961" i="1"/>
  <c r="A4961" i="1"/>
  <c r="H4960" i="1"/>
  <c r="G4960" i="1"/>
  <c r="E4960" i="1"/>
  <c r="B4960" i="1"/>
  <c r="A4960" i="1"/>
  <c r="H4959" i="1"/>
  <c r="G4959" i="1"/>
  <c r="E4959" i="1"/>
  <c r="B4959" i="1"/>
  <c r="A4959" i="1"/>
  <c r="H4958" i="1"/>
  <c r="G4958" i="1"/>
  <c r="E4958" i="1"/>
  <c r="B4958" i="1"/>
  <c r="A4958" i="1"/>
  <c r="H4957" i="1"/>
  <c r="G4957" i="1"/>
  <c r="E4957" i="1"/>
  <c r="B4957" i="1"/>
  <c r="A4957" i="1"/>
  <c r="H4956" i="1"/>
  <c r="G4956" i="1"/>
  <c r="E4956" i="1"/>
  <c r="B4956" i="1"/>
  <c r="A4956" i="1"/>
  <c r="H4955" i="1"/>
  <c r="G4955" i="1"/>
  <c r="E4955" i="1"/>
  <c r="B4955" i="1"/>
  <c r="A4955" i="1"/>
  <c r="H4954" i="1"/>
  <c r="G4954" i="1"/>
  <c r="E4954" i="1"/>
  <c r="B4954" i="1"/>
  <c r="A4954" i="1"/>
  <c r="H4953" i="1"/>
  <c r="G4953" i="1"/>
  <c r="E4953" i="1"/>
  <c r="B4953" i="1"/>
  <c r="A4953" i="1"/>
  <c r="H4952" i="1"/>
  <c r="G4952" i="1"/>
  <c r="E4952" i="1"/>
  <c r="B4952" i="1"/>
  <c r="A4952" i="1"/>
  <c r="H4951" i="1"/>
  <c r="G4951" i="1"/>
  <c r="E4951" i="1"/>
  <c r="B4951" i="1"/>
  <c r="A4951" i="1"/>
  <c r="H4950" i="1"/>
  <c r="G4950" i="1"/>
  <c r="E4950" i="1"/>
  <c r="B4950" i="1"/>
  <c r="A4950" i="1"/>
  <c r="H4949" i="1"/>
  <c r="G4949" i="1"/>
  <c r="E4949" i="1"/>
  <c r="B4949" i="1"/>
  <c r="A4949" i="1"/>
  <c r="H4948" i="1"/>
  <c r="G4948" i="1"/>
  <c r="E4948" i="1"/>
  <c r="B4948" i="1"/>
  <c r="A4948" i="1"/>
  <c r="H4947" i="1"/>
  <c r="G4947" i="1"/>
  <c r="E4947" i="1"/>
  <c r="B4947" i="1"/>
  <c r="A4947" i="1"/>
  <c r="H4946" i="1"/>
  <c r="G4946" i="1"/>
  <c r="E4946" i="1"/>
  <c r="B4946" i="1"/>
  <c r="A4946" i="1"/>
  <c r="H4945" i="1"/>
  <c r="G4945" i="1"/>
  <c r="E4945" i="1"/>
  <c r="B4945" i="1"/>
  <c r="A4945" i="1"/>
  <c r="H4944" i="1"/>
  <c r="G4944" i="1"/>
  <c r="E4944" i="1"/>
  <c r="B4944" i="1"/>
  <c r="A4944" i="1"/>
  <c r="H4943" i="1"/>
  <c r="G4943" i="1"/>
  <c r="E4943" i="1"/>
  <c r="B4943" i="1"/>
  <c r="A4943" i="1"/>
  <c r="H4942" i="1"/>
  <c r="G4942" i="1"/>
  <c r="E4942" i="1"/>
  <c r="B4942" i="1"/>
  <c r="A4942" i="1"/>
  <c r="H4941" i="1"/>
  <c r="G4941" i="1"/>
  <c r="E4941" i="1"/>
  <c r="B4941" i="1"/>
  <c r="A4941" i="1"/>
  <c r="H4940" i="1"/>
  <c r="G4940" i="1"/>
  <c r="E4940" i="1"/>
  <c r="B4940" i="1"/>
  <c r="A4940" i="1"/>
  <c r="H4939" i="1"/>
  <c r="G4939" i="1"/>
  <c r="E4939" i="1"/>
  <c r="B4939" i="1"/>
  <c r="A4939" i="1"/>
  <c r="H4938" i="1"/>
  <c r="G4938" i="1"/>
  <c r="E4938" i="1"/>
  <c r="B4938" i="1"/>
  <c r="A4938" i="1"/>
  <c r="H4937" i="1"/>
  <c r="G4937" i="1"/>
  <c r="E4937" i="1"/>
  <c r="B4937" i="1"/>
  <c r="A4937" i="1"/>
  <c r="H4936" i="1"/>
  <c r="G4936" i="1"/>
  <c r="E4936" i="1"/>
  <c r="B4936" i="1"/>
  <c r="A4936" i="1"/>
  <c r="H4935" i="1"/>
  <c r="G4935" i="1"/>
  <c r="E4935" i="1"/>
  <c r="B4935" i="1"/>
  <c r="A4935" i="1"/>
  <c r="H4934" i="1"/>
  <c r="G4934" i="1"/>
  <c r="E4934" i="1"/>
  <c r="B4934" i="1"/>
  <c r="A4934" i="1"/>
  <c r="H4933" i="1"/>
  <c r="G4933" i="1"/>
  <c r="E4933" i="1"/>
  <c r="B4933" i="1"/>
  <c r="A4933" i="1"/>
  <c r="H4932" i="1"/>
  <c r="G4932" i="1"/>
  <c r="E4932" i="1"/>
  <c r="B4932" i="1"/>
  <c r="A4932" i="1"/>
  <c r="H4931" i="1"/>
  <c r="G4931" i="1"/>
  <c r="E4931" i="1"/>
  <c r="B4931" i="1"/>
  <c r="A4931" i="1"/>
  <c r="H4930" i="1"/>
  <c r="G4930" i="1"/>
  <c r="E4930" i="1"/>
  <c r="B4930" i="1"/>
  <c r="A4930" i="1"/>
  <c r="H4929" i="1"/>
  <c r="G4929" i="1"/>
  <c r="E4929" i="1"/>
  <c r="B4929" i="1"/>
  <c r="A4929" i="1"/>
  <c r="H4928" i="1"/>
  <c r="G4928" i="1"/>
  <c r="E4928" i="1"/>
  <c r="B4928" i="1"/>
  <c r="A4928" i="1"/>
  <c r="H4927" i="1"/>
  <c r="G4927" i="1"/>
  <c r="E4927" i="1"/>
  <c r="B4927" i="1"/>
  <c r="A4927" i="1"/>
  <c r="H4926" i="1"/>
  <c r="G4926" i="1"/>
  <c r="E4926" i="1"/>
  <c r="B4926" i="1"/>
  <c r="A4926" i="1"/>
  <c r="H4925" i="1"/>
  <c r="G4925" i="1"/>
  <c r="E4925" i="1"/>
  <c r="B4925" i="1"/>
  <c r="A4925" i="1"/>
  <c r="H4924" i="1"/>
  <c r="G4924" i="1"/>
  <c r="E4924" i="1"/>
  <c r="B4924" i="1"/>
  <c r="A4924" i="1"/>
  <c r="H4923" i="1"/>
  <c r="G4923" i="1"/>
  <c r="E4923" i="1"/>
  <c r="B4923" i="1"/>
  <c r="A4923" i="1"/>
  <c r="H4922" i="1"/>
  <c r="G4922" i="1"/>
  <c r="E4922" i="1"/>
  <c r="B4922" i="1"/>
  <c r="A4922" i="1"/>
  <c r="H4921" i="1"/>
  <c r="G4921" i="1"/>
  <c r="E4921" i="1"/>
  <c r="B4921" i="1"/>
  <c r="A4921" i="1"/>
  <c r="H4920" i="1"/>
  <c r="G4920" i="1"/>
  <c r="E4920" i="1"/>
  <c r="B4920" i="1"/>
  <c r="A4920" i="1"/>
  <c r="H4919" i="1"/>
  <c r="G4919" i="1"/>
  <c r="E4919" i="1"/>
  <c r="B4919" i="1"/>
  <c r="A4919" i="1"/>
  <c r="H4918" i="1"/>
  <c r="G4918" i="1"/>
  <c r="E4918" i="1"/>
  <c r="B4918" i="1"/>
  <c r="A4918" i="1"/>
  <c r="H4917" i="1"/>
  <c r="G4917" i="1"/>
  <c r="E4917" i="1"/>
  <c r="B4917" i="1"/>
  <c r="A4917" i="1"/>
  <c r="H4916" i="1"/>
  <c r="G4916" i="1"/>
  <c r="E4916" i="1"/>
  <c r="B4916" i="1"/>
  <c r="A4916" i="1"/>
  <c r="H4915" i="1"/>
  <c r="G4915" i="1"/>
  <c r="E4915" i="1"/>
  <c r="B4915" i="1"/>
  <c r="A4915" i="1"/>
  <c r="H4914" i="1"/>
  <c r="G4914" i="1"/>
  <c r="E4914" i="1"/>
  <c r="B4914" i="1"/>
  <c r="A4914" i="1"/>
  <c r="H4913" i="1"/>
  <c r="G4913" i="1"/>
  <c r="E4913" i="1"/>
  <c r="B4913" i="1"/>
  <c r="A4913" i="1"/>
  <c r="H4912" i="1"/>
  <c r="G4912" i="1"/>
  <c r="E4912" i="1"/>
  <c r="B4912" i="1"/>
  <c r="A4912" i="1"/>
  <c r="H4911" i="1"/>
  <c r="G4911" i="1"/>
  <c r="E4911" i="1"/>
  <c r="B4911" i="1"/>
  <c r="A4911" i="1"/>
  <c r="H4910" i="1"/>
  <c r="G4910" i="1"/>
  <c r="E4910" i="1"/>
  <c r="B4910" i="1"/>
  <c r="A4910" i="1"/>
  <c r="H4909" i="1"/>
  <c r="G4909" i="1"/>
  <c r="E4909" i="1"/>
  <c r="B4909" i="1"/>
  <c r="A4909" i="1"/>
  <c r="H4908" i="1"/>
  <c r="G4908" i="1"/>
  <c r="E4908" i="1"/>
  <c r="B4908" i="1"/>
  <c r="A4908" i="1"/>
  <c r="H4907" i="1"/>
  <c r="G4907" i="1"/>
  <c r="E4907" i="1"/>
  <c r="B4907" i="1"/>
  <c r="A4907" i="1"/>
  <c r="H4906" i="1"/>
  <c r="G4906" i="1"/>
  <c r="E4906" i="1"/>
  <c r="B4906" i="1"/>
  <c r="A4906" i="1"/>
  <c r="H4905" i="1"/>
  <c r="G4905" i="1"/>
  <c r="E4905" i="1"/>
  <c r="B4905" i="1"/>
  <c r="A4905" i="1"/>
  <c r="H4904" i="1"/>
  <c r="G4904" i="1"/>
  <c r="E4904" i="1"/>
  <c r="B4904" i="1"/>
  <c r="A4904" i="1"/>
  <c r="H4903" i="1"/>
  <c r="G4903" i="1"/>
  <c r="E4903" i="1"/>
  <c r="B4903" i="1"/>
  <c r="A4903" i="1"/>
  <c r="H4902" i="1"/>
  <c r="G4902" i="1"/>
  <c r="E4902" i="1"/>
  <c r="B4902" i="1"/>
  <c r="A4902" i="1"/>
  <c r="H4901" i="1"/>
  <c r="G4901" i="1"/>
  <c r="E4901" i="1"/>
  <c r="B4901" i="1"/>
  <c r="A4901" i="1"/>
  <c r="H4900" i="1"/>
  <c r="G4900" i="1"/>
  <c r="E4900" i="1"/>
  <c r="B4900" i="1"/>
  <c r="A4900" i="1"/>
  <c r="H4899" i="1"/>
  <c r="G4899" i="1"/>
  <c r="E4899" i="1"/>
  <c r="B4899" i="1"/>
  <c r="A4899" i="1"/>
  <c r="H4898" i="1"/>
  <c r="G4898" i="1"/>
  <c r="E4898" i="1"/>
  <c r="B4898" i="1"/>
  <c r="A4898" i="1"/>
  <c r="H4897" i="1"/>
  <c r="G4897" i="1"/>
  <c r="E4897" i="1"/>
  <c r="B4897" i="1"/>
  <c r="A4897" i="1"/>
  <c r="H4896" i="1"/>
  <c r="G4896" i="1"/>
  <c r="E4896" i="1"/>
  <c r="B4896" i="1"/>
  <c r="A4896" i="1"/>
  <c r="H4895" i="1"/>
  <c r="G4895" i="1"/>
  <c r="E4895" i="1"/>
  <c r="B4895" i="1"/>
  <c r="A4895" i="1"/>
  <c r="H4894" i="1"/>
  <c r="G4894" i="1"/>
  <c r="E4894" i="1"/>
  <c r="B4894" i="1"/>
  <c r="A4894" i="1"/>
  <c r="H4893" i="1"/>
  <c r="G4893" i="1"/>
  <c r="E4893" i="1"/>
  <c r="B4893" i="1"/>
  <c r="A4893" i="1"/>
  <c r="H4892" i="1"/>
  <c r="G4892" i="1"/>
  <c r="E4892" i="1"/>
  <c r="B4892" i="1"/>
  <c r="A4892" i="1"/>
  <c r="H4891" i="1"/>
  <c r="G4891" i="1"/>
  <c r="E4891" i="1"/>
  <c r="B4891" i="1"/>
  <c r="A4891" i="1"/>
  <c r="H4890" i="1"/>
  <c r="G4890" i="1"/>
  <c r="E4890" i="1"/>
  <c r="B4890" i="1"/>
  <c r="A4890" i="1"/>
  <c r="H4889" i="1"/>
  <c r="G4889" i="1"/>
  <c r="E4889" i="1"/>
  <c r="B4889" i="1"/>
  <c r="A4889" i="1"/>
  <c r="H4888" i="1"/>
  <c r="G4888" i="1"/>
  <c r="E4888" i="1"/>
  <c r="B4888" i="1"/>
  <c r="A4888" i="1"/>
  <c r="H4887" i="1"/>
  <c r="G4887" i="1"/>
  <c r="E4887" i="1"/>
  <c r="B4887" i="1"/>
  <c r="A4887" i="1"/>
  <c r="H4886" i="1"/>
  <c r="G4886" i="1"/>
  <c r="E4886" i="1"/>
  <c r="B4886" i="1"/>
  <c r="A4886" i="1"/>
  <c r="H4885" i="1"/>
  <c r="G4885" i="1"/>
  <c r="E4885" i="1"/>
  <c r="B4885" i="1"/>
  <c r="A4885" i="1"/>
  <c r="H4884" i="1"/>
  <c r="G4884" i="1"/>
  <c r="E4884" i="1"/>
  <c r="B4884" i="1"/>
  <c r="A4884" i="1"/>
  <c r="H4883" i="1"/>
  <c r="G4883" i="1"/>
  <c r="E4883" i="1"/>
  <c r="B4883" i="1"/>
  <c r="A4883" i="1"/>
  <c r="H4882" i="1"/>
  <c r="G4882" i="1"/>
  <c r="E4882" i="1"/>
  <c r="B4882" i="1"/>
  <c r="A4882" i="1"/>
  <c r="H4881" i="1"/>
  <c r="G4881" i="1"/>
  <c r="E4881" i="1"/>
  <c r="B4881" i="1"/>
  <c r="A4881" i="1"/>
  <c r="H4880" i="1"/>
  <c r="G4880" i="1"/>
  <c r="E4880" i="1"/>
  <c r="B4880" i="1"/>
  <c r="A4880" i="1"/>
  <c r="H4879" i="1"/>
  <c r="G4879" i="1"/>
  <c r="E4879" i="1"/>
  <c r="B4879" i="1"/>
  <c r="A4879" i="1"/>
  <c r="H4878" i="1"/>
  <c r="G4878" i="1"/>
  <c r="E4878" i="1"/>
  <c r="B4878" i="1"/>
  <c r="A4878" i="1"/>
  <c r="H4877" i="1"/>
  <c r="G4877" i="1"/>
  <c r="E4877" i="1"/>
  <c r="B4877" i="1"/>
  <c r="A4877" i="1"/>
  <c r="H4876" i="1"/>
  <c r="G4876" i="1"/>
  <c r="E4876" i="1"/>
  <c r="B4876" i="1"/>
  <c r="A4876" i="1"/>
  <c r="H4875" i="1"/>
  <c r="G4875" i="1"/>
  <c r="E4875" i="1"/>
  <c r="B4875" i="1"/>
  <c r="A4875" i="1"/>
  <c r="H4874" i="1"/>
  <c r="G4874" i="1"/>
  <c r="E4874" i="1"/>
  <c r="B4874" i="1"/>
  <c r="A4874" i="1"/>
  <c r="H4873" i="1"/>
  <c r="G4873" i="1"/>
  <c r="E4873" i="1"/>
  <c r="B4873" i="1"/>
  <c r="A4873" i="1"/>
  <c r="H4872" i="1"/>
  <c r="G4872" i="1"/>
  <c r="E4872" i="1"/>
  <c r="B4872" i="1"/>
  <c r="A4872" i="1"/>
  <c r="H4871" i="1"/>
  <c r="G4871" i="1"/>
  <c r="E4871" i="1"/>
  <c r="B4871" i="1"/>
  <c r="A4871" i="1"/>
  <c r="H4870" i="1"/>
  <c r="G4870" i="1"/>
  <c r="E4870" i="1"/>
  <c r="B4870" i="1"/>
  <c r="A4870" i="1"/>
  <c r="H4869" i="1"/>
  <c r="G4869" i="1"/>
  <c r="E4869" i="1"/>
  <c r="B4869" i="1"/>
  <c r="A4869" i="1"/>
  <c r="H4868" i="1"/>
  <c r="G4868" i="1"/>
  <c r="E4868" i="1"/>
  <c r="B4868" i="1"/>
  <c r="A4868" i="1"/>
  <c r="H4867" i="1"/>
  <c r="G4867" i="1"/>
  <c r="E4867" i="1"/>
  <c r="B4867" i="1"/>
  <c r="A4867" i="1"/>
  <c r="H4866" i="1"/>
  <c r="G4866" i="1"/>
  <c r="E4866" i="1"/>
  <c r="B4866" i="1"/>
  <c r="A4866" i="1"/>
  <c r="H4865" i="1"/>
  <c r="G4865" i="1"/>
  <c r="E4865" i="1"/>
  <c r="B4865" i="1"/>
  <c r="A4865" i="1"/>
  <c r="H4864" i="1"/>
  <c r="G4864" i="1"/>
  <c r="E4864" i="1"/>
  <c r="B4864" i="1"/>
  <c r="A4864" i="1"/>
  <c r="H4863" i="1"/>
  <c r="G4863" i="1"/>
  <c r="E4863" i="1"/>
  <c r="B4863" i="1"/>
  <c r="A4863" i="1"/>
  <c r="H4862" i="1"/>
  <c r="G4862" i="1"/>
  <c r="E4862" i="1"/>
  <c r="B4862" i="1"/>
  <c r="A4862" i="1"/>
  <c r="H4861" i="1"/>
  <c r="G4861" i="1"/>
  <c r="E4861" i="1"/>
  <c r="B4861" i="1"/>
  <c r="A4861" i="1"/>
  <c r="H4860" i="1"/>
  <c r="G4860" i="1"/>
  <c r="E4860" i="1"/>
  <c r="B4860" i="1"/>
  <c r="A4860" i="1"/>
  <c r="H4859" i="1"/>
  <c r="G4859" i="1"/>
  <c r="E4859" i="1"/>
  <c r="B4859" i="1"/>
  <c r="A4859" i="1"/>
  <c r="H4858" i="1"/>
  <c r="G4858" i="1"/>
  <c r="E4858" i="1"/>
  <c r="B4858" i="1"/>
  <c r="A4858" i="1"/>
  <c r="H4857" i="1"/>
  <c r="G4857" i="1"/>
  <c r="E4857" i="1"/>
  <c r="B4857" i="1"/>
  <c r="A4857" i="1"/>
  <c r="H4856" i="1"/>
  <c r="G4856" i="1"/>
  <c r="E4856" i="1"/>
  <c r="B4856" i="1"/>
  <c r="A4856" i="1"/>
  <c r="H4855" i="1"/>
  <c r="G4855" i="1"/>
  <c r="E4855" i="1"/>
  <c r="B4855" i="1"/>
  <c r="A4855" i="1"/>
  <c r="H4854" i="1"/>
  <c r="G4854" i="1"/>
  <c r="E4854" i="1"/>
  <c r="B4854" i="1"/>
  <c r="A4854" i="1"/>
  <c r="H4853" i="1"/>
  <c r="G4853" i="1"/>
  <c r="E4853" i="1"/>
  <c r="B4853" i="1"/>
  <c r="A4853" i="1"/>
  <c r="H4852" i="1"/>
  <c r="G4852" i="1"/>
  <c r="E4852" i="1"/>
  <c r="B4852" i="1"/>
  <c r="A4852" i="1"/>
  <c r="H4851" i="1"/>
  <c r="G4851" i="1"/>
  <c r="E4851" i="1"/>
  <c r="B4851" i="1"/>
  <c r="A4851" i="1"/>
  <c r="H4850" i="1"/>
  <c r="G4850" i="1"/>
  <c r="E4850" i="1"/>
  <c r="B4850" i="1"/>
  <c r="A4850" i="1"/>
  <c r="H4849" i="1"/>
  <c r="G4849" i="1"/>
  <c r="E4849" i="1"/>
  <c r="B4849" i="1"/>
  <c r="A4849" i="1"/>
  <c r="H4848" i="1"/>
  <c r="G4848" i="1"/>
  <c r="E4848" i="1"/>
  <c r="B4848" i="1"/>
  <c r="A4848" i="1"/>
  <c r="H4847" i="1"/>
  <c r="G4847" i="1"/>
  <c r="E4847" i="1"/>
  <c r="B4847" i="1"/>
  <c r="A4847" i="1"/>
  <c r="H4846" i="1"/>
  <c r="G4846" i="1"/>
  <c r="E4846" i="1"/>
  <c r="B4846" i="1"/>
  <c r="A4846" i="1"/>
  <c r="H4845" i="1"/>
  <c r="G4845" i="1"/>
  <c r="E4845" i="1"/>
  <c r="B4845" i="1"/>
  <c r="A4845" i="1"/>
  <c r="H4844" i="1"/>
  <c r="G4844" i="1"/>
  <c r="E4844" i="1"/>
  <c r="B4844" i="1"/>
  <c r="A4844" i="1"/>
  <c r="H4843" i="1"/>
  <c r="G4843" i="1"/>
  <c r="E4843" i="1"/>
  <c r="B4843" i="1"/>
  <c r="A4843" i="1"/>
  <c r="H4842" i="1"/>
  <c r="G4842" i="1"/>
  <c r="E4842" i="1"/>
  <c r="B4842" i="1"/>
  <c r="A4842" i="1"/>
  <c r="H4841" i="1"/>
  <c r="G4841" i="1"/>
  <c r="E4841" i="1"/>
  <c r="B4841" i="1"/>
  <c r="A4841" i="1"/>
  <c r="H4840" i="1"/>
  <c r="G4840" i="1"/>
  <c r="E4840" i="1"/>
  <c r="B4840" i="1"/>
  <c r="A4840" i="1"/>
  <c r="H4839" i="1"/>
  <c r="G4839" i="1"/>
  <c r="E4839" i="1"/>
  <c r="B4839" i="1"/>
  <c r="A4839" i="1"/>
  <c r="H4838" i="1"/>
  <c r="G4838" i="1"/>
  <c r="E4838" i="1"/>
  <c r="B4838" i="1"/>
  <c r="A4838" i="1"/>
  <c r="H4837" i="1"/>
  <c r="G4837" i="1"/>
  <c r="E4837" i="1"/>
  <c r="B4837" i="1"/>
  <c r="A4837" i="1"/>
  <c r="H4836" i="1"/>
  <c r="G4836" i="1"/>
  <c r="E4836" i="1"/>
  <c r="B4836" i="1"/>
  <c r="A4836" i="1"/>
  <c r="H4835" i="1"/>
  <c r="G4835" i="1"/>
  <c r="E4835" i="1"/>
  <c r="B4835" i="1"/>
  <c r="A4835" i="1"/>
  <c r="H4834" i="1"/>
  <c r="G4834" i="1"/>
  <c r="E4834" i="1"/>
  <c r="B4834" i="1"/>
  <c r="A4834" i="1"/>
  <c r="H4833" i="1"/>
  <c r="G4833" i="1"/>
  <c r="E4833" i="1"/>
  <c r="B4833" i="1"/>
  <c r="A4833" i="1"/>
  <c r="H4832" i="1"/>
  <c r="G4832" i="1"/>
  <c r="E4832" i="1"/>
  <c r="B4832" i="1"/>
  <c r="A4832" i="1"/>
  <c r="H4831" i="1"/>
  <c r="G4831" i="1"/>
  <c r="E4831" i="1"/>
  <c r="B4831" i="1"/>
  <c r="A4831" i="1"/>
  <c r="H4830" i="1"/>
  <c r="G4830" i="1"/>
  <c r="E4830" i="1"/>
  <c r="B4830" i="1"/>
  <c r="A4830" i="1"/>
  <c r="H4829" i="1"/>
  <c r="G4829" i="1"/>
  <c r="E4829" i="1"/>
  <c r="B4829" i="1"/>
  <c r="A4829" i="1"/>
  <c r="H4828" i="1"/>
  <c r="G4828" i="1"/>
  <c r="E4828" i="1"/>
  <c r="B4828" i="1"/>
  <c r="A4828" i="1"/>
  <c r="H4827" i="1"/>
  <c r="G4827" i="1"/>
  <c r="E4827" i="1"/>
  <c r="B4827" i="1"/>
  <c r="A4827" i="1"/>
  <c r="H4826" i="1"/>
  <c r="G4826" i="1"/>
  <c r="E4826" i="1"/>
  <c r="B4826" i="1"/>
  <c r="A4826" i="1"/>
  <c r="H4825" i="1"/>
  <c r="G4825" i="1"/>
  <c r="E4825" i="1"/>
  <c r="B4825" i="1"/>
  <c r="A4825" i="1"/>
  <c r="H4824" i="1"/>
  <c r="G4824" i="1"/>
  <c r="E4824" i="1"/>
  <c r="B4824" i="1"/>
  <c r="A4824" i="1"/>
  <c r="H4823" i="1"/>
  <c r="G4823" i="1"/>
  <c r="E4823" i="1"/>
  <c r="B4823" i="1"/>
  <c r="A4823" i="1"/>
  <c r="H4822" i="1"/>
  <c r="G4822" i="1"/>
  <c r="E4822" i="1"/>
  <c r="B4822" i="1"/>
  <c r="A4822" i="1"/>
  <c r="H4821" i="1"/>
  <c r="G4821" i="1"/>
  <c r="E4821" i="1"/>
  <c r="B4821" i="1"/>
  <c r="A4821" i="1"/>
  <c r="H4820" i="1"/>
  <c r="G4820" i="1"/>
  <c r="E4820" i="1"/>
  <c r="B4820" i="1"/>
  <c r="A4820" i="1"/>
  <c r="H4819" i="1"/>
  <c r="G4819" i="1"/>
  <c r="E4819" i="1"/>
  <c r="B4819" i="1"/>
  <c r="A4819" i="1"/>
  <c r="H4818" i="1"/>
  <c r="G4818" i="1"/>
  <c r="E4818" i="1"/>
  <c r="B4818" i="1"/>
  <c r="A4818" i="1"/>
  <c r="H4817" i="1"/>
  <c r="G4817" i="1"/>
  <c r="E4817" i="1"/>
  <c r="B4817" i="1"/>
  <c r="A4817" i="1"/>
  <c r="H4816" i="1"/>
  <c r="G4816" i="1"/>
  <c r="E4816" i="1"/>
  <c r="B4816" i="1"/>
  <c r="A4816" i="1"/>
  <c r="H4815" i="1"/>
  <c r="G4815" i="1"/>
  <c r="E4815" i="1"/>
  <c r="B4815" i="1"/>
  <c r="A4815" i="1"/>
  <c r="H4814" i="1"/>
  <c r="G4814" i="1"/>
  <c r="E4814" i="1"/>
  <c r="B4814" i="1"/>
  <c r="A4814" i="1"/>
  <c r="H4813" i="1"/>
  <c r="G4813" i="1"/>
  <c r="E4813" i="1"/>
  <c r="B4813" i="1"/>
  <c r="A4813" i="1"/>
  <c r="H4812" i="1"/>
  <c r="G4812" i="1"/>
  <c r="E4812" i="1"/>
  <c r="B4812" i="1"/>
  <c r="A4812" i="1"/>
  <c r="H4811" i="1"/>
  <c r="G4811" i="1"/>
  <c r="E4811" i="1"/>
  <c r="B4811" i="1"/>
  <c r="A4811" i="1"/>
  <c r="H4810" i="1"/>
  <c r="G4810" i="1"/>
  <c r="E4810" i="1"/>
  <c r="B4810" i="1"/>
  <c r="A4810" i="1"/>
  <c r="H4809" i="1"/>
  <c r="G4809" i="1"/>
  <c r="E4809" i="1"/>
  <c r="B4809" i="1"/>
  <c r="A4809" i="1"/>
  <c r="H4808" i="1"/>
  <c r="G4808" i="1"/>
  <c r="E4808" i="1"/>
  <c r="B4808" i="1"/>
  <c r="A4808" i="1"/>
  <c r="H4807" i="1"/>
  <c r="G4807" i="1"/>
  <c r="E4807" i="1"/>
  <c r="B4807" i="1"/>
  <c r="A4807" i="1"/>
  <c r="H4806" i="1"/>
  <c r="G4806" i="1"/>
  <c r="E4806" i="1"/>
  <c r="B4806" i="1"/>
  <c r="A4806" i="1"/>
  <c r="H4805" i="1"/>
  <c r="G4805" i="1"/>
  <c r="E4805" i="1"/>
  <c r="B4805" i="1"/>
  <c r="A4805" i="1"/>
  <c r="H4804" i="1"/>
  <c r="G4804" i="1"/>
  <c r="E4804" i="1"/>
  <c r="B4804" i="1"/>
  <c r="A4804" i="1"/>
  <c r="H4803" i="1"/>
  <c r="G4803" i="1"/>
  <c r="E4803" i="1"/>
  <c r="B4803" i="1"/>
  <c r="A4803" i="1"/>
  <c r="H4802" i="1"/>
  <c r="G4802" i="1"/>
  <c r="E4802" i="1"/>
  <c r="B4802" i="1"/>
  <c r="A4802" i="1"/>
  <c r="H4801" i="1"/>
  <c r="G4801" i="1"/>
  <c r="E4801" i="1"/>
  <c r="B4801" i="1"/>
  <c r="A4801" i="1"/>
  <c r="H4800" i="1"/>
  <c r="G4800" i="1"/>
  <c r="E4800" i="1"/>
  <c r="B4800" i="1"/>
  <c r="A4800" i="1"/>
  <c r="H4799" i="1"/>
  <c r="G4799" i="1"/>
  <c r="E4799" i="1"/>
  <c r="B4799" i="1"/>
  <c r="A4799" i="1"/>
  <c r="H4798" i="1"/>
  <c r="G4798" i="1"/>
  <c r="E4798" i="1"/>
  <c r="B4798" i="1"/>
  <c r="A4798" i="1"/>
  <c r="H4797" i="1"/>
  <c r="G4797" i="1"/>
  <c r="E4797" i="1"/>
  <c r="B4797" i="1"/>
  <c r="A4797" i="1"/>
  <c r="H4796" i="1"/>
  <c r="G4796" i="1"/>
  <c r="E4796" i="1"/>
  <c r="B4796" i="1"/>
  <c r="A4796" i="1"/>
  <c r="H4795" i="1"/>
  <c r="G4795" i="1"/>
  <c r="E4795" i="1"/>
  <c r="B4795" i="1"/>
  <c r="A4795" i="1"/>
  <c r="H4794" i="1"/>
  <c r="G4794" i="1"/>
  <c r="E4794" i="1"/>
  <c r="B4794" i="1"/>
  <c r="A4794" i="1"/>
  <c r="H4793" i="1"/>
  <c r="G4793" i="1"/>
  <c r="E4793" i="1"/>
  <c r="B4793" i="1"/>
  <c r="A4793" i="1"/>
  <c r="H4792" i="1"/>
  <c r="G4792" i="1"/>
  <c r="E4792" i="1"/>
  <c r="B4792" i="1"/>
  <c r="A4792" i="1"/>
  <c r="H4791" i="1"/>
  <c r="G4791" i="1"/>
  <c r="E4791" i="1"/>
  <c r="B4791" i="1"/>
  <c r="A4791" i="1"/>
  <c r="H4790" i="1"/>
  <c r="G4790" i="1"/>
  <c r="E4790" i="1"/>
  <c r="B4790" i="1"/>
  <c r="A4790" i="1"/>
  <c r="H4789" i="1"/>
  <c r="G4789" i="1"/>
  <c r="E4789" i="1"/>
  <c r="B4789" i="1"/>
  <c r="A4789" i="1"/>
  <c r="H4788" i="1"/>
  <c r="G4788" i="1"/>
  <c r="E4788" i="1"/>
  <c r="B4788" i="1"/>
  <c r="A4788" i="1"/>
  <c r="H4787" i="1"/>
  <c r="G4787" i="1"/>
  <c r="E4787" i="1"/>
  <c r="B4787" i="1"/>
  <c r="A4787" i="1"/>
  <c r="H4786" i="1"/>
  <c r="G4786" i="1"/>
  <c r="E4786" i="1"/>
  <c r="B4786" i="1"/>
  <c r="A4786" i="1"/>
  <c r="H4785" i="1"/>
  <c r="G4785" i="1"/>
  <c r="E4785" i="1"/>
  <c r="B4785" i="1"/>
  <c r="A4785" i="1"/>
  <c r="H4784" i="1"/>
  <c r="G4784" i="1"/>
  <c r="E4784" i="1"/>
  <c r="B4784" i="1"/>
  <c r="A4784" i="1"/>
  <c r="H4783" i="1"/>
  <c r="G4783" i="1"/>
  <c r="E4783" i="1"/>
  <c r="B4783" i="1"/>
  <c r="A4783" i="1"/>
  <c r="H4782" i="1"/>
  <c r="G4782" i="1"/>
  <c r="E4782" i="1"/>
  <c r="B4782" i="1"/>
  <c r="A4782" i="1"/>
  <c r="H4781" i="1"/>
  <c r="G4781" i="1"/>
  <c r="E4781" i="1"/>
  <c r="B4781" i="1"/>
  <c r="A4781" i="1"/>
  <c r="H4780" i="1"/>
  <c r="G4780" i="1"/>
  <c r="E4780" i="1"/>
  <c r="B4780" i="1"/>
  <c r="A4780" i="1"/>
  <c r="H4779" i="1"/>
  <c r="G4779" i="1"/>
  <c r="E4779" i="1"/>
  <c r="B4779" i="1"/>
  <c r="A4779" i="1"/>
  <c r="H4778" i="1"/>
  <c r="G4778" i="1"/>
  <c r="E4778" i="1"/>
  <c r="B4778" i="1"/>
  <c r="A4778" i="1"/>
  <c r="H4777" i="1"/>
  <c r="G4777" i="1"/>
  <c r="E4777" i="1"/>
  <c r="B4777" i="1"/>
  <c r="A4777" i="1"/>
  <c r="H4776" i="1"/>
  <c r="G4776" i="1"/>
  <c r="E4776" i="1"/>
  <c r="B4776" i="1"/>
  <c r="A4776" i="1"/>
  <c r="H4775" i="1"/>
  <c r="G4775" i="1"/>
  <c r="E4775" i="1"/>
  <c r="B4775" i="1"/>
  <c r="A4775" i="1"/>
  <c r="H4774" i="1"/>
  <c r="G4774" i="1"/>
  <c r="E4774" i="1"/>
  <c r="B4774" i="1"/>
  <c r="A4774" i="1"/>
  <c r="H4773" i="1"/>
  <c r="G4773" i="1"/>
  <c r="E4773" i="1"/>
  <c r="B4773" i="1"/>
  <c r="A4773" i="1"/>
  <c r="H4772" i="1"/>
  <c r="G4772" i="1"/>
  <c r="E4772" i="1"/>
  <c r="B4772" i="1"/>
  <c r="A4772" i="1"/>
  <c r="H4771" i="1"/>
  <c r="G4771" i="1"/>
  <c r="E4771" i="1"/>
  <c r="B4771" i="1"/>
  <c r="A4771" i="1"/>
  <c r="H4770" i="1"/>
  <c r="G4770" i="1"/>
  <c r="E4770" i="1"/>
  <c r="B4770" i="1"/>
  <c r="A4770" i="1"/>
  <c r="H4769" i="1"/>
  <c r="G4769" i="1"/>
  <c r="E4769" i="1"/>
  <c r="B4769" i="1"/>
  <c r="A4769" i="1"/>
  <c r="H4768" i="1"/>
  <c r="G4768" i="1"/>
  <c r="E4768" i="1"/>
  <c r="B4768" i="1"/>
  <c r="A4768" i="1"/>
  <c r="H4767" i="1"/>
  <c r="G4767" i="1"/>
  <c r="E4767" i="1"/>
  <c r="B4767" i="1"/>
  <c r="A4767" i="1"/>
  <c r="H4766" i="1"/>
  <c r="G4766" i="1"/>
  <c r="E4766" i="1"/>
  <c r="B4766" i="1"/>
  <c r="A4766" i="1"/>
  <c r="H4765" i="1"/>
  <c r="G4765" i="1"/>
  <c r="E4765" i="1"/>
  <c r="B4765" i="1"/>
  <c r="A4765" i="1"/>
  <c r="H4764" i="1"/>
  <c r="G4764" i="1"/>
  <c r="E4764" i="1"/>
  <c r="B4764" i="1"/>
  <c r="A4764" i="1"/>
  <c r="H4763" i="1"/>
  <c r="G4763" i="1"/>
  <c r="E4763" i="1"/>
  <c r="B4763" i="1"/>
  <c r="A4763" i="1"/>
  <c r="H4762" i="1"/>
  <c r="G4762" i="1"/>
  <c r="E4762" i="1"/>
  <c r="B4762" i="1"/>
  <c r="A4762" i="1"/>
  <c r="H4761" i="1"/>
  <c r="G4761" i="1"/>
  <c r="E4761" i="1"/>
  <c r="B4761" i="1"/>
  <c r="A4761" i="1"/>
  <c r="H4760" i="1"/>
  <c r="G4760" i="1"/>
  <c r="E4760" i="1"/>
  <c r="B4760" i="1"/>
  <c r="A4760" i="1"/>
  <c r="H4759" i="1"/>
  <c r="G4759" i="1"/>
  <c r="E4759" i="1"/>
  <c r="B4759" i="1"/>
  <c r="A4759" i="1"/>
  <c r="H4758" i="1"/>
  <c r="G4758" i="1"/>
  <c r="E4758" i="1"/>
  <c r="B4758" i="1"/>
  <c r="A4758" i="1"/>
  <c r="H4757" i="1"/>
  <c r="G4757" i="1"/>
  <c r="E4757" i="1"/>
  <c r="B4757" i="1"/>
  <c r="A4757" i="1"/>
  <c r="H4756" i="1"/>
  <c r="G4756" i="1"/>
  <c r="E4756" i="1"/>
  <c r="B4756" i="1"/>
  <c r="A4756" i="1"/>
  <c r="H4755" i="1"/>
  <c r="G4755" i="1"/>
  <c r="E4755" i="1"/>
  <c r="B4755" i="1"/>
  <c r="A4755" i="1"/>
  <c r="H4754" i="1"/>
  <c r="G4754" i="1"/>
  <c r="E4754" i="1"/>
  <c r="B4754" i="1"/>
  <c r="A4754" i="1"/>
  <c r="H4753" i="1"/>
  <c r="G4753" i="1"/>
  <c r="E4753" i="1"/>
  <c r="B4753" i="1"/>
  <c r="A4753" i="1"/>
  <c r="H4752" i="1"/>
  <c r="G4752" i="1"/>
  <c r="E4752" i="1"/>
  <c r="B4752" i="1"/>
  <c r="A4752" i="1"/>
  <c r="H4751" i="1"/>
  <c r="G4751" i="1"/>
  <c r="E4751" i="1"/>
  <c r="B4751" i="1"/>
  <c r="A4751" i="1"/>
  <c r="H4750" i="1"/>
  <c r="G4750" i="1"/>
  <c r="E4750" i="1"/>
  <c r="B4750" i="1"/>
  <c r="A4750" i="1"/>
  <c r="H4749" i="1"/>
  <c r="G4749" i="1"/>
  <c r="E4749" i="1"/>
  <c r="B4749" i="1"/>
  <c r="A4749" i="1"/>
  <c r="H4748" i="1"/>
  <c r="G4748" i="1"/>
  <c r="E4748" i="1"/>
  <c r="B4748" i="1"/>
  <c r="A4748" i="1"/>
  <c r="H4747" i="1"/>
  <c r="G4747" i="1"/>
  <c r="E4747" i="1"/>
  <c r="B4747" i="1"/>
  <c r="A4747" i="1"/>
  <c r="H4746" i="1"/>
  <c r="G4746" i="1"/>
  <c r="E4746" i="1"/>
  <c r="B4746" i="1"/>
  <c r="A4746" i="1"/>
  <c r="H4745" i="1"/>
  <c r="G4745" i="1"/>
  <c r="B4745" i="1"/>
  <c r="A4745" i="1"/>
  <c r="H4744" i="1"/>
  <c r="G4744" i="1"/>
  <c r="E4744" i="1"/>
  <c r="B4744" i="1"/>
  <c r="A4744" i="1"/>
  <c r="H4743" i="1"/>
  <c r="G4743" i="1"/>
  <c r="E4743" i="1"/>
  <c r="B4743" i="1"/>
  <c r="A4743" i="1"/>
  <c r="H4742" i="1"/>
  <c r="G4742" i="1"/>
  <c r="E4742" i="1"/>
  <c r="B4742" i="1"/>
  <c r="A4742" i="1"/>
  <c r="H4741" i="1"/>
  <c r="G4741" i="1"/>
  <c r="E4741" i="1"/>
  <c r="B4741" i="1"/>
  <c r="A4741" i="1"/>
  <c r="H4740" i="1"/>
  <c r="G4740" i="1"/>
  <c r="E4740" i="1"/>
  <c r="B4740" i="1"/>
  <c r="A4740" i="1"/>
  <c r="H4739" i="1"/>
  <c r="G4739" i="1"/>
  <c r="E4739" i="1"/>
  <c r="B4739" i="1"/>
  <c r="A4739" i="1"/>
  <c r="H4738" i="1"/>
  <c r="G4738" i="1"/>
  <c r="E4738" i="1"/>
  <c r="B4738" i="1"/>
  <c r="A4738" i="1"/>
  <c r="H4737" i="1"/>
  <c r="G4737" i="1"/>
  <c r="E4737" i="1"/>
  <c r="B4737" i="1"/>
  <c r="A4737" i="1"/>
  <c r="H4736" i="1"/>
  <c r="G4736" i="1"/>
  <c r="E4736" i="1"/>
  <c r="B4736" i="1"/>
  <c r="A4736" i="1"/>
  <c r="H4735" i="1"/>
  <c r="G4735" i="1"/>
  <c r="E4735" i="1"/>
  <c r="B4735" i="1"/>
  <c r="A4735" i="1"/>
  <c r="H4734" i="1"/>
  <c r="G4734" i="1"/>
  <c r="E4734" i="1"/>
  <c r="B4734" i="1"/>
  <c r="A4734" i="1"/>
  <c r="H4733" i="1"/>
  <c r="G4733" i="1"/>
  <c r="E4733" i="1"/>
  <c r="B4733" i="1"/>
  <c r="A4733" i="1"/>
  <c r="H4732" i="1"/>
  <c r="G4732" i="1"/>
  <c r="E4732" i="1"/>
  <c r="B4732" i="1"/>
  <c r="A4732" i="1"/>
  <c r="H4731" i="1"/>
  <c r="G4731" i="1"/>
  <c r="E4731" i="1"/>
  <c r="B4731" i="1"/>
  <c r="A4731" i="1"/>
  <c r="H4730" i="1"/>
  <c r="G4730" i="1"/>
  <c r="E4730" i="1"/>
  <c r="B4730" i="1"/>
  <c r="A4730" i="1"/>
  <c r="H4729" i="1"/>
  <c r="G4729" i="1"/>
  <c r="E4729" i="1"/>
  <c r="B4729" i="1"/>
  <c r="A4729" i="1"/>
  <c r="H4728" i="1"/>
  <c r="G4728" i="1"/>
  <c r="E4728" i="1"/>
  <c r="B4728" i="1"/>
  <c r="A4728" i="1"/>
  <c r="H4727" i="1"/>
  <c r="G4727" i="1"/>
  <c r="E4727" i="1"/>
  <c r="B4727" i="1"/>
  <c r="A4727" i="1"/>
  <c r="H4726" i="1"/>
  <c r="G4726" i="1"/>
  <c r="E4726" i="1"/>
  <c r="B4726" i="1"/>
  <c r="A4726" i="1"/>
  <c r="H4725" i="1"/>
  <c r="G4725" i="1"/>
  <c r="E4725" i="1"/>
  <c r="B4725" i="1"/>
  <c r="A4725" i="1"/>
  <c r="H4724" i="1"/>
  <c r="G4724" i="1"/>
  <c r="E4724" i="1"/>
  <c r="B4724" i="1"/>
  <c r="A4724" i="1"/>
  <c r="H4723" i="1"/>
  <c r="G4723" i="1"/>
  <c r="E4723" i="1"/>
  <c r="B4723" i="1"/>
  <c r="A4723" i="1"/>
  <c r="H4722" i="1"/>
  <c r="G4722" i="1"/>
  <c r="E4722" i="1"/>
  <c r="B4722" i="1"/>
  <c r="A4722" i="1"/>
  <c r="H4721" i="1"/>
  <c r="G4721" i="1"/>
  <c r="E4721" i="1"/>
  <c r="B4721" i="1"/>
  <c r="A4721" i="1"/>
  <c r="H4720" i="1"/>
  <c r="G4720" i="1"/>
  <c r="E4720" i="1"/>
  <c r="B4720" i="1"/>
  <c r="A4720" i="1"/>
  <c r="H4719" i="1"/>
  <c r="G4719" i="1"/>
  <c r="E4719" i="1"/>
  <c r="B4719" i="1"/>
  <c r="A4719" i="1"/>
  <c r="H4718" i="1"/>
  <c r="G4718" i="1"/>
  <c r="E4718" i="1"/>
  <c r="B4718" i="1"/>
  <c r="A4718" i="1"/>
  <c r="H4717" i="1"/>
  <c r="G4717" i="1"/>
  <c r="E4717" i="1"/>
  <c r="B4717" i="1"/>
  <c r="A4717" i="1"/>
  <c r="H4716" i="1"/>
  <c r="G4716" i="1"/>
  <c r="E4716" i="1"/>
  <c r="B4716" i="1"/>
  <c r="A4716" i="1"/>
  <c r="H4715" i="1"/>
  <c r="G4715" i="1"/>
  <c r="E4715" i="1"/>
  <c r="B4715" i="1"/>
  <c r="A4715" i="1"/>
  <c r="H4714" i="1"/>
  <c r="G4714" i="1"/>
  <c r="E4714" i="1"/>
  <c r="B4714" i="1"/>
  <c r="A4714" i="1"/>
  <c r="H4713" i="1"/>
  <c r="G4713" i="1"/>
  <c r="E4713" i="1"/>
  <c r="B4713" i="1"/>
  <c r="A4713" i="1"/>
  <c r="H4712" i="1"/>
  <c r="G4712" i="1"/>
  <c r="E4712" i="1"/>
  <c r="B4712" i="1"/>
  <c r="A4712" i="1"/>
  <c r="H4711" i="1"/>
  <c r="G4711" i="1"/>
  <c r="E4711" i="1"/>
  <c r="B4711" i="1"/>
  <c r="A4711" i="1"/>
  <c r="H4710" i="1"/>
  <c r="G4710" i="1"/>
  <c r="E4710" i="1"/>
  <c r="B4710" i="1"/>
  <c r="A4710" i="1"/>
  <c r="H4709" i="1"/>
  <c r="G4709" i="1"/>
  <c r="E4709" i="1"/>
  <c r="B4709" i="1"/>
  <c r="A4709" i="1"/>
  <c r="H4708" i="1"/>
  <c r="G4708" i="1"/>
  <c r="E4708" i="1"/>
  <c r="B4708" i="1"/>
  <c r="A4708" i="1"/>
  <c r="H4707" i="1"/>
  <c r="G4707" i="1"/>
  <c r="E4707" i="1"/>
  <c r="B4707" i="1"/>
  <c r="A4707" i="1"/>
  <c r="H4706" i="1"/>
  <c r="G4706" i="1"/>
  <c r="E4706" i="1"/>
  <c r="B4706" i="1"/>
  <c r="A4706" i="1"/>
  <c r="H4705" i="1"/>
  <c r="G4705" i="1"/>
  <c r="E4705" i="1"/>
  <c r="B4705" i="1"/>
  <c r="A4705" i="1"/>
  <c r="H4704" i="1"/>
  <c r="G4704" i="1"/>
  <c r="E4704" i="1"/>
  <c r="B4704" i="1"/>
  <c r="A4704" i="1"/>
  <c r="H4703" i="1"/>
  <c r="G4703" i="1"/>
  <c r="E4703" i="1"/>
  <c r="B4703" i="1"/>
  <c r="A4703" i="1"/>
  <c r="H4702" i="1"/>
  <c r="G4702" i="1"/>
  <c r="E4702" i="1"/>
  <c r="B4702" i="1"/>
  <c r="A4702" i="1"/>
  <c r="H4701" i="1"/>
  <c r="G4701" i="1"/>
  <c r="E4701" i="1"/>
  <c r="B4701" i="1"/>
  <c r="A4701" i="1"/>
  <c r="H4700" i="1"/>
  <c r="G4700" i="1"/>
  <c r="E4700" i="1"/>
  <c r="B4700" i="1"/>
  <c r="A4700" i="1"/>
  <c r="H4699" i="1"/>
  <c r="G4699" i="1"/>
  <c r="E4699" i="1"/>
  <c r="B4699" i="1"/>
  <c r="A4699" i="1"/>
  <c r="H4698" i="1"/>
  <c r="G4698" i="1"/>
  <c r="E4698" i="1"/>
  <c r="B4698" i="1"/>
  <c r="A4698" i="1"/>
  <c r="H4697" i="1"/>
  <c r="G4697" i="1"/>
  <c r="E4697" i="1"/>
  <c r="B4697" i="1"/>
  <c r="A4697" i="1"/>
  <c r="H4696" i="1"/>
  <c r="G4696" i="1"/>
  <c r="E4696" i="1"/>
  <c r="B4696" i="1"/>
  <c r="A4696" i="1"/>
  <c r="H4695" i="1"/>
  <c r="G4695" i="1"/>
  <c r="E4695" i="1"/>
  <c r="B4695" i="1"/>
  <c r="A4695" i="1"/>
  <c r="H4694" i="1"/>
  <c r="G4694" i="1"/>
  <c r="E4694" i="1"/>
  <c r="B4694" i="1"/>
  <c r="A4694" i="1"/>
  <c r="H4693" i="1"/>
  <c r="G4693" i="1"/>
  <c r="E4693" i="1"/>
  <c r="B4693" i="1"/>
  <c r="A4693" i="1"/>
  <c r="H4692" i="1"/>
  <c r="G4692" i="1"/>
  <c r="E4692" i="1"/>
  <c r="B4692" i="1"/>
  <c r="A4692" i="1"/>
  <c r="H4691" i="1"/>
  <c r="G4691" i="1"/>
  <c r="E4691" i="1"/>
  <c r="B4691" i="1"/>
  <c r="A4691" i="1"/>
  <c r="H4690" i="1"/>
  <c r="G4690" i="1"/>
  <c r="E4690" i="1"/>
  <c r="B4690" i="1"/>
  <c r="A4690" i="1"/>
  <c r="H4689" i="1"/>
  <c r="G4689" i="1"/>
  <c r="E4689" i="1"/>
  <c r="B4689" i="1"/>
  <c r="A4689" i="1"/>
  <c r="H4688" i="1"/>
  <c r="G4688" i="1"/>
  <c r="E4688" i="1"/>
  <c r="B4688" i="1"/>
  <c r="A4688" i="1"/>
  <c r="H4687" i="1"/>
  <c r="G4687" i="1"/>
  <c r="E4687" i="1"/>
  <c r="B4687" i="1"/>
  <c r="A4687" i="1"/>
  <c r="H4686" i="1"/>
  <c r="G4686" i="1"/>
  <c r="E4686" i="1"/>
  <c r="B4686" i="1"/>
  <c r="A4686" i="1"/>
  <c r="H4685" i="1"/>
  <c r="G4685" i="1"/>
  <c r="E4685" i="1"/>
  <c r="B4685" i="1"/>
  <c r="A4685" i="1"/>
  <c r="H4684" i="1"/>
  <c r="G4684" i="1"/>
  <c r="E4684" i="1"/>
  <c r="B4684" i="1"/>
  <c r="A4684" i="1"/>
  <c r="H4683" i="1"/>
  <c r="G4683" i="1"/>
  <c r="E4683" i="1"/>
  <c r="B4683" i="1"/>
  <c r="A4683" i="1"/>
  <c r="H4682" i="1"/>
  <c r="G4682" i="1"/>
  <c r="E4682" i="1"/>
  <c r="B4682" i="1"/>
  <c r="A4682" i="1"/>
  <c r="H4681" i="1"/>
  <c r="G4681" i="1"/>
  <c r="E4681" i="1"/>
  <c r="B4681" i="1"/>
  <c r="A4681" i="1"/>
  <c r="H4680" i="1"/>
  <c r="G4680" i="1"/>
  <c r="B4680" i="1"/>
  <c r="A4680" i="1"/>
  <c r="H4679" i="1"/>
  <c r="G4679" i="1"/>
  <c r="E4679" i="1"/>
  <c r="B4679" i="1"/>
  <c r="A4679" i="1"/>
  <c r="H4678" i="1"/>
  <c r="G4678" i="1"/>
  <c r="E4678" i="1"/>
  <c r="B4678" i="1"/>
  <c r="A4678" i="1"/>
  <c r="H4677" i="1"/>
  <c r="G4677" i="1"/>
  <c r="E4677" i="1"/>
  <c r="B4677" i="1"/>
  <c r="A4677" i="1"/>
  <c r="H4676" i="1"/>
  <c r="G4676" i="1"/>
  <c r="E4676" i="1"/>
  <c r="B4676" i="1"/>
  <c r="A4676" i="1"/>
  <c r="H4675" i="1"/>
  <c r="G4675" i="1"/>
  <c r="E4675" i="1"/>
  <c r="B4675" i="1"/>
  <c r="A4675" i="1"/>
  <c r="H4674" i="1"/>
  <c r="G4674" i="1"/>
  <c r="E4674" i="1"/>
  <c r="B4674" i="1"/>
  <c r="A4674" i="1"/>
  <c r="H4673" i="1"/>
  <c r="G4673" i="1"/>
  <c r="E4673" i="1"/>
  <c r="B4673" i="1"/>
  <c r="A4673" i="1"/>
  <c r="H4672" i="1"/>
  <c r="G4672" i="1"/>
  <c r="E4672" i="1"/>
  <c r="B4672" i="1"/>
  <c r="A4672" i="1"/>
  <c r="H4671" i="1"/>
  <c r="G4671" i="1"/>
  <c r="E4671" i="1"/>
  <c r="B4671" i="1"/>
  <c r="A4671" i="1"/>
  <c r="H4670" i="1"/>
  <c r="G4670" i="1"/>
  <c r="E4670" i="1"/>
  <c r="B4670" i="1"/>
  <c r="A4670" i="1"/>
  <c r="H4669" i="1"/>
  <c r="G4669" i="1"/>
  <c r="E4669" i="1"/>
  <c r="B4669" i="1"/>
  <c r="A4669" i="1"/>
  <c r="H4668" i="1"/>
  <c r="G4668" i="1"/>
  <c r="E4668" i="1"/>
  <c r="B4668" i="1"/>
  <c r="A4668" i="1"/>
  <c r="H4667" i="1"/>
  <c r="G4667" i="1"/>
  <c r="E4667" i="1"/>
  <c r="B4667" i="1"/>
  <c r="A4667" i="1"/>
  <c r="H4666" i="1"/>
  <c r="G4666" i="1"/>
  <c r="E4666" i="1"/>
  <c r="B4666" i="1"/>
  <c r="A4666" i="1"/>
  <c r="H4665" i="1"/>
  <c r="G4665" i="1"/>
  <c r="E4665" i="1"/>
  <c r="B4665" i="1"/>
  <c r="A4665" i="1"/>
  <c r="H4664" i="1"/>
  <c r="G4664" i="1"/>
  <c r="E4664" i="1"/>
  <c r="B4664" i="1"/>
  <c r="A4664" i="1"/>
  <c r="H4663" i="1"/>
  <c r="G4663" i="1"/>
  <c r="E4663" i="1"/>
  <c r="B4663" i="1"/>
  <c r="A4663" i="1"/>
  <c r="H4662" i="1"/>
  <c r="G4662" i="1"/>
  <c r="E4662" i="1"/>
  <c r="B4662" i="1"/>
  <c r="A4662" i="1"/>
  <c r="H4661" i="1"/>
  <c r="G4661" i="1"/>
  <c r="E4661" i="1"/>
  <c r="B4661" i="1"/>
  <c r="A4661" i="1"/>
  <c r="H4660" i="1"/>
  <c r="G4660" i="1"/>
  <c r="E4660" i="1"/>
  <c r="B4660" i="1"/>
  <c r="A4660" i="1"/>
  <c r="H4659" i="1"/>
  <c r="G4659" i="1"/>
  <c r="E4659" i="1"/>
  <c r="B4659" i="1"/>
  <c r="A4659" i="1"/>
  <c r="H4658" i="1"/>
  <c r="G4658" i="1"/>
  <c r="E4658" i="1"/>
  <c r="B4658" i="1"/>
  <c r="A4658" i="1"/>
  <c r="H4657" i="1"/>
  <c r="G4657" i="1"/>
  <c r="E4657" i="1"/>
  <c r="B4657" i="1"/>
  <c r="A4657" i="1"/>
  <c r="H4656" i="1"/>
  <c r="G4656" i="1"/>
  <c r="E4656" i="1"/>
  <c r="B4656" i="1"/>
  <c r="A4656" i="1"/>
  <c r="H4655" i="1"/>
  <c r="G4655" i="1"/>
  <c r="E4655" i="1"/>
  <c r="B4655" i="1"/>
  <c r="A4655" i="1"/>
  <c r="H4654" i="1"/>
  <c r="G4654" i="1"/>
  <c r="E4654" i="1"/>
  <c r="B4654" i="1"/>
  <c r="A4654" i="1"/>
  <c r="H4653" i="1"/>
  <c r="G4653" i="1"/>
  <c r="E4653" i="1"/>
  <c r="B4653" i="1"/>
  <c r="A4653" i="1"/>
  <c r="H4652" i="1"/>
  <c r="G4652" i="1"/>
  <c r="E4652" i="1"/>
  <c r="B4652" i="1"/>
  <c r="A4652" i="1"/>
  <c r="H4651" i="1"/>
  <c r="G4651" i="1"/>
  <c r="E4651" i="1"/>
  <c r="B4651" i="1"/>
  <c r="A4651" i="1"/>
  <c r="H4650" i="1"/>
  <c r="G4650" i="1"/>
  <c r="E4650" i="1"/>
  <c r="B4650" i="1"/>
  <c r="A4650" i="1"/>
  <c r="H4649" i="1"/>
  <c r="G4649" i="1"/>
  <c r="E4649" i="1"/>
  <c r="B4649" i="1"/>
  <c r="A4649" i="1"/>
  <c r="H4648" i="1"/>
  <c r="G4648" i="1"/>
  <c r="E4648" i="1"/>
  <c r="B4648" i="1"/>
  <c r="A4648" i="1"/>
  <c r="H4647" i="1"/>
  <c r="G4647" i="1"/>
  <c r="E4647" i="1"/>
  <c r="B4647" i="1"/>
  <c r="A4647" i="1"/>
  <c r="H4646" i="1"/>
  <c r="G4646" i="1"/>
  <c r="E4646" i="1"/>
  <c r="B4646" i="1"/>
  <c r="A4646" i="1"/>
  <c r="H4645" i="1"/>
  <c r="G4645" i="1"/>
  <c r="E4645" i="1"/>
  <c r="B4645" i="1"/>
  <c r="A4645" i="1"/>
  <c r="H4644" i="1"/>
  <c r="G4644" i="1"/>
  <c r="E4644" i="1"/>
  <c r="B4644" i="1"/>
  <c r="A4644" i="1"/>
  <c r="H4643" i="1"/>
  <c r="G4643" i="1"/>
  <c r="E4643" i="1"/>
  <c r="B4643" i="1"/>
  <c r="A4643" i="1"/>
  <c r="H4642" i="1"/>
  <c r="G4642" i="1"/>
  <c r="E4642" i="1"/>
  <c r="B4642" i="1"/>
  <c r="A4642" i="1"/>
  <c r="H4641" i="1"/>
  <c r="G4641" i="1"/>
  <c r="E4641" i="1"/>
  <c r="B4641" i="1"/>
  <c r="A4641" i="1"/>
  <c r="H4640" i="1"/>
  <c r="G4640" i="1"/>
  <c r="E4640" i="1"/>
  <c r="B4640" i="1"/>
  <c r="A4640" i="1"/>
  <c r="H4639" i="1"/>
  <c r="G4639" i="1"/>
  <c r="E4639" i="1"/>
  <c r="B4639" i="1"/>
  <c r="A4639" i="1"/>
  <c r="H4638" i="1"/>
  <c r="G4638" i="1"/>
  <c r="E4638" i="1"/>
  <c r="B4638" i="1"/>
  <c r="A4638" i="1"/>
  <c r="H4637" i="1"/>
  <c r="G4637" i="1"/>
  <c r="E4637" i="1"/>
  <c r="B4637" i="1"/>
  <c r="A4637" i="1"/>
  <c r="H4636" i="1"/>
  <c r="G4636" i="1"/>
  <c r="E4636" i="1"/>
  <c r="B4636" i="1"/>
  <c r="A4636" i="1"/>
  <c r="H4635" i="1"/>
  <c r="G4635" i="1"/>
  <c r="E4635" i="1"/>
  <c r="B4635" i="1"/>
  <c r="A4635" i="1"/>
  <c r="H4634" i="1"/>
  <c r="G4634" i="1"/>
  <c r="E4634" i="1"/>
  <c r="B4634" i="1"/>
  <c r="A4634" i="1"/>
  <c r="H4633" i="1"/>
  <c r="G4633" i="1"/>
  <c r="E4633" i="1"/>
  <c r="B4633" i="1"/>
  <c r="A4633" i="1"/>
  <c r="H4632" i="1"/>
  <c r="G4632" i="1"/>
  <c r="E4632" i="1"/>
  <c r="B4632" i="1"/>
  <c r="A4632" i="1"/>
  <c r="H4631" i="1"/>
  <c r="G4631" i="1"/>
  <c r="E4631" i="1"/>
  <c r="B4631" i="1"/>
  <c r="A4631" i="1"/>
  <c r="H4630" i="1"/>
  <c r="G4630" i="1"/>
  <c r="E4630" i="1"/>
  <c r="B4630" i="1"/>
  <c r="A4630" i="1"/>
  <c r="H4629" i="1"/>
  <c r="G4629" i="1"/>
  <c r="E4629" i="1"/>
  <c r="B4629" i="1"/>
  <c r="A4629" i="1"/>
  <c r="H4628" i="1"/>
  <c r="G4628" i="1"/>
  <c r="E4628" i="1"/>
  <c r="B4628" i="1"/>
  <c r="A4628" i="1"/>
  <c r="H4627" i="1"/>
  <c r="G4627" i="1"/>
  <c r="E4627" i="1"/>
  <c r="B4627" i="1"/>
  <c r="A4627" i="1"/>
  <c r="H4626" i="1"/>
  <c r="G4626" i="1"/>
  <c r="E4626" i="1"/>
  <c r="B4626" i="1"/>
  <c r="A4626" i="1"/>
  <c r="H4625" i="1"/>
  <c r="G4625" i="1"/>
  <c r="E4625" i="1"/>
  <c r="B4625" i="1"/>
  <c r="A4625" i="1"/>
  <c r="H4624" i="1"/>
  <c r="G4624" i="1"/>
  <c r="E4624" i="1"/>
  <c r="B4624" i="1"/>
  <c r="A4624" i="1"/>
  <c r="H4623" i="1"/>
  <c r="G4623" i="1"/>
  <c r="E4623" i="1"/>
  <c r="B4623" i="1"/>
  <c r="A4623" i="1"/>
  <c r="H4622" i="1"/>
  <c r="G4622" i="1"/>
  <c r="E4622" i="1"/>
  <c r="B4622" i="1"/>
  <c r="A4622" i="1"/>
  <c r="H4621" i="1"/>
  <c r="G4621" i="1"/>
  <c r="E4621" i="1"/>
  <c r="B4621" i="1"/>
  <c r="A4621" i="1"/>
  <c r="H4620" i="1"/>
  <c r="G4620" i="1"/>
  <c r="E4620" i="1"/>
  <c r="B4620" i="1"/>
  <c r="A4620" i="1"/>
  <c r="H4619" i="1"/>
  <c r="G4619" i="1"/>
  <c r="E4619" i="1"/>
  <c r="B4619" i="1"/>
  <c r="A4619" i="1"/>
  <c r="H4618" i="1"/>
  <c r="G4618" i="1"/>
  <c r="E4618" i="1"/>
  <c r="B4618" i="1"/>
  <c r="A4618" i="1"/>
  <c r="H4617" i="1"/>
  <c r="G4617" i="1"/>
  <c r="E4617" i="1"/>
  <c r="B4617" i="1"/>
  <c r="A4617" i="1"/>
  <c r="H4616" i="1"/>
  <c r="G4616" i="1"/>
  <c r="E4616" i="1"/>
  <c r="B4616" i="1"/>
  <c r="A4616" i="1"/>
  <c r="H4615" i="1"/>
  <c r="G4615" i="1"/>
  <c r="E4615" i="1"/>
  <c r="B4615" i="1"/>
  <c r="A4615" i="1"/>
  <c r="H4614" i="1"/>
  <c r="G4614" i="1"/>
  <c r="E4614" i="1"/>
  <c r="B4614" i="1"/>
  <c r="A4614" i="1"/>
  <c r="H4613" i="1"/>
  <c r="G4613" i="1"/>
  <c r="E4613" i="1"/>
  <c r="B4613" i="1"/>
  <c r="A4613" i="1"/>
  <c r="H4612" i="1"/>
  <c r="G4612" i="1"/>
  <c r="E4612" i="1"/>
  <c r="B4612" i="1"/>
  <c r="A4612" i="1"/>
  <c r="H4611" i="1"/>
  <c r="G4611" i="1"/>
  <c r="E4611" i="1"/>
  <c r="B4611" i="1"/>
  <c r="A4611" i="1"/>
  <c r="H4610" i="1"/>
  <c r="G4610" i="1"/>
  <c r="E4610" i="1"/>
  <c r="B4610" i="1"/>
  <c r="A4610" i="1"/>
  <c r="H4609" i="1"/>
  <c r="G4609" i="1"/>
  <c r="E4609" i="1"/>
  <c r="B4609" i="1"/>
  <c r="A4609" i="1"/>
  <c r="H4608" i="1"/>
  <c r="G4608" i="1"/>
  <c r="E4608" i="1"/>
  <c r="B4608" i="1"/>
  <c r="A4608" i="1"/>
  <c r="H4607" i="1"/>
  <c r="G4607" i="1"/>
  <c r="E4607" i="1"/>
  <c r="B4607" i="1"/>
  <c r="A4607" i="1"/>
  <c r="H4606" i="1"/>
  <c r="G4606" i="1"/>
  <c r="E4606" i="1"/>
  <c r="B4606" i="1"/>
  <c r="A4606" i="1"/>
  <c r="H4605" i="1"/>
  <c r="G4605" i="1"/>
  <c r="E4605" i="1"/>
  <c r="B4605" i="1"/>
  <c r="A4605" i="1"/>
  <c r="H4604" i="1"/>
  <c r="G4604" i="1"/>
  <c r="E4604" i="1"/>
  <c r="B4604" i="1"/>
  <c r="A4604" i="1"/>
  <c r="H4603" i="1"/>
  <c r="G4603" i="1"/>
  <c r="E4603" i="1"/>
  <c r="B4603" i="1"/>
  <c r="A4603" i="1"/>
  <c r="H4602" i="1"/>
  <c r="G4602" i="1"/>
  <c r="E4602" i="1"/>
  <c r="B4602" i="1"/>
  <c r="A4602" i="1"/>
  <c r="H4601" i="1"/>
  <c r="G4601" i="1"/>
  <c r="E4601" i="1"/>
  <c r="B4601" i="1"/>
  <c r="A4601" i="1"/>
  <c r="H4600" i="1"/>
  <c r="G4600" i="1"/>
  <c r="E4600" i="1"/>
  <c r="B4600" i="1"/>
  <c r="A4600" i="1"/>
  <c r="H4599" i="1"/>
  <c r="G4599" i="1"/>
  <c r="E4599" i="1"/>
  <c r="B4599" i="1"/>
  <c r="A4599" i="1"/>
  <c r="H4598" i="1"/>
  <c r="G4598" i="1"/>
  <c r="E4598" i="1"/>
  <c r="B4598" i="1"/>
  <c r="A4598" i="1"/>
  <c r="H4597" i="1"/>
  <c r="G4597" i="1"/>
  <c r="E4597" i="1"/>
  <c r="B4597" i="1"/>
  <c r="A4597" i="1"/>
  <c r="H4596" i="1"/>
  <c r="G4596" i="1"/>
  <c r="E4596" i="1"/>
  <c r="B4596" i="1"/>
  <c r="A4596" i="1"/>
  <c r="H4595" i="1"/>
  <c r="G4595" i="1"/>
  <c r="E4595" i="1"/>
  <c r="B4595" i="1"/>
  <c r="A4595" i="1"/>
  <c r="H4594" i="1"/>
  <c r="G4594" i="1"/>
  <c r="E4594" i="1"/>
  <c r="B4594" i="1"/>
  <c r="A4594" i="1"/>
  <c r="H4593" i="1"/>
  <c r="G4593" i="1"/>
  <c r="E4593" i="1"/>
  <c r="B4593" i="1"/>
  <c r="A4593" i="1"/>
  <c r="H4592" i="1"/>
  <c r="G4592" i="1"/>
  <c r="E4592" i="1"/>
  <c r="B4592" i="1"/>
  <c r="A4592" i="1"/>
  <c r="H4591" i="1"/>
  <c r="G4591" i="1"/>
  <c r="E4591" i="1"/>
  <c r="B4591" i="1"/>
  <c r="A4591" i="1"/>
  <c r="H4590" i="1"/>
  <c r="G4590" i="1"/>
  <c r="E4590" i="1"/>
  <c r="B4590" i="1"/>
  <c r="A4590" i="1"/>
  <c r="H4589" i="1"/>
  <c r="G4589" i="1"/>
  <c r="E4589" i="1"/>
  <c r="B4589" i="1"/>
  <c r="A4589" i="1"/>
  <c r="H4588" i="1"/>
  <c r="G4588" i="1"/>
  <c r="E4588" i="1"/>
  <c r="B4588" i="1"/>
  <c r="A4588" i="1"/>
  <c r="H4587" i="1"/>
  <c r="G4587" i="1"/>
  <c r="E4587" i="1"/>
  <c r="B4587" i="1"/>
  <c r="A4587" i="1"/>
  <c r="H4586" i="1"/>
  <c r="G4586" i="1"/>
  <c r="E4586" i="1"/>
  <c r="B4586" i="1"/>
  <c r="A4586" i="1"/>
  <c r="H4585" i="1"/>
  <c r="G4585" i="1"/>
  <c r="E4585" i="1"/>
  <c r="B4585" i="1"/>
  <c r="A4585" i="1"/>
  <c r="H4584" i="1"/>
  <c r="G4584" i="1"/>
  <c r="E4584" i="1"/>
  <c r="B4584" i="1"/>
  <c r="A4584" i="1"/>
  <c r="H4583" i="1"/>
  <c r="G4583" i="1"/>
  <c r="E4583" i="1"/>
  <c r="B4583" i="1"/>
  <c r="A4583" i="1"/>
  <c r="H4582" i="1"/>
  <c r="G4582" i="1"/>
  <c r="E4582" i="1"/>
  <c r="B4582" i="1"/>
  <c r="A4582" i="1"/>
  <c r="H4581" i="1"/>
  <c r="G4581" i="1"/>
  <c r="E4581" i="1"/>
  <c r="B4581" i="1"/>
  <c r="A4581" i="1"/>
  <c r="H4580" i="1"/>
  <c r="G4580" i="1"/>
  <c r="E4580" i="1"/>
  <c r="B4580" i="1"/>
  <c r="A4580" i="1"/>
  <c r="H4579" i="1"/>
  <c r="G4579" i="1"/>
  <c r="E4579" i="1"/>
  <c r="B4579" i="1"/>
  <c r="A4579" i="1"/>
  <c r="H4578" i="1"/>
  <c r="G4578" i="1"/>
  <c r="E4578" i="1"/>
  <c r="B4578" i="1"/>
  <c r="A4578" i="1"/>
  <c r="H4577" i="1"/>
  <c r="G4577" i="1"/>
  <c r="E4577" i="1"/>
  <c r="B4577" i="1"/>
  <c r="A4577" i="1"/>
  <c r="H4576" i="1"/>
  <c r="G4576" i="1"/>
  <c r="E4576" i="1"/>
  <c r="B4576" i="1"/>
  <c r="A4576" i="1"/>
  <c r="H4575" i="1"/>
  <c r="G4575" i="1"/>
  <c r="E4575" i="1"/>
  <c r="B4575" i="1"/>
  <c r="A4575" i="1"/>
  <c r="H4574" i="1"/>
  <c r="G4574" i="1"/>
  <c r="E4574" i="1"/>
  <c r="B4574" i="1"/>
  <c r="A4574" i="1"/>
  <c r="H4573" i="1"/>
  <c r="G4573" i="1"/>
  <c r="E4573" i="1"/>
  <c r="B4573" i="1"/>
  <c r="A4573" i="1"/>
  <c r="H4572" i="1"/>
  <c r="G4572" i="1"/>
  <c r="E4572" i="1"/>
  <c r="B4572" i="1"/>
  <c r="A4572" i="1"/>
  <c r="H4571" i="1"/>
  <c r="G4571" i="1"/>
  <c r="E4571" i="1"/>
  <c r="B4571" i="1"/>
  <c r="A4571" i="1"/>
  <c r="H4570" i="1"/>
  <c r="G4570" i="1"/>
  <c r="E4570" i="1"/>
  <c r="B4570" i="1"/>
  <c r="A4570" i="1"/>
  <c r="H4569" i="1"/>
  <c r="G4569" i="1"/>
  <c r="E4569" i="1"/>
  <c r="B4569" i="1"/>
  <c r="A4569" i="1"/>
  <c r="H4568" i="1"/>
  <c r="G4568" i="1"/>
  <c r="E4568" i="1"/>
  <c r="B4568" i="1"/>
  <c r="A4568" i="1"/>
  <c r="H4567" i="1"/>
  <c r="G4567" i="1"/>
  <c r="E4567" i="1"/>
  <c r="B4567" i="1"/>
  <c r="A4567" i="1"/>
  <c r="H4566" i="1"/>
  <c r="G4566" i="1"/>
  <c r="E4566" i="1"/>
  <c r="B4566" i="1"/>
  <c r="A4566" i="1"/>
  <c r="H4565" i="1"/>
  <c r="G4565" i="1"/>
  <c r="E4565" i="1"/>
  <c r="B4565" i="1"/>
  <c r="A4565" i="1"/>
  <c r="H4564" i="1"/>
  <c r="G4564" i="1"/>
  <c r="E4564" i="1"/>
  <c r="B4564" i="1"/>
  <c r="A4564" i="1"/>
  <c r="H4563" i="1"/>
  <c r="G4563" i="1"/>
  <c r="E4563" i="1"/>
  <c r="B4563" i="1"/>
  <c r="A4563" i="1"/>
  <c r="H4562" i="1"/>
  <c r="G4562" i="1"/>
  <c r="E4562" i="1"/>
  <c r="B4562" i="1"/>
  <c r="A4562" i="1"/>
  <c r="H4561" i="1"/>
  <c r="G4561" i="1"/>
  <c r="E4561" i="1"/>
  <c r="B4561" i="1"/>
  <c r="A4561" i="1"/>
  <c r="H4560" i="1"/>
  <c r="G4560" i="1"/>
  <c r="E4560" i="1"/>
  <c r="B4560" i="1"/>
  <c r="A4560" i="1"/>
  <c r="H4559" i="1"/>
  <c r="G4559" i="1"/>
  <c r="E4559" i="1"/>
  <c r="B4559" i="1"/>
  <c r="A4559" i="1"/>
  <c r="H4558" i="1"/>
  <c r="G4558" i="1"/>
  <c r="E4558" i="1"/>
  <c r="B4558" i="1"/>
  <c r="A4558" i="1"/>
  <c r="H4557" i="1"/>
  <c r="G4557" i="1"/>
  <c r="E4557" i="1"/>
  <c r="B4557" i="1"/>
  <c r="A4557" i="1"/>
  <c r="H4556" i="1"/>
  <c r="G4556" i="1"/>
  <c r="E4556" i="1"/>
  <c r="B4556" i="1"/>
  <c r="A4556" i="1"/>
  <c r="H4555" i="1"/>
  <c r="G4555" i="1"/>
  <c r="E4555" i="1"/>
  <c r="B4555" i="1"/>
  <c r="A4555" i="1"/>
  <c r="H4554" i="1"/>
  <c r="G4554" i="1"/>
  <c r="E4554" i="1"/>
  <c r="B4554" i="1"/>
  <c r="A4554" i="1"/>
  <c r="H4553" i="1"/>
  <c r="G4553" i="1"/>
  <c r="E4553" i="1"/>
  <c r="B4553" i="1"/>
  <c r="A4553" i="1"/>
  <c r="H4552" i="1"/>
  <c r="G4552" i="1"/>
  <c r="E4552" i="1"/>
  <c r="B4552" i="1"/>
  <c r="A4552" i="1"/>
  <c r="H4551" i="1"/>
  <c r="G4551" i="1"/>
  <c r="E4551" i="1"/>
  <c r="B4551" i="1"/>
  <c r="A4551" i="1"/>
  <c r="H4550" i="1"/>
  <c r="G4550" i="1"/>
  <c r="E4550" i="1"/>
  <c r="B4550" i="1"/>
  <c r="A4550" i="1"/>
  <c r="H4549" i="1"/>
  <c r="G4549" i="1"/>
  <c r="E4549" i="1"/>
  <c r="B4549" i="1"/>
  <c r="A4549" i="1"/>
  <c r="H4548" i="1"/>
  <c r="G4548" i="1"/>
  <c r="E4548" i="1"/>
  <c r="B4548" i="1"/>
  <c r="A4548" i="1"/>
  <c r="H4547" i="1"/>
  <c r="G4547" i="1"/>
  <c r="E4547" i="1"/>
  <c r="B4547" i="1"/>
  <c r="A4547" i="1"/>
  <c r="H4546" i="1"/>
  <c r="G4546" i="1"/>
  <c r="E4546" i="1"/>
  <c r="B4546" i="1"/>
  <c r="A4546" i="1"/>
  <c r="H4545" i="1"/>
  <c r="G4545" i="1"/>
  <c r="E4545" i="1"/>
  <c r="B4545" i="1"/>
  <c r="A4545" i="1"/>
  <c r="H4544" i="1"/>
  <c r="G4544" i="1"/>
  <c r="E4544" i="1"/>
  <c r="B4544" i="1"/>
  <c r="A4544" i="1"/>
  <c r="H4543" i="1"/>
  <c r="G4543" i="1"/>
  <c r="E4543" i="1"/>
  <c r="B4543" i="1"/>
  <c r="A4543" i="1"/>
  <c r="H4542" i="1"/>
  <c r="G4542" i="1"/>
  <c r="E4542" i="1"/>
  <c r="B4542" i="1"/>
  <c r="A4542" i="1"/>
  <c r="H4541" i="1"/>
  <c r="G4541" i="1"/>
  <c r="E4541" i="1"/>
  <c r="B4541" i="1"/>
  <c r="A4541" i="1"/>
  <c r="H4540" i="1"/>
  <c r="G4540" i="1"/>
  <c r="E4540" i="1"/>
  <c r="B4540" i="1"/>
  <c r="A4540" i="1"/>
  <c r="H4539" i="1"/>
  <c r="G4539" i="1"/>
  <c r="E4539" i="1"/>
  <c r="B4539" i="1"/>
  <c r="A4539" i="1"/>
  <c r="H4538" i="1"/>
  <c r="G4538" i="1"/>
  <c r="E4538" i="1"/>
  <c r="B4538" i="1"/>
  <c r="A4538" i="1"/>
  <c r="H4537" i="1"/>
  <c r="G4537" i="1"/>
  <c r="E4537" i="1"/>
  <c r="B4537" i="1"/>
  <c r="A4537" i="1"/>
  <c r="H4536" i="1"/>
  <c r="G4536" i="1"/>
  <c r="E4536" i="1"/>
  <c r="B4536" i="1"/>
  <c r="A4536" i="1"/>
  <c r="H4535" i="1"/>
  <c r="G4535" i="1"/>
  <c r="E4535" i="1"/>
  <c r="B4535" i="1"/>
  <c r="A4535" i="1"/>
  <c r="H4534" i="1"/>
  <c r="G4534" i="1"/>
  <c r="E4534" i="1"/>
  <c r="B4534" i="1"/>
  <c r="A4534" i="1"/>
  <c r="H4533" i="1"/>
  <c r="G4533" i="1"/>
  <c r="E4533" i="1"/>
  <c r="B4533" i="1"/>
  <c r="A4533" i="1"/>
  <c r="H4532" i="1"/>
  <c r="G4532" i="1"/>
  <c r="E4532" i="1"/>
  <c r="B4532" i="1"/>
  <c r="A4532" i="1"/>
  <c r="H4531" i="1"/>
  <c r="G4531" i="1"/>
  <c r="E4531" i="1"/>
  <c r="B4531" i="1"/>
  <c r="A4531" i="1"/>
  <c r="H4530" i="1"/>
  <c r="G4530" i="1"/>
  <c r="E4530" i="1"/>
  <c r="B4530" i="1"/>
  <c r="A4530" i="1"/>
  <c r="H4529" i="1"/>
  <c r="G4529" i="1"/>
  <c r="E4529" i="1"/>
  <c r="B4529" i="1"/>
  <c r="A4529" i="1"/>
  <c r="H4528" i="1"/>
  <c r="G4528" i="1"/>
  <c r="E4528" i="1"/>
  <c r="B4528" i="1"/>
  <c r="A4528" i="1"/>
  <c r="H4527" i="1"/>
  <c r="G4527" i="1"/>
  <c r="E4527" i="1"/>
  <c r="B4527" i="1"/>
  <c r="A4527" i="1"/>
  <c r="H4526" i="1"/>
  <c r="G4526" i="1"/>
  <c r="E4526" i="1"/>
  <c r="B4526" i="1"/>
  <c r="A4526" i="1"/>
  <c r="H4525" i="1"/>
  <c r="G4525" i="1"/>
  <c r="E4525" i="1"/>
  <c r="B4525" i="1"/>
  <c r="A4525" i="1"/>
  <c r="H4524" i="1"/>
  <c r="G4524" i="1"/>
  <c r="E4524" i="1"/>
  <c r="B4524" i="1"/>
  <c r="A4524" i="1"/>
  <c r="H4523" i="1"/>
  <c r="G4523" i="1"/>
  <c r="E4523" i="1"/>
  <c r="B4523" i="1"/>
  <c r="A4523" i="1"/>
  <c r="H4522" i="1"/>
  <c r="G4522" i="1"/>
  <c r="E4522" i="1"/>
  <c r="B4522" i="1"/>
  <c r="A4522" i="1"/>
  <c r="H4521" i="1"/>
  <c r="G4521" i="1"/>
  <c r="E4521" i="1"/>
  <c r="B4521" i="1"/>
  <c r="A4521" i="1"/>
  <c r="H4520" i="1"/>
  <c r="G4520" i="1"/>
  <c r="E4520" i="1"/>
  <c r="B4520" i="1"/>
  <c r="A4520" i="1"/>
  <c r="H4519" i="1"/>
  <c r="G4519" i="1"/>
  <c r="E4519" i="1"/>
  <c r="B4519" i="1"/>
  <c r="A4519" i="1"/>
  <c r="H4518" i="1"/>
  <c r="G4518" i="1"/>
  <c r="E4518" i="1"/>
  <c r="B4518" i="1"/>
  <c r="A4518" i="1"/>
  <c r="H4517" i="1"/>
  <c r="G4517" i="1"/>
  <c r="E4517" i="1"/>
  <c r="B4517" i="1"/>
  <c r="A4517" i="1"/>
  <c r="H4516" i="1"/>
  <c r="G4516" i="1"/>
  <c r="E4516" i="1"/>
  <c r="B4516" i="1"/>
  <c r="A4516" i="1"/>
  <c r="H4515" i="1"/>
  <c r="G4515" i="1"/>
  <c r="E4515" i="1"/>
  <c r="B4515" i="1"/>
  <c r="A4515" i="1"/>
  <c r="H4514" i="1"/>
  <c r="G4514" i="1"/>
  <c r="E4514" i="1"/>
  <c r="B4514" i="1"/>
  <c r="A4514" i="1"/>
  <c r="H4513" i="1"/>
  <c r="G4513" i="1"/>
  <c r="E4513" i="1"/>
  <c r="B4513" i="1"/>
  <c r="A4513" i="1"/>
  <c r="H4512" i="1"/>
  <c r="G4512" i="1"/>
  <c r="E4512" i="1"/>
  <c r="B4512" i="1"/>
  <c r="A4512" i="1"/>
  <c r="H4511" i="1"/>
  <c r="G4511" i="1"/>
  <c r="E4511" i="1"/>
  <c r="B4511" i="1"/>
  <c r="A4511" i="1"/>
  <c r="H4510" i="1"/>
  <c r="G4510" i="1"/>
  <c r="E4510" i="1"/>
  <c r="B4510" i="1"/>
  <c r="A4510" i="1"/>
  <c r="H4509" i="1"/>
  <c r="G4509" i="1"/>
  <c r="E4509" i="1"/>
  <c r="B4509" i="1"/>
  <c r="A4509" i="1"/>
  <c r="H4508" i="1"/>
  <c r="G4508" i="1"/>
  <c r="E4508" i="1"/>
  <c r="B4508" i="1"/>
  <c r="A4508" i="1"/>
  <c r="H4507" i="1"/>
  <c r="G4507" i="1"/>
  <c r="E4507" i="1"/>
  <c r="B4507" i="1"/>
  <c r="A4507" i="1"/>
  <c r="H4506" i="1"/>
  <c r="G4506" i="1"/>
  <c r="E4506" i="1"/>
  <c r="B4506" i="1"/>
  <c r="A4506" i="1"/>
  <c r="H4505" i="1"/>
  <c r="G4505" i="1"/>
  <c r="E4505" i="1"/>
  <c r="B4505" i="1"/>
  <c r="A4505" i="1"/>
  <c r="H4504" i="1"/>
  <c r="G4504" i="1"/>
  <c r="E4504" i="1"/>
  <c r="B4504" i="1"/>
  <c r="A4504" i="1"/>
  <c r="H4503" i="1"/>
  <c r="G4503" i="1"/>
  <c r="E4503" i="1"/>
  <c r="B4503" i="1"/>
  <c r="A4503" i="1"/>
  <c r="H4502" i="1"/>
  <c r="G4502" i="1"/>
  <c r="E4502" i="1"/>
  <c r="B4502" i="1"/>
  <c r="A4502" i="1"/>
  <c r="H4501" i="1"/>
  <c r="G4501" i="1"/>
  <c r="E4501" i="1"/>
  <c r="B4501" i="1"/>
  <c r="A4501" i="1"/>
  <c r="H4500" i="1"/>
  <c r="G4500" i="1"/>
  <c r="E4500" i="1"/>
  <c r="B4500" i="1"/>
  <c r="A4500" i="1"/>
  <c r="H4499" i="1"/>
  <c r="G4499" i="1"/>
  <c r="E4499" i="1"/>
  <c r="B4499" i="1"/>
  <c r="A4499" i="1"/>
  <c r="H4498" i="1"/>
  <c r="G4498" i="1"/>
  <c r="E4498" i="1"/>
  <c r="B4498" i="1"/>
  <c r="A4498" i="1"/>
  <c r="H4497" i="1"/>
  <c r="G4497" i="1"/>
  <c r="E4497" i="1"/>
  <c r="B4497" i="1"/>
  <c r="A4497" i="1"/>
  <c r="H4496" i="1"/>
  <c r="G4496" i="1"/>
  <c r="E4496" i="1"/>
  <c r="B4496" i="1"/>
  <c r="A4496" i="1"/>
  <c r="H4495" i="1"/>
  <c r="G4495" i="1"/>
  <c r="E4495" i="1"/>
  <c r="B4495" i="1"/>
  <c r="A4495" i="1"/>
  <c r="H4494" i="1"/>
  <c r="G4494" i="1"/>
  <c r="E4494" i="1"/>
  <c r="B4494" i="1"/>
  <c r="A4494" i="1"/>
  <c r="H4493" i="1"/>
  <c r="G4493" i="1"/>
  <c r="E4493" i="1"/>
  <c r="B4493" i="1"/>
  <c r="A4493" i="1"/>
  <c r="H4492" i="1"/>
  <c r="G4492" i="1"/>
  <c r="E4492" i="1"/>
  <c r="B4492" i="1"/>
  <c r="A4492" i="1"/>
  <c r="H4491" i="1"/>
  <c r="G4491" i="1"/>
  <c r="E4491" i="1"/>
  <c r="B4491" i="1"/>
  <c r="A4491" i="1"/>
  <c r="H4490" i="1"/>
  <c r="G4490" i="1"/>
  <c r="E4490" i="1"/>
  <c r="B4490" i="1"/>
  <c r="A4490" i="1"/>
  <c r="H4489" i="1"/>
  <c r="G4489" i="1"/>
  <c r="E4489" i="1"/>
  <c r="B4489" i="1"/>
  <c r="A4489" i="1"/>
  <c r="H4488" i="1"/>
  <c r="G4488" i="1"/>
  <c r="E4488" i="1"/>
  <c r="B4488" i="1"/>
  <c r="A4488" i="1"/>
  <c r="H4487" i="1"/>
  <c r="G4487" i="1"/>
  <c r="E4487" i="1"/>
  <c r="B4487" i="1"/>
  <c r="A4487" i="1"/>
  <c r="H4486" i="1"/>
  <c r="G4486" i="1"/>
  <c r="E4486" i="1"/>
  <c r="B4486" i="1"/>
  <c r="A4486" i="1"/>
  <c r="H4485" i="1"/>
  <c r="G4485" i="1"/>
  <c r="E4485" i="1"/>
  <c r="B4485" i="1"/>
  <c r="A4485" i="1"/>
  <c r="H4484" i="1"/>
  <c r="G4484" i="1"/>
  <c r="E4484" i="1"/>
  <c r="B4484" i="1"/>
  <c r="A4484" i="1"/>
  <c r="H4483" i="1"/>
  <c r="G4483" i="1"/>
  <c r="E4483" i="1"/>
  <c r="B4483" i="1"/>
  <c r="A4483" i="1"/>
  <c r="H4482" i="1"/>
  <c r="G4482" i="1"/>
  <c r="E4482" i="1"/>
  <c r="B4482" i="1"/>
  <c r="A4482" i="1"/>
  <c r="H4481" i="1"/>
  <c r="G4481" i="1"/>
  <c r="E4481" i="1"/>
  <c r="B4481" i="1"/>
  <c r="A4481" i="1"/>
  <c r="H4480" i="1"/>
  <c r="G4480" i="1"/>
  <c r="E4480" i="1"/>
  <c r="B4480" i="1"/>
  <c r="A4480" i="1"/>
  <c r="H4479" i="1"/>
  <c r="G4479" i="1"/>
  <c r="E4479" i="1"/>
  <c r="B4479" i="1"/>
  <c r="A4479" i="1"/>
  <c r="H4478" i="1"/>
  <c r="G4478" i="1"/>
  <c r="E4478" i="1"/>
  <c r="B4478" i="1"/>
  <c r="A4478" i="1"/>
  <c r="H4477" i="1"/>
  <c r="G4477" i="1"/>
  <c r="E4477" i="1"/>
  <c r="B4477" i="1"/>
  <c r="A4477" i="1"/>
  <c r="H4476" i="1"/>
  <c r="G4476" i="1"/>
  <c r="E4476" i="1"/>
  <c r="B4476" i="1"/>
  <c r="A4476" i="1"/>
  <c r="H4475" i="1"/>
  <c r="G4475" i="1"/>
  <c r="E4475" i="1"/>
  <c r="B4475" i="1"/>
  <c r="A4475" i="1"/>
  <c r="H4474" i="1"/>
  <c r="G4474" i="1"/>
  <c r="E4474" i="1"/>
  <c r="B4474" i="1"/>
  <c r="A4474" i="1"/>
  <c r="H4473" i="1"/>
  <c r="G4473" i="1"/>
  <c r="E4473" i="1"/>
  <c r="B4473" i="1"/>
  <c r="A4473" i="1"/>
  <c r="H4472" i="1"/>
  <c r="G4472" i="1"/>
  <c r="E4472" i="1"/>
  <c r="B4472" i="1"/>
  <c r="A4472" i="1"/>
  <c r="H4471" i="1"/>
  <c r="G4471" i="1"/>
  <c r="E4471" i="1"/>
  <c r="B4471" i="1"/>
  <c r="A4471" i="1"/>
  <c r="H4470" i="1"/>
  <c r="G4470" i="1"/>
  <c r="E4470" i="1"/>
  <c r="B4470" i="1"/>
  <c r="A4470" i="1"/>
  <c r="H4469" i="1"/>
  <c r="G4469" i="1"/>
  <c r="E4469" i="1"/>
  <c r="B4469" i="1"/>
  <c r="A4469" i="1"/>
  <c r="H4468" i="1"/>
  <c r="G4468" i="1"/>
  <c r="E4468" i="1"/>
  <c r="B4468" i="1"/>
  <c r="A4468" i="1"/>
  <c r="H4467" i="1"/>
  <c r="G4467" i="1"/>
  <c r="E4467" i="1"/>
  <c r="B4467" i="1"/>
  <c r="A4467" i="1"/>
  <c r="H4466" i="1"/>
  <c r="G4466" i="1"/>
  <c r="E4466" i="1"/>
  <c r="B4466" i="1"/>
  <c r="A4466" i="1"/>
  <c r="H4465" i="1"/>
  <c r="G4465" i="1"/>
  <c r="E4465" i="1"/>
  <c r="B4465" i="1"/>
  <c r="A4465" i="1"/>
  <c r="H4464" i="1"/>
  <c r="G4464" i="1"/>
  <c r="E4464" i="1"/>
  <c r="B4464" i="1"/>
  <c r="A4464" i="1"/>
  <c r="H4463" i="1"/>
  <c r="G4463" i="1"/>
  <c r="E4463" i="1"/>
  <c r="B4463" i="1"/>
  <c r="A4463" i="1"/>
  <c r="H4462" i="1"/>
  <c r="G4462" i="1"/>
  <c r="E4462" i="1"/>
  <c r="B4462" i="1"/>
  <c r="A4462" i="1"/>
  <c r="H4461" i="1"/>
  <c r="G4461" i="1"/>
  <c r="E4461" i="1"/>
  <c r="B4461" i="1"/>
  <c r="A4461" i="1"/>
  <c r="H4460" i="1"/>
  <c r="G4460" i="1"/>
  <c r="E4460" i="1"/>
  <c r="B4460" i="1"/>
  <c r="A4460" i="1"/>
  <c r="H4459" i="1"/>
  <c r="G4459" i="1"/>
  <c r="E4459" i="1"/>
  <c r="B4459" i="1"/>
  <c r="A4459" i="1"/>
  <c r="H4458" i="1"/>
  <c r="G4458" i="1"/>
  <c r="E4458" i="1"/>
  <c r="B4458" i="1"/>
  <c r="A4458" i="1"/>
  <c r="H4457" i="1"/>
  <c r="G4457" i="1"/>
  <c r="E4457" i="1"/>
  <c r="B4457" i="1"/>
  <c r="A4457" i="1"/>
  <c r="H4456" i="1"/>
  <c r="G4456" i="1"/>
  <c r="E4456" i="1"/>
  <c r="B4456" i="1"/>
  <c r="A4456" i="1"/>
  <c r="H4455" i="1"/>
  <c r="G4455" i="1"/>
  <c r="E4455" i="1"/>
  <c r="B4455" i="1"/>
  <c r="A4455" i="1"/>
  <c r="H4454" i="1"/>
  <c r="G4454" i="1"/>
  <c r="E4454" i="1"/>
  <c r="B4454" i="1"/>
  <c r="A4454" i="1"/>
  <c r="H4453" i="1"/>
  <c r="G4453" i="1"/>
  <c r="E4453" i="1"/>
  <c r="B4453" i="1"/>
  <c r="A4453" i="1"/>
  <c r="H4452" i="1"/>
  <c r="G4452" i="1"/>
  <c r="E4452" i="1"/>
  <c r="B4452" i="1"/>
  <c r="A4452" i="1"/>
  <c r="H4451" i="1"/>
  <c r="G4451" i="1"/>
  <c r="E4451" i="1"/>
  <c r="B4451" i="1"/>
  <c r="A4451" i="1"/>
  <c r="H4450" i="1"/>
  <c r="G4450" i="1"/>
  <c r="E4450" i="1"/>
  <c r="B4450" i="1"/>
  <c r="A4450" i="1"/>
  <c r="H4449" i="1"/>
  <c r="G4449" i="1"/>
  <c r="E4449" i="1"/>
  <c r="B4449" i="1"/>
  <c r="A4449" i="1"/>
  <c r="H4448" i="1"/>
  <c r="G4448" i="1"/>
  <c r="E4448" i="1"/>
  <c r="B4448" i="1"/>
  <c r="A4448" i="1"/>
  <c r="H4447" i="1"/>
  <c r="G4447" i="1"/>
  <c r="E4447" i="1"/>
  <c r="B4447" i="1"/>
  <c r="A4447" i="1"/>
  <c r="H4446" i="1"/>
  <c r="G4446" i="1"/>
  <c r="E4446" i="1"/>
  <c r="B4446" i="1"/>
  <c r="A4446" i="1"/>
  <c r="H4445" i="1"/>
  <c r="G4445" i="1"/>
  <c r="E4445" i="1"/>
  <c r="B4445" i="1"/>
  <c r="A4445" i="1"/>
  <c r="H4444" i="1"/>
  <c r="G4444" i="1"/>
  <c r="E4444" i="1"/>
  <c r="B4444" i="1"/>
  <c r="A4444" i="1"/>
  <c r="H4443" i="1"/>
  <c r="G4443" i="1"/>
  <c r="E4443" i="1"/>
  <c r="B4443" i="1"/>
  <c r="A4443" i="1"/>
  <c r="H4442" i="1"/>
  <c r="G4442" i="1"/>
  <c r="E4442" i="1"/>
  <c r="B4442" i="1"/>
  <c r="A4442" i="1"/>
  <c r="H4441" i="1"/>
  <c r="G4441" i="1"/>
  <c r="E4441" i="1"/>
  <c r="B4441" i="1"/>
  <c r="A4441" i="1"/>
  <c r="H4440" i="1"/>
  <c r="G4440" i="1"/>
  <c r="E4440" i="1"/>
  <c r="B4440" i="1"/>
  <c r="A4440" i="1"/>
  <c r="H4439" i="1"/>
  <c r="G4439" i="1"/>
  <c r="E4439" i="1"/>
  <c r="B4439" i="1"/>
  <c r="A4439" i="1"/>
  <c r="H4438" i="1"/>
  <c r="G4438" i="1"/>
  <c r="E4438" i="1"/>
  <c r="B4438" i="1"/>
  <c r="A4438" i="1"/>
  <c r="H4437" i="1"/>
  <c r="G4437" i="1"/>
  <c r="E4437" i="1"/>
  <c r="B4437" i="1"/>
  <c r="A4437" i="1"/>
  <c r="H4436" i="1"/>
  <c r="G4436" i="1"/>
  <c r="E4436" i="1"/>
  <c r="B4436" i="1"/>
  <c r="A4436" i="1"/>
  <c r="H4435" i="1"/>
  <c r="G4435" i="1"/>
  <c r="E4435" i="1"/>
  <c r="B4435" i="1"/>
  <c r="A4435" i="1"/>
  <c r="H4434" i="1"/>
  <c r="G4434" i="1"/>
  <c r="E4434" i="1"/>
  <c r="B4434" i="1"/>
  <c r="A4434" i="1"/>
  <c r="H4433" i="1"/>
  <c r="G4433" i="1"/>
  <c r="E4433" i="1"/>
  <c r="B4433" i="1"/>
  <c r="A4433" i="1"/>
  <c r="H4432" i="1"/>
  <c r="G4432" i="1"/>
  <c r="E4432" i="1"/>
  <c r="B4432" i="1"/>
  <c r="A4432" i="1"/>
  <c r="H4431" i="1"/>
  <c r="G4431" i="1"/>
  <c r="E4431" i="1"/>
  <c r="B4431" i="1"/>
  <c r="A4431" i="1"/>
  <c r="H4430" i="1"/>
  <c r="G4430" i="1"/>
  <c r="E4430" i="1"/>
  <c r="B4430" i="1"/>
  <c r="A4430" i="1"/>
  <c r="H4429" i="1"/>
  <c r="G4429" i="1"/>
  <c r="E4429" i="1"/>
  <c r="B4429" i="1"/>
  <c r="A4429" i="1"/>
  <c r="H4428" i="1"/>
  <c r="G4428" i="1"/>
  <c r="E4428" i="1"/>
  <c r="B4428" i="1"/>
  <c r="A4428" i="1"/>
  <c r="H4427" i="1"/>
  <c r="G4427" i="1"/>
  <c r="E4427" i="1"/>
  <c r="B4427" i="1"/>
  <c r="A4427" i="1"/>
  <c r="H4426" i="1"/>
  <c r="G4426" i="1"/>
  <c r="E4426" i="1"/>
  <c r="B4426" i="1"/>
  <c r="A4426" i="1"/>
  <c r="H4425" i="1"/>
  <c r="G4425" i="1"/>
  <c r="E4425" i="1"/>
  <c r="B4425" i="1"/>
  <c r="A4425" i="1"/>
  <c r="H4424" i="1"/>
  <c r="G4424" i="1"/>
  <c r="E4424" i="1"/>
  <c r="B4424" i="1"/>
  <c r="A4424" i="1"/>
  <c r="H4423" i="1"/>
  <c r="G4423" i="1"/>
  <c r="E4423" i="1"/>
  <c r="B4423" i="1"/>
  <c r="A4423" i="1"/>
  <c r="H4422" i="1"/>
  <c r="G4422" i="1"/>
  <c r="E4422" i="1"/>
  <c r="B4422" i="1"/>
  <c r="A4422" i="1"/>
  <c r="H4421" i="1"/>
  <c r="G4421" i="1"/>
  <c r="E4421" i="1"/>
  <c r="B4421" i="1"/>
  <c r="A4421" i="1"/>
  <c r="H4420" i="1"/>
  <c r="G4420" i="1"/>
  <c r="E4420" i="1"/>
  <c r="B4420" i="1"/>
  <c r="A4420" i="1"/>
  <c r="H4419" i="1"/>
  <c r="G4419" i="1"/>
  <c r="E4419" i="1"/>
  <c r="B4419" i="1"/>
  <c r="A4419" i="1"/>
  <c r="H4418" i="1"/>
  <c r="G4418" i="1"/>
  <c r="E4418" i="1"/>
  <c r="B4418" i="1"/>
  <c r="A4418" i="1"/>
  <c r="H4417" i="1"/>
  <c r="G4417" i="1"/>
  <c r="E4417" i="1"/>
  <c r="B4417" i="1"/>
  <c r="A4417" i="1"/>
  <c r="H4416" i="1"/>
  <c r="G4416" i="1"/>
  <c r="E4416" i="1"/>
  <c r="B4416" i="1"/>
  <c r="A4416" i="1"/>
  <c r="H4415" i="1"/>
  <c r="G4415" i="1"/>
  <c r="E4415" i="1"/>
  <c r="B4415" i="1"/>
  <c r="A4415" i="1"/>
  <c r="H4414" i="1"/>
  <c r="G4414" i="1"/>
  <c r="E4414" i="1"/>
  <c r="B4414" i="1"/>
  <c r="A4414" i="1"/>
  <c r="H4413" i="1"/>
  <c r="G4413" i="1"/>
  <c r="E4413" i="1"/>
  <c r="B4413" i="1"/>
  <c r="A4413" i="1"/>
  <c r="H4412" i="1"/>
  <c r="G4412" i="1"/>
  <c r="E4412" i="1"/>
  <c r="B4412" i="1"/>
  <c r="A4412" i="1"/>
  <c r="H4411" i="1"/>
  <c r="G4411" i="1"/>
  <c r="E4411" i="1"/>
  <c r="B4411" i="1"/>
  <c r="A4411" i="1"/>
  <c r="H4410" i="1"/>
  <c r="G4410" i="1"/>
  <c r="E4410" i="1"/>
  <c r="B4410" i="1"/>
  <c r="A4410" i="1"/>
  <c r="H4409" i="1"/>
  <c r="G4409" i="1"/>
  <c r="E4409" i="1"/>
  <c r="B4409" i="1"/>
  <c r="A4409" i="1"/>
  <c r="H4408" i="1"/>
  <c r="G4408" i="1"/>
  <c r="E4408" i="1"/>
  <c r="B4408" i="1"/>
  <c r="A4408" i="1"/>
  <c r="H4407" i="1"/>
  <c r="G4407" i="1"/>
  <c r="E4407" i="1"/>
  <c r="B4407" i="1"/>
  <c r="A4407" i="1"/>
  <c r="H4406" i="1"/>
  <c r="G4406" i="1"/>
  <c r="E4406" i="1"/>
  <c r="B4406" i="1"/>
  <c r="A4406" i="1"/>
  <c r="H4405" i="1"/>
  <c r="G4405" i="1"/>
  <c r="E4405" i="1"/>
  <c r="B4405" i="1"/>
  <c r="A4405" i="1"/>
  <c r="H4404" i="1"/>
  <c r="G4404" i="1"/>
  <c r="E4404" i="1"/>
  <c r="B4404" i="1"/>
  <c r="A4404" i="1"/>
  <c r="H4403" i="1"/>
  <c r="G4403" i="1"/>
  <c r="E4403" i="1"/>
  <c r="B4403" i="1"/>
  <c r="A4403" i="1"/>
  <c r="H4402" i="1"/>
  <c r="G4402" i="1"/>
  <c r="E4402" i="1"/>
  <c r="B4402" i="1"/>
  <c r="A4402" i="1"/>
  <c r="H4401" i="1"/>
  <c r="G4401" i="1"/>
  <c r="E4401" i="1"/>
  <c r="B4401" i="1"/>
  <c r="A4401" i="1"/>
  <c r="H4400" i="1"/>
  <c r="G4400" i="1"/>
  <c r="E4400" i="1"/>
  <c r="B4400" i="1"/>
  <c r="A4400" i="1"/>
  <c r="H4399" i="1"/>
  <c r="G4399" i="1"/>
  <c r="E4399" i="1"/>
  <c r="B4399" i="1"/>
  <c r="A4399" i="1"/>
  <c r="H4398" i="1"/>
  <c r="G4398" i="1"/>
  <c r="E4398" i="1"/>
  <c r="B4398" i="1"/>
  <c r="A4398" i="1"/>
  <c r="H4397" i="1"/>
  <c r="G4397" i="1"/>
  <c r="E4397" i="1"/>
  <c r="B4397" i="1"/>
  <c r="A4397" i="1"/>
  <c r="H4396" i="1"/>
  <c r="G4396" i="1"/>
  <c r="E4396" i="1"/>
  <c r="B4396" i="1"/>
  <c r="A4396" i="1"/>
  <c r="H4395" i="1"/>
  <c r="G4395" i="1"/>
  <c r="E4395" i="1"/>
  <c r="B4395" i="1"/>
  <c r="A4395" i="1"/>
  <c r="H4394" i="1"/>
  <c r="G4394" i="1"/>
  <c r="E4394" i="1"/>
  <c r="B4394" i="1"/>
  <c r="A4394" i="1"/>
  <c r="H4393" i="1"/>
  <c r="G4393" i="1"/>
  <c r="E4393" i="1"/>
  <c r="B4393" i="1"/>
  <c r="A4393" i="1"/>
  <c r="H4392" i="1"/>
  <c r="G4392" i="1"/>
  <c r="E4392" i="1"/>
  <c r="B4392" i="1"/>
  <c r="A4392" i="1"/>
  <c r="H4391" i="1"/>
  <c r="G4391" i="1"/>
  <c r="E4391" i="1"/>
  <c r="B4391" i="1"/>
  <c r="A4391" i="1"/>
  <c r="H4390" i="1"/>
  <c r="G4390" i="1"/>
  <c r="E4390" i="1"/>
  <c r="B4390" i="1"/>
  <c r="A4390" i="1"/>
  <c r="H4389" i="1"/>
  <c r="G4389" i="1"/>
  <c r="E4389" i="1"/>
  <c r="B4389" i="1"/>
  <c r="A4389" i="1"/>
  <c r="H4388" i="1"/>
  <c r="G4388" i="1"/>
  <c r="E4388" i="1"/>
  <c r="B4388" i="1"/>
  <c r="A4388" i="1"/>
  <c r="H4387" i="1"/>
  <c r="G4387" i="1"/>
  <c r="E4387" i="1"/>
  <c r="B4387" i="1"/>
  <c r="A4387" i="1"/>
  <c r="H4386" i="1"/>
  <c r="G4386" i="1"/>
  <c r="E4386" i="1"/>
  <c r="B4386" i="1"/>
  <c r="A4386" i="1"/>
  <c r="H4385" i="1"/>
  <c r="G4385" i="1"/>
  <c r="E4385" i="1"/>
  <c r="B4385" i="1"/>
  <c r="A4385" i="1"/>
  <c r="H4384" i="1"/>
  <c r="G4384" i="1"/>
  <c r="E4384" i="1"/>
  <c r="B4384" i="1"/>
  <c r="A4384" i="1"/>
  <c r="H4383" i="1"/>
  <c r="G4383" i="1"/>
  <c r="E4383" i="1"/>
  <c r="B4383" i="1"/>
  <c r="A4383" i="1"/>
  <c r="H4382" i="1"/>
  <c r="G4382" i="1"/>
  <c r="E4382" i="1"/>
  <c r="B4382" i="1"/>
  <c r="A4382" i="1"/>
  <c r="H4381" i="1"/>
  <c r="G4381" i="1"/>
  <c r="E4381" i="1"/>
  <c r="B4381" i="1"/>
  <c r="A4381" i="1"/>
  <c r="H4380" i="1"/>
  <c r="G4380" i="1"/>
  <c r="E4380" i="1"/>
  <c r="B4380" i="1"/>
  <c r="A4380" i="1"/>
  <c r="H4379" i="1"/>
  <c r="G4379" i="1"/>
  <c r="E4379" i="1"/>
  <c r="B4379" i="1"/>
  <c r="A4379" i="1"/>
  <c r="H4378" i="1"/>
  <c r="G4378" i="1"/>
  <c r="E4378" i="1"/>
  <c r="B4378" i="1"/>
  <c r="A4378" i="1"/>
  <c r="H4377" i="1"/>
  <c r="G4377" i="1"/>
  <c r="E4377" i="1"/>
  <c r="B4377" i="1"/>
  <c r="A4377" i="1"/>
  <c r="H4376" i="1"/>
  <c r="G4376" i="1"/>
  <c r="E4376" i="1"/>
  <c r="B4376" i="1"/>
  <c r="A4376" i="1"/>
  <c r="H4375" i="1"/>
  <c r="G4375" i="1"/>
  <c r="E4375" i="1"/>
  <c r="B4375" i="1"/>
  <c r="A4375" i="1"/>
  <c r="H4374" i="1"/>
  <c r="G4374" i="1"/>
  <c r="E4374" i="1"/>
  <c r="B4374" i="1"/>
  <c r="A4374" i="1"/>
  <c r="H4373" i="1"/>
  <c r="G4373" i="1"/>
  <c r="E4373" i="1"/>
  <c r="B4373" i="1"/>
  <c r="A4373" i="1"/>
  <c r="H4372" i="1"/>
  <c r="G4372" i="1"/>
  <c r="E4372" i="1"/>
  <c r="B4372" i="1"/>
  <c r="A4372" i="1"/>
  <c r="H4371" i="1"/>
  <c r="G4371" i="1"/>
  <c r="E4371" i="1"/>
  <c r="B4371" i="1"/>
  <c r="A4371" i="1"/>
  <c r="H4370" i="1"/>
  <c r="G4370" i="1"/>
  <c r="E4370" i="1"/>
  <c r="B4370" i="1"/>
  <c r="A4370" i="1"/>
  <c r="H4369" i="1"/>
  <c r="G4369" i="1"/>
  <c r="E4369" i="1"/>
  <c r="B4369" i="1"/>
  <c r="A4369" i="1"/>
  <c r="H4368" i="1"/>
  <c r="G4368" i="1"/>
  <c r="E4368" i="1"/>
  <c r="B4368" i="1"/>
  <c r="A4368" i="1"/>
  <c r="H4367" i="1"/>
  <c r="G4367" i="1"/>
  <c r="E4367" i="1"/>
  <c r="B4367" i="1"/>
  <c r="A4367" i="1"/>
  <c r="H4366" i="1"/>
  <c r="G4366" i="1"/>
  <c r="E4366" i="1"/>
  <c r="B4366" i="1"/>
  <c r="A4366" i="1"/>
  <c r="H4365" i="1"/>
  <c r="G4365" i="1"/>
  <c r="E4365" i="1"/>
  <c r="B4365" i="1"/>
  <c r="A4365" i="1"/>
  <c r="H4364" i="1"/>
  <c r="G4364" i="1"/>
  <c r="E4364" i="1"/>
  <c r="B4364" i="1"/>
  <c r="A4364" i="1"/>
  <c r="H4363" i="1"/>
  <c r="G4363" i="1"/>
  <c r="E4363" i="1"/>
  <c r="B4363" i="1"/>
  <c r="A4363" i="1"/>
  <c r="H4362" i="1"/>
  <c r="G4362" i="1"/>
  <c r="E4362" i="1"/>
  <c r="B4362" i="1"/>
  <c r="A4362" i="1"/>
  <c r="H4361" i="1"/>
  <c r="G4361" i="1"/>
  <c r="E4361" i="1"/>
  <c r="B4361" i="1"/>
  <c r="A4361" i="1"/>
  <c r="H4360" i="1"/>
  <c r="G4360" i="1"/>
  <c r="E4360" i="1"/>
  <c r="B4360" i="1"/>
  <c r="A4360" i="1"/>
  <c r="H4359" i="1"/>
  <c r="G4359" i="1"/>
  <c r="E4359" i="1"/>
  <c r="B4359" i="1"/>
  <c r="A4359" i="1"/>
  <c r="H4358" i="1"/>
  <c r="G4358" i="1"/>
  <c r="E4358" i="1"/>
  <c r="B4358" i="1"/>
  <c r="A4358" i="1"/>
  <c r="H4357" i="1"/>
  <c r="G4357" i="1"/>
  <c r="E4357" i="1"/>
  <c r="B4357" i="1"/>
  <c r="A4357" i="1"/>
  <c r="H4356" i="1"/>
  <c r="G4356" i="1"/>
  <c r="E4356" i="1"/>
  <c r="B4356" i="1"/>
  <c r="A4356" i="1"/>
  <c r="H4355" i="1"/>
  <c r="G4355" i="1"/>
  <c r="E4355" i="1"/>
  <c r="B4355" i="1"/>
  <c r="A4355" i="1"/>
  <c r="H4354" i="1"/>
  <c r="G4354" i="1"/>
  <c r="E4354" i="1"/>
  <c r="B4354" i="1"/>
  <c r="A4354" i="1"/>
  <c r="H4353" i="1"/>
  <c r="G4353" i="1"/>
  <c r="E4353" i="1"/>
  <c r="B4353" i="1"/>
  <c r="A4353" i="1"/>
  <c r="H4352" i="1"/>
  <c r="G4352" i="1"/>
  <c r="E4352" i="1"/>
  <c r="B4352" i="1"/>
  <c r="A4352" i="1"/>
  <c r="H4351" i="1"/>
  <c r="G4351" i="1"/>
  <c r="E4351" i="1"/>
  <c r="B4351" i="1"/>
  <c r="A4351" i="1"/>
  <c r="H4350" i="1"/>
  <c r="G4350" i="1"/>
  <c r="E4350" i="1"/>
  <c r="B4350" i="1"/>
  <c r="A4350" i="1"/>
  <c r="H4349" i="1"/>
  <c r="G4349" i="1"/>
  <c r="E4349" i="1"/>
  <c r="B4349" i="1"/>
  <c r="A4349" i="1"/>
  <c r="H4348" i="1"/>
  <c r="G4348" i="1"/>
  <c r="E4348" i="1"/>
  <c r="B4348" i="1"/>
  <c r="A4348" i="1"/>
  <c r="H4347" i="1"/>
  <c r="G4347" i="1"/>
  <c r="E4347" i="1"/>
  <c r="B4347" i="1"/>
  <c r="A4347" i="1"/>
  <c r="H4346" i="1"/>
  <c r="G4346" i="1"/>
  <c r="E4346" i="1"/>
  <c r="B4346" i="1"/>
  <c r="A4346" i="1"/>
  <c r="H4345" i="1"/>
  <c r="G4345" i="1"/>
  <c r="E4345" i="1"/>
  <c r="B4345" i="1"/>
  <c r="A4345" i="1"/>
  <c r="H4344" i="1"/>
  <c r="G4344" i="1"/>
  <c r="E4344" i="1"/>
  <c r="B4344" i="1"/>
  <c r="A4344" i="1"/>
  <c r="H4343" i="1"/>
  <c r="G4343" i="1"/>
  <c r="E4343" i="1"/>
  <c r="B4343" i="1"/>
  <c r="A4343" i="1"/>
  <c r="H4342" i="1"/>
  <c r="G4342" i="1"/>
  <c r="E4342" i="1"/>
  <c r="B4342" i="1"/>
  <c r="A4342" i="1"/>
  <c r="H4341" i="1"/>
  <c r="G4341" i="1"/>
  <c r="E4341" i="1"/>
  <c r="B4341" i="1"/>
  <c r="A4341" i="1"/>
  <c r="H4340" i="1"/>
  <c r="G4340" i="1"/>
  <c r="E4340" i="1"/>
  <c r="B4340" i="1"/>
  <c r="A4340" i="1"/>
  <c r="H4339" i="1"/>
  <c r="G4339" i="1"/>
  <c r="E4339" i="1"/>
  <c r="B4339" i="1"/>
  <c r="A4339" i="1"/>
  <c r="H4338" i="1"/>
  <c r="G4338" i="1"/>
  <c r="E4338" i="1"/>
  <c r="B4338" i="1"/>
  <c r="A4338" i="1"/>
  <c r="H4337" i="1"/>
  <c r="G4337" i="1"/>
  <c r="E4337" i="1"/>
  <c r="B4337" i="1"/>
  <c r="A4337" i="1"/>
  <c r="H4336" i="1"/>
  <c r="G4336" i="1"/>
  <c r="E4336" i="1"/>
  <c r="B4336" i="1"/>
  <c r="A4336" i="1"/>
  <c r="H4335" i="1"/>
  <c r="G4335" i="1"/>
  <c r="E4335" i="1"/>
  <c r="B4335" i="1"/>
  <c r="A4335" i="1"/>
  <c r="H4334" i="1"/>
  <c r="G4334" i="1"/>
  <c r="E4334" i="1"/>
  <c r="B4334" i="1"/>
  <c r="A4334" i="1"/>
  <c r="H4333" i="1"/>
  <c r="G4333" i="1"/>
  <c r="E4333" i="1"/>
  <c r="B4333" i="1"/>
  <c r="A4333" i="1"/>
  <c r="H4332" i="1"/>
  <c r="G4332" i="1"/>
  <c r="E4332" i="1"/>
  <c r="B4332" i="1"/>
  <c r="A4332" i="1"/>
  <c r="H4331" i="1"/>
  <c r="G4331" i="1"/>
  <c r="E4331" i="1"/>
  <c r="B4331" i="1"/>
  <c r="A4331" i="1"/>
  <c r="H4330" i="1"/>
  <c r="G4330" i="1"/>
  <c r="E4330" i="1"/>
  <c r="B4330" i="1"/>
  <c r="A4330" i="1"/>
  <c r="H4329" i="1"/>
  <c r="G4329" i="1"/>
  <c r="E4329" i="1"/>
  <c r="B4329" i="1"/>
  <c r="A4329" i="1"/>
  <c r="H4328" i="1"/>
  <c r="G4328" i="1"/>
  <c r="E4328" i="1"/>
  <c r="B4328" i="1"/>
  <c r="A4328" i="1"/>
  <c r="H4327" i="1"/>
  <c r="G4327" i="1"/>
  <c r="E4327" i="1"/>
  <c r="B4327" i="1"/>
  <c r="A4327" i="1"/>
  <c r="H4326" i="1"/>
  <c r="G4326" i="1"/>
  <c r="E4326" i="1"/>
  <c r="B4326" i="1"/>
  <c r="A4326" i="1"/>
  <c r="H4325" i="1"/>
  <c r="G4325" i="1"/>
  <c r="E4325" i="1"/>
  <c r="B4325" i="1"/>
  <c r="A4325" i="1"/>
  <c r="H4324" i="1"/>
  <c r="G4324" i="1"/>
  <c r="E4324" i="1"/>
  <c r="B4324" i="1"/>
  <c r="A4324" i="1"/>
  <c r="H4323" i="1"/>
  <c r="G4323" i="1"/>
  <c r="E4323" i="1"/>
  <c r="B4323" i="1"/>
  <c r="A4323" i="1"/>
  <c r="H4322" i="1"/>
  <c r="G4322" i="1"/>
  <c r="E4322" i="1"/>
  <c r="B4322" i="1"/>
  <c r="A4322" i="1"/>
  <c r="H4321" i="1"/>
  <c r="G4321" i="1"/>
  <c r="E4321" i="1"/>
  <c r="B4321" i="1"/>
  <c r="A4321" i="1"/>
  <c r="H4320" i="1"/>
  <c r="G4320" i="1"/>
  <c r="E4320" i="1"/>
  <c r="B4320" i="1"/>
  <c r="A4320" i="1"/>
  <c r="H4319" i="1"/>
  <c r="G4319" i="1"/>
  <c r="E4319" i="1"/>
  <c r="B4319" i="1"/>
  <c r="A4319" i="1"/>
  <c r="H4318" i="1"/>
  <c r="G4318" i="1"/>
  <c r="E4318" i="1"/>
  <c r="B4318" i="1"/>
  <c r="A4318" i="1"/>
  <c r="H4317" i="1"/>
  <c r="G4317" i="1"/>
  <c r="E4317" i="1"/>
  <c r="B4317" i="1"/>
  <c r="A4317" i="1"/>
  <c r="H4316" i="1"/>
  <c r="G4316" i="1"/>
  <c r="E4316" i="1"/>
  <c r="B4316" i="1"/>
  <c r="A4316" i="1"/>
  <c r="H4315" i="1"/>
  <c r="G4315" i="1"/>
  <c r="E4315" i="1"/>
  <c r="B4315" i="1"/>
  <c r="A4315" i="1"/>
  <c r="H4314" i="1"/>
  <c r="G4314" i="1"/>
  <c r="E4314" i="1"/>
  <c r="B4314" i="1"/>
  <c r="A4314" i="1"/>
  <c r="H4313" i="1"/>
  <c r="G4313" i="1"/>
  <c r="E4313" i="1"/>
  <c r="B4313" i="1"/>
  <c r="A4313" i="1"/>
  <c r="H4312" i="1"/>
  <c r="G4312" i="1"/>
  <c r="E4312" i="1"/>
  <c r="B4312" i="1"/>
  <c r="A4312" i="1"/>
  <c r="H4311" i="1"/>
  <c r="G4311" i="1"/>
  <c r="E4311" i="1"/>
  <c r="B4311" i="1"/>
  <c r="A4311" i="1"/>
  <c r="H4310" i="1"/>
  <c r="G4310" i="1"/>
  <c r="E4310" i="1"/>
  <c r="B4310" i="1"/>
  <c r="A4310" i="1"/>
  <c r="H4309" i="1"/>
  <c r="G4309" i="1"/>
  <c r="E4309" i="1"/>
  <c r="B4309" i="1"/>
  <c r="A4309" i="1"/>
  <c r="H4308" i="1"/>
  <c r="G4308" i="1"/>
  <c r="E4308" i="1"/>
  <c r="B4308" i="1"/>
  <c r="A4308" i="1"/>
  <c r="H4307" i="1"/>
  <c r="G4307" i="1"/>
  <c r="E4307" i="1"/>
  <c r="B4307" i="1"/>
  <c r="A4307" i="1"/>
  <c r="H4306" i="1"/>
  <c r="G4306" i="1"/>
  <c r="E4306" i="1"/>
  <c r="B4306" i="1"/>
  <c r="A4306" i="1"/>
  <c r="H4305" i="1"/>
  <c r="G4305" i="1"/>
  <c r="E4305" i="1"/>
  <c r="B4305" i="1"/>
  <c r="A4305" i="1"/>
  <c r="H4304" i="1"/>
  <c r="G4304" i="1"/>
  <c r="E4304" i="1"/>
  <c r="B4304" i="1"/>
  <c r="A4304" i="1"/>
  <c r="H4303" i="1"/>
  <c r="G4303" i="1"/>
  <c r="E4303" i="1"/>
  <c r="B4303" i="1"/>
  <c r="A4303" i="1"/>
  <c r="H4302" i="1"/>
  <c r="G4302" i="1"/>
  <c r="E4302" i="1"/>
  <c r="B4302" i="1"/>
  <c r="A4302" i="1"/>
  <c r="H4301" i="1"/>
  <c r="G4301" i="1"/>
  <c r="E4301" i="1"/>
  <c r="B4301" i="1"/>
  <c r="A4301" i="1"/>
  <c r="H4300" i="1"/>
  <c r="G4300" i="1"/>
  <c r="E4300" i="1"/>
  <c r="B4300" i="1"/>
  <c r="A4300" i="1"/>
  <c r="H4299" i="1"/>
  <c r="G4299" i="1"/>
  <c r="E4299" i="1"/>
  <c r="B4299" i="1"/>
  <c r="A4299" i="1"/>
  <c r="H4298" i="1"/>
  <c r="G4298" i="1"/>
  <c r="E4298" i="1"/>
  <c r="B4298" i="1"/>
  <c r="A4298" i="1"/>
  <c r="H4297" i="1"/>
  <c r="G4297" i="1"/>
  <c r="E4297" i="1"/>
  <c r="B4297" i="1"/>
  <c r="A4297" i="1"/>
  <c r="H4296" i="1"/>
  <c r="G4296" i="1"/>
  <c r="E4296" i="1"/>
  <c r="B4296" i="1"/>
  <c r="A4296" i="1"/>
  <c r="H4295" i="1"/>
  <c r="G4295" i="1"/>
  <c r="E4295" i="1"/>
  <c r="B4295" i="1"/>
  <c r="A4295" i="1"/>
  <c r="H4294" i="1"/>
  <c r="G4294" i="1"/>
  <c r="E4294" i="1"/>
  <c r="B4294" i="1"/>
  <c r="A4294" i="1"/>
  <c r="H4293" i="1"/>
  <c r="G4293" i="1"/>
  <c r="E4293" i="1"/>
  <c r="B4293" i="1"/>
  <c r="A4293" i="1"/>
  <c r="H4292" i="1"/>
  <c r="G4292" i="1"/>
  <c r="E4292" i="1"/>
  <c r="B4292" i="1"/>
  <c r="A4292" i="1"/>
  <c r="H4291" i="1"/>
  <c r="G4291" i="1"/>
  <c r="E4291" i="1"/>
  <c r="B4291" i="1"/>
  <c r="A4291" i="1"/>
  <c r="H4290" i="1"/>
  <c r="G4290" i="1"/>
  <c r="E4290" i="1"/>
  <c r="B4290" i="1"/>
  <c r="A4290" i="1"/>
  <c r="H4289" i="1"/>
  <c r="G4289" i="1"/>
  <c r="E4289" i="1"/>
  <c r="B4289" i="1"/>
  <c r="A4289" i="1"/>
  <c r="H4288" i="1"/>
  <c r="G4288" i="1"/>
  <c r="E4288" i="1"/>
  <c r="B4288" i="1"/>
  <c r="A4288" i="1"/>
  <c r="H4287" i="1"/>
  <c r="G4287" i="1"/>
  <c r="E4287" i="1"/>
  <c r="B4287" i="1"/>
  <c r="A4287" i="1"/>
  <c r="H4286" i="1"/>
  <c r="G4286" i="1"/>
  <c r="E4286" i="1"/>
  <c r="B4286" i="1"/>
  <c r="A4286" i="1"/>
  <c r="H4285" i="1"/>
  <c r="G4285" i="1"/>
  <c r="E4285" i="1"/>
  <c r="B4285" i="1"/>
  <c r="A4285" i="1"/>
  <c r="H4284" i="1"/>
  <c r="G4284" i="1"/>
  <c r="E4284" i="1"/>
  <c r="B4284" i="1"/>
  <c r="A4284" i="1"/>
  <c r="H4283" i="1"/>
  <c r="G4283" i="1"/>
  <c r="E4283" i="1"/>
  <c r="B4283" i="1"/>
  <c r="A4283" i="1"/>
  <c r="H4282" i="1"/>
  <c r="G4282" i="1"/>
  <c r="E4282" i="1"/>
  <c r="B4282" i="1"/>
  <c r="A4282" i="1"/>
  <c r="H4281" i="1"/>
  <c r="G4281" i="1"/>
  <c r="E4281" i="1"/>
  <c r="B4281" i="1"/>
  <c r="A4281" i="1"/>
  <c r="H4280" i="1"/>
  <c r="G4280" i="1"/>
  <c r="E4280" i="1"/>
  <c r="B4280" i="1"/>
  <c r="A4280" i="1"/>
  <c r="H4279" i="1"/>
  <c r="G4279" i="1"/>
  <c r="E4279" i="1"/>
  <c r="B4279" i="1"/>
  <c r="A4279" i="1"/>
  <c r="H4278" i="1"/>
  <c r="G4278" i="1"/>
  <c r="E4278" i="1"/>
  <c r="B4278" i="1"/>
  <c r="A4278" i="1"/>
  <c r="H4277" i="1"/>
  <c r="G4277" i="1"/>
  <c r="E4277" i="1"/>
  <c r="B4277" i="1"/>
  <c r="A4277" i="1"/>
  <c r="H4276" i="1"/>
  <c r="G4276" i="1"/>
  <c r="E4276" i="1"/>
  <c r="B4276" i="1"/>
  <c r="A4276" i="1"/>
  <c r="H4275" i="1"/>
  <c r="G4275" i="1"/>
  <c r="E4275" i="1"/>
  <c r="B4275" i="1"/>
  <c r="A4275" i="1"/>
  <c r="H4274" i="1"/>
  <c r="G4274" i="1"/>
  <c r="E4274" i="1"/>
  <c r="B4274" i="1"/>
  <c r="A4274" i="1"/>
  <c r="H4273" i="1"/>
  <c r="G4273" i="1"/>
  <c r="E4273" i="1"/>
  <c r="B4273" i="1"/>
  <c r="A4273" i="1"/>
  <c r="H4272" i="1"/>
  <c r="G4272" i="1"/>
  <c r="E4272" i="1"/>
  <c r="B4272" i="1"/>
  <c r="A4272" i="1"/>
  <c r="H4271" i="1"/>
  <c r="G4271" i="1"/>
  <c r="E4271" i="1"/>
  <c r="B4271" i="1"/>
  <c r="A4271" i="1"/>
  <c r="H4270" i="1"/>
  <c r="G4270" i="1"/>
  <c r="E4270" i="1"/>
  <c r="B4270" i="1"/>
  <c r="A4270" i="1"/>
  <c r="H4269" i="1"/>
  <c r="G4269" i="1"/>
  <c r="E4269" i="1"/>
  <c r="B4269" i="1"/>
  <c r="A4269" i="1"/>
  <c r="H4268" i="1"/>
  <c r="G4268" i="1"/>
  <c r="E4268" i="1"/>
  <c r="B4268" i="1"/>
  <c r="A4268" i="1"/>
  <c r="H4267" i="1"/>
  <c r="G4267" i="1"/>
  <c r="E4267" i="1"/>
  <c r="B4267" i="1"/>
  <c r="A4267" i="1"/>
  <c r="H4266" i="1"/>
  <c r="G4266" i="1"/>
  <c r="E4266" i="1"/>
  <c r="B4266" i="1"/>
  <c r="A4266" i="1"/>
  <c r="H4265" i="1"/>
  <c r="G4265" i="1"/>
  <c r="E4265" i="1"/>
  <c r="B4265" i="1"/>
  <c r="A4265" i="1"/>
  <c r="H4264" i="1"/>
  <c r="G4264" i="1"/>
  <c r="E4264" i="1"/>
  <c r="B4264" i="1"/>
  <c r="A4264" i="1"/>
  <c r="H4263" i="1"/>
  <c r="G4263" i="1"/>
  <c r="E4263" i="1"/>
  <c r="B4263" i="1"/>
  <c r="A4263" i="1"/>
  <c r="H4262" i="1"/>
  <c r="G4262" i="1"/>
  <c r="E4262" i="1"/>
  <c r="B4262" i="1"/>
  <c r="A4262" i="1"/>
  <c r="H4261" i="1"/>
  <c r="G4261" i="1"/>
  <c r="E4261" i="1"/>
  <c r="B4261" i="1"/>
  <c r="A4261" i="1"/>
  <c r="H4260" i="1"/>
  <c r="G4260" i="1"/>
  <c r="E4260" i="1"/>
  <c r="B4260" i="1"/>
  <c r="A4260" i="1"/>
  <c r="H4259" i="1"/>
  <c r="G4259" i="1"/>
  <c r="E4259" i="1"/>
  <c r="B4259" i="1"/>
  <c r="A4259" i="1"/>
  <c r="H4258" i="1"/>
  <c r="G4258" i="1"/>
  <c r="E4258" i="1"/>
  <c r="B4258" i="1"/>
  <c r="A4258" i="1"/>
  <c r="H4257" i="1"/>
  <c r="G4257" i="1"/>
  <c r="E4257" i="1"/>
  <c r="B4257" i="1"/>
  <c r="A4257" i="1"/>
  <c r="H4256" i="1"/>
  <c r="G4256" i="1"/>
  <c r="E4256" i="1"/>
  <c r="B4256" i="1"/>
  <c r="A4256" i="1"/>
  <c r="H4255" i="1"/>
  <c r="G4255" i="1"/>
  <c r="E4255" i="1"/>
  <c r="B4255" i="1"/>
  <c r="A4255" i="1"/>
  <c r="H4254" i="1"/>
  <c r="G4254" i="1"/>
  <c r="E4254" i="1"/>
  <c r="B4254" i="1"/>
  <c r="A4254" i="1"/>
  <c r="H4253" i="1"/>
  <c r="G4253" i="1"/>
  <c r="E4253" i="1"/>
  <c r="B4253" i="1"/>
  <c r="A4253" i="1"/>
  <c r="H4252" i="1"/>
  <c r="G4252" i="1"/>
  <c r="E4252" i="1"/>
  <c r="B4252" i="1"/>
  <c r="A4252" i="1"/>
  <c r="H4251" i="1"/>
  <c r="G4251" i="1"/>
  <c r="E4251" i="1"/>
  <c r="B4251" i="1"/>
  <c r="A4251" i="1"/>
  <c r="H4250" i="1"/>
  <c r="G4250" i="1"/>
  <c r="E4250" i="1"/>
  <c r="B4250" i="1"/>
  <c r="A4250" i="1"/>
  <c r="H4249" i="1"/>
  <c r="G4249" i="1"/>
  <c r="E4249" i="1"/>
  <c r="B4249" i="1"/>
  <c r="A4249" i="1"/>
  <c r="H4248" i="1"/>
  <c r="G4248" i="1"/>
  <c r="E4248" i="1"/>
  <c r="B4248" i="1"/>
  <c r="A4248" i="1"/>
  <c r="H4247" i="1"/>
  <c r="G4247" i="1"/>
  <c r="E4247" i="1"/>
  <c r="B4247" i="1"/>
  <c r="A4247" i="1"/>
  <c r="H4246" i="1"/>
  <c r="G4246" i="1"/>
  <c r="E4246" i="1"/>
  <c r="B4246" i="1"/>
  <c r="A4246" i="1"/>
  <c r="H4245" i="1"/>
  <c r="G4245" i="1"/>
  <c r="E4245" i="1"/>
  <c r="B4245" i="1"/>
  <c r="A4245" i="1"/>
  <c r="H4244" i="1"/>
  <c r="G4244" i="1"/>
  <c r="E4244" i="1"/>
  <c r="B4244" i="1"/>
  <c r="A4244" i="1"/>
  <c r="H4243" i="1"/>
  <c r="G4243" i="1"/>
  <c r="E4243" i="1"/>
  <c r="B4243" i="1"/>
  <c r="A4243" i="1"/>
  <c r="H4242" i="1"/>
  <c r="G4242" i="1"/>
  <c r="E4242" i="1"/>
  <c r="B4242" i="1"/>
  <c r="A4242" i="1"/>
  <c r="H4241" i="1"/>
  <c r="G4241" i="1"/>
  <c r="E4241" i="1"/>
  <c r="B4241" i="1"/>
  <c r="A4241" i="1"/>
  <c r="H4240" i="1"/>
  <c r="G4240" i="1"/>
  <c r="E4240" i="1"/>
  <c r="B4240" i="1"/>
  <c r="A4240" i="1"/>
  <c r="H4239" i="1"/>
  <c r="G4239" i="1"/>
  <c r="E4239" i="1"/>
  <c r="B4239" i="1"/>
  <c r="A4239" i="1"/>
  <c r="H4238" i="1"/>
  <c r="G4238" i="1"/>
  <c r="E4238" i="1"/>
  <c r="B4238" i="1"/>
  <c r="A4238" i="1"/>
  <c r="H4237" i="1"/>
  <c r="G4237" i="1"/>
  <c r="E4237" i="1"/>
  <c r="B4237" i="1"/>
  <c r="A4237" i="1"/>
  <c r="H4236" i="1"/>
  <c r="G4236" i="1"/>
  <c r="E4236" i="1"/>
  <c r="B4236" i="1"/>
  <c r="A4236" i="1"/>
  <c r="H4235" i="1"/>
  <c r="G4235" i="1"/>
  <c r="E4235" i="1"/>
  <c r="B4235" i="1"/>
  <c r="A4235" i="1"/>
  <c r="H4234" i="1"/>
  <c r="G4234" i="1"/>
  <c r="E4234" i="1"/>
  <c r="B4234" i="1"/>
  <c r="A4234" i="1"/>
  <c r="H4233" i="1"/>
  <c r="G4233" i="1"/>
  <c r="E4233" i="1"/>
  <c r="B4233" i="1"/>
  <c r="A4233" i="1"/>
  <c r="H4232" i="1"/>
  <c r="G4232" i="1"/>
  <c r="E4232" i="1"/>
  <c r="B4232" i="1"/>
  <c r="A4232" i="1"/>
  <c r="H4231" i="1"/>
  <c r="G4231" i="1"/>
  <c r="E4231" i="1"/>
  <c r="B4231" i="1"/>
  <c r="A4231" i="1"/>
  <c r="H4230" i="1"/>
  <c r="G4230" i="1"/>
  <c r="E4230" i="1"/>
  <c r="B4230" i="1"/>
  <c r="A4230" i="1"/>
  <c r="H4229" i="1"/>
  <c r="G4229" i="1"/>
  <c r="E4229" i="1"/>
  <c r="B4229" i="1"/>
  <c r="A4229" i="1"/>
  <c r="H4228" i="1"/>
  <c r="G4228" i="1"/>
  <c r="E4228" i="1"/>
  <c r="B4228" i="1"/>
  <c r="A4228" i="1"/>
  <c r="H4227" i="1"/>
  <c r="G4227" i="1"/>
  <c r="E4227" i="1"/>
  <c r="B4227" i="1"/>
  <c r="A4227" i="1"/>
  <c r="H4226" i="1"/>
  <c r="G4226" i="1"/>
  <c r="E4226" i="1"/>
  <c r="B4226" i="1"/>
  <c r="A4226" i="1"/>
  <c r="H4225" i="1"/>
  <c r="G4225" i="1"/>
  <c r="E4225" i="1"/>
  <c r="B4225" i="1"/>
  <c r="A4225" i="1"/>
  <c r="H4224" i="1"/>
  <c r="G4224" i="1"/>
  <c r="E4224" i="1"/>
  <c r="B4224" i="1"/>
  <c r="A4224" i="1"/>
  <c r="H4223" i="1"/>
  <c r="G4223" i="1"/>
  <c r="E4223" i="1"/>
  <c r="B4223" i="1"/>
  <c r="A4223" i="1"/>
  <c r="H4222" i="1"/>
  <c r="G4222" i="1"/>
  <c r="E4222" i="1"/>
  <c r="B4222" i="1"/>
  <c r="A4222" i="1"/>
  <c r="H4221" i="1"/>
  <c r="G4221" i="1"/>
  <c r="E4221" i="1"/>
  <c r="B4221" i="1"/>
  <c r="A4221" i="1"/>
  <c r="H4220" i="1"/>
  <c r="G4220" i="1"/>
  <c r="E4220" i="1"/>
  <c r="B4220" i="1"/>
  <c r="A4220" i="1"/>
  <c r="H4219" i="1"/>
  <c r="G4219" i="1"/>
  <c r="E4219" i="1"/>
  <c r="B4219" i="1"/>
  <c r="A4219" i="1"/>
  <c r="H4218" i="1"/>
  <c r="G4218" i="1"/>
  <c r="E4218" i="1"/>
  <c r="B4218" i="1"/>
  <c r="A4218" i="1"/>
  <c r="H4217" i="1"/>
  <c r="G4217" i="1"/>
  <c r="E4217" i="1"/>
  <c r="B4217" i="1"/>
  <c r="A4217" i="1"/>
  <c r="H4216" i="1"/>
  <c r="G4216" i="1"/>
  <c r="E4216" i="1"/>
  <c r="B4216" i="1"/>
  <c r="A4216" i="1"/>
  <c r="H4215" i="1"/>
  <c r="G4215" i="1"/>
  <c r="E4215" i="1"/>
  <c r="B4215" i="1"/>
  <c r="A4215" i="1"/>
  <c r="H4214" i="1"/>
  <c r="G4214" i="1"/>
  <c r="E4214" i="1"/>
  <c r="B4214" i="1"/>
  <c r="A4214" i="1"/>
  <c r="H4213" i="1"/>
  <c r="G4213" i="1"/>
  <c r="E4213" i="1"/>
  <c r="B4213" i="1"/>
  <c r="A4213" i="1"/>
  <c r="H4212" i="1"/>
  <c r="G4212" i="1"/>
  <c r="E4212" i="1"/>
  <c r="B4212" i="1"/>
  <c r="A4212" i="1"/>
  <c r="H4211" i="1"/>
  <c r="G4211" i="1"/>
  <c r="E4211" i="1"/>
  <c r="B4211" i="1"/>
  <c r="A4211" i="1"/>
  <c r="H4210" i="1"/>
  <c r="G4210" i="1"/>
  <c r="E4210" i="1"/>
  <c r="B4210" i="1"/>
  <c r="A4210" i="1"/>
  <c r="H4209" i="1"/>
  <c r="G4209" i="1"/>
  <c r="E4209" i="1"/>
  <c r="B4209" i="1"/>
  <c r="A4209" i="1"/>
  <c r="H4208" i="1"/>
  <c r="G4208" i="1"/>
  <c r="E4208" i="1"/>
  <c r="B4208" i="1"/>
  <c r="A4208" i="1"/>
  <c r="H4207" i="1"/>
  <c r="G4207" i="1"/>
  <c r="E4207" i="1"/>
  <c r="B4207" i="1"/>
  <c r="A4207" i="1"/>
  <c r="H4206" i="1"/>
  <c r="G4206" i="1"/>
  <c r="E4206" i="1"/>
  <c r="B4206" i="1"/>
  <c r="A4206" i="1"/>
  <c r="H4205" i="1"/>
  <c r="G4205" i="1"/>
  <c r="E4205" i="1"/>
  <c r="B4205" i="1"/>
  <c r="A4205" i="1"/>
  <c r="H4204" i="1"/>
  <c r="G4204" i="1"/>
  <c r="E4204" i="1"/>
  <c r="B4204" i="1"/>
  <c r="A4204" i="1"/>
  <c r="H4203" i="1"/>
  <c r="G4203" i="1"/>
  <c r="E4203" i="1"/>
  <c r="B4203" i="1"/>
  <c r="A4203" i="1"/>
  <c r="H4202" i="1"/>
  <c r="G4202" i="1"/>
  <c r="E4202" i="1"/>
  <c r="B4202" i="1"/>
  <c r="A4202" i="1"/>
  <c r="H4201" i="1"/>
  <c r="G4201" i="1"/>
  <c r="E4201" i="1"/>
  <c r="B4201" i="1"/>
  <c r="A4201" i="1"/>
  <c r="H4200" i="1"/>
  <c r="G4200" i="1"/>
  <c r="E4200" i="1"/>
  <c r="B4200" i="1"/>
  <c r="A4200" i="1"/>
  <c r="H4199" i="1"/>
  <c r="G4199" i="1"/>
  <c r="E4199" i="1"/>
  <c r="B4199" i="1"/>
  <c r="A4199" i="1"/>
  <c r="H4198" i="1"/>
  <c r="G4198" i="1"/>
  <c r="E4198" i="1"/>
  <c r="B4198" i="1"/>
  <c r="A4198" i="1"/>
  <c r="H4197" i="1"/>
  <c r="G4197" i="1"/>
  <c r="E4197" i="1"/>
  <c r="B4197" i="1"/>
  <c r="A4197" i="1"/>
  <c r="H4196" i="1"/>
  <c r="G4196" i="1"/>
  <c r="E4196" i="1"/>
  <c r="B4196" i="1"/>
  <c r="A4196" i="1"/>
  <c r="H4195" i="1"/>
  <c r="G4195" i="1"/>
  <c r="E4195" i="1"/>
  <c r="B4195" i="1"/>
  <c r="A4195" i="1"/>
  <c r="H4194" i="1"/>
  <c r="G4194" i="1"/>
  <c r="E4194" i="1"/>
  <c r="B4194" i="1"/>
  <c r="A4194" i="1"/>
  <c r="H4193" i="1"/>
  <c r="G4193" i="1"/>
  <c r="E4193" i="1"/>
  <c r="B4193" i="1"/>
  <c r="A4193" i="1"/>
  <c r="H4192" i="1"/>
  <c r="G4192" i="1"/>
  <c r="E4192" i="1"/>
  <c r="B4192" i="1"/>
  <c r="A4192" i="1"/>
  <c r="H4191" i="1"/>
  <c r="G4191" i="1"/>
  <c r="E4191" i="1"/>
  <c r="B4191" i="1"/>
  <c r="A4191" i="1"/>
  <c r="H4190" i="1"/>
  <c r="G4190" i="1"/>
  <c r="E4190" i="1"/>
  <c r="B4190" i="1"/>
  <c r="A4190" i="1"/>
  <c r="H4189" i="1"/>
  <c r="G4189" i="1"/>
  <c r="E4189" i="1"/>
  <c r="B4189" i="1"/>
  <c r="A4189" i="1"/>
  <c r="H4188" i="1"/>
  <c r="G4188" i="1"/>
  <c r="E4188" i="1"/>
  <c r="B4188" i="1"/>
  <c r="A4188" i="1"/>
  <c r="H4187" i="1"/>
  <c r="G4187" i="1"/>
  <c r="E4187" i="1"/>
  <c r="B4187" i="1"/>
  <c r="A4187" i="1"/>
  <c r="H4186" i="1"/>
  <c r="G4186" i="1"/>
  <c r="E4186" i="1"/>
  <c r="B4186" i="1"/>
  <c r="A4186" i="1"/>
  <c r="H4185" i="1"/>
  <c r="G4185" i="1"/>
  <c r="E4185" i="1"/>
  <c r="B4185" i="1"/>
  <c r="A4185" i="1"/>
  <c r="H4184" i="1"/>
  <c r="G4184" i="1"/>
  <c r="E4184" i="1"/>
  <c r="B4184" i="1"/>
  <c r="A4184" i="1"/>
  <c r="H4183" i="1"/>
  <c r="G4183" i="1"/>
  <c r="E4183" i="1"/>
  <c r="B4183" i="1"/>
  <c r="A4183" i="1"/>
  <c r="H4182" i="1"/>
  <c r="G4182" i="1"/>
  <c r="E4182" i="1"/>
  <c r="B4182" i="1"/>
  <c r="A4182" i="1"/>
  <c r="H4181" i="1"/>
  <c r="G4181" i="1"/>
  <c r="E4181" i="1"/>
  <c r="B4181" i="1"/>
  <c r="A4181" i="1"/>
  <c r="H4180" i="1"/>
  <c r="G4180" i="1"/>
  <c r="E4180" i="1"/>
  <c r="B4180" i="1"/>
  <c r="A4180" i="1"/>
  <c r="H4179" i="1"/>
  <c r="G4179" i="1"/>
  <c r="E4179" i="1"/>
  <c r="B4179" i="1"/>
  <c r="A4179" i="1"/>
  <c r="H4178" i="1"/>
  <c r="G4178" i="1"/>
  <c r="E4178" i="1"/>
  <c r="B4178" i="1"/>
  <c r="A4178" i="1"/>
  <c r="H4177" i="1"/>
  <c r="G4177" i="1"/>
  <c r="E4177" i="1"/>
  <c r="B4177" i="1"/>
  <c r="A4177" i="1"/>
  <c r="H4176" i="1"/>
  <c r="G4176" i="1"/>
  <c r="E4176" i="1"/>
  <c r="B4176" i="1"/>
  <c r="A4176" i="1"/>
  <c r="H4175" i="1"/>
  <c r="G4175" i="1"/>
  <c r="E4175" i="1"/>
  <c r="B4175" i="1"/>
  <c r="A4175" i="1"/>
  <c r="H4174" i="1"/>
  <c r="G4174" i="1"/>
  <c r="E4174" i="1"/>
  <c r="B4174" i="1"/>
  <c r="A4174" i="1"/>
  <c r="H4173" i="1"/>
  <c r="G4173" i="1"/>
  <c r="E4173" i="1"/>
  <c r="B4173" i="1"/>
  <c r="A4173" i="1"/>
  <c r="H4172" i="1"/>
  <c r="G4172" i="1"/>
  <c r="E4172" i="1"/>
  <c r="B4172" i="1"/>
  <c r="A4172" i="1"/>
  <c r="H4171" i="1"/>
  <c r="G4171" i="1"/>
  <c r="E4171" i="1"/>
  <c r="B4171" i="1"/>
  <c r="A4171" i="1"/>
  <c r="H4170" i="1"/>
  <c r="G4170" i="1"/>
  <c r="E4170" i="1"/>
  <c r="B4170" i="1"/>
  <c r="A4170" i="1"/>
  <c r="H4169" i="1"/>
  <c r="G4169" i="1"/>
  <c r="E4169" i="1"/>
  <c r="B4169" i="1"/>
  <c r="A4169" i="1"/>
  <c r="H4168" i="1"/>
  <c r="G4168" i="1"/>
  <c r="E4168" i="1"/>
  <c r="B4168" i="1"/>
  <c r="A4168" i="1"/>
  <c r="H4167" i="1"/>
  <c r="G4167" i="1"/>
  <c r="E4167" i="1"/>
  <c r="B4167" i="1"/>
  <c r="A4167" i="1"/>
  <c r="H4166" i="1"/>
  <c r="G4166" i="1"/>
  <c r="E4166" i="1"/>
  <c r="B4166" i="1"/>
  <c r="A4166" i="1"/>
  <c r="H4165" i="1"/>
  <c r="G4165" i="1"/>
  <c r="E4165" i="1"/>
  <c r="B4165" i="1"/>
  <c r="A4165" i="1"/>
  <c r="H4164" i="1"/>
  <c r="G4164" i="1"/>
  <c r="E4164" i="1"/>
  <c r="B4164" i="1"/>
  <c r="A4164" i="1"/>
  <c r="H4163" i="1"/>
  <c r="G4163" i="1"/>
  <c r="E4163" i="1"/>
  <c r="B4163" i="1"/>
  <c r="A4163" i="1"/>
  <c r="H4162" i="1"/>
  <c r="G4162" i="1"/>
  <c r="E4162" i="1"/>
  <c r="B4162" i="1"/>
  <c r="A4162" i="1"/>
  <c r="H4161" i="1"/>
  <c r="G4161" i="1"/>
  <c r="E4161" i="1"/>
  <c r="B4161" i="1"/>
  <c r="A4161" i="1"/>
  <c r="H4160" i="1"/>
  <c r="G4160" i="1"/>
  <c r="E4160" i="1"/>
  <c r="B4160" i="1"/>
  <c r="A4160" i="1"/>
  <c r="H4159" i="1"/>
  <c r="G4159" i="1"/>
  <c r="E4159" i="1"/>
  <c r="B4159" i="1"/>
  <c r="A4159" i="1"/>
  <c r="H4158" i="1"/>
  <c r="G4158" i="1"/>
  <c r="E4158" i="1"/>
  <c r="B4158" i="1"/>
  <c r="A4158" i="1"/>
  <c r="H4157" i="1"/>
  <c r="G4157" i="1"/>
  <c r="E4157" i="1"/>
  <c r="B4157" i="1"/>
  <c r="A4157" i="1"/>
  <c r="H4156" i="1"/>
  <c r="G4156" i="1"/>
  <c r="E4156" i="1"/>
  <c r="B4156" i="1"/>
  <c r="A4156" i="1"/>
  <c r="H4155" i="1"/>
  <c r="G4155" i="1"/>
  <c r="E4155" i="1"/>
  <c r="B4155" i="1"/>
  <c r="A4155" i="1"/>
  <c r="H4154" i="1"/>
  <c r="G4154" i="1"/>
  <c r="E4154" i="1"/>
  <c r="B4154" i="1"/>
  <c r="A4154" i="1"/>
  <c r="H4153" i="1"/>
  <c r="G4153" i="1"/>
  <c r="E4153" i="1"/>
  <c r="B4153" i="1"/>
  <c r="A4153" i="1"/>
  <c r="H4152" i="1"/>
  <c r="G4152" i="1"/>
  <c r="E4152" i="1"/>
  <c r="B4152" i="1"/>
  <c r="A4152" i="1"/>
  <c r="H4151" i="1"/>
  <c r="G4151" i="1"/>
  <c r="E4151" i="1"/>
  <c r="B4151" i="1"/>
  <c r="A4151" i="1"/>
  <c r="H4150" i="1"/>
  <c r="G4150" i="1"/>
  <c r="E4150" i="1"/>
  <c r="B4150" i="1"/>
  <c r="A4150" i="1"/>
  <c r="H4149" i="1"/>
  <c r="G4149" i="1"/>
  <c r="E4149" i="1"/>
  <c r="B4149" i="1"/>
  <c r="A4149" i="1"/>
  <c r="H4148" i="1"/>
  <c r="G4148" i="1"/>
  <c r="E4148" i="1"/>
  <c r="B4148" i="1"/>
  <c r="A4148" i="1"/>
  <c r="H4147" i="1"/>
  <c r="G4147" i="1"/>
  <c r="E4147" i="1"/>
  <c r="B4147" i="1"/>
  <c r="A4147" i="1"/>
  <c r="H4146" i="1"/>
  <c r="G4146" i="1"/>
  <c r="E4146" i="1"/>
  <c r="B4146" i="1"/>
  <c r="A4146" i="1"/>
  <c r="H4145" i="1"/>
  <c r="G4145" i="1"/>
  <c r="E4145" i="1"/>
  <c r="B4145" i="1"/>
  <c r="A4145" i="1"/>
  <c r="H4144" i="1"/>
  <c r="G4144" i="1"/>
  <c r="E4144" i="1"/>
  <c r="B4144" i="1"/>
  <c r="A4144" i="1"/>
  <c r="H4143" i="1"/>
  <c r="G4143" i="1"/>
  <c r="E4143" i="1"/>
  <c r="B4143" i="1"/>
  <c r="A4143" i="1"/>
  <c r="H4142" i="1"/>
  <c r="G4142" i="1"/>
  <c r="E4142" i="1"/>
  <c r="B4142" i="1"/>
  <c r="A4142" i="1"/>
  <c r="H4141" i="1"/>
  <c r="G4141" i="1"/>
  <c r="E4141" i="1"/>
  <c r="B4141" i="1"/>
  <c r="A4141" i="1"/>
  <c r="H4140" i="1"/>
  <c r="G4140" i="1"/>
  <c r="E4140" i="1"/>
  <c r="B4140" i="1"/>
  <c r="A4140" i="1"/>
  <c r="H4139" i="1"/>
  <c r="G4139" i="1"/>
  <c r="E4139" i="1"/>
  <c r="B4139" i="1"/>
  <c r="A4139" i="1"/>
  <c r="H4138" i="1"/>
  <c r="G4138" i="1"/>
  <c r="E4138" i="1"/>
  <c r="B4138" i="1"/>
  <c r="A4138" i="1"/>
  <c r="H4137" i="1"/>
  <c r="G4137" i="1"/>
  <c r="E4137" i="1"/>
  <c r="B4137" i="1"/>
  <c r="A4137" i="1"/>
  <c r="H4136" i="1"/>
  <c r="G4136" i="1"/>
  <c r="E4136" i="1"/>
  <c r="B4136" i="1"/>
  <c r="A4136" i="1"/>
  <c r="H4135" i="1"/>
  <c r="G4135" i="1"/>
  <c r="E4135" i="1"/>
  <c r="B4135" i="1"/>
  <c r="A4135" i="1"/>
  <c r="H4134" i="1"/>
  <c r="G4134" i="1"/>
  <c r="E4134" i="1"/>
  <c r="B4134" i="1"/>
  <c r="A4134" i="1"/>
  <c r="H4133" i="1"/>
  <c r="G4133" i="1"/>
  <c r="E4133" i="1"/>
  <c r="B4133" i="1"/>
  <c r="A4133" i="1"/>
  <c r="H4132" i="1"/>
  <c r="G4132" i="1"/>
  <c r="E4132" i="1"/>
  <c r="B4132" i="1"/>
  <c r="A4132" i="1"/>
  <c r="H4131" i="1"/>
  <c r="G4131" i="1"/>
  <c r="E4131" i="1"/>
  <c r="B4131" i="1"/>
  <c r="A4131" i="1"/>
  <c r="H4130" i="1"/>
  <c r="G4130" i="1"/>
  <c r="E4130" i="1"/>
  <c r="B4130" i="1"/>
  <c r="A4130" i="1"/>
  <c r="H4129" i="1"/>
  <c r="G4129" i="1"/>
  <c r="E4129" i="1"/>
  <c r="B4129" i="1"/>
  <c r="A4129" i="1"/>
  <c r="H4128" i="1"/>
  <c r="G4128" i="1"/>
  <c r="E4128" i="1"/>
  <c r="B4128" i="1"/>
  <c r="A4128" i="1"/>
  <c r="H4127" i="1"/>
  <c r="G4127" i="1"/>
  <c r="E4127" i="1"/>
  <c r="B4127" i="1"/>
  <c r="A4127" i="1"/>
  <c r="H4126" i="1"/>
  <c r="G4126" i="1"/>
  <c r="E4126" i="1"/>
  <c r="B4126" i="1"/>
  <c r="A4126" i="1"/>
  <c r="H4125" i="1"/>
  <c r="G4125" i="1"/>
  <c r="E4125" i="1"/>
  <c r="B4125" i="1"/>
  <c r="A4125" i="1"/>
  <c r="H4124" i="1"/>
  <c r="G4124" i="1"/>
  <c r="E4124" i="1"/>
  <c r="B4124" i="1"/>
  <c r="A4124" i="1"/>
  <c r="H4123" i="1"/>
  <c r="G4123" i="1"/>
  <c r="E4123" i="1"/>
  <c r="B4123" i="1"/>
  <c r="A4123" i="1"/>
  <c r="H4122" i="1"/>
  <c r="G4122" i="1"/>
  <c r="E4122" i="1"/>
  <c r="B4122" i="1"/>
  <c r="A4122" i="1"/>
  <c r="H4121" i="1"/>
  <c r="G4121" i="1"/>
  <c r="E4121" i="1"/>
  <c r="B4121" i="1"/>
  <c r="A4121" i="1"/>
  <c r="H4120" i="1"/>
  <c r="G4120" i="1"/>
  <c r="E4120" i="1"/>
  <c r="B4120" i="1"/>
  <c r="A4120" i="1"/>
  <c r="H4119" i="1"/>
  <c r="G4119" i="1"/>
  <c r="E4119" i="1"/>
  <c r="B4119" i="1"/>
  <c r="A4119" i="1"/>
  <c r="H4118" i="1"/>
  <c r="G4118" i="1"/>
  <c r="E4118" i="1"/>
  <c r="B4118" i="1"/>
  <c r="A4118" i="1"/>
  <c r="H4117" i="1"/>
  <c r="G4117" i="1"/>
  <c r="E4117" i="1"/>
  <c r="B4117" i="1"/>
  <c r="A4117" i="1"/>
  <c r="H4116" i="1"/>
  <c r="G4116" i="1"/>
  <c r="E4116" i="1"/>
  <c r="B4116" i="1"/>
  <c r="A4116" i="1"/>
  <c r="H4115" i="1"/>
  <c r="G4115" i="1"/>
  <c r="E4115" i="1"/>
  <c r="B4115" i="1"/>
  <c r="A4115" i="1"/>
  <c r="H4114" i="1"/>
  <c r="G4114" i="1"/>
  <c r="E4114" i="1"/>
  <c r="B4114" i="1"/>
  <c r="A4114" i="1"/>
  <c r="H4113" i="1"/>
  <c r="G4113" i="1"/>
  <c r="E4113" i="1"/>
  <c r="B4113" i="1"/>
  <c r="A4113" i="1"/>
  <c r="H4112" i="1"/>
  <c r="G4112" i="1"/>
  <c r="E4112" i="1"/>
  <c r="B4112" i="1"/>
  <c r="A4112" i="1"/>
  <c r="H4111" i="1"/>
  <c r="G4111" i="1"/>
  <c r="E4111" i="1"/>
  <c r="B4111" i="1"/>
  <c r="A4111" i="1"/>
  <c r="H4110" i="1"/>
  <c r="G4110" i="1"/>
  <c r="E4110" i="1"/>
  <c r="B4110" i="1"/>
  <c r="A4110" i="1"/>
  <c r="H4109" i="1"/>
  <c r="G4109" i="1"/>
  <c r="E4109" i="1"/>
  <c r="B4109" i="1"/>
  <c r="A4109" i="1"/>
  <c r="H4108" i="1"/>
  <c r="G4108" i="1"/>
  <c r="E4108" i="1"/>
  <c r="B4108" i="1"/>
  <c r="A4108" i="1"/>
  <c r="H4107" i="1"/>
  <c r="G4107" i="1"/>
  <c r="E4107" i="1"/>
  <c r="B4107" i="1"/>
  <c r="A4107" i="1"/>
  <c r="H4106" i="1"/>
  <c r="G4106" i="1"/>
  <c r="E4106" i="1"/>
  <c r="B4106" i="1"/>
  <c r="A4106" i="1"/>
  <c r="H4105" i="1"/>
  <c r="G4105" i="1"/>
  <c r="E4105" i="1"/>
  <c r="B4105" i="1"/>
  <c r="A4105" i="1"/>
  <c r="H4104" i="1"/>
  <c r="G4104" i="1"/>
  <c r="E4104" i="1"/>
  <c r="B4104" i="1"/>
  <c r="A4104" i="1"/>
  <c r="H4103" i="1"/>
  <c r="G4103" i="1"/>
  <c r="E4103" i="1"/>
  <c r="B4103" i="1"/>
  <c r="A4103" i="1"/>
  <c r="H4102" i="1"/>
  <c r="G4102" i="1"/>
  <c r="E4102" i="1"/>
  <c r="B4102" i="1"/>
  <c r="A4102" i="1"/>
  <c r="H4101" i="1"/>
  <c r="G4101" i="1"/>
  <c r="E4101" i="1"/>
  <c r="B4101" i="1"/>
  <c r="A4101" i="1"/>
  <c r="H4100" i="1"/>
  <c r="G4100" i="1"/>
  <c r="E4100" i="1"/>
  <c r="B4100" i="1"/>
  <c r="A4100" i="1"/>
  <c r="H4099" i="1"/>
  <c r="G4099" i="1"/>
  <c r="E4099" i="1"/>
  <c r="B4099" i="1"/>
  <c r="A4099" i="1"/>
  <c r="H4098" i="1"/>
  <c r="G4098" i="1"/>
  <c r="E4098" i="1"/>
  <c r="B4098" i="1"/>
  <c r="A4098" i="1"/>
  <c r="H4097" i="1"/>
  <c r="G4097" i="1"/>
  <c r="E4097" i="1"/>
  <c r="B4097" i="1"/>
  <c r="A4097" i="1"/>
  <c r="H4096" i="1"/>
  <c r="G4096" i="1"/>
  <c r="E4096" i="1"/>
  <c r="B4096" i="1"/>
  <c r="A4096" i="1"/>
  <c r="H4095" i="1"/>
  <c r="G4095" i="1"/>
  <c r="E4095" i="1"/>
  <c r="B4095" i="1"/>
  <c r="A4095" i="1"/>
  <c r="H4094" i="1"/>
  <c r="G4094" i="1"/>
  <c r="E4094" i="1"/>
  <c r="B4094" i="1"/>
  <c r="A4094" i="1"/>
  <c r="H4093" i="1"/>
  <c r="G4093" i="1"/>
  <c r="E4093" i="1"/>
  <c r="B4093" i="1"/>
  <c r="A4093" i="1"/>
  <c r="H4092" i="1"/>
  <c r="G4092" i="1"/>
  <c r="E4092" i="1"/>
  <c r="B4092" i="1"/>
  <c r="A4092" i="1"/>
  <c r="H4091" i="1"/>
  <c r="G4091" i="1"/>
  <c r="E4091" i="1"/>
  <c r="B4091" i="1"/>
  <c r="A4091" i="1"/>
  <c r="H4090" i="1"/>
  <c r="G4090" i="1"/>
  <c r="E4090" i="1"/>
  <c r="B4090" i="1"/>
  <c r="A4090" i="1"/>
  <c r="H4089" i="1"/>
  <c r="G4089" i="1"/>
  <c r="E4089" i="1"/>
  <c r="B4089" i="1"/>
  <c r="A4089" i="1"/>
  <c r="H4088" i="1"/>
  <c r="G4088" i="1"/>
  <c r="E4088" i="1"/>
  <c r="B4088" i="1"/>
  <c r="A4088" i="1"/>
  <c r="H4087" i="1"/>
  <c r="G4087" i="1"/>
  <c r="E4087" i="1"/>
  <c r="B4087" i="1"/>
  <c r="A4087" i="1"/>
  <c r="H4086" i="1"/>
  <c r="G4086" i="1"/>
  <c r="E4086" i="1"/>
  <c r="B4086" i="1"/>
  <c r="A4086" i="1"/>
  <c r="H4085" i="1"/>
  <c r="G4085" i="1"/>
  <c r="E4085" i="1"/>
  <c r="B4085" i="1"/>
  <c r="A4085" i="1"/>
  <c r="H4084" i="1"/>
  <c r="G4084" i="1"/>
  <c r="E4084" i="1"/>
  <c r="B4084" i="1"/>
  <c r="A4084" i="1"/>
  <c r="H4083" i="1"/>
  <c r="G4083" i="1"/>
  <c r="E4083" i="1"/>
  <c r="B4083" i="1"/>
  <c r="A4083" i="1"/>
  <c r="H4082" i="1"/>
  <c r="G4082" i="1"/>
  <c r="E4082" i="1"/>
  <c r="B4082" i="1"/>
  <c r="A4082" i="1"/>
  <c r="H4081" i="1"/>
  <c r="G4081" i="1"/>
  <c r="E4081" i="1"/>
  <c r="B4081" i="1"/>
  <c r="A4081" i="1"/>
  <c r="H4080" i="1"/>
  <c r="G4080" i="1"/>
  <c r="E4080" i="1"/>
  <c r="B4080" i="1"/>
  <c r="A4080" i="1"/>
  <c r="H4079" i="1"/>
  <c r="G4079" i="1"/>
  <c r="E4079" i="1"/>
  <c r="B4079" i="1"/>
  <c r="A4079" i="1"/>
  <c r="H4078" i="1"/>
  <c r="G4078" i="1"/>
  <c r="E4078" i="1"/>
  <c r="B4078" i="1"/>
  <c r="A4078" i="1"/>
  <c r="H4077" i="1"/>
  <c r="G4077" i="1"/>
  <c r="E4077" i="1"/>
  <c r="B4077" i="1"/>
  <c r="A4077" i="1"/>
  <c r="H4076" i="1"/>
  <c r="G4076" i="1"/>
  <c r="E4076" i="1"/>
  <c r="B4076" i="1"/>
  <c r="A4076" i="1"/>
  <c r="H4075" i="1"/>
  <c r="G4075" i="1"/>
  <c r="E4075" i="1"/>
  <c r="B4075" i="1"/>
  <c r="A4075" i="1"/>
  <c r="H4074" i="1"/>
  <c r="G4074" i="1"/>
  <c r="E4074" i="1"/>
  <c r="B4074" i="1"/>
  <c r="A4074" i="1"/>
  <c r="H4073" i="1"/>
  <c r="G4073" i="1"/>
  <c r="E4073" i="1"/>
  <c r="B4073" i="1"/>
  <c r="A4073" i="1"/>
  <c r="H4072" i="1"/>
  <c r="G4072" i="1"/>
  <c r="E4072" i="1"/>
  <c r="B4072" i="1"/>
  <c r="A4072" i="1"/>
  <c r="H4071" i="1"/>
  <c r="G4071" i="1"/>
  <c r="E4071" i="1"/>
  <c r="B4071" i="1"/>
  <c r="A4071" i="1"/>
  <c r="H4070" i="1"/>
  <c r="G4070" i="1"/>
  <c r="E4070" i="1"/>
  <c r="B4070" i="1"/>
  <c r="A4070" i="1"/>
  <c r="H4069" i="1"/>
  <c r="G4069" i="1"/>
  <c r="E4069" i="1"/>
  <c r="B4069" i="1"/>
  <c r="A4069" i="1"/>
  <c r="H4068" i="1"/>
  <c r="G4068" i="1"/>
  <c r="E4068" i="1"/>
  <c r="B4068" i="1"/>
  <c r="A4068" i="1"/>
  <c r="H4067" i="1"/>
  <c r="G4067" i="1"/>
  <c r="E4067" i="1"/>
  <c r="B4067" i="1"/>
  <c r="A4067" i="1"/>
  <c r="H4066" i="1"/>
  <c r="G4066" i="1"/>
  <c r="E4066" i="1"/>
  <c r="B4066" i="1"/>
  <c r="A4066" i="1"/>
  <c r="H4065" i="1"/>
  <c r="G4065" i="1"/>
  <c r="E4065" i="1"/>
  <c r="B4065" i="1"/>
  <c r="A4065" i="1"/>
  <c r="H4064" i="1"/>
  <c r="G4064" i="1"/>
  <c r="E4064" i="1"/>
  <c r="B4064" i="1"/>
  <c r="A4064" i="1"/>
  <c r="H4063" i="1"/>
  <c r="G4063" i="1"/>
  <c r="E4063" i="1"/>
  <c r="B4063" i="1"/>
  <c r="A4063" i="1"/>
  <c r="H4062" i="1"/>
  <c r="G4062" i="1"/>
  <c r="E4062" i="1"/>
  <c r="B4062" i="1"/>
  <c r="A4062" i="1"/>
  <c r="H4061" i="1"/>
  <c r="G4061" i="1"/>
  <c r="E4061" i="1"/>
  <c r="B4061" i="1"/>
  <c r="A4061" i="1"/>
  <c r="H4060" i="1"/>
  <c r="G4060" i="1"/>
  <c r="E4060" i="1"/>
  <c r="B4060" i="1"/>
  <c r="A4060" i="1"/>
  <c r="H4059" i="1"/>
  <c r="G4059" i="1"/>
  <c r="E4059" i="1"/>
  <c r="B4059" i="1"/>
  <c r="A4059" i="1"/>
  <c r="H4058" i="1"/>
  <c r="G4058" i="1"/>
  <c r="E4058" i="1"/>
  <c r="B4058" i="1"/>
  <c r="A4058" i="1"/>
  <c r="H4057" i="1"/>
  <c r="G4057" i="1"/>
  <c r="E4057" i="1"/>
  <c r="B4057" i="1"/>
  <c r="A4057" i="1"/>
  <c r="H4056" i="1"/>
  <c r="G4056" i="1"/>
  <c r="E4056" i="1"/>
  <c r="B4056" i="1"/>
  <c r="A4056" i="1"/>
  <c r="H4055" i="1"/>
  <c r="G4055" i="1"/>
  <c r="E4055" i="1"/>
  <c r="B4055" i="1"/>
  <c r="A4055" i="1"/>
  <c r="H4054" i="1"/>
  <c r="G4054" i="1"/>
  <c r="E4054" i="1"/>
  <c r="B4054" i="1"/>
  <c r="A4054" i="1"/>
  <c r="H4053" i="1"/>
  <c r="G4053" i="1"/>
  <c r="E4053" i="1"/>
  <c r="B4053" i="1"/>
  <c r="A4053" i="1"/>
  <c r="H4052" i="1"/>
  <c r="G4052" i="1"/>
  <c r="E4052" i="1"/>
  <c r="B4052" i="1"/>
  <c r="A4052" i="1"/>
  <c r="H4051" i="1"/>
  <c r="G4051" i="1"/>
  <c r="E4051" i="1"/>
  <c r="B4051" i="1"/>
  <c r="A4051" i="1"/>
  <c r="H4050" i="1"/>
  <c r="G4050" i="1"/>
  <c r="E4050" i="1"/>
  <c r="B4050" i="1"/>
  <c r="A4050" i="1"/>
  <c r="H4049" i="1"/>
  <c r="G4049" i="1"/>
  <c r="E4049" i="1"/>
  <c r="B4049" i="1"/>
  <c r="A4049" i="1"/>
  <c r="H4048" i="1"/>
  <c r="G4048" i="1"/>
  <c r="E4048" i="1"/>
  <c r="B4048" i="1"/>
  <c r="A4048" i="1"/>
  <c r="H4047" i="1"/>
  <c r="G4047" i="1"/>
  <c r="E4047" i="1"/>
  <c r="B4047" i="1"/>
  <c r="A4047" i="1"/>
  <c r="H4046" i="1"/>
  <c r="G4046" i="1"/>
  <c r="E4046" i="1"/>
  <c r="B4046" i="1"/>
  <c r="A4046" i="1"/>
  <c r="H4045" i="1"/>
  <c r="G4045" i="1"/>
  <c r="E4045" i="1"/>
  <c r="B4045" i="1"/>
  <c r="A4045" i="1"/>
  <c r="H4044" i="1"/>
  <c r="G4044" i="1"/>
  <c r="E4044" i="1"/>
  <c r="B4044" i="1"/>
  <c r="A4044" i="1"/>
  <c r="H4043" i="1"/>
  <c r="G4043" i="1"/>
  <c r="E4043" i="1"/>
  <c r="B4043" i="1"/>
  <c r="A4043" i="1"/>
  <c r="H4042" i="1"/>
  <c r="G4042" i="1"/>
  <c r="E4042" i="1"/>
  <c r="B4042" i="1"/>
  <c r="A4042" i="1"/>
  <c r="H4041" i="1"/>
  <c r="G4041" i="1"/>
  <c r="E4041" i="1"/>
  <c r="B4041" i="1"/>
  <c r="A4041" i="1"/>
  <c r="H4040" i="1"/>
  <c r="G4040" i="1"/>
  <c r="E4040" i="1"/>
  <c r="B4040" i="1"/>
  <c r="A4040" i="1"/>
  <c r="H4039" i="1"/>
  <c r="G4039" i="1"/>
  <c r="E4039" i="1"/>
  <c r="B4039" i="1"/>
  <c r="A4039" i="1"/>
  <c r="H4038" i="1"/>
  <c r="G4038" i="1"/>
  <c r="E4038" i="1"/>
  <c r="B4038" i="1"/>
  <c r="A4038" i="1"/>
  <c r="H4037" i="1"/>
  <c r="G4037" i="1"/>
  <c r="E4037" i="1"/>
  <c r="B4037" i="1"/>
  <c r="A4037" i="1"/>
  <c r="H4036" i="1"/>
  <c r="G4036" i="1"/>
  <c r="E4036" i="1"/>
  <c r="B4036" i="1"/>
  <c r="A4036" i="1"/>
  <c r="H4035" i="1"/>
  <c r="G4035" i="1"/>
  <c r="E4035" i="1"/>
  <c r="B4035" i="1"/>
  <c r="A4035" i="1"/>
  <c r="H4034" i="1"/>
  <c r="G4034" i="1"/>
  <c r="E4034" i="1"/>
  <c r="B4034" i="1"/>
  <c r="A4034" i="1"/>
  <c r="H4033" i="1"/>
  <c r="G4033" i="1"/>
  <c r="E4033" i="1"/>
  <c r="B4033" i="1"/>
  <c r="A4033" i="1"/>
  <c r="H4032" i="1"/>
  <c r="G4032" i="1"/>
  <c r="E4032" i="1"/>
  <c r="B4032" i="1"/>
  <c r="A4032" i="1"/>
  <c r="H4031" i="1"/>
  <c r="G4031" i="1"/>
  <c r="E4031" i="1"/>
  <c r="B4031" i="1"/>
  <c r="A4031" i="1"/>
  <c r="H4030" i="1"/>
  <c r="G4030" i="1"/>
  <c r="E4030" i="1"/>
  <c r="B4030" i="1"/>
  <c r="A4030" i="1"/>
  <c r="H4029" i="1"/>
  <c r="G4029" i="1"/>
  <c r="E4029" i="1"/>
  <c r="B4029" i="1"/>
  <c r="A4029" i="1"/>
  <c r="H4028" i="1"/>
  <c r="G4028" i="1"/>
  <c r="E4028" i="1"/>
  <c r="B4028" i="1"/>
  <c r="A4028" i="1"/>
  <c r="H4027" i="1"/>
  <c r="G4027" i="1"/>
  <c r="E4027" i="1"/>
  <c r="B4027" i="1"/>
  <c r="A4027" i="1"/>
  <c r="H4026" i="1"/>
  <c r="G4026" i="1"/>
  <c r="E4026" i="1"/>
  <c r="B4026" i="1"/>
  <c r="A4026" i="1"/>
  <c r="H4025" i="1"/>
  <c r="G4025" i="1"/>
  <c r="E4025" i="1"/>
  <c r="B4025" i="1"/>
  <c r="A4025" i="1"/>
  <c r="H4024" i="1"/>
  <c r="G4024" i="1"/>
  <c r="E4024" i="1"/>
  <c r="B4024" i="1"/>
  <c r="A4024" i="1"/>
  <c r="H4023" i="1"/>
  <c r="G4023" i="1"/>
  <c r="E4023" i="1"/>
  <c r="B4023" i="1"/>
  <c r="A4023" i="1"/>
  <c r="H4022" i="1"/>
  <c r="G4022" i="1"/>
  <c r="E4022" i="1"/>
  <c r="B4022" i="1"/>
  <c r="A4022" i="1"/>
  <c r="H4021" i="1"/>
  <c r="G4021" i="1"/>
  <c r="E4021" i="1"/>
  <c r="B4021" i="1"/>
  <c r="A4021" i="1"/>
  <c r="H4020" i="1"/>
  <c r="G4020" i="1"/>
  <c r="E4020" i="1"/>
  <c r="B4020" i="1"/>
  <c r="A4020" i="1"/>
  <c r="H4019" i="1"/>
  <c r="G4019" i="1"/>
  <c r="E4019" i="1"/>
  <c r="B4019" i="1"/>
  <c r="A4019" i="1"/>
  <c r="H4018" i="1"/>
  <c r="G4018" i="1"/>
  <c r="E4018" i="1"/>
  <c r="B4018" i="1"/>
  <c r="A4018" i="1"/>
  <c r="H4017" i="1"/>
  <c r="G4017" i="1"/>
  <c r="E4017" i="1"/>
  <c r="B4017" i="1"/>
  <c r="A4017" i="1"/>
  <c r="H4016" i="1"/>
  <c r="G4016" i="1"/>
  <c r="E4016" i="1"/>
  <c r="B4016" i="1"/>
  <c r="A4016" i="1"/>
  <c r="H4015" i="1"/>
  <c r="G4015" i="1"/>
  <c r="E4015" i="1"/>
  <c r="B4015" i="1"/>
  <c r="A4015" i="1"/>
  <c r="H4014" i="1"/>
  <c r="G4014" i="1"/>
  <c r="E4014" i="1"/>
  <c r="B4014" i="1"/>
  <c r="A4014" i="1"/>
  <c r="H4013" i="1"/>
  <c r="G4013" i="1"/>
  <c r="E4013" i="1"/>
  <c r="B4013" i="1"/>
  <c r="A4013" i="1"/>
  <c r="H4012" i="1"/>
  <c r="G4012" i="1"/>
  <c r="E4012" i="1"/>
  <c r="B4012" i="1"/>
  <c r="A4012" i="1"/>
  <c r="H4011" i="1"/>
  <c r="G4011" i="1"/>
  <c r="E4011" i="1"/>
  <c r="B4011" i="1"/>
  <c r="A4011" i="1"/>
  <c r="H4010" i="1"/>
  <c r="G4010" i="1"/>
  <c r="E4010" i="1"/>
  <c r="B4010" i="1"/>
  <c r="A4010" i="1"/>
  <c r="H4009" i="1"/>
  <c r="G4009" i="1"/>
  <c r="E4009" i="1"/>
  <c r="B4009" i="1"/>
  <c r="A4009" i="1"/>
  <c r="H4008" i="1"/>
  <c r="G4008" i="1"/>
  <c r="E4008" i="1"/>
  <c r="B4008" i="1"/>
  <c r="A4008" i="1"/>
  <c r="H4007" i="1"/>
  <c r="G4007" i="1"/>
  <c r="E4007" i="1"/>
  <c r="B4007" i="1"/>
  <c r="A4007" i="1"/>
  <c r="H4006" i="1"/>
  <c r="G4006" i="1"/>
  <c r="E4006" i="1"/>
  <c r="B4006" i="1"/>
  <c r="A4006" i="1"/>
  <c r="H4005" i="1"/>
  <c r="G4005" i="1"/>
  <c r="E4005" i="1"/>
  <c r="B4005" i="1"/>
  <c r="A4005" i="1"/>
  <c r="H4004" i="1"/>
  <c r="G4004" i="1"/>
  <c r="E4004" i="1"/>
  <c r="B4004" i="1"/>
  <c r="A4004" i="1"/>
  <c r="H4003" i="1"/>
  <c r="G4003" i="1"/>
  <c r="E4003" i="1"/>
  <c r="B4003" i="1"/>
  <c r="A4003" i="1"/>
  <c r="H4002" i="1"/>
  <c r="G4002" i="1"/>
  <c r="E4002" i="1"/>
  <c r="B4002" i="1"/>
  <c r="A4002" i="1"/>
  <c r="H4001" i="1"/>
  <c r="G4001" i="1"/>
  <c r="E4001" i="1"/>
  <c r="B4001" i="1"/>
  <c r="A4001" i="1"/>
  <c r="H4000" i="1"/>
  <c r="G4000" i="1"/>
  <c r="E4000" i="1"/>
  <c r="B4000" i="1"/>
  <c r="A4000" i="1"/>
  <c r="H3999" i="1"/>
  <c r="G3999" i="1"/>
  <c r="E3999" i="1"/>
  <c r="B3999" i="1"/>
  <c r="A3999" i="1"/>
  <c r="H3998" i="1"/>
  <c r="G3998" i="1"/>
  <c r="E3998" i="1"/>
  <c r="B3998" i="1"/>
  <c r="A3998" i="1"/>
  <c r="H3997" i="1"/>
  <c r="G3997" i="1"/>
  <c r="E3997" i="1"/>
  <c r="B3997" i="1"/>
  <c r="A3997" i="1"/>
  <c r="H3996" i="1"/>
  <c r="G3996" i="1"/>
  <c r="E3996" i="1"/>
  <c r="B3996" i="1"/>
  <c r="A3996" i="1"/>
  <c r="H3995" i="1"/>
  <c r="G3995" i="1"/>
  <c r="E3995" i="1"/>
  <c r="B3995" i="1"/>
  <c r="A3995" i="1"/>
  <c r="H3994" i="1"/>
  <c r="G3994" i="1"/>
  <c r="E3994" i="1"/>
  <c r="B3994" i="1"/>
  <c r="A3994" i="1"/>
  <c r="H3993" i="1"/>
  <c r="G3993" i="1"/>
  <c r="E3993" i="1"/>
  <c r="B3993" i="1"/>
  <c r="A3993" i="1"/>
  <c r="H3992" i="1"/>
  <c r="G3992" i="1"/>
  <c r="E3992" i="1"/>
  <c r="B3992" i="1"/>
  <c r="A3992" i="1"/>
  <c r="H3991" i="1"/>
  <c r="G3991" i="1"/>
  <c r="E3991" i="1"/>
  <c r="B3991" i="1"/>
  <c r="A3991" i="1"/>
  <c r="H3990" i="1"/>
  <c r="G3990" i="1"/>
  <c r="E3990" i="1"/>
  <c r="B3990" i="1"/>
  <c r="A3990" i="1"/>
  <c r="H3989" i="1"/>
  <c r="G3989" i="1"/>
  <c r="E3989" i="1"/>
  <c r="B3989" i="1"/>
  <c r="A3989" i="1"/>
  <c r="H3988" i="1"/>
  <c r="G3988" i="1"/>
  <c r="E3988" i="1"/>
  <c r="B3988" i="1"/>
  <c r="A3988" i="1"/>
  <c r="H3987" i="1"/>
  <c r="G3987" i="1"/>
  <c r="E3987" i="1"/>
  <c r="B3987" i="1"/>
  <c r="A3987" i="1"/>
  <c r="H3986" i="1"/>
  <c r="G3986" i="1"/>
  <c r="E3986" i="1"/>
  <c r="B3986" i="1"/>
  <c r="A3986" i="1"/>
  <c r="H3985" i="1"/>
  <c r="G3985" i="1"/>
  <c r="E3985" i="1"/>
  <c r="B3985" i="1"/>
  <c r="A3985" i="1"/>
  <c r="H3984" i="1"/>
  <c r="G3984" i="1"/>
  <c r="E3984" i="1"/>
  <c r="B3984" i="1"/>
  <c r="A3984" i="1"/>
  <c r="H3983" i="1"/>
  <c r="G3983" i="1"/>
  <c r="E3983" i="1"/>
  <c r="B3983" i="1"/>
  <c r="A3983" i="1"/>
  <c r="H3982" i="1"/>
  <c r="G3982" i="1"/>
  <c r="E3982" i="1"/>
  <c r="B3982" i="1"/>
  <c r="A3982" i="1"/>
  <c r="H3981" i="1"/>
  <c r="G3981" i="1"/>
  <c r="E3981" i="1"/>
  <c r="B3981" i="1"/>
  <c r="A3981" i="1"/>
  <c r="H3980" i="1"/>
  <c r="G3980" i="1"/>
  <c r="E3980" i="1"/>
  <c r="B3980" i="1"/>
  <c r="A3980" i="1"/>
  <c r="H3979" i="1"/>
  <c r="G3979" i="1"/>
  <c r="E3979" i="1"/>
  <c r="B3979" i="1"/>
  <c r="A3979" i="1"/>
  <c r="H3978" i="1"/>
  <c r="G3978" i="1"/>
  <c r="E3978" i="1"/>
  <c r="B3978" i="1"/>
  <c r="A3978" i="1"/>
  <c r="H3977" i="1"/>
  <c r="G3977" i="1"/>
  <c r="E3977" i="1"/>
  <c r="B3977" i="1"/>
  <c r="A3977" i="1"/>
  <c r="H3976" i="1"/>
  <c r="G3976" i="1"/>
  <c r="E3976" i="1"/>
  <c r="B3976" i="1"/>
  <c r="A3976" i="1"/>
  <c r="H3975" i="1"/>
  <c r="G3975" i="1"/>
  <c r="E3975" i="1"/>
  <c r="B3975" i="1"/>
  <c r="A3975" i="1"/>
  <c r="H3974" i="1"/>
  <c r="G3974" i="1"/>
  <c r="E3974" i="1"/>
  <c r="B3974" i="1"/>
  <c r="A3974" i="1"/>
  <c r="H3973" i="1"/>
  <c r="G3973" i="1"/>
  <c r="E3973" i="1"/>
  <c r="B3973" i="1"/>
  <c r="A3973" i="1"/>
  <c r="H3972" i="1"/>
  <c r="G3972" i="1"/>
  <c r="E3972" i="1"/>
  <c r="B3972" i="1"/>
  <c r="A3972" i="1"/>
  <c r="H3971" i="1"/>
  <c r="G3971" i="1"/>
  <c r="E3971" i="1"/>
  <c r="B3971" i="1"/>
  <c r="A3971" i="1"/>
  <c r="H3970" i="1"/>
  <c r="G3970" i="1"/>
  <c r="E3970" i="1"/>
  <c r="B3970" i="1"/>
  <c r="A3970" i="1"/>
  <c r="H3969" i="1"/>
  <c r="G3969" i="1"/>
  <c r="E3969" i="1"/>
  <c r="B3969" i="1"/>
  <c r="A3969" i="1"/>
  <c r="H3968" i="1"/>
  <c r="G3968" i="1"/>
  <c r="E3968" i="1"/>
  <c r="B3968" i="1"/>
  <c r="A3968" i="1"/>
  <c r="H3967" i="1"/>
  <c r="G3967" i="1"/>
  <c r="E3967" i="1"/>
  <c r="B3967" i="1"/>
  <c r="A3967" i="1"/>
  <c r="H3966" i="1"/>
  <c r="G3966" i="1"/>
  <c r="E3966" i="1"/>
  <c r="B3966" i="1"/>
  <c r="A3966" i="1"/>
  <c r="H3965" i="1"/>
  <c r="G3965" i="1"/>
  <c r="E3965" i="1"/>
  <c r="B3965" i="1"/>
  <c r="A3965" i="1"/>
  <c r="H3964" i="1"/>
  <c r="G3964" i="1"/>
  <c r="E3964" i="1"/>
  <c r="B3964" i="1"/>
  <c r="A3964" i="1"/>
  <c r="H3963" i="1"/>
  <c r="G3963" i="1"/>
  <c r="E3963" i="1"/>
  <c r="B3963" i="1"/>
  <c r="A3963" i="1"/>
  <c r="H3962" i="1"/>
  <c r="G3962" i="1"/>
  <c r="E3962" i="1"/>
  <c r="B3962" i="1"/>
  <c r="A3962" i="1"/>
  <c r="H3961" i="1"/>
  <c r="G3961" i="1"/>
  <c r="E3961" i="1"/>
  <c r="B3961" i="1"/>
  <c r="A3961" i="1"/>
  <c r="H3960" i="1"/>
  <c r="G3960" i="1"/>
  <c r="E3960" i="1"/>
  <c r="B3960" i="1"/>
  <c r="A3960" i="1"/>
  <c r="H3959" i="1"/>
  <c r="G3959" i="1"/>
  <c r="E3959" i="1"/>
  <c r="B3959" i="1"/>
  <c r="A3959" i="1"/>
  <c r="H3958" i="1"/>
  <c r="G3958" i="1"/>
  <c r="E3958" i="1"/>
  <c r="B3958" i="1"/>
  <c r="A3958" i="1"/>
  <c r="H3957" i="1"/>
  <c r="G3957" i="1"/>
  <c r="E3957" i="1"/>
  <c r="B3957" i="1"/>
  <c r="A3957" i="1"/>
  <c r="H3956" i="1"/>
  <c r="G3956" i="1"/>
  <c r="E3956" i="1"/>
  <c r="B3956" i="1"/>
  <c r="A3956" i="1"/>
  <c r="H3955" i="1"/>
  <c r="G3955" i="1"/>
  <c r="E3955" i="1"/>
  <c r="B3955" i="1"/>
  <c r="A3955" i="1"/>
  <c r="H3954" i="1"/>
  <c r="G3954" i="1"/>
  <c r="E3954" i="1"/>
  <c r="B3954" i="1"/>
  <c r="A3954" i="1"/>
  <c r="H3953" i="1"/>
  <c r="G3953" i="1"/>
  <c r="E3953" i="1"/>
  <c r="B3953" i="1"/>
  <c r="A3953" i="1"/>
  <c r="H3952" i="1"/>
  <c r="G3952" i="1"/>
  <c r="E3952" i="1"/>
  <c r="B3952" i="1"/>
  <c r="A3952" i="1"/>
  <c r="H3951" i="1"/>
  <c r="G3951" i="1"/>
  <c r="E3951" i="1"/>
  <c r="B3951" i="1"/>
  <c r="A3951" i="1"/>
  <c r="H3950" i="1"/>
  <c r="G3950" i="1"/>
  <c r="E3950" i="1"/>
  <c r="B3950" i="1"/>
  <c r="A3950" i="1"/>
  <c r="H3949" i="1"/>
  <c r="G3949" i="1"/>
  <c r="E3949" i="1"/>
  <c r="B3949" i="1"/>
  <c r="A3949" i="1"/>
  <c r="H3948" i="1"/>
  <c r="G3948" i="1"/>
  <c r="E3948" i="1"/>
  <c r="B3948" i="1"/>
  <c r="A3948" i="1"/>
  <c r="H3947" i="1"/>
  <c r="G3947" i="1"/>
  <c r="E3947" i="1"/>
  <c r="B3947" i="1"/>
  <c r="A3947" i="1"/>
  <c r="H3946" i="1"/>
  <c r="G3946" i="1"/>
  <c r="E3946" i="1"/>
  <c r="B3946" i="1"/>
  <c r="A3946" i="1"/>
  <c r="H3945" i="1"/>
  <c r="G3945" i="1"/>
  <c r="E3945" i="1"/>
  <c r="B3945" i="1"/>
  <c r="A3945" i="1"/>
  <c r="H3944" i="1"/>
  <c r="G3944" i="1"/>
  <c r="E3944" i="1"/>
  <c r="B3944" i="1"/>
  <c r="A3944" i="1"/>
  <c r="H3943" i="1"/>
  <c r="G3943" i="1"/>
  <c r="E3943" i="1"/>
  <c r="B3943" i="1"/>
  <c r="A3943" i="1"/>
  <c r="H3942" i="1"/>
  <c r="G3942" i="1"/>
  <c r="E3942" i="1"/>
  <c r="B3942" i="1"/>
  <c r="A3942" i="1"/>
  <c r="H3941" i="1"/>
  <c r="G3941" i="1"/>
  <c r="E3941" i="1"/>
  <c r="B3941" i="1"/>
  <c r="A3941" i="1"/>
  <c r="H3940" i="1"/>
  <c r="G3940" i="1"/>
  <c r="E3940" i="1"/>
  <c r="B3940" i="1"/>
  <c r="A3940" i="1"/>
  <c r="H3939" i="1"/>
  <c r="G3939" i="1"/>
  <c r="E3939" i="1"/>
  <c r="B3939" i="1"/>
  <c r="A3939" i="1"/>
  <c r="H3938" i="1"/>
  <c r="G3938" i="1"/>
  <c r="E3938" i="1"/>
  <c r="B3938" i="1"/>
  <c r="A3938" i="1"/>
  <c r="H3937" i="1"/>
  <c r="G3937" i="1"/>
  <c r="E3937" i="1"/>
  <c r="B3937" i="1"/>
  <c r="A3937" i="1"/>
  <c r="H3936" i="1"/>
  <c r="G3936" i="1"/>
  <c r="E3936" i="1"/>
  <c r="B3936" i="1"/>
  <c r="A3936" i="1"/>
  <c r="H3935" i="1"/>
  <c r="G3935" i="1"/>
  <c r="E3935" i="1"/>
  <c r="B3935" i="1"/>
  <c r="A3935" i="1"/>
  <c r="H3934" i="1"/>
  <c r="G3934" i="1"/>
  <c r="E3934" i="1"/>
  <c r="B3934" i="1"/>
  <c r="A3934" i="1"/>
  <c r="H3933" i="1"/>
  <c r="G3933" i="1"/>
  <c r="E3933" i="1"/>
  <c r="B3933" i="1"/>
  <c r="A3933" i="1"/>
  <c r="H3932" i="1"/>
  <c r="G3932" i="1"/>
  <c r="E3932" i="1"/>
  <c r="B3932" i="1"/>
  <c r="A3932" i="1"/>
  <c r="H3931" i="1"/>
  <c r="G3931" i="1"/>
  <c r="E3931" i="1"/>
  <c r="B3931" i="1"/>
  <c r="A3931" i="1"/>
  <c r="H3930" i="1"/>
  <c r="G3930" i="1"/>
  <c r="E3930" i="1"/>
  <c r="B3930" i="1"/>
  <c r="A3930" i="1"/>
  <c r="H3929" i="1"/>
  <c r="G3929" i="1"/>
  <c r="E3929" i="1"/>
  <c r="B3929" i="1"/>
  <c r="A3929" i="1"/>
  <c r="H3928" i="1"/>
  <c r="G3928" i="1"/>
  <c r="E3928" i="1"/>
  <c r="B3928" i="1"/>
  <c r="A3928" i="1"/>
  <c r="H3927" i="1"/>
  <c r="G3927" i="1"/>
  <c r="E3927" i="1"/>
  <c r="B3927" i="1"/>
  <c r="A3927" i="1"/>
  <c r="H3926" i="1"/>
  <c r="G3926" i="1"/>
  <c r="E3926" i="1"/>
  <c r="B3926" i="1"/>
  <c r="A3926" i="1"/>
  <c r="H3925" i="1"/>
  <c r="G3925" i="1"/>
  <c r="E3925" i="1"/>
  <c r="B3925" i="1"/>
  <c r="A3925" i="1"/>
  <c r="H3924" i="1"/>
  <c r="G3924" i="1"/>
  <c r="E3924" i="1"/>
  <c r="B3924" i="1"/>
  <c r="A3924" i="1"/>
  <c r="H3923" i="1"/>
  <c r="G3923" i="1"/>
  <c r="E3923" i="1"/>
  <c r="B3923" i="1"/>
  <c r="A3923" i="1"/>
  <c r="H3922" i="1"/>
  <c r="G3922" i="1"/>
  <c r="E3922" i="1"/>
  <c r="B3922" i="1"/>
  <c r="A3922" i="1"/>
  <c r="H3921" i="1"/>
  <c r="G3921" i="1"/>
  <c r="E3921" i="1"/>
  <c r="B3921" i="1"/>
  <c r="A3921" i="1"/>
  <c r="H3920" i="1"/>
  <c r="G3920" i="1"/>
  <c r="E3920" i="1"/>
  <c r="B3920" i="1"/>
  <c r="A3920" i="1"/>
  <c r="H3919" i="1"/>
  <c r="G3919" i="1"/>
  <c r="E3919" i="1"/>
  <c r="B3919" i="1"/>
  <c r="A3919" i="1"/>
  <c r="H3918" i="1"/>
  <c r="G3918" i="1"/>
  <c r="E3918" i="1"/>
  <c r="B3918" i="1"/>
  <c r="A3918" i="1"/>
  <c r="H3917" i="1"/>
  <c r="G3917" i="1"/>
  <c r="E3917" i="1"/>
  <c r="B3917" i="1"/>
  <c r="A3917" i="1"/>
  <c r="H3916" i="1"/>
  <c r="G3916" i="1"/>
  <c r="E3916" i="1"/>
  <c r="B3916" i="1"/>
  <c r="A3916" i="1"/>
  <c r="H3915" i="1"/>
  <c r="G3915" i="1"/>
  <c r="E3915" i="1"/>
  <c r="B3915" i="1"/>
  <c r="A3915" i="1"/>
  <c r="H3914" i="1"/>
  <c r="G3914" i="1"/>
  <c r="E3914" i="1"/>
  <c r="B3914" i="1"/>
  <c r="A3914" i="1"/>
  <c r="H3913" i="1"/>
  <c r="G3913" i="1"/>
  <c r="E3913" i="1"/>
  <c r="B3913" i="1"/>
  <c r="A3913" i="1"/>
  <c r="H3912" i="1"/>
  <c r="G3912" i="1"/>
  <c r="E3912" i="1"/>
  <c r="B3912" i="1"/>
  <c r="A3912" i="1"/>
  <c r="H3911" i="1"/>
  <c r="G3911" i="1"/>
  <c r="E3911" i="1"/>
  <c r="B3911" i="1"/>
  <c r="A3911" i="1"/>
  <c r="H3910" i="1"/>
  <c r="G3910" i="1"/>
  <c r="E3910" i="1"/>
  <c r="B3910" i="1"/>
  <c r="A3910" i="1"/>
  <c r="H3909" i="1"/>
  <c r="G3909" i="1"/>
  <c r="E3909" i="1"/>
  <c r="B3909" i="1"/>
  <c r="A3909" i="1"/>
  <c r="H3908" i="1"/>
  <c r="G3908" i="1"/>
  <c r="E3908" i="1"/>
  <c r="B3908" i="1"/>
  <c r="A3908" i="1"/>
  <c r="H3907" i="1"/>
  <c r="G3907" i="1"/>
  <c r="E3907" i="1"/>
  <c r="B3907" i="1"/>
  <c r="A3907" i="1"/>
  <c r="H3906" i="1"/>
  <c r="G3906" i="1"/>
  <c r="E3906" i="1"/>
  <c r="B3906" i="1"/>
  <c r="A3906" i="1"/>
  <c r="H3905" i="1"/>
  <c r="G3905" i="1"/>
  <c r="E3905" i="1"/>
  <c r="B3905" i="1"/>
  <c r="A3905" i="1"/>
  <c r="H3904" i="1"/>
  <c r="G3904" i="1"/>
  <c r="E3904" i="1"/>
  <c r="B3904" i="1"/>
  <c r="A3904" i="1"/>
  <c r="H3903" i="1"/>
  <c r="G3903" i="1"/>
  <c r="E3903" i="1"/>
  <c r="B3903" i="1"/>
  <c r="A3903" i="1"/>
  <c r="H3902" i="1"/>
  <c r="G3902" i="1"/>
  <c r="E3902" i="1"/>
  <c r="B3902" i="1"/>
  <c r="A3902" i="1"/>
  <c r="H3901" i="1"/>
  <c r="G3901" i="1"/>
  <c r="E3901" i="1"/>
  <c r="B3901" i="1"/>
  <c r="A3901" i="1"/>
  <c r="H3900" i="1"/>
  <c r="G3900" i="1"/>
  <c r="E3900" i="1"/>
  <c r="B3900" i="1"/>
  <c r="A3900" i="1"/>
  <c r="H3899" i="1"/>
  <c r="G3899" i="1"/>
  <c r="E3899" i="1"/>
  <c r="B3899" i="1"/>
  <c r="A3899" i="1"/>
  <c r="H3898" i="1"/>
  <c r="G3898" i="1"/>
  <c r="E3898" i="1"/>
  <c r="B3898" i="1"/>
  <c r="A3898" i="1"/>
  <c r="H3897" i="1"/>
  <c r="G3897" i="1"/>
  <c r="E3897" i="1"/>
  <c r="B3897" i="1"/>
  <c r="A3897" i="1"/>
  <c r="H3896" i="1"/>
  <c r="G3896" i="1"/>
  <c r="E3896" i="1"/>
  <c r="B3896" i="1"/>
  <c r="A3896" i="1"/>
  <c r="H3895" i="1"/>
  <c r="G3895" i="1"/>
  <c r="E3895" i="1"/>
  <c r="B3895" i="1"/>
  <c r="A3895" i="1"/>
  <c r="H3894" i="1"/>
  <c r="G3894" i="1"/>
  <c r="E3894" i="1"/>
  <c r="B3894" i="1"/>
  <c r="A3894" i="1"/>
  <c r="H3893" i="1"/>
  <c r="G3893" i="1"/>
  <c r="E3893" i="1"/>
  <c r="B3893" i="1"/>
  <c r="A3893" i="1"/>
  <c r="H3892" i="1"/>
  <c r="G3892" i="1"/>
  <c r="E3892" i="1"/>
  <c r="B3892" i="1"/>
  <c r="A3892" i="1"/>
  <c r="H3891" i="1"/>
  <c r="G3891" i="1"/>
  <c r="E3891" i="1"/>
  <c r="B3891" i="1"/>
  <c r="A3891" i="1"/>
  <c r="H3890" i="1"/>
  <c r="G3890" i="1"/>
  <c r="E3890" i="1"/>
  <c r="B3890" i="1"/>
  <c r="A3890" i="1"/>
  <c r="H3889" i="1"/>
  <c r="G3889" i="1"/>
  <c r="E3889" i="1"/>
  <c r="B3889" i="1"/>
  <c r="A3889" i="1"/>
  <c r="H3888" i="1"/>
  <c r="G3888" i="1"/>
  <c r="E3888" i="1"/>
  <c r="B3888" i="1"/>
  <c r="A3888" i="1"/>
  <c r="H3887" i="1"/>
  <c r="G3887" i="1"/>
  <c r="E3887" i="1"/>
  <c r="B3887" i="1"/>
  <c r="A3887" i="1"/>
  <c r="H3886" i="1"/>
  <c r="G3886" i="1"/>
  <c r="E3886" i="1"/>
  <c r="B3886" i="1"/>
  <c r="A3886" i="1"/>
  <c r="H3885" i="1"/>
  <c r="G3885" i="1"/>
  <c r="E3885" i="1"/>
  <c r="B3885" i="1"/>
  <c r="A3885" i="1"/>
  <c r="H3884" i="1"/>
  <c r="G3884" i="1"/>
  <c r="E3884" i="1"/>
  <c r="B3884" i="1"/>
  <c r="A3884" i="1"/>
  <c r="H3883" i="1"/>
  <c r="G3883" i="1"/>
  <c r="E3883" i="1"/>
  <c r="B3883" i="1"/>
  <c r="A3883" i="1"/>
  <c r="H3882" i="1"/>
  <c r="G3882" i="1"/>
  <c r="E3882" i="1"/>
  <c r="B3882" i="1"/>
  <c r="A3882" i="1"/>
  <c r="H3881" i="1"/>
  <c r="G3881" i="1"/>
  <c r="E3881" i="1"/>
  <c r="B3881" i="1"/>
  <c r="A3881" i="1"/>
  <c r="H3880" i="1"/>
  <c r="G3880" i="1"/>
  <c r="E3880" i="1"/>
  <c r="B3880" i="1"/>
  <c r="A3880" i="1"/>
  <c r="H3879" i="1"/>
  <c r="G3879" i="1"/>
  <c r="E3879" i="1"/>
  <c r="B3879" i="1"/>
  <c r="A3879" i="1"/>
  <c r="H3878" i="1"/>
  <c r="G3878" i="1"/>
  <c r="E3878" i="1"/>
  <c r="B3878" i="1"/>
  <c r="A3878" i="1"/>
  <c r="H3877" i="1"/>
  <c r="G3877" i="1"/>
  <c r="E3877" i="1"/>
  <c r="B3877" i="1"/>
  <c r="A3877" i="1"/>
  <c r="H3876" i="1"/>
  <c r="G3876" i="1"/>
  <c r="E3876" i="1"/>
  <c r="B3876" i="1"/>
  <c r="A3876" i="1"/>
  <c r="H3875" i="1"/>
  <c r="G3875" i="1"/>
  <c r="E3875" i="1"/>
  <c r="B3875" i="1"/>
  <c r="A3875" i="1"/>
  <c r="H3874" i="1"/>
  <c r="G3874" i="1"/>
  <c r="E3874" i="1"/>
  <c r="B3874" i="1"/>
  <c r="A3874" i="1"/>
  <c r="H3873" i="1"/>
  <c r="G3873" i="1"/>
  <c r="E3873" i="1"/>
  <c r="B3873" i="1"/>
  <c r="A3873" i="1"/>
  <c r="H3872" i="1"/>
  <c r="G3872" i="1"/>
  <c r="E3872" i="1"/>
  <c r="B3872" i="1"/>
  <c r="A3872" i="1"/>
  <c r="H3871" i="1"/>
  <c r="G3871" i="1"/>
  <c r="E3871" i="1"/>
  <c r="B3871" i="1"/>
  <c r="A3871" i="1"/>
  <c r="H3870" i="1"/>
  <c r="G3870" i="1"/>
  <c r="E3870" i="1"/>
  <c r="B3870" i="1"/>
  <c r="A3870" i="1"/>
  <c r="H3869" i="1"/>
  <c r="G3869" i="1"/>
  <c r="E3869" i="1"/>
  <c r="B3869" i="1"/>
  <c r="A3869" i="1"/>
  <c r="H3868" i="1"/>
  <c r="G3868" i="1"/>
  <c r="E3868" i="1"/>
  <c r="B3868" i="1"/>
  <c r="A3868" i="1"/>
  <c r="H3867" i="1"/>
  <c r="G3867" i="1"/>
  <c r="E3867" i="1"/>
  <c r="B3867" i="1"/>
  <c r="A3867" i="1"/>
  <c r="H3866" i="1"/>
  <c r="G3866" i="1"/>
  <c r="E3866" i="1"/>
  <c r="B3866" i="1"/>
  <c r="A3866" i="1"/>
  <c r="H3865" i="1"/>
  <c r="G3865" i="1"/>
  <c r="E3865" i="1"/>
  <c r="B3865" i="1"/>
  <c r="A3865" i="1"/>
  <c r="H3864" i="1"/>
  <c r="G3864" i="1"/>
  <c r="E3864" i="1"/>
  <c r="B3864" i="1"/>
  <c r="A3864" i="1"/>
  <c r="H3863" i="1"/>
  <c r="G3863" i="1"/>
  <c r="E3863" i="1"/>
  <c r="B3863" i="1"/>
  <c r="A3863" i="1"/>
  <c r="H3862" i="1"/>
  <c r="G3862" i="1"/>
  <c r="E3862" i="1"/>
  <c r="B3862" i="1"/>
  <c r="A3862" i="1"/>
  <c r="H3861" i="1"/>
  <c r="G3861" i="1"/>
  <c r="E3861" i="1"/>
  <c r="B3861" i="1"/>
  <c r="A3861" i="1"/>
  <c r="H3860" i="1"/>
  <c r="G3860" i="1"/>
  <c r="E3860" i="1"/>
  <c r="B3860" i="1"/>
  <c r="A3860" i="1"/>
  <c r="H3859" i="1"/>
  <c r="G3859" i="1"/>
  <c r="E3859" i="1"/>
  <c r="B3859" i="1"/>
  <c r="A3859" i="1"/>
  <c r="H3858" i="1"/>
  <c r="G3858" i="1"/>
  <c r="E3858" i="1"/>
  <c r="B3858" i="1"/>
  <c r="A3858" i="1"/>
  <c r="H3857" i="1"/>
  <c r="G3857" i="1"/>
  <c r="E3857" i="1"/>
  <c r="B3857" i="1"/>
  <c r="A3857" i="1"/>
  <c r="H3856" i="1"/>
  <c r="G3856" i="1"/>
  <c r="E3856" i="1"/>
  <c r="B3856" i="1"/>
  <c r="A3856" i="1"/>
  <c r="H3855" i="1"/>
  <c r="G3855" i="1"/>
  <c r="E3855" i="1"/>
  <c r="B3855" i="1"/>
  <c r="A3855" i="1"/>
  <c r="H3854" i="1"/>
  <c r="G3854" i="1"/>
  <c r="E3854" i="1"/>
  <c r="B3854" i="1"/>
  <c r="A3854" i="1"/>
  <c r="H3853" i="1"/>
  <c r="G3853" i="1"/>
  <c r="E3853" i="1"/>
  <c r="B3853" i="1"/>
  <c r="A3853" i="1"/>
  <c r="H3852" i="1"/>
  <c r="G3852" i="1"/>
  <c r="E3852" i="1"/>
  <c r="B3852" i="1"/>
  <c r="A3852" i="1"/>
  <c r="H3851" i="1"/>
  <c r="G3851" i="1"/>
  <c r="E3851" i="1"/>
  <c r="B3851" i="1"/>
  <c r="A3851" i="1"/>
  <c r="H3850" i="1"/>
  <c r="G3850" i="1"/>
  <c r="E3850" i="1"/>
  <c r="B3850" i="1"/>
  <c r="A3850" i="1"/>
  <c r="H3849" i="1"/>
  <c r="G3849" i="1"/>
  <c r="E3849" i="1"/>
  <c r="B3849" i="1"/>
  <c r="A3849" i="1"/>
  <c r="H3848" i="1"/>
  <c r="G3848" i="1"/>
  <c r="E3848" i="1"/>
  <c r="B3848" i="1"/>
  <c r="A3848" i="1"/>
  <c r="H3847" i="1"/>
  <c r="G3847" i="1"/>
  <c r="E3847" i="1"/>
  <c r="B3847" i="1"/>
  <c r="A3847" i="1"/>
  <c r="H3846" i="1"/>
  <c r="G3846" i="1"/>
  <c r="E3846" i="1"/>
  <c r="B3846" i="1"/>
  <c r="A3846" i="1"/>
  <c r="H3845" i="1"/>
  <c r="G3845" i="1"/>
  <c r="E3845" i="1"/>
  <c r="B3845" i="1"/>
  <c r="A3845" i="1"/>
  <c r="H3844" i="1"/>
  <c r="G3844" i="1"/>
  <c r="E3844" i="1"/>
  <c r="B3844" i="1"/>
  <c r="A3844" i="1"/>
  <c r="H3843" i="1"/>
  <c r="G3843" i="1"/>
  <c r="E3843" i="1"/>
  <c r="B3843" i="1"/>
  <c r="A3843" i="1"/>
  <c r="H3842" i="1"/>
  <c r="G3842" i="1"/>
  <c r="E3842" i="1"/>
  <c r="B3842" i="1"/>
  <c r="A3842" i="1"/>
  <c r="H3841" i="1"/>
  <c r="G3841" i="1"/>
  <c r="E3841" i="1"/>
  <c r="B3841" i="1"/>
  <c r="A3841" i="1"/>
  <c r="H3840" i="1"/>
  <c r="G3840" i="1"/>
  <c r="E3840" i="1"/>
  <c r="B3840" i="1"/>
  <c r="A3840" i="1"/>
  <c r="H3839" i="1"/>
  <c r="G3839" i="1"/>
  <c r="E3839" i="1"/>
  <c r="B3839" i="1"/>
  <c r="A3839" i="1"/>
  <c r="H3838" i="1"/>
  <c r="G3838" i="1"/>
  <c r="E3838" i="1"/>
  <c r="B3838" i="1"/>
  <c r="A3838" i="1"/>
  <c r="H3837" i="1"/>
  <c r="G3837" i="1"/>
  <c r="E3837" i="1"/>
  <c r="B3837" i="1"/>
  <c r="A3837" i="1"/>
  <c r="H3836" i="1"/>
  <c r="G3836" i="1"/>
  <c r="E3836" i="1"/>
  <c r="B3836" i="1"/>
  <c r="A3836" i="1"/>
  <c r="H3835" i="1"/>
  <c r="G3835" i="1"/>
  <c r="E3835" i="1"/>
  <c r="B3835" i="1"/>
  <c r="A3835" i="1"/>
  <c r="H3834" i="1"/>
  <c r="G3834" i="1"/>
  <c r="E3834" i="1"/>
  <c r="B3834" i="1"/>
  <c r="A3834" i="1"/>
  <c r="H3833" i="1"/>
  <c r="G3833" i="1"/>
  <c r="E3833" i="1"/>
  <c r="B3833" i="1"/>
  <c r="A3833" i="1"/>
  <c r="H3832" i="1"/>
  <c r="G3832" i="1"/>
  <c r="E3832" i="1"/>
  <c r="B3832" i="1"/>
  <c r="A3832" i="1"/>
  <c r="H3831" i="1"/>
  <c r="G3831" i="1"/>
  <c r="E3831" i="1"/>
  <c r="B3831" i="1"/>
  <c r="A3831" i="1"/>
  <c r="H3830" i="1"/>
  <c r="G3830" i="1"/>
  <c r="E3830" i="1"/>
  <c r="B3830" i="1"/>
  <c r="A3830" i="1"/>
  <c r="H3829" i="1"/>
  <c r="G3829" i="1"/>
  <c r="E3829" i="1"/>
  <c r="B3829" i="1"/>
  <c r="A3829" i="1"/>
  <c r="H3828" i="1"/>
  <c r="G3828" i="1"/>
  <c r="E3828" i="1"/>
  <c r="B3828" i="1"/>
  <c r="A3828" i="1"/>
  <c r="H3827" i="1"/>
  <c r="G3827" i="1"/>
  <c r="E3827" i="1"/>
  <c r="B3827" i="1"/>
  <c r="A3827" i="1"/>
  <c r="H3826" i="1"/>
  <c r="G3826" i="1"/>
  <c r="E3826" i="1"/>
  <c r="B3826" i="1"/>
  <c r="A3826" i="1"/>
  <c r="H3825" i="1"/>
  <c r="G3825" i="1"/>
  <c r="E3825" i="1"/>
  <c r="B3825" i="1"/>
  <c r="A3825" i="1"/>
  <c r="H3824" i="1"/>
  <c r="G3824" i="1"/>
  <c r="E3824" i="1"/>
  <c r="B3824" i="1"/>
  <c r="A3824" i="1"/>
  <c r="H3823" i="1"/>
  <c r="G3823" i="1"/>
  <c r="E3823" i="1"/>
  <c r="B3823" i="1"/>
  <c r="A3823" i="1"/>
  <c r="H3822" i="1"/>
  <c r="G3822" i="1"/>
  <c r="E3822" i="1"/>
  <c r="B3822" i="1"/>
  <c r="A3822" i="1"/>
  <c r="H3821" i="1"/>
  <c r="G3821" i="1"/>
  <c r="E3821" i="1"/>
  <c r="B3821" i="1"/>
  <c r="A3821" i="1"/>
  <c r="H3820" i="1"/>
  <c r="G3820" i="1"/>
  <c r="E3820" i="1"/>
  <c r="B3820" i="1"/>
  <c r="A3820" i="1"/>
  <c r="H3819" i="1"/>
  <c r="G3819" i="1"/>
  <c r="E3819" i="1"/>
  <c r="B3819" i="1"/>
  <c r="A3819" i="1"/>
  <c r="H3818" i="1"/>
  <c r="G3818" i="1"/>
  <c r="E3818" i="1"/>
  <c r="B3818" i="1"/>
  <c r="A3818" i="1"/>
  <c r="H3817" i="1"/>
  <c r="G3817" i="1"/>
  <c r="E3817" i="1"/>
  <c r="B3817" i="1"/>
  <c r="A3817" i="1"/>
  <c r="H3816" i="1"/>
  <c r="G3816" i="1"/>
  <c r="E3816" i="1"/>
  <c r="B3816" i="1"/>
  <c r="A3816" i="1"/>
  <c r="H3815" i="1"/>
  <c r="G3815" i="1"/>
  <c r="E3815" i="1"/>
  <c r="B3815" i="1"/>
  <c r="A3815" i="1"/>
  <c r="H3814" i="1"/>
  <c r="G3814" i="1"/>
  <c r="E3814" i="1"/>
  <c r="B3814" i="1"/>
  <c r="A3814" i="1"/>
  <c r="H3813" i="1"/>
  <c r="G3813" i="1"/>
  <c r="E3813" i="1"/>
  <c r="B3813" i="1"/>
  <c r="A3813" i="1"/>
  <c r="H3812" i="1"/>
  <c r="G3812" i="1"/>
  <c r="E3812" i="1"/>
  <c r="B3812" i="1"/>
  <c r="A3812" i="1"/>
  <c r="H3811" i="1"/>
  <c r="G3811" i="1"/>
  <c r="E3811" i="1"/>
  <c r="B3811" i="1"/>
  <c r="A3811" i="1"/>
  <c r="H3810" i="1"/>
  <c r="G3810" i="1"/>
  <c r="E3810" i="1"/>
  <c r="B3810" i="1"/>
  <c r="A3810" i="1"/>
  <c r="H3809" i="1"/>
  <c r="G3809" i="1"/>
  <c r="E3809" i="1"/>
  <c r="B3809" i="1"/>
  <c r="A3809" i="1"/>
  <c r="H3808" i="1"/>
  <c r="G3808" i="1"/>
  <c r="E3808" i="1"/>
  <c r="B3808" i="1"/>
  <c r="A3808" i="1"/>
  <c r="H3807" i="1"/>
  <c r="G3807" i="1"/>
  <c r="E3807" i="1"/>
  <c r="B3807" i="1"/>
  <c r="A3807" i="1"/>
  <c r="H3806" i="1"/>
  <c r="G3806" i="1"/>
  <c r="E3806" i="1"/>
  <c r="B3806" i="1"/>
  <c r="A3806" i="1"/>
  <c r="H3805" i="1"/>
  <c r="G3805" i="1"/>
  <c r="E3805" i="1"/>
  <c r="B3805" i="1"/>
  <c r="A3805" i="1"/>
  <c r="H3804" i="1"/>
  <c r="G3804" i="1"/>
  <c r="E3804" i="1"/>
  <c r="B3804" i="1"/>
  <c r="A3804" i="1"/>
  <c r="H3803" i="1"/>
  <c r="G3803" i="1"/>
  <c r="E3803" i="1"/>
  <c r="B3803" i="1"/>
  <c r="A3803" i="1"/>
  <c r="H3802" i="1"/>
  <c r="G3802" i="1"/>
  <c r="E3802" i="1"/>
  <c r="B3802" i="1"/>
  <c r="A3802" i="1"/>
  <c r="H3801" i="1"/>
  <c r="G3801" i="1"/>
  <c r="E3801" i="1"/>
  <c r="B3801" i="1"/>
  <c r="A3801" i="1"/>
  <c r="H3800" i="1"/>
  <c r="G3800" i="1"/>
  <c r="E3800" i="1"/>
  <c r="B3800" i="1"/>
  <c r="A3800" i="1"/>
  <c r="H3799" i="1"/>
  <c r="G3799" i="1"/>
  <c r="E3799" i="1"/>
  <c r="B3799" i="1"/>
  <c r="A3799" i="1"/>
  <c r="H3798" i="1"/>
  <c r="G3798" i="1"/>
  <c r="E3798" i="1"/>
  <c r="B3798" i="1"/>
  <c r="A3798" i="1"/>
  <c r="H3797" i="1"/>
  <c r="G3797" i="1"/>
  <c r="E3797" i="1"/>
  <c r="B3797" i="1"/>
  <c r="A3797" i="1"/>
  <c r="H3796" i="1"/>
  <c r="G3796" i="1"/>
  <c r="E3796" i="1"/>
  <c r="B3796" i="1"/>
  <c r="A3796" i="1"/>
  <c r="H3795" i="1"/>
  <c r="G3795" i="1"/>
  <c r="E3795" i="1"/>
  <c r="B3795" i="1"/>
  <c r="A3795" i="1"/>
  <c r="H3794" i="1"/>
  <c r="G3794" i="1"/>
  <c r="E3794" i="1"/>
  <c r="B3794" i="1"/>
  <c r="A3794" i="1"/>
  <c r="H3793" i="1"/>
  <c r="G3793" i="1"/>
  <c r="E3793" i="1"/>
  <c r="B3793" i="1"/>
  <c r="A3793" i="1"/>
  <c r="H3792" i="1"/>
  <c r="G3792" i="1"/>
  <c r="E3792" i="1"/>
  <c r="B3792" i="1"/>
  <c r="A3792" i="1"/>
  <c r="H3791" i="1"/>
  <c r="G3791" i="1"/>
  <c r="E3791" i="1"/>
  <c r="B3791" i="1"/>
  <c r="A3791" i="1"/>
  <c r="H3790" i="1"/>
  <c r="G3790" i="1"/>
  <c r="E3790" i="1"/>
  <c r="B3790" i="1"/>
  <c r="A3790" i="1"/>
  <c r="H3789" i="1"/>
  <c r="G3789" i="1"/>
  <c r="E3789" i="1"/>
  <c r="B3789" i="1"/>
  <c r="A3789" i="1"/>
  <c r="H3788" i="1"/>
  <c r="G3788" i="1"/>
  <c r="E3788" i="1"/>
  <c r="B3788" i="1"/>
  <c r="A3788" i="1"/>
  <c r="H3787" i="1"/>
  <c r="G3787" i="1"/>
  <c r="E3787" i="1"/>
  <c r="B3787" i="1"/>
  <c r="A3787" i="1"/>
  <c r="H3786" i="1"/>
  <c r="G3786" i="1"/>
  <c r="E3786" i="1"/>
  <c r="B3786" i="1"/>
  <c r="A3786" i="1"/>
  <c r="H3785" i="1"/>
  <c r="G3785" i="1"/>
  <c r="E3785" i="1"/>
  <c r="B3785" i="1"/>
  <c r="A3785" i="1"/>
  <c r="H3784" i="1"/>
  <c r="G3784" i="1"/>
  <c r="E3784" i="1"/>
  <c r="B3784" i="1"/>
  <c r="A3784" i="1"/>
  <c r="H3783" i="1"/>
  <c r="G3783" i="1"/>
  <c r="E3783" i="1"/>
  <c r="B3783" i="1"/>
  <c r="A3783" i="1"/>
  <c r="H3782" i="1"/>
  <c r="G3782" i="1"/>
  <c r="E3782" i="1"/>
  <c r="B3782" i="1"/>
  <c r="A3782" i="1"/>
  <c r="H3781" i="1"/>
  <c r="G3781" i="1"/>
  <c r="E3781" i="1"/>
  <c r="B3781" i="1"/>
  <c r="A3781" i="1"/>
  <c r="H3780" i="1"/>
  <c r="G3780" i="1"/>
  <c r="E3780" i="1"/>
  <c r="B3780" i="1"/>
  <c r="A3780" i="1"/>
  <c r="H3779" i="1"/>
  <c r="G3779" i="1"/>
  <c r="E3779" i="1"/>
  <c r="B3779" i="1"/>
  <c r="A3779" i="1"/>
  <c r="H3778" i="1"/>
  <c r="G3778" i="1"/>
  <c r="E3778" i="1"/>
  <c r="B3778" i="1"/>
  <c r="A3778" i="1"/>
  <c r="H3777" i="1"/>
  <c r="G3777" i="1"/>
  <c r="E3777" i="1"/>
  <c r="B3777" i="1"/>
  <c r="A3777" i="1"/>
  <c r="H3776" i="1"/>
  <c r="G3776" i="1"/>
  <c r="E3776" i="1"/>
  <c r="B3776" i="1"/>
  <c r="A3776" i="1"/>
  <c r="H3775" i="1"/>
  <c r="G3775" i="1"/>
  <c r="E3775" i="1"/>
  <c r="B3775" i="1"/>
  <c r="A3775" i="1"/>
  <c r="H3774" i="1"/>
  <c r="G3774" i="1"/>
  <c r="E3774" i="1"/>
  <c r="B3774" i="1"/>
  <c r="A3774" i="1"/>
  <c r="H3773" i="1"/>
  <c r="G3773" i="1"/>
  <c r="E3773" i="1"/>
  <c r="B3773" i="1"/>
  <c r="A3773" i="1"/>
  <c r="H3772" i="1"/>
  <c r="G3772" i="1"/>
  <c r="E3772" i="1"/>
  <c r="B3772" i="1"/>
  <c r="A3772" i="1"/>
  <c r="H3771" i="1"/>
  <c r="G3771" i="1"/>
  <c r="E3771" i="1"/>
  <c r="B3771" i="1"/>
  <c r="A3771" i="1"/>
  <c r="H3770" i="1"/>
  <c r="G3770" i="1"/>
  <c r="E3770" i="1"/>
  <c r="B3770" i="1"/>
  <c r="A3770" i="1"/>
  <c r="H3769" i="1"/>
  <c r="G3769" i="1"/>
  <c r="E3769" i="1"/>
  <c r="B3769" i="1"/>
  <c r="A3769" i="1"/>
  <c r="H3768" i="1"/>
  <c r="G3768" i="1"/>
  <c r="E3768" i="1"/>
  <c r="B3768" i="1"/>
  <c r="A3768" i="1"/>
  <c r="H3767" i="1"/>
  <c r="G3767" i="1"/>
  <c r="E3767" i="1"/>
  <c r="B3767" i="1"/>
  <c r="A3767" i="1"/>
  <c r="H3766" i="1"/>
  <c r="G3766" i="1"/>
  <c r="B3766" i="1"/>
  <c r="A3766" i="1"/>
  <c r="H3765" i="1"/>
  <c r="G3765" i="1"/>
  <c r="E3765" i="1"/>
  <c r="B3765" i="1"/>
  <c r="A3765" i="1"/>
  <c r="H3764" i="1"/>
  <c r="G3764" i="1"/>
  <c r="E3764" i="1"/>
  <c r="B3764" i="1"/>
  <c r="A3764" i="1"/>
  <c r="H3763" i="1"/>
  <c r="G3763" i="1"/>
  <c r="E3763" i="1"/>
  <c r="B3763" i="1"/>
  <c r="A3763" i="1"/>
  <c r="H3762" i="1"/>
  <c r="G3762" i="1"/>
  <c r="E3762" i="1"/>
  <c r="B3762" i="1"/>
  <c r="A3762" i="1"/>
  <c r="H3761" i="1"/>
  <c r="G3761" i="1"/>
  <c r="E3761" i="1"/>
  <c r="B3761" i="1"/>
  <c r="A3761" i="1"/>
  <c r="H3760" i="1"/>
  <c r="G3760" i="1"/>
  <c r="E3760" i="1"/>
  <c r="B3760" i="1"/>
  <c r="A3760" i="1"/>
  <c r="H3759" i="1"/>
  <c r="G3759" i="1"/>
  <c r="E3759" i="1"/>
  <c r="B3759" i="1"/>
  <c r="A3759" i="1"/>
  <c r="H3758" i="1"/>
  <c r="G3758" i="1"/>
  <c r="E3758" i="1"/>
  <c r="B3758" i="1"/>
  <c r="A3758" i="1"/>
  <c r="H3757" i="1"/>
  <c r="G3757" i="1"/>
  <c r="E3757" i="1"/>
  <c r="B3757" i="1"/>
  <c r="A3757" i="1"/>
  <c r="H3756" i="1"/>
  <c r="G3756" i="1"/>
  <c r="E3756" i="1"/>
  <c r="B3756" i="1"/>
  <c r="A3756" i="1"/>
  <c r="H3755" i="1"/>
  <c r="G3755" i="1"/>
  <c r="E3755" i="1"/>
  <c r="B3755" i="1"/>
  <c r="A3755" i="1"/>
  <c r="H3754" i="1"/>
  <c r="G3754" i="1"/>
  <c r="E3754" i="1"/>
  <c r="B3754" i="1"/>
  <c r="A3754" i="1"/>
  <c r="H3753" i="1"/>
  <c r="G3753" i="1"/>
  <c r="E3753" i="1"/>
  <c r="B3753" i="1"/>
  <c r="A3753" i="1"/>
  <c r="H3752" i="1"/>
  <c r="G3752" i="1"/>
  <c r="E3752" i="1"/>
  <c r="B3752" i="1"/>
  <c r="A3752" i="1"/>
  <c r="H3751" i="1"/>
  <c r="G3751" i="1"/>
  <c r="E3751" i="1"/>
  <c r="B3751" i="1"/>
  <c r="A3751" i="1"/>
  <c r="H3750" i="1"/>
  <c r="G3750" i="1"/>
  <c r="E3750" i="1"/>
  <c r="B3750" i="1"/>
  <c r="A3750" i="1"/>
  <c r="H3749" i="1"/>
  <c r="G3749" i="1"/>
  <c r="E3749" i="1"/>
  <c r="B3749" i="1"/>
  <c r="A3749" i="1"/>
  <c r="H3748" i="1"/>
  <c r="G3748" i="1"/>
  <c r="E3748" i="1"/>
  <c r="B3748" i="1"/>
  <c r="A3748" i="1"/>
  <c r="H3747" i="1"/>
  <c r="G3747" i="1"/>
  <c r="E3747" i="1"/>
  <c r="B3747" i="1"/>
  <c r="A3747" i="1"/>
  <c r="H3746" i="1"/>
  <c r="G3746" i="1"/>
  <c r="E3746" i="1"/>
  <c r="B3746" i="1"/>
  <c r="A3746" i="1"/>
  <c r="H3745" i="1"/>
  <c r="G3745" i="1"/>
  <c r="E3745" i="1"/>
  <c r="B3745" i="1"/>
  <c r="A3745" i="1"/>
  <c r="H3744" i="1"/>
  <c r="G3744" i="1"/>
  <c r="E3744" i="1"/>
  <c r="B3744" i="1"/>
  <c r="A3744" i="1"/>
  <c r="H3743" i="1"/>
  <c r="G3743" i="1"/>
  <c r="E3743" i="1"/>
  <c r="B3743" i="1"/>
  <c r="A3743" i="1"/>
  <c r="H3742" i="1"/>
  <c r="G3742" i="1"/>
  <c r="E3742" i="1"/>
  <c r="B3742" i="1"/>
  <c r="A3742" i="1"/>
  <c r="H3741" i="1"/>
  <c r="G3741" i="1"/>
  <c r="E3741" i="1"/>
  <c r="B3741" i="1"/>
  <c r="A3741" i="1"/>
  <c r="H3740" i="1"/>
  <c r="G3740" i="1"/>
  <c r="E3740" i="1"/>
  <c r="B3740" i="1"/>
  <c r="A3740" i="1"/>
  <c r="H3739" i="1"/>
  <c r="G3739" i="1"/>
  <c r="E3739" i="1"/>
  <c r="B3739" i="1"/>
  <c r="A3739" i="1"/>
  <c r="H3738" i="1"/>
  <c r="G3738" i="1"/>
  <c r="E3738" i="1"/>
  <c r="B3738" i="1"/>
  <c r="A3738" i="1"/>
  <c r="H3737" i="1"/>
  <c r="G3737" i="1"/>
  <c r="E3737" i="1"/>
  <c r="B3737" i="1"/>
  <c r="A3737" i="1"/>
  <c r="H3736" i="1"/>
  <c r="G3736" i="1"/>
  <c r="E3736" i="1"/>
  <c r="B3736" i="1"/>
  <c r="A3736" i="1"/>
  <c r="H3735" i="1"/>
  <c r="G3735" i="1"/>
  <c r="E3735" i="1"/>
  <c r="B3735" i="1"/>
  <c r="A3735" i="1"/>
  <c r="H3734" i="1"/>
  <c r="G3734" i="1"/>
  <c r="E3734" i="1"/>
  <c r="B3734" i="1"/>
  <c r="A3734" i="1"/>
  <c r="H3733" i="1"/>
  <c r="G3733" i="1"/>
  <c r="E3733" i="1"/>
  <c r="B3733" i="1"/>
  <c r="A3733" i="1"/>
  <c r="H3732" i="1"/>
  <c r="G3732" i="1"/>
  <c r="E3732" i="1"/>
  <c r="B3732" i="1"/>
  <c r="A3732" i="1"/>
  <c r="H3731" i="1"/>
  <c r="G3731" i="1"/>
  <c r="E3731" i="1"/>
  <c r="B3731" i="1"/>
  <c r="A3731" i="1"/>
  <c r="H3730" i="1"/>
  <c r="G3730" i="1"/>
  <c r="E3730" i="1"/>
  <c r="B3730" i="1"/>
  <c r="A3730" i="1"/>
  <c r="H3729" i="1"/>
  <c r="G3729" i="1"/>
  <c r="E3729" i="1"/>
  <c r="B3729" i="1"/>
  <c r="A3729" i="1"/>
  <c r="H3728" i="1"/>
  <c r="G3728" i="1"/>
  <c r="E3728" i="1"/>
  <c r="B3728" i="1"/>
  <c r="A3728" i="1"/>
  <c r="H3727" i="1"/>
  <c r="G3727" i="1"/>
  <c r="E3727" i="1"/>
  <c r="B3727" i="1"/>
  <c r="A3727" i="1"/>
  <c r="H3726" i="1"/>
  <c r="G3726" i="1"/>
  <c r="E3726" i="1"/>
  <c r="B3726" i="1"/>
  <c r="A3726" i="1"/>
  <c r="H3725" i="1"/>
  <c r="G3725" i="1"/>
  <c r="E3725" i="1"/>
  <c r="B3725" i="1"/>
  <c r="A3725" i="1"/>
  <c r="H3724" i="1"/>
  <c r="G3724" i="1"/>
  <c r="E3724" i="1"/>
  <c r="B3724" i="1"/>
  <c r="A3724" i="1"/>
  <c r="H3723" i="1"/>
  <c r="G3723" i="1"/>
  <c r="E3723" i="1"/>
  <c r="B3723" i="1"/>
  <c r="A3723" i="1"/>
  <c r="H3722" i="1"/>
  <c r="G3722" i="1"/>
  <c r="E3722" i="1"/>
  <c r="B3722" i="1"/>
  <c r="A3722" i="1"/>
  <c r="H3721" i="1"/>
  <c r="G3721" i="1"/>
  <c r="E3721" i="1"/>
  <c r="B3721" i="1"/>
  <c r="A3721" i="1"/>
  <c r="H3720" i="1"/>
  <c r="G3720" i="1"/>
  <c r="E3720" i="1"/>
  <c r="B3720" i="1"/>
  <c r="A3720" i="1"/>
  <c r="H3719" i="1"/>
  <c r="G3719" i="1"/>
  <c r="E3719" i="1"/>
  <c r="B3719" i="1"/>
  <c r="A3719" i="1"/>
  <c r="H3718" i="1"/>
  <c r="G3718" i="1"/>
  <c r="E3718" i="1"/>
  <c r="B3718" i="1"/>
  <c r="A3718" i="1"/>
  <c r="H3717" i="1"/>
  <c r="G3717" i="1"/>
  <c r="E3717" i="1"/>
  <c r="B3717" i="1"/>
  <c r="A3717" i="1"/>
  <c r="H3716" i="1"/>
  <c r="G3716" i="1"/>
  <c r="E3716" i="1"/>
  <c r="B3716" i="1"/>
  <c r="A3716" i="1"/>
  <c r="H3715" i="1"/>
  <c r="G3715" i="1"/>
  <c r="E3715" i="1"/>
  <c r="B3715" i="1"/>
  <c r="A3715" i="1"/>
  <c r="H3714" i="1"/>
  <c r="G3714" i="1"/>
  <c r="E3714" i="1"/>
  <c r="B3714" i="1"/>
  <c r="A3714" i="1"/>
  <c r="H3713" i="1"/>
  <c r="G3713" i="1"/>
  <c r="E3713" i="1"/>
  <c r="B3713" i="1"/>
  <c r="A3713" i="1"/>
  <c r="H3712" i="1"/>
  <c r="G3712" i="1"/>
  <c r="E3712" i="1"/>
  <c r="B3712" i="1"/>
  <c r="A3712" i="1"/>
  <c r="H3711" i="1"/>
  <c r="G3711" i="1"/>
  <c r="E3711" i="1"/>
  <c r="B3711" i="1"/>
  <c r="A3711" i="1"/>
  <c r="H3710" i="1"/>
  <c r="G3710" i="1"/>
  <c r="E3710" i="1"/>
  <c r="B3710" i="1"/>
  <c r="A3710" i="1"/>
  <c r="H3709" i="1"/>
  <c r="G3709" i="1"/>
  <c r="E3709" i="1"/>
  <c r="B3709" i="1"/>
  <c r="A3709" i="1"/>
  <c r="H3708" i="1"/>
  <c r="G3708" i="1"/>
  <c r="E3708" i="1"/>
  <c r="B3708" i="1"/>
  <c r="A3708" i="1"/>
  <c r="H3707" i="1"/>
  <c r="G3707" i="1"/>
  <c r="E3707" i="1"/>
  <c r="B3707" i="1"/>
  <c r="A3707" i="1"/>
  <c r="H3706" i="1"/>
  <c r="G3706" i="1"/>
  <c r="E3706" i="1"/>
  <c r="B3706" i="1"/>
  <c r="A3706" i="1"/>
  <c r="H3705" i="1"/>
  <c r="G3705" i="1"/>
  <c r="E3705" i="1"/>
  <c r="B3705" i="1"/>
  <c r="A3705" i="1"/>
  <c r="H3704" i="1"/>
  <c r="G3704" i="1"/>
  <c r="E3704" i="1"/>
  <c r="B3704" i="1"/>
  <c r="A3704" i="1"/>
  <c r="H3703" i="1"/>
  <c r="G3703" i="1"/>
  <c r="E3703" i="1"/>
  <c r="B3703" i="1"/>
  <c r="A3703" i="1"/>
  <c r="H3702" i="1"/>
  <c r="G3702" i="1"/>
  <c r="E3702" i="1"/>
  <c r="B3702" i="1"/>
  <c r="A3702" i="1"/>
  <c r="H3701" i="1"/>
  <c r="G3701" i="1"/>
  <c r="E3701" i="1"/>
  <c r="B3701" i="1"/>
  <c r="A3701" i="1"/>
  <c r="H3700" i="1"/>
  <c r="G3700" i="1"/>
  <c r="E3700" i="1"/>
  <c r="B3700" i="1"/>
  <c r="A3700" i="1"/>
  <c r="H3699" i="1"/>
  <c r="G3699" i="1"/>
  <c r="E3699" i="1"/>
  <c r="B3699" i="1"/>
  <c r="A3699" i="1"/>
  <c r="H3698" i="1"/>
  <c r="G3698" i="1"/>
  <c r="E3698" i="1"/>
  <c r="B3698" i="1"/>
  <c r="A3698" i="1"/>
  <c r="H3697" i="1"/>
  <c r="G3697" i="1"/>
  <c r="E3697" i="1"/>
  <c r="B3697" i="1"/>
  <c r="A3697" i="1"/>
  <c r="H3696" i="1"/>
  <c r="G3696" i="1"/>
  <c r="E3696" i="1"/>
  <c r="B3696" i="1"/>
  <c r="A3696" i="1"/>
  <c r="H3695" i="1"/>
  <c r="G3695" i="1"/>
  <c r="E3695" i="1"/>
  <c r="B3695" i="1"/>
  <c r="A3695" i="1"/>
  <c r="H3694" i="1"/>
  <c r="G3694" i="1"/>
  <c r="E3694" i="1"/>
  <c r="B3694" i="1"/>
  <c r="A3694" i="1"/>
  <c r="H3693" i="1"/>
  <c r="G3693" i="1"/>
  <c r="E3693" i="1"/>
  <c r="B3693" i="1"/>
  <c r="A3693" i="1"/>
  <c r="H3692" i="1"/>
  <c r="G3692" i="1"/>
  <c r="E3692" i="1"/>
  <c r="B3692" i="1"/>
  <c r="A3692" i="1"/>
  <c r="H3691" i="1"/>
  <c r="G3691" i="1"/>
  <c r="E3691" i="1"/>
  <c r="B3691" i="1"/>
  <c r="A3691" i="1"/>
  <c r="H3690" i="1"/>
  <c r="G3690" i="1"/>
  <c r="E3690" i="1"/>
  <c r="B3690" i="1"/>
  <c r="A3690" i="1"/>
  <c r="H3689" i="1"/>
  <c r="G3689" i="1"/>
  <c r="E3689" i="1"/>
  <c r="B3689" i="1"/>
  <c r="A3689" i="1"/>
  <c r="H3688" i="1"/>
  <c r="G3688" i="1"/>
  <c r="E3688" i="1"/>
  <c r="B3688" i="1"/>
  <c r="A3688" i="1"/>
  <c r="H3687" i="1"/>
  <c r="G3687" i="1"/>
  <c r="E3687" i="1"/>
  <c r="B3687" i="1"/>
  <c r="A3687" i="1"/>
  <c r="H3686" i="1"/>
  <c r="G3686" i="1"/>
  <c r="E3686" i="1"/>
  <c r="B3686" i="1"/>
  <c r="A3686" i="1"/>
  <c r="H3685" i="1"/>
  <c r="G3685" i="1"/>
  <c r="E3685" i="1"/>
  <c r="B3685" i="1"/>
  <c r="A3685" i="1"/>
  <c r="H3684" i="1"/>
  <c r="G3684" i="1"/>
  <c r="E3684" i="1"/>
  <c r="B3684" i="1"/>
  <c r="A3684" i="1"/>
  <c r="H3683" i="1"/>
  <c r="G3683" i="1"/>
  <c r="E3683" i="1"/>
  <c r="B3683" i="1"/>
  <c r="A3683" i="1"/>
  <c r="H3682" i="1"/>
  <c r="G3682" i="1"/>
  <c r="E3682" i="1"/>
  <c r="B3682" i="1"/>
  <c r="A3682" i="1"/>
  <c r="H3681" i="1"/>
  <c r="G3681" i="1"/>
  <c r="E3681" i="1"/>
  <c r="B3681" i="1"/>
  <c r="A3681" i="1"/>
  <c r="H3680" i="1"/>
  <c r="G3680" i="1"/>
  <c r="E3680" i="1"/>
  <c r="B3680" i="1"/>
  <c r="A3680" i="1"/>
  <c r="H3679" i="1"/>
  <c r="G3679" i="1"/>
  <c r="E3679" i="1"/>
  <c r="B3679" i="1"/>
  <c r="A3679" i="1"/>
  <c r="H3678" i="1"/>
  <c r="G3678" i="1"/>
  <c r="E3678" i="1"/>
  <c r="B3678" i="1"/>
  <c r="A3678" i="1"/>
  <c r="H3677" i="1"/>
  <c r="G3677" i="1"/>
  <c r="E3677" i="1"/>
  <c r="B3677" i="1"/>
  <c r="A3677" i="1"/>
  <c r="H3676" i="1"/>
  <c r="G3676" i="1"/>
  <c r="E3676" i="1"/>
  <c r="B3676" i="1"/>
  <c r="A3676" i="1"/>
  <c r="H3675" i="1"/>
  <c r="G3675" i="1"/>
  <c r="E3675" i="1"/>
  <c r="B3675" i="1"/>
  <c r="A3675" i="1"/>
  <c r="H3674" i="1"/>
  <c r="G3674" i="1"/>
  <c r="E3674" i="1"/>
  <c r="B3674" i="1"/>
  <c r="A3674" i="1"/>
  <c r="H3673" i="1"/>
  <c r="G3673" i="1"/>
  <c r="E3673" i="1"/>
  <c r="B3673" i="1"/>
  <c r="A3673" i="1"/>
  <c r="H3672" i="1"/>
  <c r="G3672" i="1"/>
  <c r="E3672" i="1"/>
  <c r="B3672" i="1"/>
  <c r="A3672" i="1"/>
  <c r="H3671" i="1"/>
  <c r="G3671" i="1"/>
  <c r="E3671" i="1"/>
  <c r="B3671" i="1"/>
  <c r="A3671" i="1"/>
  <c r="H3670" i="1"/>
  <c r="G3670" i="1"/>
  <c r="E3670" i="1"/>
  <c r="B3670" i="1"/>
  <c r="A3670" i="1"/>
  <c r="H3669" i="1"/>
  <c r="G3669" i="1"/>
  <c r="E3669" i="1"/>
  <c r="B3669" i="1"/>
  <c r="A3669" i="1"/>
  <c r="H3668" i="1"/>
  <c r="G3668" i="1"/>
  <c r="E3668" i="1"/>
  <c r="B3668" i="1"/>
  <c r="A3668" i="1"/>
  <c r="H3667" i="1"/>
  <c r="G3667" i="1"/>
  <c r="E3667" i="1"/>
  <c r="B3667" i="1"/>
  <c r="A3667" i="1"/>
  <c r="H3666" i="1"/>
  <c r="G3666" i="1"/>
  <c r="E3666" i="1"/>
  <c r="B3666" i="1"/>
  <c r="A3666" i="1"/>
  <c r="H3665" i="1"/>
  <c r="G3665" i="1"/>
  <c r="E3665" i="1"/>
  <c r="B3665" i="1"/>
  <c r="A3665" i="1"/>
  <c r="H3664" i="1"/>
  <c r="G3664" i="1"/>
  <c r="E3664" i="1"/>
  <c r="B3664" i="1"/>
  <c r="A3664" i="1"/>
  <c r="H3663" i="1"/>
  <c r="G3663" i="1"/>
  <c r="E3663" i="1"/>
  <c r="B3663" i="1"/>
  <c r="A3663" i="1"/>
  <c r="H3662" i="1"/>
  <c r="G3662" i="1"/>
  <c r="E3662" i="1"/>
  <c r="B3662" i="1"/>
  <c r="A3662" i="1"/>
  <c r="H3661" i="1"/>
  <c r="G3661" i="1"/>
  <c r="E3661" i="1"/>
  <c r="B3661" i="1"/>
  <c r="A3661" i="1"/>
  <c r="H3660" i="1"/>
  <c r="G3660" i="1"/>
  <c r="E3660" i="1"/>
  <c r="B3660" i="1"/>
  <c r="A3660" i="1"/>
  <c r="H3659" i="1"/>
  <c r="G3659" i="1"/>
  <c r="E3659" i="1"/>
  <c r="B3659" i="1"/>
  <c r="A3659" i="1"/>
  <c r="H3658" i="1"/>
  <c r="G3658" i="1"/>
  <c r="E3658" i="1"/>
  <c r="B3658" i="1"/>
  <c r="A3658" i="1"/>
  <c r="H3657" i="1"/>
  <c r="G3657" i="1"/>
  <c r="E3657" i="1"/>
  <c r="B3657" i="1"/>
  <c r="A3657" i="1"/>
  <c r="H3656" i="1"/>
  <c r="G3656" i="1"/>
  <c r="E3656" i="1"/>
  <c r="B3656" i="1"/>
  <c r="A3656" i="1"/>
  <c r="H3655" i="1"/>
  <c r="G3655" i="1"/>
  <c r="E3655" i="1"/>
  <c r="B3655" i="1"/>
  <c r="A3655" i="1"/>
  <c r="H3654" i="1"/>
  <c r="G3654" i="1"/>
  <c r="E3654" i="1"/>
  <c r="B3654" i="1"/>
  <c r="A3654" i="1"/>
  <c r="H3653" i="1"/>
  <c r="G3653" i="1"/>
  <c r="E3653" i="1"/>
  <c r="B3653" i="1"/>
  <c r="A3653" i="1"/>
  <c r="H3652" i="1"/>
  <c r="G3652" i="1"/>
  <c r="E3652" i="1"/>
  <c r="B3652" i="1"/>
  <c r="A3652" i="1"/>
  <c r="H3651" i="1"/>
  <c r="G3651" i="1"/>
  <c r="E3651" i="1"/>
  <c r="B3651" i="1"/>
  <c r="A3651" i="1"/>
  <c r="H3650" i="1"/>
  <c r="G3650" i="1"/>
  <c r="E3650" i="1"/>
  <c r="B3650" i="1"/>
  <c r="A3650" i="1"/>
  <c r="H3649" i="1"/>
  <c r="G3649" i="1"/>
  <c r="E3649" i="1"/>
  <c r="B3649" i="1"/>
  <c r="A3649" i="1"/>
  <c r="H3648" i="1"/>
  <c r="G3648" i="1"/>
  <c r="E3648" i="1"/>
  <c r="B3648" i="1"/>
  <c r="A3648" i="1"/>
  <c r="H3647" i="1"/>
  <c r="G3647" i="1"/>
  <c r="E3647" i="1"/>
  <c r="B3647" i="1"/>
  <c r="A3647" i="1"/>
  <c r="H3646" i="1"/>
  <c r="G3646" i="1"/>
  <c r="E3646" i="1"/>
  <c r="B3646" i="1"/>
  <c r="A3646" i="1"/>
  <c r="H3645" i="1"/>
  <c r="G3645" i="1"/>
  <c r="E3645" i="1"/>
  <c r="B3645" i="1"/>
  <c r="A3645" i="1"/>
  <c r="H3644" i="1"/>
  <c r="G3644" i="1"/>
  <c r="E3644" i="1"/>
  <c r="B3644" i="1"/>
  <c r="A3644" i="1"/>
  <c r="H3643" i="1"/>
  <c r="G3643" i="1"/>
  <c r="E3643" i="1"/>
  <c r="B3643" i="1"/>
  <c r="A3643" i="1"/>
  <c r="H3642" i="1"/>
  <c r="G3642" i="1"/>
  <c r="E3642" i="1"/>
  <c r="B3642" i="1"/>
  <c r="A3642" i="1"/>
  <c r="H3641" i="1"/>
  <c r="G3641" i="1"/>
  <c r="E3641" i="1"/>
  <c r="B3641" i="1"/>
  <c r="A3641" i="1"/>
  <c r="H3640" i="1"/>
  <c r="G3640" i="1"/>
  <c r="E3640" i="1"/>
  <c r="B3640" i="1"/>
  <c r="A3640" i="1"/>
  <c r="H3639" i="1"/>
  <c r="G3639" i="1"/>
  <c r="E3639" i="1"/>
  <c r="B3639" i="1"/>
  <c r="A3639" i="1"/>
  <c r="H3638" i="1"/>
  <c r="G3638" i="1"/>
  <c r="E3638" i="1"/>
  <c r="B3638" i="1"/>
  <c r="A3638" i="1"/>
  <c r="H3637" i="1"/>
  <c r="G3637" i="1"/>
  <c r="E3637" i="1"/>
  <c r="B3637" i="1"/>
  <c r="A3637" i="1"/>
  <c r="H3636" i="1"/>
  <c r="G3636" i="1"/>
  <c r="E3636" i="1"/>
  <c r="B3636" i="1"/>
  <c r="A3636" i="1"/>
  <c r="H3635" i="1"/>
  <c r="G3635" i="1"/>
  <c r="E3635" i="1"/>
  <c r="B3635" i="1"/>
  <c r="A3635" i="1"/>
  <c r="H3634" i="1"/>
  <c r="G3634" i="1"/>
  <c r="E3634" i="1"/>
  <c r="B3634" i="1"/>
  <c r="A3634" i="1"/>
  <c r="H3633" i="1"/>
  <c r="G3633" i="1"/>
  <c r="E3633" i="1"/>
  <c r="B3633" i="1"/>
  <c r="A3633" i="1"/>
  <c r="H3632" i="1"/>
  <c r="G3632" i="1"/>
  <c r="E3632" i="1"/>
  <c r="B3632" i="1"/>
  <c r="A3632" i="1"/>
  <c r="H3631" i="1"/>
  <c r="G3631" i="1"/>
  <c r="E3631" i="1"/>
  <c r="B3631" i="1"/>
  <c r="A3631" i="1"/>
  <c r="H3630" i="1"/>
  <c r="G3630" i="1"/>
  <c r="E3630" i="1"/>
  <c r="B3630" i="1"/>
  <c r="A3630" i="1"/>
  <c r="H3629" i="1"/>
  <c r="G3629" i="1"/>
  <c r="E3629" i="1"/>
  <c r="B3629" i="1"/>
  <c r="A3629" i="1"/>
  <c r="H3628" i="1"/>
  <c r="G3628" i="1"/>
  <c r="E3628" i="1"/>
  <c r="B3628" i="1"/>
  <c r="A3628" i="1"/>
  <c r="H3627" i="1"/>
  <c r="G3627" i="1"/>
  <c r="E3627" i="1"/>
  <c r="B3627" i="1"/>
  <c r="A3627" i="1"/>
  <c r="H3626" i="1"/>
  <c r="G3626" i="1"/>
  <c r="E3626" i="1"/>
  <c r="B3626" i="1"/>
  <c r="A3626" i="1"/>
  <c r="H3625" i="1"/>
  <c r="G3625" i="1"/>
  <c r="E3625" i="1"/>
  <c r="B3625" i="1"/>
  <c r="A3625" i="1"/>
  <c r="H3624" i="1"/>
  <c r="G3624" i="1"/>
  <c r="E3624" i="1"/>
  <c r="B3624" i="1"/>
  <c r="A3624" i="1"/>
  <c r="H3623" i="1"/>
  <c r="G3623" i="1"/>
  <c r="E3623" i="1"/>
  <c r="B3623" i="1"/>
  <c r="A3623" i="1"/>
  <c r="H3622" i="1"/>
  <c r="G3622" i="1"/>
  <c r="E3622" i="1"/>
  <c r="B3622" i="1"/>
  <c r="A3622" i="1"/>
  <c r="H3621" i="1"/>
  <c r="G3621" i="1"/>
  <c r="E3621" i="1"/>
  <c r="B3621" i="1"/>
  <c r="A3621" i="1"/>
  <c r="H3620" i="1"/>
  <c r="G3620" i="1"/>
  <c r="E3620" i="1"/>
  <c r="B3620" i="1"/>
  <c r="A3620" i="1"/>
  <c r="H3619" i="1"/>
  <c r="G3619" i="1"/>
  <c r="E3619" i="1"/>
  <c r="B3619" i="1"/>
  <c r="A3619" i="1"/>
  <c r="H3618" i="1"/>
  <c r="G3618" i="1"/>
  <c r="E3618" i="1"/>
  <c r="B3618" i="1"/>
  <c r="A3618" i="1"/>
  <c r="H3617" i="1"/>
  <c r="G3617" i="1"/>
  <c r="E3617" i="1"/>
  <c r="B3617" i="1"/>
  <c r="A3617" i="1"/>
  <c r="H3616" i="1"/>
  <c r="G3616" i="1"/>
  <c r="E3616" i="1"/>
  <c r="B3616" i="1"/>
  <c r="A3616" i="1"/>
  <c r="H3615" i="1"/>
  <c r="G3615" i="1"/>
  <c r="E3615" i="1"/>
  <c r="B3615" i="1"/>
  <c r="A3615" i="1"/>
  <c r="H3614" i="1"/>
  <c r="G3614" i="1"/>
  <c r="E3614" i="1"/>
  <c r="B3614" i="1"/>
  <c r="A3614" i="1"/>
  <c r="H3613" i="1"/>
  <c r="G3613" i="1"/>
  <c r="E3613" i="1"/>
  <c r="B3613" i="1"/>
  <c r="A3613" i="1"/>
  <c r="H3612" i="1"/>
  <c r="G3612" i="1"/>
  <c r="E3612" i="1"/>
  <c r="B3612" i="1"/>
  <c r="A3612" i="1"/>
  <c r="H3611" i="1"/>
  <c r="G3611" i="1"/>
  <c r="E3611" i="1"/>
  <c r="B3611" i="1"/>
  <c r="A3611" i="1"/>
  <c r="H3610" i="1"/>
  <c r="G3610" i="1"/>
  <c r="E3610" i="1"/>
  <c r="B3610" i="1"/>
  <c r="A3610" i="1"/>
  <c r="H3609" i="1"/>
  <c r="G3609" i="1"/>
  <c r="E3609" i="1"/>
  <c r="B3609" i="1"/>
  <c r="A3609" i="1"/>
  <c r="H3608" i="1"/>
  <c r="G3608" i="1"/>
  <c r="E3608" i="1"/>
  <c r="B3608" i="1"/>
  <c r="A3608" i="1"/>
  <c r="H3607" i="1"/>
  <c r="G3607" i="1"/>
  <c r="E3607" i="1"/>
  <c r="B3607" i="1"/>
  <c r="A3607" i="1"/>
  <c r="H3606" i="1"/>
  <c r="G3606" i="1"/>
  <c r="E3606" i="1"/>
  <c r="B3606" i="1"/>
  <c r="A3606" i="1"/>
  <c r="H3605" i="1"/>
  <c r="G3605" i="1"/>
  <c r="E3605" i="1"/>
  <c r="B3605" i="1"/>
  <c r="A3605" i="1"/>
  <c r="H3604" i="1"/>
  <c r="G3604" i="1"/>
  <c r="E3604" i="1"/>
  <c r="B3604" i="1"/>
  <c r="A3604" i="1"/>
  <c r="H3603" i="1"/>
  <c r="G3603" i="1"/>
  <c r="E3603" i="1"/>
  <c r="B3603" i="1"/>
  <c r="A3603" i="1"/>
  <c r="H3602" i="1"/>
  <c r="G3602" i="1"/>
  <c r="E3602" i="1"/>
  <c r="B3602" i="1"/>
  <c r="A3602" i="1"/>
  <c r="H3601" i="1"/>
  <c r="G3601" i="1"/>
  <c r="E3601" i="1"/>
  <c r="B3601" i="1"/>
  <c r="A3601" i="1"/>
  <c r="H3600" i="1"/>
  <c r="G3600" i="1"/>
  <c r="E3600" i="1"/>
  <c r="B3600" i="1"/>
  <c r="A3600" i="1"/>
  <c r="H3599" i="1"/>
  <c r="G3599" i="1"/>
  <c r="E3599" i="1"/>
  <c r="B3599" i="1"/>
  <c r="A3599" i="1"/>
  <c r="H3598" i="1"/>
  <c r="G3598" i="1"/>
  <c r="E3598" i="1"/>
  <c r="B3598" i="1"/>
  <c r="A3598" i="1"/>
  <c r="H3597" i="1"/>
  <c r="G3597" i="1"/>
  <c r="E3597" i="1"/>
  <c r="B3597" i="1"/>
  <c r="A3597" i="1"/>
  <c r="H3596" i="1"/>
  <c r="G3596" i="1"/>
  <c r="E3596" i="1"/>
  <c r="B3596" i="1"/>
  <c r="A3596" i="1"/>
  <c r="H3595" i="1"/>
  <c r="G3595" i="1"/>
  <c r="E3595" i="1"/>
  <c r="B3595" i="1"/>
  <c r="A3595" i="1"/>
  <c r="H3594" i="1"/>
  <c r="G3594" i="1"/>
  <c r="E3594" i="1"/>
  <c r="B3594" i="1"/>
  <c r="A3594" i="1"/>
  <c r="H3593" i="1"/>
  <c r="G3593" i="1"/>
  <c r="E3593" i="1"/>
  <c r="B3593" i="1"/>
  <c r="A3593" i="1"/>
  <c r="H3592" i="1"/>
  <c r="G3592" i="1"/>
  <c r="E3592" i="1"/>
  <c r="B3592" i="1"/>
  <c r="A3592" i="1"/>
  <c r="H3591" i="1"/>
  <c r="G3591" i="1"/>
  <c r="E3591" i="1"/>
  <c r="B3591" i="1"/>
  <c r="A3591" i="1"/>
  <c r="H3590" i="1"/>
  <c r="G3590" i="1"/>
  <c r="E3590" i="1"/>
  <c r="B3590" i="1"/>
  <c r="A3590" i="1"/>
  <c r="H3589" i="1"/>
  <c r="G3589" i="1"/>
  <c r="E3589" i="1"/>
  <c r="B3589" i="1"/>
  <c r="A3589" i="1"/>
  <c r="H3588" i="1"/>
  <c r="G3588" i="1"/>
  <c r="E3588" i="1"/>
  <c r="B3588" i="1"/>
  <c r="A3588" i="1"/>
  <c r="H3587" i="1"/>
  <c r="G3587" i="1"/>
  <c r="E3587" i="1"/>
  <c r="B3587" i="1"/>
  <c r="A3587" i="1"/>
  <c r="H3586" i="1"/>
  <c r="G3586" i="1"/>
  <c r="E3586" i="1"/>
  <c r="B3586" i="1"/>
  <c r="A3586" i="1"/>
  <c r="H3585" i="1"/>
  <c r="G3585" i="1"/>
  <c r="E3585" i="1"/>
  <c r="B3585" i="1"/>
  <c r="A3585" i="1"/>
  <c r="H3584" i="1"/>
  <c r="G3584" i="1"/>
  <c r="E3584" i="1"/>
  <c r="B3584" i="1"/>
  <c r="A3584" i="1"/>
  <c r="H3583" i="1"/>
  <c r="G3583" i="1"/>
  <c r="E3583" i="1"/>
  <c r="B3583" i="1"/>
  <c r="A3583" i="1"/>
  <c r="H3582" i="1"/>
  <c r="G3582" i="1"/>
  <c r="E3582" i="1"/>
  <c r="B3582" i="1"/>
  <c r="A3582" i="1"/>
  <c r="H3581" i="1"/>
  <c r="G3581" i="1"/>
  <c r="E3581" i="1"/>
  <c r="B3581" i="1"/>
  <c r="A3581" i="1"/>
  <c r="H3580" i="1"/>
  <c r="G3580" i="1"/>
  <c r="E3580" i="1"/>
  <c r="B3580" i="1"/>
  <c r="A3580" i="1"/>
  <c r="H3579" i="1"/>
  <c r="G3579" i="1"/>
  <c r="E3579" i="1"/>
  <c r="B3579" i="1"/>
  <c r="A3579" i="1"/>
  <c r="H3578" i="1"/>
  <c r="G3578" i="1"/>
  <c r="E3578" i="1"/>
  <c r="B3578" i="1"/>
  <c r="A3578" i="1"/>
  <c r="H3577" i="1"/>
  <c r="G3577" i="1"/>
  <c r="E3577" i="1"/>
  <c r="B3577" i="1"/>
  <c r="A3577" i="1"/>
  <c r="H3576" i="1"/>
  <c r="G3576" i="1"/>
  <c r="E3576" i="1"/>
  <c r="B3576" i="1"/>
  <c r="A3576" i="1"/>
  <c r="H3575" i="1"/>
  <c r="G3575" i="1"/>
  <c r="E3575" i="1"/>
  <c r="B3575" i="1"/>
  <c r="A3575" i="1"/>
  <c r="H3574" i="1"/>
  <c r="G3574" i="1"/>
  <c r="E3574" i="1"/>
  <c r="B3574" i="1"/>
  <c r="A3574" i="1"/>
  <c r="H3573" i="1"/>
  <c r="G3573" i="1"/>
  <c r="E3573" i="1"/>
  <c r="B3573" i="1"/>
  <c r="A3573" i="1"/>
  <c r="H3572" i="1"/>
  <c r="G3572" i="1"/>
  <c r="E3572" i="1"/>
  <c r="B3572" i="1"/>
  <c r="A3572" i="1"/>
  <c r="H3571" i="1"/>
  <c r="G3571" i="1"/>
  <c r="E3571" i="1"/>
  <c r="B3571" i="1"/>
  <c r="A3571" i="1"/>
  <c r="H3570" i="1"/>
  <c r="G3570" i="1"/>
  <c r="E3570" i="1"/>
  <c r="B3570" i="1"/>
  <c r="A3570" i="1"/>
  <c r="H3569" i="1"/>
  <c r="G3569" i="1"/>
  <c r="E3569" i="1"/>
  <c r="B3569" i="1"/>
  <c r="A3569" i="1"/>
  <c r="H3568" i="1"/>
  <c r="G3568" i="1"/>
  <c r="E3568" i="1"/>
  <c r="B3568" i="1"/>
  <c r="A3568" i="1"/>
  <c r="H3567" i="1"/>
  <c r="G3567" i="1"/>
  <c r="E3567" i="1"/>
  <c r="B3567" i="1"/>
  <c r="A3567" i="1"/>
  <c r="H3566" i="1"/>
  <c r="G3566" i="1"/>
  <c r="E3566" i="1"/>
  <c r="B3566" i="1"/>
  <c r="A3566" i="1"/>
  <c r="H3565" i="1"/>
  <c r="G3565" i="1"/>
  <c r="E3565" i="1"/>
  <c r="B3565" i="1"/>
  <c r="A3565" i="1"/>
  <c r="H3564" i="1"/>
  <c r="G3564" i="1"/>
  <c r="E3564" i="1"/>
  <c r="B3564" i="1"/>
  <c r="A3564" i="1"/>
  <c r="H3563" i="1"/>
  <c r="G3563" i="1"/>
  <c r="E3563" i="1"/>
  <c r="B3563" i="1"/>
  <c r="A3563" i="1"/>
  <c r="H3562" i="1"/>
  <c r="G3562" i="1"/>
  <c r="E3562" i="1"/>
  <c r="B3562" i="1"/>
  <c r="A3562" i="1"/>
  <c r="H3561" i="1"/>
  <c r="G3561" i="1"/>
  <c r="E3561" i="1"/>
  <c r="B3561" i="1"/>
  <c r="A3561" i="1"/>
  <c r="H3560" i="1"/>
  <c r="G3560" i="1"/>
  <c r="E3560" i="1"/>
  <c r="B3560" i="1"/>
  <c r="A3560" i="1"/>
  <c r="H3559" i="1"/>
  <c r="G3559" i="1"/>
  <c r="E3559" i="1"/>
  <c r="B3559" i="1"/>
  <c r="A3559" i="1"/>
  <c r="H3558" i="1"/>
  <c r="G3558" i="1"/>
  <c r="E3558" i="1"/>
  <c r="B3558" i="1"/>
  <c r="A3558" i="1"/>
  <c r="H3557" i="1"/>
  <c r="G3557" i="1"/>
  <c r="E3557" i="1"/>
  <c r="B3557" i="1"/>
  <c r="A3557" i="1"/>
  <c r="H3556" i="1"/>
  <c r="G3556" i="1"/>
  <c r="E3556" i="1"/>
  <c r="B3556" i="1"/>
  <c r="A3556" i="1"/>
  <c r="H3555" i="1"/>
  <c r="G3555" i="1"/>
  <c r="E3555" i="1"/>
  <c r="B3555" i="1"/>
  <c r="A3555" i="1"/>
  <c r="H3554" i="1"/>
  <c r="G3554" i="1"/>
  <c r="E3554" i="1"/>
  <c r="B3554" i="1"/>
  <c r="A3554" i="1"/>
  <c r="H3553" i="1"/>
  <c r="G3553" i="1"/>
  <c r="E3553" i="1"/>
  <c r="B3553" i="1"/>
  <c r="A3553" i="1"/>
  <c r="H3552" i="1"/>
  <c r="G3552" i="1"/>
  <c r="E3552" i="1"/>
  <c r="B3552" i="1"/>
  <c r="A3552" i="1"/>
  <c r="H3551" i="1"/>
  <c r="G3551" i="1"/>
  <c r="E3551" i="1"/>
  <c r="B3551" i="1"/>
  <c r="A3551" i="1"/>
  <c r="H3550" i="1"/>
  <c r="G3550" i="1"/>
  <c r="E3550" i="1"/>
  <c r="B3550" i="1"/>
  <c r="A3550" i="1"/>
  <c r="H3549" i="1"/>
  <c r="G3549" i="1"/>
  <c r="E3549" i="1"/>
  <c r="B3549" i="1"/>
  <c r="A3549" i="1"/>
  <c r="H3548" i="1"/>
  <c r="G3548" i="1"/>
  <c r="E3548" i="1"/>
  <c r="B3548" i="1"/>
  <c r="A3548" i="1"/>
  <c r="H3547" i="1"/>
  <c r="G3547" i="1"/>
  <c r="E3547" i="1"/>
  <c r="B3547" i="1"/>
  <c r="A3547" i="1"/>
  <c r="H3546" i="1"/>
  <c r="G3546" i="1"/>
  <c r="E3546" i="1"/>
  <c r="B3546" i="1"/>
  <c r="A3546" i="1"/>
  <c r="H3545" i="1"/>
  <c r="G3545" i="1"/>
  <c r="E3545" i="1"/>
  <c r="B3545" i="1"/>
  <c r="A3545" i="1"/>
  <c r="H3544" i="1"/>
  <c r="G3544" i="1"/>
  <c r="E3544" i="1"/>
  <c r="B3544" i="1"/>
  <c r="A3544" i="1"/>
  <c r="H3543" i="1"/>
  <c r="G3543" i="1"/>
  <c r="E3543" i="1"/>
  <c r="B3543" i="1"/>
  <c r="A3543" i="1"/>
  <c r="H3542" i="1"/>
  <c r="G3542" i="1"/>
  <c r="E3542" i="1"/>
  <c r="B3542" i="1"/>
  <c r="A3542" i="1"/>
  <c r="H3541" i="1"/>
  <c r="G3541" i="1"/>
  <c r="E3541" i="1"/>
  <c r="B3541" i="1"/>
  <c r="A3541" i="1"/>
  <c r="H3540" i="1"/>
  <c r="G3540" i="1"/>
  <c r="E3540" i="1"/>
  <c r="B3540" i="1"/>
  <c r="A3540" i="1"/>
  <c r="H3539" i="1"/>
  <c r="G3539" i="1"/>
  <c r="E3539" i="1"/>
  <c r="B3539" i="1"/>
  <c r="A3539" i="1"/>
  <c r="H3538" i="1"/>
  <c r="G3538" i="1"/>
  <c r="E3538" i="1"/>
  <c r="B3538" i="1"/>
  <c r="A3538" i="1"/>
  <c r="H3537" i="1"/>
  <c r="G3537" i="1"/>
  <c r="E3537" i="1"/>
  <c r="B3537" i="1"/>
  <c r="A3537" i="1"/>
  <c r="H3536" i="1"/>
  <c r="G3536" i="1"/>
  <c r="E3536" i="1"/>
  <c r="B3536" i="1"/>
  <c r="A3536" i="1"/>
  <c r="H3535" i="1"/>
  <c r="G3535" i="1"/>
  <c r="E3535" i="1"/>
  <c r="B3535" i="1"/>
  <c r="A3535" i="1"/>
  <c r="H3534" i="1"/>
  <c r="G3534" i="1"/>
  <c r="E3534" i="1"/>
  <c r="B3534" i="1"/>
  <c r="A3534" i="1"/>
  <c r="H3533" i="1"/>
  <c r="G3533" i="1"/>
  <c r="E3533" i="1"/>
  <c r="B3533" i="1"/>
  <c r="A3533" i="1"/>
  <c r="H3532" i="1"/>
  <c r="G3532" i="1"/>
  <c r="E3532" i="1"/>
  <c r="B3532" i="1"/>
  <c r="A3532" i="1"/>
  <c r="H3531" i="1"/>
  <c r="G3531" i="1"/>
  <c r="E3531" i="1"/>
  <c r="B3531" i="1"/>
  <c r="A3531" i="1"/>
  <c r="H3530" i="1"/>
  <c r="G3530" i="1"/>
  <c r="E3530" i="1"/>
  <c r="B3530" i="1"/>
  <c r="A3530" i="1"/>
  <c r="H3529" i="1"/>
  <c r="G3529" i="1"/>
  <c r="E3529" i="1"/>
  <c r="B3529" i="1"/>
  <c r="A3529" i="1"/>
  <c r="H3528" i="1"/>
  <c r="G3528" i="1"/>
  <c r="E3528" i="1"/>
  <c r="B3528" i="1"/>
  <c r="A3528" i="1"/>
  <c r="H3527" i="1"/>
  <c r="G3527" i="1"/>
  <c r="E3527" i="1"/>
  <c r="B3527" i="1"/>
  <c r="A3527" i="1"/>
  <c r="H3526" i="1"/>
  <c r="G3526" i="1"/>
  <c r="E3526" i="1"/>
  <c r="B3526" i="1"/>
  <c r="A3526" i="1"/>
  <c r="H3525" i="1"/>
  <c r="G3525" i="1"/>
  <c r="E3525" i="1"/>
  <c r="B3525" i="1"/>
  <c r="A3525" i="1"/>
  <c r="H3524" i="1"/>
  <c r="G3524" i="1"/>
  <c r="E3524" i="1"/>
  <c r="B3524" i="1"/>
  <c r="A3524" i="1"/>
  <c r="H3523" i="1"/>
  <c r="G3523" i="1"/>
  <c r="E3523" i="1"/>
  <c r="B3523" i="1"/>
  <c r="A3523" i="1"/>
  <c r="H3522" i="1"/>
  <c r="G3522" i="1"/>
  <c r="E3522" i="1"/>
  <c r="B3522" i="1"/>
  <c r="A3522" i="1"/>
  <c r="H3521" i="1"/>
  <c r="G3521" i="1"/>
  <c r="E3521" i="1"/>
  <c r="B3521" i="1"/>
  <c r="A3521" i="1"/>
  <c r="H3520" i="1"/>
  <c r="G3520" i="1"/>
  <c r="E3520" i="1"/>
  <c r="B3520" i="1"/>
  <c r="A3520" i="1"/>
  <c r="H3519" i="1"/>
  <c r="G3519" i="1"/>
  <c r="E3519" i="1"/>
  <c r="B3519" i="1"/>
  <c r="A3519" i="1"/>
  <c r="H3518" i="1"/>
  <c r="G3518" i="1"/>
  <c r="E3518" i="1"/>
  <c r="B3518" i="1"/>
  <c r="A3518" i="1"/>
  <c r="H3517" i="1"/>
  <c r="G3517" i="1"/>
  <c r="E3517" i="1"/>
  <c r="B3517" i="1"/>
  <c r="A3517" i="1"/>
  <c r="H3516" i="1"/>
  <c r="G3516" i="1"/>
  <c r="E3516" i="1"/>
  <c r="B3516" i="1"/>
  <c r="A3516" i="1"/>
  <c r="H3515" i="1"/>
  <c r="G3515" i="1"/>
  <c r="E3515" i="1"/>
  <c r="B3515" i="1"/>
  <c r="A3515" i="1"/>
  <c r="H3514" i="1"/>
  <c r="G3514" i="1"/>
  <c r="E3514" i="1"/>
  <c r="B3514" i="1"/>
  <c r="A3514" i="1"/>
  <c r="H3513" i="1"/>
  <c r="G3513" i="1"/>
  <c r="E3513" i="1"/>
  <c r="B3513" i="1"/>
  <c r="A3513" i="1"/>
  <c r="H3512" i="1"/>
  <c r="G3512" i="1"/>
  <c r="E3512" i="1"/>
  <c r="B3512" i="1"/>
  <c r="A3512" i="1"/>
  <c r="H3511" i="1"/>
  <c r="G3511" i="1"/>
  <c r="E3511" i="1"/>
  <c r="B3511" i="1"/>
  <c r="A3511" i="1"/>
  <c r="H3510" i="1"/>
  <c r="G3510" i="1"/>
  <c r="E3510" i="1"/>
  <c r="B3510" i="1"/>
  <c r="A3510" i="1"/>
  <c r="H3509" i="1"/>
  <c r="G3509" i="1"/>
  <c r="E3509" i="1"/>
  <c r="B3509" i="1"/>
  <c r="A3509" i="1"/>
  <c r="H3508" i="1"/>
  <c r="G3508" i="1"/>
  <c r="E3508" i="1"/>
  <c r="B3508" i="1"/>
  <c r="A3508" i="1"/>
  <c r="H3507" i="1"/>
  <c r="G3507" i="1"/>
  <c r="E3507" i="1"/>
  <c r="B3507" i="1"/>
  <c r="A3507" i="1"/>
  <c r="H3506" i="1"/>
  <c r="G3506" i="1"/>
  <c r="E3506" i="1"/>
  <c r="B3506" i="1"/>
  <c r="A3506" i="1"/>
  <c r="H3505" i="1"/>
  <c r="G3505" i="1"/>
  <c r="E3505" i="1"/>
  <c r="B3505" i="1"/>
  <c r="A3505" i="1"/>
  <c r="H3504" i="1"/>
  <c r="G3504" i="1"/>
  <c r="E3504" i="1"/>
  <c r="B3504" i="1"/>
  <c r="A3504" i="1"/>
  <c r="H3503" i="1"/>
  <c r="G3503" i="1"/>
  <c r="E3503" i="1"/>
  <c r="B3503" i="1"/>
  <c r="A3503" i="1"/>
  <c r="H3502" i="1"/>
  <c r="G3502" i="1"/>
  <c r="E3502" i="1"/>
  <c r="B3502" i="1"/>
  <c r="A3502" i="1"/>
  <c r="H3501" i="1"/>
  <c r="G3501" i="1"/>
  <c r="E3501" i="1"/>
  <c r="B3501" i="1"/>
  <c r="A3501" i="1"/>
  <c r="H3500" i="1"/>
  <c r="G3500" i="1"/>
  <c r="E3500" i="1"/>
  <c r="B3500" i="1"/>
  <c r="A3500" i="1"/>
  <c r="H3499" i="1"/>
  <c r="G3499" i="1"/>
  <c r="E3499" i="1"/>
  <c r="B3499" i="1"/>
  <c r="A3499" i="1"/>
  <c r="H3498" i="1"/>
  <c r="G3498" i="1"/>
  <c r="E3498" i="1"/>
  <c r="B3498" i="1"/>
  <c r="A3498" i="1"/>
  <c r="H3497" i="1"/>
  <c r="G3497" i="1"/>
  <c r="E3497" i="1"/>
  <c r="B3497" i="1"/>
  <c r="A3497" i="1"/>
  <c r="H3496" i="1"/>
  <c r="G3496" i="1"/>
  <c r="E3496" i="1"/>
  <c r="B3496" i="1"/>
  <c r="A3496" i="1"/>
  <c r="H3495" i="1"/>
  <c r="G3495" i="1"/>
  <c r="E3495" i="1"/>
  <c r="B3495" i="1"/>
  <c r="A3495" i="1"/>
  <c r="H3494" i="1"/>
  <c r="G3494" i="1"/>
  <c r="E3494" i="1"/>
  <c r="B3494" i="1"/>
  <c r="A3494" i="1"/>
  <c r="H3493" i="1"/>
  <c r="G3493" i="1"/>
  <c r="E3493" i="1"/>
  <c r="B3493" i="1"/>
  <c r="A3493" i="1"/>
  <c r="H3492" i="1"/>
  <c r="G3492" i="1"/>
  <c r="E3492" i="1"/>
  <c r="B3492" i="1"/>
  <c r="A3492" i="1"/>
  <c r="H3491" i="1"/>
  <c r="G3491" i="1"/>
  <c r="E3491" i="1"/>
  <c r="B3491" i="1"/>
  <c r="A3491" i="1"/>
  <c r="H3490" i="1"/>
  <c r="G3490" i="1"/>
  <c r="E3490" i="1"/>
  <c r="B3490" i="1"/>
  <c r="A3490" i="1"/>
  <c r="H3489" i="1"/>
  <c r="G3489" i="1"/>
  <c r="E3489" i="1"/>
  <c r="B3489" i="1"/>
  <c r="A3489" i="1"/>
  <c r="H3488" i="1"/>
  <c r="G3488" i="1"/>
  <c r="E3488" i="1"/>
  <c r="B3488" i="1"/>
  <c r="A3488" i="1"/>
  <c r="H3487" i="1"/>
  <c r="G3487" i="1"/>
  <c r="E3487" i="1"/>
  <c r="B3487" i="1"/>
  <c r="A3487" i="1"/>
  <c r="H3486" i="1"/>
  <c r="G3486" i="1"/>
  <c r="E3486" i="1"/>
  <c r="B3486" i="1"/>
  <c r="A3486" i="1"/>
  <c r="H3485" i="1"/>
  <c r="G3485" i="1"/>
  <c r="E3485" i="1"/>
  <c r="B3485" i="1"/>
  <c r="A3485" i="1"/>
  <c r="H3484" i="1"/>
  <c r="G3484" i="1"/>
  <c r="E3484" i="1"/>
  <c r="B3484" i="1"/>
  <c r="A3484" i="1"/>
  <c r="H3483" i="1"/>
  <c r="G3483" i="1"/>
  <c r="E3483" i="1"/>
  <c r="B3483" i="1"/>
  <c r="A3483" i="1"/>
  <c r="H3482" i="1"/>
  <c r="G3482" i="1"/>
  <c r="E3482" i="1"/>
  <c r="B3482" i="1"/>
  <c r="A3482" i="1"/>
  <c r="H3481" i="1"/>
  <c r="G3481" i="1"/>
  <c r="E3481" i="1"/>
  <c r="B3481" i="1"/>
  <c r="A3481" i="1"/>
  <c r="H3480" i="1"/>
  <c r="G3480" i="1"/>
  <c r="E3480" i="1"/>
  <c r="B3480" i="1"/>
  <c r="A3480" i="1"/>
  <c r="H3479" i="1"/>
  <c r="G3479" i="1"/>
  <c r="E3479" i="1"/>
  <c r="B3479" i="1"/>
  <c r="A3479" i="1"/>
  <c r="H3478" i="1"/>
  <c r="G3478" i="1"/>
  <c r="E3478" i="1"/>
  <c r="B3478" i="1"/>
  <c r="A3478" i="1"/>
  <c r="H3477" i="1"/>
  <c r="G3477" i="1"/>
  <c r="E3477" i="1"/>
  <c r="B3477" i="1"/>
  <c r="A3477" i="1"/>
  <c r="H3476" i="1"/>
  <c r="G3476" i="1"/>
  <c r="E3476" i="1"/>
  <c r="B3476" i="1"/>
  <c r="A3476" i="1"/>
  <c r="H3475" i="1"/>
  <c r="G3475" i="1"/>
  <c r="E3475" i="1"/>
  <c r="B3475" i="1"/>
  <c r="A3475" i="1"/>
  <c r="H3474" i="1"/>
  <c r="G3474" i="1"/>
  <c r="E3474" i="1"/>
  <c r="B3474" i="1"/>
  <c r="A3474" i="1"/>
  <c r="H3473" i="1"/>
  <c r="G3473" i="1"/>
  <c r="E3473" i="1"/>
  <c r="B3473" i="1"/>
  <c r="A3473" i="1"/>
  <c r="H3472" i="1"/>
  <c r="G3472" i="1"/>
  <c r="E3472" i="1"/>
  <c r="B3472" i="1"/>
  <c r="A3472" i="1"/>
  <c r="H3471" i="1"/>
  <c r="G3471" i="1"/>
  <c r="E3471" i="1"/>
  <c r="B3471" i="1"/>
  <c r="A3471" i="1"/>
  <c r="H3470" i="1"/>
  <c r="G3470" i="1"/>
  <c r="E3470" i="1"/>
  <c r="B3470" i="1"/>
  <c r="A3470" i="1"/>
  <c r="H3469" i="1"/>
  <c r="G3469" i="1"/>
  <c r="E3469" i="1"/>
  <c r="B3469" i="1"/>
  <c r="A3469" i="1"/>
  <c r="H3468" i="1"/>
  <c r="G3468" i="1"/>
  <c r="E3468" i="1"/>
  <c r="B3468" i="1"/>
  <c r="A3468" i="1"/>
  <c r="H3467" i="1"/>
  <c r="G3467" i="1"/>
  <c r="E3467" i="1"/>
  <c r="B3467" i="1"/>
  <c r="A3467" i="1"/>
  <c r="H3466" i="1"/>
  <c r="G3466" i="1"/>
  <c r="E3466" i="1"/>
  <c r="B3466" i="1"/>
  <c r="A3466" i="1"/>
  <c r="H3465" i="1"/>
  <c r="G3465" i="1"/>
  <c r="E3465" i="1"/>
  <c r="B3465" i="1"/>
  <c r="A3465" i="1"/>
  <c r="H3464" i="1"/>
  <c r="G3464" i="1"/>
  <c r="E3464" i="1"/>
  <c r="B3464" i="1"/>
  <c r="A3464" i="1"/>
  <c r="H3463" i="1"/>
  <c r="G3463" i="1"/>
  <c r="E3463" i="1"/>
  <c r="B3463" i="1"/>
  <c r="A3463" i="1"/>
  <c r="H3462" i="1"/>
  <c r="G3462" i="1"/>
  <c r="E3462" i="1"/>
  <c r="B3462" i="1"/>
  <c r="A3462" i="1"/>
  <c r="H3461" i="1"/>
  <c r="G3461" i="1"/>
  <c r="E3461" i="1"/>
  <c r="B3461" i="1"/>
  <c r="A3461" i="1"/>
  <c r="H3460" i="1"/>
  <c r="G3460" i="1"/>
  <c r="E3460" i="1"/>
  <c r="B3460" i="1"/>
  <c r="A3460" i="1"/>
  <c r="H3459" i="1"/>
  <c r="G3459" i="1"/>
  <c r="E3459" i="1"/>
  <c r="B3459" i="1"/>
  <c r="A3459" i="1"/>
  <c r="H3458" i="1"/>
  <c r="G3458" i="1"/>
  <c r="E3458" i="1"/>
  <c r="B3458" i="1"/>
  <c r="A3458" i="1"/>
  <c r="H3457" i="1"/>
  <c r="G3457" i="1"/>
  <c r="E3457" i="1"/>
  <c r="B3457" i="1"/>
  <c r="A3457" i="1"/>
  <c r="H3456" i="1"/>
  <c r="G3456" i="1"/>
  <c r="E3456" i="1"/>
  <c r="B3456" i="1"/>
  <c r="A3456" i="1"/>
  <c r="H3455" i="1"/>
  <c r="G3455" i="1"/>
  <c r="E3455" i="1"/>
  <c r="B3455" i="1"/>
  <c r="A3455" i="1"/>
  <c r="H3454" i="1"/>
  <c r="G3454" i="1"/>
  <c r="E3454" i="1"/>
  <c r="B3454" i="1"/>
  <c r="A3454" i="1"/>
  <c r="H3453" i="1"/>
  <c r="G3453" i="1"/>
  <c r="E3453" i="1"/>
  <c r="B3453" i="1"/>
  <c r="A3453" i="1"/>
  <c r="H3452" i="1"/>
  <c r="G3452" i="1"/>
  <c r="E3452" i="1"/>
  <c r="B3452" i="1"/>
  <c r="A3452" i="1"/>
  <c r="H3451" i="1"/>
  <c r="G3451" i="1"/>
  <c r="E3451" i="1"/>
  <c r="B3451" i="1"/>
  <c r="A3451" i="1"/>
  <c r="H3450" i="1"/>
  <c r="G3450" i="1"/>
  <c r="E3450" i="1"/>
  <c r="B3450" i="1"/>
  <c r="A3450" i="1"/>
  <c r="H3449" i="1"/>
  <c r="G3449" i="1"/>
  <c r="E3449" i="1"/>
  <c r="B3449" i="1"/>
  <c r="A3449" i="1"/>
  <c r="H3448" i="1"/>
  <c r="G3448" i="1"/>
  <c r="E3448" i="1"/>
  <c r="B3448" i="1"/>
  <c r="A3448" i="1"/>
  <c r="H3447" i="1"/>
  <c r="G3447" i="1"/>
  <c r="E3447" i="1"/>
  <c r="B3447" i="1"/>
  <c r="A3447" i="1"/>
  <c r="H3446" i="1"/>
  <c r="G3446" i="1"/>
  <c r="E3446" i="1"/>
  <c r="B3446" i="1"/>
  <c r="A3446" i="1"/>
  <c r="H3445" i="1"/>
  <c r="G3445" i="1"/>
  <c r="E3445" i="1"/>
  <c r="B3445" i="1"/>
  <c r="A3445" i="1"/>
  <c r="H3444" i="1"/>
  <c r="G3444" i="1"/>
  <c r="E3444" i="1"/>
  <c r="B3444" i="1"/>
  <c r="A3444" i="1"/>
  <c r="H3443" i="1"/>
  <c r="G3443" i="1"/>
  <c r="E3443" i="1"/>
  <c r="B3443" i="1"/>
  <c r="A3443" i="1"/>
  <c r="H3442" i="1"/>
  <c r="G3442" i="1"/>
  <c r="E3442" i="1"/>
  <c r="B3442" i="1"/>
  <c r="A3442" i="1"/>
  <c r="H3441" i="1"/>
  <c r="G3441" i="1"/>
  <c r="E3441" i="1"/>
  <c r="B3441" i="1"/>
  <c r="A3441" i="1"/>
  <c r="H3440" i="1"/>
  <c r="G3440" i="1"/>
  <c r="E3440" i="1"/>
  <c r="B3440" i="1"/>
  <c r="A3440" i="1"/>
  <c r="H3439" i="1"/>
  <c r="G3439" i="1"/>
  <c r="E3439" i="1"/>
  <c r="B3439" i="1"/>
  <c r="A3439" i="1"/>
  <c r="H3438" i="1"/>
  <c r="G3438" i="1"/>
  <c r="E3438" i="1"/>
  <c r="B3438" i="1"/>
  <c r="A3438" i="1"/>
  <c r="H3437" i="1"/>
  <c r="G3437" i="1"/>
  <c r="E3437" i="1"/>
  <c r="B3437" i="1"/>
  <c r="A3437" i="1"/>
  <c r="H3436" i="1"/>
  <c r="G3436" i="1"/>
  <c r="E3436" i="1"/>
  <c r="B3436" i="1"/>
  <c r="A3436" i="1"/>
  <c r="H3435" i="1"/>
  <c r="G3435" i="1"/>
  <c r="E3435" i="1"/>
  <c r="B3435" i="1"/>
  <c r="A3435" i="1"/>
  <c r="H3434" i="1"/>
  <c r="G3434" i="1"/>
  <c r="E3434" i="1"/>
  <c r="B3434" i="1"/>
  <c r="A3434" i="1"/>
  <c r="H3433" i="1"/>
  <c r="G3433" i="1"/>
  <c r="E3433" i="1"/>
  <c r="B3433" i="1"/>
  <c r="A3433" i="1"/>
  <c r="H3432" i="1"/>
  <c r="G3432" i="1"/>
  <c r="E3432" i="1"/>
  <c r="B3432" i="1"/>
  <c r="A3432" i="1"/>
  <c r="H3431" i="1"/>
  <c r="G3431" i="1"/>
  <c r="E3431" i="1"/>
  <c r="B3431" i="1"/>
  <c r="A3431" i="1"/>
  <c r="H3430" i="1"/>
  <c r="G3430" i="1"/>
  <c r="E3430" i="1"/>
  <c r="B3430" i="1"/>
  <c r="A3430" i="1"/>
  <c r="H3429" i="1"/>
  <c r="G3429" i="1"/>
  <c r="E3429" i="1"/>
  <c r="B3429" i="1"/>
  <c r="A3429" i="1"/>
  <c r="H3428" i="1"/>
  <c r="G3428" i="1"/>
  <c r="E3428" i="1"/>
  <c r="B3428" i="1"/>
  <c r="A3428" i="1"/>
  <c r="H3427" i="1"/>
  <c r="G3427" i="1"/>
  <c r="E3427" i="1"/>
  <c r="B3427" i="1"/>
  <c r="A3427" i="1"/>
  <c r="H3426" i="1"/>
  <c r="G3426" i="1"/>
  <c r="E3426" i="1"/>
  <c r="B3426" i="1"/>
  <c r="A3426" i="1"/>
  <c r="H3425" i="1"/>
  <c r="G3425" i="1"/>
  <c r="E3425" i="1"/>
  <c r="B3425" i="1"/>
  <c r="A3425" i="1"/>
  <c r="H3424" i="1"/>
  <c r="G3424" i="1"/>
  <c r="E3424" i="1"/>
  <c r="B3424" i="1"/>
  <c r="A3424" i="1"/>
  <c r="H3423" i="1"/>
  <c r="G3423" i="1"/>
  <c r="E3423" i="1"/>
  <c r="B3423" i="1"/>
  <c r="A3423" i="1"/>
  <c r="H3422" i="1"/>
  <c r="G3422" i="1"/>
  <c r="E3422" i="1"/>
  <c r="B3422" i="1"/>
  <c r="A3422" i="1"/>
  <c r="H3421" i="1"/>
  <c r="G3421" i="1"/>
  <c r="E3421" i="1"/>
  <c r="B3421" i="1"/>
  <c r="A3421" i="1"/>
  <c r="H3420" i="1"/>
  <c r="G3420" i="1"/>
  <c r="E3420" i="1"/>
  <c r="B3420" i="1"/>
  <c r="A3420" i="1"/>
  <c r="H3419" i="1"/>
  <c r="G3419" i="1"/>
  <c r="E3419" i="1"/>
  <c r="B3419" i="1"/>
  <c r="A3419" i="1"/>
  <c r="H3418" i="1"/>
  <c r="G3418" i="1"/>
  <c r="E3418" i="1"/>
  <c r="B3418" i="1"/>
  <c r="A3418" i="1"/>
  <c r="H3417" i="1"/>
  <c r="G3417" i="1"/>
  <c r="E3417" i="1"/>
  <c r="B3417" i="1"/>
  <c r="A3417" i="1"/>
  <c r="H3416" i="1"/>
  <c r="G3416" i="1"/>
  <c r="E3416" i="1"/>
  <c r="B3416" i="1"/>
  <c r="A3416" i="1"/>
  <c r="H3415" i="1"/>
  <c r="G3415" i="1"/>
  <c r="E3415" i="1"/>
  <c r="B3415" i="1"/>
  <c r="A3415" i="1"/>
  <c r="H3414" i="1"/>
  <c r="G3414" i="1"/>
  <c r="E3414" i="1"/>
  <c r="B3414" i="1"/>
  <c r="A3414" i="1"/>
  <c r="H3413" i="1"/>
  <c r="G3413" i="1"/>
  <c r="E3413" i="1"/>
  <c r="B3413" i="1"/>
  <c r="A3413" i="1"/>
  <c r="H3412" i="1"/>
  <c r="G3412" i="1"/>
  <c r="E3412" i="1"/>
  <c r="B3412" i="1"/>
  <c r="A3412" i="1"/>
  <c r="H3411" i="1"/>
  <c r="G3411" i="1"/>
  <c r="E3411" i="1"/>
  <c r="B3411" i="1"/>
  <c r="A3411" i="1"/>
  <c r="H3410" i="1"/>
  <c r="G3410" i="1"/>
  <c r="E3410" i="1"/>
  <c r="B3410" i="1"/>
  <c r="A3410" i="1"/>
  <c r="H3409" i="1"/>
  <c r="G3409" i="1"/>
  <c r="E3409" i="1"/>
  <c r="B3409" i="1"/>
  <c r="A3409" i="1"/>
  <c r="H3408" i="1"/>
  <c r="G3408" i="1"/>
  <c r="E3408" i="1"/>
  <c r="B3408" i="1"/>
  <c r="A3408" i="1"/>
  <c r="H3407" i="1"/>
  <c r="G3407" i="1"/>
  <c r="E3407" i="1"/>
  <c r="B3407" i="1"/>
  <c r="A3407" i="1"/>
  <c r="H3406" i="1"/>
  <c r="G3406" i="1"/>
  <c r="E3406" i="1"/>
  <c r="B3406" i="1"/>
  <c r="A3406" i="1"/>
  <c r="H3405" i="1"/>
  <c r="G3405" i="1"/>
  <c r="E3405" i="1"/>
  <c r="B3405" i="1"/>
  <c r="A3405" i="1"/>
  <c r="H3404" i="1"/>
  <c r="G3404" i="1"/>
  <c r="E3404" i="1"/>
  <c r="B3404" i="1"/>
  <c r="A3404" i="1"/>
  <c r="H3403" i="1"/>
  <c r="G3403" i="1"/>
  <c r="E3403" i="1"/>
  <c r="B3403" i="1"/>
  <c r="A3403" i="1"/>
  <c r="H3402" i="1"/>
  <c r="G3402" i="1"/>
  <c r="E3402" i="1"/>
  <c r="B3402" i="1"/>
  <c r="A3402" i="1"/>
  <c r="H3401" i="1"/>
  <c r="G3401" i="1"/>
  <c r="E3401" i="1"/>
  <c r="B3401" i="1"/>
  <c r="A3401" i="1"/>
  <c r="H3400" i="1"/>
  <c r="G3400" i="1"/>
  <c r="E3400" i="1"/>
  <c r="B3400" i="1"/>
  <c r="A3400" i="1"/>
  <c r="H3399" i="1"/>
  <c r="G3399" i="1"/>
  <c r="E3399" i="1"/>
  <c r="B3399" i="1"/>
  <c r="A3399" i="1"/>
  <c r="H3398" i="1"/>
  <c r="G3398" i="1"/>
  <c r="E3398" i="1"/>
  <c r="B3398" i="1"/>
  <c r="A3398" i="1"/>
  <c r="H3397" i="1"/>
  <c r="G3397" i="1"/>
  <c r="E3397" i="1"/>
  <c r="B3397" i="1"/>
  <c r="A3397" i="1"/>
  <c r="H3396" i="1"/>
  <c r="G3396" i="1"/>
  <c r="E3396" i="1"/>
  <c r="B3396" i="1"/>
  <c r="A3396" i="1"/>
  <c r="H3395" i="1"/>
  <c r="G3395" i="1"/>
  <c r="E3395" i="1"/>
  <c r="B3395" i="1"/>
  <c r="A3395" i="1"/>
  <c r="H3394" i="1"/>
  <c r="G3394" i="1"/>
  <c r="E3394" i="1"/>
  <c r="B3394" i="1"/>
  <c r="A3394" i="1"/>
  <c r="H3393" i="1"/>
  <c r="G3393" i="1"/>
  <c r="E3393" i="1"/>
  <c r="B3393" i="1"/>
  <c r="A3393" i="1"/>
  <c r="H3392" i="1"/>
  <c r="G3392" i="1"/>
  <c r="E3392" i="1"/>
  <c r="B3392" i="1"/>
  <c r="A3392" i="1"/>
  <c r="H3391" i="1"/>
  <c r="G3391" i="1"/>
  <c r="E3391" i="1"/>
  <c r="B3391" i="1"/>
  <c r="A3391" i="1"/>
  <c r="H3390" i="1"/>
  <c r="G3390" i="1"/>
  <c r="E3390" i="1"/>
  <c r="B3390" i="1"/>
  <c r="A3390" i="1"/>
  <c r="H3389" i="1"/>
  <c r="G3389" i="1"/>
  <c r="E3389" i="1"/>
  <c r="B3389" i="1"/>
  <c r="A3389" i="1"/>
  <c r="H3388" i="1"/>
  <c r="G3388" i="1"/>
  <c r="E3388" i="1"/>
  <c r="B3388" i="1"/>
  <c r="A3388" i="1"/>
  <c r="H3387" i="1"/>
  <c r="G3387" i="1"/>
  <c r="E3387" i="1"/>
  <c r="B3387" i="1"/>
  <c r="A3387" i="1"/>
  <c r="H3386" i="1"/>
  <c r="G3386" i="1"/>
  <c r="E3386" i="1"/>
  <c r="B3386" i="1"/>
  <c r="A3386" i="1"/>
  <c r="H3385" i="1"/>
  <c r="G3385" i="1"/>
  <c r="E3385" i="1"/>
  <c r="B3385" i="1"/>
  <c r="A3385" i="1"/>
  <c r="H3384" i="1"/>
  <c r="G3384" i="1"/>
  <c r="E3384" i="1"/>
  <c r="B3384" i="1"/>
  <c r="A3384" i="1"/>
  <c r="H3383" i="1"/>
  <c r="G3383" i="1"/>
  <c r="E3383" i="1"/>
  <c r="B3383" i="1"/>
  <c r="A3383" i="1"/>
  <c r="H3382" i="1"/>
  <c r="G3382" i="1"/>
  <c r="E3382" i="1"/>
  <c r="B3382" i="1"/>
  <c r="A3382" i="1"/>
  <c r="H3381" i="1"/>
  <c r="G3381" i="1"/>
  <c r="E3381" i="1"/>
  <c r="B3381" i="1"/>
  <c r="A3381" i="1"/>
  <c r="H3380" i="1"/>
  <c r="G3380" i="1"/>
  <c r="E3380" i="1"/>
  <c r="B3380" i="1"/>
  <c r="A3380" i="1"/>
  <c r="H3379" i="1"/>
  <c r="G3379" i="1"/>
  <c r="E3379" i="1"/>
  <c r="B3379" i="1"/>
  <c r="A3379" i="1"/>
  <c r="H3378" i="1"/>
  <c r="G3378" i="1"/>
  <c r="E3378" i="1"/>
  <c r="B3378" i="1"/>
  <c r="A3378" i="1"/>
  <c r="H3377" i="1"/>
  <c r="G3377" i="1"/>
  <c r="E3377" i="1"/>
  <c r="B3377" i="1"/>
  <c r="A3377" i="1"/>
  <c r="H3376" i="1"/>
  <c r="G3376" i="1"/>
  <c r="E3376" i="1"/>
  <c r="B3376" i="1"/>
  <c r="A3376" i="1"/>
  <c r="H3375" i="1"/>
  <c r="G3375" i="1"/>
  <c r="E3375" i="1"/>
  <c r="B3375" i="1"/>
  <c r="A3375" i="1"/>
  <c r="H3374" i="1"/>
  <c r="G3374" i="1"/>
  <c r="E3374" i="1"/>
  <c r="B3374" i="1"/>
  <c r="A3374" i="1"/>
  <c r="H3373" i="1"/>
  <c r="G3373" i="1"/>
  <c r="E3373" i="1"/>
  <c r="B3373" i="1"/>
  <c r="A3373" i="1"/>
  <c r="H3372" i="1"/>
  <c r="G3372" i="1"/>
  <c r="E3372" i="1"/>
  <c r="B3372" i="1"/>
  <c r="A3372" i="1"/>
  <c r="H3371" i="1"/>
  <c r="G3371" i="1"/>
  <c r="E3371" i="1"/>
  <c r="B3371" i="1"/>
  <c r="A3371" i="1"/>
  <c r="H3370" i="1"/>
  <c r="G3370" i="1"/>
  <c r="E3370" i="1"/>
  <c r="B3370" i="1"/>
  <c r="A3370" i="1"/>
  <c r="H3369" i="1"/>
  <c r="G3369" i="1"/>
  <c r="E3369" i="1"/>
  <c r="B3369" i="1"/>
  <c r="A3369" i="1"/>
  <c r="H3368" i="1"/>
  <c r="G3368" i="1"/>
  <c r="E3368" i="1"/>
  <c r="B3368" i="1"/>
  <c r="A3368" i="1"/>
  <c r="H3367" i="1"/>
  <c r="G3367" i="1"/>
  <c r="E3367" i="1"/>
  <c r="B3367" i="1"/>
  <c r="A3367" i="1"/>
  <c r="H3366" i="1"/>
  <c r="G3366" i="1"/>
  <c r="E3366" i="1"/>
  <c r="B3366" i="1"/>
  <c r="A3366" i="1"/>
  <c r="H3365" i="1"/>
  <c r="G3365" i="1"/>
  <c r="E3365" i="1"/>
  <c r="B3365" i="1"/>
  <c r="A3365" i="1"/>
  <c r="H3364" i="1"/>
  <c r="G3364" i="1"/>
  <c r="E3364" i="1"/>
  <c r="B3364" i="1"/>
  <c r="A3364" i="1"/>
  <c r="H3363" i="1"/>
  <c r="G3363" i="1"/>
  <c r="E3363" i="1"/>
  <c r="B3363" i="1"/>
  <c r="A3363" i="1"/>
  <c r="H3362" i="1"/>
  <c r="G3362" i="1"/>
  <c r="E3362" i="1"/>
  <c r="B3362" i="1"/>
  <c r="A3362" i="1"/>
  <c r="H3361" i="1"/>
  <c r="G3361" i="1"/>
  <c r="E3361" i="1"/>
  <c r="B3361" i="1"/>
  <c r="A3361" i="1"/>
  <c r="H3360" i="1"/>
  <c r="G3360" i="1"/>
  <c r="E3360" i="1"/>
  <c r="B3360" i="1"/>
  <c r="A3360" i="1"/>
  <c r="H3359" i="1"/>
  <c r="G3359" i="1"/>
  <c r="E3359" i="1"/>
  <c r="B3359" i="1"/>
  <c r="A3359" i="1"/>
  <c r="H3358" i="1"/>
  <c r="G3358" i="1"/>
  <c r="E3358" i="1"/>
  <c r="B3358" i="1"/>
  <c r="A3358" i="1"/>
  <c r="H3357" i="1"/>
  <c r="G3357" i="1"/>
  <c r="E3357" i="1"/>
  <c r="B3357" i="1"/>
  <c r="A3357" i="1"/>
  <c r="H3356" i="1"/>
  <c r="G3356" i="1"/>
  <c r="E3356" i="1"/>
  <c r="B3356" i="1"/>
  <c r="A3356" i="1"/>
  <c r="H3355" i="1"/>
  <c r="G3355" i="1"/>
  <c r="E3355" i="1"/>
  <c r="B3355" i="1"/>
  <c r="A3355" i="1"/>
  <c r="H3354" i="1"/>
  <c r="G3354" i="1"/>
  <c r="E3354" i="1"/>
  <c r="B3354" i="1"/>
  <c r="A3354" i="1"/>
  <c r="H3353" i="1"/>
  <c r="G3353" i="1"/>
  <c r="E3353" i="1"/>
  <c r="B3353" i="1"/>
  <c r="A3353" i="1"/>
  <c r="H3352" i="1"/>
  <c r="G3352" i="1"/>
  <c r="E3352" i="1"/>
  <c r="B3352" i="1"/>
  <c r="A3352" i="1"/>
  <c r="H3351" i="1"/>
  <c r="G3351" i="1"/>
  <c r="E3351" i="1"/>
  <c r="B3351" i="1"/>
  <c r="A3351" i="1"/>
  <c r="H3350" i="1"/>
  <c r="G3350" i="1"/>
  <c r="E3350" i="1"/>
  <c r="B3350" i="1"/>
  <c r="A3350" i="1"/>
  <c r="H3349" i="1"/>
  <c r="G3349" i="1"/>
  <c r="E3349" i="1"/>
  <c r="B3349" i="1"/>
  <c r="A3349" i="1"/>
  <c r="H3348" i="1"/>
  <c r="G3348" i="1"/>
  <c r="E3348" i="1"/>
  <c r="B3348" i="1"/>
  <c r="A3348" i="1"/>
  <c r="H3347" i="1"/>
  <c r="G3347" i="1"/>
  <c r="E3347" i="1"/>
  <c r="B3347" i="1"/>
  <c r="A3347" i="1"/>
  <c r="H3346" i="1"/>
  <c r="G3346" i="1"/>
  <c r="E3346" i="1"/>
  <c r="B3346" i="1"/>
  <c r="A3346" i="1"/>
  <c r="H3345" i="1"/>
  <c r="G3345" i="1"/>
  <c r="E3345" i="1"/>
  <c r="B3345" i="1"/>
  <c r="A3345" i="1"/>
  <c r="H3344" i="1"/>
  <c r="G3344" i="1"/>
  <c r="E3344" i="1"/>
  <c r="B3344" i="1"/>
  <c r="A3344" i="1"/>
  <c r="H3343" i="1"/>
  <c r="G3343" i="1"/>
  <c r="E3343" i="1"/>
  <c r="B3343" i="1"/>
  <c r="A3343" i="1"/>
  <c r="H3342" i="1"/>
  <c r="G3342" i="1"/>
  <c r="E3342" i="1"/>
  <c r="B3342" i="1"/>
  <c r="A3342" i="1"/>
  <c r="H3341" i="1"/>
  <c r="G3341" i="1"/>
  <c r="E3341" i="1"/>
  <c r="B3341" i="1"/>
  <c r="A3341" i="1"/>
  <c r="H3340" i="1"/>
  <c r="G3340" i="1"/>
  <c r="E3340" i="1"/>
  <c r="B3340" i="1"/>
  <c r="A3340" i="1"/>
  <c r="H3339" i="1"/>
  <c r="G3339" i="1"/>
  <c r="E3339" i="1"/>
  <c r="B3339" i="1"/>
  <c r="A3339" i="1"/>
  <c r="H3338" i="1"/>
  <c r="G3338" i="1"/>
  <c r="E3338" i="1"/>
  <c r="B3338" i="1"/>
  <c r="A3338" i="1"/>
  <c r="H3337" i="1"/>
  <c r="G3337" i="1"/>
  <c r="E3337" i="1"/>
  <c r="B3337" i="1"/>
  <c r="A3337" i="1"/>
  <c r="H3336" i="1"/>
  <c r="G3336" i="1"/>
  <c r="E3336" i="1"/>
  <c r="B3336" i="1"/>
  <c r="A3336" i="1"/>
  <c r="H3335" i="1"/>
  <c r="G3335" i="1"/>
  <c r="E3335" i="1"/>
  <c r="B3335" i="1"/>
  <c r="A3335" i="1"/>
  <c r="H3334" i="1"/>
  <c r="G3334" i="1"/>
  <c r="E3334" i="1"/>
  <c r="B3334" i="1"/>
  <c r="A3334" i="1"/>
  <c r="H3333" i="1"/>
  <c r="G3333" i="1"/>
  <c r="E3333" i="1"/>
  <c r="B3333" i="1"/>
  <c r="A3333" i="1"/>
  <c r="H3332" i="1"/>
  <c r="G3332" i="1"/>
  <c r="E3332" i="1"/>
  <c r="B3332" i="1"/>
  <c r="A3332" i="1"/>
  <c r="H3331" i="1"/>
  <c r="G3331" i="1"/>
  <c r="E3331" i="1"/>
  <c r="B3331" i="1"/>
  <c r="A3331" i="1"/>
  <c r="H3330" i="1"/>
  <c r="G3330" i="1"/>
  <c r="E3330" i="1"/>
  <c r="B3330" i="1"/>
  <c r="A3330" i="1"/>
  <c r="H3329" i="1"/>
  <c r="G3329" i="1"/>
  <c r="E3329" i="1"/>
  <c r="B3329" i="1"/>
  <c r="A3329" i="1"/>
  <c r="H3328" i="1"/>
  <c r="G3328" i="1"/>
  <c r="E3328" i="1"/>
  <c r="B3328" i="1"/>
  <c r="A3328" i="1"/>
  <c r="H3327" i="1"/>
  <c r="G3327" i="1"/>
  <c r="E3327" i="1"/>
  <c r="B3327" i="1"/>
  <c r="A3327" i="1"/>
  <c r="H3326" i="1"/>
  <c r="G3326" i="1"/>
  <c r="E3326" i="1"/>
  <c r="B3326" i="1"/>
  <c r="A3326" i="1"/>
  <c r="H3325" i="1"/>
  <c r="G3325" i="1"/>
  <c r="E3325" i="1"/>
  <c r="B3325" i="1"/>
  <c r="A3325" i="1"/>
  <c r="H3324" i="1"/>
  <c r="G3324" i="1"/>
  <c r="E3324" i="1"/>
  <c r="B3324" i="1"/>
  <c r="A3324" i="1"/>
  <c r="H3323" i="1"/>
  <c r="G3323" i="1"/>
  <c r="E3323" i="1"/>
  <c r="B3323" i="1"/>
  <c r="A3323" i="1"/>
  <c r="H3322" i="1"/>
  <c r="G3322" i="1"/>
  <c r="E3322" i="1"/>
  <c r="B3322" i="1"/>
  <c r="A3322" i="1"/>
  <c r="H3321" i="1"/>
  <c r="G3321" i="1"/>
  <c r="E3321" i="1"/>
  <c r="B3321" i="1"/>
  <c r="A3321" i="1"/>
  <c r="H3320" i="1"/>
  <c r="G3320" i="1"/>
  <c r="E3320" i="1"/>
  <c r="B3320" i="1"/>
  <c r="A3320" i="1"/>
  <c r="H3319" i="1"/>
  <c r="G3319" i="1"/>
  <c r="E3319" i="1"/>
  <c r="B3319" i="1"/>
  <c r="A3319" i="1"/>
  <c r="H3318" i="1"/>
  <c r="G3318" i="1"/>
  <c r="E3318" i="1"/>
  <c r="B3318" i="1"/>
  <c r="A3318" i="1"/>
  <c r="H3317" i="1"/>
  <c r="G3317" i="1"/>
  <c r="E3317" i="1"/>
  <c r="B3317" i="1"/>
  <c r="A3317" i="1"/>
  <c r="H3316" i="1"/>
  <c r="G3316" i="1"/>
  <c r="E3316" i="1"/>
  <c r="B3316" i="1"/>
  <c r="A3316" i="1"/>
  <c r="H3315" i="1"/>
  <c r="G3315" i="1"/>
  <c r="E3315" i="1"/>
  <c r="B3315" i="1"/>
  <c r="A3315" i="1"/>
  <c r="H3314" i="1"/>
  <c r="G3314" i="1"/>
  <c r="E3314" i="1"/>
  <c r="B3314" i="1"/>
  <c r="A3314" i="1"/>
  <c r="H3313" i="1"/>
  <c r="G3313" i="1"/>
  <c r="E3313" i="1"/>
  <c r="B3313" i="1"/>
  <c r="A3313" i="1"/>
  <c r="H3312" i="1"/>
  <c r="G3312" i="1"/>
  <c r="E3312" i="1"/>
  <c r="B3312" i="1"/>
  <c r="A3312" i="1"/>
  <c r="H3311" i="1"/>
  <c r="G3311" i="1"/>
  <c r="E3311" i="1"/>
  <c r="B3311" i="1"/>
  <c r="A3311" i="1"/>
  <c r="H3310" i="1"/>
  <c r="G3310" i="1"/>
  <c r="E3310" i="1"/>
  <c r="B3310" i="1"/>
  <c r="A3310" i="1"/>
  <c r="H3309" i="1"/>
  <c r="G3309" i="1"/>
  <c r="E3309" i="1"/>
  <c r="B3309" i="1"/>
  <c r="A3309" i="1"/>
  <c r="H3308" i="1"/>
  <c r="G3308" i="1"/>
  <c r="E3308" i="1"/>
  <c r="B3308" i="1"/>
  <c r="A3308" i="1"/>
  <c r="H3307" i="1"/>
  <c r="G3307" i="1"/>
  <c r="E3307" i="1"/>
  <c r="B3307" i="1"/>
  <c r="A3307" i="1"/>
  <c r="H3306" i="1"/>
  <c r="G3306" i="1"/>
  <c r="E3306" i="1"/>
  <c r="B3306" i="1"/>
  <c r="A3306" i="1"/>
  <c r="H3305" i="1"/>
  <c r="G3305" i="1"/>
  <c r="E3305" i="1"/>
  <c r="B3305" i="1"/>
  <c r="A3305" i="1"/>
  <c r="H3304" i="1"/>
  <c r="G3304" i="1"/>
  <c r="E3304" i="1"/>
  <c r="B3304" i="1"/>
  <c r="A3304" i="1"/>
  <c r="H3303" i="1"/>
  <c r="G3303" i="1"/>
  <c r="E3303" i="1"/>
  <c r="B3303" i="1"/>
  <c r="A3303" i="1"/>
  <c r="H3302" i="1"/>
  <c r="G3302" i="1"/>
  <c r="E3302" i="1"/>
  <c r="B3302" i="1"/>
  <c r="A3302" i="1"/>
  <c r="H3301" i="1"/>
  <c r="G3301" i="1"/>
  <c r="E3301" i="1"/>
  <c r="B3301" i="1"/>
  <c r="A3301" i="1"/>
  <c r="H3300" i="1"/>
  <c r="G3300" i="1"/>
  <c r="E3300" i="1"/>
  <c r="B3300" i="1"/>
  <c r="A3300" i="1"/>
  <c r="H3299" i="1"/>
  <c r="G3299" i="1"/>
  <c r="E3299" i="1"/>
  <c r="B3299" i="1"/>
  <c r="A3299" i="1"/>
  <c r="H3298" i="1"/>
  <c r="G3298" i="1"/>
  <c r="E3298" i="1"/>
  <c r="B3298" i="1"/>
  <c r="A3298" i="1"/>
  <c r="H3297" i="1"/>
  <c r="G3297" i="1"/>
  <c r="E3297" i="1"/>
  <c r="B3297" i="1"/>
  <c r="A3297" i="1"/>
  <c r="H3296" i="1"/>
  <c r="G3296" i="1"/>
  <c r="E3296" i="1"/>
  <c r="B3296" i="1"/>
  <c r="A3296" i="1"/>
  <c r="H3295" i="1"/>
  <c r="G3295" i="1"/>
  <c r="E3295" i="1"/>
  <c r="B3295" i="1"/>
  <c r="A3295" i="1"/>
  <c r="H3294" i="1"/>
  <c r="G3294" i="1"/>
  <c r="E3294" i="1"/>
  <c r="B3294" i="1"/>
  <c r="A3294" i="1"/>
  <c r="H3293" i="1"/>
  <c r="G3293" i="1"/>
  <c r="E3293" i="1"/>
  <c r="B3293" i="1"/>
  <c r="A3293" i="1"/>
  <c r="H3292" i="1"/>
  <c r="G3292" i="1"/>
  <c r="E3292" i="1"/>
  <c r="B3292" i="1"/>
  <c r="A3292" i="1"/>
  <c r="H3291" i="1"/>
  <c r="G3291" i="1"/>
  <c r="E3291" i="1"/>
  <c r="B3291" i="1"/>
  <c r="A3291" i="1"/>
  <c r="H3290" i="1"/>
  <c r="G3290" i="1"/>
  <c r="E3290" i="1"/>
  <c r="B3290" i="1"/>
  <c r="A3290" i="1"/>
  <c r="H3289" i="1"/>
  <c r="G3289" i="1"/>
  <c r="E3289" i="1"/>
  <c r="B3289" i="1"/>
  <c r="A3289" i="1"/>
  <c r="H3288" i="1"/>
  <c r="G3288" i="1"/>
  <c r="E3288" i="1"/>
  <c r="B3288" i="1"/>
  <c r="A3288" i="1"/>
  <c r="H3287" i="1"/>
  <c r="G3287" i="1"/>
  <c r="E3287" i="1"/>
  <c r="B3287" i="1"/>
  <c r="A3287" i="1"/>
  <c r="H3286" i="1"/>
  <c r="G3286" i="1"/>
  <c r="E3286" i="1"/>
  <c r="B3286" i="1"/>
  <c r="A3286" i="1"/>
  <c r="H3285" i="1"/>
  <c r="G3285" i="1"/>
  <c r="E3285" i="1"/>
  <c r="B3285" i="1"/>
  <c r="A3285" i="1"/>
  <c r="H3284" i="1"/>
  <c r="G3284" i="1"/>
  <c r="E3284" i="1"/>
  <c r="B3284" i="1"/>
  <c r="A3284" i="1"/>
  <c r="H3283" i="1"/>
  <c r="G3283" i="1"/>
  <c r="E3283" i="1"/>
  <c r="B3283" i="1"/>
  <c r="A3283" i="1"/>
  <c r="H3282" i="1"/>
  <c r="G3282" i="1"/>
  <c r="E3282" i="1"/>
  <c r="B3282" i="1"/>
  <c r="A3282" i="1"/>
  <c r="H3281" i="1"/>
  <c r="G3281" i="1"/>
  <c r="E3281" i="1"/>
  <c r="B3281" i="1"/>
  <c r="A3281" i="1"/>
  <c r="H3280" i="1"/>
  <c r="G3280" i="1"/>
  <c r="E3280" i="1"/>
  <c r="B3280" i="1"/>
  <c r="A3280" i="1"/>
  <c r="H3279" i="1"/>
  <c r="G3279" i="1"/>
  <c r="E3279" i="1"/>
  <c r="B3279" i="1"/>
  <c r="A3279" i="1"/>
  <c r="H3278" i="1"/>
  <c r="G3278" i="1"/>
  <c r="E3278" i="1"/>
  <c r="B3278" i="1"/>
  <c r="A3278" i="1"/>
  <c r="H3277" i="1"/>
  <c r="G3277" i="1"/>
  <c r="E3277" i="1"/>
  <c r="B3277" i="1"/>
  <c r="A3277" i="1"/>
  <c r="H3276" i="1"/>
  <c r="G3276" i="1"/>
  <c r="E3276" i="1"/>
  <c r="B3276" i="1"/>
  <c r="A3276" i="1"/>
  <c r="H3275" i="1"/>
  <c r="G3275" i="1"/>
  <c r="E3275" i="1"/>
  <c r="B3275" i="1"/>
  <c r="A3275" i="1"/>
  <c r="H3274" i="1"/>
  <c r="G3274" i="1"/>
  <c r="E3274" i="1"/>
  <c r="B3274" i="1"/>
  <c r="A3274" i="1"/>
  <c r="H3273" i="1"/>
  <c r="G3273" i="1"/>
  <c r="E3273" i="1"/>
  <c r="B3273" i="1"/>
  <c r="A3273" i="1"/>
  <c r="H3272" i="1"/>
  <c r="G3272" i="1"/>
  <c r="E3272" i="1"/>
  <c r="B3272" i="1"/>
  <c r="A3272" i="1"/>
  <c r="H3271" i="1"/>
  <c r="G3271" i="1"/>
  <c r="E3271" i="1"/>
  <c r="B3271" i="1"/>
  <c r="A3271" i="1"/>
  <c r="H3270" i="1"/>
  <c r="G3270" i="1"/>
  <c r="E3270" i="1"/>
  <c r="B3270" i="1"/>
  <c r="A3270" i="1"/>
  <c r="H3269" i="1"/>
  <c r="G3269" i="1"/>
  <c r="E3269" i="1"/>
  <c r="B3269" i="1"/>
  <c r="A3269" i="1"/>
  <c r="H3268" i="1"/>
  <c r="G3268" i="1"/>
  <c r="E3268" i="1"/>
  <c r="B3268" i="1"/>
  <c r="A3268" i="1"/>
  <c r="H3267" i="1"/>
  <c r="G3267" i="1"/>
  <c r="E3267" i="1"/>
  <c r="B3267" i="1"/>
  <c r="A3267" i="1"/>
  <c r="H3266" i="1"/>
  <c r="G3266" i="1"/>
  <c r="E3266" i="1"/>
  <c r="B3266" i="1"/>
  <c r="A3266" i="1"/>
  <c r="H3265" i="1"/>
  <c r="G3265" i="1"/>
  <c r="E3265" i="1"/>
  <c r="B3265" i="1"/>
  <c r="A3265" i="1"/>
  <c r="H3264" i="1"/>
  <c r="G3264" i="1"/>
  <c r="E3264" i="1"/>
  <c r="B3264" i="1"/>
  <c r="A3264" i="1"/>
  <c r="H3263" i="1"/>
  <c r="G3263" i="1"/>
  <c r="E3263" i="1"/>
  <c r="B3263" i="1"/>
  <c r="A3263" i="1"/>
  <c r="H3262" i="1"/>
  <c r="G3262" i="1"/>
  <c r="E3262" i="1"/>
  <c r="B3262" i="1"/>
  <c r="A3262" i="1"/>
  <c r="H3261" i="1"/>
  <c r="G3261" i="1"/>
  <c r="E3261" i="1"/>
  <c r="B3261" i="1"/>
  <c r="A3261" i="1"/>
  <c r="H3260" i="1"/>
  <c r="G3260" i="1"/>
  <c r="E3260" i="1"/>
  <c r="B3260" i="1"/>
  <c r="A3260" i="1"/>
  <c r="H3259" i="1"/>
  <c r="G3259" i="1"/>
  <c r="E3259" i="1"/>
  <c r="B3259" i="1"/>
  <c r="A3259" i="1"/>
  <c r="H3258" i="1"/>
  <c r="G3258" i="1"/>
  <c r="E3258" i="1"/>
  <c r="B3258" i="1"/>
  <c r="A3258" i="1"/>
  <c r="H3257" i="1"/>
  <c r="G3257" i="1"/>
  <c r="E3257" i="1"/>
  <c r="B3257" i="1"/>
  <c r="A3257" i="1"/>
  <c r="H3256" i="1"/>
  <c r="G3256" i="1"/>
  <c r="E3256" i="1"/>
  <c r="B3256" i="1"/>
  <c r="A3256" i="1"/>
  <c r="H3255" i="1"/>
  <c r="G3255" i="1"/>
  <c r="E3255" i="1"/>
  <c r="B3255" i="1"/>
  <c r="A3255" i="1"/>
  <c r="H3254" i="1"/>
  <c r="G3254" i="1"/>
  <c r="E3254" i="1"/>
  <c r="B3254" i="1"/>
  <c r="A3254" i="1"/>
  <c r="H3253" i="1"/>
  <c r="G3253" i="1"/>
  <c r="E3253" i="1"/>
  <c r="B3253" i="1"/>
  <c r="A3253" i="1"/>
  <c r="H3252" i="1"/>
  <c r="G3252" i="1"/>
  <c r="E3252" i="1"/>
  <c r="B3252" i="1"/>
  <c r="A3252" i="1"/>
  <c r="H3251" i="1"/>
  <c r="G3251" i="1"/>
  <c r="E3251" i="1"/>
  <c r="B3251" i="1"/>
  <c r="A3251" i="1"/>
  <c r="H3250" i="1"/>
  <c r="G3250" i="1"/>
  <c r="E3250" i="1"/>
  <c r="B3250" i="1"/>
  <c r="A3250" i="1"/>
  <c r="H3249" i="1"/>
  <c r="G3249" i="1"/>
  <c r="E3249" i="1"/>
  <c r="B3249" i="1"/>
  <c r="A3249" i="1"/>
  <c r="H3248" i="1"/>
  <c r="G3248" i="1"/>
  <c r="E3248" i="1"/>
  <c r="B3248" i="1"/>
  <c r="A3248" i="1"/>
  <c r="H3247" i="1"/>
  <c r="G3247" i="1"/>
  <c r="E3247" i="1"/>
  <c r="B3247" i="1"/>
  <c r="A3247" i="1"/>
  <c r="H3246" i="1"/>
  <c r="G3246" i="1"/>
  <c r="E3246" i="1"/>
  <c r="B3246" i="1"/>
  <c r="A3246" i="1"/>
  <c r="H3245" i="1"/>
  <c r="G3245" i="1"/>
  <c r="E3245" i="1"/>
  <c r="B3245" i="1"/>
  <c r="A3245" i="1"/>
  <c r="H3244" i="1"/>
  <c r="G3244" i="1"/>
  <c r="E3244" i="1"/>
  <c r="B3244" i="1"/>
  <c r="A3244" i="1"/>
  <c r="H3243" i="1"/>
  <c r="G3243" i="1"/>
  <c r="E3243" i="1"/>
  <c r="B3243" i="1"/>
  <c r="A3243" i="1"/>
  <c r="H3242" i="1"/>
  <c r="G3242" i="1"/>
  <c r="E3242" i="1"/>
  <c r="B3242" i="1"/>
  <c r="A3242" i="1"/>
  <c r="H3241" i="1"/>
  <c r="G3241" i="1"/>
  <c r="E3241" i="1"/>
  <c r="B3241" i="1"/>
  <c r="A3241" i="1"/>
  <c r="H3240" i="1"/>
  <c r="G3240" i="1"/>
  <c r="E3240" i="1"/>
  <c r="B3240" i="1"/>
  <c r="A3240" i="1"/>
  <c r="H3239" i="1"/>
  <c r="G3239" i="1"/>
  <c r="E3239" i="1"/>
  <c r="B3239" i="1"/>
  <c r="A3239" i="1"/>
  <c r="H3238" i="1"/>
  <c r="G3238" i="1"/>
  <c r="E3238" i="1"/>
  <c r="B3238" i="1"/>
  <c r="A3238" i="1"/>
  <c r="H3237" i="1"/>
  <c r="G3237" i="1"/>
  <c r="E3237" i="1"/>
  <c r="B3237" i="1"/>
  <c r="A3237" i="1"/>
  <c r="H3236" i="1"/>
  <c r="G3236" i="1"/>
  <c r="E3236" i="1"/>
  <c r="B3236" i="1"/>
  <c r="A3236" i="1"/>
  <c r="H3235" i="1"/>
  <c r="G3235" i="1"/>
  <c r="E3235" i="1"/>
  <c r="B3235" i="1"/>
  <c r="A3235" i="1"/>
  <c r="H3234" i="1"/>
  <c r="G3234" i="1"/>
  <c r="E3234" i="1"/>
  <c r="B3234" i="1"/>
  <c r="A3234" i="1"/>
  <c r="H3233" i="1"/>
  <c r="G3233" i="1"/>
  <c r="E3233" i="1"/>
  <c r="B3233" i="1"/>
  <c r="A3233" i="1"/>
  <c r="H3232" i="1"/>
  <c r="G3232" i="1"/>
  <c r="E3232" i="1"/>
  <c r="B3232" i="1"/>
  <c r="A3232" i="1"/>
  <c r="H3231" i="1"/>
  <c r="G3231" i="1"/>
  <c r="E3231" i="1"/>
  <c r="B3231" i="1"/>
  <c r="A3231" i="1"/>
  <c r="H3230" i="1"/>
  <c r="G3230" i="1"/>
  <c r="E3230" i="1"/>
  <c r="B3230" i="1"/>
  <c r="A3230" i="1"/>
  <c r="H3229" i="1"/>
  <c r="G3229" i="1"/>
  <c r="E3229" i="1"/>
  <c r="B3229" i="1"/>
  <c r="A3229" i="1"/>
  <c r="H3228" i="1"/>
  <c r="G3228" i="1"/>
  <c r="E3228" i="1"/>
  <c r="B3228" i="1"/>
  <c r="A3228" i="1"/>
  <c r="H3227" i="1"/>
  <c r="G3227" i="1"/>
  <c r="E3227" i="1"/>
  <c r="B3227" i="1"/>
  <c r="A3227" i="1"/>
  <c r="H3226" i="1"/>
  <c r="G3226" i="1"/>
  <c r="E3226" i="1"/>
  <c r="B3226" i="1"/>
  <c r="A3226" i="1"/>
  <c r="H3225" i="1"/>
  <c r="G3225" i="1"/>
  <c r="E3225" i="1"/>
  <c r="B3225" i="1"/>
  <c r="A3225" i="1"/>
  <c r="H3224" i="1"/>
  <c r="G3224" i="1"/>
  <c r="E3224" i="1"/>
  <c r="B3224" i="1"/>
  <c r="A3224" i="1"/>
  <c r="H3223" i="1"/>
  <c r="G3223" i="1"/>
  <c r="E3223" i="1"/>
  <c r="B3223" i="1"/>
  <c r="A3223" i="1"/>
  <c r="H3222" i="1"/>
  <c r="G3222" i="1"/>
  <c r="E3222" i="1"/>
  <c r="B3222" i="1"/>
  <c r="A3222" i="1"/>
  <c r="H3221" i="1"/>
  <c r="G3221" i="1"/>
  <c r="E3221" i="1"/>
  <c r="B3221" i="1"/>
  <c r="A3221" i="1"/>
  <c r="H3220" i="1"/>
  <c r="G3220" i="1"/>
  <c r="E3220" i="1"/>
  <c r="B3220" i="1"/>
  <c r="A3220" i="1"/>
  <c r="H3219" i="1"/>
  <c r="G3219" i="1"/>
  <c r="E3219" i="1"/>
  <c r="B3219" i="1"/>
  <c r="A3219" i="1"/>
  <c r="H3218" i="1"/>
  <c r="G3218" i="1"/>
  <c r="E3218" i="1"/>
  <c r="B3218" i="1"/>
  <c r="A3218" i="1"/>
  <c r="H3217" i="1"/>
  <c r="G3217" i="1"/>
  <c r="E3217" i="1"/>
  <c r="B3217" i="1"/>
  <c r="A3217" i="1"/>
  <c r="H3216" i="1"/>
  <c r="G3216" i="1"/>
  <c r="E3216" i="1"/>
  <c r="B3216" i="1"/>
  <c r="A3216" i="1"/>
  <c r="H3215" i="1"/>
  <c r="G3215" i="1"/>
  <c r="E3215" i="1"/>
  <c r="B3215" i="1"/>
  <c r="A3215" i="1"/>
  <c r="H3214" i="1"/>
  <c r="G3214" i="1"/>
  <c r="E3214" i="1"/>
  <c r="B3214" i="1"/>
  <c r="A3214" i="1"/>
  <c r="H3213" i="1"/>
  <c r="G3213" i="1"/>
  <c r="E3213" i="1"/>
  <c r="B3213" i="1"/>
  <c r="A3213" i="1"/>
  <c r="H3212" i="1"/>
  <c r="G3212" i="1"/>
  <c r="E3212" i="1"/>
  <c r="B3212" i="1"/>
  <c r="A3212" i="1"/>
  <c r="H3211" i="1"/>
  <c r="G3211" i="1"/>
  <c r="E3211" i="1"/>
  <c r="B3211" i="1"/>
  <c r="A3211" i="1"/>
  <c r="H3210" i="1"/>
  <c r="G3210" i="1"/>
  <c r="E3210" i="1"/>
  <c r="B3210" i="1"/>
  <c r="A3210" i="1"/>
  <c r="H3209" i="1"/>
  <c r="G3209" i="1"/>
  <c r="E3209" i="1"/>
  <c r="B3209" i="1"/>
  <c r="A3209" i="1"/>
  <c r="H3208" i="1"/>
  <c r="G3208" i="1"/>
  <c r="E3208" i="1"/>
  <c r="B3208" i="1"/>
  <c r="A3208" i="1"/>
  <c r="H3207" i="1"/>
  <c r="G3207" i="1"/>
  <c r="E3207" i="1"/>
  <c r="B3207" i="1"/>
  <c r="A3207" i="1"/>
  <c r="H3206" i="1"/>
  <c r="G3206" i="1"/>
  <c r="E3206" i="1"/>
  <c r="B3206" i="1"/>
  <c r="A3206" i="1"/>
  <c r="H3205" i="1"/>
  <c r="G3205" i="1"/>
  <c r="E3205" i="1"/>
  <c r="B3205" i="1"/>
  <c r="A3205" i="1"/>
  <c r="H3204" i="1"/>
  <c r="G3204" i="1"/>
  <c r="E3204" i="1"/>
  <c r="B3204" i="1"/>
  <c r="A3204" i="1"/>
  <c r="H3203" i="1"/>
  <c r="G3203" i="1"/>
  <c r="E3203" i="1"/>
  <c r="B3203" i="1"/>
  <c r="A3203" i="1"/>
  <c r="H3202" i="1"/>
  <c r="G3202" i="1"/>
  <c r="E3202" i="1"/>
  <c r="B3202" i="1"/>
  <c r="A3202" i="1"/>
  <c r="H3201" i="1"/>
  <c r="G3201" i="1"/>
  <c r="E3201" i="1"/>
  <c r="B3201" i="1"/>
  <c r="A3201" i="1"/>
  <c r="H3200" i="1"/>
  <c r="G3200" i="1"/>
  <c r="E3200" i="1"/>
  <c r="B3200" i="1"/>
  <c r="A3200" i="1"/>
  <c r="H3199" i="1"/>
  <c r="G3199" i="1"/>
  <c r="E3199" i="1"/>
  <c r="B3199" i="1"/>
  <c r="A3199" i="1"/>
  <c r="H3198" i="1"/>
  <c r="G3198" i="1"/>
  <c r="E3198" i="1"/>
  <c r="B3198" i="1"/>
  <c r="A3198" i="1"/>
  <c r="H3197" i="1"/>
  <c r="G3197" i="1"/>
  <c r="E3197" i="1"/>
  <c r="B3197" i="1"/>
  <c r="A3197" i="1"/>
  <c r="H3196" i="1"/>
  <c r="G3196" i="1"/>
  <c r="E3196" i="1"/>
  <c r="B3196" i="1"/>
  <c r="A3196" i="1"/>
  <c r="H3195" i="1"/>
  <c r="G3195" i="1"/>
  <c r="E3195" i="1"/>
  <c r="B3195" i="1"/>
  <c r="A3195" i="1"/>
  <c r="H3194" i="1"/>
  <c r="G3194" i="1"/>
  <c r="E3194" i="1"/>
  <c r="B3194" i="1"/>
  <c r="A3194" i="1"/>
  <c r="H3193" i="1"/>
  <c r="G3193" i="1"/>
  <c r="E3193" i="1"/>
  <c r="B3193" i="1"/>
  <c r="A3193" i="1"/>
  <c r="H3192" i="1"/>
  <c r="G3192" i="1"/>
  <c r="E3192" i="1"/>
  <c r="B3192" i="1"/>
  <c r="A3192" i="1"/>
  <c r="H3191" i="1"/>
  <c r="G3191" i="1"/>
  <c r="E3191" i="1"/>
  <c r="B3191" i="1"/>
  <c r="A3191" i="1"/>
  <c r="H3190" i="1"/>
  <c r="G3190" i="1"/>
  <c r="E3190" i="1"/>
  <c r="B3190" i="1"/>
  <c r="A3190" i="1"/>
  <c r="H3189" i="1"/>
  <c r="G3189" i="1"/>
  <c r="E3189" i="1"/>
  <c r="B3189" i="1"/>
  <c r="A3189" i="1"/>
  <c r="H3188" i="1"/>
  <c r="G3188" i="1"/>
  <c r="E3188" i="1"/>
  <c r="B3188" i="1"/>
  <c r="A3188" i="1"/>
  <c r="H3187" i="1"/>
  <c r="G3187" i="1"/>
  <c r="E3187" i="1"/>
  <c r="B3187" i="1"/>
  <c r="A3187" i="1"/>
  <c r="H3186" i="1"/>
  <c r="G3186" i="1"/>
  <c r="E3186" i="1"/>
  <c r="B3186" i="1"/>
  <c r="A3186" i="1"/>
  <c r="H3185" i="1"/>
  <c r="G3185" i="1"/>
  <c r="E3185" i="1"/>
  <c r="B3185" i="1"/>
  <c r="A3185" i="1"/>
  <c r="H3184" i="1"/>
  <c r="G3184" i="1"/>
  <c r="E3184" i="1"/>
  <c r="B3184" i="1"/>
  <c r="A3184" i="1"/>
  <c r="H3183" i="1"/>
  <c r="G3183" i="1"/>
  <c r="E3183" i="1"/>
  <c r="B3183" i="1"/>
  <c r="A3183" i="1"/>
  <c r="H3182" i="1"/>
  <c r="G3182" i="1"/>
  <c r="E3182" i="1"/>
  <c r="B3182" i="1"/>
  <c r="A3182" i="1"/>
  <c r="H3181" i="1"/>
  <c r="G3181" i="1"/>
  <c r="E3181" i="1"/>
  <c r="B3181" i="1"/>
  <c r="A3181" i="1"/>
  <c r="H3180" i="1"/>
  <c r="G3180" i="1"/>
  <c r="E3180" i="1"/>
  <c r="B3180" i="1"/>
  <c r="A3180" i="1"/>
  <c r="H3179" i="1"/>
  <c r="G3179" i="1"/>
  <c r="E3179" i="1"/>
  <c r="B3179" i="1"/>
  <c r="A3179" i="1"/>
  <c r="H3178" i="1"/>
  <c r="G3178" i="1"/>
  <c r="E3178" i="1"/>
  <c r="B3178" i="1"/>
  <c r="A3178" i="1"/>
  <c r="H3177" i="1"/>
  <c r="G3177" i="1"/>
  <c r="E3177" i="1"/>
  <c r="B3177" i="1"/>
  <c r="A3177" i="1"/>
  <c r="H3176" i="1"/>
  <c r="G3176" i="1"/>
  <c r="E3176" i="1"/>
  <c r="B3176" i="1"/>
  <c r="A3176" i="1"/>
  <c r="H3175" i="1"/>
  <c r="G3175" i="1"/>
  <c r="E3175" i="1"/>
  <c r="B3175" i="1"/>
  <c r="A3175" i="1"/>
  <c r="H3174" i="1"/>
  <c r="G3174" i="1"/>
  <c r="E3174" i="1"/>
  <c r="B3174" i="1"/>
  <c r="A3174" i="1"/>
  <c r="H3173" i="1"/>
  <c r="G3173" i="1"/>
  <c r="E3173" i="1"/>
  <c r="B3173" i="1"/>
  <c r="A3173" i="1"/>
  <c r="H3172" i="1"/>
  <c r="G3172" i="1"/>
  <c r="E3172" i="1"/>
  <c r="B3172" i="1"/>
  <c r="A3172" i="1"/>
  <c r="H3171" i="1"/>
  <c r="G3171" i="1"/>
  <c r="E3171" i="1"/>
  <c r="B3171" i="1"/>
  <c r="A3171" i="1"/>
  <c r="H3170" i="1"/>
  <c r="G3170" i="1"/>
  <c r="E3170" i="1"/>
  <c r="B3170" i="1"/>
  <c r="A3170" i="1"/>
  <c r="H3169" i="1"/>
  <c r="G3169" i="1"/>
  <c r="E3169" i="1"/>
  <c r="B3169" i="1"/>
  <c r="A3169" i="1"/>
  <c r="H3168" i="1"/>
  <c r="G3168" i="1"/>
  <c r="E3168" i="1"/>
  <c r="B3168" i="1"/>
  <c r="A3168" i="1"/>
  <c r="H3167" i="1"/>
  <c r="G3167" i="1"/>
  <c r="E3167" i="1"/>
  <c r="B3167" i="1"/>
  <c r="A3167" i="1"/>
  <c r="H3166" i="1"/>
  <c r="G3166" i="1"/>
  <c r="E3166" i="1"/>
  <c r="B3166" i="1"/>
  <c r="A3166" i="1"/>
  <c r="H3165" i="1"/>
  <c r="G3165" i="1"/>
  <c r="E3165" i="1"/>
  <c r="B3165" i="1"/>
  <c r="A3165" i="1"/>
  <c r="H3164" i="1"/>
  <c r="G3164" i="1"/>
  <c r="E3164" i="1"/>
  <c r="B3164" i="1"/>
  <c r="A3164" i="1"/>
  <c r="H3163" i="1"/>
  <c r="G3163" i="1"/>
  <c r="E3163" i="1"/>
  <c r="B3163" i="1"/>
  <c r="A3163" i="1"/>
  <c r="H3162" i="1"/>
  <c r="G3162" i="1"/>
  <c r="E3162" i="1"/>
  <c r="B3162" i="1"/>
  <c r="A3162" i="1"/>
  <c r="H3161" i="1"/>
  <c r="G3161" i="1"/>
  <c r="E3161" i="1"/>
  <c r="B3161" i="1"/>
  <c r="A3161" i="1"/>
  <c r="H3160" i="1"/>
  <c r="G3160" i="1"/>
  <c r="E3160" i="1"/>
  <c r="B3160" i="1"/>
  <c r="A3160" i="1"/>
  <c r="H3159" i="1"/>
  <c r="G3159" i="1"/>
  <c r="E3159" i="1"/>
  <c r="B3159" i="1"/>
  <c r="A3159" i="1"/>
  <c r="H3158" i="1"/>
  <c r="G3158" i="1"/>
  <c r="E3158" i="1"/>
  <c r="B3158" i="1"/>
  <c r="A3158" i="1"/>
  <c r="H3157" i="1"/>
  <c r="G3157" i="1"/>
  <c r="E3157" i="1"/>
  <c r="B3157" i="1"/>
  <c r="A3157" i="1"/>
  <c r="H3156" i="1"/>
  <c r="G3156" i="1"/>
  <c r="E3156" i="1"/>
  <c r="B3156" i="1"/>
  <c r="A3156" i="1"/>
  <c r="H3155" i="1"/>
  <c r="G3155" i="1"/>
  <c r="E3155" i="1"/>
  <c r="B3155" i="1"/>
  <c r="A3155" i="1"/>
  <c r="H3154" i="1"/>
  <c r="G3154" i="1"/>
  <c r="E3154" i="1"/>
  <c r="B3154" i="1"/>
  <c r="A3154" i="1"/>
  <c r="H3153" i="1"/>
  <c r="G3153" i="1"/>
  <c r="E3153" i="1"/>
  <c r="B3153" i="1"/>
  <c r="A3153" i="1"/>
  <c r="H3152" i="1"/>
  <c r="G3152" i="1"/>
  <c r="E3152" i="1"/>
  <c r="B3152" i="1"/>
  <c r="A3152" i="1"/>
  <c r="H3151" i="1"/>
  <c r="G3151" i="1"/>
  <c r="E3151" i="1"/>
  <c r="B3151" i="1"/>
  <c r="A3151" i="1"/>
  <c r="H3150" i="1"/>
  <c r="G3150" i="1"/>
  <c r="E3150" i="1"/>
  <c r="B3150" i="1"/>
  <c r="A3150" i="1"/>
  <c r="H3149" i="1"/>
  <c r="G3149" i="1"/>
  <c r="E3149" i="1"/>
  <c r="B3149" i="1"/>
  <c r="A3149" i="1"/>
  <c r="H3148" i="1"/>
  <c r="G3148" i="1"/>
  <c r="E3148" i="1"/>
  <c r="B3148" i="1"/>
  <c r="A3148" i="1"/>
  <c r="H3147" i="1"/>
  <c r="G3147" i="1"/>
  <c r="E3147" i="1"/>
  <c r="B3147" i="1"/>
  <c r="A3147" i="1"/>
  <c r="H3146" i="1"/>
  <c r="G3146" i="1"/>
  <c r="E3146" i="1"/>
  <c r="B3146" i="1"/>
  <c r="A3146" i="1"/>
  <c r="H3145" i="1"/>
  <c r="G3145" i="1"/>
  <c r="E3145" i="1"/>
  <c r="B3145" i="1"/>
  <c r="A3145" i="1"/>
  <c r="H3144" i="1"/>
  <c r="G3144" i="1"/>
  <c r="E3144" i="1"/>
  <c r="B3144" i="1"/>
  <c r="A3144" i="1"/>
  <c r="H3143" i="1"/>
  <c r="G3143" i="1"/>
  <c r="E3143" i="1"/>
  <c r="B3143" i="1"/>
  <c r="A3143" i="1"/>
  <c r="H3142" i="1"/>
  <c r="G3142" i="1"/>
  <c r="E3142" i="1"/>
  <c r="B3142" i="1"/>
  <c r="A3142" i="1"/>
  <c r="H3141" i="1"/>
  <c r="G3141" i="1"/>
  <c r="E3141" i="1"/>
  <c r="B3141" i="1"/>
  <c r="A3141" i="1"/>
  <c r="H3140" i="1"/>
  <c r="G3140" i="1"/>
  <c r="E3140" i="1"/>
  <c r="B3140" i="1"/>
  <c r="A3140" i="1"/>
  <c r="H3139" i="1"/>
  <c r="G3139" i="1"/>
  <c r="E3139" i="1"/>
  <c r="B3139" i="1"/>
  <c r="A3139" i="1"/>
  <c r="H3138" i="1"/>
  <c r="G3138" i="1"/>
  <c r="E3138" i="1"/>
  <c r="B3138" i="1"/>
  <c r="A3138" i="1"/>
  <c r="H3137" i="1"/>
  <c r="G3137" i="1"/>
  <c r="E3137" i="1"/>
  <c r="B3137" i="1"/>
  <c r="A3137" i="1"/>
  <c r="H3136" i="1"/>
  <c r="G3136" i="1"/>
  <c r="E3136" i="1"/>
  <c r="B3136" i="1"/>
  <c r="A3136" i="1"/>
  <c r="H3135" i="1"/>
  <c r="G3135" i="1"/>
  <c r="E3135" i="1"/>
  <c r="B3135" i="1"/>
  <c r="A3135" i="1"/>
  <c r="H3134" i="1"/>
  <c r="G3134" i="1"/>
  <c r="E3134" i="1"/>
  <c r="B3134" i="1"/>
  <c r="A3134" i="1"/>
  <c r="H3133" i="1"/>
  <c r="G3133" i="1"/>
  <c r="E3133" i="1"/>
  <c r="B3133" i="1"/>
  <c r="A3133" i="1"/>
  <c r="H3132" i="1"/>
  <c r="G3132" i="1"/>
  <c r="E3132" i="1"/>
  <c r="B3132" i="1"/>
  <c r="A3132" i="1"/>
  <c r="H3131" i="1"/>
  <c r="G3131" i="1"/>
  <c r="E3131" i="1"/>
  <c r="B3131" i="1"/>
  <c r="A3131" i="1"/>
  <c r="H3130" i="1"/>
  <c r="G3130" i="1"/>
  <c r="E3130" i="1"/>
  <c r="B3130" i="1"/>
  <c r="A3130" i="1"/>
  <c r="H3129" i="1"/>
  <c r="G3129" i="1"/>
  <c r="E3129" i="1"/>
  <c r="B3129" i="1"/>
  <c r="A3129" i="1"/>
  <c r="H3128" i="1"/>
  <c r="G3128" i="1"/>
  <c r="E3128" i="1"/>
  <c r="B3128" i="1"/>
  <c r="A3128" i="1"/>
  <c r="H3127" i="1"/>
  <c r="G3127" i="1"/>
  <c r="E3127" i="1"/>
  <c r="B3127" i="1"/>
  <c r="A3127" i="1"/>
  <c r="H3126" i="1"/>
  <c r="G3126" i="1"/>
  <c r="E3126" i="1"/>
  <c r="B3126" i="1"/>
  <c r="A3126" i="1"/>
  <c r="H3125" i="1"/>
  <c r="G3125" i="1"/>
  <c r="E3125" i="1"/>
  <c r="B3125" i="1"/>
  <c r="A3125" i="1"/>
  <c r="H3124" i="1"/>
  <c r="G3124" i="1"/>
  <c r="E3124" i="1"/>
  <c r="B3124" i="1"/>
  <c r="A3124" i="1"/>
  <c r="H3123" i="1"/>
  <c r="G3123" i="1"/>
  <c r="E3123" i="1"/>
  <c r="B3123" i="1"/>
  <c r="A3123" i="1"/>
  <c r="H3122" i="1"/>
  <c r="G3122" i="1"/>
  <c r="E3122" i="1"/>
  <c r="B3122" i="1"/>
  <c r="A3122" i="1"/>
  <c r="H3121" i="1"/>
  <c r="G3121" i="1"/>
  <c r="E3121" i="1"/>
  <c r="B3121" i="1"/>
  <c r="A3121" i="1"/>
  <c r="H3120" i="1"/>
  <c r="G3120" i="1"/>
  <c r="E3120" i="1"/>
  <c r="B3120" i="1"/>
  <c r="A3120" i="1"/>
  <c r="H3119" i="1"/>
  <c r="G3119" i="1"/>
  <c r="E3119" i="1"/>
  <c r="B3119" i="1"/>
  <c r="A3119" i="1"/>
  <c r="H3118" i="1"/>
  <c r="G3118" i="1"/>
  <c r="E3118" i="1"/>
  <c r="B3118" i="1"/>
  <c r="A3118" i="1"/>
  <c r="H3117" i="1"/>
  <c r="G3117" i="1"/>
  <c r="E3117" i="1"/>
  <c r="B3117" i="1"/>
  <c r="A3117" i="1"/>
  <c r="H3116" i="1"/>
  <c r="G3116" i="1"/>
  <c r="E3116" i="1"/>
  <c r="B3116" i="1"/>
  <c r="A3116" i="1"/>
  <c r="H3115" i="1"/>
  <c r="G3115" i="1"/>
  <c r="E3115" i="1"/>
  <c r="B3115" i="1"/>
  <c r="A3115" i="1"/>
  <c r="H3114" i="1"/>
  <c r="G3114" i="1"/>
  <c r="E3114" i="1"/>
  <c r="B3114" i="1"/>
  <c r="A3114" i="1"/>
  <c r="H3113" i="1"/>
  <c r="G3113" i="1"/>
  <c r="E3113" i="1"/>
  <c r="B3113" i="1"/>
  <c r="A3113" i="1"/>
  <c r="H3112" i="1"/>
  <c r="G3112" i="1"/>
  <c r="E3112" i="1"/>
  <c r="B3112" i="1"/>
  <c r="A3112" i="1"/>
  <c r="H3111" i="1"/>
  <c r="G3111" i="1"/>
  <c r="E3111" i="1"/>
  <c r="B3111" i="1"/>
  <c r="A3111" i="1"/>
  <c r="H3110" i="1"/>
  <c r="G3110" i="1"/>
  <c r="E3110" i="1"/>
  <c r="B3110" i="1"/>
  <c r="A3110" i="1"/>
  <c r="H3109" i="1"/>
  <c r="G3109" i="1"/>
  <c r="E3109" i="1"/>
  <c r="B3109" i="1"/>
  <c r="A3109" i="1"/>
  <c r="H3108" i="1"/>
  <c r="G3108" i="1"/>
  <c r="E3108" i="1"/>
  <c r="B3108" i="1"/>
  <c r="A3108" i="1"/>
  <c r="H3107" i="1"/>
  <c r="G3107" i="1"/>
  <c r="E3107" i="1"/>
  <c r="B3107" i="1"/>
  <c r="A3107" i="1"/>
  <c r="H3106" i="1"/>
  <c r="G3106" i="1"/>
  <c r="E3106" i="1"/>
  <c r="B3106" i="1"/>
  <c r="A3106" i="1"/>
  <c r="H3105" i="1"/>
  <c r="G3105" i="1"/>
  <c r="E3105" i="1"/>
  <c r="B3105" i="1"/>
  <c r="A3105" i="1"/>
  <c r="H3104" i="1"/>
  <c r="G3104" i="1"/>
  <c r="E3104" i="1"/>
  <c r="B3104" i="1"/>
  <c r="A3104" i="1"/>
  <c r="H3103" i="1"/>
  <c r="G3103" i="1"/>
  <c r="E3103" i="1"/>
  <c r="B3103" i="1"/>
  <c r="A3103" i="1"/>
  <c r="H3102" i="1"/>
  <c r="G3102" i="1"/>
  <c r="E3102" i="1"/>
  <c r="B3102" i="1"/>
  <c r="A3102" i="1"/>
  <c r="H3101" i="1"/>
  <c r="G3101" i="1"/>
  <c r="E3101" i="1"/>
  <c r="B3101" i="1"/>
  <c r="A3101" i="1"/>
  <c r="H3100" i="1"/>
  <c r="G3100" i="1"/>
  <c r="E3100" i="1"/>
  <c r="B3100" i="1"/>
  <c r="A3100" i="1"/>
  <c r="H3099" i="1"/>
  <c r="G3099" i="1"/>
  <c r="E3099" i="1"/>
  <c r="B3099" i="1"/>
  <c r="A3099" i="1"/>
  <c r="H3098" i="1"/>
  <c r="G3098" i="1"/>
  <c r="E3098" i="1"/>
  <c r="B3098" i="1"/>
  <c r="A3098" i="1"/>
  <c r="H3097" i="1"/>
  <c r="G3097" i="1"/>
  <c r="E3097" i="1"/>
  <c r="B3097" i="1"/>
  <c r="A3097" i="1"/>
  <c r="H3096" i="1"/>
  <c r="G3096" i="1"/>
  <c r="E3096" i="1"/>
  <c r="B3096" i="1"/>
  <c r="A3096" i="1"/>
  <c r="H3095" i="1"/>
  <c r="G3095" i="1"/>
  <c r="E3095" i="1"/>
  <c r="B3095" i="1"/>
  <c r="A3095" i="1"/>
  <c r="H3094" i="1"/>
  <c r="G3094" i="1"/>
  <c r="E3094" i="1"/>
  <c r="B3094" i="1"/>
  <c r="A3094" i="1"/>
  <c r="H3093" i="1"/>
  <c r="G3093" i="1"/>
  <c r="E3093" i="1"/>
  <c r="B3093" i="1"/>
  <c r="A3093" i="1"/>
  <c r="H3092" i="1"/>
  <c r="G3092" i="1"/>
  <c r="E3092" i="1"/>
  <c r="B3092" i="1"/>
  <c r="A3092" i="1"/>
  <c r="H3091" i="1"/>
  <c r="G3091" i="1"/>
  <c r="E3091" i="1"/>
  <c r="B3091" i="1"/>
  <c r="A3091" i="1"/>
  <c r="H3090" i="1"/>
  <c r="G3090" i="1"/>
  <c r="E3090" i="1"/>
  <c r="B3090" i="1"/>
  <c r="A3090" i="1"/>
  <c r="H3089" i="1"/>
  <c r="G3089" i="1"/>
  <c r="E3089" i="1"/>
  <c r="B3089" i="1"/>
  <c r="A3089" i="1"/>
  <c r="H3088" i="1"/>
  <c r="G3088" i="1"/>
  <c r="E3088" i="1"/>
  <c r="B3088" i="1"/>
  <c r="A3088" i="1"/>
  <c r="H3087" i="1"/>
  <c r="G3087" i="1"/>
  <c r="E3087" i="1"/>
  <c r="B3087" i="1"/>
  <c r="A3087" i="1"/>
  <c r="H3086" i="1"/>
  <c r="G3086" i="1"/>
  <c r="E3086" i="1"/>
  <c r="B3086" i="1"/>
  <c r="A3086" i="1"/>
  <c r="H3085" i="1"/>
  <c r="G3085" i="1"/>
  <c r="E3085" i="1"/>
  <c r="B3085" i="1"/>
  <c r="A3085" i="1"/>
  <c r="H3084" i="1"/>
  <c r="G3084" i="1"/>
  <c r="E3084" i="1"/>
  <c r="B3084" i="1"/>
  <c r="A3084" i="1"/>
  <c r="H3083" i="1"/>
  <c r="G3083" i="1"/>
  <c r="E3083" i="1"/>
  <c r="B3083" i="1"/>
  <c r="A3083" i="1"/>
  <c r="H3082" i="1"/>
  <c r="G3082" i="1"/>
  <c r="E3082" i="1"/>
  <c r="B3082" i="1"/>
  <c r="A3082" i="1"/>
  <c r="H3081" i="1"/>
  <c r="G3081" i="1"/>
  <c r="E3081" i="1"/>
  <c r="B3081" i="1"/>
  <c r="A3081" i="1"/>
  <c r="H3080" i="1"/>
  <c r="G3080" i="1"/>
  <c r="E3080" i="1"/>
  <c r="B3080" i="1"/>
  <c r="A3080" i="1"/>
  <c r="H3079" i="1"/>
  <c r="G3079" i="1"/>
  <c r="E3079" i="1"/>
  <c r="B3079" i="1"/>
  <c r="A3079" i="1"/>
  <c r="H3078" i="1"/>
  <c r="G3078" i="1"/>
  <c r="E3078" i="1"/>
  <c r="B3078" i="1"/>
  <c r="A3078" i="1"/>
  <c r="H3077" i="1"/>
  <c r="G3077" i="1"/>
  <c r="E3077" i="1"/>
  <c r="B3077" i="1"/>
  <c r="A3077" i="1"/>
  <c r="H3076" i="1"/>
  <c r="G3076" i="1"/>
  <c r="E3076" i="1"/>
  <c r="B3076" i="1"/>
  <c r="A3076" i="1"/>
  <c r="H3075" i="1"/>
  <c r="G3075" i="1"/>
  <c r="E3075" i="1"/>
  <c r="B3075" i="1"/>
  <c r="A3075" i="1"/>
  <c r="H3074" i="1"/>
  <c r="G3074" i="1"/>
  <c r="E3074" i="1"/>
  <c r="B3074" i="1"/>
  <c r="A3074" i="1"/>
  <c r="H3073" i="1"/>
  <c r="G3073" i="1"/>
  <c r="E3073" i="1"/>
  <c r="B3073" i="1"/>
  <c r="A3073" i="1"/>
  <c r="H3072" i="1"/>
  <c r="G3072" i="1"/>
  <c r="E3072" i="1"/>
  <c r="B3072" i="1"/>
  <c r="A3072" i="1"/>
  <c r="H3071" i="1"/>
  <c r="G3071" i="1"/>
  <c r="E3071" i="1"/>
  <c r="B3071" i="1"/>
  <c r="A3071" i="1"/>
  <c r="H3070" i="1"/>
  <c r="G3070" i="1"/>
  <c r="E3070" i="1"/>
  <c r="B3070" i="1"/>
  <c r="A3070" i="1"/>
  <c r="H3069" i="1"/>
  <c r="G3069" i="1"/>
  <c r="E3069" i="1"/>
  <c r="B3069" i="1"/>
  <c r="A3069" i="1"/>
  <c r="H3068" i="1"/>
  <c r="G3068" i="1"/>
  <c r="E3068" i="1"/>
  <c r="B3068" i="1"/>
  <c r="A3068" i="1"/>
  <c r="H3067" i="1"/>
  <c r="G3067" i="1"/>
  <c r="E3067" i="1"/>
  <c r="B3067" i="1"/>
  <c r="A3067" i="1"/>
  <c r="H3066" i="1"/>
  <c r="G3066" i="1"/>
  <c r="E3066" i="1"/>
  <c r="B3066" i="1"/>
  <c r="A3066" i="1"/>
  <c r="H3065" i="1"/>
  <c r="G3065" i="1"/>
  <c r="E3065" i="1"/>
  <c r="B3065" i="1"/>
  <c r="A3065" i="1"/>
  <c r="H3064" i="1"/>
  <c r="G3064" i="1"/>
  <c r="E3064" i="1"/>
  <c r="B3064" i="1"/>
  <c r="A3064" i="1"/>
  <c r="H3063" i="1"/>
  <c r="G3063" i="1"/>
  <c r="E3063" i="1"/>
  <c r="B3063" i="1"/>
  <c r="A3063" i="1"/>
  <c r="H3062" i="1"/>
  <c r="G3062" i="1"/>
  <c r="E3062" i="1"/>
  <c r="B3062" i="1"/>
  <c r="A3062" i="1"/>
  <c r="H3061" i="1"/>
  <c r="G3061" i="1"/>
  <c r="E3061" i="1"/>
  <c r="B3061" i="1"/>
  <c r="A3061" i="1"/>
  <c r="H3060" i="1"/>
  <c r="G3060" i="1"/>
  <c r="E3060" i="1"/>
  <c r="B3060" i="1"/>
  <c r="A3060" i="1"/>
  <c r="H3059" i="1"/>
  <c r="G3059" i="1"/>
  <c r="E3059" i="1"/>
  <c r="B3059" i="1"/>
  <c r="A3059" i="1"/>
  <c r="H3058" i="1"/>
  <c r="G3058" i="1"/>
  <c r="E3058" i="1"/>
  <c r="B3058" i="1"/>
  <c r="A3058" i="1"/>
  <c r="H3057" i="1"/>
  <c r="G3057" i="1"/>
  <c r="E3057" i="1"/>
  <c r="B3057" i="1"/>
  <c r="A3057" i="1"/>
  <c r="H3056" i="1"/>
  <c r="G3056" i="1"/>
  <c r="E3056" i="1"/>
  <c r="B3056" i="1"/>
  <c r="A3056" i="1"/>
  <c r="H3055" i="1"/>
  <c r="G3055" i="1"/>
  <c r="E3055" i="1"/>
  <c r="B3055" i="1"/>
  <c r="A3055" i="1"/>
  <c r="H3054" i="1"/>
  <c r="G3054" i="1"/>
  <c r="E3054" i="1"/>
  <c r="B3054" i="1"/>
  <c r="A3054" i="1"/>
  <c r="H3053" i="1"/>
  <c r="G3053" i="1"/>
  <c r="E3053" i="1"/>
  <c r="B3053" i="1"/>
  <c r="A3053" i="1"/>
  <c r="H3052" i="1"/>
  <c r="G3052" i="1"/>
  <c r="E3052" i="1"/>
  <c r="B3052" i="1"/>
  <c r="A3052" i="1"/>
  <c r="H3051" i="1"/>
  <c r="G3051" i="1"/>
  <c r="E3051" i="1"/>
  <c r="B3051" i="1"/>
  <c r="A3051" i="1"/>
  <c r="H3050" i="1"/>
  <c r="G3050" i="1"/>
  <c r="E3050" i="1"/>
  <c r="B3050" i="1"/>
  <c r="A3050" i="1"/>
  <c r="H3049" i="1"/>
  <c r="G3049" i="1"/>
  <c r="E3049" i="1"/>
  <c r="B3049" i="1"/>
  <c r="A3049" i="1"/>
  <c r="H3048" i="1"/>
  <c r="G3048" i="1"/>
  <c r="E3048" i="1"/>
  <c r="B3048" i="1"/>
  <c r="A3048" i="1"/>
  <c r="H3047" i="1"/>
  <c r="G3047" i="1"/>
  <c r="E3047" i="1"/>
  <c r="B3047" i="1"/>
  <c r="A3047" i="1"/>
  <c r="H3046" i="1"/>
  <c r="G3046" i="1"/>
  <c r="E3046" i="1"/>
  <c r="B3046" i="1"/>
  <c r="A3046" i="1"/>
  <c r="H3045" i="1"/>
  <c r="G3045" i="1"/>
  <c r="E3045" i="1"/>
  <c r="B3045" i="1"/>
  <c r="A3045" i="1"/>
  <c r="H3044" i="1"/>
  <c r="G3044" i="1"/>
  <c r="E3044" i="1"/>
  <c r="B3044" i="1"/>
  <c r="A3044" i="1"/>
  <c r="H3043" i="1"/>
  <c r="G3043" i="1"/>
  <c r="E3043" i="1"/>
  <c r="B3043" i="1"/>
  <c r="A3043" i="1"/>
  <c r="H3042" i="1"/>
  <c r="G3042" i="1"/>
  <c r="E3042" i="1"/>
  <c r="B3042" i="1"/>
  <c r="A3042" i="1"/>
  <c r="H3041" i="1"/>
  <c r="G3041" i="1"/>
  <c r="E3041" i="1"/>
  <c r="B3041" i="1"/>
  <c r="A3041" i="1"/>
  <c r="H3040" i="1"/>
  <c r="G3040" i="1"/>
  <c r="E3040" i="1"/>
  <c r="B3040" i="1"/>
  <c r="A3040" i="1"/>
  <c r="H3039" i="1"/>
  <c r="G3039" i="1"/>
  <c r="E3039" i="1"/>
  <c r="B3039" i="1"/>
  <c r="A3039" i="1"/>
  <c r="H3038" i="1"/>
  <c r="G3038" i="1"/>
  <c r="E3038" i="1"/>
  <c r="B3038" i="1"/>
  <c r="A3038" i="1"/>
  <c r="H3037" i="1"/>
  <c r="G3037" i="1"/>
  <c r="E3037" i="1"/>
  <c r="B3037" i="1"/>
  <c r="A3037" i="1"/>
  <c r="H3036" i="1"/>
  <c r="G3036" i="1"/>
  <c r="E3036" i="1"/>
  <c r="B3036" i="1"/>
  <c r="A3036" i="1"/>
  <c r="H3035" i="1"/>
  <c r="G3035" i="1"/>
  <c r="E3035" i="1"/>
  <c r="B3035" i="1"/>
  <c r="A3035" i="1"/>
  <c r="H3034" i="1"/>
  <c r="G3034" i="1"/>
  <c r="E3034" i="1"/>
  <c r="B3034" i="1"/>
  <c r="A3034" i="1"/>
  <c r="H3033" i="1"/>
  <c r="G3033" i="1"/>
  <c r="E3033" i="1"/>
  <c r="B3033" i="1"/>
  <c r="A3033" i="1"/>
  <c r="H3032" i="1"/>
  <c r="G3032" i="1"/>
  <c r="E3032" i="1"/>
  <c r="B3032" i="1"/>
  <c r="A3032" i="1"/>
  <c r="H3031" i="1"/>
  <c r="G3031" i="1"/>
  <c r="E3031" i="1"/>
  <c r="B3031" i="1"/>
  <c r="A3031" i="1"/>
  <c r="H3030" i="1"/>
  <c r="G3030" i="1"/>
  <c r="E3030" i="1"/>
  <c r="B3030" i="1"/>
  <c r="A3030" i="1"/>
  <c r="H3029" i="1"/>
  <c r="G3029" i="1"/>
  <c r="E3029" i="1"/>
  <c r="B3029" i="1"/>
  <c r="A3029" i="1"/>
  <c r="H3028" i="1"/>
  <c r="G3028" i="1"/>
  <c r="E3028" i="1"/>
  <c r="B3028" i="1"/>
  <c r="A3028" i="1"/>
  <c r="H3027" i="1"/>
  <c r="G3027" i="1"/>
  <c r="E3027" i="1"/>
  <c r="B3027" i="1"/>
  <c r="A3027" i="1"/>
  <c r="H3026" i="1"/>
  <c r="G3026" i="1"/>
  <c r="E3026" i="1"/>
  <c r="B3026" i="1"/>
  <c r="A3026" i="1"/>
  <c r="H3025" i="1"/>
  <c r="G3025" i="1"/>
  <c r="E3025" i="1"/>
  <c r="B3025" i="1"/>
  <c r="A3025" i="1"/>
  <c r="H3024" i="1"/>
  <c r="G3024" i="1"/>
  <c r="E3024" i="1"/>
  <c r="B3024" i="1"/>
  <c r="A3024" i="1"/>
  <c r="H3023" i="1"/>
  <c r="G3023" i="1"/>
  <c r="E3023" i="1"/>
  <c r="B3023" i="1"/>
  <c r="A3023" i="1"/>
  <c r="H3022" i="1"/>
  <c r="G3022" i="1"/>
  <c r="E3022" i="1"/>
  <c r="B3022" i="1"/>
  <c r="A3022" i="1"/>
  <c r="H3021" i="1"/>
  <c r="G3021" i="1"/>
  <c r="E3021" i="1"/>
  <c r="B3021" i="1"/>
  <c r="A3021" i="1"/>
  <c r="H3020" i="1"/>
  <c r="G3020" i="1"/>
  <c r="E3020" i="1"/>
  <c r="B3020" i="1"/>
  <c r="A3020" i="1"/>
  <c r="H3019" i="1"/>
  <c r="G3019" i="1"/>
  <c r="E3019" i="1"/>
  <c r="B3019" i="1"/>
  <c r="A3019" i="1"/>
  <c r="H3018" i="1"/>
  <c r="G3018" i="1"/>
  <c r="E3018" i="1"/>
  <c r="B3018" i="1"/>
  <c r="A3018" i="1"/>
  <c r="H3017" i="1"/>
  <c r="G3017" i="1"/>
  <c r="E3017" i="1"/>
  <c r="B3017" i="1"/>
  <c r="A3017" i="1"/>
  <c r="H3016" i="1"/>
  <c r="G3016" i="1"/>
  <c r="E3016" i="1"/>
  <c r="B3016" i="1"/>
  <c r="A3016" i="1"/>
  <c r="H3015" i="1"/>
  <c r="G3015" i="1"/>
  <c r="E3015" i="1"/>
  <c r="B3015" i="1"/>
  <c r="A3015" i="1"/>
  <c r="H3014" i="1"/>
  <c r="G3014" i="1"/>
  <c r="E3014" i="1"/>
  <c r="B3014" i="1"/>
  <c r="A3014" i="1"/>
  <c r="H3013" i="1"/>
  <c r="G3013" i="1"/>
  <c r="E3013" i="1"/>
  <c r="B3013" i="1"/>
  <c r="A3013" i="1"/>
  <c r="H3012" i="1"/>
  <c r="G3012" i="1"/>
  <c r="E3012" i="1"/>
  <c r="B3012" i="1"/>
  <c r="A3012" i="1"/>
  <c r="H3011" i="1"/>
  <c r="G3011" i="1"/>
  <c r="E3011" i="1"/>
  <c r="B3011" i="1"/>
  <c r="A3011" i="1"/>
  <c r="H3010" i="1"/>
  <c r="G3010" i="1"/>
  <c r="E3010" i="1"/>
  <c r="B3010" i="1"/>
  <c r="A3010" i="1"/>
  <c r="H3009" i="1"/>
  <c r="G3009" i="1"/>
  <c r="E3009" i="1"/>
  <c r="B3009" i="1"/>
  <c r="A3009" i="1"/>
  <c r="H3008" i="1"/>
  <c r="G3008" i="1"/>
  <c r="E3008" i="1"/>
  <c r="B3008" i="1"/>
  <c r="A3008" i="1"/>
  <c r="H3007" i="1"/>
  <c r="G3007" i="1"/>
  <c r="E3007" i="1"/>
  <c r="B3007" i="1"/>
  <c r="A3007" i="1"/>
  <c r="H3006" i="1"/>
  <c r="G3006" i="1"/>
  <c r="E3006" i="1"/>
  <c r="B3006" i="1"/>
  <c r="A3006" i="1"/>
  <c r="H3005" i="1"/>
  <c r="G3005" i="1"/>
  <c r="E3005" i="1"/>
  <c r="B3005" i="1"/>
  <c r="A3005" i="1"/>
  <c r="H3004" i="1"/>
  <c r="G3004" i="1"/>
  <c r="E3004" i="1"/>
  <c r="B3004" i="1"/>
  <c r="A3004" i="1"/>
  <c r="H3003" i="1"/>
  <c r="G3003" i="1"/>
  <c r="E3003" i="1"/>
  <c r="B3003" i="1"/>
  <c r="A3003" i="1"/>
  <c r="H3002" i="1"/>
  <c r="G3002" i="1"/>
  <c r="E3002" i="1"/>
  <c r="B3002" i="1"/>
  <c r="A3002" i="1"/>
  <c r="H3001" i="1"/>
  <c r="G3001" i="1"/>
  <c r="E3001" i="1"/>
  <c r="B3001" i="1"/>
  <c r="A3001" i="1"/>
  <c r="H3000" i="1"/>
  <c r="G3000" i="1"/>
  <c r="E3000" i="1"/>
  <c r="B3000" i="1"/>
  <c r="A3000" i="1"/>
  <c r="H2999" i="1"/>
  <c r="G2999" i="1"/>
  <c r="E2999" i="1"/>
  <c r="B2999" i="1"/>
  <c r="A2999" i="1"/>
  <c r="H2998" i="1"/>
  <c r="G2998" i="1"/>
  <c r="E2998" i="1"/>
  <c r="B2998" i="1"/>
  <c r="A2998" i="1"/>
  <c r="H2997" i="1"/>
  <c r="G2997" i="1"/>
  <c r="E2997" i="1"/>
  <c r="B2997" i="1"/>
  <c r="A2997" i="1"/>
  <c r="H2996" i="1"/>
  <c r="G2996" i="1"/>
  <c r="E2996" i="1"/>
  <c r="B2996" i="1"/>
  <c r="A2996" i="1"/>
  <c r="H2995" i="1"/>
  <c r="G2995" i="1"/>
  <c r="E2995" i="1"/>
  <c r="B2995" i="1"/>
  <c r="A2995" i="1"/>
  <c r="H2994" i="1"/>
  <c r="G2994" i="1"/>
  <c r="E2994" i="1"/>
  <c r="B2994" i="1"/>
  <c r="A2994" i="1"/>
  <c r="H2993" i="1"/>
  <c r="G2993" i="1"/>
  <c r="E2993" i="1"/>
  <c r="B2993" i="1"/>
  <c r="A2993" i="1"/>
  <c r="H2992" i="1"/>
  <c r="G2992" i="1"/>
  <c r="E2992" i="1"/>
  <c r="B2992" i="1"/>
  <c r="A2992" i="1"/>
  <c r="H2991" i="1"/>
  <c r="G2991" i="1"/>
  <c r="E2991" i="1"/>
  <c r="B2991" i="1"/>
  <c r="A2991" i="1"/>
  <c r="H2990" i="1"/>
  <c r="G2990" i="1"/>
  <c r="E2990" i="1"/>
  <c r="B2990" i="1"/>
  <c r="A2990" i="1"/>
  <c r="H2989" i="1"/>
  <c r="G2989" i="1"/>
  <c r="E2989" i="1"/>
  <c r="B2989" i="1"/>
  <c r="A2989" i="1"/>
  <c r="H2988" i="1"/>
  <c r="G2988" i="1"/>
  <c r="E2988" i="1"/>
  <c r="B2988" i="1"/>
  <c r="A2988" i="1"/>
  <c r="H2987" i="1"/>
  <c r="G2987" i="1"/>
  <c r="E2987" i="1"/>
  <c r="B2987" i="1"/>
  <c r="A2987" i="1"/>
  <c r="H2986" i="1"/>
  <c r="G2986" i="1"/>
  <c r="E2986" i="1"/>
  <c r="B2986" i="1"/>
  <c r="A2986" i="1"/>
  <c r="H2985" i="1"/>
  <c r="G2985" i="1"/>
  <c r="E2985" i="1"/>
  <c r="B2985" i="1"/>
  <c r="A2985" i="1"/>
  <c r="H2984" i="1"/>
  <c r="G2984" i="1"/>
  <c r="E2984" i="1"/>
  <c r="B2984" i="1"/>
  <c r="A2984" i="1"/>
  <c r="H2983" i="1"/>
  <c r="G2983" i="1"/>
  <c r="E2983" i="1"/>
  <c r="B2983" i="1"/>
  <c r="A2983" i="1"/>
  <c r="H2982" i="1"/>
  <c r="G2982" i="1"/>
  <c r="E2982" i="1"/>
  <c r="B2982" i="1"/>
  <c r="A2982" i="1"/>
  <c r="H2981" i="1"/>
  <c r="G2981" i="1"/>
  <c r="E2981" i="1"/>
  <c r="B2981" i="1"/>
  <c r="A2981" i="1"/>
  <c r="H2980" i="1"/>
  <c r="G2980" i="1"/>
  <c r="E2980" i="1"/>
  <c r="B2980" i="1"/>
  <c r="A2980" i="1"/>
  <c r="H2979" i="1"/>
  <c r="G2979" i="1"/>
  <c r="E2979" i="1"/>
  <c r="B2979" i="1"/>
  <c r="A2979" i="1"/>
  <c r="H2978" i="1"/>
  <c r="G2978" i="1"/>
  <c r="E2978" i="1"/>
  <c r="B2978" i="1"/>
  <c r="A2978" i="1"/>
  <c r="H2977" i="1"/>
  <c r="G2977" i="1"/>
  <c r="E2977" i="1"/>
  <c r="B2977" i="1"/>
  <c r="A2977" i="1"/>
  <c r="H2976" i="1"/>
  <c r="G2976" i="1"/>
  <c r="E2976" i="1"/>
  <c r="B2976" i="1"/>
  <c r="A2976" i="1"/>
  <c r="H2975" i="1"/>
  <c r="G2975" i="1"/>
  <c r="E2975" i="1"/>
  <c r="B2975" i="1"/>
  <c r="A2975" i="1"/>
  <c r="H2974" i="1"/>
  <c r="G2974" i="1"/>
  <c r="E2974" i="1"/>
  <c r="B2974" i="1"/>
  <c r="A2974" i="1"/>
  <c r="H2973" i="1"/>
  <c r="G2973" i="1"/>
  <c r="E2973" i="1"/>
  <c r="B2973" i="1"/>
  <c r="A2973" i="1"/>
  <c r="H2972" i="1"/>
  <c r="G2972" i="1"/>
  <c r="E2972" i="1"/>
  <c r="B2972" i="1"/>
  <c r="A2972" i="1"/>
  <c r="H2971" i="1"/>
  <c r="G2971" i="1"/>
  <c r="E2971" i="1"/>
  <c r="B2971" i="1"/>
  <c r="A2971" i="1"/>
  <c r="H2970" i="1"/>
  <c r="G2970" i="1"/>
  <c r="E2970" i="1"/>
  <c r="B2970" i="1"/>
  <c r="A2970" i="1"/>
  <c r="H2969" i="1"/>
  <c r="G2969" i="1"/>
  <c r="E2969" i="1"/>
  <c r="B2969" i="1"/>
  <c r="A2969" i="1"/>
  <c r="H2968" i="1"/>
  <c r="G2968" i="1"/>
  <c r="E2968" i="1"/>
  <c r="B2968" i="1"/>
  <c r="A2968" i="1"/>
  <c r="H2967" i="1"/>
  <c r="G2967" i="1"/>
  <c r="E2967" i="1"/>
  <c r="B2967" i="1"/>
  <c r="A2967" i="1"/>
  <c r="H2966" i="1"/>
  <c r="G2966" i="1"/>
  <c r="E2966" i="1"/>
  <c r="B2966" i="1"/>
  <c r="A2966" i="1"/>
  <c r="H2965" i="1"/>
  <c r="G2965" i="1"/>
  <c r="E2965" i="1"/>
  <c r="B2965" i="1"/>
  <c r="A2965" i="1"/>
  <c r="H2964" i="1"/>
  <c r="G2964" i="1"/>
  <c r="E2964" i="1"/>
  <c r="B2964" i="1"/>
  <c r="A2964" i="1"/>
  <c r="H2963" i="1"/>
  <c r="G2963" i="1"/>
  <c r="E2963" i="1"/>
  <c r="B2963" i="1"/>
  <c r="A2963" i="1"/>
  <c r="H2962" i="1"/>
  <c r="G2962" i="1"/>
  <c r="E2962" i="1"/>
  <c r="B2962" i="1"/>
  <c r="A2962" i="1"/>
  <c r="H2961" i="1"/>
  <c r="G2961" i="1"/>
  <c r="E2961" i="1"/>
  <c r="B2961" i="1"/>
  <c r="A2961" i="1"/>
  <c r="H2960" i="1"/>
  <c r="G2960" i="1"/>
  <c r="E2960" i="1"/>
  <c r="B2960" i="1"/>
  <c r="A2960" i="1"/>
  <c r="H2959" i="1"/>
  <c r="G2959" i="1"/>
  <c r="E2959" i="1"/>
  <c r="B2959" i="1"/>
  <c r="A2959" i="1"/>
  <c r="H2958" i="1"/>
  <c r="G2958" i="1"/>
  <c r="E2958" i="1"/>
  <c r="B2958" i="1"/>
  <c r="A2958" i="1"/>
  <c r="H2957" i="1"/>
  <c r="G2957" i="1"/>
  <c r="E2957" i="1"/>
  <c r="B2957" i="1"/>
  <c r="A2957" i="1"/>
  <c r="H2956" i="1"/>
  <c r="G2956" i="1"/>
  <c r="E2956" i="1"/>
  <c r="B2956" i="1"/>
  <c r="A2956" i="1"/>
  <c r="H2955" i="1"/>
  <c r="G2955" i="1"/>
  <c r="E2955" i="1"/>
  <c r="B2955" i="1"/>
  <c r="A2955" i="1"/>
  <c r="H2954" i="1"/>
  <c r="G2954" i="1"/>
  <c r="E2954" i="1"/>
  <c r="B2954" i="1"/>
  <c r="A2954" i="1"/>
  <c r="H2953" i="1"/>
  <c r="G2953" i="1"/>
  <c r="E2953" i="1"/>
  <c r="B2953" i="1"/>
  <c r="A2953" i="1"/>
  <c r="H2952" i="1"/>
  <c r="G2952" i="1"/>
  <c r="E2952" i="1"/>
  <c r="B2952" i="1"/>
  <c r="A2952" i="1"/>
  <c r="H2951" i="1"/>
  <c r="G2951" i="1"/>
  <c r="E2951" i="1"/>
  <c r="B2951" i="1"/>
  <c r="A2951" i="1"/>
  <c r="H2950" i="1"/>
  <c r="G2950" i="1"/>
  <c r="E2950" i="1"/>
  <c r="B2950" i="1"/>
  <c r="A2950" i="1"/>
  <c r="H2949" i="1"/>
  <c r="G2949" i="1"/>
  <c r="E2949" i="1"/>
  <c r="B2949" i="1"/>
  <c r="A2949" i="1"/>
  <c r="H2948" i="1"/>
  <c r="G2948" i="1"/>
  <c r="E2948" i="1"/>
  <c r="B2948" i="1"/>
  <c r="A2948" i="1"/>
  <c r="H2947" i="1"/>
  <c r="G2947" i="1"/>
  <c r="E2947" i="1"/>
  <c r="B2947" i="1"/>
  <c r="A2947" i="1"/>
  <c r="H2946" i="1"/>
  <c r="G2946" i="1"/>
  <c r="E2946" i="1"/>
  <c r="B2946" i="1"/>
  <c r="A2946" i="1"/>
  <c r="H2945" i="1"/>
  <c r="G2945" i="1"/>
  <c r="E2945" i="1"/>
  <c r="B2945" i="1"/>
  <c r="A2945" i="1"/>
  <c r="H2944" i="1"/>
  <c r="G2944" i="1"/>
  <c r="E2944" i="1"/>
  <c r="B2944" i="1"/>
  <c r="A2944" i="1"/>
  <c r="H2943" i="1"/>
  <c r="G2943" i="1"/>
  <c r="E2943" i="1"/>
  <c r="B2943" i="1"/>
  <c r="A2943" i="1"/>
  <c r="H2942" i="1"/>
  <c r="G2942" i="1"/>
  <c r="E2942" i="1"/>
  <c r="B2942" i="1"/>
  <c r="A2942" i="1"/>
  <c r="H2941" i="1"/>
  <c r="G2941" i="1"/>
  <c r="E2941" i="1"/>
  <c r="B2941" i="1"/>
  <c r="A2941" i="1"/>
  <c r="H2940" i="1"/>
  <c r="G2940" i="1"/>
  <c r="E2940" i="1"/>
  <c r="B2940" i="1"/>
  <c r="A2940" i="1"/>
  <c r="H2939" i="1"/>
  <c r="G2939" i="1"/>
  <c r="E2939" i="1"/>
  <c r="B2939" i="1"/>
  <c r="A2939" i="1"/>
  <c r="H2938" i="1"/>
  <c r="G2938" i="1"/>
  <c r="E2938" i="1"/>
  <c r="B2938" i="1"/>
  <c r="A2938" i="1"/>
  <c r="H2937" i="1"/>
  <c r="G2937" i="1"/>
  <c r="E2937" i="1"/>
  <c r="B2937" i="1"/>
  <c r="A2937" i="1"/>
  <c r="H2936" i="1"/>
  <c r="G2936" i="1"/>
  <c r="E2936" i="1"/>
  <c r="B2936" i="1"/>
  <c r="A2936" i="1"/>
  <c r="H2935" i="1"/>
  <c r="G2935" i="1"/>
  <c r="E2935" i="1"/>
  <c r="B2935" i="1"/>
  <c r="A2935" i="1"/>
  <c r="H2934" i="1"/>
  <c r="G2934" i="1"/>
  <c r="E2934" i="1"/>
  <c r="B2934" i="1"/>
  <c r="A2934" i="1"/>
  <c r="H2933" i="1"/>
  <c r="G2933" i="1"/>
  <c r="E2933" i="1"/>
  <c r="B2933" i="1"/>
  <c r="A2933" i="1"/>
  <c r="H2932" i="1"/>
  <c r="G2932" i="1"/>
  <c r="E2932" i="1"/>
  <c r="B2932" i="1"/>
  <c r="A2932" i="1"/>
  <c r="H2931" i="1"/>
  <c r="G2931" i="1"/>
  <c r="E2931" i="1"/>
  <c r="B2931" i="1"/>
  <c r="A2931" i="1"/>
  <c r="H2930" i="1"/>
  <c r="G2930" i="1"/>
  <c r="E2930" i="1"/>
  <c r="B2930" i="1"/>
  <c r="A2930" i="1"/>
  <c r="H2929" i="1"/>
  <c r="G2929" i="1"/>
  <c r="E2929" i="1"/>
  <c r="B2929" i="1"/>
  <c r="A2929" i="1"/>
  <c r="H2928" i="1"/>
  <c r="G2928" i="1"/>
  <c r="E2928" i="1"/>
  <c r="B2928" i="1"/>
  <c r="A2928" i="1"/>
  <c r="H2927" i="1"/>
  <c r="G2927" i="1"/>
  <c r="E2927" i="1"/>
  <c r="B2927" i="1"/>
  <c r="A2927" i="1"/>
  <c r="H2926" i="1"/>
  <c r="G2926" i="1"/>
  <c r="E2926" i="1"/>
  <c r="B2926" i="1"/>
  <c r="A2926" i="1"/>
  <c r="H2925" i="1"/>
  <c r="G2925" i="1"/>
  <c r="E2925" i="1"/>
  <c r="B2925" i="1"/>
  <c r="A2925" i="1"/>
  <c r="H2924" i="1"/>
  <c r="G2924" i="1"/>
  <c r="E2924" i="1"/>
  <c r="B2924" i="1"/>
  <c r="A2924" i="1"/>
  <c r="H2923" i="1"/>
  <c r="G2923" i="1"/>
  <c r="E2923" i="1"/>
  <c r="B2923" i="1"/>
  <c r="A2923" i="1"/>
  <c r="H2922" i="1"/>
  <c r="G2922" i="1"/>
  <c r="E2922" i="1"/>
  <c r="B2922" i="1"/>
  <c r="A2922" i="1"/>
  <c r="H2921" i="1"/>
  <c r="G2921" i="1"/>
  <c r="E2921" i="1"/>
  <c r="B2921" i="1"/>
  <c r="A2921" i="1"/>
  <c r="H2920" i="1"/>
  <c r="G2920" i="1"/>
  <c r="E2920" i="1"/>
  <c r="B2920" i="1"/>
  <c r="A2920" i="1"/>
  <c r="H2919" i="1"/>
  <c r="G2919" i="1"/>
  <c r="E2919" i="1"/>
  <c r="B2919" i="1"/>
  <c r="A2919" i="1"/>
  <c r="H2918" i="1"/>
  <c r="G2918" i="1"/>
  <c r="E2918" i="1"/>
  <c r="B2918" i="1"/>
  <c r="A2918" i="1"/>
  <c r="H2917" i="1"/>
  <c r="G2917" i="1"/>
  <c r="E2917" i="1"/>
  <c r="B2917" i="1"/>
  <c r="A2917" i="1"/>
  <c r="H2916" i="1"/>
  <c r="G2916" i="1"/>
  <c r="E2916" i="1"/>
  <c r="B2916" i="1"/>
  <c r="A2916" i="1"/>
  <c r="H2915" i="1"/>
  <c r="G2915" i="1"/>
  <c r="E2915" i="1"/>
  <c r="B2915" i="1"/>
  <c r="A2915" i="1"/>
  <c r="H2914" i="1"/>
  <c r="G2914" i="1"/>
  <c r="E2914" i="1"/>
  <c r="B2914" i="1"/>
  <c r="A2914" i="1"/>
  <c r="H2913" i="1"/>
  <c r="G2913" i="1"/>
  <c r="E2913" i="1"/>
  <c r="B2913" i="1"/>
  <c r="A2913" i="1"/>
  <c r="H2912" i="1"/>
  <c r="G2912" i="1"/>
  <c r="E2912" i="1"/>
  <c r="B2912" i="1"/>
  <c r="A2912" i="1"/>
  <c r="H2911" i="1"/>
  <c r="G2911" i="1"/>
  <c r="E2911" i="1"/>
  <c r="B2911" i="1"/>
  <c r="A2911" i="1"/>
  <c r="H2910" i="1"/>
  <c r="G2910" i="1"/>
  <c r="E2910" i="1"/>
  <c r="B2910" i="1"/>
  <c r="A2910" i="1"/>
  <c r="H2909" i="1"/>
  <c r="G2909" i="1"/>
  <c r="E2909" i="1"/>
  <c r="B2909" i="1"/>
  <c r="A2909" i="1"/>
  <c r="H2908" i="1"/>
  <c r="G2908" i="1"/>
  <c r="E2908" i="1"/>
  <c r="B2908" i="1"/>
  <c r="A2908" i="1"/>
  <c r="H2907" i="1"/>
  <c r="G2907" i="1"/>
  <c r="E2907" i="1"/>
  <c r="B2907" i="1"/>
  <c r="A2907" i="1"/>
  <c r="H2906" i="1"/>
  <c r="G2906" i="1"/>
  <c r="E2906" i="1"/>
  <c r="B2906" i="1"/>
  <c r="A2906" i="1"/>
  <c r="H2905" i="1"/>
  <c r="G2905" i="1"/>
  <c r="E2905" i="1"/>
  <c r="B2905" i="1"/>
  <c r="A2905" i="1"/>
  <c r="H2904" i="1"/>
  <c r="G2904" i="1"/>
  <c r="E2904" i="1"/>
  <c r="B2904" i="1"/>
  <c r="A2904" i="1"/>
  <c r="H2903" i="1"/>
  <c r="G2903" i="1"/>
  <c r="E2903" i="1"/>
  <c r="B2903" i="1"/>
  <c r="A2903" i="1"/>
  <c r="H2902" i="1"/>
  <c r="G2902" i="1"/>
  <c r="E2902" i="1"/>
  <c r="B2902" i="1"/>
  <c r="A2902" i="1"/>
  <c r="H2901" i="1"/>
  <c r="G2901" i="1"/>
  <c r="E2901" i="1"/>
  <c r="B2901" i="1"/>
  <c r="A2901" i="1"/>
  <c r="H2900" i="1"/>
  <c r="G2900" i="1"/>
  <c r="E2900" i="1"/>
  <c r="B2900" i="1"/>
  <c r="A2900" i="1"/>
  <c r="H2899" i="1"/>
  <c r="G2899" i="1"/>
  <c r="E2899" i="1"/>
  <c r="B2899" i="1"/>
  <c r="A2899" i="1"/>
  <c r="H2898" i="1"/>
  <c r="G2898" i="1"/>
  <c r="E2898" i="1"/>
  <c r="B2898" i="1"/>
  <c r="A2898" i="1"/>
  <c r="H2897" i="1"/>
  <c r="G2897" i="1"/>
  <c r="E2897" i="1"/>
  <c r="B2897" i="1"/>
  <c r="A2897" i="1"/>
  <c r="H2896" i="1"/>
  <c r="G2896" i="1"/>
  <c r="E2896" i="1"/>
  <c r="B2896" i="1"/>
  <c r="A2896" i="1"/>
  <c r="H2895" i="1"/>
  <c r="G2895" i="1"/>
  <c r="E2895" i="1"/>
  <c r="B2895" i="1"/>
  <c r="A2895" i="1"/>
  <c r="H2894" i="1"/>
  <c r="G2894" i="1"/>
  <c r="E2894" i="1"/>
  <c r="B2894" i="1"/>
  <c r="A2894" i="1"/>
  <c r="H2893" i="1"/>
  <c r="G2893" i="1"/>
  <c r="E2893" i="1"/>
  <c r="B2893" i="1"/>
  <c r="A2893" i="1"/>
  <c r="H2892" i="1"/>
  <c r="G2892" i="1"/>
  <c r="E2892" i="1"/>
  <c r="B2892" i="1"/>
  <c r="A2892" i="1"/>
  <c r="H2891" i="1"/>
  <c r="G2891" i="1"/>
  <c r="E2891" i="1"/>
  <c r="B2891" i="1"/>
  <c r="A2891" i="1"/>
  <c r="H2890" i="1"/>
  <c r="G2890" i="1"/>
  <c r="E2890" i="1"/>
  <c r="B2890" i="1"/>
  <c r="A2890" i="1"/>
  <c r="H2889" i="1"/>
  <c r="G2889" i="1"/>
  <c r="E2889" i="1"/>
  <c r="B2889" i="1"/>
  <c r="A2889" i="1"/>
  <c r="H2888" i="1"/>
  <c r="G2888" i="1"/>
  <c r="E2888" i="1"/>
  <c r="B2888" i="1"/>
  <c r="A2888" i="1"/>
  <c r="H2887" i="1"/>
  <c r="G2887" i="1"/>
  <c r="E2887" i="1"/>
  <c r="B2887" i="1"/>
  <c r="A2887" i="1"/>
  <c r="H2886" i="1"/>
  <c r="G2886" i="1"/>
  <c r="E2886" i="1"/>
  <c r="B2886" i="1"/>
  <c r="A2886" i="1"/>
  <c r="H2885" i="1"/>
  <c r="G2885" i="1"/>
  <c r="E2885" i="1"/>
  <c r="B2885" i="1"/>
  <c r="A2885" i="1"/>
  <c r="H2884" i="1"/>
  <c r="G2884" i="1"/>
  <c r="E2884" i="1"/>
  <c r="B2884" i="1"/>
  <c r="A2884" i="1"/>
  <c r="H2883" i="1"/>
  <c r="G2883" i="1"/>
  <c r="E2883" i="1"/>
  <c r="B2883" i="1"/>
  <c r="A2883" i="1"/>
  <c r="H2882" i="1"/>
  <c r="G2882" i="1"/>
  <c r="E2882" i="1"/>
  <c r="B2882" i="1"/>
  <c r="A2882" i="1"/>
  <c r="H2881" i="1"/>
  <c r="G2881" i="1"/>
  <c r="E2881" i="1"/>
  <c r="B2881" i="1"/>
  <c r="A2881" i="1"/>
  <c r="H2880" i="1"/>
  <c r="G2880" i="1"/>
  <c r="E2880" i="1"/>
  <c r="B2880" i="1"/>
  <c r="A2880" i="1"/>
  <c r="H2879" i="1"/>
  <c r="G2879" i="1"/>
  <c r="E2879" i="1"/>
  <c r="B2879" i="1"/>
  <c r="A2879" i="1"/>
  <c r="H2878" i="1"/>
  <c r="G2878" i="1"/>
  <c r="E2878" i="1"/>
  <c r="B2878" i="1"/>
  <c r="A2878" i="1"/>
  <c r="H2877" i="1"/>
  <c r="G2877" i="1"/>
  <c r="E2877" i="1"/>
  <c r="B2877" i="1"/>
  <c r="A2877" i="1"/>
  <c r="H2876" i="1"/>
  <c r="G2876" i="1"/>
  <c r="E2876" i="1"/>
  <c r="B2876" i="1"/>
  <c r="A2876" i="1"/>
  <c r="H2875" i="1"/>
  <c r="G2875" i="1"/>
  <c r="E2875" i="1"/>
  <c r="B2875" i="1"/>
  <c r="A2875" i="1"/>
  <c r="H2874" i="1"/>
  <c r="G2874" i="1"/>
  <c r="E2874" i="1"/>
  <c r="B2874" i="1"/>
  <c r="A2874" i="1"/>
  <c r="H2873" i="1"/>
  <c r="G2873" i="1"/>
  <c r="E2873" i="1"/>
  <c r="B2873" i="1"/>
  <c r="A2873" i="1"/>
  <c r="H2872" i="1"/>
  <c r="G2872" i="1"/>
  <c r="E2872" i="1"/>
  <c r="B2872" i="1"/>
  <c r="A2872" i="1"/>
  <c r="H2871" i="1"/>
  <c r="G2871" i="1"/>
  <c r="E2871" i="1"/>
  <c r="B2871" i="1"/>
  <c r="A2871" i="1"/>
  <c r="H2870" i="1"/>
  <c r="G2870" i="1"/>
  <c r="E2870" i="1"/>
  <c r="B2870" i="1"/>
  <c r="A2870" i="1"/>
  <c r="H2869" i="1"/>
  <c r="G2869" i="1"/>
  <c r="E2869" i="1"/>
  <c r="B2869" i="1"/>
  <c r="A2869" i="1"/>
  <c r="H2868" i="1"/>
  <c r="G2868" i="1"/>
  <c r="E2868" i="1"/>
  <c r="B2868" i="1"/>
  <c r="A2868" i="1"/>
  <c r="H2867" i="1"/>
  <c r="G2867" i="1"/>
  <c r="E2867" i="1"/>
  <c r="B2867" i="1"/>
  <c r="A2867" i="1"/>
  <c r="H2866" i="1"/>
  <c r="G2866" i="1"/>
  <c r="E2866" i="1"/>
  <c r="B2866" i="1"/>
  <c r="A2866" i="1"/>
  <c r="H2865" i="1"/>
  <c r="G2865" i="1"/>
  <c r="E2865" i="1"/>
  <c r="B2865" i="1"/>
  <c r="A2865" i="1"/>
  <c r="H2864" i="1"/>
  <c r="G2864" i="1"/>
  <c r="E2864" i="1"/>
  <c r="B2864" i="1"/>
  <c r="A2864" i="1"/>
  <c r="H2863" i="1"/>
  <c r="G2863" i="1"/>
  <c r="E2863" i="1"/>
  <c r="B2863" i="1"/>
  <c r="A2863" i="1"/>
  <c r="H2862" i="1"/>
  <c r="G2862" i="1"/>
  <c r="E2862" i="1"/>
  <c r="B2862" i="1"/>
  <c r="A2862" i="1"/>
  <c r="H2861" i="1"/>
  <c r="G2861" i="1"/>
  <c r="E2861" i="1"/>
  <c r="B2861" i="1"/>
  <c r="A2861" i="1"/>
  <c r="H2860" i="1"/>
  <c r="G2860" i="1"/>
  <c r="E2860" i="1"/>
  <c r="B2860" i="1"/>
  <c r="A2860" i="1"/>
  <c r="H2859" i="1"/>
  <c r="G2859" i="1"/>
  <c r="E2859" i="1"/>
  <c r="B2859" i="1"/>
  <c r="A2859" i="1"/>
  <c r="H2858" i="1"/>
  <c r="G2858" i="1"/>
  <c r="E2858" i="1"/>
  <c r="B2858" i="1"/>
  <c r="A2858" i="1"/>
  <c r="H2857" i="1"/>
  <c r="G2857" i="1"/>
  <c r="E2857" i="1"/>
  <c r="B2857" i="1"/>
  <c r="A2857" i="1"/>
  <c r="H2856" i="1"/>
  <c r="G2856" i="1"/>
  <c r="E2856" i="1"/>
  <c r="B2856" i="1"/>
  <c r="A2856" i="1"/>
  <c r="H2855" i="1"/>
  <c r="G2855" i="1"/>
  <c r="E2855" i="1"/>
  <c r="B2855" i="1"/>
  <c r="A2855" i="1"/>
  <c r="H2854" i="1"/>
  <c r="G2854" i="1"/>
  <c r="E2854" i="1"/>
  <c r="B2854" i="1"/>
  <c r="A2854" i="1"/>
  <c r="H2853" i="1"/>
  <c r="G2853" i="1"/>
  <c r="E2853" i="1"/>
  <c r="B2853" i="1"/>
  <c r="A2853" i="1"/>
  <c r="H2852" i="1"/>
  <c r="G2852" i="1"/>
  <c r="E2852" i="1"/>
  <c r="B2852" i="1"/>
  <c r="A2852" i="1"/>
  <c r="H2851" i="1"/>
  <c r="G2851" i="1"/>
  <c r="E2851" i="1"/>
  <c r="B2851" i="1"/>
  <c r="A2851" i="1"/>
  <c r="H2850" i="1"/>
  <c r="G2850" i="1"/>
  <c r="E2850" i="1"/>
  <c r="B2850" i="1"/>
  <c r="A2850" i="1"/>
  <c r="H2849" i="1"/>
  <c r="G2849" i="1"/>
  <c r="E2849" i="1"/>
  <c r="B2849" i="1"/>
  <c r="A2849" i="1"/>
  <c r="H2848" i="1"/>
  <c r="G2848" i="1"/>
  <c r="E2848" i="1"/>
  <c r="B2848" i="1"/>
  <c r="A2848" i="1"/>
  <c r="H2847" i="1"/>
  <c r="G2847" i="1"/>
  <c r="E2847" i="1"/>
  <c r="B2847" i="1"/>
  <c r="A2847" i="1"/>
  <c r="H2846" i="1"/>
  <c r="G2846" i="1"/>
  <c r="E2846" i="1"/>
  <c r="B2846" i="1"/>
  <c r="A2846" i="1"/>
  <c r="H2845" i="1"/>
  <c r="G2845" i="1"/>
  <c r="E2845" i="1"/>
  <c r="B2845" i="1"/>
  <c r="A2845" i="1"/>
  <c r="H2844" i="1"/>
  <c r="G2844" i="1"/>
  <c r="E2844" i="1"/>
  <c r="B2844" i="1"/>
  <c r="A2844" i="1"/>
  <c r="H2843" i="1"/>
  <c r="G2843" i="1"/>
  <c r="E2843" i="1"/>
  <c r="B2843" i="1"/>
  <c r="A2843" i="1"/>
  <c r="H2842" i="1"/>
  <c r="G2842" i="1"/>
  <c r="E2842" i="1"/>
  <c r="B2842" i="1"/>
  <c r="A2842" i="1"/>
  <c r="H2841" i="1"/>
  <c r="G2841" i="1"/>
  <c r="E2841" i="1"/>
  <c r="B2841" i="1"/>
  <c r="A2841" i="1"/>
  <c r="H2840" i="1"/>
  <c r="G2840" i="1"/>
  <c r="E2840" i="1"/>
  <c r="B2840" i="1"/>
  <c r="A2840" i="1"/>
  <c r="H2839" i="1"/>
  <c r="G2839" i="1"/>
  <c r="E2839" i="1"/>
  <c r="B2839" i="1"/>
  <c r="A2839" i="1"/>
  <c r="H2838" i="1"/>
  <c r="G2838" i="1"/>
  <c r="E2838" i="1"/>
  <c r="B2838" i="1"/>
  <c r="A2838" i="1"/>
  <c r="H2837" i="1"/>
  <c r="G2837" i="1"/>
  <c r="E2837" i="1"/>
  <c r="B2837" i="1"/>
  <c r="A2837" i="1"/>
  <c r="H2836" i="1"/>
  <c r="G2836" i="1"/>
  <c r="E2836" i="1"/>
  <c r="B2836" i="1"/>
  <c r="A2836" i="1"/>
  <c r="H2835" i="1"/>
  <c r="G2835" i="1"/>
  <c r="E2835" i="1"/>
  <c r="B2835" i="1"/>
  <c r="A2835" i="1"/>
  <c r="H2834" i="1"/>
  <c r="G2834" i="1"/>
  <c r="E2834" i="1"/>
  <c r="B2834" i="1"/>
  <c r="A2834" i="1"/>
  <c r="H2833" i="1"/>
  <c r="G2833" i="1"/>
  <c r="E2833" i="1"/>
  <c r="B2833" i="1"/>
  <c r="A2833" i="1"/>
  <c r="H2832" i="1"/>
  <c r="G2832" i="1"/>
  <c r="E2832" i="1"/>
  <c r="B2832" i="1"/>
  <c r="A2832" i="1"/>
  <c r="H2831" i="1"/>
  <c r="G2831" i="1"/>
  <c r="E2831" i="1"/>
  <c r="B2831" i="1"/>
  <c r="A2831" i="1"/>
  <c r="H2830" i="1"/>
  <c r="G2830" i="1"/>
  <c r="E2830" i="1"/>
  <c r="B2830" i="1"/>
  <c r="A2830" i="1"/>
  <c r="H2829" i="1"/>
  <c r="G2829" i="1"/>
  <c r="E2829" i="1"/>
  <c r="B2829" i="1"/>
  <c r="A2829" i="1"/>
  <c r="H2828" i="1"/>
  <c r="G2828" i="1"/>
  <c r="E2828" i="1"/>
  <c r="B2828" i="1"/>
  <c r="A2828" i="1"/>
  <c r="H2827" i="1"/>
  <c r="G2827" i="1"/>
  <c r="E2827" i="1"/>
  <c r="B2827" i="1"/>
  <c r="A2827" i="1"/>
  <c r="H2826" i="1"/>
  <c r="G2826" i="1"/>
  <c r="E2826" i="1"/>
  <c r="B2826" i="1"/>
  <c r="A2826" i="1"/>
  <c r="H2825" i="1"/>
  <c r="G2825" i="1"/>
  <c r="E2825" i="1"/>
  <c r="B2825" i="1"/>
  <c r="A2825" i="1"/>
  <c r="H2824" i="1"/>
  <c r="G2824" i="1"/>
  <c r="E2824" i="1"/>
  <c r="B2824" i="1"/>
  <c r="A2824" i="1"/>
  <c r="H2823" i="1"/>
  <c r="G2823" i="1"/>
  <c r="E2823" i="1"/>
  <c r="B2823" i="1"/>
  <c r="A2823" i="1"/>
  <c r="H2822" i="1"/>
  <c r="G2822" i="1"/>
  <c r="E2822" i="1"/>
  <c r="B2822" i="1"/>
  <c r="A2822" i="1"/>
  <c r="H2821" i="1"/>
  <c r="G2821" i="1"/>
  <c r="E2821" i="1"/>
  <c r="B2821" i="1"/>
  <c r="A2821" i="1"/>
  <c r="H2820" i="1"/>
  <c r="G2820" i="1"/>
  <c r="E2820" i="1"/>
  <c r="B2820" i="1"/>
  <c r="A2820" i="1"/>
  <c r="H2819" i="1"/>
  <c r="G2819" i="1"/>
  <c r="E2819" i="1"/>
  <c r="B2819" i="1"/>
  <c r="A2819" i="1"/>
  <c r="H2818" i="1"/>
  <c r="G2818" i="1"/>
  <c r="E2818" i="1"/>
  <c r="B2818" i="1"/>
  <c r="A2818" i="1"/>
  <c r="H2817" i="1"/>
  <c r="G2817" i="1"/>
  <c r="E2817" i="1"/>
  <c r="B2817" i="1"/>
  <c r="A2817" i="1"/>
  <c r="H2816" i="1"/>
  <c r="G2816" i="1"/>
  <c r="E2816" i="1"/>
  <c r="B2816" i="1"/>
  <c r="A2816" i="1"/>
  <c r="H2815" i="1"/>
  <c r="G2815" i="1"/>
  <c r="E2815" i="1"/>
  <c r="B2815" i="1"/>
  <c r="A2815" i="1"/>
  <c r="H2814" i="1"/>
  <c r="G2814" i="1"/>
  <c r="E2814" i="1"/>
  <c r="B2814" i="1"/>
  <c r="A2814" i="1"/>
  <c r="H2813" i="1"/>
  <c r="G2813" i="1"/>
  <c r="E2813" i="1"/>
  <c r="B2813" i="1"/>
  <c r="A2813" i="1"/>
  <c r="H2812" i="1"/>
  <c r="G2812" i="1"/>
  <c r="E2812" i="1"/>
  <c r="B2812" i="1"/>
  <c r="A2812" i="1"/>
  <c r="H2811" i="1"/>
  <c r="G2811" i="1"/>
  <c r="E2811" i="1"/>
  <c r="B2811" i="1"/>
  <c r="A2811" i="1"/>
  <c r="H2810" i="1"/>
  <c r="G2810" i="1"/>
  <c r="E2810" i="1"/>
  <c r="B2810" i="1"/>
  <c r="A2810" i="1"/>
  <c r="H2809" i="1"/>
  <c r="G2809" i="1"/>
  <c r="E2809" i="1"/>
  <c r="B2809" i="1"/>
  <c r="A2809" i="1"/>
  <c r="H2808" i="1"/>
  <c r="G2808" i="1"/>
  <c r="E2808" i="1"/>
  <c r="B2808" i="1"/>
  <c r="A2808" i="1"/>
  <c r="H2807" i="1"/>
  <c r="G2807" i="1"/>
  <c r="E2807" i="1"/>
  <c r="B2807" i="1"/>
  <c r="A2807" i="1"/>
  <c r="H2806" i="1"/>
  <c r="G2806" i="1"/>
  <c r="E2806" i="1"/>
  <c r="B2806" i="1"/>
  <c r="A2806" i="1"/>
  <c r="H2805" i="1"/>
  <c r="G2805" i="1"/>
  <c r="E2805" i="1"/>
  <c r="B2805" i="1"/>
  <c r="A2805" i="1"/>
  <c r="H2804" i="1"/>
  <c r="G2804" i="1"/>
  <c r="E2804" i="1"/>
  <c r="B2804" i="1"/>
  <c r="A2804" i="1"/>
  <c r="H2803" i="1"/>
  <c r="G2803" i="1"/>
  <c r="E2803" i="1"/>
  <c r="B2803" i="1"/>
  <c r="A2803" i="1"/>
  <c r="H2802" i="1"/>
  <c r="G2802" i="1"/>
  <c r="E2802" i="1"/>
  <c r="B2802" i="1"/>
  <c r="A2802" i="1"/>
  <c r="H2801" i="1"/>
  <c r="G2801" i="1"/>
  <c r="E2801" i="1"/>
  <c r="B2801" i="1"/>
  <c r="A2801" i="1"/>
  <c r="H2800" i="1"/>
  <c r="G2800" i="1"/>
  <c r="E2800" i="1"/>
  <c r="B2800" i="1"/>
  <c r="A2800" i="1"/>
  <c r="H2799" i="1"/>
  <c r="G2799" i="1"/>
  <c r="E2799" i="1"/>
  <c r="B2799" i="1"/>
  <c r="A2799" i="1"/>
  <c r="H2798" i="1"/>
  <c r="G2798" i="1"/>
  <c r="E2798" i="1"/>
  <c r="B2798" i="1"/>
  <c r="A2798" i="1"/>
  <c r="H2797" i="1"/>
  <c r="G2797" i="1"/>
  <c r="E2797" i="1"/>
  <c r="B2797" i="1"/>
  <c r="A2797" i="1"/>
  <c r="H2796" i="1"/>
  <c r="G2796" i="1"/>
  <c r="E2796" i="1"/>
  <c r="B2796" i="1"/>
  <c r="A2796" i="1"/>
  <c r="H2795" i="1"/>
  <c r="G2795" i="1"/>
  <c r="E2795" i="1"/>
  <c r="B2795" i="1"/>
  <c r="A2795" i="1"/>
  <c r="H2794" i="1"/>
  <c r="G2794" i="1"/>
  <c r="E2794" i="1"/>
  <c r="B2794" i="1"/>
  <c r="A2794" i="1"/>
  <c r="H2793" i="1"/>
  <c r="G2793" i="1"/>
  <c r="E2793" i="1"/>
  <c r="B2793" i="1"/>
  <c r="A2793" i="1"/>
  <c r="H2792" i="1"/>
  <c r="G2792" i="1"/>
  <c r="E2792" i="1"/>
  <c r="B2792" i="1"/>
  <c r="A2792" i="1"/>
  <c r="H2791" i="1"/>
  <c r="G2791" i="1"/>
  <c r="E2791" i="1"/>
  <c r="B2791" i="1"/>
  <c r="A2791" i="1"/>
  <c r="H2790" i="1"/>
  <c r="G2790" i="1"/>
  <c r="E2790" i="1"/>
  <c r="B2790" i="1"/>
  <c r="A2790" i="1"/>
  <c r="H2789" i="1"/>
  <c r="G2789" i="1"/>
  <c r="E2789" i="1"/>
  <c r="B2789" i="1"/>
  <c r="A2789" i="1"/>
  <c r="H2788" i="1"/>
  <c r="G2788" i="1"/>
  <c r="E2788" i="1"/>
  <c r="B2788" i="1"/>
  <c r="A2788" i="1"/>
  <c r="H2787" i="1"/>
  <c r="G2787" i="1"/>
  <c r="E2787" i="1"/>
  <c r="B2787" i="1"/>
  <c r="A2787" i="1"/>
  <c r="H2786" i="1"/>
  <c r="G2786" i="1"/>
  <c r="E2786" i="1"/>
  <c r="B2786" i="1"/>
  <c r="A2786" i="1"/>
  <c r="H2785" i="1"/>
  <c r="G2785" i="1"/>
  <c r="E2785" i="1"/>
  <c r="B2785" i="1"/>
  <c r="A2785" i="1"/>
  <c r="H2784" i="1"/>
  <c r="G2784" i="1"/>
  <c r="E2784" i="1"/>
  <c r="B2784" i="1"/>
  <c r="A2784" i="1"/>
  <c r="H2783" i="1"/>
  <c r="G2783" i="1"/>
  <c r="E2783" i="1"/>
  <c r="B2783" i="1"/>
  <c r="A2783" i="1"/>
  <c r="H2782" i="1"/>
  <c r="G2782" i="1"/>
  <c r="E2782" i="1"/>
  <c r="B2782" i="1"/>
  <c r="A2782" i="1"/>
  <c r="H2781" i="1"/>
  <c r="G2781" i="1"/>
  <c r="E2781" i="1"/>
  <c r="B2781" i="1"/>
  <c r="A2781" i="1"/>
  <c r="H2780" i="1"/>
  <c r="G2780" i="1"/>
  <c r="E2780" i="1"/>
  <c r="B2780" i="1"/>
  <c r="A2780" i="1"/>
  <c r="H2779" i="1"/>
  <c r="G2779" i="1"/>
  <c r="E2779" i="1"/>
  <c r="B2779" i="1"/>
  <c r="A2779" i="1"/>
  <c r="H2778" i="1"/>
  <c r="G2778" i="1"/>
  <c r="E2778" i="1"/>
  <c r="B2778" i="1"/>
  <c r="A2778" i="1"/>
  <c r="H2777" i="1"/>
  <c r="G2777" i="1"/>
  <c r="E2777" i="1"/>
  <c r="B2777" i="1"/>
  <c r="A2777" i="1"/>
  <c r="H2776" i="1"/>
  <c r="G2776" i="1"/>
  <c r="E2776" i="1"/>
  <c r="B2776" i="1"/>
  <c r="A2776" i="1"/>
  <c r="H2775" i="1"/>
  <c r="G2775" i="1"/>
  <c r="E2775" i="1"/>
  <c r="B2775" i="1"/>
  <c r="A2775" i="1"/>
  <c r="H2774" i="1"/>
  <c r="G2774" i="1"/>
  <c r="E2774" i="1"/>
  <c r="B2774" i="1"/>
  <c r="A2774" i="1"/>
  <c r="H2773" i="1"/>
  <c r="G2773" i="1"/>
  <c r="E2773" i="1"/>
  <c r="B2773" i="1"/>
  <c r="A2773" i="1"/>
  <c r="H2772" i="1"/>
  <c r="G2772" i="1"/>
  <c r="E2772" i="1"/>
  <c r="B2772" i="1"/>
  <c r="A2772" i="1"/>
  <c r="H2771" i="1"/>
  <c r="G2771" i="1"/>
  <c r="E2771" i="1"/>
  <c r="B2771" i="1"/>
  <c r="A2771" i="1"/>
  <c r="H2770" i="1"/>
  <c r="G2770" i="1"/>
  <c r="E2770" i="1"/>
  <c r="B2770" i="1"/>
  <c r="A2770" i="1"/>
  <c r="H2769" i="1"/>
  <c r="G2769" i="1"/>
  <c r="E2769" i="1"/>
  <c r="B2769" i="1"/>
  <c r="A2769" i="1"/>
  <c r="H2768" i="1"/>
  <c r="G2768" i="1"/>
  <c r="E2768" i="1"/>
  <c r="B2768" i="1"/>
  <c r="A2768" i="1"/>
  <c r="H2767" i="1"/>
  <c r="G2767" i="1"/>
  <c r="E2767" i="1"/>
  <c r="B2767" i="1"/>
  <c r="A2767" i="1"/>
  <c r="H2766" i="1"/>
  <c r="G2766" i="1"/>
  <c r="E2766" i="1"/>
  <c r="B2766" i="1"/>
  <c r="A2766" i="1"/>
  <c r="H2765" i="1"/>
  <c r="G2765" i="1"/>
  <c r="E2765" i="1"/>
  <c r="B2765" i="1"/>
  <c r="A2765" i="1"/>
  <c r="H2764" i="1"/>
  <c r="G2764" i="1"/>
  <c r="E2764" i="1"/>
  <c r="B2764" i="1"/>
  <c r="A2764" i="1"/>
  <c r="H2763" i="1"/>
  <c r="G2763" i="1"/>
  <c r="E2763" i="1"/>
  <c r="B2763" i="1"/>
  <c r="A2763" i="1"/>
  <c r="H2762" i="1"/>
  <c r="G2762" i="1"/>
  <c r="E2762" i="1"/>
  <c r="B2762" i="1"/>
  <c r="A2762" i="1"/>
  <c r="H2761" i="1"/>
  <c r="G2761" i="1"/>
  <c r="E2761" i="1"/>
  <c r="B2761" i="1"/>
  <c r="A2761" i="1"/>
  <c r="H2760" i="1"/>
  <c r="G2760" i="1"/>
  <c r="E2760" i="1"/>
  <c r="B2760" i="1"/>
  <c r="A2760" i="1"/>
  <c r="H2759" i="1"/>
  <c r="G2759" i="1"/>
  <c r="E2759" i="1"/>
  <c r="B2759" i="1"/>
  <c r="A2759" i="1"/>
  <c r="H2758" i="1"/>
  <c r="G2758" i="1"/>
  <c r="E2758" i="1"/>
  <c r="B2758" i="1"/>
  <c r="A2758" i="1"/>
  <c r="H2757" i="1"/>
  <c r="G2757" i="1"/>
  <c r="E2757" i="1"/>
  <c r="B2757" i="1"/>
  <c r="A2757" i="1"/>
  <c r="H2756" i="1"/>
  <c r="G2756" i="1"/>
  <c r="E2756" i="1"/>
  <c r="B2756" i="1"/>
  <c r="A2756" i="1"/>
  <c r="H2755" i="1"/>
  <c r="G2755" i="1"/>
  <c r="E2755" i="1"/>
  <c r="B2755" i="1"/>
  <c r="A2755" i="1"/>
  <c r="H2754" i="1"/>
  <c r="G2754" i="1"/>
  <c r="E2754" i="1"/>
  <c r="B2754" i="1"/>
  <c r="A2754" i="1"/>
  <c r="H2753" i="1"/>
  <c r="G2753" i="1"/>
  <c r="E2753" i="1"/>
  <c r="B2753" i="1"/>
  <c r="A2753" i="1"/>
  <c r="H2752" i="1"/>
  <c r="G2752" i="1"/>
  <c r="E2752" i="1"/>
  <c r="B2752" i="1"/>
  <c r="A2752" i="1"/>
  <c r="H2751" i="1"/>
  <c r="G2751" i="1"/>
  <c r="E2751" i="1"/>
  <c r="B2751" i="1"/>
  <c r="A2751" i="1"/>
  <c r="H2750" i="1"/>
  <c r="G2750" i="1"/>
  <c r="E2750" i="1"/>
  <c r="B2750" i="1"/>
  <c r="A2750" i="1"/>
  <c r="H2749" i="1"/>
  <c r="G2749" i="1"/>
  <c r="E2749" i="1"/>
  <c r="B2749" i="1"/>
  <c r="A2749" i="1"/>
  <c r="H2748" i="1"/>
  <c r="G2748" i="1"/>
  <c r="E2748" i="1"/>
  <c r="B2748" i="1"/>
  <c r="A2748" i="1"/>
  <c r="H2747" i="1"/>
  <c r="G2747" i="1"/>
  <c r="E2747" i="1"/>
  <c r="B2747" i="1"/>
  <c r="A2747" i="1"/>
  <c r="H2746" i="1"/>
  <c r="G2746" i="1"/>
  <c r="E2746" i="1"/>
  <c r="B2746" i="1"/>
  <c r="A2746" i="1"/>
  <c r="H2745" i="1"/>
  <c r="G2745" i="1"/>
  <c r="E2745" i="1"/>
  <c r="B2745" i="1"/>
  <c r="A2745" i="1"/>
  <c r="H2744" i="1"/>
  <c r="G2744" i="1"/>
  <c r="E2744" i="1"/>
  <c r="B2744" i="1"/>
  <c r="A2744" i="1"/>
  <c r="H2743" i="1"/>
  <c r="G2743" i="1"/>
  <c r="E2743" i="1"/>
  <c r="B2743" i="1"/>
  <c r="A2743" i="1"/>
  <c r="H2742" i="1"/>
  <c r="G2742" i="1"/>
  <c r="E2742" i="1"/>
  <c r="B2742" i="1"/>
  <c r="A2742" i="1"/>
  <c r="H2741" i="1"/>
  <c r="G2741" i="1"/>
  <c r="E2741" i="1"/>
  <c r="B2741" i="1"/>
  <c r="A2741" i="1"/>
  <c r="H2740" i="1"/>
  <c r="G2740" i="1"/>
  <c r="E2740" i="1"/>
  <c r="B2740" i="1"/>
  <c r="A2740" i="1"/>
  <c r="H2739" i="1"/>
  <c r="G2739" i="1"/>
  <c r="E2739" i="1"/>
  <c r="B2739" i="1"/>
  <c r="A2739" i="1"/>
  <c r="H2738" i="1"/>
  <c r="G2738" i="1"/>
  <c r="E2738" i="1"/>
  <c r="B2738" i="1"/>
  <c r="A2738" i="1"/>
  <c r="H2737" i="1"/>
  <c r="G2737" i="1"/>
  <c r="E2737" i="1"/>
  <c r="B2737" i="1"/>
  <c r="A2737" i="1"/>
  <c r="H2736" i="1"/>
  <c r="G2736" i="1"/>
  <c r="E2736" i="1"/>
  <c r="B2736" i="1"/>
  <c r="A2736" i="1"/>
  <c r="H2735" i="1"/>
  <c r="G2735" i="1"/>
  <c r="E2735" i="1"/>
  <c r="B2735" i="1"/>
  <c r="A2735" i="1"/>
  <c r="H2734" i="1"/>
  <c r="G2734" i="1"/>
  <c r="E2734" i="1"/>
  <c r="B2734" i="1"/>
  <c r="A2734" i="1"/>
  <c r="H2733" i="1"/>
  <c r="G2733" i="1"/>
  <c r="E2733" i="1"/>
  <c r="B2733" i="1"/>
  <c r="A2733" i="1"/>
  <c r="H2732" i="1"/>
  <c r="G2732" i="1"/>
  <c r="E2732" i="1"/>
  <c r="B2732" i="1"/>
  <c r="A2732" i="1"/>
  <c r="H2731" i="1"/>
  <c r="G2731" i="1"/>
  <c r="E2731" i="1"/>
  <c r="B2731" i="1"/>
  <c r="A2731" i="1"/>
  <c r="H2730" i="1"/>
  <c r="G2730" i="1"/>
  <c r="E2730" i="1"/>
  <c r="B2730" i="1"/>
  <c r="A2730" i="1"/>
  <c r="H2729" i="1"/>
  <c r="G2729" i="1"/>
  <c r="E2729" i="1"/>
  <c r="B2729" i="1"/>
  <c r="A2729" i="1"/>
  <c r="H2728" i="1"/>
  <c r="G2728" i="1"/>
  <c r="E2728" i="1"/>
  <c r="B2728" i="1"/>
  <c r="A2728" i="1"/>
  <c r="H2727" i="1"/>
  <c r="G2727" i="1"/>
  <c r="E2727" i="1"/>
  <c r="B2727" i="1"/>
  <c r="A2727" i="1"/>
  <c r="H2726" i="1"/>
  <c r="G2726" i="1"/>
  <c r="E2726" i="1"/>
  <c r="B2726" i="1"/>
  <c r="A2726" i="1"/>
  <c r="H2725" i="1"/>
  <c r="G2725" i="1"/>
  <c r="E2725" i="1"/>
  <c r="B2725" i="1"/>
  <c r="A2725" i="1"/>
  <c r="H2724" i="1"/>
  <c r="G2724" i="1"/>
  <c r="E2724" i="1"/>
  <c r="B2724" i="1"/>
  <c r="A2724" i="1"/>
  <c r="H2723" i="1"/>
  <c r="G2723" i="1"/>
  <c r="E2723" i="1"/>
  <c r="B2723" i="1"/>
  <c r="A2723" i="1"/>
  <c r="H2722" i="1"/>
  <c r="G2722" i="1"/>
  <c r="E2722" i="1"/>
  <c r="B2722" i="1"/>
  <c r="A2722" i="1"/>
  <c r="H2721" i="1"/>
  <c r="G2721" i="1"/>
  <c r="E2721" i="1"/>
  <c r="B2721" i="1"/>
  <c r="A2721" i="1"/>
  <c r="H2720" i="1"/>
  <c r="G2720" i="1"/>
  <c r="E2720" i="1"/>
  <c r="B2720" i="1"/>
  <c r="A2720" i="1"/>
  <c r="H2719" i="1"/>
  <c r="G2719" i="1"/>
  <c r="E2719" i="1"/>
  <c r="B2719" i="1"/>
  <c r="A2719" i="1"/>
  <c r="H2718" i="1"/>
  <c r="G2718" i="1"/>
  <c r="E2718" i="1"/>
  <c r="B2718" i="1"/>
  <c r="A2718" i="1"/>
  <c r="H2717" i="1"/>
  <c r="G2717" i="1"/>
  <c r="E2717" i="1"/>
  <c r="B2717" i="1"/>
  <c r="A2717" i="1"/>
  <c r="H2716" i="1"/>
  <c r="G2716" i="1"/>
  <c r="E2716" i="1"/>
  <c r="B2716" i="1"/>
  <c r="A2716" i="1"/>
  <c r="H2715" i="1"/>
  <c r="G2715" i="1"/>
  <c r="E2715" i="1"/>
  <c r="B2715" i="1"/>
  <c r="A2715" i="1"/>
  <c r="H2714" i="1"/>
  <c r="G2714" i="1"/>
  <c r="E2714" i="1"/>
  <c r="B2714" i="1"/>
  <c r="A2714" i="1"/>
  <c r="H2713" i="1"/>
  <c r="G2713" i="1"/>
  <c r="E2713" i="1"/>
  <c r="B2713" i="1"/>
  <c r="A2713" i="1"/>
  <c r="H2712" i="1"/>
  <c r="G2712" i="1"/>
  <c r="E2712" i="1"/>
  <c r="B2712" i="1"/>
  <c r="A2712" i="1"/>
  <c r="H2711" i="1"/>
  <c r="G2711" i="1"/>
  <c r="E2711" i="1"/>
  <c r="B2711" i="1"/>
  <c r="A2711" i="1"/>
  <c r="H2710" i="1"/>
  <c r="G2710" i="1"/>
  <c r="E2710" i="1"/>
  <c r="B2710" i="1"/>
  <c r="A2710" i="1"/>
  <c r="H2709" i="1"/>
  <c r="G2709" i="1"/>
  <c r="E2709" i="1"/>
  <c r="B2709" i="1"/>
  <c r="A2709" i="1"/>
  <c r="H2708" i="1"/>
  <c r="G2708" i="1"/>
  <c r="E2708" i="1"/>
  <c r="B2708" i="1"/>
  <c r="A2708" i="1"/>
  <c r="H2707" i="1"/>
  <c r="G2707" i="1"/>
  <c r="E2707" i="1"/>
  <c r="B2707" i="1"/>
  <c r="A2707" i="1"/>
  <c r="H2706" i="1"/>
  <c r="G2706" i="1"/>
  <c r="E2706" i="1"/>
  <c r="B2706" i="1"/>
  <c r="A2706" i="1"/>
  <c r="H2705" i="1"/>
  <c r="G2705" i="1"/>
  <c r="E2705" i="1"/>
  <c r="B2705" i="1"/>
  <c r="A2705" i="1"/>
  <c r="H2704" i="1"/>
  <c r="G2704" i="1"/>
  <c r="E2704" i="1"/>
  <c r="B2704" i="1"/>
  <c r="A2704" i="1"/>
  <c r="H2703" i="1"/>
  <c r="G2703" i="1"/>
  <c r="E2703" i="1"/>
  <c r="B2703" i="1"/>
  <c r="A2703" i="1"/>
  <c r="H2702" i="1"/>
  <c r="G2702" i="1"/>
  <c r="E2702" i="1"/>
  <c r="B2702" i="1"/>
  <c r="A2702" i="1"/>
  <c r="H2701" i="1"/>
  <c r="G2701" i="1"/>
  <c r="E2701" i="1"/>
  <c r="B2701" i="1"/>
  <c r="A2701" i="1"/>
  <c r="H2700" i="1"/>
  <c r="G2700" i="1"/>
  <c r="E2700" i="1"/>
  <c r="B2700" i="1"/>
  <c r="A2700" i="1"/>
  <c r="H2699" i="1"/>
  <c r="G2699" i="1"/>
  <c r="E2699" i="1"/>
  <c r="B2699" i="1"/>
  <c r="A2699" i="1"/>
  <c r="H2698" i="1"/>
  <c r="G2698" i="1"/>
  <c r="E2698" i="1"/>
  <c r="B2698" i="1"/>
  <c r="A2698" i="1"/>
  <c r="H2697" i="1"/>
  <c r="G2697" i="1"/>
  <c r="E2697" i="1"/>
  <c r="B2697" i="1"/>
  <c r="A2697" i="1"/>
  <c r="H2696" i="1"/>
  <c r="G2696" i="1"/>
  <c r="E2696" i="1"/>
  <c r="B2696" i="1"/>
  <c r="A2696" i="1"/>
  <c r="H2695" i="1"/>
  <c r="G2695" i="1"/>
  <c r="E2695" i="1"/>
  <c r="B2695" i="1"/>
  <c r="A2695" i="1"/>
  <c r="H2694" i="1"/>
  <c r="G2694" i="1"/>
  <c r="E2694" i="1"/>
  <c r="B2694" i="1"/>
  <c r="A2694" i="1"/>
  <c r="H2693" i="1"/>
  <c r="G2693" i="1"/>
  <c r="E2693" i="1"/>
  <c r="B2693" i="1"/>
  <c r="A2693" i="1"/>
  <c r="H2692" i="1"/>
  <c r="G2692" i="1"/>
  <c r="E2692" i="1"/>
  <c r="B2692" i="1"/>
  <c r="A2692" i="1"/>
  <c r="H2691" i="1"/>
  <c r="G2691" i="1"/>
  <c r="E2691" i="1"/>
  <c r="B2691" i="1"/>
  <c r="A2691" i="1"/>
  <c r="H2690" i="1"/>
  <c r="G2690" i="1"/>
  <c r="E2690" i="1"/>
  <c r="B2690" i="1"/>
  <c r="A2690" i="1"/>
  <c r="H2689" i="1"/>
  <c r="G2689" i="1"/>
  <c r="E2689" i="1"/>
  <c r="B2689" i="1"/>
  <c r="A2689" i="1"/>
  <c r="H2688" i="1"/>
  <c r="G2688" i="1"/>
  <c r="E2688" i="1"/>
  <c r="B2688" i="1"/>
  <c r="A2688" i="1"/>
  <c r="H2687" i="1"/>
  <c r="G2687" i="1"/>
  <c r="E2687" i="1"/>
  <c r="B2687" i="1"/>
  <c r="A2687" i="1"/>
  <c r="H2686" i="1"/>
  <c r="G2686" i="1"/>
  <c r="E2686" i="1"/>
  <c r="B2686" i="1"/>
  <c r="A2686" i="1"/>
  <c r="H2685" i="1"/>
  <c r="G2685" i="1"/>
  <c r="E2685" i="1"/>
  <c r="B2685" i="1"/>
  <c r="A2685" i="1"/>
  <c r="H2684" i="1"/>
  <c r="G2684" i="1"/>
  <c r="E2684" i="1"/>
  <c r="B2684" i="1"/>
  <c r="A2684" i="1"/>
  <c r="H2683" i="1"/>
  <c r="G2683" i="1"/>
  <c r="E2683" i="1"/>
  <c r="B2683" i="1"/>
  <c r="A2683" i="1"/>
  <c r="H2682" i="1"/>
  <c r="G2682" i="1"/>
  <c r="E2682" i="1"/>
  <c r="B2682" i="1"/>
  <c r="A2682" i="1"/>
  <c r="H2681" i="1"/>
  <c r="G2681" i="1"/>
  <c r="E2681" i="1"/>
  <c r="B2681" i="1"/>
  <c r="A2681" i="1"/>
  <c r="H2680" i="1"/>
  <c r="G2680" i="1"/>
  <c r="E2680" i="1"/>
  <c r="B2680" i="1"/>
  <c r="A2680" i="1"/>
  <c r="H2679" i="1"/>
  <c r="G2679" i="1"/>
  <c r="E2679" i="1"/>
  <c r="B2679" i="1"/>
  <c r="A2679" i="1"/>
  <c r="H2678" i="1"/>
  <c r="G2678" i="1"/>
  <c r="E2678" i="1"/>
  <c r="B2678" i="1"/>
  <c r="A2678" i="1"/>
  <c r="H2677" i="1"/>
  <c r="G2677" i="1"/>
  <c r="E2677" i="1"/>
  <c r="B2677" i="1"/>
  <c r="A2677" i="1"/>
  <c r="H2676" i="1"/>
  <c r="G2676" i="1"/>
  <c r="E2676" i="1"/>
  <c r="B2676" i="1"/>
  <c r="A2676" i="1"/>
  <c r="H2675" i="1"/>
  <c r="G2675" i="1"/>
  <c r="E2675" i="1"/>
  <c r="B2675" i="1"/>
  <c r="A2675" i="1"/>
  <c r="H2674" i="1"/>
  <c r="G2674" i="1"/>
  <c r="E2674" i="1"/>
  <c r="B2674" i="1"/>
  <c r="A2674" i="1"/>
  <c r="H2673" i="1"/>
  <c r="G2673" i="1"/>
  <c r="E2673" i="1"/>
  <c r="B2673" i="1"/>
  <c r="A2673" i="1"/>
  <c r="H2672" i="1"/>
  <c r="G2672" i="1"/>
  <c r="E2672" i="1"/>
  <c r="B2672" i="1"/>
  <c r="A2672" i="1"/>
  <c r="H2671" i="1"/>
  <c r="G2671" i="1"/>
  <c r="E2671" i="1"/>
  <c r="B2671" i="1"/>
  <c r="A2671" i="1"/>
  <c r="H2670" i="1"/>
  <c r="G2670" i="1"/>
  <c r="E2670" i="1"/>
  <c r="B2670" i="1"/>
  <c r="A2670" i="1"/>
  <c r="H2669" i="1"/>
  <c r="G2669" i="1"/>
  <c r="E2669" i="1"/>
  <c r="B2669" i="1"/>
  <c r="A2669" i="1"/>
  <c r="H2668" i="1"/>
  <c r="G2668" i="1"/>
  <c r="E2668" i="1"/>
  <c r="B2668" i="1"/>
  <c r="A2668" i="1"/>
  <c r="H2667" i="1"/>
  <c r="G2667" i="1"/>
  <c r="E2667" i="1"/>
  <c r="B2667" i="1"/>
  <c r="A2667" i="1"/>
  <c r="H2666" i="1"/>
  <c r="G2666" i="1"/>
  <c r="E2666" i="1"/>
  <c r="B2666" i="1"/>
  <c r="A2666" i="1"/>
  <c r="H2665" i="1"/>
  <c r="G2665" i="1"/>
  <c r="E2665" i="1"/>
  <c r="B2665" i="1"/>
  <c r="A2665" i="1"/>
  <c r="H2664" i="1"/>
  <c r="G2664" i="1"/>
  <c r="E2664" i="1"/>
  <c r="B2664" i="1"/>
  <c r="A2664" i="1"/>
  <c r="H2663" i="1"/>
  <c r="G2663" i="1"/>
  <c r="E2663" i="1"/>
  <c r="B2663" i="1"/>
  <c r="A2663" i="1"/>
  <c r="H2662" i="1"/>
  <c r="G2662" i="1"/>
  <c r="E2662" i="1"/>
  <c r="B2662" i="1"/>
  <c r="A2662" i="1"/>
  <c r="H2661" i="1"/>
  <c r="G2661" i="1"/>
  <c r="E2661" i="1"/>
  <c r="B2661" i="1"/>
  <c r="A2661" i="1"/>
  <c r="H2660" i="1"/>
  <c r="G2660" i="1"/>
  <c r="E2660" i="1"/>
  <c r="B2660" i="1"/>
  <c r="A2660" i="1"/>
  <c r="H2659" i="1"/>
  <c r="G2659" i="1"/>
  <c r="E2659" i="1"/>
  <c r="B2659" i="1"/>
  <c r="A2659" i="1"/>
  <c r="H2658" i="1"/>
  <c r="G2658" i="1"/>
  <c r="E2658" i="1"/>
  <c r="B2658" i="1"/>
  <c r="A2658" i="1"/>
  <c r="H2657" i="1"/>
  <c r="G2657" i="1"/>
  <c r="E2657" i="1"/>
  <c r="B2657" i="1"/>
  <c r="A2657" i="1"/>
  <c r="H2656" i="1"/>
  <c r="G2656" i="1"/>
  <c r="E2656" i="1"/>
  <c r="B2656" i="1"/>
  <c r="A2656" i="1"/>
  <c r="H2655" i="1"/>
  <c r="G2655" i="1"/>
  <c r="E2655" i="1"/>
  <c r="B2655" i="1"/>
  <c r="A2655" i="1"/>
  <c r="H2654" i="1"/>
  <c r="G2654" i="1"/>
  <c r="E2654" i="1"/>
  <c r="B2654" i="1"/>
  <c r="A2654" i="1"/>
  <c r="H2653" i="1"/>
  <c r="G2653" i="1"/>
  <c r="E2653" i="1"/>
  <c r="B2653" i="1"/>
  <c r="A2653" i="1"/>
  <c r="H2652" i="1"/>
  <c r="G2652" i="1"/>
  <c r="E2652" i="1"/>
  <c r="B2652" i="1"/>
  <c r="A2652" i="1"/>
  <c r="H2651" i="1"/>
  <c r="G2651" i="1"/>
  <c r="E2651" i="1"/>
  <c r="B2651" i="1"/>
  <c r="A2651" i="1"/>
  <c r="H2650" i="1"/>
  <c r="G2650" i="1"/>
  <c r="E2650" i="1"/>
  <c r="B2650" i="1"/>
  <c r="A2650" i="1"/>
  <c r="H2649" i="1"/>
  <c r="G2649" i="1"/>
  <c r="E2649" i="1"/>
  <c r="B2649" i="1"/>
  <c r="A2649" i="1"/>
  <c r="H2648" i="1"/>
  <c r="G2648" i="1"/>
  <c r="E2648" i="1"/>
  <c r="B2648" i="1"/>
  <c r="A2648" i="1"/>
  <c r="H2647" i="1"/>
  <c r="G2647" i="1"/>
  <c r="E2647" i="1"/>
  <c r="B2647" i="1"/>
  <c r="A2647" i="1"/>
  <c r="H2646" i="1"/>
  <c r="G2646" i="1"/>
  <c r="E2646" i="1"/>
  <c r="B2646" i="1"/>
  <c r="A2646" i="1"/>
  <c r="H2645" i="1"/>
  <c r="G2645" i="1"/>
  <c r="E2645" i="1"/>
  <c r="B2645" i="1"/>
  <c r="A2645" i="1"/>
  <c r="H2644" i="1"/>
  <c r="G2644" i="1"/>
  <c r="E2644" i="1"/>
  <c r="B2644" i="1"/>
  <c r="A2644" i="1"/>
  <c r="H2643" i="1"/>
  <c r="G2643" i="1"/>
  <c r="E2643" i="1"/>
  <c r="B2643" i="1"/>
  <c r="A2643" i="1"/>
  <c r="H2642" i="1"/>
  <c r="G2642" i="1"/>
  <c r="E2642" i="1"/>
  <c r="B2642" i="1"/>
  <c r="A2642" i="1"/>
  <c r="H2641" i="1"/>
  <c r="G2641" i="1"/>
  <c r="E2641" i="1"/>
  <c r="B2641" i="1"/>
  <c r="A2641" i="1"/>
  <c r="H2640" i="1"/>
  <c r="G2640" i="1"/>
  <c r="E2640" i="1"/>
  <c r="B2640" i="1"/>
  <c r="A2640" i="1"/>
  <c r="H2639" i="1"/>
  <c r="G2639" i="1"/>
  <c r="E2639" i="1"/>
  <c r="B2639" i="1"/>
  <c r="A2639" i="1"/>
  <c r="H2638" i="1"/>
  <c r="G2638" i="1"/>
  <c r="E2638" i="1"/>
  <c r="B2638" i="1"/>
  <c r="A2638" i="1"/>
  <c r="H2637" i="1"/>
  <c r="G2637" i="1"/>
  <c r="E2637" i="1"/>
  <c r="B2637" i="1"/>
  <c r="A2637" i="1"/>
  <c r="H2636" i="1"/>
  <c r="G2636" i="1"/>
  <c r="E2636" i="1"/>
  <c r="B2636" i="1"/>
  <c r="A2636" i="1"/>
  <c r="H2635" i="1"/>
  <c r="G2635" i="1"/>
  <c r="E2635" i="1"/>
  <c r="B2635" i="1"/>
  <c r="A2635" i="1"/>
  <c r="H2634" i="1"/>
  <c r="G2634" i="1"/>
  <c r="E2634" i="1"/>
  <c r="B2634" i="1"/>
  <c r="A2634" i="1"/>
  <c r="H2633" i="1"/>
  <c r="G2633" i="1"/>
  <c r="E2633" i="1"/>
  <c r="B2633" i="1"/>
  <c r="A2633" i="1"/>
  <c r="H2632" i="1"/>
  <c r="G2632" i="1"/>
  <c r="E2632" i="1"/>
  <c r="B2632" i="1"/>
  <c r="A2632" i="1"/>
  <c r="H2631" i="1"/>
  <c r="G2631" i="1"/>
  <c r="E2631" i="1"/>
  <c r="B2631" i="1"/>
  <c r="A2631" i="1"/>
  <c r="H2630" i="1"/>
  <c r="G2630" i="1"/>
  <c r="E2630" i="1"/>
  <c r="B2630" i="1"/>
  <c r="A2630" i="1"/>
  <c r="H2629" i="1"/>
  <c r="G2629" i="1"/>
  <c r="E2629" i="1"/>
  <c r="B2629" i="1"/>
  <c r="A2629" i="1"/>
  <c r="H2628" i="1"/>
  <c r="G2628" i="1"/>
  <c r="E2628" i="1"/>
  <c r="B2628" i="1"/>
  <c r="A2628" i="1"/>
  <c r="H2627" i="1"/>
  <c r="G2627" i="1"/>
  <c r="E2627" i="1"/>
  <c r="B2627" i="1"/>
  <c r="A2627" i="1"/>
  <c r="H2626" i="1"/>
  <c r="G2626" i="1"/>
  <c r="E2626" i="1"/>
  <c r="B2626" i="1"/>
  <c r="A2626" i="1"/>
  <c r="H2625" i="1"/>
  <c r="G2625" i="1"/>
  <c r="E2625" i="1"/>
  <c r="B2625" i="1"/>
  <c r="A2625" i="1"/>
  <c r="H2624" i="1"/>
  <c r="G2624" i="1"/>
  <c r="E2624" i="1"/>
  <c r="B2624" i="1"/>
  <c r="A2624" i="1"/>
  <c r="H2623" i="1"/>
  <c r="G2623" i="1"/>
  <c r="E2623" i="1"/>
  <c r="B2623" i="1"/>
  <c r="A2623" i="1"/>
  <c r="H2622" i="1"/>
  <c r="G2622" i="1"/>
  <c r="E2622" i="1"/>
  <c r="B2622" i="1"/>
  <c r="A2622" i="1"/>
  <c r="H2621" i="1"/>
  <c r="G2621" i="1"/>
  <c r="E2621" i="1"/>
  <c r="B2621" i="1"/>
  <c r="A2621" i="1"/>
  <c r="H2620" i="1"/>
  <c r="G2620" i="1"/>
  <c r="E2620" i="1"/>
  <c r="B2620" i="1"/>
  <c r="A2620" i="1"/>
  <c r="H2619" i="1"/>
  <c r="G2619" i="1"/>
  <c r="E2619" i="1"/>
  <c r="B2619" i="1"/>
  <c r="A2619" i="1"/>
  <c r="H2618" i="1"/>
  <c r="G2618" i="1"/>
  <c r="E2618" i="1"/>
  <c r="B2618" i="1"/>
  <c r="A2618" i="1"/>
  <c r="H2617" i="1"/>
  <c r="G2617" i="1"/>
  <c r="E2617" i="1"/>
  <c r="B2617" i="1"/>
  <c r="A2617" i="1"/>
  <c r="H2616" i="1"/>
  <c r="G2616" i="1"/>
  <c r="E2616" i="1"/>
  <c r="B2616" i="1"/>
  <c r="A2616" i="1"/>
  <c r="H2615" i="1"/>
  <c r="G2615" i="1"/>
  <c r="E2615" i="1"/>
  <c r="B2615" i="1"/>
  <c r="A2615" i="1"/>
  <c r="H2614" i="1"/>
  <c r="G2614" i="1"/>
  <c r="E2614" i="1"/>
  <c r="B2614" i="1"/>
  <c r="A2614" i="1"/>
  <c r="H2613" i="1"/>
  <c r="G2613" i="1"/>
  <c r="E2613" i="1"/>
  <c r="B2613" i="1"/>
  <c r="A2613" i="1"/>
  <c r="H2612" i="1"/>
  <c r="G2612" i="1"/>
  <c r="E2612" i="1"/>
  <c r="B2612" i="1"/>
  <c r="A2612" i="1"/>
  <c r="H2611" i="1"/>
  <c r="G2611" i="1"/>
  <c r="E2611" i="1"/>
  <c r="B2611" i="1"/>
  <c r="A2611" i="1"/>
  <c r="H2610" i="1"/>
  <c r="G2610" i="1"/>
  <c r="E2610" i="1"/>
  <c r="B2610" i="1"/>
  <c r="A2610" i="1"/>
  <c r="H2609" i="1"/>
  <c r="G2609" i="1"/>
  <c r="E2609" i="1"/>
  <c r="B2609" i="1"/>
  <c r="A2609" i="1"/>
  <c r="H2608" i="1"/>
  <c r="G2608" i="1"/>
  <c r="E2608" i="1"/>
  <c r="B2608" i="1"/>
  <c r="A2608" i="1"/>
  <c r="H2607" i="1"/>
  <c r="G2607" i="1"/>
  <c r="E2607" i="1"/>
  <c r="B2607" i="1"/>
  <c r="A2607" i="1"/>
  <c r="H2606" i="1"/>
  <c r="G2606" i="1"/>
  <c r="E2606" i="1"/>
  <c r="B2606" i="1"/>
  <c r="A2606" i="1"/>
  <c r="H2605" i="1"/>
  <c r="G2605" i="1"/>
  <c r="E2605" i="1"/>
  <c r="B2605" i="1"/>
  <c r="A2605" i="1"/>
  <c r="H2604" i="1"/>
  <c r="G2604" i="1"/>
  <c r="E2604" i="1"/>
  <c r="B2604" i="1"/>
  <c r="A2604" i="1"/>
  <c r="H2603" i="1"/>
  <c r="G2603" i="1"/>
  <c r="E2603" i="1"/>
  <c r="B2603" i="1"/>
  <c r="A2603" i="1"/>
  <c r="H2602" i="1"/>
  <c r="G2602" i="1"/>
  <c r="E2602" i="1"/>
  <c r="B2602" i="1"/>
  <c r="A2602" i="1"/>
  <c r="H2601" i="1"/>
  <c r="G2601" i="1"/>
  <c r="E2601" i="1"/>
  <c r="B2601" i="1"/>
  <c r="A2601" i="1"/>
  <c r="H2600" i="1"/>
  <c r="G2600" i="1"/>
  <c r="E2600" i="1"/>
  <c r="B2600" i="1"/>
  <c r="A2600" i="1"/>
  <c r="H2599" i="1"/>
  <c r="G2599" i="1"/>
  <c r="E2599" i="1"/>
  <c r="B2599" i="1"/>
  <c r="A2599" i="1"/>
  <c r="H2598" i="1"/>
  <c r="G2598" i="1"/>
  <c r="E2598" i="1"/>
  <c r="B2598" i="1"/>
  <c r="A2598" i="1"/>
  <c r="H2597" i="1"/>
  <c r="G2597" i="1"/>
  <c r="E2597" i="1"/>
  <c r="B2597" i="1"/>
  <c r="A2597" i="1"/>
  <c r="H2596" i="1"/>
  <c r="G2596" i="1"/>
  <c r="E2596" i="1"/>
  <c r="B2596" i="1"/>
  <c r="A2596" i="1"/>
  <c r="H2595" i="1"/>
  <c r="G2595" i="1"/>
  <c r="E2595" i="1"/>
  <c r="B2595" i="1"/>
  <c r="A2595" i="1"/>
  <c r="H2594" i="1"/>
  <c r="G2594" i="1"/>
  <c r="E2594" i="1"/>
  <c r="B2594" i="1"/>
  <c r="A2594" i="1"/>
  <c r="H2593" i="1"/>
  <c r="G2593" i="1"/>
  <c r="E2593" i="1"/>
  <c r="B2593" i="1"/>
  <c r="A2593" i="1"/>
  <c r="H2592" i="1"/>
  <c r="G2592" i="1"/>
  <c r="E2592" i="1"/>
  <c r="B2592" i="1"/>
  <c r="A2592" i="1"/>
  <c r="H2591" i="1"/>
  <c r="G2591" i="1"/>
  <c r="E2591" i="1"/>
  <c r="B2591" i="1"/>
  <c r="A2591" i="1"/>
  <c r="H2590" i="1"/>
  <c r="G2590" i="1"/>
  <c r="E2590" i="1"/>
  <c r="B2590" i="1"/>
  <c r="A2590" i="1"/>
  <c r="H2589" i="1"/>
  <c r="G2589" i="1"/>
  <c r="E2589" i="1"/>
  <c r="B2589" i="1"/>
  <c r="A2589" i="1"/>
  <c r="H2588" i="1"/>
  <c r="G2588" i="1"/>
  <c r="E2588" i="1"/>
  <c r="B2588" i="1"/>
  <c r="A2588" i="1"/>
  <c r="H2587" i="1"/>
  <c r="G2587" i="1"/>
  <c r="E2587" i="1"/>
  <c r="B2587" i="1"/>
  <c r="A2587" i="1"/>
  <c r="H2586" i="1"/>
  <c r="G2586" i="1"/>
  <c r="E2586" i="1"/>
  <c r="B2586" i="1"/>
  <c r="A2586" i="1"/>
  <c r="H2585" i="1"/>
  <c r="G2585" i="1"/>
  <c r="E2585" i="1"/>
  <c r="B2585" i="1"/>
  <c r="A2585" i="1"/>
  <c r="H2584" i="1"/>
  <c r="G2584" i="1"/>
  <c r="E2584" i="1"/>
  <c r="B2584" i="1"/>
  <c r="A2584" i="1"/>
  <c r="H2583" i="1"/>
  <c r="G2583" i="1"/>
  <c r="E2583" i="1"/>
  <c r="B2583" i="1"/>
  <c r="A2583" i="1"/>
  <c r="H2582" i="1"/>
  <c r="G2582" i="1"/>
  <c r="E2582" i="1"/>
  <c r="B2582" i="1"/>
  <c r="A2582" i="1"/>
  <c r="H2581" i="1"/>
  <c r="G2581" i="1"/>
  <c r="E2581" i="1"/>
  <c r="B2581" i="1"/>
  <c r="A2581" i="1"/>
  <c r="H2580" i="1"/>
  <c r="G2580" i="1"/>
  <c r="E2580" i="1"/>
  <c r="B2580" i="1"/>
  <c r="A2580" i="1"/>
  <c r="H2579" i="1"/>
  <c r="G2579" i="1"/>
  <c r="E2579" i="1"/>
  <c r="B2579" i="1"/>
  <c r="A2579" i="1"/>
  <c r="H2578" i="1"/>
  <c r="G2578" i="1"/>
  <c r="E2578" i="1"/>
  <c r="B2578" i="1"/>
  <c r="A2578" i="1"/>
  <c r="H2577" i="1"/>
  <c r="G2577" i="1"/>
  <c r="E2577" i="1"/>
  <c r="B2577" i="1"/>
  <c r="A2577" i="1"/>
  <c r="H2576" i="1"/>
  <c r="G2576" i="1"/>
  <c r="E2576" i="1"/>
  <c r="B2576" i="1"/>
  <c r="A2576" i="1"/>
  <c r="H2575" i="1"/>
  <c r="G2575" i="1"/>
  <c r="E2575" i="1"/>
  <c r="B2575" i="1"/>
  <c r="A2575" i="1"/>
  <c r="H2574" i="1"/>
  <c r="G2574" i="1"/>
  <c r="E2574" i="1"/>
  <c r="B2574" i="1"/>
  <c r="A2574" i="1"/>
  <c r="H2573" i="1"/>
  <c r="G2573" i="1"/>
  <c r="E2573" i="1"/>
  <c r="B2573" i="1"/>
  <c r="A2573" i="1"/>
  <c r="H2572" i="1"/>
  <c r="G2572" i="1"/>
  <c r="E2572" i="1"/>
  <c r="B2572" i="1"/>
  <c r="A2572" i="1"/>
  <c r="H2571" i="1"/>
  <c r="G2571" i="1"/>
  <c r="E2571" i="1"/>
  <c r="B2571" i="1"/>
  <c r="A2571" i="1"/>
  <c r="H2570" i="1"/>
  <c r="G2570" i="1"/>
  <c r="E2570" i="1"/>
  <c r="B2570" i="1"/>
  <c r="A2570" i="1"/>
  <c r="H2569" i="1"/>
  <c r="G2569" i="1"/>
  <c r="E2569" i="1"/>
  <c r="B2569" i="1"/>
  <c r="A2569" i="1"/>
  <c r="H2568" i="1"/>
  <c r="G2568" i="1"/>
  <c r="E2568" i="1"/>
  <c r="B2568" i="1"/>
  <c r="A2568" i="1"/>
  <c r="H2567" i="1"/>
  <c r="G2567" i="1"/>
  <c r="E2567" i="1"/>
  <c r="B2567" i="1"/>
  <c r="A2567" i="1"/>
  <c r="H2566" i="1"/>
  <c r="G2566" i="1"/>
  <c r="E2566" i="1"/>
  <c r="B2566" i="1"/>
  <c r="A2566" i="1"/>
  <c r="H2565" i="1"/>
  <c r="G2565" i="1"/>
  <c r="E2565" i="1"/>
  <c r="B2565" i="1"/>
  <c r="A2565" i="1"/>
  <c r="H2564" i="1"/>
  <c r="G2564" i="1"/>
  <c r="E2564" i="1"/>
  <c r="B2564" i="1"/>
  <c r="A2564" i="1"/>
  <c r="H2563" i="1"/>
  <c r="G2563" i="1"/>
  <c r="E2563" i="1"/>
  <c r="B2563" i="1"/>
  <c r="A2563" i="1"/>
  <c r="H2562" i="1"/>
  <c r="G2562" i="1"/>
  <c r="E2562" i="1"/>
  <c r="B2562" i="1"/>
  <c r="A2562" i="1"/>
  <c r="H2561" i="1"/>
  <c r="G2561" i="1"/>
  <c r="E2561" i="1"/>
  <c r="B2561" i="1"/>
  <c r="A2561" i="1"/>
  <c r="H2560" i="1"/>
  <c r="G2560" i="1"/>
  <c r="E2560" i="1"/>
  <c r="B2560" i="1"/>
  <c r="A2560" i="1"/>
  <c r="H2559" i="1"/>
  <c r="G2559" i="1"/>
  <c r="E2559" i="1"/>
  <c r="B2559" i="1"/>
  <c r="A2559" i="1"/>
  <c r="H2558" i="1"/>
  <c r="G2558" i="1"/>
  <c r="E2558" i="1"/>
  <c r="B2558" i="1"/>
  <c r="A2558" i="1"/>
  <c r="H2557" i="1"/>
  <c r="G2557" i="1"/>
  <c r="E2557" i="1"/>
  <c r="B2557" i="1"/>
  <c r="A2557" i="1"/>
  <c r="H2556" i="1"/>
  <c r="G2556" i="1"/>
  <c r="E2556" i="1"/>
  <c r="B2556" i="1"/>
  <c r="A2556" i="1"/>
  <c r="H2555" i="1"/>
  <c r="G2555" i="1"/>
  <c r="E2555" i="1"/>
  <c r="B2555" i="1"/>
  <c r="A2555" i="1"/>
  <c r="H2554" i="1"/>
  <c r="G2554" i="1"/>
  <c r="E2554" i="1"/>
  <c r="B2554" i="1"/>
  <c r="A2554" i="1"/>
  <c r="H2553" i="1"/>
  <c r="G2553" i="1"/>
  <c r="E2553" i="1"/>
  <c r="B2553" i="1"/>
  <c r="A2553" i="1"/>
  <c r="H2552" i="1"/>
  <c r="G2552" i="1"/>
  <c r="E2552" i="1"/>
  <c r="B2552" i="1"/>
  <c r="A2552" i="1"/>
  <c r="H2551" i="1"/>
  <c r="G2551" i="1"/>
  <c r="E2551" i="1"/>
  <c r="B2551" i="1"/>
  <c r="A2551" i="1"/>
  <c r="H2550" i="1"/>
  <c r="G2550" i="1"/>
  <c r="E2550" i="1"/>
  <c r="B2550" i="1"/>
  <c r="A2550" i="1"/>
  <c r="H2549" i="1"/>
  <c r="G2549" i="1"/>
  <c r="E2549" i="1"/>
  <c r="B2549" i="1"/>
  <c r="A2549" i="1"/>
  <c r="H2548" i="1"/>
  <c r="G2548" i="1"/>
  <c r="E2548" i="1"/>
  <c r="B2548" i="1"/>
  <c r="A2548" i="1"/>
  <c r="H2547" i="1"/>
  <c r="G2547" i="1"/>
  <c r="E2547" i="1"/>
  <c r="B2547" i="1"/>
  <c r="A2547" i="1"/>
  <c r="H2546" i="1"/>
  <c r="G2546" i="1"/>
  <c r="E2546" i="1"/>
  <c r="B2546" i="1"/>
  <c r="A2546" i="1"/>
  <c r="H2545" i="1"/>
  <c r="G2545" i="1"/>
  <c r="E2545" i="1"/>
  <c r="B2545" i="1"/>
  <c r="A2545" i="1"/>
  <c r="H2544" i="1"/>
  <c r="G2544" i="1"/>
  <c r="E2544" i="1"/>
  <c r="B2544" i="1"/>
  <c r="A2544" i="1"/>
  <c r="H2543" i="1"/>
  <c r="G2543" i="1"/>
  <c r="E2543" i="1"/>
  <c r="B2543" i="1"/>
  <c r="A2543" i="1"/>
  <c r="H2542" i="1"/>
  <c r="G2542" i="1"/>
  <c r="E2542" i="1"/>
  <c r="B2542" i="1"/>
  <c r="A2542" i="1"/>
  <c r="H2541" i="1"/>
  <c r="G2541" i="1"/>
  <c r="E2541" i="1"/>
  <c r="B2541" i="1"/>
  <c r="A2541" i="1"/>
  <c r="H2540" i="1"/>
  <c r="G2540" i="1"/>
  <c r="E2540" i="1"/>
  <c r="B2540" i="1"/>
  <c r="A2540" i="1"/>
  <c r="H2539" i="1"/>
  <c r="G2539" i="1"/>
  <c r="E2539" i="1"/>
  <c r="B2539" i="1"/>
  <c r="A2539" i="1"/>
  <c r="H2538" i="1"/>
  <c r="G2538" i="1"/>
  <c r="E2538" i="1"/>
  <c r="B2538" i="1"/>
  <c r="A2538" i="1"/>
  <c r="H2537" i="1"/>
  <c r="G2537" i="1"/>
  <c r="E2537" i="1"/>
  <c r="B2537" i="1"/>
  <c r="A2537" i="1"/>
  <c r="H2536" i="1"/>
  <c r="G2536" i="1"/>
  <c r="E2536" i="1"/>
  <c r="B2536" i="1"/>
  <c r="A2536" i="1"/>
  <c r="H2535" i="1"/>
  <c r="G2535" i="1"/>
  <c r="E2535" i="1"/>
  <c r="B2535" i="1"/>
  <c r="A2535" i="1"/>
  <c r="H2534" i="1"/>
  <c r="G2534" i="1"/>
  <c r="E2534" i="1"/>
  <c r="B2534" i="1"/>
  <c r="A2534" i="1"/>
  <c r="H2533" i="1"/>
  <c r="G2533" i="1"/>
  <c r="E2533" i="1"/>
  <c r="B2533" i="1"/>
  <c r="A2533" i="1"/>
  <c r="H2532" i="1"/>
  <c r="G2532" i="1"/>
  <c r="E2532" i="1"/>
  <c r="B2532" i="1"/>
  <c r="A2532" i="1"/>
  <c r="H2531" i="1"/>
  <c r="G2531" i="1"/>
  <c r="E2531" i="1"/>
  <c r="B2531" i="1"/>
  <c r="A2531" i="1"/>
  <c r="H2530" i="1"/>
  <c r="G2530" i="1"/>
  <c r="E2530" i="1"/>
  <c r="B2530" i="1"/>
  <c r="A2530" i="1"/>
  <c r="H2529" i="1"/>
  <c r="G2529" i="1"/>
  <c r="E2529" i="1"/>
  <c r="B2529" i="1"/>
  <c r="A2529" i="1"/>
  <c r="H2528" i="1"/>
  <c r="G2528" i="1"/>
  <c r="E2528" i="1"/>
  <c r="B2528" i="1"/>
  <c r="A2528" i="1"/>
  <c r="H2527" i="1"/>
  <c r="G2527" i="1"/>
  <c r="E2527" i="1"/>
  <c r="B2527" i="1"/>
  <c r="A2527" i="1"/>
  <c r="H2526" i="1"/>
  <c r="G2526" i="1"/>
  <c r="E2526" i="1"/>
  <c r="B2526" i="1"/>
  <c r="A2526" i="1"/>
  <c r="H2525" i="1"/>
  <c r="G2525" i="1"/>
  <c r="E2525" i="1"/>
  <c r="B2525" i="1"/>
  <c r="A2525" i="1"/>
  <c r="H2524" i="1"/>
  <c r="G2524" i="1"/>
  <c r="E2524" i="1"/>
  <c r="B2524" i="1"/>
  <c r="A2524" i="1"/>
  <c r="H2523" i="1"/>
  <c r="G2523" i="1"/>
  <c r="E2523" i="1"/>
  <c r="B2523" i="1"/>
  <c r="A2523" i="1"/>
  <c r="H2522" i="1"/>
  <c r="G2522" i="1"/>
  <c r="E2522" i="1"/>
  <c r="B2522" i="1"/>
  <c r="A2522" i="1"/>
  <c r="H2521" i="1"/>
  <c r="G2521" i="1"/>
  <c r="E2521" i="1"/>
  <c r="B2521" i="1"/>
  <c r="A2521" i="1"/>
  <c r="H2520" i="1"/>
  <c r="G2520" i="1"/>
  <c r="E2520" i="1"/>
  <c r="B2520" i="1"/>
  <c r="A2520" i="1"/>
  <c r="H2519" i="1"/>
  <c r="G2519" i="1"/>
  <c r="E2519" i="1"/>
  <c r="B2519" i="1"/>
  <c r="A2519" i="1"/>
  <c r="H2518" i="1"/>
  <c r="G2518" i="1"/>
  <c r="E2518" i="1"/>
  <c r="B2518" i="1"/>
  <c r="A2518" i="1"/>
  <c r="H2517" i="1"/>
  <c r="G2517" i="1"/>
  <c r="E2517" i="1"/>
  <c r="B2517" i="1"/>
  <c r="A2517" i="1"/>
  <c r="H2516" i="1"/>
  <c r="G2516" i="1"/>
  <c r="E2516" i="1"/>
  <c r="B2516" i="1"/>
  <c r="A2516" i="1"/>
  <c r="H2515" i="1"/>
  <c r="G2515" i="1"/>
  <c r="E2515" i="1"/>
  <c r="B2515" i="1"/>
  <c r="A2515" i="1"/>
  <c r="H2514" i="1"/>
  <c r="G2514" i="1"/>
  <c r="E2514" i="1"/>
  <c r="B2514" i="1"/>
  <c r="A2514" i="1"/>
  <c r="H2513" i="1"/>
  <c r="G2513" i="1"/>
  <c r="E2513" i="1"/>
  <c r="B2513" i="1"/>
  <c r="A2513" i="1"/>
  <c r="H2512" i="1"/>
  <c r="G2512" i="1"/>
  <c r="E2512" i="1"/>
  <c r="B2512" i="1"/>
  <c r="A2512" i="1"/>
  <c r="H2511" i="1"/>
  <c r="G2511" i="1"/>
  <c r="E2511" i="1"/>
  <c r="B2511" i="1"/>
  <c r="A2511" i="1"/>
  <c r="H2510" i="1"/>
  <c r="G2510" i="1"/>
  <c r="E2510" i="1"/>
  <c r="B2510" i="1"/>
  <c r="A2510" i="1"/>
  <c r="H2509" i="1"/>
  <c r="G2509" i="1"/>
  <c r="E2509" i="1"/>
  <c r="B2509" i="1"/>
  <c r="A2509" i="1"/>
  <c r="H2508" i="1"/>
  <c r="G2508" i="1"/>
  <c r="E2508" i="1"/>
  <c r="B2508" i="1"/>
  <c r="A2508" i="1"/>
  <c r="H2507" i="1"/>
  <c r="G2507" i="1"/>
  <c r="E2507" i="1"/>
  <c r="B2507" i="1"/>
  <c r="A2507" i="1"/>
  <c r="H2506" i="1"/>
  <c r="G2506" i="1"/>
  <c r="E2506" i="1"/>
  <c r="B2506" i="1"/>
  <c r="A2506" i="1"/>
  <c r="H2505" i="1"/>
  <c r="G2505" i="1"/>
  <c r="E2505" i="1"/>
  <c r="B2505" i="1"/>
  <c r="A2505" i="1"/>
  <c r="H2504" i="1"/>
  <c r="G2504" i="1"/>
  <c r="E2504" i="1"/>
  <c r="B2504" i="1"/>
  <c r="A2504" i="1"/>
  <c r="H2503" i="1"/>
  <c r="G2503" i="1"/>
  <c r="E2503" i="1"/>
  <c r="B2503" i="1"/>
  <c r="A2503" i="1"/>
  <c r="H2502" i="1"/>
  <c r="G2502" i="1"/>
  <c r="E2502" i="1"/>
  <c r="B2502" i="1"/>
  <c r="A2502" i="1"/>
  <c r="H2501" i="1"/>
  <c r="G2501" i="1"/>
  <c r="E2501" i="1"/>
  <c r="B2501" i="1"/>
  <c r="A2501" i="1"/>
  <c r="H2500" i="1"/>
  <c r="G2500" i="1"/>
  <c r="E2500" i="1"/>
  <c r="B2500" i="1"/>
  <c r="A2500" i="1"/>
  <c r="H2499" i="1"/>
  <c r="G2499" i="1"/>
  <c r="E2499" i="1"/>
  <c r="B2499" i="1"/>
  <c r="A2499" i="1"/>
  <c r="H2498" i="1"/>
  <c r="G2498" i="1"/>
  <c r="E2498" i="1"/>
  <c r="B2498" i="1"/>
  <c r="A2498" i="1"/>
  <c r="H2497" i="1"/>
  <c r="G2497" i="1"/>
  <c r="E2497" i="1"/>
  <c r="B2497" i="1"/>
  <c r="A2497" i="1"/>
  <c r="H2496" i="1"/>
  <c r="G2496" i="1"/>
  <c r="E2496" i="1"/>
  <c r="B2496" i="1"/>
  <c r="A2496" i="1"/>
  <c r="H2495" i="1"/>
  <c r="G2495" i="1"/>
  <c r="E2495" i="1"/>
  <c r="B2495" i="1"/>
  <c r="A2495" i="1"/>
  <c r="H2494" i="1"/>
  <c r="G2494" i="1"/>
  <c r="E2494" i="1"/>
  <c r="B2494" i="1"/>
  <c r="A2494" i="1"/>
  <c r="H2493" i="1"/>
  <c r="G2493" i="1"/>
  <c r="E2493" i="1"/>
  <c r="B2493" i="1"/>
  <c r="A2493" i="1"/>
  <c r="H2492" i="1"/>
  <c r="G2492" i="1"/>
  <c r="E2492" i="1"/>
  <c r="B2492" i="1"/>
  <c r="A2492" i="1"/>
  <c r="H2491" i="1"/>
  <c r="G2491" i="1"/>
  <c r="E2491" i="1"/>
  <c r="B2491" i="1"/>
  <c r="A2491" i="1"/>
  <c r="H2490" i="1"/>
  <c r="G2490" i="1"/>
  <c r="E2490" i="1"/>
  <c r="B2490" i="1"/>
  <c r="A2490" i="1"/>
  <c r="H2489" i="1"/>
  <c r="G2489" i="1"/>
  <c r="E2489" i="1"/>
  <c r="B2489" i="1"/>
  <c r="A2489" i="1"/>
  <c r="H2488" i="1"/>
  <c r="G2488" i="1"/>
  <c r="E2488" i="1"/>
  <c r="B2488" i="1"/>
  <c r="A2488" i="1"/>
  <c r="H2487" i="1"/>
  <c r="G2487" i="1"/>
  <c r="E2487" i="1"/>
  <c r="B2487" i="1"/>
  <c r="A2487" i="1"/>
  <c r="H2486" i="1"/>
  <c r="G2486" i="1"/>
  <c r="E2486" i="1"/>
  <c r="B2486" i="1"/>
  <c r="A2486" i="1"/>
  <c r="H2485" i="1"/>
  <c r="G2485" i="1"/>
  <c r="E2485" i="1"/>
  <c r="B2485" i="1"/>
  <c r="A2485" i="1"/>
  <c r="H2484" i="1"/>
  <c r="G2484" i="1"/>
  <c r="E2484" i="1"/>
  <c r="B2484" i="1"/>
  <c r="A2484" i="1"/>
  <c r="H2483" i="1"/>
  <c r="G2483" i="1"/>
  <c r="E2483" i="1"/>
  <c r="B2483" i="1"/>
  <c r="A2483" i="1"/>
  <c r="H2482" i="1"/>
  <c r="G2482" i="1"/>
  <c r="E2482" i="1"/>
  <c r="B2482" i="1"/>
  <c r="A2482" i="1"/>
  <c r="H2481" i="1"/>
  <c r="G2481" i="1"/>
  <c r="E2481" i="1"/>
  <c r="B2481" i="1"/>
  <c r="A2481" i="1"/>
  <c r="H2480" i="1"/>
  <c r="G2480" i="1"/>
  <c r="E2480" i="1"/>
  <c r="B2480" i="1"/>
  <c r="A2480" i="1"/>
  <c r="H2479" i="1"/>
  <c r="G2479" i="1"/>
  <c r="E2479" i="1"/>
  <c r="B2479" i="1"/>
  <c r="A2479" i="1"/>
  <c r="H2478" i="1"/>
  <c r="G2478" i="1"/>
  <c r="E2478" i="1"/>
  <c r="B2478" i="1"/>
  <c r="A2478" i="1"/>
  <c r="H2477" i="1"/>
  <c r="G2477" i="1"/>
  <c r="E2477" i="1"/>
  <c r="B2477" i="1"/>
  <c r="A2477" i="1"/>
  <c r="H2476" i="1"/>
  <c r="G2476" i="1"/>
  <c r="E2476" i="1"/>
  <c r="B2476" i="1"/>
  <c r="A2476" i="1"/>
  <c r="H2475" i="1"/>
  <c r="G2475" i="1"/>
  <c r="E2475" i="1"/>
  <c r="B2475" i="1"/>
  <c r="A2475" i="1"/>
  <c r="H2474" i="1"/>
  <c r="G2474" i="1"/>
  <c r="E2474" i="1"/>
  <c r="B2474" i="1"/>
  <c r="A2474" i="1"/>
  <c r="H2473" i="1"/>
  <c r="G2473" i="1"/>
  <c r="E2473" i="1"/>
  <c r="B2473" i="1"/>
  <c r="A2473" i="1"/>
  <c r="H2472" i="1"/>
  <c r="G2472" i="1"/>
  <c r="E2472" i="1"/>
  <c r="B2472" i="1"/>
  <c r="A2472" i="1"/>
  <c r="H2471" i="1"/>
  <c r="G2471" i="1"/>
  <c r="E2471" i="1"/>
  <c r="B2471" i="1"/>
  <c r="A2471" i="1"/>
  <c r="H2470" i="1"/>
  <c r="G2470" i="1"/>
  <c r="E2470" i="1"/>
  <c r="B2470" i="1"/>
  <c r="A2470" i="1"/>
  <c r="H2469" i="1"/>
  <c r="G2469" i="1"/>
  <c r="E2469" i="1"/>
  <c r="B2469" i="1"/>
  <c r="A2469" i="1"/>
  <c r="H2468" i="1"/>
  <c r="G2468" i="1"/>
  <c r="E2468" i="1"/>
  <c r="B2468" i="1"/>
  <c r="A2468" i="1"/>
  <c r="H2467" i="1"/>
  <c r="G2467" i="1"/>
  <c r="E2467" i="1"/>
  <c r="B2467" i="1"/>
  <c r="A2467" i="1"/>
  <c r="H2466" i="1"/>
  <c r="G2466" i="1"/>
  <c r="E2466" i="1"/>
  <c r="B2466" i="1"/>
  <c r="A2466" i="1"/>
  <c r="H2465" i="1"/>
  <c r="G2465" i="1"/>
  <c r="E2465" i="1"/>
  <c r="B2465" i="1"/>
  <c r="A2465" i="1"/>
  <c r="H2464" i="1"/>
  <c r="G2464" i="1"/>
  <c r="E2464" i="1"/>
  <c r="B2464" i="1"/>
  <c r="A2464" i="1"/>
  <c r="H2463" i="1"/>
  <c r="G2463" i="1"/>
  <c r="E2463" i="1"/>
  <c r="B2463" i="1"/>
  <c r="A2463" i="1"/>
  <c r="H2462" i="1"/>
  <c r="G2462" i="1"/>
  <c r="E2462" i="1"/>
  <c r="B2462" i="1"/>
  <c r="A2462" i="1"/>
  <c r="H2461" i="1"/>
  <c r="G2461" i="1"/>
  <c r="E2461" i="1"/>
  <c r="B2461" i="1"/>
  <c r="A2461" i="1"/>
  <c r="H2460" i="1"/>
  <c r="G2460" i="1"/>
  <c r="E2460" i="1"/>
  <c r="B2460" i="1"/>
  <c r="A2460" i="1"/>
  <c r="H2459" i="1"/>
  <c r="G2459" i="1"/>
  <c r="E2459" i="1"/>
  <c r="B2459" i="1"/>
  <c r="A2459" i="1"/>
  <c r="H2458" i="1"/>
  <c r="G2458" i="1"/>
  <c r="E2458" i="1"/>
  <c r="B2458" i="1"/>
  <c r="A2458" i="1"/>
  <c r="H2457" i="1"/>
  <c r="G2457" i="1"/>
  <c r="E2457" i="1"/>
  <c r="B2457" i="1"/>
  <c r="A2457" i="1"/>
  <c r="H2456" i="1"/>
  <c r="G2456" i="1"/>
  <c r="E2456" i="1"/>
  <c r="B2456" i="1"/>
  <c r="A2456" i="1"/>
  <c r="H2455" i="1"/>
  <c r="G2455" i="1"/>
  <c r="E2455" i="1"/>
  <c r="B2455" i="1"/>
  <c r="A2455" i="1"/>
  <c r="H2454" i="1"/>
  <c r="G2454" i="1"/>
  <c r="E2454" i="1"/>
  <c r="B2454" i="1"/>
  <c r="A2454" i="1"/>
  <c r="H2453" i="1"/>
  <c r="G2453" i="1"/>
  <c r="E2453" i="1"/>
  <c r="B2453" i="1"/>
  <c r="A2453" i="1"/>
  <c r="H2452" i="1"/>
  <c r="G2452" i="1"/>
  <c r="E2452" i="1"/>
  <c r="B2452" i="1"/>
  <c r="A2452" i="1"/>
  <c r="H2451" i="1"/>
  <c r="G2451" i="1"/>
  <c r="E2451" i="1"/>
  <c r="B2451" i="1"/>
  <c r="A2451" i="1"/>
  <c r="H2450" i="1"/>
  <c r="G2450" i="1"/>
  <c r="E2450" i="1"/>
  <c r="B2450" i="1"/>
  <c r="A2450" i="1"/>
  <c r="H2449" i="1"/>
  <c r="G2449" i="1"/>
  <c r="E2449" i="1"/>
  <c r="B2449" i="1"/>
  <c r="A2449" i="1"/>
  <c r="H2448" i="1"/>
  <c r="G2448" i="1"/>
  <c r="E2448" i="1"/>
  <c r="B2448" i="1"/>
  <c r="A2448" i="1"/>
  <c r="H2447" i="1"/>
  <c r="G2447" i="1"/>
  <c r="E2447" i="1"/>
  <c r="B2447" i="1"/>
  <c r="A2447" i="1"/>
  <c r="H2446" i="1"/>
  <c r="G2446" i="1"/>
  <c r="E2446" i="1"/>
  <c r="B2446" i="1"/>
  <c r="A2446" i="1"/>
  <c r="H2445" i="1"/>
  <c r="G2445" i="1"/>
  <c r="E2445" i="1"/>
  <c r="B2445" i="1"/>
  <c r="A2445" i="1"/>
  <c r="H2444" i="1"/>
  <c r="G2444" i="1"/>
  <c r="E2444" i="1"/>
  <c r="B2444" i="1"/>
  <c r="A2444" i="1"/>
  <c r="H2443" i="1"/>
  <c r="G2443" i="1"/>
  <c r="E2443" i="1"/>
  <c r="B2443" i="1"/>
  <c r="A2443" i="1"/>
  <c r="H2442" i="1"/>
  <c r="G2442" i="1"/>
  <c r="E2442" i="1"/>
  <c r="B2442" i="1"/>
  <c r="A2442" i="1"/>
  <c r="H2441" i="1"/>
  <c r="G2441" i="1"/>
  <c r="E2441" i="1"/>
  <c r="B2441" i="1"/>
  <c r="A2441" i="1"/>
  <c r="H2440" i="1"/>
  <c r="G2440" i="1"/>
  <c r="E2440" i="1"/>
  <c r="B2440" i="1"/>
  <c r="A2440" i="1"/>
  <c r="H2439" i="1"/>
  <c r="G2439" i="1"/>
  <c r="E2439" i="1"/>
  <c r="B2439" i="1"/>
  <c r="A2439" i="1"/>
  <c r="H2438" i="1"/>
  <c r="G2438" i="1"/>
  <c r="E2438" i="1"/>
  <c r="B2438" i="1"/>
  <c r="A2438" i="1"/>
  <c r="H2437" i="1"/>
  <c r="G2437" i="1"/>
  <c r="E2437" i="1"/>
  <c r="B2437" i="1"/>
  <c r="A2437" i="1"/>
  <c r="H2436" i="1"/>
  <c r="G2436" i="1"/>
  <c r="E2436" i="1"/>
  <c r="B2436" i="1"/>
  <c r="A2436" i="1"/>
  <c r="H2435" i="1"/>
  <c r="G2435" i="1"/>
  <c r="E2435" i="1"/>
  <c r="B2435" i="1"/>
  <c r="A2435" i="1"/>
  <c r="H2434" i="1"/>
  <c r="G2434" i="1"/>
  <c r="E2434" i="1"/>
  <c r="B2434" i="1"/>
  <c r="A2434" i="1"/>
  <c r="H2433" i="1"/>
  <c r="G2433" i="1"/>
  <c r="E2433" i="1"/>
  <c r="B2433" i="1"/>
  <c r="A2433" i="1"/>
  <c r="H2432" i="1"/>
  <c r="G2432" i="1"/>
  <c r="E2432" i="1"/>
  <c r="B2432" i="1"/>
  <c r="A2432" i="1"/>
  <c r="H2431" i="1"/>
  <c r="G2431" i="1"/>
  <c r="E2431" i="1"/>
  <c r="B2431" i="1"/>
  <c r="A2431" i="1"/>
  <c r="H2430" i="1"/>
  <c r="G2430" i="1"/>
  <c r="E2430" i="1"/>
  <c r="B2430" i="1"/>
  <c r="A2430" i="1"/>
  <c r="H2429" i="1"/>
  <c r="G2429" i="1"/>
  <c r="E2429" i="1"/>
  <c r="B2429" i="1"/>
  <c r="A2429" i="1"/>
  <c r="H2428" i="1"/>
  <c r="G2428" i="1"/>
  <c r="E2428" i="1"/>
  <c r="B2428" i="1"/>
  <c r="A2428" i="1"/>
  <c r="H2427" i="1"/>
  <c r="G2427" i="1"/>
  <c r="E2427" i="1"/>
  <c r="B2427" i="1"/>
  <c r="A2427" i="1"/>
  <c r="H2426" i="1"/>
  <c r="G2426" i="1"/>
  <c r="E2426" i="1"/>
  <c r="B2426" i="1"/>
  <c r="A2426" i="1"/>
  <c r="H2425" i="1"/>
  <c r="G2425" i="1"/>
  <c r="E2425" i="1"/>
  <c r="B2425" i="1"/>
  <c r="A2425" i="1"/>
  <c r="H2424" i="1"/>
  <c r="G2424" i="1"/>
  <c r="E2424" i="1"/>
  <c r="B2424" i="1"/>
  <c r="A2424" i="1"/>
  <c r="H2423" i="1"/>
  <c r="G2423" i="1"/>
  <c r="E2423" i="1"/>
  <c r="B2423" i="1"/>
  <c r="A2423" i="1"/>
  <c r="H2422" i="1"/>
  <c r="G2422" i="1"/>
  <c r="E2422" i="1"/>
  <c r="B2422" i="1"/>
  <c r="A2422" i="1"/>
  <c r="H2421" i="1"/>
  <c r="G2421" i="1"/>
  <c r="E2421" i="1"/>
  <c r="B2421" i="1"/>
  <c r="A2421" i="1"/>
  <c r="H2420" i="1"/>
  <c r="G2420" i="1"/>
  <c r="E2420" i="1"/>
  <c r="B2420" i="1"/>
  <c r="A2420" i="1"/>
  <c r="H2419" i="1"/>
  <c r="G2419" i="1"/>
  <c r="E2419" i="1"/>
  <c r="B2419" i="1"/>
  <c r="A2419" i="1"/>
  <c r="H2418" i="1"/>
  <c r="G2418" i="1"/>
  <c r="E2418" i="1"/>
  <c r="B2418" i="1"/>
  <c r="A2418" i="1"/>
  <c r="H2417" i="1"/>
  <c r="G2417" i="1"/>
  <c r="E2417" i="1"/>
  <c r="B2417" i="1"/>
  <c r="A2417" i="1"/>
  <c r="H2416" i="1"/>
  <c r="G2416" i="1"/>
  <c r="E2416" i="1"/>
  <c r="B2416" i="1"/>
  <c r="A2416" i="1"/>
  <c r="H2415" i="1"/>
  <c r="G2415" i="1"/>
  <c r="E2415" i="1"/>
  <c r="B2415" i="1"/>
  <c r="A2415" i="1"/>
  <c r="H2414" i="1"/>
  <c r="G2414" i="1"/>
  <c r="E2414" i="1"/>
  <c r="B2414" i="1"/>
  <c r="A2414" i="1"/>
  <c r="H2413" i="1"/>
  <c r="G2413" i="1"/>
  <c r="E2413" i="1"/>
  <c r="B2413" i="1"/>
  <c r="A2413" i="1"/>
  <c r="H2412" i="1"/>
  <c r="G2412" i="1"/>
  <c r="E2412" i="1"/>
  <c r="B2412" i="1"/>
  <c r="A2412" i="1"/>
  <c r="H2411" i="1"/>
  <c r="G2411" i="1"/>
  <c r="E2411" i="1"/>
  <c r="B2411" i="1"/>
  <c r="A2411" i="1"/>
  <c r="H2410" i="1"/>
  <c r="G2410" i="1"/>
  <c r="E2410" i="1"/>
  <c r="B2410" i="1"/>
  <c r="A2410" i="1"/>
  <c r="H2409" i="1"/>
  <c r="G2409" i="1"/>
  <c r="E2409" i="1"/>
  <c r="B2409" i="1"/>
  <c r="A2409" i="1"/>
  <c r="H2408" i="1"/>
  <c r="G2408" i="1"/>
  <c r="E2408" i="1"/>
  <c r="B2408" i="1"/>
  <c r="A2408" i="1"/>
  <c r="H2407" i="1"/>
  <c r="G2407" i="1"/>
  <c r="E2407" i="1"/>
  <c r="B2407" i="1"/>
  <c r="A2407" i="1"/>
  <c r="H2406" i="1"/>
  <c r="G2406" i="1"/>
  <c r="E2406" i="1"/>
  <c r="B2406" i="1"/>
  <c r="A2406" i="1"/>
  <c r="H2405" i="1"/>
  <c r="G2405" i="1"/>
  <c r="E2405" i="1"/>
  <c r="B2405" i="1"/>
  <c r="A2405" i="1"/>
  <c r="H2404" i="1"/>
  <c r="G2404" i="1"/>
  <c r="E2404" i="1"/>
  <c r="B2404" i="1"/>
  <c r="A2404" i="1"/>
  <c r="H2403" i="1"/>
  <c r="G2403" i="1"/>
  <c r="E2403" i="1"/>
  <c r="B2403" i="1"/>
  <c r="A2403" i="1"/>
  <c r="H2402" i="1"/>
  <c r="G2402" i="1"/>
  <c r="E2402" i="1"/>
  <c r="B2402" i="1"/>
  <c r="A2402" i="1"/>
  <c r="H2401" i="1"/>
  <c r="G2401" i="1"/>
  <c r="E2401" i="1"/>
  <c r="B2401" i="1"/>
  <c r="A2401" i="1"/>
  <c r="H2400" i="1"/>
  <c r="G2400" i="1"/>
  <c r="E2400" i="1"/>
  <c r="B2400" i="1"/>
  <c r="A2400" i="1"/>
  <c r="H2399" i="1"/>
  <c r="G2399" i="1"/>
  <c r="E2399" i="1"/>
  <c r="B2399" i="1"/>
  <c r="A2399" i="1"/>
  <c r="H2398" i="1"/>
  <c r="G2398" i="1"/>
  <c r="E2398" i="1"/>
  <c r="B2398" i="1"/>
  <c r="A2398" i="1"/>
  <c r="H2397" i="1"/>
  <c r="G2397" i="1"/>
  <c r="E2397" i="1"/>
  <c r="B2397" i="1"/>
  <c r="A2397" i="1"/>
  <c r="H2396" i="1"/>
  <c r="G2396" i="1"/>
  <c r="E2396" i="1"/>
  <c r="B2396" i="1"/>
  <c r="A2396" i="1"/>
  <c r="H2395" i="1"/>
  <c r="G2395" i="1"/>
  <c r="E2395" i="1"/>
  <c r="B2395" i="1"/>
  <c r="A2395" i="1"/>
  <c r="H2394" i="1"/>
  <c r="G2394" i="1"/>
  <c r="E2394" i="1"/>
  <c r="B2394" i="1"/>
  <c r="A2394" i="1"/>
  <c r="H2393" i="1"/>
  <c r="G2393" i="1"/>
  <c r="E2393" i="1"/>
  <c r="B2393" i="1"/>
  <c r="A2393" i="1"/>
  <c r="H2392" i="1"/>
  <c r="G2392" i="1"/>
  <c r="E2392" i="1"/>
  <c r="B2392" i="1"/>
  <c r="A2392" i="1"/>
  <c r="H2391" i="1"/>
  <c r="G2391" i="1"/>
  <c r="E2391" i="1"/>
  <c r="B2391" i="1"/>
  <c r="A2391" i="1"/>
  <c r="H2390" i="1"/>
  <c r="G2390" i="1"/>
  <c r="E2390" i="1"/>
  <c r="B2390" i="1"/>
  <c r="A2390" i="1"/>
  <c r="H2389" i="1"/>
  <c r="G2389" i="1"/>
  <c r="E2389" i="1"/>
  <c r="B2389" i="1"/>
  <c r="A2389" i="1"/>
  <c r="H2388" i="1"/>
  <c r="G2388" i="1"/>
  <c r="E2388" i="1"/>
  <c r="B2388" i="1"/>
  <c r="A2388" i="1"/>
  <c r="H2387" i="1"/>
  <c r="G2387" i="1"/>
  <c r="E2387" i="1"/>
  <c r="B2387" i="1"/>
  <c r="A2387" i="1"/>
  <c r="H2386" i="1"/>
  <c r="G2386" i="1"/>
  <c r="E2386" i="1"/>
  <c r="B2386" i="1"/>
  <c r="A2386" i="1"/>
  <c r="H2385" i="1"/>
  <c r="G2385" i="1"/>
  <c r="E2385" i="1"/>
  <c r="B2385" i="1"/>
  <c r="A2385" i="1"/>
  <c r="H2384" i="1"/>
  <c r="G2384" i="1"/>
  <c r="E2384" i="1"/>
  <c r="B2384" i="1"/>
  <c r="A2384" i="1"/>
  <c r="H2383" i="1"/>
  <c r="G2383" i="1"/>
  <c r="E2383" i="1"/>
  <c r="B2383" i="1"/>
  <c r="A2383" i="1"/>
  <c r="H2382" i="1"/>
  <c r="G2382" i="1"/>
  <c r="E2382" i="1"/>
  <c r="B2382" i="1"/>
  <c r="A2382" i="1"/>
  <c r="H2381" i="1"/>
  <c r="G2381" i="1"/>
  <c r="E2381" i="1"/>
  <c r="B2381" i="1"/>
  <c r="A2381" i="1"/>
  <c r="H2380" i="1"/>
  <c r="G2380" i="1"/>
  <c r="E2380" i="1"/>
  <c r="B2380" i="1"/>
  <c r="A2380" i="1"/>
  <c r="H2379" i="1"/>
  <c r="G2379" i="1"/>
  <c r="E2379" i="1"/>
  <c r="B2379" i="1"/>
  <c r="A2379" i="1"/>
  <c r="H2378" i="1"/>
  <c r="G2378" i="1"/>
  <c r="E2378" i="1"/>
  <c r="B2378" i="1"/>
  <c r="A2378" i="1"/>
  <c r="H2377" i="1"/>
  <c r="G2377" i="1"/>
  <c r="E2377" i="1"/>
  <c r="B2377" i="1"/>
  <c r="A2377" i="1"/>
  <c r="H2376" i="1"/>
  <c r="G2376" i="1"/>
  <c r="E2376" i="1"/>
  <c r="B2376" i="1"/>
  <c r="A2376" i="1"/>
  <c r="H2375" i="1"/>
  <c r="G2375" i="1"/>
  <c r="E2375" i="1"/>
  <c r="B2375" i="1"/>
  <c r="A2375" i="1"/>
  <c r="H2374" i="1"/>
  <c r="G2374" i="1"/>
  <c r="E2374" i="1"/>
  <c r="B2374" i="1"/>
  <c r="A2374" i="1"/>
  <c r="H2373" i="1"/>
  <c r="G2373" i="1"/>
  <c r="E2373" i="1"/>
  <c r="B2373" i="1"/>
  <c r="A2373" i="1"/>
  <c r="H2372" i="1"/>
  <c r="G2372" i="1"/>
  <c r="E2372" i="1"/>
  <c r="B2372" i="1"/>
  <c r="A2372" i="1"/>
  <c r="H2371" i="1"/>
  <c r="G2371" i="1"/>
  <c r="E2371" i="1"/>
  <c r="B2371" i="1"/>
  <c r="A2371" i="1"/>
  <c r="H2370" i="1"/>
  <c r="G2370" i="1"/>
  <c r="E2370" i="1"/>
  <c r="B2370" i="1"/>
  <c r="A2370" i="1"/>
  <c r="H2369" i="1"/>
  <c r="G2369" i="1"/>
  <c r="E2369" i="1"/>
  <c r="B2369" i="1"/>
  <c r="A2369" i="1"/>
  <c r="H2368" i="1"/>
  <c r="G2368" i="1"/>
  <c r="E2368" i="1"/>
  <c r="B2368" i="1"/>
  <c r="A2368" i="1"/>
  <c r="H2367" i="1"/>
  <c r="G2367" i="1"/>
  <c r="E2367" i="1"/>
  <c r="B2367" i="1"/>
  <c r="A2367" i="1"/>
  <c r="H2366" i="1"/>
  <c r="G2366" i="1"/>
  <c r="E2366" i="1"/>
  <c r="B2366" i="1"/>
  <c r="A2366" i="1"/>
  <c r="H2365" i="1"/>
  <c r="G2365" i="1"/>
  <c r="E2365" i="1"/>
  <c r="B2365" i="1"/>
  <c r="A2365" i="1"/>
  <c r="H2364" i="1"/>
  <c r="G2364" i="1"/>
  <c r="E2364" i="1"/>
  <c r="B2364" i="1"/>
  <c r="A2364" i="1"/>
  <c r="H2363" i="1"/>
  <c r="G2363" i="1"/>
  <c r="E2363" i="1"/>
  <c r="B2363" i="1"/>
  <c r="A2363" i="1"/>
  <c r="H2362" i="1"/>
  <c r="G2362" i="1"/>
  <c r="E2362" i="1"/>
  <c r="B2362" i="1"/>
  <c r="A2362" i="1"/>
  <c r="H2361" i="1"/>
  <c r="G2361" i="1"/>
  <c r="E2361" i="1"/>
  <c r="B2361" i="1"/>
  <c r="A2361" i="1"/>
  <c r="H2360" i="1"/>
  <c r="G2360" i="1"/>
  <c r="E2360" i="1"/>
  <c r="B2360" i="1"/>
  <c r="A2360" i="1"/>
  <c r="H2359" i="1"/>
  <c r="G2359" i="1"/>
  <c r="E2359" i="1"/>
  <c r="B2359" i="1"/>
  <c r="A2359" i="1"/>
  <c r="H2358" i="1"/>
  <c r="G2358" i="1"/>
  <c r="E2358" i="1"/>
  <c r="B2358" i="1"/>
  <c r="A2358" i="1"/>
  <c r="H2357" i="1"/>
  <c r="G2357" i="1"/>
  <c r="E2357" i="1"/>
  <c r="B2357" i="1"/>
  <c r="A2357" i="1"/>
  <c r="H2356" i="1"/>
  <c r="G2356" i="1"/>
  <c r="E2356" i="1"/>
  <c r="B2356" i="1"/>
  <c r="A2356" i="1"/>
  <c r="H2355" i="1"/>
  <c r="G2355" i="1"/>
  <c r="E2355" i="1"/>
  <c r="B2355" i="1"/>
  <c r="A2355" i="1"/>
  <c r="H2354" i="1"/>
  <c r="G2354" i="1"/>
  <c r="E2354" i="1"/>
  <c r="B2354" i="1"/>
  <c r="A2354" i="1"/>
  <c r="H2353" i="1"/>
  <c r="G2353" i="1"/>
  <c r="E2353" i="1"/>
  <c r="B2353" i="1"/>
  <c r="A2353" i="1"/>
  <c r="H2352" i="1"/>
  <c r="G2352" i="1"/>
  <c r="E2352" i="1"/>
  <c r="B2352" i="1"/>
  <c r="A2352" i="1"/>
  <c r="H2351" i="1"/>
  <c r="G2351" i="1"/>
  <c r="E2351" i="1"/>
  <c r="B2351" i="1"/>
  <c r="A2351" i="1"/>
  <c r="H2350" i="1"/>
  <c r="G2350" i="1"/>
  <c r="E2350" i="1"/>
  <c r="B2350" i="1"/>
  <c r="A2350" i="1"/>
  <c r="H2349" i="1"/>
  <c r="G2349" i="1"/>
  <c r="E2349" i="1"/>
  <c r="B2349" i="1"/>
  <c r="A2349" i="1"/>
  <c r="H2348" i="1"/>
  <c r="G2348" i="1"/>
  <c r="E2348" i="1"/>
  <c r="B2348" i="1"/>
  <c r="A2348" i="1"/>
  <c r="H2347" i="1"/>
  <c r="G2347" i="1"/>
  <c r="E2347" i="1"/>
  <c r="B2347" i="1"/>
  <c r="A2347" i="1"/>
  <c r="H2346" i="1"/>
  <c r="G2346" i="1"/>
  <c r="E2346" i="1"/>
  <c r="B2346" i="1"/>
  <c r="A2346" i="1"/>
  <c r="H2345" i="1"/>
  <c r="G2345" i="1"/>
  <c r="E2345" i="1"/>
  <c r="B2345" i="1"/>
  <c r="A2345" i="1"/>
  <c r="H2344" i="1"/>
  <c r="G2344" i="1"/>
  <c r="E2344" i="1"/>
  <c r="B2344" i="1"/>
  <c r="A2344" i="1"/>
  <c r="H2343" i="1"/>
  <c r="G2343" i="1"/>
  <c r="E2343" i="1"/>
  <c r="B2343" i="1"/>
  <c r="A2343" i="1"/>
  <c r="H2342" i="1"/>
  <c r="G2342" i="1"/>
  <c r="E2342" i="1"/>
  <c r="B2342" i="1"/>
  <c r="A2342" i="1"/>
  <c r="H2341" i="1"/>
  <c r="G2341" i="1"/>
  <c r="E2341" i="1"/>
  <c r="B2341" i="1"/>
  <c r="A2341" i="1"/>
  <c r="H2340" i="1"/>
  <c r="G2340" i="1"/>
  <c r="E2340" i="1"/>
  <c r="B2340" i="1"/>
  <c r="A2340" i="1"/>
  <c r="H2339" i="1"/>
  <c r="G2339" i="1"/>
  <c r="E2339" i="1"/>
  <c r="B2339" i="1"/>
  <c r="A2339" i="1"/>
  <c r="H2338" i="1"/>
  <c r="G2338" i="1"/>
  <c r="E2338" i="1"/>
  <c r="B2338" i="1"/>
  <c r="A2338" i="1"/>
  <c r="H2337" i="1"/>
  <c r="G2337" i="1"/>
  <c r="E2337" i="1"/>
  <c r="B2337" i="1"/>
  <c r="A2337" i="1"/>
  <c r="H2336" i="1"/>
  <c r="G2336" i="1"/>
  <c r="E2336" i="1"/>
  <c r="B2336" i="1"/>
  <c r="A2336" i="1"/>
  <c r="H2335" i="1"/>
  <c r="G2335" i="1"/>
  <c r="E2335" i="1"/>
  <c r="B2335" i="1"/>
  <c r="A2335" i="1"/>
  <c r="H2334" i="1"/>
  <c r="G2334" i="1"/>
  <c r="E2334" i="1"/>
  <c r="B2334" i="1"/>
  <c r="A2334" i="1"/>
  <c r="H2333" i="1"/>
  <c r="G2333" i="1"/>
  <c r="E2333" i="1"/>
  <c r="B2333" i="1"/>
  <c r="A2333" i="1"/>
  <c r="H2332" i="1"/>
  <c r="G2332" i="1"/>
  <c r="E2332" i="1"/>
  <c r="B2332" i="1"/>
  <c r="A2332" i="1"/>
  <c r="H2331" i="1"/>
  <c r="G2331" i="1"/>
  <c r="E2331" i="1"/>
  <c r="B2331" i="1"/>
  <c r="A2331" i="1"/>
  <c r="H2330" i="1"/>
  <c r="G2330" i="1"/>
  <c r="E2330" i="1"/>
  <c r="B2330" i="1"/>
  <c r="A2330" i="1"/>
  <c r="H2329" i="1"/>
  <c r="G2329" i="1"/>
  <c r="E2329" i="1"/>
  <c r="B2329" i="1"/>
  <c r="A2329" i="1"/>
  <c r="H2328" i="1"/>
  <c r="G2328" i="1"/>
  <c r="E2328" i="1"/>
  <c r="B2328" i="1"/>
  <c r="A2328" i="1"/>
  <c r="H2327" i="1"/>
  <c r="G2327" i="1"/>
  <c r="E2327" i="1"/>
  <c r="B2327" i="1"/>
  <c r="A2327" i="1"/>
  <c r="H2326" i="1"/>
  <c r="G2326" i="1"/>
  <c r="E2326" i="1"/>
  <c r="B2326" i="1"/>
  <c r="A2326" i="1"/>
  <c r="H2325" i="1"/>
  <c r="G2325" i="1"/>
  <c r="E2325" i="1"/>
  <c r="B2325" i="1"/>
  <c r="A2325" i="1"/>
  <c r="H2324" i="1"/>
  <c r="G2324" i="1"/>
  <c r="E2324" i="1"/>
  <c r="B2324" i="1"/>
  <c r="A2324" i="1"/>
  <c r="H2323" i="1"/>
  <c r="G2323" i="1"/>
  <c r="E2323" i="1"/>
  <c r="B2323" i="1"/>
  <c r="A2323" i="1"/>
  <c r="H2322" i="1"/>
  <c r="G2322" i="1"/>
  <c r="E2322" i="1"/>
  <c r="B2322" i="1"/>
  <c r="A2322" i="1"/>
  <c r="H2321" i="1"/>
  <c r="G2321" i="1"/>
  <c r="E2321" i="1"/>
  <c r="B2321" i="1"/>
  <c r="A2321" i="1"/>
  <c r="H2320" i="1"/>
  <c r="G2320" i="1"/>
  <c r="E2320" i="1"/>
  <c r="B2320" i="1"/>
  <c r="A2320" i="1"/>
  <c r="H2319" i="1"/>
  <c r="G2319" i="1"/>
  <c r="E2319" i="1"/>
  <c r="B2319" i="1"/>
  <c r="A2319" i="1"/>
  <c r="H2318" i="1"/>
  <c r="G2318" i="1"/>
  <c r="E2318" i="1"/>
  <c r="B2318" i="1"/>
  <c r="A2318" i="1"/>
  <c r="H2317" i="1"/>
  <c r="G2317" i="1"/>
  <c r="E2317" i="1"/>
  <c r="B2317" i="1"/>
  <c r="A2317" i="1"/>
  <c r="H2316" i="1"/>
  <c r="G2316" i="1"/>
  <c r="E2316" i="1"/>
  <c r="B2316" i="1"/>
  <c r="A2316" i="1"/>
  <c r="H2315" i="1"/>
  <c r="G2315" i="1"/>
  <c r="E2315" i="1"/>
  <c r="B2315" i="1"/>
  <c r="A2315" i="1"/>
  <c r="H2314" i="1"/>
  <c r="G2314" i="1"/>
  <c r="E2314" i="1"/>
  <c r="B2314" i="1"/>
  <c r="A2314" i="1"/>
  <c r="H2313" i="1"/>
  <c r="G2313" i="1"/>
  <c r="E2313" i="1"/>
  <c r="B2313" i="1"/>
  <c r="A2313" i="1"/>
  <c r="H2312" i="1"/>
  <c r="G2312" i="1"/>
  <c r="E2312" i="1"/>
  <c r="B2312" i="1"/>
  <c r="A2312" i="1"/>
  <c r="H2311" i="1"/>
  <c r="G2311" i="1"/>
  <c r="E2311" i="1"/>
  <c r="B2311" i="1"/>
  <c r="A2311" i="1"/>
  <c r="H2310" i="1"/>
  <c r="G2310" i="1"/>
  <c r="B2310" i="1"/>
  <c r="A2310" i="1"/>
  <c r="H2309" i="1"/>
  <c r="G2309" i="1"/>
  <c r="E2309" i="1"/>
  <c r="B2309" i="1"/>
  <c r="A2309" i="1"/>
  <c r="H2308" i="1"/>
  <c r="G2308" i="1"/>
  <c r="E2308" i="1"/>
  <c r="B2308" i="1"/>
  <c r="A2308" i="1"/>
  <c r="H2307" i="1"/>
  <c r="G2307" i="1"/>
  <c r="E2307" i="1"/>
  <c r="B2307" i="1"/>
  <c r="A2307" i="1"/>
  <c r="H2306" i="1"/>
  <c r="G2306" i="1"/>
  <c r="E2306" i="1"/>
  <c r="B2306" i="1"/>
  <c r="A2306" i="1"/>
  <c r="H2305" i="1"/>
  <c r="G2305" i="1"/>
  <c r="E2305" i="1"/>
  <c r="B2305" i="1"/>
  <c r="A2305" i="1"/>
  <c r="H2304" i="1"/>
  <c r="G2304" i="1"/>
  <c r="E2304" i="1"/>
  <c r="B2304" i="1"/>
  <c r="A2304" i="1"/>
  <c r="H2303" i="1"/>
  <c r="G2303" i="1"/>
  <c r="E2303" i="1"/>
  <c r="B2303" i="1"/>
  <c r="A2303" i="1"/>
  <c r="H2302" i="1"/>
  <c r="G2302" i="1"/>
  <c r="E2302" i="1"/>
  <c r="B2302" i="1"/>
  <c r="A2302" i="1"/>
  <c r="H2301" i="1"/>
  <c r="G2301" i="1"/>
  <c r="E2301" i="1"/>
  <c r="B2301" i="1"/>
  <c r="A2301" i="1"/>
  <c r="H2300" i="1"/>
  <c r="G2300" i="1"/>
  <c r="E2300" i="1"/>
  <c r="B2300" i="1"/>
  <c r="A2300" i="1"/>
  <c r="H2299" i="1"/>
  <c r="G2299" i="1"/>
  <c r="E2299" i="1"/>
  <c r="B2299" i="1"/>
  <c r="A2299" i="1"/>
  <c r="H2298" i="1"/>
  <c r="G2298" i="1"/>
  <c r="E2298" i="1"/>
  <c r="B2298" i="1"/>
  <c r="A2298" i="1"/>
  <c r="H2297" i="1"/>
  <c r="G2297" i="1"/>
  <c r="E2297" i="1"/>
  <c r="B2297" i="1"/>
  <c r="A2297" i="1"/>
  <c r="H2296" i="1"/>
  <c r="G2296" i="1"/>
  <c r="E2296" i="1"/>
  <c r="B2296" i="1"/>
  <c r="A2296" i="1"/>
  <c r="H2295" i="1"/>
  <c r="G2295" i="1"/>
  <c r="E2295" i="1"/>
  <c r="B2295" i="1"/>
  <c r="A2295" i="1"/>
  <c r="H2294" i="1"/>
  <c r="G2294" i="1"/>
  <c r="E2294" i="1"/>
  <c r="B2294" i="1"/>
  <c r="A2294" i="1"/>
  <c r="H2293" i="1"/>
  <c r="G2293" i="1"/>
  <c r="E2293" i="1"/>
  <c r="B2293" i="1"/>
  <c r="A2293" i="1"/>
  <c r="H2292" i="1"/>
  <c r="G2292" i="1"/>
  <c r="E2292" i="1"/>
  <c r="B2292" i="1"/>
  <c r="A2292" i="1"/>
  <c r="H2291" i="1"/>
  <c r="G2291" i="1"/>
  <c r="E2291" i="1"/>
  <c r="B2291" i="1"/>
  <c r="A2291" i="1"/>
  <c r="H2290" i="1"/>
  <c r="G2290" i="1"/>
  <c r="E2290" i="1"/>
  <c r="B2290" i="1"/>
  <c r="A2290" i="1"/>
  <c r="H2289" i="1"/>
  <c r="G2289" i="1"/>
  <c r="E2289" i="1"/>
  <c r="B2289" i="1"/>
  <c r="A2289" i="1"/>
  <c r="H2288" i="1"/>
  <c r="G2288" i="1"/>
  <c r="E2288" i="1"/>
  <c r="B2288" i="1"/>
  <c r="A2288" i="1"/>
  <c r="H2287" i="1"/>
  <c r="G2287" i="1"/>
  <c r="E2287" i="1"/>
  <c r="B2287" i="1"/>
  <c r="A2287" i="1"/>
  <c r="H2286" i="1"/>
  <c r="G2286" i="1"/>
  <c r="E2286" i="1"/>
  <c r="B2286" i="1"/>
  <c r="A2286" i="1"/>
  <c r="H2285" i="1"/>
  <c r="G2285" i="1"/>
  <c r="E2285" i="1"/>
  <c r="B2285" i="1"/>
  <c r="A2285" i="1"/>
  <c r="H2284" i="1"/>
  <c r="G2284" i="1"/>
  <c r="E2284" i="1"/>
  <c r="B2284" i="1"/>
  <c r="A2284" i="1"/>
  <c r="H2283" i="1"/>
  <c r="G2283" i="1"/>
  <c r="E2283" i="1"/>
  <c r="B2283" i="1"/>
  <c r="A2283" i="1"/>
  <c r="H2282" i="1"/>
  <c r="G2282" i="1"/>
  <c r="E2282" i="1"/>
  <c r="B2282" i="1"/>
  <c r="A2282" i="1"/>
  <c r="H2281" i="1"/>
  <c r="G2281" i="1"/>
  <c r="E2281" i="1"/>
  <c r="B2281" i="1"/>
  <c r="A2281" i="1"/>
  <c r="H2280" i="1"/>
  <c r="G2280" i="1"/>
  <c r="E2280" i="1"/>
  <c r="B2280" i="1"/>
  <c r="A2280" i="1"/>
  <c r="H2279" i="1"/>
  <c r="G2279" i="1"/>
  <c r="E2279" i="1"/>
  <c r="B2279" i="1"/>
  <c r="A2279" i="1"/>
  <c r="H2278" i="1"/>
  <c r="G2278" i="1"/>
  <c r="E2278" i="1"/>
  <c r="B2278" i="1"/>
  <c r="A2278" i="1"/>
  <c r="H2277" i="1"/>
  <c r="G2277" i="1"/>
  <c r="E2277" i="1"/>
  <c r="B2277" i="1"/>
  <c r="A2277" i="1"/>
  <c r="H2276" i="1"/>
  <c r="G2276" i="1"/>
  <c r="E2276" i="1"/>
  <c r="B2276" i="1"/>
  <c r="A2276" i="1"/>
  <c r="H2275" i="1"/>
  <c r="G2275" i="1"/>
  <c r="E2275" i="1"/>
  <c r="B2275" i="1"/>
  <c r="A2275" i="1"/>
  <c r="H2274" i="1"/>
  <c r="G2274" i="1"/>
  <c r="E2274" i="1"/>
  <c r="B2274" i="1"/>
  <c r="A2274" i="1"/>
  <c r="H2273" i="1"/>
  <c r="G2273" i="1"/>
  <c r="E2273" i="1"/>
  <c r="B2273" i="1"/>
  <c r="A2273" i="1"/>
  <c r="H2272" i="1"/>
  <c r="G2272" i="1"/>
  <c r="E2272" i="1"/>
  <c r="B2272" i="1"/>
  <c r="A2272" i="1"/>
  <c r="H2271" i="1"/>
  <c r="G2271" i="1"/>
  <c r="E2271" i="1"/>
  <c r="B2271" i="1"/>
  <c r="A2271" i="1"/>
  <c r="H2270" i="1"/>
  <c r="G2270" i="1"/>
  <c r="E2270" i="1"/>
  <c r="B2270" i="1"/>
  <c r="A2270" i="1"/>
  <c r="H2269" i="1"/>
  <c r="G2269" i="1"/>
  <c r="E2269" i="1"/>
  <c r="B2269" i="1"/>
  <c r="A2269" i="1"/>
  <c r="H2268" i="1"/>
  <c r="G2268" i="1"/>
  <c r="E2268" i="1"/>
  <c r="B2268" i="1"/>
  <c r="A2268" i="1"/>
  <c r="H2267" i="1"/>
  <c r="G2267" i="1"/>
  <c r="E2267" i="1"/>
  <c r="B2267" i="1"/>
  <c r="A2267" i="1"/>
  <c r="H2266" i="1"/>
  <c r="G2266" i="1"/>
  <c r="E2266" i="1"/>
  <c r="B2266" i="1"/>
  <c r="A2266" i="1"/>
  <c r="H2265" i="1"/>
  <c r="G2265" i="1"/>
  <c r="E2265" i="1"/>
  <c r="B2265" i="1"/>
  <c r="A2265" i="1"/>
  <c r="H2264" i="1"/>
  <c r="G2264" i="1"/>
  <c r="E2264" i="1"/>
  <c r="B2264" i="1"/>
  <c r="A2264" i="1"/>
  <c r="H2263" i="1"/>
  <c r="G2263" i="1"/>
  <c r="E2263" i="1"/>
  <c r="B2263" i="1"/>
  <c r="A2263" i="1"/>
  <c r="H2262" i="1"/>
  <c r="G2262" i="1"/>
  <c r="E2262" i="1"/>
  <c r="B2262" i="1"/>
  <c r="A2262" i="1"/>
  <c r="H2261" i="1"/>
  <c r="G2261" i="1"/>
  <c r="E2261" i="1"/>
  <c r="B2261" i="1"/>
  <c r="A2261" i="1"/>
  <c r="H2260" i="1"/>
  <c r="G2260" i="1"/>
  <c r="E2260" i="1"/>
  <c r="B2260" i="1"/>
  <c r="A2260" i="1"/>
  <c r="H2259" i="1"/>
  <c r="G2259" i="1"/>
  <c r="E2259" i="1"/>
  <c r="B2259" i="1"/>
  <c r="A2259" i="1"/>
  <c r="H2258" i="1"/>
  <c r="G2258" i="1"/>
  <c r="E2258" i="1"/>
  <c r="B2258" i="1"/>
  <c r="A2258" i="1"/>
  <c r="H2257" i="1"/>
  <c r="G2257" i="1"/>
  <c r="E2257" i="1"/>
  <c r="B2257" i="1"/>
  <c r="A2257" i="1"/>
  <c r="H2256" i="1"/>
  <c r="G2256" i="1"/>
  <c r="E2256" i="1"/>
  <c r="B2256" i="1"/>
  <c r="A2256" i="1"/>
  <c r="H2255" i="1"/>
  <c r="G2255" i="1"/>
  <c r="E2255" i="1"/>
  <c r="B2255" i="1"/>
  <c r="A2255" i="1"/>
  <c r="H2254" i="1"/>
  <c r="G2254" i="1"/>
  <c r="E2254" i="1"/>
  <c r="B2254" i="1"/>
  <c r="A2254" i="1"/>
  <c r="H2253" i="1"/>
  <c r="G2253" i="1"/>
  <c r="E2253" i="1"/>
  <c r="B2253" i="1"/>
  <c r="A2253" i="1"/>
  <c r="H2252" i="1"/>
  <c r="G2252" i="1"/>
  <c r="E2252" i="1"/>
  <c r="B2252" i="1"/>
  <c r="A2252" i="1"/>
  <c r="H2251" i="1"/>
  <c r="G2251" i="1"/>
  <c r="E2251" i="1"/>
  <c r="B2251" i="1"/>
  <c r="A2251" i="1"/>
  <c r="H2250" i="1"/>
  <c r="G2250" i="1"/>
  <c r="E2250" i="1"/>
  <c r="B2250" i="1"/>
  <c r="A2250" i="1"/>
  <c r="H2249" i="1"/>
  <c r="G2249" i="1"/>
  <c r="E2249" i="1"/>
  <c r="B2249" i="1"/>
  <c r="A2249" i="1"/>
  <c r="H2248" i="1"/>
  <c r="G2248" i="1"/>
  <c r="E2248" i="1"/>
  <c r="B2248" i="1"/>
  <c r="A2248" i="1"/>
  <c r="H2247" i="1"/>
  <c r="G2247" i="1"/>
  <c r="E2247" i="1"/>
  <c r="B2247" i="1"/>
  <c r="A2247" i="1"/>
  <c r="H2246" i="1"/>
  <c r="G2246" i="1"/>
  <c r="E2246" i="1"/>
  <c r="B2246" i="1"/>
  <c r="A2246" i="1"/>
  <c r="H2245" i="1"/>
  <c r="G2245" i="1"/>
  <c r="E2245" i="1"/>
  <c r="B2245" i="1"/>
  <c r="A2245" i="1"/>
  <c r="H2244" i="1"/>
  <c r="G2244" i="1"/>
  <c r="E2244" i="1"/>
  <c r="B2244" i="1"/>
  <c r="A2244" i="1"/>
  <c r="H2243" i="1"/>
  <c r="G2243" i="1"/>
  <c r="E2243" i="1"/>
  <c r="B2243" i="1"/>
  <c r="A2243" i="1"/>
  <c r="H2242" i="1"/>
  <c r="G2242" i="1"/>
  <c r="E2242" i="1"/>
  <c r="B2242" i="1"/>
  <c r="A2242" i="1"/>
  <c r="H2241" i="1"/>
  <c r="G2241" i="1"/>
  <c r="E2241" i="1"/>
  <c r="B2241" i="1"/>
  <c r="A2241" i="1"/>
  <c r="H2240" i="1"/>
  <c r="G2240" i="1"/>
  <c r="B2240" i="1"/>
  <c r="A2240" i="1"/>
  <c r="H2239" i="1"/>
  <c r="G2239" i="1"/>
  <c r="E2239" i="1"/>
  <c r="B2239" i="1"/>
  <c r="A2239" i="1"/>
  <c r="H2238" i="1"/>
  <c r="G2238" i="1"/>
  <c r="E2238" i="1"/>
  <c r="B2238" i="1"/>
  <c r="A2238" i="1"/>
  <c r="H2237" i="1"/>
  <c r="G2237" i="1"/>
  <c r="E2237" i="1"/>
  <c r="B2237" i="1"/>
  <c r="A2237" i="1"/>
  <c r="H2236" i="1"/>
  <c r="G2236" i="1"/>
  <c r="B2236" i="1"/>
  <c r="A2236" i="1"/>
  <c r="H2235" i="1"/>
  <c r="G2235" i="1"/>
  <c r="E2235" i="1"/>
  <c r="B2235" i="1"/>
  <c r="A2235" i="1"/>
  <c r="H2234" i="1"/>
  <c r="G2234" i="1"/>
  <c r="E2234" i="1"/>
  <c r="B2234" i="1"/>
  <c r="A2234" i="1"/>
  <c r="H2233" i="1"/>
  <c r="G2233" i="1"/>
  <c r="E2233" i="1"/>
  <c r="B2233" i="1"/>
  <c r="A2233" i="1"/>
  <c r="H2232" i="1"/>
  <c r="G2232" i="1"/>
  <c r="E2232" i="1"/>
  <c r="B2232" i="1"/>
  <c r="A2232" i="1"/>
  <c r="H2231" i="1"/>
  <c r="G2231" i="1"/>
  <c r="E2231" i="1"/>
  <c r="B2231" i="1"/>
  <c r="A2231" i="1"/>
  <c r="H2230" i="1"/>
  <c r="G2230" i="1"/>
  <c r="E2230" i="1"/>
  <c r="B2230" i="1"/>
  <c r="A2230" i="1"/>
  <c r="H2229" i="1"/>
  <c r="G2229" i="1"/>
  <c r="E2229" i="1"/>
  <c r="B2229" i="1"/>
  <c r="A2229" i="1"/>
  <c r="H2228" i="1"/>
  <c r="G2228" i="1"/>
  <c r="E2228" i="1"/>
  <c r="B2228" i="1"/>
  <c r="A2228" i="1"/>
  <c r="H2227" i="1"/>
  <c r="G2227" i="1"/>
  <c r="E2227" i="1"/>
  <c r="B2227" i="1"/>
  <c r="A2227" i="1"/>
  <c r="H2226" i="1"/>
  <c r="G2226" i="1"/>
  <c r="E2226" i="1"/>
  <c r="B2226" i="1"/>
  <c r="A2226" i="1"/>
  <c r="H2225" i="1"/>
  <c r="G2225" i="1"/>
  <c r="E2225" i="1"/>
  <c r="B2225" i="1"/>
  <c r="A2225" i="1"/>
  <c r="H2224" i="1"/>
  <c r="G2224" i="1"/>
  <c r="E2224" i="1"/>
  <c r="B2224" i="1"/>
  <c r="A2224" i="1"/>
  <c r="H2223" i="1"/>
  <c r="G2223" i="1"/>
  <c r="E2223" i="1"/>
  <c r="B2223" i="1"/>
  <c r="A2223" i="1"/>
  <c r="H2222" i="1"/>
  <c r="G2222" i="1"/>
  <c r="E2222" i="1"/>
  <c r="B2222" i="1"/>
  <c r="A2222" i="1"/>
  <c r="H2221" i="1"/>
  <c r="G2221" i="1"/>
  <c r="E2221" i="1"/>
  <c r="B2221" i="1"/>
  <c r="A2221" i="1"/>
  <c r="H2220" i="1"/>
  <c r="G2220" i="1"/>
  <c r="E2220" i="1"/>
  <c r="B2220" i="1"/>
  <c r="A2220" i="1"/>
  <c r="H2219" i="1"/>
  <c r="G2219" i="1"/>
  <c r="E2219" i="1"/>
  <c r="B2219" i="1"/>
  <c r="A2219" i="1"/>
  <c r="H2218" i="1"/>
  <c r="G2218" i="1"/>
  <c r="E2218" i="1"/>
  <c r="B2218" i="1"/>
  <c r="A2218" i="1"/>
  <c r="H2217" i="1"/>
  <c r="G2217" i="1"/>
  <c r="E2217" i="1"/>
  <c r="B2217" i="1"/>
  <c r="A2217" i="1"/>
  <c r="H2216" i="1"/>
  <c r="G2216" i="1"/>
  <c r="E2216" i="1"/>
  <c r="B2216" i="1"/>
  <c r="A2216" i="1"/>
  <c r="H2215" i="1"/>
  <c r="G2215" i="1"/>
  <c r="E2215" i="1"/>
  <c r="B2215" i="1"/>
  <c r="A2215" i="1"/>
  <c r="H2214" i="1"/>
  <c r="G2214" i="1"/>
  <c r="E2214" i="1"/>
  <c r="B2214" i="1"/>
  <c r="A2214" i="1"/>
  <c r="H2213" i="1"/>
  <c r="G2213" i="1"/>
  <c r="E2213" i="1"/>
  <c r="B2213" i="1"/>
  <c r="A2213" i="1"/>
  <c r="H2212" i="1"/>
  <c r="G2212" i="1"/>
  <c r="E2212" i="1"/>
  <c r="B2212" i="1"/>
  <c r="A2212" i="1"/>
  <c r="H2211" i="1"/>
  <c r="G2211" i="1"/>
  <c r="E2211" i="1"/>
  <c r="B2211" i="1"/>
  <c r="A2211" i="1"/>
  <c r="H2210" i="1"/>
  <c r="G2210" i="1"/>
  <c r="E2210" i="1"/>
  <c r="B2210" i="1"/>
  <c r="A2210" i="1"/>
  <c r="H2209" i="1"/>
  <c r="G2209" i="1"/>
  <c r="E2209" i="1"/>
  <c r="B2209" i="1"/>
  <c r="A2209" i="1"/>
  <c r="H2208" i="1"/>
  <c r="G2208" i="1"/>
  <c r="E2208" i="1"/>
  <c r="B2208" i="1"/>
  <c r="A2208" i="1"/>
  <c r="H2207" i="1"/>
  <c r="G2207" i="1"/>
  <c r="E2207" i="1"/>
  <c r="B2207" i="1"/>
  <c r="A2207" i="1"/>
  <c r="H2206" i="1"/>
  <c r="G2206" i="1"/>
  <c r="E2206" i="1"/>
  <c r="B2206" i="1"/>
  <c r="A2206" i="1"/>
  <c r="H2205" i="1"/>
  <c r="G2205" i="1"/>
  <c r="E2205" i="1"/>
  <c r="B2205" i="1"/>
  <c r="A2205" i="1"/>
  <c r="H2204" i="1"/>
  <c r="G2204" i="1"/>
  <c r="E2204" i="1"/>
  <c r="B2204" i="1"/>
  <c r="A2204" i="1"/>
  <c r="H2203" i="1"/>
  <c r="G2203" i="1"/>
  <c r="E2203" i="1"/>
  <c r="B2203" i="1"/>
  <c r="A2203" i="1"/>
  <c r="H2202" i="1"/>
  <c r="G2202" i="1"/>
  <c r="E2202" i="1"/>
  <c r="B2202" i="1"/>
  <c r="A2202" i="1"/>
  <c r="H2201" i="1"/>
  <c r="G2201" i="1"/>
  <c r="E2201" i="1"/>
  <c r="B2201" i="1"/>
  <c r="A2201" i="1"/>
  <c r="H2200" i="1"/>
  <c r="G2200" i="1"/>
  <c r="E2200" i="1"/>
  <c r="B2200" i="1"/>
  <c r="A2200" i="1"/>
  <c r="H2199" i="1"/>
  <c r="G2199" i="1"/>
  <c r="E2199" i="1"/>
  <c r="B2199" i="1"/>
  <c r="A2199" i="1"/>
  <c r="H2198" i="1"/>
  <c r="G2198" i="1"/>
  <c r="E2198" i="1"/>
  <c r="B2198" i="1"/>
  <c r="A2198" i="1"/>
  <c r="H2197" i="1"/>
  <c r="G2197" i="1"/>
  <c r="E2197" i="1"/>
  <c r="B2197" i="1"/>
  <c r="A2197" i="1"/>
  <c r="H2196" i="1"/>
  <c r="G2196" i="1"/>
  <c r="E2196" i="1"/>
  <c r="B2196" i="1"/>
  <c r="A2196" i="1"/>
  <c r="H2195" i="1"/>
  <c r="G2195" i="1"/>
  <c r="E2195" i="1"/>
  <c r="B2195" i="1"/>
  <c r="A2195" i="1"/>
  <c r="H2194" i="1"/>
  <c r="G2194" i="1"/>
  <c r="E2194" i="1"/>
  <c r="B2194" i="1"/>
  <c r="A2194" i="1"/>
  <c r="H2193" i="1"/>
  <c r="G2193" i="1"/>
  <c r="E2193" i="1"/>
  <c r="B2193" i="1"/>
  <c r="A2193" i="1"/>
  <c r="H2192" i="1"/>
  <c r="G2192" i="1"/>
  <c r="E2192" i="1"/>
  <c r="B2192" i="1"/>
  <c r="A2192" i="1"/>
  <c r="H2191" i="1"/>
  <c r="G2191" i="1"/>
  <c r="B2191" i="1"/>
  <c r="A2191" i="1"/>
  <c r="H2190" i="1"/>
  <c r="G2190" i="1"/>
  <c r="E2190" i="1"/>
  <c r="B2190" i="1"/>
  <c r="A2190" i="1"/>
  <c r="H2189" i="1"/>
  <c r="G2189" i="1"/>
  <c r="E2189" i="1"/>
  <c r="B2189" i="1"/>
  <c r="A2189" i="1"/>
  <c r="H2188" i="1"/>
  <c r="G2188" i="1"/>
  <c r="E2188" i="1"/>
  <c r="B2188" i="1"/>
  <c r="A2188" i="1"/>
  <c r="H2187" i="1"/>
  <c r="G2187" i="1"/>
  <c r="E2187" i="1"/>
  <c r="B2187" i="1"/>
  <c r="A2187" i="1"/>
  <c r="H2186" i="1"/>
  <c r="G2186" i="1"/>
  <c r="E2186" i="1"/>
  <c r="B2186" i="1"/>
  <c r="A2186" i="1"/>
  <c r="H2185" i="1"/>
  <c r="G2185" i="1"/>
  <c r="E2185" i="1"/>
  <c r="B2185" i="1"/>
  <c r="A2185" i="1"/>
  <c r="H2184" i="1"/>
  <c r="G2184" i="1"/>
  <c r="E2184" i="1"/>
  <c r="B2184" i="1"/>
  <c r="A2184" i="1"/>
  <c r="H2183" i="1"/>
  <c r="G2183" i="1"/>
  <c r="E2183" i="1"/>
  <c r="B2183" i="1"/>
  <c r="A2183" i="1"/>
  <c r="H2182" i="1"/>
  <c r="G2182" i="1"/>
  <c r="E2182" i="1"/>
  <c r="B2182" i="1"/>
  <c r="A2182" i="1"/>
  <c r="H2181" i="1"/>
  <c r="G2181" i="1"/>
  <c r="E2181" i="1"/>
  <c r="B2181" i="1"/>
  <c r="A2181" i="1"/>
  <c r="H2180" i="1"/>
  <c r="G2180" i="1"/>
  <c r="E2180" i="1"/>
  <c r="B2180" i="1"/>
  <c r="A2180" i="1"/>
  <c r="H2179" i="1"/>
  <c r="G2179" i="1"/>
  <c r="E2179" i="1"/>
  <c r="B2179" i="1"/>
  <c r="A2179" i="1"/>
  <c r="H2178" i="1"/>
  <c r="G2178" i="1"/>
  <c r="E2178" i="1"/>
  <c r="B2178" i="1"/>
  <c r="A2178" i="1"/>
  <c r="H2177" i="1"/>
  <c r="G2177" i="1"/>
  <c r="E2177" i="1"/>
  <c r="B2177" i="1"/>
  <c r="A2177" i="1"/>
  <c r="H2176" i="1"/>
  <c r="G2176" i="1"/>
  <c r="E2176" i="1"/>
  <c r="B2176" i="1"/>
  <c r="A2176" i="1"/>
  <c r="H2175" i="1"/>
  <c r="G2175" i="1"/>
  <c r="E2175" i="1"/>
  <c r="B2175" i="1"/>
  <c r="A2175" i="1"/>
  <c r="H2174" i="1"/>
  <c r="G2174" i="1"/>
  <c r="E2174" i="1"/>
  <c r="B2174" i="1"/>
  <c r="A2174" i="1"/>
  <c r="H2173" i="1"/>
  <c r="G2173" i="1"/>
  <c r="E2173" i="1"/>
  <c r="B2173" i="1"/>
  <c r="A2173" i="1"/>
  <c r="H2172" i="1"/>
  <c r="G2172" i="1"/>
  <c r="E2172" i="1"/>
  <c r="B2172" i="1"/>
  <c r="A2172" i="1"/>
  <c r="H2171" i="1"/>
  <c r="G2171" i="1"/>
  <c r="E2171" i="1"/>
  <c r="B2171" i="1"/>
  <c r="A2171" i="1"/>
  <c r="H2170" i="1"/>
  <c r="G2170" i="1"/>
  <c r="E2170" i="1"/>
  <c r="B2170" i="1"/>
  <c r="A2170" i="1"/>
  <c r="H2169" i="1"/>
  <c r="G2169" i="1"/>
  <c r="E2169" i="1"/>
  <c r="B2169" i="1"/>
  <c r="A2169" i="1"/>
  <c r="H2168" i="1"/>
  <c r="G2168" i="1"/>
  <c r="E2168" i="1"/>
  <c r="B2168" i="1"/>
  <c r="A2168" i="1"/>
  <c r="H2167" i="1"/>
  <c r="G2167" i="1"/>
  <c r="E2167" i="1"/>
  <c r="B2167" i="1"/>
  <c r="A2167" i="1"/>
  <c r="H2166" i="1"/>
  <c r="G2166" i="1"/>
  <c r="E2166" i="1"/>
  <c r="B2166" i="1"/>
  <c r="A2166" i="1"/>
  <c r="H2165" i="1"/>
  <c r="G2165" i="1"/>
  <c r="E2165" i="1"/>
  <c r="B2165" i="1"/>
  <c r="A2165" i="1"/>
  <c r="H2164" i="1"/>
  <c r="G2164" i="1"/>
  <c r="E2164" i="1"/>
  <c r="B2164" i="1"/>
  <c r="A2164" i="1"/>
  <c r="H2163" i="1"/>
  <c r="G2163" i="1"/>
  <c r="E2163" i="1"/>
  <c r="B2163" i="1"/>
  <c r="A2163" i="1"/>
  <c r="H2162" i="1"/>
  <c r="G2162" i="1"/>
  <c r="E2162" i="1"/>
  <c r="B2162" i="1"/>
  <c r="A2162" i="1"/>
  <c r="H2161" i="1"/>
  <c r="G2161" i="1"/>
  <c r="E2161" i="1"/>
  <c r="B2161" i="1"/>
  <c r="A2161" i="1"/>
  <c r="H2160" i="1"/>
  <c r="G2160" i="1"/>
  <c r="E2160" i="1"/>
  <c r="B2160" i="1"/>
  <c r="A2160" i="1"/>
  <c r="H2159" i="1"/>
  <c r="G2159" i="1"/>
  <c r="E2159" i="1"/>
  <c r="B2159" i="1"/>
  <c r="A2159" i="1"/>
  <c r="H2158" i="1"/>
  <c r="G2158" i="1"/>
  <c r="E2158" i="1"/>
  <c r="B2158" i="1"/>
  <c r="A2158" i="1"/>
  <c r="H2157" i="1"/>
  <c r="G2157" i="1"/>
  <c r="E2157" i="1"/>
  <c r="B2157" i="1"/>
  <c r="A2157" i="1"/>
  <c r="H2156" i="1"/>
  <c r="G2156" i="1"/>
  <c r="E2156" i="1"/>
  <c r="B2156" i="1"/>
  <c r="A2156" i="1"/>
  <c r="H2155" i="1"/>
  <c r="G2155" i="1"/>
  <c r="E2155" i="1"/>
  <c r="B2155" i="1"/>
  <c r="A2155" i="1"/>
  <c r="H2154" i="1"/>
  <c r="G2154" i="1"/>
  <c r="E2154" i="1"/>
  <c r="B2154" i="1"/>
  <c r="A2154" i="1"/>
  <c r="H2153" i="1"/>
  <c r="G2153" i="1"/>
  <c r="E2153" i="1"/>
  <c r="B2153" i="1"/>
  <c r="A2153" i="1"/>
  <c r="H2152" i="1"/>
  <c r="G2152" i="1"/>
  <c r="E2152" i="1"/>
  <c r="B2152" i="1"/>
  <c r="A2152" i="1"/>
  <c r="H2151" i="1"/>
  <c r="G2151" i="1"/>
  <c r="E2151" i="1"/>
  <c r="B2151" i="1"/>
  <c r="A2151" i="1"/>
  <c r="H2150" i="1"/>
  <c r="G2150" i="1"/>
  <c r="E2150" i="1"/>
  <c r="B2150" i="1"/>
  <c r="A2150" i="1"/>
  <c r="H2149" i="1"/>
  <c r="G2149" i="1"/>
  <c r="E2149" i="1"/>
  <c r="B2149" i="1"/>
  <c r="A2149" i="1"/>
  <c r="H2148" i="1"/>
  <c r="G2148" i="1"/>
  <c r="E2148" i="1"/>
  <c r="B2148" i="1"/>
  <c r="A2148" i="1"/>
  <c r="H2147" i="1"/>
  <c r="G2147" i="1"/>
  <c r="E2147" i="1"/>
  <c r="B2147" i="1"/>
  <c r="A2147" i="1"/>
  <c r="H2146" i="1"/>
  <c r="G2146" i="1"/>
  <c r="E2146" i="1"/>
  <c r="B2146" i="1"/>
  <c r="A2146" i="1"/>
  <c r="H2145" i="1"/>
  <c r="G2145" i="1"/>
  <c r="E2145" i="1"/>
  <c r="B2145" i="1"/>
  <c r="A2145" i="1"/>
  <c r="H2144" i="1"/>
  <c r="G2144" i="1"/>
  <c r="E2144" i="1"/>
  <c r="B2144" i="1"/>
  <c r="A2144" i="1"/>
  <c r="H2143" i="1"/>
  <c r="G2143" i="1"/>
  <c r="E2143" i="1"/>
  <c r="B2143" i="1"/>
  <c r="A2143" i="1"/>
  <c r="H2142" i="1"/>
  <c r="G2142" i="1"/>
  <c r="E2142" i="1"/>
  <c r="B2142" i="1"/>
  <c r="A2142" i="1"/>
  <c r="H2141" i="1"/>
  <c r="G2141" i="1"/>
  <c r="E2141" i="1"/>
  <c r="B2141" i="1"/>
  <c r="A2141" i="1"/>
  <c r="H2140" i="1"/>
  <c r="G2140" i="1"/>
  <c r="E2140" i="1"/>
  <c r="B2140" i="1"/>
  <c r="A2140" i="1"/>
  <c r="H2139" i="1"/>
  <c r="G2139" i="1"/>
  <c r="E2139" i="1"/>
  <c r="B2139" i="1"/>
  <c r="A2139" i="1"/>
  <c r="H2138" i="1"/>
  <c r="G2138" i="1"/>
  <c r="E2138" i="1"/>
  <c r="B2138" i="1"/>
  <c r="A2138" i="1"/>
  <c r="H2137" i="1"/>
  <c r="G2137" i="1"/>
  <c r="E2137" i="1"/>
  <c r="B2137" i="1"/>
  <c r="A2137" i="1"/>
  <c r="H2136" i="1"/>
  <c r="G2136" i="1"/>
  <c r="E2136" i="1"/>
  <c r="B2136" i="1"/>
  <c r="A2136" i="1"/>
  <c r="H2135" i="1"/>
  <c r="G2135" i="1"/>
  <c r="E2135" i="1"/>
  <c r="B2135" i="1"/>
  <c r="A2135" i="1"/>
  <c r="H2134" i="1"/>
  <c r="G2134" i="1"/>
  <c r="E2134" i="1"/>
  <c r="B2134" i="1"/>
  <c r="A2134" i="1"/>
  <c r="H2133" i="1"/>
  <c r="G2133" i="1"/>
  <c r="E2133" i="1"/>
  <c r="B2133" i="1"/>
  <c r="A2133" i="1"/>
  <c r="H2132" i="1"/>
  <c r="G2132" i="1"/>
  <c r="E2132" i="1"/>
  <c r="B2132" i="1"/>
  <c r="A2132" i="1"/>
  <c r="H2131" i="1"/>
  <c r="G2131" i="1"/>
  <c r="E2131" i="1"/>
  <c r="B2131" i="1"/>
  <c r="A2131" i="1"/>
  <c r="H2130" i="1"/>
  <c r="G2130" i="1"/>
  <c r="E2130" i="1"/>
  <c r="B2130" i="1"/>
  <c r="A2130" i="1"/>
  <c r="H2129" i="1"/>
  <c r="G2129" i="1"/>
  <c r="E2129" i="1"/>
  <c r="B2129" i="1"/>
  <c r="A2129" i="1"/>
  <c r="H2128" i="1"/>
  <c r="G2128" i="1"/>
  <c r="E2128" i="1"/>
  <c r="B2128" i="1"/>
  <c r="A2128" i="1"/>
  <c r="H2127" i="1"/>
  <c r="G2127" i="1"/>
  <c r="E2127" i="1"/>
  <c r="B2127" i="1"/>
  <c r="A2127" i="1"/>
  <c r="H2126" i="1"/>
  <c r="G2126" i="1"/>
  <c r="E2126" i="1"/>
  <c r="B2126" i="1"/>
  <c r="A2126" i="1"/>
  <c r="H2125" i="1"/>
  <c r="G2125" i="1"/>
  <c r="E2125" i="1"/>
  <c r="B2125" i="1"/>
  <c r="A2125" i="1"/>
  <c r="H2124" i="1"/>
  <c r="G2124" i="1"/>
  <c r="E2124" i="1"/>
  <c r="B2124" i="1"/>
  <c r="A2124" i="1"/>
  <c r="H2123" i="1"/>
  <c r="G2123" i="1"/>
  <c r="E2123" i="1"/>
  <c r="B2123" i="1"/>
  <c r="A2123" i="1"/>
  <c r="H2122" i="1"/>
  <c r="G2122" i="1"/>
  <c r="E2122" i="1"/>
  <c r="B2122" i="1"/>
  <c r="A2122" i="1"/>
  <c r="H2121" i="1"/>
  <c r="G2121" i="1"/>
  <c r="E2121" i="1"/>
  <c r="B2121" i="1"/>
  <c r="A2121" i="1"/>
  <c r="H2120" i="1"/>
  <c r="G2120" i="1"/>
  <c r="E2120" i="1"/>
  <c r="B2120" i="1"/>
  <c r="A2120" i="1"/>
  <c r="H2119" i="1"/>
  <c r="G2119" i="1"/>
  <c r="E2119" i="1"/>
  <c r="B2119" i="1"/>
  <c r="A2119" i="1"/>
  <c r="H2118" i="1"/>
  <c r="G2118" i="1"/>
  <c r="E2118" i="1"/>
  <c r="B2118" i="1"/>
  <c r="A2118" i="1"/>
  <c r="H2117" i="1"/>
  <c r="G2117" i="1"/>
  <c r="E2117" i="1"/>
  <c r="B2117" i="1"/>
  <c r="A2117" i="1"/>
  <c r="H2116" i="1"/>
  <c r="G2116" i="1"/>
  <c r="E2116" i="1"/>
  <c r="B2116" i="1"/>
  <c r="A2116" i="1"/>
  <c r="H2115" i="1"/>
  <c r="G2115" i="1"/>
  <c r="E2115" i="1"/>
  <c r="B2115" i="1"/>
  <c r="A2115" i="1"/>
  <c r="H2114" i="1"/>
  <c r="G2114" i="1"/>
  <c r="E2114" i="1"/>
  <c r="B2114" i="1"/>
  <c r="A2114" i="1"/>
  <c r="H2113" i="1"/>
  <c r="G2113" i="1"/>
  <c r="E2113" i="1"/>
  <c r="B2113" i="1"/>
  <c r="A2113" i="1"/>
  <c r="H2112" i="1"/>
  <c r="G2112" i="1"/>
  <c r="E2112" i="1"/>
  <c r="B2112" i="1"/>
  <c r="A2112" i="1"/>
  <c r="H2111" i="1"/>
  <c r="G2111" i="1"/>
  <c r="E2111" i="1"/>
  <c r="B2111" i="1"/>
  <c r="A2111" i="1"/>
  <c r="H2110" i="1"/>
  <c r="G2110" i="1"/>
  <c r="E2110" i="1"/>
  <c r="B2110" i="1"/>
  <c r="A2110" i="1"/>
  <c r="H2109" i="1"/>
  <c r="G2109" i="1"/>
  <c r="E2109" i="1"/>
  <c r="B2109" i="1"/>
  <c r="A2109" i="1"/>
  <c r="H2108" i="1"/>
  <c r="G2108" i="1"/>
  <c r="E2108" i="1"/>
  <c r="B2108" i="1"/>
  <c r="A2108" i="1"/>
  <c r="H2107" i="1"/>
  <c r="G2107" i="1"/>
  <c r="E2107" i="1"/>
  <c r="B2107" i="1"/>
  <c r="A2107" i="1"/>
  <c r="H2106" i="1"/>
  <c r="G2106" i="1"/>
  <c r="E2106" i="1"/>
  <c r="B2106" i="1"/>
  <c r="A2106" i="1"/>
  <c r="H2105" i="1"/>
  <c r="G2105" i="1"/>
  <c r="E2105" i="1"/>
  <c r="B2105" i="1"/>
  <c r="A2105" i="1"/>
  <c r="H2104" i="1"/>
  <c r="G2104" i="1"/>
  <c r="E2104" i="1"/>
  <c r="B2104" i="1"/>
  <c r="A2104" i="1"/>
  <c r="H2103" i="1"/>
  <c r="G2103" i="1"/>
  <c r="E2103" i="1"/>
  <c r="B2103" i="1"/>
  <c r="A2103" i="1"/>
  <c r="H2102" i="1"/>
  <c r="G2102" i="1"/>
  <c r="E2102" i="1"/>
  <c r="B2102" i="1"/>
  <c r="A2102" i="1"/>
  <c r="H2101" i="1"/>
  <c r="G2101" i="1"/>
  <c r="E2101" i="1"/>
  <c r="B2101" i="1"/>
  <c r="A2101" i="1"/>
  <c r="H2100" i="1"/>
  <c r="G2100" i="1"/>
  <c r="E2100" i="1"/>
  <c r="B2100" i="1"/>
  <c r="A2100" i="1"/>
  <c r="H2099" i="1"/>
  <c r="G2099" i="1"/>
  <c r="E2099" i="1"/>
  <c r="B2099" i="1"/>
  <c r="A2099" i="1"/>
  <c r="H2098" i="1"/>
  <c r="G2098" i="1"/>
  <c r="E2098" i="1"/>
  <c r="B2098" i="1"/>
  <c r="A2098" i="1"/>
  <c r="H2097" i="1"/>
  <c r="G2097" i="1"/>
  <c r="E2097" i="1"/>
  <c r="B2097" i="1"/>
  <c r="A2097" i="1"/>
  <c r="H2096" i="1"/>
  <c r="G2096" i="1"/>
  <c r="E2096" i="1"/>
  <c r="B2096" i="1"/>
  <c r="A2096" i="1"/>
  <c r="H2095" i="1"/>
  <c r="G2095" i="1"/>
  <c r="E2095" i="1"/>
  <c r="B2095" i="1"/>
  <c r="A2095" i="1"/>
  <c r="H2094" i="1"/>
  <c r="G2094" i="1"/>
  <c r="E2094" i="1"/>
  <c r="B2094" i="1"/>
  <c r="A2094" i="1"/>
  <c r="H2093" i="1"/>
  <c r="G2093" i="1"/>
  <c r="E2093" i="1"/>
  <c r="B2093" i="1"/>
  <c r="A2093" i="1"/>
  <c r="H2092" i="1"/>
  <c r="G2092" i="1"/>
  <c r="E2092" i="1"/>
  <c r="B2092" i="1"/>
  <c r="A2092" i="1"/>
  <c r="H2091" i="1"/>
  <c r="G2091" i="1"/>
  <c r="E2091" i="1"/>
  <c r="B2091" i="1"/>
  <c r="A2091" i="1"/>
  <c r="H2090" i="1"/>
  <c r="G2090" i="1"/>
  <c r="E2090" i="1"/>
  <c r="B2090" i="1"/>
  <c r="A2090" i="1"/>
  <c r="H2089" i="1"/>
  <c r="G2089" i="1"/>
  <c r="E2089" i="1"/>
  <c r="B2089" i="1"/>
  <c r="A2089" i="1"/>
  <c r="H2088" i="1"/>
  <c r="G2088" i="1"/>
  <c r="E2088" i="1"/>
  <c r="B2088" i="1"/>
  <c r="A2088" i="1"/>
  <c r="H2087" i="1"/>
  <c r="G2087" i="1"/>
  <c r="E2087" i="1"/>
  <c r="B2087" i="1"/>
  <c r="A2087" i="1"/>
  <c r="H2086" i="1"/>
  <c r="G2086" i="1"/>
  <c r="E2086" i="1"/>
  <c r="B2086" i="1"/>
  <c r="A2086" i="1"/>
  <c r="H2085" i="1"/>
  <c r="G2085" i="1"/>
  <c r="E2085" i="1"/>
  <c r="B2085" i="1"/>
  <c r="A2085" i="1"/>
  <c r="H2084" i="1"/>
  <c r="G2084" i="1"/>
  <c r="E2084" i="1"/>
  <c r="B2084" i="1"/>
  <c r="A2084" i="1"/>
  <c r="H2083" i="1"/>
  <c r="G2083" i="1"/>
  <c r="E2083" i="1"/>
  <c r="B2083" i="1"/>
  <c r="A2083" i="1"/>
  <c r="H2082" i="1"/>
  <c r="G2082" i="1"/>
  <c r="E2082" i="1"/>
  <c r="B2082" i="1"/>
  <c r="A2082" i="1"/>
  <c r="H2081" i="1"/>
  <c r="G2081" i="1"/>
  <c r="E2081" i="1"/>
  <c r="B2081" i="1"/>
  <c r="A2081" i="1"/>
  <c r="H2080" i="1"/>
  <c r="G2080" i="1"/>
  <c r="E2080" i="1"/>
  <c r="B2080" i="1"/>
  <c r="A2080" i="1"/>
  <c r="H2079" i="1"/>
  <c r="G2079" i="1"/>
  <c r="E2079" i="1"/>
  <c r="B2079" i="1"/>
  <c r="A2079" i="1"/>
  <c r="H2078" i="1"/>
  <c r="G2078" i="1"/>
  <c r="E2078" i="1"/>
  <c r="B2078" i="1"/>
  <c r="A2078" i="1"/>
  <c r="H2077" i="1"/>
  <c r="G2077" i="1"/>
  <c r="E2077" i="1"/>
  <c r="B2077" i="1"/>
  <c r="A2077" i="1"/>
  <c r="H2076" i="1"/>
  <c r="G2076" i="1"/>
  <c r="E2076" i="1"/>
  <c r="B2076" i="1"/>
  <c r="A2076" i="1"/>
  <c r="H2075" i="1"/>
  <c r="G2075" i="1"/>
  <c r="E2075" i="1"/>
  <c r="B2075" i="1"/>
  <c r="A2075" i="1"/>
  <c r="H2074" i="1"/>
  <c r="G2074" i="1"/>
  <c r="E2074" i="1"/>
  <c r="B2074" i="1"/>
  <c r="A2074" i="1"/>
  <c r="H2073" i="1"/>
  <c r="G2073" i="1"/>
  <c r="E2073" i="1"/>
  <c r="B2073" i="1"/>
  <c r="A2073" i="1"/>
  <c r="H2072" i="1"/>
  <c r="G2072" i="1"/>
  <c r="E2072" i="1"/>
  <c r="B2072" i="1"/>
  <c r="A2072" i="1"/>
  <c r="H2071" i="1"/>
  <c r="G2071" i="1"/>
  <c r="E2071" i="1"/>
  <c r="B2071" i="1"/>
  <c r="A2071" i="1"/>
  <c r="H2070" i="1"/>
  <c r="G2070" i="1"/>
  <c r="E2070" i="1"/>
  <c r="B2070" i="1"/>
  <c r="A2070" i="1"/>
  <c r="H2069" i="1"/>
  <c r="G2069" i="1"/>
  <c r="E2069" i="1"/>
  <c r="B2069" i="1"/>
  <c r="A2069" i="1"/>
  <c r="H2068" i="1"/>
  <c r="G2068" i="1"/>
  <c r="E2068" i="1"/>
  <c r="B2068" i="1"/>
  <c r="A2068" i="1"/>
  <c r="H2067" i="1"/>
  <c r="G2067" i="1"/>
  <c r="E2067" i="1"/>
  <c r="B2067" i="1"/>
  <c r="A2067" i="1"/>
  <c r="H2066" i="1"/>
  <c r="G2066" i="1"/>
  <c r="E2066" i="1"/>
  <c r="B2066" i="1"/>
  <c r="A2066" i="1"/>
  <c r="H2065" i="1"/>
  <c r="G2065" i="1"/>
  <c r="E2065" i="1"/>
  <c r="B2065" i="1"/>
  <c r="A2065" i="1"/>
  <c r="H2064" i="1"/>
  <c r="G2064" i="1"/>
  <c r="E2064" i="1"/>
  <c r="B2064" i="1"/>
  <c r="A2064" i="1"/>
  <c r="H2063" i="1"/>
  <c r="G2063" i="1"/>
  <c r="E2063" i="1"/>
  <c r="B2063" i="1"/>
  <c r="A2063" i="1"/>
  <c r="H2062" i="1"/>
  <c r="G2062" i="1"/>
  <c r="E2062" i="1"/>
  <c r="B2062" i="1"/>
  <c r="A2062" i="1"/>
  <c r="H2061" i="1"/>
  <c r="G2061" i="1"/>
  <c r="E2061" i="1"/>
  <c r="B2061" i="1"/>
  <c r="A2061" i="1"/>
  <c r="H2060" i="1"/>
  <c r="G2060" i="1"/>
  <c r="E2060" i="1"/>
  <c r="B2060" i="1"/>
  <c r="A2060" i="1"/>
  <c r="H2059" i="1"/>
  <c r="G2059" i="1"/>
  <c r="E2059" i="1"/>
  <c r="B2059" i="1"/>
  <c r="A2059" i="1"/>
  <c r="H2058" i="1"/>
  <c r="G2058" i="1"/>
  <c r="E2058" i="1"/>
  <c r="B2058" i="1"/>
  <c r="A2058" i="1"/>
  <c r="H2057" i="1"/>
  <c r="G2057" i="1"/>
  <c r="E2057" i="1"/>
  <c r="B2057" i="1"/>
  <c r="A2057" i="1"/>
  <c r="H2056" i="1"/>
  <c r="G2056" i="1"/>
  <c r="E2056" i="1"/>
  <c r="B2056" i="1"/>
  <c r="A2056" i="1"/>
  <c r="H2055" i="1"/>
  <c r="G2055" i="1"/>
  <c r="E2055" i="1"/>
  <c r="B2055" i="1"/>
  <c r="A2055" i="1"/>
  <c r="H2054" i="1"/>
  <c r="G2054" i="1"/>
  <c r="E2054" i="1"/>
  <c r="B2054" i="1"/>
  <c r="A2054" i="1"/>
  <c r="H2053" i="1"/>
  <c r="G2053" i="1"/>
  <c r="E2053" i="1"/>
  <c r="B2053" i="1"/>
  <c r="A2053" i="1"/>
  <c r="H2052" i="1"/>
  <c r="G2052" i="1"/>
  <c r="E2052" i="1"/>
  <c r="B2052" i="1"/>
  <c r="A2052" i="1"/>
  <c r="H2051" i="1"/>
  <c r="G2051" i="1"/>
  <c r="E2051" i="1"/>
  <c r="B2051" i="1"/>
  <c r="A2051" i="1"/>
  <c r="H2050" i="1"/>
  <c r="G2050" i="1"/>
  <c r="E2050" i="1"/>
  <c r="B2050" i="1"/>
  <c r="A2050" i="1"/>
  <c r="H2049" i="1"/>
  <c r="G2049" i="1"/>
  <c r="E2049" i="1"/>
  <c r="B2049" i="1"/>
  <c r="A2049" i="1"/>
  <c r="H2048" i="1"/>
  <c r="G2048" i="1"/>
  <c r="E2048" i="1"/>
  <c r="B2048" i="1"/>
  <c r="A2048" i="1"/>
  <c r="H2047" i="1"/>
  <c r="G2047" i="1"/>
  <c r="E2047" i="1"/>
  <c r="B2047" i="1"/>
  <c r="A2047" i="1"/>
  <c r="H2046" i="1"/>
  <c r="G2046" i="1"/>
  <c r="E2046" i="1"/>
  <c r="B2046" i="1"/>
  <c r="A2046" i="1"/>
  <c r="H2045" i="1"/>
  <c r="G2045" i="1"/>
  <c r="E2045" i="1"/>
  <c r="B2045" i="1"/>
  <c r="A2045" i="1"/>
  <c r="H2044" i="1"/>
  <c r="G2044" i="1"/>
  <c r="E2044" i="1"/>
  <c r="B2044" i="1"/>
  <c r="A2044" i="1"/>
  <c r="H2043" i="1"/>
  <c r="G2043" i="1"/>
  <c r="E2043" i="1"/>
  <c r="B2043" i="1"/>
  <c r="A2043" i="1"/>
  <c r="H2042" i="1"/>
  <c r="G2042" i="1"/>
  <c r="E2042" i="1"/>
  <c r="B2042" i="1"/>
  <c r="A2042" i="1"/>
  <c r="H2041" i="1"/>
  <c r="G2041" i="1"/>
  <c r="E2041" i="1"/>
  <c r="B2041" i="1"/>
  <c r="A2041" i="1"/>
  <c r="H2040" i="1"/>
  <c r="G2040" i="1"/>
  <c r="E2040" i="1"/>
  <c r="B2040" i="1"/>
  <c r="A2040" i="1"/>
  <c r="H2039" i="1"/>
  <c r="G2039" i="1"/>
  <c r="E2039" i="1"/>
  <c r="B2039" i="1"/>
  <c r="A2039" i="1"/>
  <c r="H2038" i="1"/>
  <c r="G2038" i="1"/>
  <c r="E2038" i="1"/>
  <c r="B2038" i="1"/>
  <c r="A2038" i="1"/>
  <c r="H2037" i="1"/>
  <c r="G2037" i="1"/>
  <c r="E2037" i="1"/>
  <c r="B2037" i="1"/>
  <c r="A2037" i="1"/>
  <c r="H2036" i="1"/>
  <c r="G2036" i="1"/>
  <c r="E2036" i="1"/>
  <c r="B2036" i="1"/>
  <c r="A2036" i="1"/>
  <c r="H2035" i="1"/>
  <c r="G2035" i="1"/>
  <c r="E2035" i="1"/>
  <c r="B2035" i="1"/>
  <c r="A2035" i="1"/>
  <c r="H2034" i="1"/>
  <c r="G2034" i="1"/>
  <c r="E2034" i="1"/>
  <c r="B2034" i="1"/>
  <c r="A2034" i="1"/>
  <c r="H2033" i="1"/>
  <c r="G2033" i="1"/>
  <c r="E2033" i="1"/>
  <c r="B2033" i="1"/>
  <c r="A2033" i="1"/>
  <c r="H2032" i="1"/>
  <c r="G2032" i="1"/>
  <c r="E2032" i="1"/>
  <c r="B2032" i="1"/>
  <c r="A2032" i="1"/>
  <c r="H2031" i="1"/>
  <c r="G2031" i="1"/>
  <c r="E2031" i="1"/>
  <c r="B2031" i="1"/>
  <c r="A2031" i="1"/>
  <c r="H2030" i="1"/>
  <c r="G2030" i="1"/>
  <c r="E2030" i="1"/>
  <c r="B2030" i="1"/>
  <c r="A2030" i="1"/>
  <c r="H2029" i="1"/>
  <c r="G2029" i="1"/>
  <c r="E2029" i="1"/>
  <c r="B2029" i="1"/>
  <c r="A2029" i="1"/>
  <c r="H2028" i="1"/>
  <c r="G2028" i="1"/>
  <c r="E2028" i="1"/>
  <c r="B2028" i="1"/>
  <c r="A2028" i="1"/>
  <c r="H2027" i="1"/>
  <c r="G2027" i="1"/>
  <c r="E2027" i="1"/>
  <c r="B2027" i="1"/>
  <c r="A2027" i="1"/>
  <c r="H2026" i="1"/>
  <c r="G2026" i="1"/>
  <c r="E2026" i="1"/>
  <c r="B2026" i="1"/>
  <c r="A2026" i="1"/>
  <c r="H2025" i="1"/>
  <c r="G2025" i="1"/>
  <c r="E2025" i="1"/>
  <c r="B2025" i="1"/>
  <c r="A2025" i="1"/>
  <c r="H2024" i="1"/>
  <c r="G2024" i="1"/>
  <c r="E2024" i="1"/>
  <c r="B2024" i="1"/>
  <c r="A2024" i="1"/>
  <c r="H2023" i="1"/>
  <c r="G2023" i="1"/>
  <c r="E2023" i="1"/>
  <c r="B2023" i="1"/>
  <c r="A2023" i="1"/>
  <c r="H2022" i="1"/>
  <c r="G2022" i="1"/>
  <c r="E2022" i="1"/>
  <c r="B2022" i="1"/>
  <c r="A2022" i="1"/>
  <c r="H2021" i="1"/>
  <c r="G2021" i="1"/>
  <c r="E2021" i="1"/>
  <c r="B2021" i="1"/>
  <c r="A2021" i="1"/>
  <c r="H2020" i="1"/>
  <c r="G2020" i="1"/>
  <c r="E2020" i="1"/>
  <c r="B2020" i="1"/>
  <c r="A2020" i="1"/>
  <c r="H2019" i="1"/>
  <c r="G2019" i="1"/>
  <c r="E2019" i="1"/>
  <c r="B2019" i="1"/>
  <c r="A2019" i="1"/>
  <c r="H2018" i="1"/>
  <c r="G2018" i="1"/>
  <c r="E2018" i="1"/>
  <c r="B2018" i="1"/>
  <c r="A2018" i="1"/>
  <c r="H2017" i="1"/>
  <c r="G2017" i="1"/>
  <c r="E2017" i="1"/>
  <c r="B2017" i="1"/>
  <c r="A2017" i="1"/>
  <c r="H2016" i="1"/>
  <c r="G2016" i="1"/>
  <c r="E2016" i="1"/>
  <c r="B2016" i="1"/>
  <c r="A2016" i="1"/>
  <c r="H2015" i="1"/>
  <c r="G2015" i="1"/>
  <c r="E2015" i="1"/>
  <c r="B2015" i="1"/>
  <c r="A2015" i="1"/>
  <c r="H2014" i="1"/>
  <c r="G2014" i="1"/>
  <c r="E2014" i="1"/>
  <c r="B2014" i="1"/>
  <c r="A2014" i="1"/>
  <c r="H2013" i="1"/>
  <c r="G2013" i="1"/>
  <c r="E2013" i="1"/>
  <c r="B2013" i="1"/>
  <c r="A2013" i="1"/>
  <c r="H2012" i="1"/>
  <c r="G2012" i="1"/>
  <c r="E2012" i="1"/>
  <c r="B2012" i="1"/>
  <c r="A2012" i="1"/>
  <c r="H2011" i="1"/>
  <c r="G2011" i="1"/>
  <c r="E2011" i="1"/>
  <c r="B2011" i="1"/>
  <c r="A2011" i="1"/>
  <c r="H2010" i="1"/>
  <c r="G2010" i="1"/>
  <c r="E2010" i="1"/>
  <c r="B2010" i="1"/>
  <c r="A2010" i="1"/>
  <c r="H2009" i="1"/>
  <c r="G2009" i="1"/>
  <c r="E2009" i="1"/>
  <c r="B2009" i="1"/>
  <c r="A2009" i="1"/>
  <c r="H2008" i="1"/>
  <c r="G2008" i="1"/>
  <c r="E2008" i="1"/>
  <c r="B2008" i="1"/>
  <c r="A2008" i="1"/>
  <c r="H2007" i="1"/>
  <c r="G2007" i="1"/>
  <c r="E2007" i="1"/>
  <c r="B2007" i="1"/>
  <c r="A2007" i="1"/>
  <c r="H2006" i="1"/>
  <c r="G2006" i="1"/>
  <c r="E2006" i="1"/>
  <c r="B2006" i="1"/>
  <c r="A2006" i="1"/>
  <c r="H2005" i="1"/>
  <c r="G2005" i="1"/>
  <c r="E2005" i="1"/>
  <c r="B2005" i="1"/>
  <c r="A2005" i="1"/>
  <c r="H2004" i="1"/>
  <c r="G2004" i="1"/>
  <c r="E2004" i="1"/>
  <c r="B2004" i="1"/>
  <c r="A2004" i="1"/>
  <c r="H2003" i="1"/>
  <c r="G2003" i="1"/>
  <c r="E2003" i="1"/>
  <c r="B2003" i="1"/>
  <c r="A2003" i="1"/>
  <c r="H2002" i="1"/>
  <c r="G2002" i="1"/>
  <c r="E2002" i="1"/>
  <c r="B2002" i="1"/>
  <c r="A2002" i="1"/>
  <c r="H2001" i="1"/>
  <c r="G2001" i="1"/>
  <c r="E2001" i="1"/>
  <c r="B2001" i="1"/>
  <c r="A2001" i="1"/>
  <c r="H2000" i="1"/>
  <c r="G2000" i="1"/>
  <c r="E2000" i="1"/>
  <c r="B2000" i="1"/>
  <c r="A2000" i="1"/>
  <c r="H1999" i="1"/>
  <c r="G1999" i="1"/>
  <c r="E1999" i="1"/>
  <c r="B1999" i="1"/>
  <c r="A1999" i="1"/>
  <c r="H1998" i="1"/>
  <c r="G1998" i="1"/>
  <c r="E1998" i="1"/>
  <c r="B1998" i="1"/>
  <c r="A1998" i="1"/>
  <c r="H1997" i="1"/>
  <c r="G1997" i="1"/>
  <c r="E1997" i="1"/>
  <c r="B1997" i="1"/>
  <c r="A1997" i="1"/>
  <c r="H1996" i="1"/>
  <c r="G1996" i="1"/>
  <c r="E1996" i="1"/>
  <c r="B1996" i="1"/>
  <c r="A1996" i="1"/>
  <c r="H1995" i="1"/>
  <c r="G1995" i="1"/>
  <c r="E1995" i="1"/>
  <c r="B1995" i="1"/>
  <c r="A1995" i="1"/>
  <c r="H1994" i="1"/>
  <c r="G1994" i="1"/>
  <c r="E1994" i="1"/>
  <c r="B1994" i="1"/>
  <c r="A1994" i="1"/>
  <c r="H1993" i="1"/>
  <c r="G1993" i="1"/>
  <c r="E1993" i="1"/>
  <c r="B1993" i="1"/>
  <c r="A1993" i="1"/>
  <c r="H1992" i="1"/>
  <c r="G1992" i="1"/>
  <c r="E1992" i="1"/>
  <c r="B1992" i="1"/>
  <c r="A1992" i="1"/>
  <c r="H1991" i="1"/>
  <c r="G1991" i="1"/>
  <c r="E1991" i="1"/>
  <c r="B1991" i="1"/>
  <c r="A1991" i="1"/>
  <c r="H1990" i="1"/>
  <c r="G1990" i="1"/>
  <c r="E1990" i="1"/>
  <c r="B1990" i="1"/>
  <c r="A1990" i="1"/>
  <c r="H1989" i="1"/>
  <c r="G1989" i="1"/>
  <c r="E1989" i="1"/>
  <c r="B1989" i="1"/>
  <c r="A1989" i="1"/>
  <c r="H1988" i="1"/>
  <c r="G1988" i="1"/>
  <c r="E1988" i="1"/>
  <c r="B1988" i="1"/>
  <c r="A1988" i="1"/>
  <c r="H1987" i="1"/>
  <c r="G1987" i="1"/>
  <c r="E1987" i="1"/>
  <c r="B1987" i="1"/>
  <c r="A1987" i="1"/>
  <c r="H1986" i="1"/>
  <c r="G1986" i="1"/>
  <c r="E1986" i="1"/>
  <c r="B1986" i="1"/>
  <c r="A1986" i="1"/>
  <c r="H1985" i="1"/>
  <c r="G1985" i="1"/>
  <c r="E1985" i="1"/>
  <c r="B1985" i="1"/>
  <c r="A1985" i="1"/>
  <c r="H1984" i="1"/>
  <c r="G1984" i="1"/>
  <c r="E1984" i="1"/>
  <c r="B1984" i="1"/>
  <c r="A1984" i="1"/>
  <c r="H1983" i="1"/>
  <c r="G1983" i="1"/>
  <c r="E1983" i="1"/>
  <c r="B1983" i="1"/>
  <c r="A1983" i="1"/>
  <c r="H1982" i="1"/>
  <c r="G1982" i="1"/>
  <c r="E1982" i="1"/>
  <c r="B1982" i="1"/>
  <c r="A1982" i="1"/>
  <c r="H1981" i="1"/>
  <c r="G1981" i="1"/>
  <c r="E1981" i="1"/>
  <c r="B1981" i="1"/>
  <c r="A1981" i="1"/>
  <c r="H1980" i="1"/>
  <c r="G1980" i="1"/>
  <c r="E1980" i="1"/>
  <c r="B1980" i="1"/>
  <c r="A1980" i="1"/>
  <c r="H1979" i="1"/>
  <c r="G1979" i="1"/>
  <c r="E1979" i="1"/>
  <c r="B1979" i="1"/>
  <c r="A1979" i="1"/>
  <c r="H1978" i="1"/>
  <c r="G1978" i="1"/>
  <c r="E1978" i="1"/>
  <c r="B1978" i="1"/>
  <c r="A1978" i="1"/>
  <c r="H1977" i="1"/>
  <c r="G1977" i="1"/>
  <c r="E1977" i="1"/>
  <c r="B1977" i="1"/>
  <c r="A1977" i="1"/>
  <c r="H1976" i="1"/>
  <c r="G1976" i="1"/>
  <c r="E1976" i="1"/>
  <c r="B1976" i="1"/>
  <c r="A1976" i="1"/>
  <c r="H1975" i="1"/>
  <c r="G1975" i="1"/>
  <c r="E1975" i="1"/>
  <c r="B1975" i="1"/>
  <c r="A1975" i="1"/>
  <c r="H1974" i="1"/>
  <c r="G1974" i="1"/>
  <c r="E1974" i="1"/>
  <c r="B1974" i="1"/>
  <c r="A1974" i="1"/>
  <c r="H1973" i="1"/>
  <c r="G1973" i="1"/>
  <c r="E1973" i="1"/>
  <c r="B1973" i="1"/>
  <c r="A1973" i="1"/>
  <c r="H1972" i="1"/>
  <c r="G1972" i="1"/>
  <c r="E1972" i="1"/>
  <c r="B1972" i="1"/>
  <c r="A1972" i="1"/>
  <c r="H1971" i="1"/>
  <c r="G1971" i="1"/>
  <c r="E1971" i="1"/>
  <c r="B1971" i="1"/>
  <c r="A1971" i="1"/>
  <c r="H1970" i="1"/>
  <c r="G1970" i="1"/>
  <c r="E1970" i="1"/>
  <c r="B1970" i="1"/>
  <c r="A1970" i="1"/>
  <c r="H1969" i="1"/>
  <c r="G1969" i="1"/>
  <c r="E1969" i="1"/>
  <c r="B1969" i="1"/>
  <c r="A1969" i="1"/>
  <c r="H1968" i="1"/>
  <c r="G1968" i="1"/>
  <c r="E1968" i="1"/>
  <c r="B1968" i="1"/>
  <c r="A1968" i="1"/>
  <c r="H1967" i="1"/>
  <c r="G1967" i="1"/>
  <c r="E1967" i="1"/>
  <c r="B1967" i="1"/>
  <c r="A1967" i="1"/>
  <c r="H1966" i="1"/>
  <c r="G1966" i="1"/>
  <c r="E1966" i="1"/>
  <c r="B1966" i="1"/>
  <c r="A1966" i="1"/>
  <c r="H1965" i="1"/>
  <c r="G1965" i="1"/>
  <c r="E1965" i="1"/>
  <c r="B1965" i="1"/>
  <c r="A1965" i="1"/>
  <c r="H1964" i="1"/>
  <c r="G1964" i="1"/>
  <c r="E1964" i="1"/>
  <c r="B1964" i="1"/>
  <c r="A1964" i="1"/>
  <c r="H1963" i="1"/>
  <c r="G1963" i="1"/>
  <c r="E1963" i="1"/>
  <c r="B1963" i="1"/>
  <c r="A1963" i="1"/>
  <c r="H1962" i="1"/>
  <c r="G1962" i="1"/>
  <c r="E1962" i="1"/>
  <c r="B1962" i="1"/>
  <c r="A1962" i="1"/>
  <c r="H1961" i="1"/>
  <c r="G1961" i="1"/>
  <c r="E1961" i="1"/>
  <c r="B1961" i="1"/>
  <c r="A1961" i="1"/>
  <c r="H1960" i="1"/>
  <c r="G1960" i="1"/>
  <c r="E1960" i="1"/>
  <c r="B1960" i="1"/>
  <c r="A1960" i="1"/>
  <c r="H1959" i="1"/>
  <c r="G1959" i="1"/>
  <c r="E1959" i="1"/>
  <c r="B1959" i="1"/>
  <c r="A1959" i="1"/>
  <c r="H1958" i="1"/>
  <c r="G1958" i="1"/>
  <c r="E1958" i="1"/>
  <c r="B1958" i="1"/>
  <c r="A1958" i="1"/>
  <c r="H1957" i="1"/>
  <c r="G1957" i="1"/>
  <c r="E1957" i="1"/>
  <c r="B1957" i="1"/>
  <c r="A1957" i="1"/>
  <c r="H1956" i="1"/>
  <c r="G1956" i="1"/>
  <c r="E1956" i="1"/>
  <c r="B1956" i="1"/>
  <c r="A1956" i="1"/>
  <c r="H1955" i="1"/>
  <c r="G1955" i="1"/>
  <c r="E1955" i="1"/>
  <c r="B1955" i="1"/>
  <c r="A1955" i="1"/>
  <c r="H1954" i="1"/>
  <c r="G1954" i="1"/>
  <c r="E1954" i="1"/>
  <c r="B1954" i="1"/>
  <c r="A1954" i="1"/>
  <c r="H1953" i="1"/>
  <c r="G1953" i="1"/>
  <c r="E1953" i="1"/>
  <c r="B1953" i="1"/>
  <c r="A1953" i="1"/>
  <c r="H1952" i="1"/>
  <c r="G1952" i="1"/>
  <c r="E1952" i="1"/>
  <c r="B1952" i="1"/>
  <c r="A1952" i="1"/>
  <c r="H1951" i="1"/>
  <c r="G1951" i="1"/>
  <c r="E1951" i="1"/>
  <c r="B1951" i="1"/>
  <c r="A1951" i="1"/>
  <c r="H1950" i="1"/>
  <c r="G1950" i="1"/>
  <c r="E1950" i="1"/>
  <c r="B1950" i="1"/>
  <c r="A1950" i="1"/>
  <c r="H1949" i="1"/>
  <c r="G1949" i="1"/>
  <c r="E1949" i="1"/>
  <c r="B1949" i="1"/>
  <c r="A1949" i="1"/>
  <c r="H1948" i="1"/>
  <c r="G1948" i="1"/>
  <c r="E1948" i="1"/>
  <c r="B1948" i="1"/>
  <c r="A1948" i="1"/>
  <c r="H1947" i="1"/>
  <c r="G1947" i="1"/>
  <c r="E1947" i="1"/>
  <c r="B1947" i="1"/>
  <c r="A1947" i="1"/>
  <c r="H1946" i="1"/>
  <c r="G1946" i="1"/>
  <c r="E1946" i="1"/>
  <c r="B1946" i="1"/>
  <c r="A1946" i="1"/>
  <c r="H1945" i="1"/>
  <c r="G1945" i="1"/>
  <c r="E1945" i="1"/>
  <c r="B1945" i="1"/>
  <c r="A1945" i="1"/>
  <c r="H1944" i="1"/>
  <c r="G1944" i="1"/>
  <c r="E1944" i="1"/>
  <c r="B1944" i="1"/>
  <c r="A1944" i="1"/>
  <c r="H1943" i="1"/>
  <c r="G1943" i="1"/>
  <c r="E1943" i="1"/>
  <c r="B1943" i="1"/>
  <c r="A1943" i="1"/>
  <c r="H1942" i="1"/>
  <c r="G1942" i="1"/>
  <c r="E1942" i="1"/>
  <c r="B1942" i="1"/>
  <c r="A1942" i="1"/>
  <c r="H1941" i="1"/>
  <c r="G1941" i="1"/>
  <c r="E1941" i="1"/>
  <c r="B1941" i="1"/>
  <c r="A1941" i="1"/>
  <c r="H1940" i="1"/>
  <c r="G1940" i="1"/>
  <c r="E1940" i="1"/>
  <c r="B1940" i="1"/>
  <c r="A1940" i="1"/>
  <c r="H1939" i="1"/>
  <c r="G1939" i="1"/>
  <c r="E1939" i="1"/>
  <c r="B1939" i="1"/>
  <c r="A1939" i="1"/>
  <c r="H1938" i="1"/>
  <c r="G1938" i="1"/>
  <c r="E1938" i="1"/>
  <c r="B1938" i="1"/>
  <c r="A1938" i="1"/>
  <c r="H1937" i="1"/>
  <c r="G1937" i="1"/>
  <c r="E1937" i="1"/>
  <c r="B1937" i="1"/>
  <c r="A1937" i="1"/>
  <c r="H1936" i="1"/>
  <c r="G1936" i="1"/>
  <c r="E1936" i="1"/>
  <c r="B1936" i="1"/>
  <c r="A1936" i="1"/>
  <c r="H1935" i="1"/>
  <c r="G1935" i="1"/>
  <c r="E1935" i="1"/>
  <c r="B1935" i="1"/>
  <c r="A1935" i="1"/>
  <c r="H1934" i="1"/>
  <c r="G1934" i="1"/>
  <c r="E1934" i="1"/>
  <c r="B1934" i="1"/>
  <c r="A1934" i="1"/>
  <c r="H1933" i="1"/>
  <c r="G1933" i="1"/>
  <c r="E1933" i="1"/>
  <c r="B1933" i="1"/>
  <c r="A1933" i="1"/>
  <c r="H1932" i="1"/>
  <c r="G1932" i="1"/>
  <c r="E1932" i="1"/>
  <c r="B1932" i="1"/>
  <c r="A1932" i="1"/>
  <c r="H1931" i="1"/>
  <c r="G1931" i="1"/>
  <c r="E1931" i="1"/>
  <c r="B1931" i="1"/>
  <c r="A1931" i="1"/>
  <c r="H1930" i="1"/>
  <c r="G1930" i="1"/>
  <c r="E1930" i="1"/>
  <c r="B1930" i="1"/>
  <c r="A1930" i="1"/>
  <c r="H1929" i="1"/>
  <c r="G1929" i="1"/>
  <c r="E1929" i="1"/>
  <c r="B1929" i="1"/>
  <c r="A1929" i="1"/>
  <c r="H1928" i="1"/>
  <c r="G1928" i="1"/>
  <c r="E1928" i="1"/>
  <c r="B1928" i="1"/>
  <c r="A1928" i="1"/>
  <c r="H1927" i="1"/>
  <c r="G1927" i="1"/>
  <c r="E1927" i="1"/>
  <c r="B1927" i="1"/>
  <c r="A1927" i="1"/>
  <c r="H1926" i="1"/>
  <c r="G1926" i="1"/>
  <c r="E1926" i="1"/>
  <c r="B1926" i="1"/>
  <c r="A1926" i="1"/>
  <c r="H1925" i="1"/>
  <c r="G1925" i="1"/>
  <c r="E1925" i="1"/>
  <c r="B1925" i="1"/>
  <c r="A1925" i="1"/>
  <c r="H1924" i="1"/>
  <c r="G1924" i="1"/>
  <c r="E1924" i="1"/>
  <c r="B1924" i="1"/>
  <c r="A1924" i="1"/>
  <c r="H1923" i="1"/>
  <c r="G1923" i="1"/>
  <c r="E1923" i="1"/>
  <c r="B1923" i="1"/>
  <c r="A1923" i="1"/>
  <c r="H1922" i="1"/>
  <c r="G1922" i="1"/>
  <c r="E1922" i="1"/>
  <c r="B1922" i="1"/>
  <c r="A1922" i="1"/>
  <c r="H1921" i="1"/>
  <c r="G1921" i="1"/>
  <c r="E1921" i="1"/>
  <c r="B1921" i="1"/>
  <c r="A1921" i="1"/>
  <c r="H1920" i="1"/>
  <c r="G1920" i="1"/>
  <c r="E1920" i="1"/>
  <c r="B1920" i="1"/>
  <c r="A1920" i="1"/>
  <c r="H1919" i="1"/>
  <c r="G1919" i="1"/>
  <c r="E1919" i="1"/>
  <c r="B1919" i="1"/>
  <c r="A1919" i="1"/>
  <c r="H1918" i="1"/>
  <c r="G1918" i="1"/>
  <c r="E1918" i="1"/>
  <c r="B1918" i="1"/>
  <c r="A1918" i="1"/>
  <c r="H1917" i="1"/>
  <c r="G1917" i="1"/>
  <c r="E1917" i="1"/>
  <c r="B1917" i="1"/>
  <c r="A1917" i="1"/>
  <c r="H1916" i="1"/>
  <c r="G1916" i="1"/>
  <c r="E1916" i="1"/>
  <c r="B1916" i="1"/>
  <c r="A1916" i="1"/>
  <c r="H1915" i="1"/>
  <c r="G1915" i="1"/>
  <c r="E1915" i="1"/>
  <c r="B1915" i="1"/>
  <c r="A1915" i="1"/>
  <c r="H1914" i="1"/>
  <c r="G1914" i="1"/>
  <c r="E1914" i="1"/>
  <c r="B1914" i="1"/>
  <c r="A1914" i="1"/>
  <c r="H1913" i="1"/>
  <c r="G1913" i="1"/>
  <c r="E1913" i="1"/>
  <c r="B1913" i="1"/>
  <c r="A1913" i="1"/>
  <c r="H1912" i="1"/>
  <c r="G1912" i="1"/>
  <c r="E1912" i="1"/>
  <c r="B1912" i="1"/>
  <c r="A1912" i="1"/>
  <c r="H1911" i="1"/>
  <c r="G1911" i="1"/>
  <c r="E1911" i="1"/>
  <c r="B1911" i="1"/>
  <c r="A1911" i="1"/>
  <c r="H1910" i="1"/>
  <c r="G1910" i="1"/>
  <c r="E1910" i="1"/>
  <c r="B1910" i="1"/>
  <c r="A1910" i="1"/>
  <c r="H1909" i="1"/>
  <c r="G1909" i="1"/>
  <c r="E1909" i="1"/>
  <c r="B1909" i="1"/>
  <c r="A1909" i="1"/>
  <c r="H1908" i="1"/>
  <c r="G1908" i="1"/>
  <c r="E1908" i="1"/>
  <c r="B1908" i="1"/>
  <c r="A1908" i="1"/>
  <c r="H1907" i="1"/>
  <c r="G1907" i="1"/>
  <c r="E1907" i="1"/>
  <c r="B1907" i="1"/>
  <c r="A1907" i="1"/>
  <c r="H1906" i="1"/>
  <c r="G1906" i="1"/>
  <c r="E1906" i="1"/>
  <c r="B1906" i="1"/>
  <c r="A1906" i="1"/>
  <c r="H1905" i="1"/>
  <c r="G1905" i="1"/>
  <c r="E1905" i="1"/>
  <c r="B1905" i="1"/>
  <c r="A1905" i="1"/>
  <c r="H1904" i="1"/>
  <c r="G1904" i="1"/>
  <c r="E1904" i="1"/>
  <c r="B1904" i="1"/>
  <c r="A1904" i="1"/>
  <c r="H1903" i="1"/>
  <c r="G1903" i="1"/>
  <c r="E1903" i="1"/>
  <c r="B1903" i="1"/>
  <c r="A1903" i="1"/>
  <c r="H1902" i="1"/>
  <c r="G1902" i="1"/>
  <c r="E1902" i="1"/>
  <c r="B1902" i="1"/>
  <c r="A1902" i="1"/>
  <c r="H1901" i="1"/>
  <c r="G1901" i="1"/>
  <c r="E1901" i="1"/>
  <c r="B1901" i="1"/>
  <c r="A1901" i="1"/>
  <c r="H1900" i="1"/>
  <c r="G1900" i="1"/>
  <c r="E1900" i="1"/>
  <c r="B1900" i="1"/>
  <c r="A1900" i="1"/>
  <c r="H1899" i="1"/>
  <c r="G1899" i="1"/>
  <c r="E1899" i="1"/>
  <c r="B1899" i="1"/>
  <c r="A1899" i="1"/>
  <c r="H1898" i="1"/>
  <c r="G1898" i="1"/>
  <c r="E1898" i="1"/>
  <c r="B1898" i="1"/>
  <c r="A1898" i="1"/>
  <c r="H1897" i="1"/>
  <c r="G1897" i="1"/>
  <c r="E1897" i="1"/>
  <c r="B1897" i="1"/>
  <c r="A1897" i="1"/>
  <c r="H1896" i="1"/>
  <c r="G1896" i="1"/>
  <c r="E1896" i="1"/>
  <c r="B1896" i="1"/>
  <c r="A1896" i="1"/>
  <c r="H1895" i="1"/>
  <c r="G1895" i="1"/>
  <c r="E1895" i="1"/>
  <c r="B1895" i="1"/>
  <c r="A1895" i="1"/>
  <c r="H1894" i="1"/>
  <c r="G1894" i="1"/>
  <c r="E1894" i="1"/>
  <c r="B1894" i="1"/>
  <c r="A1894" i="1"/>
  <c r="H1893" i="1"/>
  <c r="G1893" i="1"/>
  <c r="E1893" i="1"/>
  <c r="B1893" i="1"/>
  <c r="A1893" i="1"/>
  <c r="H1892" i="1"/>
  <c r="G1892" i="1"/>
  <c r="E1892" i="1"/>
  <c r="B1892" i="1"/>
  <c r="A1892" i="1"/>
  <c r="H1891" i="1"/>
  <c r="G1891" i="1"/>
  <c r="E1891" i="1"/>
  <c r="B1891" i="1"/>
  <c r="A1891" i="1"/>
  <c r="H1890" i="1"/>
  <c r="G1890" i="1"/>
  <c r="E1890" i="1"/>
  <c r="B1890" i="1"/>
  <c r="A1890" i="1"/>
  <c r="H1889" i="1"/>
  <c r="G1889" i="1"/>
  <c r="E1889" i="1"/>
  <c r="B1889" i="1"/>
  <c r="A1889" i="1"/>
  <c r="H1888" i="1"/>
  <c r="G1888" i="1"/>
  <c r="E1888" i="1"/>
  <c r="B1888" i="1"/>
  <c r="A1888" i="1"/>
  <c r="H1887" i="1"/>
  <c r="G1887" i="1"/>
  <c r="E1887" i="1"/>
  <c r="B1887" i="1"/>
  <c r="A1887" i="1"/>
  <c r="H1886" i="1"/>
  <c r="G1886" i="1"/>
  <c r="E1886" i="1"/>
  <c r="B1886" i="1"/>
  <c r="A1886" i="1"/>
  <c r="H1885" i="1"/>
  <c r="G1885" i="1"/>
  <c r="E1885" i="1"/>
  <c r="B1885" i="1"/>
  <c r="A1885" i="1"/>
  <c r="H1884" i="1"/>
  <c r="G1884" i="1"/>
  <c r="E1884" i="1"/>
  <c r="B1884" i="1"/>
  <c r="A1884" i="1"/>
  <c r="H1883" i="1"/>
  <c r="G1883" i="1"/>
  <c r="E1883" i="1"/>
  <c r="B1883" i="1"/>
  <c r="A1883" i="1"/>
  <c r="H1882" i="1"/>
  <c r="G1882" i="1"/>
  <c r="E1882" i="1"/>
  <c r="B1882" i="1"/>
  <c r="A1882" i="1"/>
  <c r="H1881" i="1"/>
  <c r="G1881" i="1"/>
  <c r="E1881" i="1"/>
  <c r="B1881" i="1"/>
  <c r="A1881" i="1"/>
  <c r="H1880" i="1"/>
  <c r="G1880" i="1"/>
  <c r="E1880" i="1"/>
  <c r="B1880" i="1"/>
  <c r="A1880" i="1"/>
  <c r="H1879" i="1"/>
  <c r="G1879" i="1"/>
  <c r="E1879" i="1"/>
  <c r="B1879" i="1"/>
  <c r="A1879" i="1"/>
  <c r="H1878" i="1"/>
  <c r="G1878" i="1"/>
  <c r="E1878" i="1"/>
  <c r="B1878" i="1"/>
  <c r="A1878" i="1"/>
  <c r="H1877" i="1"/>
  <c r="G1877" i="1"/>
  <c r="E1877" i="1"/>
  <c r="B1877" i="1"/>
  <c r="A1877" i="1"/>
  <c r="H1876" i="1"/>
  <c r="G1876" i="1"/>
  <c r="E1876" i="1"/>
  <c r="B1876" i="1"/>
  <c r="A1876" i="1"/>
  <c r="H1875" i="1"/>
  <c r="G1875" i="1"/>
  <c r="E1875" i="1"/>
  <c r="B1875" i="1"/>
  <c r="A1875" i="1"/>
  <c r="H1874" i="1"/>
  <c r="G1874" i="1"/>
  <c r="E1874" i="1"/>
  <c r="B1874" i="1"/>
  <c r="A1874" i="1"/>
  <c r="H1873" i="1"/>
  <c r="G1873" i="1"/>
  <c r="E1873" i="1"/>
  <c r="B1873" i="1"/>
  <c r="A1873" i="1"/>
  <c r="H1872" i="1"/>
  <c r="G1872" i="1"/>
  <c r="E1872" i="1"/>
  <c r="B1872" i="1"/>
  <c r="A1872" i="1"/>
  <c r="H1871" i="1"/>
  <c r="G1871" i="1"/>
  <c r="E1871" i="1"/>
  <c r="B1871" i="1"/>
  <c r="A1871" i="1"/>
  <c r="H1870" i="1"/>
  <c r="G1870" i="1"/>
  <c r="E1870" i="1"/>
  <c r="B1870" i="1"/>
  <c r="A1870" i="1"/>
  <c r="H1869" i="1"/>
  <c r="G1869" i="1"/>
  <c r="E1869" i="1"/>
  <c r="B1869" i="1"/>
  <c r="A1869" i="1"/>
  <c r="H1868" i="1"/>
  <c r="G1868" i="1"/>
  <c r="E1868" i="1"/>
  <c r="B1868" i="1"/>
  <c r="A1868" i="1"/>
  <c r="H1867" i="1"/>
  <c r="G1867" i="1"/>
  <c r="E1867" i="1"/>
  <c r="B1867" i="1"/>
  <c r="A1867" i="1"/>
  <c r="H1866" i="1"/>
  <c r="G1866" i="1"/>
  <c r="E1866" i="1"/>
  <c r="B1866" i="1"/>
  <c r="A1866" i="1"/>
  <c r="H1865" i="1"/>
  <c r="G1865" i="1"/>
  <c r="E1865" i="1"/>
  <c r="B1865" i="1"/>
  <c r="A1865" i="1"/>
  <c r="H1864" i="1"/>
  <c r="G1864" i="1"/>
  <c r="E1864" i="1"/>
  <c r="B1864" i="1"/>
  <c r="A1864" i="1"/>
  <c r="H1863" i="1"/>
  <c r="G1863" i="1"/>
  <c r="E1863" i="1"/>
  <c r="B1863" i="1"/>
  <c r="A1863" i="1"/>
  <c r="H1862" i="1"/>
  <c r="G1862" i="1"/>
  <c r="E1862" i="1"/>
  <c r="B1862" i="1"/>
  <c r="A1862" i="1"/>
  <c r="H1861" i="1"/>
  <c r="G1861" i="1"/>
  <c r="E1861" i="1"/>
  <c r="B1861" i="1"/>
  <c r="A1861" i="1"/>
  <c r="H1860" i="1"/>
  <c r="G1860" i="1"/>
  <c r="E1860" i="1"/>
  <c r="B1860" i="1"/>
  <c r="A1860" i="1"/>
  <c r="H1859" i="1"/>
  <c r="G1859" i="1"/>
  <c r="E1859" i="1"/>
  <c r="B1859" i="1"/>
  <c r="A1859" i="1"/>
  <c r="H1858" i="1"/>
  <c r="G1858" i="1"/>
  <c r="E1858" i="1"/>
  <c r="B1858" i="1"/>
  <c r="A1858" i="1"/>
  <c r="H1857" i="1"/>
  <c r="G1857" i="1"/>
  <c r="E1857" i="1"/>
  <c r="B1857" i="1"/>
  <c r="A1857" i="1"/>
  <c r="H1856" i="1"/>
  <c r="G1856" i="1"/>
  <c r="E1856" i="1"/>
  <c r="B1856" i="1"/>
  <c r="A1856" i="1"/>
  <c r="H1855" i="1"/>
  <c r="G1855" i="1"/>
  <c r="E1855" i="1"/>
  <c r="B1855" i="1"/>
  <c r="A1855" i="1"/>
  <c r="H1854" i="1"/>
  <c r="G1854" i="1"/>
  <c r="E1854" i="1"/>
  <c r="B1854" i="1"/>
  <c r="A1854" i="1"/>
  <c r="H1853" i="1"/>
  <c r="G1853" i="1"/>
  <c r="E1853" i="1"/>
  <c r="B1853" i="1"/>
  <c r="A1853" i="1"/>
  <c r="H1852" i="1"/>
  <c r="G1852" i="1"/>
  <c r="E1852" i="1"/>
  <c r="B1852" i="1"/>
  <c r="A1852" i="1"/>
  <c r="H1851" i="1"/>
  <c r="G1851" i="1"/>
  <c r="E1851" i="1"/>
  <c r="B1851" i="1"/>
  <c r="A1851" i="1"/>
  <c r="H1850" i="1"/>
  <c r="G1850" i="1"/>
  <c r="E1850" i="1"/>
  <c r="B1850" i="1"/>
  <c r="A1850" i="1"/>
  <c r="H1849" i="1"/>
  <c r="G1849" i="1"/>
  <c r="E1849" i="1"/>
  <c r="B1849" i="1"/>
  <c r="A1849" i="1"/>
  <c r="H1848" i="1"/>
  <c r="G1848" i="1"/>
  <c r="E1848" i="1"/>
  <c r="B1848" i="1"/>
  <c r="A1848" i="1"/>
  <c r="H1847" i="1"/>
  <c r="G1847" i="1"/>
  <c r="E1847" i="1"/>
  <c r="B1847" i="1"/>
  <c r="A1847" i="1"/>
  <c r="H1846" i="1"/>
  <c r="G1846" i="1"/>
  <c r="E1846" i="1"/>
  <c r="B1846" i="1"/>
  <c r="A1846" i="1"/>
  <c r="H1845" i="1"/>
  <c r="G1845" i="1"/>
  <c r="E1845" i="1"/>
  <c r="B1845" i="1"/>
  <c r="A1845" i="1"/>
  <c r="H1844" i="1"/>
  <c r="G1844" i="1"/>
  <c r="E1844" i="1"/>
  <c r="B1844" i="1"/>
  <c r="A1844" i="1"/>
  <c r="H1843" i="1"/>
  <c r="G1843" i="1"/>
  <c r="E1843" i="1"/>
  <c r="B1843" i="1"/>
  <c r="A1843" i="1"/>
  <c r="H1842" i="1"/>
  <c r="G1842" i="1"/>
  <c r="E1842" i="1"/>
  <c r="B1842" i="1"/>
  <c r="A1842" i="1"/>
  <c r="H1841" i="1"/>
  <c r="G1841" i="1"/>
  <c r="E1841" i="1"/>
  <c r="B1841" i="1"/>
  <c r="A1841" i="1"/>
  <c r="H1840" i="1"/>
  <c r="G1840" i="1"/>
  <c r="E1840" i="1"/>
  <c r="B1840" i="1"/>
  <c r="A1840" i="1"/>
  <c r="H1839" i="1"/>
  <c r="G1839" i="1"/>
  <c r="E1839" i="1"/>
  <c r="B1839" i="1"/>
  <c r="A1839" i="1"/>
  <c r="H1838" i="1"/>
  <c r="G1838" i="1"/>
  <c r="E1838" i="1"/>
  <c r="B1838" i="1"/>
  <c r="A1838" i="1"/>
  <c r="H1837" i="1"/>
  <c r="G1837" i="1"/>
  <c r="E1837" i="1"/>
  <c r="B1837" i="1"/>
  <c r="A1837" i="1"/>
  <c r="H1836" i="1"/>
  <c r="G1836" i="1"/>
  <c r="E1836" i="1"/>
  <c r="B1836" i="1"/>
  <c r="A1836" i="1"/>
  <c r="H1835" i="1"/>
  <c r="G1835" i="1"/>
  <c r="E1835" i="1"/>
  <c r="B1835" i="1"/>
  <c r="A1835" i="1"/>
  <c r="H1834" i="1"/>
  <c r="G1834" i="1"/>
  <c r="E1834" i="1"/>
  <c r="B1834" i="1"/>
  <c r="A1834" i="1"/>
  <c r="H1833" i="1"/>
  <c r="G1833" i="1"/>
  <c r="E1833" i="1"/>
  <c r="B1833" i="1"/>
  <c r="A1833" i="1"/>
  <c r="H1832" i="1"/>
  <c r="G1832" i="1"/>
  <c r="E1832" i="1"/>
  <c r="B1832" i="1"/>
  <c r="A1832" i="1"/>
  <c r="H1831" i="1"/>
  <c r="G1831" i="1"/>
  <c r="E1831" i="1"/>
  <c r="B1831" i="1"/>
  <c r="A1831" i="1"/>
  <c r="H1830" i="1"/>
  <c r="G1830" i="1"/>
  <c r="E1830" i="1"/>
  <c r="B1830" i="1"/>
  <c r="A1830" i="1"/>
  <c r="H1829" i="1"/>
  <c r="G1829" i="1"/>
  <c r="E1829" i="1"/>
  <c r="B1829" i="1"/>
  <c r="A1829" i="1"/>
  <c r="H1828" i="1"/>
  <c r="G1828" i="1"/>
  <c r="E1828" i="1"/>
  <c r="B1828" i="1"/>
  <c r="A1828" i="1"/>
  <c r="H1827" i="1"/>
  <c r="G1827" i="1"/>
  <c r="E1827" i="1"/>
  <c r="B1827" i="1"/>
  <c r="A1827" i="1"/>
  <c r="H1826" i="1"/>
  <c r="G1826" i="1"/>
  <c r="E1826" i="1"/>
  <c r="B1826" i="1"/>
  <c r="A1826" i="1"/>
  <c r="H1825" i="1"/>
  <c r="G1825" i="1"/>
  <c r="E1825" i="1"/>
  <c r="B1825" i="1"/>
  <c r="A1825" i="1"/>
  <c r="H1824" i="1"/>
  <c r="G1824" i="1"/>
  <c r="E1824" i="1"/>
  <c r="B1824" i="1"/>
  <c r="A1824" i="1"/>
  <c r="H1823" i="1"/>
  <c r="G1823" i="1"/>
  <c r="E1823" i="1"/>
  <c r="B1823" i="1"/>
  <c r="A1823" i="1"/>
  <c r="H1822" i="1"/>
  <c r="G1822" i="1"/>
  <c r="E1822" i="1"/>
  <c r="B1822" i="1"/>
  <c r="A1822" i="1"/>
  <c r="H1821" i="1"/>
  <c r="G1821" i="1"/>
  <c r="E1821" i="1"/>
  <c r="B1821" i="1"/>
  <c r="A1821" i="1"/>
  <c r="H1820" i="1"/>
  <c r="G1820" i="1"/>
  <c r="E1820" i="1"/>
  <c r="B1820" i="1"/>
  <c r="A1820" i="1"/>
  <c r="H1819" i="1"/>
  <c r="G1819" i="1"/>
  <c r="E1819" i="1"/>
  <c r="B1819" i="1"/>
  <c r="A1819" i="1"/>
  <c r="H1818" i="1"/>
  <c r="G1818" i="1"/>
  <c r="E1818" i="1"/>
  <c r="B1818" i="1"/>
  <c r="A1818" i="1"/>
  <c r="H1817" i="1"/>
  <c r="G1817" i="1"/>
  <c r="E1817" i="1"/>
  <c r="B1817" i="1"/>
  <c r="A1817" i="1"/>
  <c r="H1816" i="1"/>
  <c r="G1816" i="1"/>
  <c r="E1816" i="1"/>
  <c r="B1816" i="1"/>
  <c r="A1816" i="1"/>
  <c r="H1815" i="1"/>
  <c r="G1815" i="1"/>
  <c r="E1815" i="1"/>
  <c r="B1815" i="1"/>
  <c r="A1815" i="1"/>
  <c r="H1814" i="1"/>
  <c r="G1814" i="1"/>
  <c r="E1814" i="1"/>
  <c r="B1814" i="1"/>
  <c r="A1814" i="1"/>
  <c r="H1813" i="1"/>
  <c r="G1813" i="1"/>
  <c r="E1813" i="1"/>
  <c r="B1813" i="1"/>
  <c r="A1813" i="1"/>
  <c r="H1812" i="1"/>
  <c r="G1812" i="1"/>
  <c r="E1812" i="1"/>
  <c r="B1812" i="1"/>
  <c r="A1812" i="1"/>
  <c r="H1811" i="1"/>
  <c r="G1811" i="1"/>
  <c r="E1811" i="1"/>
  <c r="B1811" i="1"/>
  <c r="A1811" i="1"/>
  <c r="H1810" i="1"/>
  <c r="G1810" i="1"/>
  <c r="E1810" i="1"/>
  <c r="B1810" i="1"/>
  <c r="A1810" i="1"/>
  <c r="H1809" i="1"/>
  <c r="G1809" i="1"/>
  <c r="E1809" i="1"/>
  <c r="B1809" i="1"/>
  <c r="A1809" i="1"/>
  <c r="H1808" i="1"/>
  <c r="G1808" i="1"/>
  <c r="E1808" i="1"/>
  <c r="B1808" i="1"/>
  <c r="A1808" i="1"/>
  <c r="H1807" i="1"/>
  <c r="G1807" i="1"/>
  <c r="E1807" i="1"/>
  <c r="B1807" i="1"/>
  <c r="A1807" i="1"/>
  <c r="H1806" i="1"/>
  <c r="G1806" i="1"/>
  <c r="E1806" i="1"/>
  <c r="B1806" i="1"/>
  <c r="A1806" i="1"/>
  <c r="H1805" i="1"/>
  <c r="G1805" i="1"/>
  <c r="E1805" i="1"/>
  <c r="B1805" i="1"/>
  <c r="A1805" i="1"/>
  <c r="H1804" i="1"/>
  <c r="G1804" i="1"/>
  <c r="E1804" i="1"/>
  <c r="B1804" i="1"/>
  <c r="A1804" i="1"/>
  <c r="H1803" i="1"/>
  <c r="G1803" i="1"/>
  <c r="E1803" i="1"/>
  <c r="B1803" i="1"/>
  <c r="A1803" i="1"/>
  <c r="H1802" i="1"/>
  <c r="G1802" i="1"/>
  <c r="E1802" i="1"/>
  <c r="B1802" i="1"/>
  <c r="A1802" i="1"/>
  <c r="H1801" i="1"/>
  <c r="G1801" i="1"/>
  <c r="E1801" i="1"/>
  <c r="B1801" i="1"/>
  <c r="A1801" i="1"/>
  <c r="H1800" i="1"/>
  <c r="G1800" i="1"/>
  <c r="E1800" i="1"/>
  <c r="B1800" i="1"/>
  <c r="A1800" i="1"/>
  <c r="H1799" i="1"/>
  <c r="G1799" i="1"/>
  <c r="E1799" i="1"/>
  <c r="B1799" i="1"/>
  <c r="A1799" i="1"/>
  <c r="H1798" i="1"/>
  <c r="G1798" i="1"/>
  <c r="E1798" i="1"/>
  <c r="B1798" i="1"/>
  <c r="A1798" i="1"/>
  <c r="H1797" i="1"/>
  <c r="G1797" i="1"/>
  <c r="E1797" i="1"/>
  <c r="B1797" i="1"/>
  <c r="A1797" i="1"/>
  <c r="H1796" i="1"/>
  <c r="G1796" i="1"/>
  <c r="E1796" i="1"/>
  <c r="B1796" i="1"/>
  <c r="A1796" i="1"/>
  <c r="H1795" i="1"/>
  <c r="G1795" i="1"/>
  <c r="E1795" i="1"/>
  <c r="B1795" i="1"/>
  <c r="A1795" i="1"/>
  <c r="H1794" i="1"/>
  <c r="G1794" i="1"/>
  <c r="E1794" i="1"/>
  <c r="B1794" i="1"/>
  <c r="A1794" i="1"/>
  <c r="H1793" i="1"/>
  <c r="G1793" i="1"/>
  <c r="E1793" i="1"/>
  <c r="B1793" i="1"/>
  <c r="A1793" i="1"/>
  <c r="H1792" i="1"/>
  <c r="G1792" i="1"/>
  <c r="E1792" i="1"/>
  <c r="B1792" i="1"/>
  <c r="A1792" i="1"/>
  <c r="H1791" i="1"/>
  <c r="G1791" i="1"/>
  <c r="E1791" i="1"/>
  <c r="B1791" i="1"/>
  <c r="A1791" i="1"/>
  <c r="H1790" i="1"/>
  <c r="G1790" i="1"/>
  <c r="E1790" i="1"/>
  <c r="B1790" i="1"/>
  <c r="A1790" i="1"/>
  <c r="H1789" i="1"/>
  <c r="G1789" i="1"/>
  <c r="E1789" i="1"/>
  <c r="B1789" i="1"/>
  <c r="A1789" i="1"/>
  <c r="H1788" i="1"/>
  <c r="G1788" i="1"/>
  <c r="E1788" i="1"/>
  <c r="B1788" i="1"/>
  <c r="A1788" i="1"/>
  <c r="H1787" i="1"/>
  <c r="G1787" i="1"/>
  <c r="E1787" i="1"/>
  <c r="B1787" i="1"/>
  <c r="A1787" i="1"/>
  <c r="H1786" i="1"/>
  <c r="G1786" i="1"/>
  <c r="E1786" i="1"/>
  <c r="B1786" i="1"/>
  <c r="A1786" i="1"/>
  <c r="H1785" i="1"/>
  <c r="G1785" i="1"/>
  <c r="E1785" i="1"/>
  <c r="B1785" i="1"/>
  <c r="A1785" i="1"/>
  <c r="H1784" i="1"/>
  <c r="G1784" i="1"/>
  <c r="E1784" i="1"/>
  <c r="B1784" i="1"/>
  <c r="A1784" i="1"/>
  <c r="H1783" i="1"/>
  <c r="G1783" i="1"/>
  <c r="E1783" i="1"/>
  <c r="B1783" i="1"/>
  <c r="A1783" i="1"/>
  <c r="H1782" i="1"/>
  <c r="G1782" i="1"/>
  <c r="E1782" i="1"/>
  <c r="B1782" i="1"/>
  <c r="A1782" i="1"/>
  <c r="H1781" i="1"/>
  <c r="G1781" i="1"/>
  <c r="E1781" i="1"/>
  <c r="B1781" i="1"/>
  <c r="A1781" i="1"/>
  <c r="H1780" i="1"/>
  <c r="G1780" i="1"/>
  <c r="E1780" i="1"/>
  <c r="B1780" i="1"/>
  <c r="A1780" i="1"/>
  <c r="H1779" i="1"/>
  <c r="G1779" i="1"/>
  <c r="E1779" i="1"/>
  <c r="B1779" i="1"/>
  <c r="A1779" i="1"/>
  <c r="H1778" i="1"/>
  <c r="G1778" i="1"/>
  <c r="E1778" i="1"/>
  <c r="B1778" i="1"/>
  <c r="A1778" i="1"/>
  <c r="H1777" i="1"/>
  <c r="G1777" i="1"/>
  <c r="E1777" i="1"/>
  <c r="B1777" i="1"/>
  <c r="A1777" i="1"/>
  <c r="H1776" i="1"/>
  <c r="G1776" i="1"/>
  <c r="E1776" i="1"/>
  <c r="B1776" i="1"/>
  <c r="A1776" i="1"/>
  <c r="H1775" i="1"/>
  <c r="G1775" i="1"/>
  <c r="E1775" i="1"/>
  <c r="B1775" i="1"/>
  <c r="A1775" i="1"/>
  <c r="H1774" i="1"/>
  <c r="G1774" i="1"/>
  <c r="E1774" i="1"/>
  <c r="B1774" i="1"/>
  <c r="A1774" i="1"/>
  <c r="H1773" i="1"/>
  <c r="G1773" i="1"/>
  <c r="E1773" i="1"/>
  <c r="B1773" i="1"/>
  <c r="A1773" i="1"/>
  <c r="H1772" i="1"/>
  <c r="G1772" i="1"/>
  <c r="E1772" i="1"/>
  <c r="B1772" i="1"/>
  <c r="A1772" i="1"/>
  <c r="H1771" i="1"/>
  <c r="G1771" i="1"/>
  <c r="E1771" i="1"/>
  <c r="B1771" i="1"/>
  <c r="A1771" i="1"/>
  <c r="H1770" i="1"/>
  <c r="G1770" i="1"/>
  <c r="E1770" i="1"/>
  <c r="B1770" i="1"/>
  <c r="A1770" i="1"/>
  <c r="H1769" i="1"/>
  <c r="G1769" i="1"/>
  <c r="E1769" i="1"/>
  <c r="B1769" i="1"/>
  <c r="A1769" i="1"/>
  <c r="H1768" i="1"/>
  <c r="G1768" i="1"/>
  <c r="E1768" i="1"/>
  <c r="B1768" i="1"/>
  <c r="A1768" i="1"/>
  <c r="H1767" i="1"/>
  <c r="G1767" i="1"/>
  <c r="E1767" i="1"/>
  <c r="B1767" i="1"/>
  <c r="A1767" i="1"/>
  <c r="H1766" i="1"/>
  <c r="G1766" i="1"/>
  <c r="E1766" i="1"/>
  <c r="B1766" i="1"/>
  <c r="A1766" i="1"/>
  <c r="H1765" i="1"/>
  <c r="G1765" i="1"/>
  <c r="E1765" i="1"/>
  <c r="B1765" i="1"/>
  <c r="A1765" i="1"/>
  <c r="H1764" i="1"/>
  <c r="G1764" i="1"/>
  <c r="E1764" i="1"/>
  <c r="B1764" i="1"/>
  <c r="A1764" i="1"/>
  <c r="H1763" i="1"/>
  <c r="G1763" i="1"/>
  <c r="E1763" i="1"/>
  <c r="B1763" i="1"/>
  <c r="A1763" i="1"/>
  <c r="H1762" i="1"/>
  <c r="G1762" i="1"/>
  <c r="E1762" i="1"/>
  <c r="B1762" i="1"/>
  <c r="A1762" i="1"/>
  <c r="H1761" i="1"/>
  <c r="G1761" i="1"/>
  <c r="E1761" i="1"/>
  <c r="B1761" i="1"/>
  <c r="A1761" i="1"/>
  <c r="H1760" i="1"/>
  <c r="G1760" i="1"/>
  <c r="E1760" i="1"/>
  <c r="B1760" i="1"/>
  <c r="A1760" i="1"/>
  <c r="H1759" i="1"/>
  <c r="G1759" i="1"/>
  <c r="E1759" i="1"/>
  <c r="B1759" i="1"/>
  <c r="A1759" i="1"/>
  <c r="H1758" i="1"/>
  <c r="G1758" i="1"/>
  <c r="E1758" i="1"/>
  <c r="B1758" i="1"/>
  <c r="A1758" i="1"/>
  <c r="H1757" i="1"/>
  <c r="G1757" i="1"/>
  <c r="E1757" i="1"/>
  <c r="B1757" i="1"/>
  <c r="A1757" i="1"/>
  <c r="H1756" i="1"/>
  <c r="G1756" i="1"/>
  <c r="E1756" i="1"/>
  <c r="B1756" i="1"/>
  <c r="A1756" i="1"/>
  <c r="H1755" i="1"/>
  <c r="G1755" i="1"/>
  <c r="E1755" i="1"/>
  <c r="B1755" i="1"/>
  <c r="A1755" i="1"/>
  <c r="H1754" i="1"/>
  <c r="G1754" i="1"/>
  <c r="E1754" i="1"/>
  <c r="B1754" i="1"/>
  <c r="A1754" i="1"/>
  <c r="H1753" i="1"/>
  <c r="G1753" i="1"/>
  <c r="E1753" i="1"/>
  <c r="B1753" i="1"/>
  <c r="A1753" i="1"/>
  <c r="H1752" i="1"/>
  <c r="G1752" i="1"/>
  <c r="E1752" i="1"/>
  <c r="B1752" i="1"/>
  <c r="A1752" i="1"/>
  <c r="H1751" i="1"/>
  <c r="G1751" i="1"/>
  <c r="E1751" i="1"/>
  <c r="B1751" i="1"/>
  <c r="A1751" i="1"/>
  <c r="H1750" i="1"/>
  <c r="G1750" i="1"/>
  <c r="E1750" i="1"/>
  <c r="B1750" i="1"/>
  <c r="A1750" i="1"/>
  <c r="H1749" i="1"/>
  <c r="G1749" i="1"/>
  <c r="E1749" i="1"/>
  <c r="B1749" i="1"/>
  <c r="A1749" i="1"/>
  <c r="H1748" i="1"/>
  <c r="G1748" i="1"/>
  <c r="E1748" i="1"/>
  <c r="B1748" i="1"/>
  <c r="A1748" i="1"/>
  <c r="H1747" i="1"/>
  <c r="G1747" i="1"/>
  <c r="E1747" i="1"/>
  <c r="B1747" i="1"/>
  <c r="A1747" i="1"/>
  <c r="H1746" i="1"/>
  <c r="G1746" i="1"/>
  <c r="E1746" i="1"/>
  <c r="B1746" i="1"/>
  <c r="A1746" i="1"/>
  <c r="H1745" i="1"/>
  <c r="G1745" i="1"/>
  <c r="E1745" i="1"/>
  <c r="B1745" i="1"/>
  <c r="A1745" i="1"/>
  <c r="H1744" i="1"/>
  <c r="G1744" i="1"/>
  <c r="E1744" i="1"/>
  <c r="B1744" i="1"/>
  <c r="A1744" i="1"/>
  <c r="H1743" i="1"/>
  <c r="G1743" i="1"/>
  <c r="E1743" i="1"/>
  <c r="B1743" i="1"/>
  <c r="A1743" i="1"/>
  <c r="H1742" i="1"/>
  <c r="G1742" i="1"/>
  <c r="E1742" i="1"/>
  <c r="B1742" i="1"/>
  <c r="A1742" i="1"/>
  <c r="H1741" i="1"/>
  <c r="G1741" i="1"/>
  <c r="E1741" i="1"/>
  <c r="B1741" i="1"/>
  <c r="A1741" i="1"/>
  <c r="H1740" i="1"/>
  <c r="G1740" i="1"/>
  <c r="E1740" i="1"/>
  <c r="B1740" i="1"/>
  <c r="A1740" i="1"/>
  <c r="H1739" i="1"/>
  <c r="G1739" i="1"/>
  <c r="E1739" i="1"/>
  <c r="B1739" i="1"/>
  <c r="A1739" i="1"/>
  <c r="H1738" i="1"/>
  <c r="G1738" i="1"/>
  <c r="E1738" i="1"/>
  <c r="B1738" i="1"/>
  <c r="A1738" i="1"/>
  <c r="H1737" i="1"/>
  <c r="G1737" i="1"/>
  <c r="E1737" i="1"/>
  <c r="B1737" i="1"/>
  <c r="A1737" i="1"/>
  <c r="H1736" i="1"/>
  <c r="G1736" i="1"/>
  <c r="E1736" i="1"/>
  <c r="B1736" i="1"/>
  <c r="A1736" i="1"/>
  <c r="H1735" i="1"/>
  <c r="G1735" i="1"/>
  <c r="E1735" i="1"/>
  <c r="B1735" i="1"/>
  <c r="A1735" i="1"/>
  <c r="H1734" i="1"/>
  <c r="G1734" i="1"/>
  <c r="E1734" i="1"/>
  <c r="B1734" i="1"/>
  <c r="A1734" i="1"/>
  <c r="H1733" i="1"/>
  <c r="G1733" i="1"/>
  <c r="E1733" i="1"/>
  <c r="B1733" i="1"/>
  <c r="A1733" i="1"/>
  <c r="H1732" i="1"/>
  <c r="G1732" i="1"/>
  <c r="E1732" i="1"/>
  <c r="B1732" i="1"/>
  <c r="A1732" i="1"/>
  <c r="H1731" i="1"/>
  <c r="G1731" i="1"/>
  <c r="E1731" i="1"/>
  <c r="B1731" i="1"/>
  <c r="A1731" i="1"/>
  <c r="H1730" i="1"/>
  <c r="G1730" i="1"/>
  <c r="E1730" i="1"/>
  <c r="B1730" i="1"/>
  <c r="A1730" i="1"/>
  <c r="H1729" i="1"/>
  <c r="G1729" i="1"/>
  <c r="E1729" i="1"/>
  <c r="B1729" i="1"/>
  <c r="A1729" i="1"/>
  <c r="H1728" i="1"/>
  <c r="G1728" i="1"/>
  <c r="E1728" i="1"/>
  <c r="B1728" i="1"/>
  <c r="A1728" i="1"/>
  <c r="H1727" i="1"/>
  <c r="G1727" i="1"/>
  <c r="E1727" i="1"/>
  <c r="B1727" i="1"/>
  <c r="A1727" i="1"/>
  <c r="H1726" i="1"/>
  <c r="G1726" i="1"/>
  <c r="E1726" i="1"/>
  <c r="B1726" i="1"/>
  <c r="A1726" i="1"/>
  <c r="H1725" i="1"/>
  <c r="G1725" i="1"/>
  <c r="E1725" i="1"/>
  <c r="B1725" i="1"/>
  <c r="A1725" i="1"/>
  <c r="H1724" i="1"/>
  <c r="G1724" i="1"/>
  <c r="E1724" i="1"/>
  <c r="B1724" i="1"/>
  <c r="A1724" i="1"/>
  <c r="H1723" i="1"/>
  <c r="G1723" i="1"/>
  <c r="E1723" i="1"/>
  <c r="B1723" i="1"/>
  <c r="A1723" i="1"/>
  <c r="H1722" i="1"/>
  <c r="G1722" i="1"/>
  <c r="E1722" i="1"/>
  <c r="B1722" i="1"/>
  <c r="A1722" i="1"/>
  <c r="H1721" i="1"/>
  <c r="G1721" i="1"/>
  <c r="E1721" i="1"/>
  <c r="B1721" i="1"/>
  <c r="A1721" i="1"/>
  <c r="H1720" i="1"/>
  <c r="G1720" i="1"/>
  <c r="E1720" i="1"/>
  <c r="B1720" i="1"/>
  <c r="A1720" i="1"/>
  <c r="H1719" i="1"/>
  <c r="G1719" i="1"/>
  <c r="E1719" i="1"/>
  <c r="B1719" i="1"/>
  <c r="A1719" i="1"/>
  <c r="H1718" i="1"/>
  <c r="G1718" i="1"/>
  <c r="E1718" i="1"/>
  <c r="B1718" i="1"/>
  <c r="A1718" i="1"/>
  <c r="H1717" i="1"/>
  <c r="G1717" i="1"/>
  <c r="E1717" i="1"/>
  <c r="B1717" i="1"/>
  <c r="A1717" i="1"/>
  <c r="H1716" i="1"/>
  <c r="G1716" i="1"/>
  <c r="E1716" i="1"/>
  <c r="B1716" i="1"/>
  <c r="A1716" i="1"/>
  <c r="H1715" i="1"/>
  <c r="G1715" i="1"/>
  <c r="E1715" i="1"/>
  <c r="B1715" i="1"/>
  <c r="A1715" i="1"/>
  <c r="H1714" i="1"/>
  <c r="G1714" i="1"/>
  <c r="E1714" i="1"/>
  <c r="B1714" i="1"/>
  <c r="A1714" i="1"/>
  <c r="H1713" i="1"/>
  <c r="G1713" i="1"/>
  <c r="E1713" i="1"/>
  <c r="B1713" i="1"/>
  <c r="A1713" i="1"/>
  <c r="H1712" i="1"/>
  <c r="G1712" i="1"/>
  <c r="E1712" i="1"/>
  <c r="B1712" i="1"/>
  <c r="A1712" i="1"/>
  <c r="H1711" i="1"/>
  <c r="G1711" i="1"/>
  <c r="E1711" i="1"/>
  <c r="B1711" i="1"/>
  <c r="A1711" i="1"/>
  <c r="H1710" i="1"/>
  <c r="G1710" i="1"/>
  <c r="E1710" i="1"/>
  <c r="B1710" i="1"/>
  <c r="A1710" i="1"/>
  <c r="H1709" i="1"/>
  <c r="G1709" i="1"/>
  <c r="E1709" i="1"/>
  <c r="B1709" i="1"/>
  <c r="A1709" i="1"/>
  <c r="H1708" i="1"/>
  <c r="G1708" i="1"/>
  <c r="E1708" i="1"/>
  <c r="B1708" i="1"/>
  <c r="A1708" i="1"/>
  <c r="H1707" i="1"/>
  <c r="G1707" i="1"/>
  <c r="E1707" i="1"/>
  <c r="B1707" i="1"/>
  <c r="A1707" i="1"/>
  <c r="H1706" i="1"/>
  <c r="G1706" i="1"/>
  <c r="E1706" i="1"/>
  <c r="B1706" i="1"/>
  <c r="A1706" i="1"/>
  <c r="H1705" i="1"/>
  <c r="G1705" i="1"/>
  <c r="E1705" i="1"/>
  <c r="B1705" i="1"/>
  <c r="A1705" i="1"/>
  <c r="H1704" i="1"/>
  <c r="G1704" i="1"/>
  <c r="E1704" i="1"/>
  <c r="B1704" i="1"/>
  <c r="A1704" i="1"/>
  <c r="H1703" i="1"/>
  <c r="G1703" i="1"/>
  <c r="E1703" i="1"/>
  <c r="B1703" i="1"/>
  <c r="A1703" i="1"/>
  <c r="H1702" i="1"/>
  <c r="G1702" i="1"/>
  <c r="E1702" i="1"/>
  <c r="B1702" i="1"/>
  <c r="A1702" i="1"/>
  <c r="H1701" i="1"/>
  <c r="G1701" i="1"/>
  <c r="E1701" i="1"/>
  <c r="B1701" i="1"/>
  <c r="A1701" i="1"/>
  <c r="H1700" i="1"/>
  <c r="G1700" i="1"/>
  <c r="E1700" i="1"/>
  <c r="B1700" i="1"/>
  <c r="A1700" i="1"/>
  <c r="H1699" i="1"/>
  <c r="G1699" i="1"/>
  <c r="E1699" i="1"/>
  <c r="B1699" i="1"/>
  <c r="A1699" i="1"/>
  <c r="H1698" i="1"/>
  <c r="G1698" i="1"/>
  <c r="E1698" i="1"/>
  <c r="B1698" i="1"/>
  <c r="A1698" i="1"/>
  <c r="H1697" i="1"/>
  <c r="G1697" i="1"/>
  <c r="E1697" i="1"/>
  <c r="B1697" i="1"/>
  <c r="A1697" i="1"/>
  <c r="H1696" i="1"/>
  <c r="G1696" i="1"/>
  <c r="E1696" i="1"/>
  <c r="B1696" i="1"/>
  <c r="A1696" i="1"/>
  <c r="H1695" i="1"/>
  <c r="G1695" i="1"/>
  <c r="E1695" i="1"/>
  <c r="B1695" i="1"/>
  <c r="A1695" i="1"/>
  <c r="H1694" i="1"/>
  <c r="G1694" i="1"/>
  <c r="E1694" i="1"/>
  <c r="B1694" i="1"/>
  <c r="A1694" i="1"/>
  <c r="H1693" i="1"/>
  <c r="G1693" i="1"/>
  <c r="E1693" i="1"/>
  <c r="B1693" i="1"/>
  <c r="A1693" i="1"/>
  <c r="H1692" i="1"/>
  <c r="G1692" i="1"/>
  <c r="E1692" i="1"/>
  <c r="B1692" i="1"/>
  <c r="A1692" i="1"/>
  <c r="H1691" i="1"/>
  <c r="G1691" i="1"/>
  <c r="E1691" i="1"/>
  <c r="B1691" i="1"/>
  <c r="A1691" i="1"/>
  <c r="H1690" i="1"/>
  <c r="G1690" i="1"/>
  <c r="E1690" i="1"/>
  <c r="B1690" i="1"/>
  <c r="A1690" i="1"/>
  <c r="H1689" i="1"/>
  <c r="G1689" i="1"/>
  <c r="E1689" i="1"/>
  <c r="B1689" i="1"/>
  <c r="A1689" i="1"/>
  <c r="H1688" i="1"/>
  <c r="G1688" i="1"/>
  <c r="E1688" i="1"/>
  <c r="B1688" i="1"/>
  <c r="A1688" i="1"/>
  <c r="H1687" i="1"/>
  <c r="G1687" i="1"/>
  <c r="E1687" i="1"/>
  <c r="B1687" i="1"/>
  <c r="A1687" i="1"/>
  <c r="H1686" i="1"/>
  <c r="G1686" i="1"/>
  <c r="E1686" i="1"/>
  <c r="B1686" i="1"/>
  <c r="A1686" i="1"/>
  <c r="H1685" i="1"/>
  <c r="G1685" i="1"/>
  <c r="E1685" i="1"/>
  <c r="B1685" i="1"/>
  <c r="A1685" i="1"/>
  <c r="H1684" i="1"/>
  <c r="G1684" i="1"/>
  <c r="E1684" i="1"/>
  <c r="B1684" i="1"/>
  <c r="A1684" i="1"/>
  <c r="H1683" i="1"/>
  <c r="G1683" i="1"/>
  <c r="E1683" i="1"/>
  <c r="B1683" i="1"/>
  <c r="A1683" i="1"/>
  <c r="H1682" i="1"/>
  <c r="G1682" i="1"/>
  <c r="E1682" i="1"/>
  <c r="B1682" i="1"/>
  <c r="A1682" i="1"/>
  <c r="H1681" i="1"/>
  <c r="G1681" i="1"/>
  <c r="E1681" i="1"/>
  <c r="B1681" i="1"/>
  <c r="A1681" i="1"/>
  <c r="H1680" i="1"/>
  <c r="G1680" i="1"/>
  <c r="E1680" i="1"/>
  <c r="B1680" i="1"/>
  <c r="A1680" i="1"/>
  <c r="H1679" i="1"/>
  <c r="G1679" i="1"/>
  <c r="E1679" i="1"/>
  <c r="B1679" i="1"/>
  <c r="A1679" i="1"/>
  <c r="H1678" i="1"/>
  <c r="G1678" i="1"/>
  <c r="E1678" i="1"/>
  <c r="B1678" i="1"/>
  <c r="A1678" i="1"/>
  <c r="H1677" i="1"/>
  <c r="G1677" i="1"/>
  <c r="E1677" i="1"/>
  <c r="B1677" i="1"/>
  <c r="A1677" i="1"/>
  <c r="H1676" i="1"/>
  <c r="G1676" i="1"/>
  <c r="E1676" i="1"/>
  <c r="B1676" i="1"/>
  <c r="A1676" i="1"/>
  <c r="H1675" i="1"/>
  <c r="G1675" i="1"/>
  <c r="E1675" i="1"/>
  <c r="B1675" i="1"/>
  <c r="A1675" i="1"/>
  <c r="H1674" i="1"/>
  <c r="G1674" i="1"/>
  <c r="E1674" i="1"/>
  <c r="B1674" i="1"/>
  <c r="A1674" i="1"/>
  <c r="H1673" i="1"/>
  <c r="G1673" i="1"/>
  <c r="E1673" i="1"/>
  <c r="B1673" i="1"/>
  <c r="A1673" i="1"/>
  <c r="H1672" i="1"/>
  <c r="G1672" i="1"/>
  <c r="E1672" i="1"/>
  <c r="B1672" i="1"/>
  <c r="A1672" i="1"/>
  <c r="H1671" i="1"/>
  <c r="G1671" i="1"/>
  <c r="E1671" i="1"/>
  <c r="B1671" i="1"/>
  <c r="A1671" i="1"/>
  <c r="H1670" i="1"/>
  <c r="G1670" i="1"/>
  <c r="E1670" i="1"/>
  <c r="B1670" i="1"/>
  <c r="A1670" i="1"/>
  <c r="H1669" i="1"/>
  <c r="G1669" i="1"/>
  <c r="E1669" i="1"/>
  <c r="B1669" i="1"/>
  <c r="A1669" i="1"/>
  <c r="H1668" i="1"/>
  <c r="G1668" i="1"/>
  <c r="E1668" i="1"/>
  <c r="B1668" i="1"/>
  <c r="A1668" i="1"/>
  <c r="H1667" i="1"/>
  <c r="G1667" i="1"/>
  <c r="E1667" i="1"/>
  <c r="B1667" i="1"/>
  <c r="A1667" i="1"/>
  <c r="H1666" i="1"/>
  <c r="G1666" i="1"/>
  <c r="E1666" i="1"/>
  <c r="B1666" i="1"/>
  <c r="A1666" i="1"/>
  <c r="H1665" i="1"/>
  <c r="G1665" i="1"/>
  <c r="E1665" i="1"/>
  <c r="B1665" i="1"/>
  <c r="A1665" i="1"/>
  <c r="H1664" i="1"/>
  <c r="G1664" i="1"/>
  <c r="E1664" i="1"/>
  <c r="B1664" i="1"/>
  <c r="A1664" i="1"/>
  <c r="H1663" i="1"/>
  <c r="G1663" i="1"/>
  <c r="E1663" i="1"/>
  <c r="B1663" i="1"/>
  <c r="A1663" i="1"/>
  <c r="H1662" i="1"/>
  <c r="G1662" i="1"/>
  <c r="E1662" i="1"/>
  <c r="B1662" i="1"/>
  <c r="A1662" i="1"/>
  <c r="H1661" i="1"/>
  <c r="G1661" i="1"/>
  <c r="E1661" i="1"/>
  <c r="B1661" i="1"/>
  <c r="A1661" i="1"/>
  <c r="H1660" i="1"/>
  <c r="G1660" i="1"/>
  <c r="E1660" i="1"/>
  <c r="B1660" i="1"/>
  <c r="A1660" i="1"/>
  <c r="H1659" i="1"/>
  <c r="G1659" i="1"/>
  <c r="E1659" i="1"/>
  <c r="B1659" i="1"/>
  <c r="A1659" i="1"/>
  <c r="H1658" i="1"/>
  <c r="G1658" i="1"/>
  <c r="E1658" i="1"/>
  <c r="B1658" i="1"/>
  <c r="A1658" i="1"/>
  <c r="H1657" i="1"/>
  <c r="G1657" i="1"/>
  <c r="E1657" i="1"/>
  <c r="B1657" i="1"/>
  <c r="A1657" i="1"/>
  <c r="H1656" i="1"/>
  <c r="G1656" i="1"/>
  <c r="E1656" i="1"/>
  <c r="B1656" i="1"/>
  <c r="A1656" i="1"/>
  <c r="H1655" i="1"/>
  <c r="G1655" i="1"/>
  <c r="E1655" i="1"/>
  <c r="B1655" i="1"/>
  <c r="A1655" i="1"/>
  <c r="H1654" i="1"/>
  <c r="G1654" i="1"/>
  <c r="E1654" i="1"/>
  <c r="B1654" i="1"/>
  <c r="A1654" i="1"/>
  <c r="H1653" i="1"/>
  <c r="G1653" i="1"/>
  <c r="E1653" i="1"/>
  <c r="B1653" i="1"/>
  <c r="A1653" i="1"/>
  <c r="H1652" i="1"/>
  <c r="G1652" i="1"/>
  <c r="E1652" i="1"/>
  <c r="B1652" i="1"/>
  <c r="A1652" i="1"/>
  <c r="H1651" i="1"/>
  <c r="G1651" i="1"/>
  <c r="E1651" i="1"/>
  <c r="B1651" i="1"/>
  <c r="A1651" i="1"/>
  <c r="H1650" i="1"/>
  <c r="G1650" i="1"/>
  <c r="E1650" i="1"/>
  <c r="B1650" i="1"/>
  <c r="A1650" i="1"/>
  <c r="H1649" i="1"/>
  <c r="G1649" i="1"/>
  <c r="E1649" i="1"/>
  <c r="B1649" i="1"/>
  <c r="A1649" i="1"/>
  <c r="H1648" i="1"/>
  <c r="G1648" i="1"/>
  <c r="E1648" i="1"/>
  <c r="B1648" i="1"/>
  <c r="A1648" i="1"/>
  <c r="H1647" i="1"/>
  <c r="G1647" i="1"/>
  <c r="E1647" i="1"/>
  <c r="B1647" i="1"/>
  <c r="A1647" i="1"/>
  <c r="H1646" i="1"/>
  <c r="G1646" i="1"/>
  <c r="E1646" i="1"/>
  <c r="B1646" i="1"/>
  <c r="A1646" i="1"/>
  <c r="H1645" i="1"/>
  <c r="G1645" i="1"/>
  <c r="E1645" i="1"/>
  <c r="B1645" i="1"/>
  <c r="A1645" i="1"/>
  <c r="H1644" i="1"/>
  <c r="G1644" i="1"/>
  <c r="E1644" i="1"/>
  <c r="B1644" i="1"/>
  <c r="A1644" i="1"/>
  <c r="H1643" i="1"/>
  <c r="G1643" i="1"/>
  <c r="E1643" i="1"/>
  <c r="B1643" i="1"/>
  <c r="A1643" i="1"/>
  <c r="H1642" i="1"/>
  <c r="G1642" i="1"/>
  <c r="E1642" i="1"/>
  <c r="B1642" i="1"/>
  <c r="A1642" i="1"/>
  <c r="H1641" i="1"/>
  <c r="G1641" i="1"/>
  <c r="E1641" i="1"/>
  <c r="B1641" i="1"/>
  <c r="A1641" i="1"/>
  <c r="H1640" i="1"/>
  <c r="G1640" i="1"/>
  <c r="E1640" i="1"/>
  <c r="B1640" i="1"/>
  <c r="A1640" i="1"/>
  <c r="H1639" i="1"/>
  <c r="G1639" i="1"/>
  <c r="E1639" i="1"/>
  <c r="B1639" i="1"/>
  <c r="A1639" i="1"/>
  <c r="H1638" i="1"/>
  <c r="G1638" i="1"/>
  <c r="E1638" i="1"/>
  <c r="B1638" i="1"/>
  <c r="A1638" i="1"/>
  <c r="H1637" i="1"/>
  <c r="G1637" i="1"/>
  <c r="E1637" i="1"/>
  <c r="B1637" i="1"/>
  <c r="A1637" i="1"/>
  <c r="H1636" i="1"/>
  <c r="G1636" i="1"/>
  <c r="E1636" i="1"/>
  <c r="B1636" i="1"/>
  <c r="A1636" i="1"/>
  <c r="H1635" i="1"/>
  <c r="G1635" i="1"/>
  <c r="E1635" i="1"/>
  <c r="B1635" i="1"/>
  <c r="A1635" i="1"/>
  <c r="H1634" i="1"/>
  <c r="G1634" i="1"/>
  <c r="E1634" i="1"/>
  <c r="B1634" i="1"/>
  <c r="A1634" i="1"/>
  <c r="H1633" i="1"/>
  <c r="G1633" i="1"/>
  <c r="E1633" i="1"/>
  <c r="B1633" i="1"/>
  <c r="A1633" i="1"/>
  <c r="H1632" i="1"/>
  <c r="G1632" i="1"/>
  <c r="E1632" i="1"/>
  <c r="B1632" i="1"/>
  <c r="A1632" i="1"/>
  <c r="H1631" i="1"/>
  <c r="G1631" i="1"/>
  <c r="E1631" i="1"/>
  <c r="B1631" i="1"/>
  <c r="A1631" i="1"/>
  <c r="H1630" i="1"/>
  <c r="G1630" i="1"/>
  <c r="E1630" i="1"/>
  <c r="B1630" i="1"/>
  <c r="A1630" i="1"/>
  <c r="H1629" i="1"/>
  <c r="G1629" i="1"/>
  <c r="E1629" i="1"/>
  <c r="B1629" i="1"/>
  <c r="A1629" i="1"/>
  <c r="H1628" i="1"/>
  <c r="G1628" i="1"/>
  <c r="E1628" i="1"/>
  <c r="B1628" i="1"/>
  <c r="A1628" i="1"/>
  <c r="H1627" i="1"/>
  <c r="G1627" i="1"/>
  <c r="E1627" i="1"/>
  <c r="B1627" i="1"/>
  <c r="A1627" i="1"/>
  <c r="H1626" i="1"/>
  <c r="G1626" i="1"/>
  <c r="E1626" i="1"/>
  <c r="B1626" i="1"/>
  <c r="A1626" i="1"/>
  <c r="H1625" i="1"/>
  <c r="G1625" i="1"/>
  <c r="E1625" i="1"/>
  <c r="B1625" i="1"/>
  <c r="A1625" i="1"/>
  <c r="H1624" i="1"/>
  <c r="G1624" i="1"/>
  <c r="E1624" i="1"/>
  <c r="B1624" i="1"/>
  <c r="A1624" i="1"/>
  <c r="H1623" i="1"/>
  <c r="G1623" i="1"/>
  <c r="E1623" i="1"/>
  <c r="B1623" i="1"/>
  <c r="A1623" i="1"/>
  <c r="H1622" i="1"/>
  <c r="G1622" i="1"/>
  <c r="E1622" i="1"/>
  <c r="B1622" i="1"/>
  <c r="A1622" i="1"/>
  <c r="H1621" i="1"/>
  <c r="G1621" i="1"/>
  <c r="E1621" i="1"/>
  <c r="B1621" i="1"/>
  <c r="A1621" i="1"/>
  <c r="H1620" i="1"/>
  <c r="G1620" i="1"/>
  <c r="E1620" i="1"/>
  <c r="B1620" i="1"/>
  <c r="A1620" i="1"/>
  <c r="H1619" i="1"/>
  <c r="G1619" i="1"/>
  <c r="E1619" i="1"/>
  <c r="B1619" i="1"/>
  <c r="A1619" i="1"/>
  <c r="H1618" i="1"/>
  <c r="G1618" i="1"/>
  <c r="E1618" i="1"/>
  <c r="B1618" i="1"/>
  <c r="A1618" i="1"/>
  <c r="H1617" i="1"/>
  <c r="G1617" i="1"/>
  <c r="E1617" i="1"/>
  <c r="B1617" i="1"/>
  <c r="A1617" i="1"/>
  <c r="H1616" i="1"/>
  <c r="G1616" i="1"/>
  <c r="E1616" i="1"/>
  <c r="B1616" i="1"/>
  <c r="A1616" i="1"/>
  <c r="H1615" i="1"/>
  <c r="G1615" i="1"/>
  <c r="E1615" i="1"/>
  <c r="B1615" i="1"/>
  <c r="A1615" i="1"/>
  <c r="H1614" i="1"/>
  <c r="G1614" i="1"/>
  <c r="E1614" i="1"/>
  <c r="B1614" i="1"/>
  <c r="A1614" i="1"/>
  <c r="H1613" i="1"/>
  <c r="G1613" i="1"/>
  <c r="E1613" i="1"/>
  <c r="B1613" i="1"/>
  <c r="A1613" i="1"/>
  <c r="H1612" i="1"/>
  <c r="G1612" i="1"/>
  <c r="E1612" i="1"/>
  <c r="B1612" i="1"/>
  <c r="A1612" i="1"/>
  <c r="H1611" i="1"/>
  <c r="G1611" i="1"/>
  <c r="E1611" i="1"/>
  <c r="B1611" i="1"/>
  <c r="A1611" i="1"/>
  <c r="H1610" i="1"/>
  <c r="G1610" i="1"/>
  <c r="E1610" i="1"/>
  <c r="B1610" i="1"/>
  <c r="A1610" i="1"/>
  <c r="H1609" i="1"/>
  <c r="G1609" i="1"/>
  <c r="E1609" i="1"/>
  <c r="B1609" i="1"/>
  <c r="A1609" i="1"/>
  <c r="H1608" i="1"/>
  <c r="G1608" i="1"/>
  <c r="E1608" i="1"/>
  <c r="B1608" i="1"/>
  <c r="A1608" i="1"/>
  <c r="H1607" i="1"/>
  <c r="G1607" i="1"/>
  <c r="E1607" i="1"/>
  <c r="B1607" i="1"/>
  <c r="A1607" i="1"/>
  <c r="H1606" i="1"/>
  <c r="G1606" i="1"/>
  <c r="E1606" i="1"/>
  <c r="B1606" i="1"/>
  <c r="A1606" i="1"/>
  <c r="H1605" i="1"/>
  <c r="G1605" i="1"/>
  <c r="E1605" i="1"/>
  <c r="B1605" i="1"/>
  <c r="A1605" i="1"/>
  <c r="H1604" i="1"/>
  <c r="G1604" i="1"/>
  <c r="E1604" i="1"/>
  <c r="B1604" i="1"/>
  <c r="A1604" i="1"/>
  <c r="H1603" i="1"/>
  <c r="G1603" i="1"/>
  <c r="E1603" i="1"/>
  <c r="B1603" i="1"/>
  <c r="A1603" i="1"/>
  <c r="H1602" i="1"/>
  <c r="G1602" i="1"/>
  <c r="E1602" i="1"/>
  <c r="B1602" i="1"/>
  <c r="A1602" i="1"/>
  <c r="H1601" i="1"/>
  <c r="G1601" i="1"/>
  <c r="E1601" i="1"/>
  <c r="B1601" i="1"/>
  <c r="A1601" i="1"/>
  <c r="H1600" i="1"/>
  <c r="G1600" i="1"/>
  <c r="E1600" i="1"/>
  <c r="B1600" i="1"/>
  <c r="A1600" i="1"/>
  <c r="H1599" i="1"/>
  <c r="G1599" i="1"/>
  <c r="E1599" i="1"/>
  <c r="B1599" i="1"/>
  <c r="A1599" i="1"/>
  <c r="H1598" i="1"/>
  <c r="G1598" i="1"/>
  <c r="E1598" i="1"/>
  <c r="B1598" i="1"/>
  <c r="A1598" i="1"/>
  <c r="H1597" i="1"/>
  <c r="G1597" i="1"/>
  <c r="E1597" i="1"/>
  <c r="B1597" i="1"/>
  <c r="A1597" i="1"/>
  <c r="H1596" i="1"/>
  <c r="G1596" i="1"/>
  <c r="E1596" i="1"/>
  <c r="B1596" i="1"/>
  <c r="A1596" i="1"/>
  <c r="H1595" i="1"/>
  <c r="G1595" i="1"/>
  <c r="E1595" i="1"/>
  <c r="B1595" i="1"/>
  <c r="A1595" i="1"/>
  <c r="H1594" i="1"/>
  <c r="G1594" i="1"/>
  <c r="E1594" i="1"/>
  <c r="B1594" i="1"/>
  <c r="A1594" i="1"/>
  <c r="H1593" i="1"/>
  <c r="G1593" i="1"/>
  <c r="E1593" i="1"/>
  <c r="B1593" i="1"/>
  <c r="A1593" i="1"/>
  <c r="H1592" i="1"/>
  <c r="G1592" i="1"/>
  <c r="E1592" i="1"/>
  <c r="B1592" i="1"/>
  <c r="A1592" i="1"/>
  <c r="H1591" i="1"/>
  <c r="G1591" i="1"/>
  <c r="E1591" i="1"/>
  <c r="B1591" i="1"/>
  <c r="A1591" i="1"/>
  <c r="H1590" i="1"/>
  <c r="G1590" i="1"/>
  <c r="E1590" i="1"/>
  <c r="B1590" i="1"/>
  <c r="A1590" i="1"/>
  <c r="H1589" i="1"/>
  <c r="G1589" i="1"/>
  <c r="E1589" i="1"/>
  <c r="B1589" i="1"/>
  <c r="A1589" i="1"/>
  <c r="H1588" i="1"/>
  <c r="G1588" i="1"/>
  <c r="E1588" i="1"/>
  <c r="B1588" i="1"/>
  <c r="A1588" i="1"/>
  <c r="H1587" i="1"/>
  <c r="G1587" i="1"/>
  <c r="E1587" i="1"/>
  <c r="B1587" i="1"/>
  <c r="A1587" i="1"/>
  <c r="H1586" i="1"/>
  <c r="G1586" i="1"/>
  <c r="E1586" i="1"/>
  <c r="B1586" i="1"/>
  <c r="A1586" i="1"/>
  <c r="H1585" i="1"/>
  <c r="G1585" i="1"/>
  <c r="E1585" i="1"/>
  <c r="B1585" i="1"/>
  <c r="A1585" i="1"/>
  <c r="H1584" i="1"/>
  <c r="G1584" i="1"/>
  <c r="E1584" i="1"/>
  <c r="B1584" i="1"/>
  <c r="A1584" i="1"/>
  <c r="H1583" i="1"/>
  <c r="G1583" i="1"/>
  <c r="E1583" i="1"/>
  <c r="B1583" i="1"/>
  <c r="A1583" i="1"/>
  <c r="H1582" i="1"/>
  <c r="G1582" i="1"/>
  <c r="E1582" i="1"/>
  <c r="B1582" i="1"/>
  <c r="A1582" i="1"/>
  <c r="H1581" i="1"/>
  <c r="G1581" i="1"/>
  <c r="E1581" i="1"/>
  <c r="B1581" i="1"/>
  <c r="A1581" i="1"/>
  <c r="H1580" i="1"/>
  <c r="G1580" i="1"/>
  <c r="E1580" i="1"/>
  <c r="B1580" i="1"/>
  <c r="A1580" i="1"/>
  <c r="H1579" i="1"/>
  <c r="G1579" i="1"/>
  <c r="E1579" i="1"/>
  <c r="B1579" i="1"/>
  <c r="A1579" i="1"/>
  <c r="H1578" i="1"/>
  <c r="G1578" i="1"/>
  <c r="E1578" i="1"/>
  <c r="B1578" i="1"/>
  <c r="A1578" i="1"/>
  <c r="H1577" i="1"/>
  <c r="G1577" i="1"/>
  <c r="E1577" i="1"/>
  <c r="B1577" i="1"/>
  <c r="A1577" i="1"/>
  <c r="H1576" i="1"/>
  <c r="G1576" i="1"/>
  <c r="E1576" i="1"/>
  <c r="B1576" i="1"/>
  <c r="A1576" i="1"/>
  <c r="H1575" i="1"/>
  <c r="G1575" i="1"/>
  <c r="E1575" i="1"/>
  <c r="B1575" i="1"/>
  <c r="A1575" i="1"/>
  <c r="H1574" i="1"/>
  <c r="G1574" i="1"/>
  <c r="E1574" i="1"/>
  <c r="B1574" i="1"/>
  <c r="A1574" i="1"/>
  <c r="H1573" i="1"/>
  <c r="G1573" i="1"/>
  <c r="E1573" i="1"/>
  <c r="B1573" i="1"/>
  <c r="A1573" i="1"/>
  <c r="H1572" i="1"/>
  <c r="G1572" i="1"/>
  <c r="E1572" i="1"/>
  <c r="B1572" i="1"/>
  <c r="A1572" i="1"/>
  <c r="H1571" i="1"/>
  <c r="G1571" i="1"/>
  <c r="E1571" i="1"/>
  <c r="B1571" i="1"/>
  <c r="A1571" i="1"/>
  <c r="H1570" i="1"/>
  <c r="G1570" i="1"/>
  <c r="E1570" i="1"/>
  <c r="B1570" i="1"/>
  <c r="A1570" i="1"/>
  <c r="H1569" i="1"/>
  <c r="G1569" i="1"/>
  <c r="E1569" i="1"/>
  <c r="B1569" i="1"/>
  <c r="A1569" i="1"/>
  <c r="H1568" i="1"/>
  <c r="G1568" i="1"/>
  <c r="E1568" i="1"/>
  <c r="B1568" i="1"/>
  <c r="A1568" i="1"/>
  <c r="H1567" i="1"/>
  <c r="G1567" i="1"/>
  <c r="E1567" i="1"/>
  <c r="B1567" i="1"/>
  <c r="A1567" i="1"/>
  <c r="H1566" i="1"/>
  <c r="G1566" i="1"/>
  <c r="E1566" i="1"/>
  <c r="B1566" i="1"/>
  <c r="A1566" i="1"/>
  <c r="H1565" i="1"/>
  <c r="G1565" i="1"/>
  <c r="E1565" i="1"/>
  <c r="B1565" i="1"/>
  <c r="A1565" i="1"/>
  <c r="H1564" i="1"/>
  <c r="G1564" i="1"/>
  <c r="E1564" i="1"/>
  <c r="B1564" i="1"/>
  <c r="A1564" i="1"/>
  <c r="H1563" i="1"/>
  <c r="G1563" i="1"/>
  <c r="E1563" i="1"/>
  <c r="B1563" i="1"/>
  <c r="A1563" i="1"/>
  <c r="H1562" i="1"/>
  <c r="G1562" i="1"/>
  <c r="E1562" i="1"/>
  <c r="B1562" i="1"/>
  <c r="A1562" i="1"/>
  <c r="H1561" i="1"/>
  <c r="G1561" i="1"/>
  <c r="E1561" i="1"/>
  <c r="B1561" i="1"/>
  <c r="A1561" i="1"/>
  <c r="H1560" i="1"/>
  <c r="G1560" i="1"/>
  <c r="E1560" i="1"/>
  <c r="B1560" i="1"/>
  <c r="A1560" i="1"/>
  <c r="H1559" i="1"/>
  <c r="G1559" i="1"/>
  <c r="E1559" i="1"/>
  <c r="B1559" i="1"/>
  <c r="A1559" i="1"/>
  <c r="H1558" i="1"/>
  <c r="G1558" i="1"/>
  <c r="E1558" i="1"/>
  <c r="B1558" i="1"/>
  <c r="A1558" i="1"/>
  <c r="H1557" i="1"/>
  <c r="G1557" i="1"/>
  <c r="E1557" i="1"/>
  <c r="B1557" i="1"/>
  <c r="A1557" i="1"/>
  <c r="H1556" i="1"/>
  <c r="G1556" i="1"/>
  <c r="E1556" i="1"/>
  <c r="B1556" i="1"/>
  <c r="A1556" i="1"/>
  <c r="H1555" i="1"/>
  <c r="G1555" i="1"/>
  <c r="E1555" i="1"/>
  <c r="B1555" i="1"/>
  <c r="A1555" i="1"/>
  <c r="H1554" i="1"/>
  <c r="G1554" i="1"/>
  <c r="E1554" i="1"/>
  <c r="B1554" i="1"/>
  <c r="A1554" i="1"/>
  <c r="H1553" i="1"/>
  <c r="G1553" i="1"/>
  <c r="E1553" i="1"/>
  <c r="B1553" i="1"/>
  <c r="A1553" i="1"/>
  <c r="H1552" i="1"/>
  <c r="G1552" i="1"/>
  <c r="E1552" i="1"/>
  <c r="B1552" i="1"/>
  <c r="A1552" i="1"/>
  <c r="H1551" i="1"/>
  <c r="G1551" i="1"/>
  <c r="E1551" i="1"/>
  <c r="B1551" i="1"/>
  <c r="A1551" i="1"/>
  <c r="H1550" i="1"/>
  <c r="G1550" i="1"/>
  <c r="E1550" i="1"/>
  <c r="B1550" i="1"/>
  <c r="A1550" i="1"/>
  <c r="H1549" i="1"/>
  <c r="G1549" i="1"/>
  <c r="E1549" i="1"/>
  <c r="B1549" i="1"/>
  <c r="A1549" i="1"/>
  <c r="H1548" i="1"/>
  <c r="G1548" i="1"/>
  <c r="E1548" i="1"/>
  <c r="B1548" i="1"/>
  <c r="A1548" i="1"/>
  <c r="H1547" i="1"/>
  <c r="G1547" i="1"/>
  <c r="E1547" i="1"/>
  <c r="B1547" i="1"/>
  <c r="A1547" i="1"/>
  <c r="H1546" i="1"/>
  <c r="G1546" i="1"/>
  <c r="E1546" i="1"/>
  <c r="B1546" i="1"/>
  <c r="A1546" i="1"/>
  <c r="H1545" i="1"/>
  <c r="G1545" i="1"/>
  <c r="E1545" i="1"/>
  <c r="B1545" i="1"/>
  <c r="A1545" i="1"/>
  <c r="H1544" i="1"/>
  <c r="G1544" i="1"/>
  <c r="E1544" i="1"/>
  <c r="B1544" i="1"/>
  <c r="A1544" i="1"/>
  <c r="H1543" i="1"/>
  <c r="G1543" i="1"/>
  <c r="E1543" i="1"/>
  <c r="B1543" i="1"/>
  <c r="A1543" i="1"/>
  <c r="H1542" i="1"/>
  <c r="G1542" i="1"/>
  <c r="E1542" i="1"/>
  <c r="B1542" i="1"/>
  <c r="A1542" i="1"/>
  <c r="H1541" i="1"/>
  <c r="G1541" i="1"/>
  <c r="E1541" i="1"/>
  <c r="B1541" i="1"/>
  <c r="A1541" i="1"/>
  <c r="H1540" i="1"/>
  <c r="G1540" i="1"/>
  <c r="E1540" i="1"/>
  <c r="B1540" i="1"/>
  <c r="A1540" i="1"/>
  <c r="H1539" i="1"/>
  <c r="G1539" i="1"/>
  <c r="E1539" i="1"/>
  <c r="B1539" i="1"/>
  <c r="A1539" i="1"/>
  <c r="H1538" i="1"/>
  <c r="G1538" i="1"/>
  <c r="E1538" i="1"/>
  <c r="B1538" i="1"/>
  <c r="A1538" i="1"/>
  <c r="H1537" i="1"/>
  <c r="G1537" i="1"/>
  <c r="E1537" i="1"/>
  <c r="B1537" i="1"/>
  <c r="A1537" i="1"/>
  <c r="H1536" i="1"/>
  <c r="G1536" i="1"/>
  <c r="E1536" i="1"/>
  <c r="B1536" i="1"/>
  <c r="A1536" i="1"/>
  <c r="H1535" i="1"/>
  <c r="G1535" i="1"/>
  <c r="E1535" i="1"/>
  <c r="B1535" i="1"/>
  <c r="A1535" i="1"/>
  <c r="H1534" i="1"/>
  <c r="G1534" i="1"/>
  <c r="E1534" i="1"/>
  <c r="B1534" i="1"/>
  <c r="A1534" i="1"/>
  <c r="H1533" i="1"/>
  <c r="G1533" i="1"/>
  <c r="E1533" i="1"/>
  <c r="B1533" i="1"/>
  <c r="A1533" i="1"/>
  <c r="H1532" i="1"/>
  <c r="G1532" i="1"/>
  <c r="E1532" i="1"/>
  <c r="B1532" i="1"/>
  <c r="A1532" i="1"/>
  <c r="H1531" i="1"/>
  <c r="G1531" i="1"/>
  <c r="E1531" i="1"/>
  <c r="B1531" i="1"/>
  <c r="A1531" i="1"/>
  <c r="H1530" i="1"/>
  <c r="G1530" i="1"/>
  <c r="E1530" i="1"/>
  <c r="B1530" i="1"/>
  <c r="A1530" i="1"/>
  <c r="H1529" i="1"/>
  <c r="G1529" i="1"/>
  <c r="E1529" i="1"/>
  <c r="B1529" i="1"/>
  <c r="A1529" i="1"/>
  <c r="H1528" i="1"/>
  <c r="G1528" i="1"/>
  <c r="E1528" i="1"/>
  <c r="B1528" i="1"/>
  <c r="A1528" i="1"/>
  <c r="H1527" i="1"/>
  <c r="G1527" i="1"/>
  <c r="E1527" i="1"/>
  <c r="B1527" i="1"/>
  <c r="A1527" i="1"/>
  <c r="H1526" i="1"/>
  <c r="G1526" i="1"/>
  <c r="E1526" i="1"/>
  <c r="B1526" i="1"/>
  <c r="A1526" i="1"/>
  <c r="H1525" i="1"/>
  <c r="G1525" i="1"/>
  <c r="E1525" i="1"/>
  <c r="B1525" i="1"/>
  <c r="A1525" i="1"/>
  <c r="H1524" i="1"/>
  <c r="G1524" i="1"/>
  <c r="E1524" i="1"/>
  <c r="B1524" i="1"/>
  <c r="A1524" i="1"/>
  <c r="H1523" i="1"/>
  <c r="G1523" i="1"/>
  <c r="E1523" i="1"/>
  <c r="B1523" i="1"/>
  <c r="A1523" i="1"/>
  <c r="H1522" i="1"/>
  <c r="G1522" i="1"/>
  <c r="E1522" i="1"/>
  <c r="B1522" i="1"/>
  <c r="A1522" i="1"/>
  <c r="H1521" i="1"/>
  <c r="G1521" i="1"/>
  <c r="E1521" i="1"/>
  <c r="B1521" i="1"/>
  <c r="A1521" i="1"/>
  <c r="H1520" i="1"/>
  <c r="G1520" i="1"/>
  <c r="E1520" i="1"/>
  <c r="B1520" i="1"/>
  <c r="A1520" i="1"/>
  <c r="H1519" i="1"/>
  <c r="G1519" i="1"/>
  <c r="E1519" i="1"/>
  <c r="B1519" i="1"/>
  <c r="A1519" i="1"/>
  <c r="H1518" i="1"/>
  <c r="G1518" i="1"/>
  <c r="E1518" i="1"/>
  <c r="B1518" i="1"/>
  <c r="A1518" i="1"/>
  <c r="H1517" i="1"/>
  <c r="G1517" i="1"/>
  <c r="E1517" i="1"/>
  <c r="B1517" i="1"/>
  <c r="A1517" i="1"/>
  <c r="H1516" i="1"/>
  <c r="G1516" i="1"/>
  <c r="E1516" i="1"/>
  <c r="B1516" i="1"/>
  <c r="A1516" i="1"/>
  <c r="H1515" i="1"/>
  <c r="G1515" i="1"/>
  <c r="E1515" i="1"/>
  <c r="B1515" i="1"/>
  <c r="A1515" i="1"/>
  <c r="H1514" i="1"/>
  <c r="G1514" i="1"/>
  <c r="E1514" i="1"/>
  <c r="B1514" i="1"/>
  <c r="A1514" i="1"/>
  <c r="H1513" i="1"/>
  <c r="G1513" i="1"/>
  <c r="E1513" i="1"/>
  <c r="B1513" i="1"/>
  <c r="A1513" i="1"/>
  <c r="H1512" i="1"/>
  <c r="G1512" i="1"/>
  <c r="E1512" i="1"/>
  <c r="B1512" i="1"/>
  <c r="A1512" i="1"/>
  <c r="H1511" i="1"/>
  <c r="G1511" i="1"/>
  <c r="E1511" i="1"/>
  <c r="B1511" i="1"/>
  <c r="A1511" i="1"/>
  <c r="H1510" i="1"/>
  <c r="G1510" i="1"/>
  <c r="E1510" i="1"/>
  <c r="B1510" i="1"/>
  <c r="A1510" i="1"/>
  <c r="H1509" i="1"/>
  <c r="G1509" i="1"/>
  <c r="E1509" i="1"/>
  <c r="B1509" i="1"/>
  <c r="A1509" i="1"/>
  <c r="H1508" i="1"/>
  <c r="G1508" i="1"/>
  <c r="E1508" i="1"/>
  <c r="B1508" i="1"/>
  <c r="A1508" i="1"/>
  <c r="H1507" i="1"/>
  <c r="G1507" i="1"/>
  <c r="E1507" i="1"/>
  <c r="B1507" i="1"/>
  <c r="A1507" i="1"/>
  <c r="H1506" i="1"/>
  <c r="G1506" i="1"/>
  <c r="E1506" i="1"/>
  <c r="B1506" i="1"/>
  <c r="A1506" i="1"/>
  <c r="H1505" i="1"/>
  <c r="G1505" i="1"/>
  <c r="E1505" i="1"/>
  <c r="B1505" i="1"/>
  <c r="A1505" i="1"/>
  <c r="H1504" i="1"/>
  <c r="G1504" i="1"/>
  <c r="E1504" i="1"/>
  <c r="B1504" i="1"/>
  <c r="A1504" i="1"/>
  <c r="H1503" i="1"/>
  <c r="G1503" i="1"/>
  <c r="E1503" i="1"/>
  <c r="B1503" i="1"/>
  <c r="A1503" i="1"/>
  <c r="H1502" i="1"/>
  <c r="G1502" i="1"/>
  <c r="E1502" i="1"/>
  <c r="B1502" i="1"/>
  <c r="A1502" i="1"/>
  <c r="H1501" i="1"/>
  <c r="G1501" i="1"/>
  <c r="E1501" i="1"/>
  <c r="B1501" i="1"/>
  <c r="A1501" i="1"/>
  <c r="H1500" i="1"/>
  <c r="G1500" i="1"/>
  <c r="E1500" i="1"/>
  <c r="B1500" i="1"/>
  <c r="A1500" i="1"/>
  <c r="H1499" i="1"/>
  <c r="G1499" i="1"/>
  <c r="E1499" i="1"/>
  <c r="B1499" i="1"/>
  <c r="A1499" i="1"/>
  <c r="H1498" i="1"/>
  <c r="G1498" i="1"/>
  <c r="E1498" i="1"/>
  <c r="B1498" i="1"/>
  <c r="A1498" i="1"/>
  <c r="H1497" i="1"/>
  <c r="G1497" i="1"/>
  <c r="E1497" i="1"/>
  <c r="B1497" i="1"/>
  <c r="A1497" i="1"/>
  <c r="H1496" i="1"/>
  <c r="G1496" i="1"/>
  <c r="E1496" i="1"/>
  <c r="B1496" i="1"/>
  <c r="A1496" i="1"/>
  <c r="H1495" i="1"/>
  <c r="G1495" i="1"/>
  <c r="E1495" i="1"/>
  <c r="B1495" i="1"/>
  <c r="A1495" i="1"/>
  <c r="H1494" i="1"/>
  <c r="G1494" i="1"/>
  <c r="E1494" i="1"/>
  <c r="B1494" i="1"/>
  <c r="A1494" i="1"/>
  <c r="H1493" i="1"/>
  <c r="G1493" i="1"/>
  <c r="E1493" i="1"/>
  <c r="B1493" i="1"/>
  <c r="A1493" i="1"/>
  <c r="H1492" i="1"/>
  <c r="G1492" i="1"/>
  <c r="E1492" i="1"/>
  <c r="B1492" i="1"/>
  <c r="A1492" i="1"/>
  <c r="H1491" i="1"/>
  <c r="G1491" i="1"/>
  <c r="E1491" i="1"/>
  <c r="B1491" i="1"/>
  <c r="A1491" i="1"/>
  <c r="H1490" i="1"/>
  <c r="G1490" i="1"/>
  <c r="E1490" i="1"/>
  <c r="B1490" i="1"/>
  <c r="A1490" i="1"/>
  <c r="H1489" i="1"/>
  <c r="G1489" i="1"/>
  <c r="E1489" i="1"/>
  <c r="B1489" i="1"/>
  <c r="A1489" i="1"/>
  <c r="H1488" i="1"/>
  <c r="G1488" i="1"/>
  <c r="E1488" i="1"/>
  <c r="B1488" i="1"/>
  <c r="A1488" i="1"/>
  <c r="H1487" i="1"/>
  <c r="G1487" i="1"/>
  <c r="E1487" i="1"/>
  <c r="B1487" i="1"/>
  <c r="A1487" i="1"/>
  <c r="H1486" i="1"/>
  <c r="G1486" i="1"/>
  <c r="E1486" i="1"/>
  <c r="B1486" i="1"/>
  <c r="A1486" i="1"/>
  <c r="H1485" i="1"/>
  <c r="G1485" i="1"/>
  <c r="E1485" i="1"/>
  <c r="B1485" i="1"/>
  <c r="A1485" i="1"/>
  <c r="H1484" i="1"/>
  <c r="G1484" i="1"/>
  <c r="E1484" i="1"/>
  <c r="B1484" i="1"/>
  <c r="A1484" i="1"/>
  <c r="H1483" i="1"/>
  <c r="G1483" i="1"/>
  <c r="E1483" i="1"/>
  <c r="B1483" i="1"/>
  <c r="A1483" i="1"/>
  <c r="H1482" i="1"/>
  <c r="G1482" i="1"/>
  <c r="E1482" i="1"/>
  <c r="B1482" i="1"/>
  <c r="A1482" i="1"/>
  <c r="H1481" i="1"/>
  <c r="G1481" i="1"/>
  <c r="E1481" i="1"/>
  <c r="B1481" i="1"/>
  <c r="A1481" i="1"/>
  <c r="H1480" i="1"/>
  <c r="G1480" i="1"/>
  <c r="E1480" i="1"/>
  <c r="B1480" i="1"/>
  <c r="A1480" i="1"/>
  <c r="H1479" i="1"/>
  <c r="G1479" i="1"/>
  <c r="E1479" i="1"/>
  <c r="B1479" i="1"/>
  <c r="A1479" i="1"/>
  <c r="H1478" i="1"/>
  <c r="G1478" i="1"/>
  <c r="E1478" i="1"/>
  <c r="B1478" i="1"/>
  <c r="A1478" i="1"/>
  <c r="H1477" i="1"/>
  <c r="G1477" i="1"/>
  <c r="E1477" i="1"/>
  <c r="B1477" i="1"/>
  <c r="A1477" i="1"/>
  <c r="H1476" i="1"/>
  <c r="G1476" i="1"/>
  <c r="E1476" i="1"/>
  <c r="B1476" i="1"/>
  <c r="A1476" i="1"/>
  <c r="H1475" i="1"/>
  <c r="G1475" i="1"/>
  <c r="E1475" i="1"/>
  <c r="B1475" i="1"/>
  <c r="A1475" i="1"/>
  <c r="H1474" i="1"/>
  <c r="G1474" i="1"/>
  <c r="E1474" i="1"/>
  <c r="B1474" i="1"/>
  <c r="A1474" i="1"/>
  <c r="H1473" i="1"/>
  <c r="G1473" i="1"/>
  <c r="E1473" i="1"/>
  <c r="B1473" i="1"/>
  <c r="A1473" i="1"/>
  <c r="H1472" i="1"/>
  <c r="G1472" i="1"/>
  <c r="E1472" i="1"/>
  <c r="B1472" i="1"/>
  <c r="A1472" i="1"/>
  <c r="H1471" i="1"/>
  <c r="G1471" i="1"/>
  <c r="E1471" i="1"/>
  <c r="B1471" i="1"/>
  <c r="A1471" i="1"/>
  <c r="H1470" i="1"/>
  <c r="G1470" i="1"/>
  <c r="E1470" i="1"/>
  <c r="B1470" i="1"/>
  <c r="A1470" i="1"/>
  <c r="H1469" i="1"/>
  <c r="G1469" i="1"/>
  <c r="E1469" i="1"/>
  <c r="B1469" i="1"/>
  <c r="A1469" i="1"/>
  <c r="H1468" i="1"/>
  <c r="G1468" i="1"/>
  <c r="E1468" i="1"/>
  <c r="B1468" i="1"/>
  <c r="A1468" i="1"/>
  <c r="H1467" i="1"/>
  <c r="G1467" i="1"/>
  <c r="E1467" i="1"/>
  <c r="B1467" i="1"/>
  <c r="A1467" i="1"/>
  <c r="H1466" i="1"/>
  <c r="G1466" i="1"/>
  <c r="E1466" i="1"/>
  <c r="B1466" i="1"/>
  <c r="A1466" i="1"/>
  <c r="H1465" i="1"/>
  <c r="G1465" i="1"/>
  <c r="E1465" i="1"/>
  <c r="B1465" i="1"/>
  <c r="A1465" i="1"/>
  <c r="H1464" i="1"/>
  <c r="G1464" i="1"/>
  <c r="E1464" i="1"/>
  <c r="B1464" i="1"/>
  <c r="A1464" i="1"/>
  <c r="H1463" i="1"/>
  <c r="G1463" i="1"/>
  <c r="E1463" i="1"/>
  <c r="B1463" i="1"/>
  <c r="A1463" i="1"/>
  <c r="H1462" i="1"/>
  <c r="G1462" i="1"/>
  <c r="E1462" i="1"/>
  <c r="B1462" i="1"/>
  <c r="A1462" i="1"/>
  <c r="H1461" i="1"/>
  <c r="G1461" i="1"/>
  <c r="E1461" i="1"/>
  <c r="B1461" i="1"/>
  <c r="A1461" i="1"/>
  <c r="H1460" i="1"/>
  <c r="G1460" i="1"/>
  <c r="E1460" i="1"/>
  <c r="B1460" i="1"/>
  <c r="A1460" i="1"/>
  <c r="H1459" i="1"/>
  <c r="G1459" i="1"/>
  <c r="E1459" i="1"/>
  <c r="B1459" i="1"/>
  <c r="A1459" i="1"/>
  <c r="H1458" i="1"/>
  <c r="G1458" i="1"/>
  <c r="E1458" i="1"/>
  <c r="B1458" i="1"/>
  <c r="A1458" i="1"/>
  <c r="H1457" i="1"/>
  <c r="G1457" i="1"/>
  <c r="E1457" i="1"/>
  <c r="B1457" i="1"/>
  <c r="A1457" i="1"/>
  <c r="H1456" i="1"/>
  <c r="G1456" i="1"/>
  <c r="E1456" i="1"/>
  <c r="B1456" i="1"/>
  <c r="A1456" i="1"/>
  <c r="H1455" i="1"/>
  <c r="G1455" i="1"/>
  <c r="E1455" i="1"/>
  <c r="B1455" i="1"/>
  <c r="A1455" i="1"/>
  <c r="H1454" i="1"/>
  <c r="G1454" i="1"/>
  <c r="E1454" i="1"/>
  <c r="B1454" i="1"/>
  <c r="A1454" i="1"/>
  <c r="H1453" i="1"/>
  <c r="G1453" i="1"/>
  <c r="E1453" i="1"/>
  <c r="B1453" i="1"/>
  <c r="A1453" i="1"/>
  <c r="H1452" i="1"/>
  <c r="G1452" i="1"/>
  <c r="E1452" i="1"/>
  <c r="B1452" i="1"/>
  <c r="A1452" i="1"/>
  <c r="H1451" i="1"/>
  <c r="G1451" i="1"/>
  <c r="E1451" i="1"/>
  <c r="B1451" i="1"/>
  <c r="A1451" i="1"/>
  <c r="H1450" i="1"/>
  <c r="G1450" i="1"/>
  <c r="E1450" i="1"/>
  <c r="B1450" i="1"/>
  <c r="A1450" i="1"/>
  <c r="H1449" i="1"/>
  <c r="G1449" i="1"/>
  <c r="E1449" i="1"/>
  <c r="B1449" i="1"/>
  <c r="A1449" i="1"/>
  <c r="H1448" i="1"/>
  <c r="G1448" i="1"/>
  <c r="E1448" i="1"/>
  <c r="B1448" i="1"/>
  <c r="A1448" i="1"/>
  <c r="H1447" i="1"/>
  <c r="G1447" i="1"/>
  <c r="E1447" i="1"/>
  <c r="B1447" i="1"/>
  <c r="A1447" i="1"/>
  <c r="H1446" i="1"/>
  <c r="G1446" i="1"/>
  <c r="E1446" i="1"/>
  <c r="B1446" i="1"/>
  <c r="A1446" i="1"/>
  <c r="H1445" i="1"/>
  <c r="G1445" i="1"/>
  <c r="E1445" i="1"/>
  <c r="B1445" i="1"/>
  <c r="A1445" i="1"/>
  <c r="H1444" i="1"/>
  <c r="G1444" i="1"/>
  <c r="E1444" i="1"/>
  <c r="B1444" i="1"/>
  <c r="A1444" i="1"/>
  <c r="H1443" i="1"/>
  <c r="G1443" i="1"/>
  <c r="E1443" i="1"/>
  <c r="B1443" i="1"/>
  <c r="A1443" i="1"/>
  <c r="H1442" i="1"/>
  <c r="G1442" i="1"/>
  <c r="E1442" i="1"/>
  <c r="B1442" i="1"/>
  <c r="A1442" i="1"/>
  <c r="H1441" i="1"/>
  <c r="G1441" i="1"/>
  <c r="E1441" i="1"/>
  <c r="B1441" i="1"/>
  <c r="A1441" i="1"/>
  <c r="H1440" i="1"/>
  <c r="G1440" i="1"/>
  <c r="E1440" i="1"/>
  <c r="B1440" i="1"/>
  <c r="A1440" i="1"/>
  <c r="H1439" i="1"/>
  <c r="G1439" i="1"/>
  <c r="E1439" i="1"/>
  <c r="B1439" i="1"/>
  <c r="A1439" i="1"/>
  <c r="H1438" i="1"/>
  <c r="G1438" i="1"/>
  <c r="E1438" i="1"/>
  <c r="B1438" i="1"/>
  <c r="A1438" i="1"/>
  <c r="H1437" i="1"/>
  <c r="G1437" i="1"/>
  <c r="E1437" i="1"/>
  <c r="B1437" i="1"/>
  <c r="A1437" i="1"/>
  <c r="H1436" i="1"/>
  <c r="G1436" i="1"/>
  <c r="E1436" i="1"/>
  <c r="B1436" i="1"/>
  <c r="A1436" i="1"/>
  <c r="H1435" i="1"/>
  <c r="G1435" i="1"/>
  <c r="E1435" i="1"/>
  <c r="B1435" i="1"/>
  <c r="A1435" i="1"/>
  <c r="H1434" i="1"/>
  <c r="G1434" i="1"/>
  <c r="E1434" i="1"/>
  <c r="B1434" i="1"/>
  <c r="A1434" i="1"/>
  <c r="H1433" i="1"/>
  <c r="G1433" i="1"/>
  <c r="E1433" i="1"/>
  <c r="B1433" i="1"/>
  <c r="A1433" i="1"/>
  <c r="H1432" i="1"/>
  <c r="G1432" i="1"/>
  <c r="E1432" i="1"/>
  <c r="B1432" i="1"/>
  <c r="A1432" i="1"/>
  <c r="H1431" i="1"/>
  <c r="G1431" i="1"/>
  <c r="E1431" i="1"/>
  <c r="B1431" i="1"/>
  <c r="A1431" i="1"/>
  <c r="H1430" i="1"/>
  <c r="G1430" i="1"/>
  <c r="E1430" i="1"/>
  <c r="B1430" i="1"/>
  <c r="A1430" i="1"/>
  <c r="H1429" i="1"/>
  <c r="G1429" i="1"/>
  <c r="E1429" i="1"/>
  <c r="B1429" i="1"/>
  <c r="A1429" i="1"/>
  <c r="H1428" i="1"/>
  <c r="G1428" i="1"/>
  <c r="E1428" i="1"/>
  <c r="B1428" i="1"/>
  <c r="A1428" i="1"/>
  <c r="H1427" i="1"/>
  <c r="G1427" i="1"/>
  <c r="E1427" i="1"/>
  <c r="B1427" i="1"/>
  <c r="A1427" i="1"/>
  <c r="H1426" i="1"/>
  <c r="G1426" i="1"/>
  <c r="E1426" i="1"/>
  <c r="B1426" i="1"/>
  <c r="A1426" i="1"/>
  <c r="H1425" i="1"/>
  <c r="G1425" i="1"/>
  <c r="E1425" i="1"/>
  <c r="B1425" i="1"/>
  <c r="A1425" i="1"/>
  <c r="H1424" i="1"/>
  <c r="G1424" i="1"/>
  <c r="E1424" i="1"/>
  <c r="B1424" i="1"/>
  <c r="A1424" i="1"/>
  <c r="H1423" i="1"/>
  <c r="G1423" i="1"/>
  <c r="E1423" i="1"/>
  <c r="B1423" i="1"/>
  <c r="A1423" i="1"/>
  <c r="H1422" i="1"/>
  <c r="G1422" i="1"/>
  <c r="E1422" i="1"/>
  <c r="B1422" i="1"/>
  <c r="A1422" i="1"/>
  <c r="H1421" i="1"/>
  <c r="G1421" i="1"/>
  <c r="E1421" i="1"/>
  <c r="B1421" i="1"/>
  <c r="A1421" i="1"/>
  <c r="H1420" i="1"/>
  <c r="G1420" i="1"/>
  <c r="E1420" i="1"/>
  <c r="B1420" i="1"/>
  <c r="A1420" i="1"/>
  <c r="H1419" i="1"/>
  <c r="G1419" i="1"/>
  <c r="E1419" i="1"/>
  <c r="B1419" i="1"/>
  <c r="A1419" i="1"/>
  <c r="H1418" i="1"/>
  <c r="G1418" i="1"/>
  <c r="E1418" i="1"/>
  <c r="B1418" i="1"/>
  <c r="A1418" i="1"/>
  <c r="H1417" i="1"/>
  <c r="G1417" i="1"/>
  <c r="E1417" i="1"/>
  <c r="B1417" i="1"/>
  <c r="A1417" i="1"/>
  <c r="H1416" i="1"/>
  <c r="G1416" i="1"/>
  <c r="E1416" i="1"/>
  <c r="B1416" i="1"/>
  <c r="A1416" i="1"/>
  <c r="H1415" i="1"/>
  <c r="G1415" i="1"/>
  <c r="E1415" i="1"/>
  <c r="B1415" i="1"/>
  <c r="A1415" i="1"/>
  <c r="H1414" i="1"/>
  <c r="G1414" i="1"/>
  <c r="E1414" i="1"/>
  <c r="B1414" i="1"/>
  <c r="A1414" i="1"/>
  <c r="H1413" i="1"/>
  <c r="G1413" i="1"/>
  <c r="E1413" i="1"/>
  <c r="B1413" i="1"/>
  <c r="A1413" i="1"/>
  <c r="H1412" i="1"/>
  <c r="G1412" i="1"/>
  <c r="E1412" i="1"/>
  <c r="B1412" i="1"/>
  <c r="A1412" i="1"/>
  <c r="H1411" i="1"/>
  <c r="G1411" i="1"/>
  <c r="E1411" i="1"/>
  <c r="B1411" i="1"/>
  <c r="A1411" i="1"/>
  <c r="H1410" i="1"/>
  <c r="G1410" i="1"/>
  <c r="E1410" i="1"/>
  <c r="B1410" i="1"/>
  <c r="A1410" i="1"/>
  <c r="H1409" i="1"/>
  <c r="G1409" i="1"/>
  <c r="E1409" i="1"/>
  <c r="B1409" i="1"/>
  <c r="A1409" i="1"/>
  <c r="H1408" i="1"/>
  <c r="G1408" i="1"/>
  <c r="E1408" i="1"/>
  <c r="B1408" i="1"/>
  <c r="A1408" i="1"/>
  <c r="H1407" i="1"/>
  <c r="G1407" i="1"/>
  <c r="E1407" i="1"/>
  <c r="B1407" i="1"/>
  <c r="A1407" i="1"/>
  <c r="H1406" i="1"/>
  <c r="G1406" i="1"/>
  <c r="E1406" i="1"/>
  <c r="B1406" i="1"/>
  <c r="A1406" i="1"/>
  <c r="H1405" i="1"/>
  <c r="G1405" i="1"/>
  <c r="E1405" i="1"/>
  <c r="B1405" i="1"/>
  <c r="A1405" i="1"/>
  <c r="H1404" i="1"/>
  <c r="G1404" i="1"/>
  <c r="E1404" i="1"/>
  <c r="B1404" i="1"/>
  <c r="A1404" i="1"/>
  <c r="H1403" i="1"/>
  <c r="G1403" i="1"/>
  <c r="E1403" i="1"/>
  <c r="B1403" i="1"/>
  <c r="A1403" i="1"/>
  <c r="H1402" i="1"/>
  <c r="G1402" i="1"/>
  <c r="E1402" i="1"/>
  <c r="B1402" i="1"/>
  <c r="A1402" i="1"/>
  <c r="H1401" i="1"/>
  <c r="G1401" i="1"/>
  <c r="E1401" i="1"/>
  <c r="B1401" i="1"/>
  <c r="A1401" i="1"/>
  <c r="H1400" i="1"/>
  <c r="G1400" i="1"/>
  <c r="E1400" i="1"/>
  <c r="B1400" i="1"/>
  <c r="A1400" i="1"/>
  <c r="H1399" i="1"/>
  <c r="G1399" i="1"/>
  <c r="E1399" i="1"/>
  <c r="B1399" i="1"/>
  <c r="A1399" i="1"/>
  <c r="H1398" i="1"/>
  <c r="G1398" i="1"/>
  <c r="E1398" i="1"/>
  <c r="B1398" i="1"/>
  <c r="A1398" i="1"/>
  <c r="H1397" i="1"/>
  <c r="G1397" i="1"/>
  <c r="E1397" i="1"/>
  <c r="B1397" i="1"/>
  <c r="A1397" i="1"/>
  <c r="H1396" i="1"/>
  <c r="G1396" i="1"/>
  <c r="E1396" i="1"/>
  <c r="B1396" i="1"/>
  <c r="A1396" i="1"/>
  <c r="H1395" i="1"/>
  <c r="G1395" i="1"/>
  <c r="E1395" i="1"/>
  <c r="B1395" i="1"/>
  <c r="A1395" i="1"/>
  <c r="H1394" i="1"/>
  <c r="G1394" i="1"/>
  <c r="E1394" i="1"/>
  <c r="B1394" i="1"/>
  <c r="A1394" i="1"/>
  <c r="H1393" i="1"/>
  <c r="G1393" i="1"/>
  <c r="E1393" i="1"/>
  <c r="B1393" i="1"/>
  <c r="A1393" i="1"/>
  <c r="H1392" i="1"/>
  <c r="G1392" i="1"/>
  <c r="E1392" i="1"/>
  <c r="B1392" i="1"/>
  <c r="A1392" i="1"/>
  <c r="H1391" i="1"/>
  <c r="G1391" i="1"/>
  <c r="E1391" i="1"/>
  <c r="B1391" i="1"/>
  <c r="A1391" i="1"/>
  <c r="H1390" i="1"/>
  <c r="G1390" i="1"/>
  <c r="E1390" i="1"/>
  <c r="B1390" i="1"/>
  <c r="A1390" i="1"/>
  <c r="H1389" i="1"/>
  <c r="G1389" i="1"/>
  <c r="E1389" i="1"/>
  <c r="B1389" i="1"/>
  <c r="A1389" i="1"/>
  <c r="H1388" i="1"/>
  <c r="G1388" i="1"/>
  <c r="E1388" i="1"/>
  <c r="B1388" i="1"/>
  <c r="A1388" i="1"/>
  <c r="H1387" i="1"/>
  <c r="G1387" i="1"/>
  <c r="E1387" i="1"/>
  <c r="B1387" i="1"/>
  <c r="A1387" i="1"/>
  <c r="H1386" i="1"/>
  <c r="G1386" i="1"/>
  <c r="E1386" i="1"/>
  <c r="B1386" i="1"/>
  <c r="A1386" i="1"/>
  <c r="H1385" i="1"/>
  <c r="G1385" i="1"/>
  <c r="E1385" i="1"/>
  <c r="B1385" i="1"/>
  <c r="A1385" i="1"/>
  <c r="H1384" i="1"/>
  <c r="G1384" i="1"/>
  <c r="E1384" i="1"/>
  <c r="B1384" i="1"/>
  <c r="A1384" i="1"/>
  <c r="H1383" i="1"/>
  <c r="G1383" i="1"/>
  <c r="E1383" i="1"/>
  <c r="B1383" i="1"/>
  <c r="A1383" i="1"/>
  <c r="H1382" i="1"/>
  <c r="G1382" i="1"/>
  <c r="E1382" i="1"/>
  <c r="B1382" i="1"/>
  <c r="A1382" i="1"/>
  <c r="H1381" i="1"/>
  <c r="G1381" i="1"/>
  <c r="E1381" i="1"/>
  <c r="B1381" i="1"/>
  <c r="A1381" i="1"/>
  <c r="H1380" i="1"/>
  <c r="G1380" i="1"/>
  <c r="E1380" i="1"/>
  <c r="B1380" i="1"/>
  <c r="A1380" i="1"/>
  <c r="H1379" i="1"/>
  <c r="G1379" i="1"/>
  <c r="E1379" i="1"/>
  <c r="B1379" i="1"/>
  <c r="A1379" i="1"/>
  <c r="H1378" i="1"/>
  <c r="G1378" i="1"/>
  <c r="E1378" i="1"/>
  <c r="B1378" i="1"/>
  <c r="A1378" i="1"/>
  <c r="H1377" i="1"/>
  <c r="G1377" i="1"/>
  <c r="E1377" i="1"/>
  <c r="B1377" i="1"/>
  <c r="A1377" i="1"/>
  <c r="H1376" i="1"/>
  <c r="G1376" i="1"/>
  <c r="E1376" i="1"/>
  <c r="B1376" i="1"/>
  <c r="A1376" i="1"/>
  <c r="H1375" i="1"/>
  <c r="G1375" i="1"/>
  <c r="E1375" i="1"/>
  <c r="B1375" i="1"/>
  <c r="A1375" i="1"/>
  <c r="H1374" i="1"/>
  <c r="G1374" i="1"/>
  <c r="E1374" i="1"/>
  <c r="B1374" i="1"/>
  <c r="A1374" i="1"/>
  <c r="H1373" i="1"/>
  <c r="G1373" i="1"/>
  <c r="E1373" i="1"/>
  <c r="B1373" i="1"/>
  <c r="A1373" i="1"/>
  <c r="H1372" i="1"/>
  <c r="G1372" i="1"/>
  <c r="E1372" i="1"/>
  <c r="B1372" i="1"/>
  <c r="A1372" i="1"/>
  <c r="H1371" i="1"/>
  <c r="G1371" i="1"/>
  <c r="E1371" i="1"/>
  <c r="B1371" i="1"/>
  <c r="A1371" i="1"/>
  <c r="H1370" i="1"/>
  <c r="G1370" i="1"/>
  <c r="E1370" i="1"/>
  <c r="B1370" i="1"/>
  <c r="A1370" i="1"/>
  <c r="H1369" i="1"/>
  <c r="G1369" i="1"/>
  <c r="E1369" i="1"/>
  <c r="B1369" i="1"/>
  <c r="A1369" i="1"/>
  <c r="H1368" i="1"/>
  <c r="G1368" i="1"/>
  <c r="E1368" i="1"/>
  <c r="B1368" i="1"/>
  <c r="A1368" i="1"/>
  <c r="H1367" i="1"/>
  <c r="G1367" i="1"/>
  <c r="E1367" i="1"/>
  <c r="B1367" i="1"/>
  <c r="A1367" i="1"/>
  <c r="H1366" i="1"/>
  <c r="G1366" i="1"/>
  <c r="E1366" i="1"/>
  <c r="B1366" i="1"/>
  <c r="A1366" i="1"/>
  <c r="H1365" i="1"/>
  <c r="G1365" i="1"/>
  <c r="E1365" i="1"/>
  <c r="B1365" i="1"/>
  <c r="A1365" i="1"/>
  <c r="H1364" i="1"/>
  <c r="G1364" i="1"/>
  <c r="E1364" i="1"/>
  <c r="B1364" i="1"/>
  <c r="A1364" i="1"/>
  <c r="H1363" i="1"/>
  <c r="G1363" i="1"/>
  <c r="E1363" i="1"/>
  <c r="B1363" i="1"/>
  <c r="A1363" i="1"/>
  <c r="H1362" i="1"/>
  <c r="G1362" i="1"/>
  <c r="E1362" i="1"/>
  <c r="B1362" i="1"/>
  <c r="A1362" i="1"/>
  <c r="H1361" i="1"/>
  <c r="G1361" i="1"/>
  <c r="E1361" i="1"/>
  <c r="B1361" i="1"/>
  <c r="A1361" i="1"/>
  <c r="H1360" i="1"/>
  <c r="G1360" i="1"/>
  <c r="E1360" i="1"/>
  <c r="B1360" i="1"/>
  <c r="A1360" i="1"/>
  <c r="H1359" i="1"/>
  <c r="G1359" i="1"/>
  <c r="E1359" i="1"/>
  <c r="B1359" i="1"/>
  <c r="A1359" i="1"/>
  <c r="H1358" i="1"/>
  <c r="G1358" i="1"/>
  <c r="E1358" i="1"/>
  <c r="B1358" i="1"/>
  <c r="A1358" i="1"/>
  <c r="H1357" i="1"/>
  <c r="G1357" i="1"/>
  <c r="E1357" i="1"/>
  <c r="B1357" i="1"/>
  <c r="A1357" i="1"/>
  <c r="H1356" i="1"/>
  <c r="G1356" i="1"/>
  <c r="E1356" i="1"/>
  <c r="B1356" i="1"/>
  <c r="A1356" i="1"/>
  <c r="H1355" i="1"/>
  <c r="G1355" i="1"/>
  <c r="E1355" i="1"/>
  <c r="B1355" i="1"/>
  <c r="A1355" i="1"/>
  <c r="H1354" i="1"/>
  <c r="G1354" i="1"/>
  <c r="E1354" i="1"/>
  <c r="B1354" i="1"/>
  <c r="A1354" i="1"/>
  <c r="H1353" i="1"/>
  <c r="G1353" i="1"/>
  <c r="E1353" i="1"/>
  <c r="B1353" i="1"/>
  <c r="A1353" i="1"/>
  <c r="H1352" i="1"/>
  <c r="G1352" i="1"/>
  <c r="E1352" i="1"/>
  <c r="B1352" i="1"/>
  <c r="A1352" i="1"/>
  <c r="H1351" i="1"/>
  <c r="G1351" i="1"/>
  <c r="E1351" i="1"/>
  <c r="B1351" i="1"/>
  <c r="A1351" i="1"/>
  <c r="H1350" i="1"/>
  <c r="G1350" i="1"/>
  <c r="E1350" i="1"/>
  <c r="B1350" i="1"/>
  <c r="A1350" i="1"/>
  <c r="H1349" i="1"/>
  <c r="G1349" i="1"/>
  <c r="E1349" i="1"/>
  <c r="B1349" i="1"/>
  <c r="A1349" i="1"/>
  <c r="H1348" i="1"/>
  <c r="G1348" i="1"/>
  <c r="E1348" i="1"/>
  <c r="B1348" i="1"/>
  <c r="A1348" i="1"/>
  <c r="H1347" i="1"/>
  <c r="G1347" i="1"/>
  <c r="E1347" i="1"/>
  <c r="B1347" i="1"/>
  <c r="A1347" i="1"/>
  <c r="H1346" i="1"/>
  <c r="G1346" i="1"/>
  <c r="E1346" i="1"/>
  <c r="B1346" i="1"/>
  <c r="A1346" i="1"/>
  <c r="H1345" i="1"/>
  <c r="G1345" i="1"/>
  <c r="E1345" i="1"/>
  <c r="B1345" i="1"/>
  <c r="A1345" i="1"/>
  <c r="H1344" i="1"/>
  <c r="G1344" i="1"/>
  <c r="E1344" i="1"/>
  <c r="B1344" i="1"/>
  <c r="A1344" i="1"/>
  <c r="H1343" i="1"/>
  <c r="G1343" i="1"/>
  <c r="E1343" i="1"/>
  <c r="B1343" i="1"/>
  <c r="A1343" i="1"/>
  <c r="H1342" i="1"/>
  <c r="G1342" i="1"/>
  <c r="E1342" i="1"/>
  <c r="B1342" i="1"/>
  <c r="A1342" i="1"/>
  <c r="H1341" i="1"/>
  <c r="G1341" i="1"/>
  <c r="E1341" i="1"/>
  <c r="B1341" i="1"/>
  <c r="A1341" i="1"/>
  <c r="H1340" i="1"/>
  <c r="G1340" i="1"/>
  <c r="E1340" i="1"/>
  <c r="B1340" i="1"/>
  <c r="A1340" i="1"/>
  <c r="H1339" i="1"/>
  <c r="G1339" i="1"/>
  <c r="E1339" i="1"/>
  <c r="B1339" i="1"/>
  <c r="A1339" i="1"/>
  <c r="H1338" i="1"/>
  <c r="G1338" i="1"/>
  <c r="E1338" i="1"/>
  <c r="B1338" i="1"/>
  <c r="A1338" i="1"/>
  <c r="H1337" i="1"/>
  <c r="G1337" i="1"/>
  <c r="E1337" i="1"/>
  <c r="B1337" i="1"/>
  <c r="A1337" i="1"/>
  <c r="H1336" i="1"/>
  <c r="G1336" i="1"/>
  <c r="E1336" i="1"/>
  <c r="B1336" i="1"/>
  <c r="A1336" i="1"/>
  <c r="H1335" i="1"/>
  <c r="G1335" i="1"/>
  <c r="E1335" i="1"/>
  <c r="B1335" i="1"/>
  <c r="A1335" i="1"/>
  <c r="H1334" i="1"/>
  <c r="G1334" i="1"/>
  <c r="E1334" i="1"/>
  <c r="B1334" i="1"/>
  <c r="A1334" i="1"/>
  <c r="H1333" i="1"/>
  <c r="G1333" i="1"/>
  <c r="E1333" i="1"/>
  <c r="B1333" i="1"/>
  <c r="A1333" i="1"/>
  <c r="H1332" i="1"/>
  <c r="G1332" i="1"/>
  <c r="E1332" i="1"/>
  <c r="B1332" i="1"/>
  <c r="A1332" i="1"/>
  <c r="H1331" i="1"/>
  <c r="G1331" i="1"/>
  <c r="E1331" i="1"/>
  <c r="B1331" i="1"/>
  <c r="A1331" i="1"/>
  <c r="H1330" i="1"/>
  <c r="G1330" i="1"/>
  <c r="E1330" i="1"/>
  <c r="B1330" i="1"/>
  <c r="A1330" i="1"/>
  <c r="H1329" i="1"/>
  <c r="G1329" i="1"/>
  <c r="E1329" i="1"/>
  <c r="B1329" i="1"/>
  <c r="A1329" i="1"/>
  <c r="H1328" i="1"/>
  <c r="G1328" i="1"/>
  <c r="E1328" i="1"/>
  <c r="B1328" i="1"/>
  <c r="A1328" i="1"/>
  <c r="H1327" i="1"/>
  <c r="G1327" i="1"/>
  <c r="E1327" i="1"/>
  <c r="B1327" i="1"/>
  <c r="A1327" i="1"/>
  <c r="H1326" i="1"/>
  <c r="G1326" i="1"/>
  <c r="E1326" i="1"/>
  <c r="B1326" i="1"/>
  <c r="A1326" i="1"/>
  <c r="H1325" i="1"/>
  <c r="G1325" i="1"/>
  <c r="E1325" i="1"/>
  <c r="B1325" i="1"/>
  <c r="A1325" i="1"/>
  <c r="H1324" i="1"/>
  <c r="G1324" i="1"/>
  <c r="E1324" i="1"/>
  <c r="B1324" i="1"/>
  <c r="A1324" i="1"/>
  <c r="H1323" i="1"/>
  <c r="G1323" i="1"/>
  <c r="E1323" i="1"/>
  <c r="B1323" i="1"/>
  <c r="A1323" i="1"/>
  <c r="H1322" i="1"/>
  <c r="G1322" i="1"/>
  <c r="E1322" i="1"/>
  <c r="B1322" i="1"/>
  <c r="A1322" i="1"/>
  <c r="H1321" i="1"/>
  <c r="G1321" i="1"/>
  <c r="E1321" i="1"/>
  <c r="B1321" i="1"/>
  <c r="A1321" i="1"/>
  <c r="H1320" i="1"/>
  <c r="G1320" i="1"/>
  <c r="E1320" i="1"/>
  <c r="B1320" i="1"/>
  <c r="A1320" i="1"/>
  <c r="H1319" i="1"/>
  <c r="G1319" i="1"/>
  <c r="E1319" i="1"/>
  <c r="B1319" i="1"/>
  <c r="A1319" i="1"/>
  <c r="H1318" i="1"/>
  <c r="G1318" i="1"/>
  <c r="E1318" i="1"/>
  <c r="B1318" i="1"/>
  <c r="A1318" i="1"/>
  <c r="H1317" i="1"/>
  <c r="G1317" i="1"/>
  <c r="E1317" i="1"/>
  <c r="B1317" i="1"/>
  <c r="A1317" i="1"/>
  <c r="H1316" i="1"/>
  <c r="G1316" i="1"/>
  <c r="E1316" i="1"/>
  <c r="B1316" i="1"/>
  <c r="A1316" i="1"/>
  <c r="H1315" i="1"/>
  <c r="G1315" i="1"/>
  <c r="E1315" i="1"/>
  <c r="B1315" i="1"/>
  <c r="A1315" i="1"/>
  <c r="H1314" i="1"/>
  <c r="G1314" i="1"/>
  <c r="E1314" i="1"/>
  <c r="B1314" i="1"/>
  <c r="A1314" i="1"/>
  <c r="H1313" i="1"/>
  <c r="G1313" i="1"/>
  <c r="E1313" i="1"/>
  <c r="B1313" i="1"/>
  <c r="A1313" i="1"/>
  <c r="H1312" i="1"/>
  <c r="G1312" i="1"/>
  <c r="E1312" i="1"/>
  <c r="B1312" i="1"/>
  <c r="A1312" i="1"/>
  <c r="H1311" i="1"/>
  <c r="G1311" i="1"/>
  <c r="E1311" i="1"/>
  <c r="B1311" i="1"/>
  <c r="A1311" i="1"/>
  <c r="H1310" i="1"/>
  <c r="G1310" i="1"/>
  <c r="E1310" i="1"/>
  <c r="B1310" i="1"/>
  <c r="A1310" i="1"/>
  <c r="H1309" i="1"/>
  <c r="G1309" i="1"/>
  <c r="E1309" i="1"/>
  <c r="B1309" i="1"/>
  <c r="A1309" i="1"/>
  <c r="H1308" i="1"/>
  <c r="G1308" i="1"/>
  <c r="E1308" i="1"/>
  <c r="B1308" i="1"/>
  <c r="A1308" i="1"/>
  <c r="H1307" i="1"/>
  <c r="G1307" i="1"/>
  <c r="E1307" i="1"/>
  <c r="B1307" i="1"/>
  <c r="A1307" i="1"/>
  <c r="H1306" i="1"/>
  <c r="G1306" i="1"/>
  <c r="E1306" i="1"/>
  <c r="B1306" i="1"/>
  <c r="A1306" i="1"/>
  <c r="H1305" i="1"/>
  <c r="G1305" i="1"/>
  <c r="E1305" i="1"/>
  <c r="B1305" i="1"/>
  <c r="A1305" i="1"/>
  <c r="H1304" i="1"/>
  <c r="G1304" i="1"/>
  <c r="E1304" i="1"/>
  <c r="B1304" i="1"/>
  <c r="A1304" i="1"/>
  <c r="H1303" i="1"/>
  <c r="G1303" i="1"/>
  <c r="E1303" i="1"/>
  <c r="B1303" i="1"/>
  <c r="A1303" i="1"/>
  <c r="H1302" i="1"/>
  <c r="G1302" i="1"/>
  <c r="E1302" i="1"/>
  <c r="B1302" i="1"/>
  <c r="A1302" i="1"/>
  <c r="H1301" i="1"/>
  <c r="G1301" i="1"/>
  <c r="E1301" i="1"/>
  <c r="B1301" i="1"/>
  <c r="A1301" i="1"/>
  <c r="H1300" i="1"/>
  <c r="G1300" i="1"/>
  <c r="E1300" i="1"/>
  <c r="B1300" i="1"/>
  <c r="A1300" i="1"/>
  <c r="H1299" i="1"/>
  <c r="G1299" i="1"/>
  <c r="E1299" i="1"/>
  <c r="B1299" i="1"/>
  <c r="A1299" i="1"/>
  <c r="H1298" i="1"/>
  <c r="G1298" i="1"/>
  <c r="E1298" i="1"/>
  <c r="B1298" i="1"/>
  <c r="A1298" i="1"/>
  <c r="H1297" i="1"/>
  <c r="G1297" i="1"/>
  <c r="E1297" i="1"/>
  <c r="B1297" i="1"/>
  <c r="A1297" i="1"/>
  <c r="H1296" i="1"/>
  <c r="G1296" i="1"/>
  <c r="E1296" i="1"/>
  <c r="B1296" i="1"/>
  <c r="A1296" i="1"/>
  <c r="H1295" i="1"/>
  <c r="G1295" i="1"/>
  <c r="E1295" i="1"/>
  <c r="B1295" i="1"/>
  <c r="A1295" i="1"/>
  <c r="H1294" i="1"/>
  <c r="G1294" i="1"/>
  <c r="E1294" i="1"/>
  <c r="B1294" i="1"/>
  <c r="A1294" i="1"/>
  <c r="H1293" i="1"/>
  <c r="G1293" i="1"/>
  <c r="E1293" i="1"/>
  <c r="B1293" i="1"/>
  <c r="A1293" i="1"/>
  <c r="H1292" i="1"/>
  <c r="G1292" i="1"/>
  <c r="E1292" i="1"/>
  <c r="B1292" i="1"/>
  <c r="A1292" i="1"/>
  <c r="H1291" i="1"/>
  <c r="G1291" i="1"/>
  <c r="E1291" i="1"/>
  <c r="B1291" i="1"/>
  <c r="A1291" i="1"/>
  <c r="H1290" i="1"/>
  <c r="G1290" i="1"/>
  <c r="E1290" i="1"/>
  <c r="B1290" i="1"/>
  <c r="A1290" i="1"/>
  <c r="H1289" i="1"/>
  <c r="G1289" i="1"/>
  <c r="E1289" i="1"/>
  <c r="B1289" i="1"/>
  <c r="A1289" i="1"/>
  <c r="H1288" i="1"/>
  <c r="G1288" i="1"/>
  <c r="E1288" i="1"/>
  <c r="B1288" i="1"/>
  <c r="A1288" i="1"/>
  <c r="H1287" i="1"/>
  <c r="G1287" i="1"/>
  <c r="E1287" i="1"/>
  <c r="B1287" i="1"/>
  <c r="A1287" i="1"/>
  <c r="H1286" i="1"/>
  <c r="G1286" i="1"/>
  <c r="E1286" i="1"/>
  <c r="B1286" i="1"/>
  <c r="A1286" i="1"/>
  <c r="H1285" i="1"/>
  <c r="G1285" i="1"/>
  <c r="E1285" i="1"/>
  <c r="B1285" i="1"/>
  <c r="A1285" i="1"/>
  <c r="H1284" i="1"/>
  <c r="G1284" i="1"/>
  <c r="E1284" i="1"/>
  <c r="B1284" i="1"/>
  <c r="A1284" i="1"/>
  <c r="H1283" i="1"/>
  <c r="G1283" i="1"/>
  <c r="E1283" i="1"/>
  <c r="B1283" i="1"/>
  <c r="A1283" i="1"/>
  <c r="H1282" i="1"/>
  <c r="G1282" i="1"/>
  <c r="E1282" i="1"/>
  <c r="B1282" i="1"/>
  <c r="A1282" i="1"/>
  <c r="H1281" i="1"/>
  <c r="G1281" i="1"/>
  <c r="E1281" i="1"/>
  <c r="B1281" i="1"/>
  <c r="A1281" i="1"/>
  <c r="H1280" i="1"/>
  <c r="G1280" i="1"/>
  <c r="E1280" i="1"/>
  <c r="B1280" i="1"/>
  <c r="A1280" i="1"/>
  <c r="H1279" i="1"/>
  <c r="G1279" i="1"/>
  <c r="E1279" i="1"/>
  <c r="B1279" i="1"/>
  <c r="A1279" i="1"/>
  <c r="H1278" i="1"/>
  <c r="G1278" i="1"/>
  <c r="E1278" i="1"/>
  <c r="B1278" i="1"/>
  <c r="A1278" i="1"/>
  <c r="H1277" i="1"/>
  <c r="G1277" i="1"/>
  <c r="E1277" i="1"/>
  <c r="B1277" i="1"/>
  <c r="A1277" i="1"/>
  <c r="H1276" i="1"/>
  <c r="G1276" i="1"/>
  <c r="E1276" i="1"/>
  <c r="B1276" i="1"/>
  <c r="A1276" i="1"/>
  <c r="H1275" i="1"/>
  <c r="G1275" i="1"/>
  <c r="E1275" i="1"/>
  <c r="B1275" i="1"/>
  <c r="A1275" i="1"/>
  <c r="H1274" i="1"/>
  <c r="G1274" i="1"/>
  <c r="E1274" i="1"/>
  <c r="B1274" i="1"/>
  <c r="A1274" i="1"/>
  <c r="H1273" i="1"/>
  <c r="G1273" i="1"/>
  <c r="E1273" i="1"/>
  <c r="B1273" i="1"/>
  <c r="A1273" i="1"/>
  <c r="H1272" i="1"/>
  <c r="G1272" i="1"/>
  <c r="E1272" i="1"/>
  <c r="B1272" i="1"/>
  <c r="A1272" i="1"/>
  <c r="H1271" i="1"/>
  <c r="G1271" i="1"/>
  <c r="E1271" i="1"/>
  <c r="B1271" i="1"/>
  <c r="A1271" i="1"/>
  <c r="H1270" i="1"/>
  <c r="G1270" i="1"/>
  <c r="E1270" i="1"/>
  <c r="B1270" i="1"/>
  <c r="A1270" i="1"/>
  <c r="H1269" i="1"/>
  <c r="G1269" i="1"/>
  <c r="E1269" i="1"/>
  <c r="B1269" i="1"/>
  <c r="A1269" i="1"/>
  <c r="H1268" i="1"/>
  <c r="G1268" i="1"/>
  <c r="E1268" i="1"/>
  <c r="B1268" i="1"/>
  <c r="A1268" i="1"/>
  <c r="H1267" i="1"/>
  <c r="G1267" i="1"/>
  <c r="E1267" i="1"/>
  <c r="B1267" i="1"/>
  <c r="A1267" i="1"/>
  <c r="H1266" i="1"/>
  <c r="G1266" i="1"/>
  <c r="E1266" i="1"/>
  <c r="B1266" i="1"/>
  <c r="A1266" i="1"/>
  <c r="H1265" i="1"/>
  <c r="G1265" i="1"/>
  <c r="E1265" i="1"/>
  <c r="B1265" i="1"/>
  <c r="A1265" i="1"/>
  <c r="H1264" i="1"/>
  <c r="G1264" i="1"/>
  <c r="E1264" i="1"/>
  <c r="B1264" i="1"/>
  <c r="A1264" i="1"/>
  <c r="H1263" i="1"/>
  <c r="G1263" i="1"/>
  <c r="E1263" i="1"/>
  <c r="B1263" i="1"/>
  <c r="A1263" i="1"/>
  <c r="H1262" i="1"/>
  <c r="G1262" i="1"/>
  <c r="E1262" i="1"/>
  <c r="B1262" i="1"/>
  <c r="A1262" i="1"/>
  <c r="H1261" i="1"/>
  <c r="G1261" i="1"/>
  <c r="E1261" i="1"/>
  <c r="B1261" i="1"/>
  <c r="A1261" i="1"/>
  <c r="H1260" i="1"/>
  <c r="G1260" i="1"/>
  <c r="E1260" i="1"/>
  <c r="B1260" i="1"/>
  <c r="A1260" i="1"/>
  <c r="H1259" i="1"/>
  <c r="G1259" i="1"/>
  <c r="E1259" i="1"/>
  <c r="B1259" i="1"/>
  <c r="A1259" i="1"/>
  <c r="H1258" i="1"/>
  <c r="G1258" i="1"/>
  <c r="E1258" i="1"/>
  <c r="B1258" i="1"/>
  <c r="A1258" i="1"/>
  <c r="H1257" i="1"/>
  <c r="G1257" i="1"/>
  <c r="E1257" i="1"/>
  <c r="B1257" i="1"/>
  <c r="A1257" i="1"/>
  <c r="H1256" i="1"/>
  <c r="G1256" i="1"/>
  <c r="E1256" i="1"/>
  <c r="B1256" i="1"/>
  <c r="A1256" i="1"/>
  <c r="H1255" i="1"/>
  <c r="G1255" i="1"/>
  <c r="E1255" i="1"/>
  <c r="B1255" i="1"/>
  <c r="A1255" i="1"/>
  <c r="H1254" i="1"/>
  <c r="G1254" i="1"/>
  <c r="E1254" i="1"/>
  <c r="B1254" i="1"/>
  <c r="A1254" i="1"/>
  <c r="H1253" i="1"/>
  <c r="G1253" i="1"/>
  <c r="E1253" i="1"/>
  <c r="B1253" i="1"/>
  <c r="A1253" i="1"/>
  <c r="H1252" i="1"/>
  <c r="G1252" i="1"/>
  <c r="E1252" i="1"/>
  <c r="B1252" i="1"/>
  <c r="A1252" i="1"/>
  <c r="H1251" i="1"/>
  <c r="G1251" i="1"/>
  <c r="E1251" i="1"/>
  <c r="B1251" i="1"/>
  <c r="A1251" i="1"/>
  <c r="H1250" i="1"/>
  <c r="G1250" i="1"/>
  <c r="E1250" i="1"/>
  <c r="B1250" i="1"/>
  <c r="A1250" i="1"/>
  <c r="H1249" i="1"/>
  <c r="G1249" i="1"/>
  <c r="E1249" i="1"/>
  <c r="B1249" i="1"/>
  <c r="A1249" i="1"/>
  <c r="H1248" i="1"/>
  <c r="G1248" i="1"/>
  <c r="E1248" i="1"/>
  <c r="B1248" i="1"/>
  <c r="A1248" i="1"/>
  <c r="H1247" i="1"/>
  <c r="G1247" i="1"/>
  <c r="E1247" i="1"/>
  <c r="B1247" i="1"/>
  <c r="A1247" i="1"/>
  <c r="H1246" i="1"/>
  <c r="G1246" i="1"/>
  <c r="E1246" i="1"/>
  <c r="B1246" i="1"/>
  <c r="A1246" i="1"/>
  <c r="H1245" i="1"/>
  <c r="G1245" i="1"/>
  <c r="E1245" i="1"/>
  <c r="B1245" i="1"/>
  <c r="A1245" i="1"/>
  <c r="H1244" i="1"/>
  <c r="G1244" i="1"/>
  <c r="E1244" i="1"/>
  <c r="B1244" i="1"/>
  <c r="A1244" i="1"/>
  <c r="H1243" i="1"/>
  <c r="G1243" i="1"/>
  <c r="E1243" i="1"/>
  <c r="B1243" i="1"/>
  <c r="A1243" i="1"/>
  <c r="H1242" i="1"/>
  <c r="G1242" i="1"/>
  <c r="E1242" i="1"/>
  <c r="B1242" i="1"/>
  <c r="A1242" i="1"/>
  <c r="H1241" i="1"/>
  <c r="G1241" i="1"/>
  <c r="E1241" i="1"/>
  <c r="B1241" i="1"/>
  <c r="A1241" i="1"/>
  <c r="H1240" i="1"/>
  <c r="G1240" i="1"/>
  <c r="E1240" i="1"/>
  <c r="B1240" i="1"/>
  <c r="A1240" i="1"/>
  <c r="H1239" i="1"/>
  <c r="G1239" i="1"/>
  <c r="E1239" i="1"/>
  <c r="B1239" i="1"/>
  <c r="A1239" i="1"/>
  <c r="H1238" i="1"/>
  <c r="G1238" i="1"/>
  <c r="E1238" i="1"/>
  <c r="B1238" i="1"/>
  <c r="A1238" i="1"/>
  <c r="H1237" i="1"/>
  <c r="G1237" i="1"/>
  <c r="E1237" i="1"/>
  <c r="B1237" i="1"/>
  <c r="A1237" i="1"/>
  <c r="H1236" i="1"/>
  <c r="G1236" i="1"/>
  <c r="E1236" i="1"/>
  <c r="B1236" i="1"/>
  <c r="A1236" i="1"/>
  <c r="H1235" i="1"/>
  <c r="G1235" i="1"/>
  <c r="E1235" i="1"/>
  <c r="B1235" i="1"/>
  <c r="A1235" i="1"/>
  <c r="H1234" i="1"/>
  <c r="G1234" i="1"/>
  <c r="E1234" i="1"/>
  <c r="B1234" i="1"/>
  <c r="A1234" i="1"/>
  <c r="H1233" i="1"/>
  <c r="G1233" i="1"/>
  <c r="E1233" i="1"/>
  <c r="B1233" i="1"/>
  <c r="A1233" i="1"/>
  <c r="H1232" i="1"/>
  <c r="G1232" i="1"/>
  <c r="E1232" i="1"/>
  <c r="B1232" i="1"/>
  <c r="A1232" i="1"/>
  <c r="H1231" i="1"/>
  <c r="G1231" i="1"/>
  <c r="E1231" i="1"/>
  <c r="B1231" i="1"/>
  <c r="A1231" i="1"/>
  <c r="H1230" i="1"/>
  <c r="G1230" i="1"/>
  <c r="E1230" i="1"/>
  <c r="B1230" i="1"/>
  <c r="A1230" i="1"/>
  <c r="H1229" i="1"/>
  <c r="G1229" i="1"/>
  <c r="E1229" i="1"/>
  <c r="B1229" i="1"/>
  <c r="A1229" i="1"/>
  <c r="H1228" i="1"/>
  <c r="G1228" i="1"/>
  <c r="E1228" i="1"/>
  <c r="B1228" i="1"/>
  <c r="A1228" i="1"/>
  <c r="H1227" i="1"/>
  <c r="G1227" i="1"/>
  <c r="E1227" i="1"/>
  <c r="B1227" i="1"/>
  <c r="A1227" i="1"/>
  <c r="H1226" i="1"/>
  <c r="G1226" i="1"/>
  <c r="E1226" i="1"/>
  <c r="B1226" i="1"/>
  <c r="A1226" i="1"/>
  <c r="H1225" i="1"/>
  <c r="G1225" i="1"/>
  <c r="E1225" i="1"/>
  <c r="B1225" i="1"/>
  <c r="A1225" i="1"/>
  <c r="H1224" i="1"/>
  <c r="G1224" i="1"/>
  <c r="E1224" i="1"/>
  <c r="B1224" i="1"/>
  <c r="A1224" i="1"/>
  <c r="H1223" i="1"/>
  <c r="G1223" i="1"/>
  <c r="E1223" i="1"/>
  <c r="B1223" i="1"/>
  <c r="A1223" i="1"/>
  <c r="H1222" i="1"/>
  <c r="G1222" i="1"/>
  <c r="E1222" i="1"/>
  <c r="B1222" i="1"/>
  <c r="A1222" i="1"/>
  <c r="H1221" i="1"/>
  <c r="G1221" i="1"/>
  <c r="E1221" i="1"/>
  <c r="B1221" i="1"/>
  <c r="A1221" i="1"/>
  <c r="H1220" i="1"/>
  <c r="G1220" i="1"/>
  <c r="E1220" i="1"/>
  <c r="B1220" i="1"/>
  <c r="A1220" i="1"/>
  <c r="H1219" i="1"/>
  <c r="G1219" i="1"/>
  <c r="E1219" i="1"/>
  <c r="B1219" i="1"/>
  <c r="A1219" i="1"/>
  <c r="H1218" i="1"/>
  <c r="G1218" i="1"/>
  <c r="E1218" i="1"/>
  <c r="B1218" i="1"/>
  <c r="A1218" i="1"/>
  <c r="H1217" i="1"/>
  <c r="G1217" i="1"/>
  <c r="E1217" i="1"/>
  <c r="B1217" i="1"/>
  <c r="A1217" i="1"/>
  <c r="H1216" i="1"/>
  <c r="G1216" i="1"/>
  <c r="E1216" i="1"/>
  <c r="B1216" i="1"/>
  <c r="A1216" i="1"/>
  <c r="H1215" i="1"/>
  <c r="G1215" i="1"/>
  <c r="E1215" i="1"/>
  <c r="B1215" i="1"/>
  <c r="A1215" i="1"/>
  <c r="H1214" i="1"/>
  <c r="G1214" i="1"/>
  <c r="E1214" i="1"/>
  <c r="B1214" i="1"/>
  <c r="A1214" i="1"/>
  <c r="H1213" i="1"/>
  <c r="G1213" i="1"/>
  <c r="E1213" i="1"/>
  <c r="B1213" i="1"/>
  <c r="A1213" i="1"/>
  <c r="H1212" i="1"/>
  <c r="G1212" i="1"/>
  <c r="E1212" i="1"/>
  <c r="B1212" i="1"/>
  <c r="A1212" i="1"/>
  <c r="H1211" i="1"/>
  <c r="G1211" i="1"/>
  <c r="E1211" i="1"/>
  <c r="B1211" i="1"/>
  <c r="A1211" i="1"/>
  <c r="H1210" i="1"/>
  <c r="G1210" i="1"/>
  <c r="E1210" i="1"/>
  <c r="B1210" i="1"/>
  <c r="A1210" i="1"/>
  <c r="H1209" i="1"/>
  <c r="G1209" i="1"/>
  <c r="E1209" i="1"/>
  <c r="B1209" i="1"/>
  <c r="A1209" i="1"/>
  <c r="H1208" i="1"/>
  <c r="G1208" i="1"/>
  <c r="E1208" i="1"/>
  <c r="B1208" i="1"/>
  <c r="A1208" i="1"/>
  <c r="H1207" i="1"/>
  <c r="G1207" i="1"/>
  <c r="E1207" i="1"/>
  <c r="B1207" i="1"/>
  <c r="A1207" i="1"/>
  <c r="H1206" i="1"/>
  <c r="G1206" i="1"/>
  <c r="E1206" i="1"/>
  <c r="B1206" i="1"/>
  <c r="A1206" i="1"/>
  <c r="H1205" i="1"/>
  <c r="G1205" i="1"/>
  <c r="E1205" i="1"/>
  <c r="B1205" i="1"/>
  <c r="A1205" i="1"/>
  <c r="H1204" i="1"/>
  <c r="G1204" i="1"/>
  <c r="E1204" i="1"/>
  <c r="B1204" i="1"/>
  <c r="A1204" i="1"/>
  <c r="H1203" i="1"/>
  <c r="G1203" i="1"/>
  <c r="E1203" i="1"/>
  <c r="B1203" i="1"/>
  <c r="A1203" i="1"/>
  <c r="H1202" i="1"/>
  <c r="G1202" i="1"/>
  <c r="E1202" i="1"/>
  <c r="B1202" i="1"/>
  <c r="A1202" i="1"/>
  <c r="H1201" i="1"/>
  <c r="G1201" i="1"/>
  <c r="E1201" i="1"/>
  <c r="B1201" i="1"/>
  <c r="A1201" i="1"/>
  <c r="H1200" i="1"/>
  <c r="G1200" i="1"/>
  <c r="E1200" i="1"/>
  <c r="B1200" i="1"/>
  <c r="A1200" i="1"/>
  <c r="H1199" i="1"/>
  <c r="G1199" i="1"/>
  <c r="E1199" i="1"/>
  <c r="B1199" i="1"/>
  <c r="A1199" i="1"/>
  <c r="H1198" i="1"/>
  <c r="G1198" i="1"/>
  <c r="E1198" i="1"/>
  <c r="B1198" i="1"/>
  <c r="A1198" i="1"/>
  <c r="H1197" i="1"/>
  <c r="G1197" i="1"/>
  <c r="E1197" i="1"/>
  <c r="B1197" i="1"/>
  <c r="A1197" i="1"/>
  <c r="H1196" i="1"/>
  <c r="G1196" i="1"/>
  <c r="E1196" i="1"/>
  <c r="B1196" i="1"/>
  <c r="A1196" i="1"/>
  <c r="H1195" i="1"/>
  <c r="G1195" i="1"/>
  <c r="E1195" i="1"/>
  <c r="B1195" i="1"/>
  <c r="A1195" i="1"/>
  <c r="H1194" i="1"/>
  <c r="G1194" i="1"/>
  <c r="E1194" i="1"/>
  <c r="B1194" i="1"/>
  <c r="A1194" i="1"/>
  <c r="H1193" i="1"/>
  <c r="G1193" i="1"/>
  <c r="E1193" i="1"/>
  <c r="B1193" i="1"/>
  <c r="A1193" i="1"/>
  <c r="H1192" i="1"/>
  <c r="G1192" i="1"/>
  <c r="E1192" i="1"/>
  <c r="B1192" i="1"/>
  <c r="A1192" i="1"/>
  <c r="H1191" i="1"/>
  <c r="G1191" i="1"/>
  <c r="E1191" i="1"/>
  <c r="B1191" i="1"/>
  <c r="A1191" i="1"/>
  <c r="H1190" i="1"/>
  <c r="G1190" i="1"/>
  <c r="E1190" i="1"/>
  <c r="B1190" i="1"/>
  <c r="A1190" i="1"/>
  <c r="H1189" i="1"/>
  <c r="G1189" i="1"/>
  <c r="E1189" i="1"/>
  <c r="B1189" i="1"/>
  <c r="A1189" i="1"/>
  <c r="H1188" i="1"/>
  <c r="G1188" i="1"/>
  <c r="E1188" i="1"/>
  <c r="B1188" i="1"/>
  <c r="A1188" i="1"/>
  <c r="H1187" i="1"/>
  <c r="G1187" i="1"/>
  <c r="E1187" i="1"/>
  <c r="B1187" i="1"/>
  <c r="A1187" i="1"/>
  <c r="H1186" i="1"/>
  <c r="G1186" i="1"/>
  <c r="E1186" i="1"/>
  <c r="B1186" i="1"/>
  <c r="A1186" i="1"/>
  <c r="H1185" i="1"/>
  <c r="G1185" i="1"/>
  <c r="E1185" i="1"/>
  <c r="B1185" i="1"/>
  <c r="A1185" i="1"/>
  <c r="H1184" i="1"/>
  <c r="G1184" i="1"/>
  <c r="E1184" i="1"/>
  <c r="B1184" i="1"/>
  <c r="A1184" i="1"/>
  <c r="H1183" i="1"/>
  <c r="G1183" i="1"/>
  <c r="E1183" i="1"/>
  <c r="B1183" i="1"/>
  <c r="A1183" i="1"/>
  <c r="H1182" i="1"/>
  <c r="G1182" i="1"/>
  <c r="E1182" i="1"/>
  <c r="B1182" i="1"/>
  <c r="A1182" i="1"/>
  <c r="H1181" i="1"/>
  <c r="G1181" i="1"/>
  <c r="E1181" i="1"/>
  <c r="B1181" i="1"/>
  <c r="A1181" i="1"/>
  <c r="H1180" i="1"/>
  <c r="G1180" i="1"/>
  <c r="E1180" i="1"/>
  <c r="B1180" i="1"/>
  <c r="A1180" i="1"/>
  <c r="H1179" i="1"/>
  <c r="G1179" i="1"/>
  <c r="E1179" i="1"/>
  <c r="B1179" i="1"/>
  <c r="A1179" i="1"/>
  <c r="H1178" i="1"/>
  <c r="G1178" i="1"/>
  <c r="E1178" i="1"/>
  <c r="B1178" i="1"/>
  <c r="A1178" i="1"/>
  <c r="H1177" i="1"/>
  <c r="G1177" i="1"/>
  <c r="E1177" i="1"/>
  <c r="B1177" i="1"/>
  <c r="A1177" i="1"/>
  <c r="H1176" i="1"/>
  <c r="G1176" i="1"/>
  <c r="E1176" i="1"/>
  <c r="B1176" i="1"/>
  <c r="A1176" i="1"/>
  <c r="H1175" i="1"/>
  <c r="G1175" i="1"/>
  <c r="E1175" i="1"/>
  <c r="B1175" i="1"/>
  <c r="A1175" i="1"/>
  <c r="H1174" i="1"/>
  <c r="G1174" i="1"/>
  <c r="E1174" i="1"/>
  <c r="B1174" i="1"/>
  <c r="A1174" i="1"/>
  <c r="H1173" i="1"/>
  <c r="G1173" i="1"/>
  <c r="E1173" i="1"/>
  <c r="B1173" i="1"/>
  <c r="A1173" i="1"/>
  <c r="H1172" i="1"/>
  <c r="G1172" i="1"/>
  <c r="E1172" i="1"/>
  <c r="B1172" i="1"/>
  <c r="A1172" i="1"/>
  <c r="H1171" i="1"/>
  <c r="G1171" i="1"/>
  <c r="E1171" i="1"/>
  <c r="B1171" i="1"/>
  <c r="A1171" i="1"/>
  <c r="H1170" i="1"/>
  <c r="G1170" i="1"/>
  <c r="E1170" i="1"/>
  <c r="B1170" i="1"/>
  <c r="A1170" i="1"/>
  <c r="H1169" i="1"/>
  <c r="G1169" i="1"/>
  <c r="E1169" i="1"/>
  <c r="B1169" i="1"/>
  <c r="A1169" i="1"/>
  <c r="H1168" i="1"/>
  <c r="G1168" i="1"/>
  <c r="E1168" i="1"/>
  <c r="B1168" i="1"/>
  <c r="A1168" i="1"/>
  <c r="H1167" i="1"/>
  <c r="G1167" i="1"/>
  <c r="E1167" i="1"/>
  <c r="B1167" i="1"/>
  <c r="A1167" i="1"/>
  <c r="H1166" i="1"/>
  <c r="G1166" i="1"/>
  <c r="E1166" i="1"/>
  <c r="B1166" i="1"/>
  <c r="A1166" i="1"/>
  <c r="H1165" i="1"/>
  <c r="G1165" i="1"/>
  <c r="E1165" i="1"/>
  <c r="B1165" i="1"/>
  <c r="A1165" i="1"/>
  <c r="H1164" i="1"/>
  <c r="G1164" i="1"/>
  <c r="E1164" i="1"/>
  <c r="B1164" i="1"/>
  <c r="A1164" i="1"/>
  <c r="H1163" i="1"/>
  <c r="G1163" i="1"/>
  <c r="E1163" i="1"/>
  <c r="B1163" i="1"/>
  <c r="A1163" i="1"/>
  <c r="H1162" i="1"/>
  <c r="G1162" i="1"/>
  <c r="E1162" i="1"/>
  <c r="B1162" i="1"/>
  <c r="A1162" i="1"/>
  <c r="H1161" i="1"/>
  <c r="G1161" i="1"/>
  <c r="E1161" i="1"/>
  <c r="B1161" i="1"/>
  <c r="A1161" i="1"/>
  <c r="H1160" i="1"/>
  <c r="G1160" i="1"/>
  <c r="E1160" i="1"/>
  <c r="B1160" i="1"/>
  <c r="A1160" i="1"/>
  <c r="H1159" i="1"/>
  <c r="G1159" i="1"/>
  <c r="E1159" i="1"/>
  <c r="B1159" i="1"/>
  <c r="A1159" i="1"/>
  <c r="H1158" i="1"/>
  <c r="G1158" i="1"/>
  <c r="E1158" i="1"/>
  <c r="B1158" i="1"/>
  <c r="A1158" i="1"/>
  <c r="H1157" i="1"/>
  <c r="G1157" i="1"/>
  <c r="E1157" i="1"/>
  <c r="B1157" i="1"/>
  <c r="A1157" i="1"/>
  <c r="H1156" i="1"/>
  <c r="G1156" i="1"/>
  <c r="E1156" i="1"/>
  <c r="B1156" i="1"/>
  <c r="A1156" i="1"/>
  <c r="H1155" i="1"/>
  <c r="G1155" i="1"/>
  <c r="E1155" i="1"/>
  <c r="B1155" i="1"/>
  <c r="A1155" i="1"/>
  <c r="H1154" i="1"/>
  <c r="G1154" i="1"/>
  <c r="E1154" i="1"/>
  <c r="B1154" i="1"/>
  <c r="A1154" i="1"/>
  <c r="H1153" i="1"/>
  <c r="G1153" i="1"/>
  <c r="E1153" i="1"/>
  <c r="B1153" i="1"/>
  <c r="A1153" i="1"/>
  <c r="H1152" i="1"/>
  <c r="G1152" i="1"/>
  <c r="E1152" i="1"/>
  <c r="B1152" i="1"/>
  <c r="A1152" i="1"/>
  <c r="H1151" i="1"/>
  <c r="G1151" i="1"/>
  <c r="E1151" i="1"/>
  <c r="B1151" i="1"/>
  <c r="A1151" i="1"/>
  <c r="H1150" i="1"/>
  <c r="G1150" i="1"/>
  <c r="E1150" i="1"/>
  <c r="B1150" i="1"/>
  <c r="A1150" i="1"/>
  <c r="H1149" i="1"/>
  <c r="G1149" i="1"/>
  <c r="E1149" i="1"/>
  <c r="B1149" i="1"/>
  <c r="A1149" i="1"/>
  <c r="H1148" i="1"/>
  <c r="G1148" i="1"/>
  <c r="E1148" i="1"/>
  <c r="B1148" i="1"/>
  <c r="A1148" i="1"/>
  <c r="H1147" i="1"/>
  <c r="G1147" i="1"/>
  <c r="E1147" i="1"/>
  <c r="B1147" i="1"/>
  <c r="A1147" i="1"/>
  <c r="H1146" i="1"/>
  <c r="G1146" i="1"/>
  <c r="E1146" i="1"/>
  <c r="B1146" i="1"/>
  <c r="A1146" i="1"/>
  <c r="H1145" i="1"/>
  <c r="G1145" i="1"/>
  <c r="E1145" i="1"/>
  <c r="B1145" i="1"/>
  <c r="A1145" i="1"/>
  <c r="H1144" i="1"/>
  <c r="G1144" i="1"/>
  <c r="E1144" i="1"/>
  <c r="B1144" i="1"/>
  <c r="A1144" i="1"/>
  <c r="H1143" i="1"/>
  <c r="G1143" i="1"/>
  <c r="E1143" i="1"/>
  <c r="B1143" i="1"/>
  <c r="A1143" i="1"/>
  <c r="H1142" i="1"/>
  <c r="G1142" i="1"/>
  <c r="E1142" i="1"/>
  <c r="B1142" i="1"/>
  <c r="A1142" i="1"/>
  <c r="H1141" i="1"/>
  <c r="G1141" i="1"/>
  <c r="E1141" i="1"/>
  <c r="B1141" i="1"/>
  <c r="A1141" i="1"/>
  <c r="H1140" i="1"/>
  <c r="G1140" i="1"/>
  <c r="E1140" i="1"/>
  <c r="B1140" i="1"/>
  <c r="A1140" i="1"/>
  <c r="H1139" i="1"/>
  <c r="G1139" i="1"/>
  <c r="E1139" i="1"/>
  <c r="B1139" i="1"/>
  <c r="A1139" i="1"/>
  <c r="H1138" i="1"/>
  <c r="G1138" i="1"/>
  <c r="E1138" i="1"/>
  <c r="B1138" i="1"/>
  <c r="A1138" i="1"/>
  <c r="H1137" i="1"/>
  <c r="G1137" i="1"/>
  <c r="E1137" i="1"/>
  <c r="B1137" i="1"/>
  <c r="A1137" i="1"/>
  <c r="H1136" i="1"/>
  <c r="G1136" i="1"/>
  <c r="E1136" i="1"/>
  <c r="B1136" i="1"/>
  <c r="A1136" i="1"/>
  <c r="H1135" i="1"/>
  <c r="G1135" i="1"/>
  <c r="E1135" i="1"/>
  <c r="B1135" i="1"/>
  <c r="A1135" i="1"/>
  <c r="H1134" i="1"/>
  <c r="G1134" i="1"/>
  <c r="E1134" i="1"/>
  <c r="B1134" i="1"/>
  <c r="A1134" i="1"/>
  <c r="H1133" i="1"/>
  <c r="G1133" i="1"/>
  <c r="E1133" i="1"/>
  <c r="B1133" i="1"/>
  <c r="A1133" i="1"/>
  <c r="H1132" i="1"/>
  <c r="G1132" i="1"/>
  <c r="E1132" i="1"/>
  <c r="B1132" i="1"/>
  <c r="A1132" i="1"/>
  <c r="H1131" i="1"/>
  <c r="G1131" i="1"/>
  <c r="E1131" i="1"/>
  <c r="B1131" i="1"/>
  <c r="A1131" i="1"/>
  <c r="H1130" i="1"/>
  <c r="G1130" i="1"/>
  <c r="E1130" i="1"/>
  <c r="B1130" i="1"/>
  <c r="A1130" i="1"/>
  <c r="H1129" i="1"/>
  <c r="G1129" i="1"/>
  <c r="E1129" i="1"/>
  <c r="B1129" i="1"/>
  <c r="A1129" i="1"/>
  <c r="H1128" i="1"/>
  <c r="G1128" i="1"/>
  <c r="E1128" i="1"/>
  <c r="B1128" i="1"/>
  <c r="A1128" i="1"/>
  <c r="H1127" i="1"/>
  <c r="G1127" i="1"/>
  <c r="E1127" i="1"/>
  <c r="B1127" i="1"/>
  <c r="A1127" i="1"/>
  <c r="H1126" i="1"/>
  <c r="G1126" i="1"/>
  <c r="E1126" i="1"/>
  <c r="B1126" i="1"/>
  <c r="A1126" i="1"/>
  <c r="H1125" i="1"/>
  <c r="G1125" i="1"/>
  <c r="E1125" i="1"/>
  <c r="B1125" i="1"/>
  <c r="A1125" i="1"/>
  <c r="H1124" i="1"/>
  <c r="G1124" i="1"/>
  <c r="E1124" i="1"/>
  <c r="B1124" i="1"/>
  <c r="A1124" i="1"/>
  <c r="H1123" i="1"/>
  <c r="G1123" i="1"/>
  <c r="E1123" i="1"/>
  <c r="B1123" i="1"/>
  <c r="A1123" i="1"/>
  <c r="H1122" i="1"/>
  <c r="G1122" i="1"/>
  <c r="E1122" i="1"/>
  <c r="B1122" i="1"/>
  <c r="A1122" i="1"/>
  <c r="H1121" i="1"/>
  <c r="G1121" i="1"/>
  <c r="E1121" i="1"/>
  <c r="B1121" i="1"/>
  <c r="A1121" i="1"/>
  <c r="H1120" i="1"/>
  <c r="G1120" i="1"/>
  <c r="E1120" i="1"/>
  <c r="B1120" i="1"/>
  <c r="A1120" i="1"/>
  <c r="H1119" i="1"/>
  <c r="G1119" i="1"/>
  <c r="E1119" i="1"/>
  <c r="B1119" i="1"/>
  <c r="A1119" i="1"/>
  <c r="H1118" i="1"/>
  <c r="G1118" i="1"/>
  <c r="E1118" i="1"/>
  <c r="B1118" i="1"/>
  <c r="A1118" i="1"/>
  <c r="H1117" i="1"/>
  <c r="G1117" i="1"/>
  <c r="E1117" i="1"/>
  <c r="B1117" i="1"/>
  <c r="A1117" i="1"/>
  <c r="H1116" i="1"/>
  <c r="G1116" i="1"/>
  <c r="E1116" i="1"/>
  <c r="B1116" i="1"/>
  <c r="A1116" i="1"/>
  <c r="H1115" i="1"/>
  <c r="G1115" i="1"/>
  <c r="E1115" i="1"/>
  <c r="B1115" i="1"/>
  <c r="A1115" i="1"/>
  <c r="H1114" i="1"/>
  <c r="G1114" i="1"/>
  <c r="E1114" i="1"/>
  <c r="B1114" i="1"/>
  <c r="A1114" i="1"/>
  <c r="H1113" i="1"/>
  <c r="G1113" i="1"/>
  <c r="E1113" i="1"/>
  <c r="B1113" i="1"/>
  <c r="A1113" i="1"/>
  <c r="H1112" i="1"/>
  <c r="G1112" i="1"/>
  <c r="E1112" i="1"/>
  <c r="B1112" i="1"/>
  <c r="A1112" i="1"/>
  <c r="H1111" i="1"/>
  <c r="G1111" i="1"/>
  <c r="E1111" i="1"/>
  <c r="B1111" i="1"/>
  <c r="A1111" i="1"/>
  <c r="H1110" i="1"/>
  <c r="G1110" i="1"/>
  <c r="E1110" i="1"/>
  <c r="B1110" i="1"/>
  <c r="A1110" i="1"/>
  <c r="H1109" i="1"/>
  <c r="G1109" i="1"/>
  <c r="E1109" i="1"/>
  <c r="B1109" i="1"/>
  <c r="A1109" i="1"/>
  <c r="H1108" i="1"/>
  <c r="G1108" i="1"/>
  <c r="E1108" i="1"/>
  <c r="B1108" i="1"/>
  <c r="A1108" i="1"/>
  <c r="H1107" i="1"/>
  <c r="G1107" i="1"/>
  <c r="E1107" i="1"/>
  <c r="B1107" i="1"/>
  <c r="A1107" i="1"/>
  <c r="H1106" i="1"/>
  <c r="G1106" i="1"/>
  <c r="E1106" i="1"/>
  <c r="B1106" i="1"/>
  <c r="A1106" i="1"/>
  <c r="H1105" i="1"/>
  <c r="G1105" i="1"/>
  <c r="E1105" i="1"/>
  <c r="B1105" i="1"/>
  <c r="A1105" i="1"/>
  <c r="H1104" i="1"/>
  <c r="G1104" i="1"/>
  <c r="E1104" i="1"/>
  <c r="B1104" i="1"/>
  <c r="A1104" i="1"/>
  <c r="H1103" i="1"/>
  <c r="G1103" i="1"/>
  <c r="E1103" i="1"/>
  <c r="B1103" i="1"/>
  <c r="A1103" i="1"/>
  <c r="H1102" i="1"/>
  <c r="G1102" i="1"/>
  <c r="E1102" i="1"/>
  <c r="B1102" i="1"/>
  <c r="A1102" i="1"/>
  <c r="H1101" i="1"/>
  <c r="G1101" i="1"/>
  <c r="E1101" i="1"/>
  <c r="B1101" i="1"/>
  <c r="A1101" i="1"/>
  <c r="H1100" i="1"/>
  <c r="G1100" i="1"/>
  <c r="E1100" i="1"/>
  <c r="B1100" i="1"/>
  <c r="A1100" i="1"/>
  <c r="H1099" i="1"/>
  <c r="G1099" i="1"/>
  <c r="E1099" i="1"/>
  <c r="B1099" i="1"/>
  <c r="A1099" i="1"/>
  <c r="H1098" i="1"/>
  <c r="G1098" i="1"/>
  <c r="E1098" i="1"/>
  <c r="B1098" i="1"/>
  <c r="A1098" i="1"/>
  <c r="H1097" i="1"/>
  <c r="G1097" i="1"/>
  <c r="E1097" i="1"/>
  <c r="B1097" i="1"/>
  <c r="A1097" i="1"/>
  <c r="H1096" i="1"/>
  <c r="G1096" i="1"/>
  <c r="E1096" i="1"/>
  <c r="B1096" i="1"/>
  <c r="A1096" i="1"/>
  <c r="H1095" i="1"/>
  <c r="G1095" i="1"/>
  <c r="E1095" i="1"/>
  <c r="B1095" i="1"/>
  <c r="A1095" i="1"/>
  <c r="H1094" i="1"/>
  <c r="G1094" i="1"/>
  <c r="E1094" i="1"/>
  <c r="B1094" i="1"/>
  <c r="A1094" i="1"/>
  <c r="H1093" i="1"/>
  <c r="G1093" i="1"/>
  <c r="E1093" i="1"/>
  <c r="B1093" i="1"/>
  <c r="A1093" i="1"/>
  <c r="H1092" i="1"/>
  <c r="G1092" i="1"/>
  <c r="E1092" i="1"/>
  <c r="B1092" i="1"/>
  <c r="A1092" i="1"/>
  <c r="H1091" i="1"/>
  <c r="G1091" i="1"/>
  <c r="E1091" i="1"/>
  <c r="B1091" i="1"/>
  <c r="A1091" i="1"/>
  <c r="H1090" i="1"/>
  <c r="G1090" i="1"/>
  <c r="E1090" i="1"/>
  <c r="B1090" i="1"/>
  <c r="A1090" i="1"/>
  <c r="H1089" i="1"/>
  <c r="G1089" i="1"/>
  <c r="E1089" i="1"/>
  <c r="B1089" i="1"/>
  <c r="A1089" i="1"/>
  <c r="H1088" i="1"/>
  <c r="G1088" i="1"/>
  <c r="E1088" i="1"/>
  <c r="B1088" i="1"/>
  <c r="A1088" i="1"/>
  <c r="H1087" i="1"/>
  <c r="G1087" i="1"/>
  <c r="E1087" i="1"/>
  <c r="B1087" i="1"/>
  <c r="A1087" i="1"/>
  <c r="H1086" i="1"/>
  <c r="G1086" i="1"/>
  <c r="E1086" i="1"/>
  <c r="B1086" i="1"/>
  <c r="A1086" i="1"/>
  <c r="H1085" i="1"/>
  <c r="G1085" i="1"/>
  <c r="E1085" i="1"/>
  <c r="B1085" i="1"/>
  <c r="A1085" i="1"/>
  <c r="H1084" i="1"/>
  <c r="G1084" i="1"/>
  <c r="E1084" i="1"/>
  <c r="B1084" i="1"/>
  <c r="A1084" i="1"/>
  <c r="H1083" i="1"/>
  <c r="G1083" i="1"/>
  <c r="E1083" i="1"/>
  <c r="B1083" i="1"/>
  <c r="A1083" i="1"/>
  <c r="H1082" i="1"/>
  <c r="G1082" i="1"/>
  <c r="E1082" i="1"/>
  <c r="B1082" i="1"/>
  <c r="A1082" i="1"/>
  <c r="H1081" i="1"/>
  <c r="G1081" i="1"/>
  <c r="E1081" i="1"/>
  <c r="B1081" i="1"/>
  <c r="A1081" i="1"/>
  <c r="H1080" i="1"/>
  <c r="G1080" i="1"/>
  <c r="E1080" i="1"/>
  <c r="B1080" i="1"/>
  <c r="A1080" i="1"/>
  <c r="H1079" i="1"/>
  <c r="G1079" i="1"/>
  <c r="E1079" i="1"/>
  <c r="B1079" i="1"/>
  <c r="A1079" i="1"/>
  <c r="H1078" i="1"/>
  <c r="G1078" i="1"/>
  <c r="E1078" i="1"/>
  <c r="B1078" i="1"/>
  <c r="A1078" i="1"/>
  <c r="H1077" i="1"/>
  <c r="G1077" i="1"/>
  <c r="E1077" i="1"/>
  <c r="B1077" i="1"/>
  <c r="A1077" i="1"/>
  <c r="H1076" i="1"/>
  <c r="G1076" i="1"/>
  <c r="E1076" i="1"/>
  <c r="B1076" i="1"/>
  <c r="A1076" i="1"/>
  <c r="H1075" i="1"/>
  <c r="G1075" i="1"/>
  <c r="E1075" i="1"/>
  <c r="B1075" i="1"/>
  <c r="A1075" i="1"/>
  <c r="H1074" i="1"/>
  <c r="G1074" i="1"/>
  <c r="E1074" i="1"/>
  <c r="B1074" i="1"/>
  <c r="A1074" i="1"/>
  <c r="H1073" i="1"/>
  <c r="G1073" i="1"/>
  <c r="E1073" i="1"/>
  <c r="B1073" i="1"/>
  <c r="A1073" i="1"/>
  <c r="H1072" i="1"/>
  <c r="G1072" i="1"/>
  <c r="E1072" i="1"/>
  <c r="B1072" i="1"/>
  <c r="A1072" i="1"/>
  <c r="H1071" i="1"/>
  <c r="G1071" i="1"/>
  <c r="E1071" i="1"/>
  <c r="B1071" i="1"/>
  <c r="A1071" i="1"/>
  <c r="H1070" i="1"/>
  <c r="G1070" i="1"/>
  <c r="E1070" i="1"/>
  <c r="B1070" i="1"/>
  <c r="A1070" i="1"/>
  <c r="H1069" i="1"/>
  <c r="G1069" i="1"/>
  <c r="E1069" i="1"/>
  <c r="B1069" i="1"/>
  <c r="A1069" i="1"/>
  <c r="H1068" i="1"/>
  <c r="G1068" i="1"/>
  <c r="E1068" i="1"/>
  <c r="B1068" i="1"/>
  <c r="A1068" i="1"/>
  <c r="H1067" i="1"/>
  <c r="G1067" i="1"/>
  <c r="E1067" i="1"/>
  <c r="B1067" i="1"/>
  <c r="A1067" i="1"/>
  <c r="H1066" i="1"/>
  <c r="G1066" i="1"/>
  <c r="E1066" i="1"/>
  <c r="B1066" i="1"/>
  <c r="A1066" i="1"/>
  <c r="H1065" i="1"/>
  <c r="G1065" i="1"/>
  <c r="E1065" i="1"/>
  <c r="B1065" i="1"/>
  <c r="A1065" i="1"/>
  <c r="H1064" i="1"/>
  <c r="G1064" i="1"/>
  <c r="E1064" i="1"/>
  <c r="B1064" i="1"/>
  <c r="A1064" i="1"/>
  <c r="H1063" i="1"/>
  <c r="G1063" i="1"/>
  <c r="E1063" i="1"/>
  <c r="B1063" i="1"/>
  <c r="A1063" i="1"/>
  <c r="H1062" i="1"/>
  <c r="G1062" i="1"/>
  <c r="E1062" i="1"/>
  <c r="B1062" i="1"/>
  <c r="A1062" i="1"/>
  <c r="H1061" i="1"/>
  <c r="G1061" i="1"/>
  <c r="E1061" i="1"/>
  <c r="B1061" i="1"/>
  <c r="A1061" i="1"/>
  <c r="H1060" i="1"/>
  <c r="G1060" i="1"/>
  <c r="E1060" i="1"/>
  <c r="B1060" i="1"/>
  <c r="A1060" i="1"/>
  <c r="H1059" i="1"/>
  <c r="G1059" i="1"/>
  <c r="E1059" i="1"/>
  <c r="B1059" i="1"/>
  <c r="A1059" i="1"/>
  <c r="H1058" i="1"/>
  <c r="G1058" i="1"/>
  <c r="E1058" i="1"/>
  <c r="B1058" i="1"/>
  <c r="A1058" i="1"/>
  <c r="H1057" i="1"/>
  <c r="G1057" i="1"/>
  <c r="E1057" i="1"/>
  <c r="B1057" i="1"/>
  <c r="A1057" i="1"/>
  <c r="H1056" i="1"/>
  <c r="G1056" i="1"/>
  <c r="E1056" i="1"/>
  <c r="B1056" i="1"/>
  <c r="A1056" i="1"/>
  <c r="H1055" i="1"/>
  <c r="G1055" i="1"/>
  <c r="E1055" i="1"/>
  <c r="B1055" i="1"/>
  <c r="A1055" i="1"/>
  <c r="H1054" i="1"/>
  <c r="G1054" i="1"/>
  <c r="E1054" i="1"/>
  <c r="B1054" i="1"/>
  <c r="A1054" i="1"/>
  <c r="H1053" i="1"/>
  <c r="G1053" i="1"/>
  <c r="E1053" i="1"/>
  <c r="B1053" i="1"/>
  <c r="A1053" i="1"/>
  <c r="H1052" i="1"/>
  <c r="G1052" i="1"/>
  <c r="E1052" i="1"/>
  <c r="B1052" i="1"/>
  <c r="A1052" i="1"/>
  <c r="H1051" i="1"/>
  <c r="G1051" i="1"/>
  <c r="E1051" i="1"/>
  <c r="B1051" i="1"/>
  <c r="A1051" i="1"/>
  <c r="H1050" i="1"/>
  <c r="G1050" i="1"/>
  <c r="E1050" i="1"/>
  <c r="B1050" i="1"/>
  <c r="A1050" i="1"/>
  <c r="H1049" i="1"/>
  <c r="G1049" i="1"/>
  <c r="E1049" i="1"/>
  <c r="B1049" i="1"/>
  <c r="A1049" i="1"/>
  <c r="H1048" i="1"/>
  <c r="G1048" i="1"/>
  <c r="E1048" i="1"/>
  <c r="B1048" i="1"/>
  <c r="A1048" i="1"/>
  <c r="H1047" i="1"/>
  <c r="G1047" i="1"/>
  <c r="E1047" i="1"/>
  <c r="B1047" i="1"/>
  <c r="A1047" i="1"/>
  <c r="H1046" i="1"/>
  <c r="G1046" i="1"/>
  <c r="E1046" i="1"/>
  <c r="B1046" i="1"/>
  <c r="A1046" i="1"/>
  <c r="H1045" i="1"/>
  <c r="G1045" i="1"/>
  <c r="E1045" i="1"/>
  <c r="B1045" i="1"/>
  <c r="A1045" i="1"/>
  <c r="H1044" i="1"/>
  <c r="G1044" i="1"/>
  <c r="E1044" i="1"/>
  <c r="B1044" i="1"/>
  <c r="A1044" i="1"/>
  <c r="H1043" i="1"/>
  <c r="G1043" i="1"/>
  <c r="E1043" i="1"/>
  <c r="B1043" i="1"/>
  <c r="A1043" i="1"/>
  <c r="H1042" i="1"/>
  <c r="G1042" i="1"/>
  <c r="E1042" i="1"/>
  <c r="B1042" i="1"/>
  <c r="A1042" i="1"/>
  <c r="H1041" i="1"/>
  <c r="G1041" i="1"/>
  <c r="E1041" i="1"/>
  <c r="B1041" i="1"/>
  <c r="A1041" i="1"/>
  <c r="H1040" i="1"/>
  <c r="G1040" i="1"/>
  <c r="E1040" i="1"/>
  <c r="B1040" i="1"/>
  <c r="A1040" i="1"/>
  <c r="H1039" i="1"/>
  <c r="G1039" i="1"/>
  <c r="E1039" i="1"/>
  <c r="B1039" i="1"/>
  <c r="A1039" i="1"/>
  <c r="H1038" i="1"/>
  <c r="G1038" i="1"/>
  <c r="E1038" i="1"/>
  <c r="B1038" i="1"/>
  <c r="A1038" i="1"/>
  <c r="H1037" i="1"/>
  <c r="G1037" i="1"/>
  <c r="E1037" i="1"/>
  <c r="B1037" i="1"/>
  <c r="A1037" i="1"/>
  <c r="H1036" i="1"/>
  <c r="G1036" i="1"/>
  <c r="E1036" i="1"/>
  <c r="B1036" i="1"/>
  <c r="A1036" i="1"/>
  <c r="H1035" i="1"/>
  <c r="G1035" i="1"/>
  <c r="E1035" i="1"/>
  <c r="B1035" i="1"/>
  <c r="A1035" i="1"/>
  <c r="H1034" i="1"/>
  <c r="G1034" i="1"/>
  <c r="E1034" i="1"/>
  <c r="B1034" i="1"/>
  <c r="A1034" i="1"/>
  <c r="H1033" i="1"/>
  <c r="G1033" i="1"/>
  <c r="E1033" i="1"/>
  <c r="B1033" i="1"/>
  <c r="A1033" i="1"/>
  <c r="H1032" i="1"/>
  <c r="G1032" i="1"/>
  <c r="E1032" i="1"/>
  <c r="B1032" i="1"/>
  <c r="A1032" i="1"/>
  <c r="H1031" i="1"/>
  <c r="G1031" i="1"/>
  <c r="E1031" i="1"/>
  <c r="B1031" i="1"/>
  <c r="A1031" i="1"/>
  <c r="H1030" i="1"/>
  <c r="G1030" i="1"/>
  <c r="E1030" i="1"/>
  <c r="B1030" i="1"/>
  <c r="A1030" i="1"/>
  <c r="H1029" i="1"/>
  <c r="G1029" i="1"/>
  <c r="E1029" i="1"/>
  <c r="B1029" i="1"/>
  <c r="A1029" i="1"/>
  <c r="H1028" i="1"/>
  <c r="G1028" i="1"/>
  <c r="E1028" i="1"/>
  <c r="B1028" i="1"/>
  <c r="A1028" i="1"/>
  <c r="H1027" i="1"/>
  <c r="G1027" i="1"/>
  <c r="E1027" i="1"/>
  <c r="B1027" i="1"/>
  <c r="A1027" i="1"/>
  <c r="H1026" i="1"/>
  <c r="G1026" i="1"/>
  <c r="E1026" i="1"/>
  <c r="B1026" i="1"/>
  <c r="A1026" i="1"/>
  <c r="H1025" i="1"/>
  <c r="G1025" i="1"/>
  <c r="E1025" i="1"/>
  <c r="B1025" i="1"/>
  <c r="A1025" i="1"/>
  <c r="H1024" i="1"/>
  <c r="G1024" i="1"/>
  <c r="E1024" i="1"/>
  <c r="B1024" i="1"/>
  <c r="A1024" i="1"/>
  <c r="H1023" i="1"/>
  <c r="G1023" i="1"/>
  <c r="E1023" i="1"/>
  <c r="B1023" i="1"/>
  <c r="A1023" i="1"/>
  <c r="H1022" i="1"/>
  <c r="G1022" i="1"/>
  <c r="E1022" i="1"/>
  <c r="B1022" i="1"/>
  <c r="A1022" i="1"/>
  <c r="H1021" i="1"/>
  <c r="G1021" i="1"/>
  <c r="E1021" i="1"/>
  <c r="B1021" i="1"/>
  <c r="A1021" i="1"/>
  <c r="H1020" i="1"/>
  <c r="G1020" i="1"/>
  <c r="E1020" i="1"/>
  <c r="B1020" i="1"/>
  <c r="A1020" i="1"/>
  <c r="H1019" i="1"/>
  <c r="G1019" i="1"/>
  <c r="E1019" i="1"/>
  <c r="B1019" i="1"/>
  <c r="A1019" i="1"/>
  <c r="H1018" i="1"/>
  <c r="G1018" i="1"/>
  <c r="E1018" i="1"/>
  <c r="B1018" i="1"/>
  <c r="A1018" i="1"/>
  <c r="H1017" i="1"/>
  <c r="G1017" i="1"/>
  <c r="E1017" i="1"/>
  <c r="B1017" i="1"/>
  <c r="A1017" i="1"/>
  <c r="H1016" i="1"/>
  <c r="G1016" i="1"/>
  <c r="E1016" i="1"/>
  <c r="B1016" i="1"/>
  <c r="A1016" i="1"/>
  <c r="H1015" i="1"/>
  <c r="G1015" i="1"/>
  <c r="E1015" i="1"/>
  <c r="B1015" i="1"/>
  <c r="A1015" i="1"/>
  <c r="H1014" i="1"/>
  <c r="G1014" i="1"/>
  <c r="E1014" i="1"/>
  <c r="B1014" i="1"/>
  <c r="A1014" i="1"/>
  <c r="H1013" i="1"/>
  <c r="G1013" i="1"/>
  <c r="E1013" i="1"/>
  <c r="B1013" i="1"/>
  <c r="A1013" i="1"/>
  <c r="H1012" i="1"/>
  <c r="G1012" i="1"/>
  <c r="E1012" i="1"/>
  <c r="B1012" i="1"/>
  <c r="A1012" i="1"/>
  <c r="H1011" i="1"/>
  <c r="G1011" i="1"/>
  <c r="E1011" i="1"/>
  <c r="B1011" i="1"/>
  <c r="A1011" i="1"/>
  <c r="H1010" i="1"/>
  <c r="G1010" i="1"/>
  <c r="E1010" i="1"/>
  <c r="B1010" i="1"/>
  <c r="A1010" i="1"/>
  <c r="H1009" i="1"/>
  <c r="G1009" i="1"/>
  <c r="E1009" i="1"/>
  <c r="B1009" i="1"/>
  <c r="A1009" i="1"/>
  <c r="H1008" i="1"/>
  <c r="G1008" i="1"/>
  <c r="E1008" i="1"/>
  <c r="B1008" i="1"/>
  <c r="A1008" i="1"/>
  <c r="H1007" i="1"/>
  <c r="G1007" i="1"/>
  <c r="E1007" i="1"/>
  <c r="B1007" i="1"/>
  <c r="A1007" i="1"/>
  <c r="H1006" i="1"/>
  <c r="G1006" i="1"/>
  <c r="E1006" i="1"/>
  <c r="B1006" i="1"/>
  <c r="A1006" i="1"/>
  <c r="H1005" i="1"/>
  <c r="G1005" i="1"/>
  <c r="E1005" i="1"/>
  <c r="B1005" i="1"/>
  <c r="A1005" i="1"/>
  <c r="H1004" i="1"/>
  <c r="G1004" i="1"/>
  <c r="E1004" i="1"/>
  <c r="B1004" i="1"/>
  <c r="A1004" i="1"/>
  <c r="H1003" i="1"/>
  <c r="G1003" i="1"/>
  <c r="E1003" i="1"/>
  <c r="B1003" i="1"/>
  <c r="A1003" i="1"/>
  <c r="H1002" i="1"/>
  <c r="G1002" i="1"/>
  <c r="E1002" i="1"/>
  <c r="B1002" i="1"/>
  <c r="A1002" i="1"/>
  <c r="H1001" i="1"/>
  <c r="G1001" i="1"/>
  <c r="E1001" i="1"/>
  <c r="B1001" i="1"/>
  <c r="A1001" i="1"/>
  <c r="H1000" i="1"/>
  <c r="G1000" i="1"/>
  <c r="E1000" i="1"/>
  <c r="B1000" i="1"/>
  <c r="A1000" i="1"/>
  <c r="H999" i="1"/>
  <c r="G999" i="1"/>
  <c r="E999" i="1"/>
  <c r="B999" i="1"/>
  <c r="A999" i="1"/>
  <c r="H998" i="1"/>
  <c r="G998" i="1"/>
  <c r="E998" i="1"/>
  <c r="B998" i="1"/>
  <c r="A998" i="1"/>
  <c r="H997" i="1"/>
  <c r="G997" i="1"/>
  <c r="E997" i="1"/>
  <c r="B997" i="1"/>
  <c r="A997" i="1"/>
  <c r="H996" i="1"/>
  <c r="G996" i="1"/>
  <c r="B996" i="1"/>
  <c r="A996" i="1"/>
  <c r="H995" i="1"/>
  <c r="G995" i="1"/>
  <c r="E995" i="1"/>
  <c r="B995" i="1"/>
  <c r="A995" i="1"/>
  <c r="H994" i="1"/>
  <c r="G994" i="1"/>
  <c r="E994" i="1"/>
  <c r="B994" i="1"/>
  <c r="A994" i="1"/>
  <c r="H993" i="1"/>
  <c r="G993" i="1"/>
  <c r="E993" i="1"/>
  <c r="B993" i="1"/>
  <c r="A993" i="1"/>
  <c r="H992" i="1"/>
  <c r="G992" i="1"/>
  <c r="E992" i="1"/>
  <c r="B992" i="1"/>
  <c r="A992" i="1"/>
  <c r="H991" i="1"/>
  <c r="G991" i="1"/>
  <c r="E991" i="1"/>
  <c r="B991" i="1"/>
  <c r="A991" i="1"/>
  <c r="H990" i="1"/>
  <c r="G990" i="1"/>
  <c r="E990" i="1"/>
  <c r="B990" i="1"/>
  <c r="A990" i="1"/>
  <c r="H989" i="1"/>
  <c r="G989" i="1"/>
  <c r="E989" i="1"/>
  <c r="B989" i="1"/>
  <c r="A989" i="1"/>
  <c r="H988" i="1"/>
  <c r="G988" i="1"/>
  <c r="E988" i="1"/>
  <c r="B988" i="1"/>
  <c r="A988" i="1"/>
  <c r="H987" i="1"/>
  <c r="G987" i="1"/>
  <c r="E987" i="1"/>
  <c r="B987" i="1"/>
  <c r="A987" i="1"/>
  <c r="H986" i="1"/>
  <c r="G986" i="1"/>
  <c r="E986" i="1"/>
  <c r="B986" i="1"/>
  <c r="A986" i="1"/>
  <c r="H985" i="1"/>
  <c r="G985" i="1"/>
  <c r="E985" i="1"/>
  <c r="B985" i="1"/>
  <c r="A985" i="1"/>
  <c r="H984" i="1"/>
  <c r="G984" i="1"/>
  <c r="E984" i="1"/>
  <c r="B984" i="1"/>
  <c r="A984" i="1"/>
  <c r="H983" i="1"/>
  <c r="G983" i="1"/>
  <c r="E983" i="1"/>
  <c r="B983" i="1"/>
  <c r="A983" i="1"/>
  <c r="H982" i="1"/>
  <c r="G982" i="1"/>
  <c r="E982" i="1"/>
  <c r="B982" i="1"/>
  <c r="A982" i="1"/>
  <c r="H981" i="1"/>
  <c r="G981" i="1"/>
  <c r="E981" i="1"/>
  <c r="B981" i="1"/>
  <c r="A981" i="1"/>
  <c r="H980" i="1"/>
  <c r="G980" i="1"/>
  <c r="E980" i="1"/>
  <c r="B980" i="1"/>
  <c r="A980" i="1"/>
  <c r="H979" i="1"/>
  <c r="G979" i="1"/>
  <c r="E979" i="1"/>
  <c r="B979" i="1"/>
  <c r="A979" i="1"/>
  <c r="H978" i="1"/>
  <c r="G978" i="1"/>
  <c r="E978" i="1"/>
  <c r="B978" i="1"/>
  <c r="A978" i="1"/>
  <c r="H977" i="1"/>
  <c r="G977" i="1"/>
  <c r="E977" i="1"/>
  <c r="B977" i="1"/>
  <c r="A977" i="1"/>
  <c r="H976" i="1"/>
  <c r="G976" i="1"/>
  <c r="E976" i="1"/>
  <c r="B976" i="1"/>
  <c r="A976" i="1"/>
  <c r="H975" i="1"/>
  <c r="G975" i="1"/>
  <c r="E975" i="1"/>
  <c r="B975" i="1"/>
  <c r="A975" i="1"/>
  <c r="H974" i="1"/>
  <c r="G974" i="1"/>
  <c r="E974" i="1"/>
  <c r="B974" i="1"/>
  <c r="A974" i="1"/>
  <c r="H973" i="1"/>
  <c r="G973" i="1"/>
  <c r="E973" i="1"/>
  <c r="B973" i="1"/>
  <c r="A973" i="1"/>
  <c r="H972" i="1"/>
  <c r="G972" i="1"/>
  <c r="E972" i="1"/>
  <c r="B972" i="1"/>
  <c r="A972" i="1"/>
  <c r="H971" i="1"/>
  <c r="G971" i="1"/>
  <c r="E971" i="1"/>
  <c r="B971" i="1"/>
  <c r="A971" i="1"/>
  <c r="H970" i="1"/>
  <c r="G970" i="1"/>
  <c r="E970" i="1"/>
  <c r="B970" i="1"/>
  <c r="A970" i="1"/>
  <c r="H969" i="1"/>
  <c r="G969" i="1"/>
  <c r="E969" i="1"/>
  <c r="B969" i="1"/>
  <c r="A969" i="1"/>
  <c r="H968" i="1"/>
  <c r="G968" i="1"/>
  <c r="E968" i="1"/>
  <c r="B968" i="1"/>
  <c r="A968" i="1"/>
  <c r="H967" i="1"/>
  <c r="G967" i="1"/>
  <c r="E967" i="1"/>
  <c r="B967" i="1"/>
  <c r="A967" i="1"/>
  <c r="H966" i="1"/>
  <c r="G966" i="1"/>
  <c r="E966" i="1"/>
  <c r="B966" i="1"/>
  <c r="A966" i="1"/>
  <c r="H965" i="1"/>
  <c r="G965" i="1"/>
  <c r="E965" i="1"/>
  <c r="B965" i="1"/>
  <c r="A965" i="1"/>
  <c r="H964" i="1"/>
  <c r="G964" i="1"/>
  <c r="E964" i="1"/>
  <c r="B964" i="1"/>
  <c r="A964" i="1"/>
  <c r="H963" i="1"/>
  <c r="G963" i="1"/>
  <c r="E963" i="1"/>
  <c r="B963" i="1"/>
  <c r="A963" i="1"/>
  <c r="H962" i="1"/>
  <c r="G962" i="1"/>
  <c r="E962" i="1"/>
  <c r="B962" i="1"/>
  <c r="A962" i="1"/>
  <c r="H961" i="1"/>
  <c r="G961" i="1"/>
  <c r="E961" i="1"/>
  <c r="B961" i="1"/>
  <c r="A961" i="1"/>
  <c r="H960" i="1"/>
  <c r="G960" i="1"/>
  <c r="E960" i="1"/>
  <c r="B960" i="1"/>
  <c r="A960" i="1"/>
  <c r="H959" i="1"/>
  <c r="G959" i="1"/>
  <c r="E959" i="1"/>
  <c r="B959" i="1"/>
  <c r="A959" i="1"/>
  <c r="H958" i="1"/>
  <c r="G958" i="1"/>
  <c r="E958" i="1"/>
  <c r="B958" i="1"/>
  <c r="A958" i="1"/>
  <c r="H957" i="1"/>
  <c r="G957" i="1"/>
  <c r="E957" i="1"/>
  <c r="B957" i="1"/>
  <c r="A957" i="1"/>
  <c r="H956" i="1"/>
  <c r="G956" i="1"/>
  <c r="E956" i="1"/>
  <c r="B956" i="1"/>
  <c r="A956" i="1"/>
  <c r="H955" i="1"/>
  <c r="G955" i="1"/>
  <c r="E955" i="1"/>
  <c r="B955" i="1"/>
  <c r="A955" i="1"/>
  <c r="H954" i="1"/>
  <c r="G954" i="1"/>
  <c r="E954" i="1"/>
  <c r="B954" i="1"/>
  <c r="A954" i="1"/>
  <c r="H953" i="1"/>
  <c r="G953" i="1"/>
  <c r="E953" i="1"/>
  <c r="B953" i="1"/>
  <c r="A953" i="1"/>
  <c r="H952" i="1"/>
  <c r="G952" i="1"/>
  <c r="E952" i="1"/>
  <c r="B952" i="1"/>
  <c r="A952" i="1"/>
  <c r="H951" i="1"/>
  <c r="G951" i="1"/>
  <c r="E951" i="1"/>
  <c r="B951" i="1"/>
  <c r="A951" i="1"/>
  <c r="H950" i="1"/>
  <c r="G950" i="1"/>
  <c r="E950" i="1"/>
  <c r="B950" i="1"/>
  <c r="A950" i="1"/>
  <c r="H949" i="1"/>
  <c r="G949" i="1"/>
  <c r="E949" i="1"/>
  <c r="B949" i="1"/>
  <c r="A949" i="1"/>
  <c r="H948" i="1"/>
  <c r="G948" i="1"/>
  <c r="E948" i="1"/>
  <c r="B948" i="1"/>
  <c r="A948" i="1"/>
  <c r="H947" i="1"/>
  <c r="G947" i="1"/>
  <c r="E947" i="1"/>
  <c r="B947" i="1"/>
  <c r="A947" i="1"/>
  <c r="H946" i="1"/>
  <c r="G946" i="1"/>
  <c r="E946" i="1"/>
  <c r="B946" i="1"/>
  <c r="A946" i="1"/>
  <c r="H945" i="1"/>
  <c r="G945" i="1"/>
  <c r="E945" i="1"/>
  <c r="B945" i="1"/>
  <c r="A945" i="1"/>
  <c r="H944" i="1"/>
  <c r="G944" i="1"/>
  <c r="E944" i="1"/>
  <c r="B944" i="1"/>
  <c r="A944" i="1"/>
  <c r="H943" i="1"/>
  <c r="G943" i="1"/>
  <c r="E943" i="1"/>
  <c r="B943" i="1"/>
  <c r="A943" i="1"/>
  <c r="H942" i="1"/>
  <c r="G942" i="1"/>
  <c r="E942" i="1"/>
  <c r="B942" i="1"/>
  <c r="A942" i="1"/>
  <c r="H941" i="1"/>
  <c r="G941" i="1"/>
  <c r="E941" i="1"/>
  <c r="B941" i="1"/>
  <c r="A941" i="1"/>
  <c r="H940" i="1"/>
  <c r="G940" i="1"/>
  <c r="E940" i="1"/>
  <c r="B940" i="1"/>
  <c r="A940" i="1"/>
  <c r="H939" i="1"/>
  <c r="G939" i="1"/>
  <c r="E939" i="1"/>
  <c r="B939" i="1"/>
  <c r="A939" i="1"/>
  <c r="H938" i="1"/>
  <c r="G938" i="1"/>
  <c r="E938" i="1"/>
  <c r="B938" i="1"/>
  <c r="A938" i="1"/>
  <c r="H937" i="1"/>
  <c r="G937" i="1"/>
  <c r="E937" i="1"/>
  <c r="B937" i="1"/>
  <c r="A937" i="1"/>
  <c r="H936" i="1"/>
  <c r="G936" i="1"/>
  <c r="E936" i="1"/>
  <c r="B936" i="1"/>
  <c r="A936" i="1"/>
  <c r="H935" i="1"/>
  <c r="G935" i="1"/>
  <c r="E935" i="1"/>
  <c r="B935" i="1"/>
  <c r="A935" i="1"/>
  <c r="H934" i="1"/>
  <c r="G934" i="1"/>
  <c r="E934" i="1"/>
  <c r="B934" i="1"/>
  <c r="A934" i="1"/>
  <c r="H933" i="1"/>
  <c r="G933" i="1"/>
  <c r="E933" i="1"/>
  <c r="B933" i="1"/>
  <c r="A933" i="1"/>
  <c r="H932" i="1"/>
  <c r="G932" i="1"/>
  <c r="E932" i="1"/>
  <c r="B932" i="1"/>
  <c r="A932" i="1"/>
  <c r="H931" i="1"/>
  <c r="G931" i="1"/>
  <c r="E931" i="1"/>
  <c r="B931" i="1"/>
  <c r="A931" i="1"/>
  <c r="H930" i="1"/>
  <c r="G930" i="1"/>
  <c r="E930" i="1"/>
  <c r="B930" i="1"/>
  <c r="A930" i="1"/>
  <c r="H929" i="1"/>
  <c r="G929" i="1"/>
  <c r="E929" i="1"/>
  <c r="B929" i="1"/>
  <c r="A929" i="1"/>
  <c r="H928" i="1"/>
  <c r="G928" i="1"/>
  <c r="E928" i="1"/>
  <c r="B928" i="1"/>
  <c r="A928" i="1"/>
  <c r="H927" i="1"/>
  <c r="G927" i="1"/>
  <c r="E927" i="1"/>
  <c r="B927" i="1"/>
  <c r="A927" i="1"/>
  <c r="H926" i="1"/>
  <c r="G926" i="1"/>
  <c r="E926" i="1"/>
  <c r="B926" i="1"/>
  <c r="A926" i="1"/>
  <c r="H925" i="1"/>
  <c r="G925" i="1"/>
  <c r="E925" i="1"/>
  <c r="B925" i="1"/>
  <c r="A925" i="1"/>
  <c r="H924" i="1"/>
  <c r="G924" i="1"/>
  <c r="E924" i="1"/>
  <c r="B924" i="1"/>
  <c r="A924" i="1"/>
  <c r="H923" i="1"/>
  <c r="G923" i="1"/>
  <c r="E923" i="1"/>
  <c r="B923" i="1"/>
  <c r="A923" i="1"/>
  <c r="H922" i="1"/>
  <c r="G922" i="1"/>
  <c r="E922" i="1"/>
  <c r="B922" i="1"/>
  <c r="A922" i="1"/>
  <c r="H921" i="1"/>
  <c r="G921" i="1"/>
  <c r="E921" i="1"/>
  <c r="B921" i="1"/>
  <c r="A921" i="1"/>
  <c r="H920" i="1"/>
  <c r="G920" i="1"/>
  <c r="E920" i="1"/>
  <c r="B920" i="1"/>
  <c r="A920" i="1"/>
  <c r="H919" i="1"/>
  <c r="G919" i="1"/>
  <c r="E919" i="1"/>
  <c r="B919" i="1"/>
  <c r="A919" i="1"/>
  <c r="H918" i="1"/>
  <c r="G918" i="1"/>
  <c r="E918" i="1"/>
  <c r="B918" i="1"/>
  <c r="A918" i="1"/>
  <c r="H917" i="1"/>
  <c r="G917" i="1"/>
  <c r="E917" i="1"/>
  <c r="B917" i="1"/>
  <c r="A917" i="1"/>
  <c r="H916" i="1"/>
  <c r="G916" i="1"/>
  <c r="E916" i="1"/>
  <c r="B916" i="1"/>
  <c r="A916" i="1"/>
  <c r="H915" i="1"/>
  <c r="G915" i="1"/>
  <c r="E915" i="1"/>
  <c r="B915" i="1"/>
  <c r="A915" i="1"/>
  <c r="H914" i="1"/>
  <c r="G914" i="1"/>
  <c r="E914" i="1"/>
  <c r="B914" i="1"/>
  <c r="A914" i="1"/>
  <c r="H913" i="1"/>
  <c r="G913" i="1"/>
  <c r="E913" i="1"/>
  <c r="B913" i="1"/>
  <c r="A913" i="1"/>
  <c r="H912" i="1"/>
  <c r="G912" i="1"/>
  <c r="E912" i="1"/>
  <c r="B912" i="1"/>
  <c r="A912" i="1"/>
  <c r="H911" i="1"/>
  <c r="G911" i="1"/>
  <c r="E911" i="1"/>
  <c r="B911" i="1"/>
  <c r="A911" i="1"/>
  <c r="H910" i="1"/>
  <c r="G910" i="1"/>
  <c r="E910" i="1"/>
  <c r="B910" i="1"/>
  <c r="A910" i="1"/>
  <c r="H909" i="1"/>
  <c r="G909" i="1"/>
  <c r="E909" i="1"/>
  <c r="B909" i="1"/>
  <c r="A909" i="1"/>
  <c r="H908" i="1"/>
  <c r="G908" i="1"/>
  <c r="E908" i="1"/>
  <c r="B908" i="1"/>
  <c r="A908" i="1"/>
  <c r="H907" i="1"/>
  <c r="G907" i="1"/>
  <c r="E907" i="1"/>
  <c r="B907" i="1"/>
  <c r="A907" i="1"/>
  <c r="H906" i="1"/>
  <c r="G906" i="1"/>
  <c r="E906" i="1"/>
  <c r="B906" i="1"/>
  <c r="A906" i="1"/>
  <c r="H905" i="1"/>
  <c r="G905" i="1"/>
  <c r="E905" i="1"/>
  <c r="B905" i="1"/>
  <c r="A905" i="1"/>
  <c r="H904" i="1"/>
  <c r="G904" i="1"/>
  <c r="E904" i="1"/>
  <c r="B904" i="1"/>
  <c r="A904" i="1"/>
  <c r="H903" i="1"/>
  <c r="G903" i="1"/>
  <c r="E903" i="1"/>
  <c r="B903" i="1"/>
  <c r="A903" i="1"/>
  <c r="H902" i="1"/>
  <c r="G902" i="1"/>
  <c r="E902" i="1"/>
  <c r="B902" i="1"/>
  <c r="A902" i="1"/>
  <c r="H901" i="1"/>
  <c r="G901" i="1"/>
  <c r="E901" i="1"/>
  <c r="B901" i="1"/>
  <c r="A901" i="1"/>
  <c r="H900" i="1"/>
  <c r="G900" i="1"/>
  <c r="E900" i="1"/>
  <c r="B900" i="1"/>
  <c r="A900" i="1"/>
  <c r="H899" i="1"/>
  <c r="G899" i="1"/>
  <c r="E899" i="1"/>
  <c r="B899" i="1"/>
  <c r="A899" i="1"/>
  <c r="H898" i="1"/>
  <c r="G898" i="1"/>
  <c r="E898" i="1"/>
  <c r="B898" i="1"/>
  <c r="A898" i="1"/>
  <c r="H897" i="1"/>
  <c r="G897" i="1"/>
  <c r="E897" i="1"/>
  <c r="B897" i="1"/>
  <c r="A897" i="1"/>
  <c r="H896" i="1"/>
  <c r="G896" i="1"/>
  <c r="E896" i="1"/>
  <c r="B896" i="1"/>
  <c r="A896" i="1"/>
  <c r="H895" i="1"/>
  <c r="G895" i="1"/>
  <c r="E895" i="1"/>
  <c r="B895" i="1"/>
  <c r="A895" i="1"/>
  <c r="H894" i="1"/>
  <c r="G894" i="1"/>
  <c r="E894" i="1"/>
  <c r="B894" i="1"/>
  <c r="A894" i="1"/>
  <c r="H893" i="1"/>
  <c r="G893" i="1"/>
  <c r="E893" i="1"/>
  <c r="B893" i="1"/>
  <c r="A893" i="1"/>
  <c r="H892" i="1"/>
  <c r="G892" i="1"/>
  <c r="E892" i="1"/>
  <c r="B892" i="1"/>
  <c r="A892" i="1"/>
  <c r="H891" i="1"/>
  <c r="G891" i="1"/>
  <c r="E891" i="1"/>
  <c r="B891" i="1"/>
  <c r="A891" i="1"/>
  <c r="H890" i="1"/>
  <c r="G890" i="1"/>
  <c r="E890" i="1"/>
  <c r="B890" i="1"/>
  <c r="A890" i="1"/>
  <c r="H889" i="1"/>
  <c r="G889" i="1"/>
  <c r="E889" i="1"/>
  <c r="B889" i="1"/>
  <c r="A889" i="1"/>
  <c r="H888" i="1"/>
  <c r="G888" i="1"/>
  <c r="E888" i="1"/>
  <c r="B888" i="1"/>
  <c r="A888" i="1"/>
  <c r="H887" i="1"/>
  <c r="G887" i="1"/>
  <c r="E887" i="1"/>
  <c r="B887" i="1"/>
  <c r="A887" i="1"/>
  <c r="H886" i="1"/>
  <c r="G886" i="1"/>
  <c r="E886" i="1"/>
  <c r="B886" i="1"/>
  <c r="A886" i="1"/>
  <c r="H885" i="1"/>
  <c r="G885" i="1"/>
  <c r="E885" i="1"/>
  <c r="B885" i="1"/>
  <c r="A885" i="1"/>
  <c r="H884" i="1"/>
  <c r="G884" i="1"/>
  <c r="E884" i="1"/>
  <c r="B884" i="1"/>
  <c r="A884" i="1"/>
  <c r="H883" i="1"/>
  <c r="G883" i="1"/>
  <c r="E883" i="1"/>
  <c r="B883" i="1"/>
  <c r="A883" i="1"/>
  <c r="H882" i="1"/>
  <c r="G882" i="1"/>
  <c r="E882" i="1"/>
  <c r="B882" i="1"/>
  <c r="A882" i="1"/>
  <c r="H881" i="1"/>
  <c r="G881" i="1"/>
  <c r="E881" i="1"/>
  <c r="B881" i="1"/>
  <c r="A881" i="1"/>
  <c r="H880" i="1"/>
  <c r="G880" i="1"/>
  <c r="E880" i="1"/>
  <c r="B880" i="1"/>
  <c r="A880" i="1"/>
  <c r="H879" i="1"/>
  <c r="G879" i="1"/>
  <c r="E879" i="1"/>
  <c r="B879" i="1"/>
  <c r="A879" i="1"/>
  <c r="H878" i="1"/>
  <c r="G878" i="1"/>
  <c r="E878" i="1"/>
  <c r="B878" i="1"/>
  <c r="A878" i="1"/>
  <c r="H877" i="1"/>
  <c r="G877" i="1"/>
  <c r="E877" i="1"/>
  <c r="B877" i="1"/>
  <c r="A877" i="1"/>
  <c r="H876" i="1"/>
  <c r="G876" i="1"/>
  <c r="E876" i="1"/>
  <c r="B876" i="1"/>
  <c r="A876" i="1"/>
  <c r="H875" i="1"/>
  <c r="G875" i="1"/>
  <c r="E875" i="1"/>
  <c r="B875" i="1"/>
  <c r="A875" i="1"/>
  <c r="H874" i="1"/>
  <c r="G874" i="1"/>
  <c r="E874" i="1"/>
  <c r="B874" i="1"/>
  <c r="A874" i="1"/>
  <c r="H873" i="1"/>
  <c r="G873" i="1"/>
  <c r="E873" i="1"/>
  <c r="B873" i="1"/>
  <c r="A873" i="1"/>
  <c r="H872" i="1"/>
  <c r="G872" i="1"/>
  <c r="E872" i="1"/>
  <c r="B872" i="1"/>
  <c r="A872" i="1"/>
  <c r="H871" i="1"/>
  <c r="G871" i="1"/>
  <c r="E871" i="1"/>
  <c r="B871" i="1"/>
  <c r="A871" i="1"/>
  <c r="H870" i="1"/>
  <c r="G870" i="1"/>
  <c r="E870" i="1"/>
  <c r="B870" i="1"/>
  <c r="A870" i="1"/>
  <c r="H869" i="1"/>
  <c r="G869" i="1"/>
  <c r="E869" i="1"/>
  <c r="B869" i="1"/>
  <c r="A869" i="1"/>
  <c r="H868" i="1"/>
  <c r="G868" i="1"/>
  <c r="E868" i="1"/>
  <c r="B868" i="1"/>
  <c r="A868" i="1"/>
  <c r="H867" i="1"/>
  <c r="G867" i="1"/>
  <c r="E867" i="1"/>
  <c r="B867" i="1"/>
  <c r="A867" i="1"/>
  <c r="H866" i="1"/>
  <c r="G866" i="1"/>
  <c r="E866" i="1"/>
  <c r="B866" i="1"/>
  <c r="A866" i="1"/>
  <c r="H865" i="1"/>
  <c r="G865" i="1"/>
  <c r="E865" i="1"/>
  <c r="B865" i="1"/>
  <c r="A865" i="1"/>
  <c r="H864" i="1"/>
  <c r="G864" i="1"/>
  <c r="E864" i="1"/>
  <c r="B864" i="1"/>
  <c r="A864" i="1"/>
  <c r="H863" i="1"/>
  <c r="G863" i="1"/>
  <c r="E863" i="1"/>
  <c r="B863" i="1"/>
  <c r="A863" i="1"/>
  <c r="H862" i="1"/>
  <c r="G862" i="1"/>
  <c r="E862" i="1"/>
  <c r="B862" i="1"/>
  <c r="A862" i="1"/>
  <c r="H861" i="1"/>
  <c r="G861" i="1"/>
  <c r="E861" i="1"/>
  <c r="B861" i="1"/>
  <c r="A861" i="1"/>
  <c r="H860" i="1"/>
  <c r="G860" i="1"/>
  <c r="E860" i="1"/>
  <c r="B860" i="1"/>
  <c r="A860" i="1"/>
  <c r="H859" i="1"/>
  <c r="G859" i="1"/>
  <c r="E859" i="1"/>
  <c r="B859" i="1"/>
  <c r="A859" i="1"/>
  <c r="H858" i="1"/>
  <c r="G858" i="1"/>
  <c r="E858" i="1"/>
  <c r="B858" i="1"/>
  <c r="A858" i="1"/>
  <c r="H857" i="1"/>
  <c r="G857" i="1"/>
  <c r="E857" i="1"/>
  <c r="B857" i="1"/>
  <c r="A857" i="1"/>
  <c r="H856" i="1"/>
  <c r="G856" i="1"/>
  <c r="E856" i="1"/>
  <c r="B856" i="1"/>
  <c r="A856" i="1"/>
  <c r="H855" i="1"/>
  <c r="G855" i="1"/>
  <c r="E855" i="1"/>
  <c r="B855" i="1"/>
  <c r="A855" i="1"/>
  <c r="H854" i="1"/>
  <c r="G854" i="1"/>
  <c r="E854" i="1"/>
  <c r="B854" i="1"/>
  <c r="A854" i="1"/>
  <c r="H853" i="1"/>
  <c r="G853" i="1"/>
  <c r="E853" i="1"/>
  <c r="B853" i="1"/>
  <c r="A853" i="1"/>
  <c r="H852" i="1"/>
  <c r="G852" i="1"/>
  <c r="E852" i="1"/>
  <c r="B852" i="1"/>
  <c r="A852" i="1"/>
  <c r="H851" i="1"/>
  <c r="G851" i="1"/>
  <c r="E851" i="1"/>
  <c r="B851" i="1"/>
  <c r="A851" i="1"/>
  <c r="H850" i="1"/>
  <c r="G850" i="1"/>
  <c r="E850" i="1"/>
  <c r="B850" i="1"/>
  <c r="A850" i="1"/>
  <c r="H849" i="1"/>
  <c r="G849" i="1"/>
  <c r="E849" i="1"/>
  <c r="B849" i="1"/>
  <c r="A849" i="1"/>
  <c r="H848" i="1"/>
  <c r="G848" i="1"/>
  <c r="E848" i="1"/>
  <c r="B848" i="1"/>
  <c r="A848" i="1"/>
  <c r="H847" i="1"/>
  <c r="G847" i="1"/>
  <c r="E847" i="1"/>
  <c r="B847" i="1"/>
  <c r="A847" i="1"/>
  <c r="H846" i="1"/>
  <c r="G846" i="1"/>
  <c r="E846" i="1"/>
  <c r="B846" i="1"/>
  <c r="A846" i="1"/>
  <c r="H845" i="1"/>
  <c r="G845" i="1"/>
  <c r="E845" i="1"/>
  <c r="B845" i="1"/>
  <c r="A845" i="1"/>
  <c r="H844" i="1"/>
  <c r="G844" i="1"/>
  <c r="E844" i="1"/>
  <c r="B844" i="1"/>
  <c r="A844" i="1"/>
  <c r="H843" i="1"/>
  <c r="G843" i="1"/>
  <c r="E843" i="1"/>
  <c r="B843" i="1"/>
  <c r="A843" i="1"/>
  <c r="H842" i="1"/>
  <c r="G842" i="1"/>
  <c r="E842" i="1"/>
  <c r="B842" i="1"/>
  <c r="A842" i="1"/>
  <c r="H841" i="1"/>
  <c r="G841" i="1"/>
  <c r="E841" i="1"/>
  <c r="B841" i="1"/>
  <c r="A841" i="1"/>
  <c r="H840" i="1"/>
  <c r="G840" i="1"/>
  <c r="E840" i="1"/>
  <c r="B840" i="1"/>
  <c r="A840" i="1"/>
  <c r="H839" i="1"/>
  <c r="G839" i="1"/>
  <c r="E839" i="1"/>
  <c r="B839" i="1"/>
  <c r="A839" i="1"/>
  <c r="H838" i="1"/>
  <c r="G838" i="1"/>
  <c r="E838" i="1"/>
  <c r="B838" i="1"/>
  <c r="A838" i="1"/>
  <c r="H837" i="1"/>
  <c r="G837" i="1"/>
  <c r="E837" i="1"/>
  <c r="B837" i="1"/>
  <c r="A837" i="1"/>
  <c r="H836" i="1"/>
  <c r="G836" i="1"/>
  <c r="E836" i="1"/>
  <c r="B836" i="1"/>
  <c r="A836" i="1"/>
  <c r="H835" i="1"/>
  <c r="G835" i="1"/>
  <c r="E835" i="1"/>
  <c r="B835" i="1"/>
  <c r="A835" i="1"/>
  <c r="H834" i="1"/>
  <c r="G834" i="1"/>
  <c r="E834" i="1"/>
  <c r="B834" i="1"/>
  <c r="A834" i="1"/>
  <c r="H833" i="1"/>
  <c r="G833" i="1"/>
  <c r="E833" i="1"/>
  <c r="B833" i="1"/>
  <c r="A833" i="1"/>
  <c r="H832" i="1"/>
  <c r="G832" i="1"/>
  <c r="E832" i="1"/>
  <c r="B832" i="1"/>
  <c r="A832" i="1"/>
  <c r="H831" i="1"/>
  <c r="G831" i="1"/>
  <c r="E831" i="1"/>
  <c r="B831" i="1"/>
  <c r="A831" i="1"/>
  <c r="H830" i="1"/>
  <c r="G830" i="1"/>
  <c r="E830" i="1"/>
  <c r="B830" i="1"/>
  <c r="A830" i="1"/>
  <c r="H829" i="1"/>
  <c r="G829" i="1"/>
  <c r="E829" i="1"/>
  <c r="B829" i="1"/>
  <c r="A829" i="1"/>
  <c r="H828" i="1"/>
  <c r="G828" i="1"/>
  <c r="E828" i="1"/>
  <c r="B828" i="1"/>
  <c r="A828" i="1"/>
  <c r="H827" i="1"/>
  <c r="G827" i="1"/>
  <c r="E827" i="1"/>
  <c r="B827" i="1"/>
  <c r="A827" i="1"/>
  <c r="H826" i="1"/>
  <c r="G826" i="1"/>
  <c r="E826" i="1"/>
  <c r="B826" i="1"/>
  <c r="A826" i="1"/>
  <c r="H825" i="1"/>
  <c r="G825" i="1"/>
  <c r="E825" i="1"/>
  <c r="B825" i="1"/>
  <c r="A825" i="1"/>
  <c r="H824" i="1"/>
  <c r="G824" i="1"/>
  <c r="E824" i="1"/>
  <c r="B824" i="1"/>
  <c r="A824" i="1"/>
  <c r="H823" i="1"/>
  <c r="G823" i="1"/>
  <c r="E823" i="1"/>
  <c r="B823" i="1"/>
  <c r="A823" i="1"/>
  <c r="H822" i="1"/>
  <c r="G822" i="1"/>
  <c r="E822" i="1"/>
  <c r="B822" i="1"/>
  <c r="A822" i="1"/>
  <c r="H821" i="1"/>
  <c r="G821" i="1"/>
  <c r="E821" i="1"/>
  <c r="B821" i="1"/>
  <c r="A821" i="1"/>
  <c r="H820" i="1"/>
  <c r="G820" i="1"/>
  <c r="E820" i="1"/>
  <c r="B820" i="1"/>
  <c r="A820" i="1"/>
  <c r="H819" i="1"/>
  <c r="G819" i="1"/>
  <c r="E819" i="1"/>
  <c r="B819" i="1"/>
  <c r="A819" i="1"/>
  <c r="H818" i="1"/>
  <c r="G818" i="1"/>
  <c r="E818" i="1"/>
  <c r="B818" i="1"/>
  <c r="A818" i="1"/>
  <c r="H817" i="1"/>
  <c r="G817" i="1"/>
  <c r="E817" i="1"/>
  <c r="B817" i="1"/>
  <c r="A817" i="1"/>
  <c r="H816" i="1"/>
  <c r="G816" i="1"/>
  <c r="E816" i="1"/>
  <c r="B816" i="1"/>
  <c r="A816" i="1"/>
  <c r="H815" i="1"/>
  <c r="G815" i="1"/>
  <c r="E815" i="1"/>
  <c r="B815" i="1"/>
  <c r="A815" i="1"/>
  <c r="H814" i="1"/>
  <c r="G814" i="1"/>
  <c r="E814" i="1"/>
  <c r="B814" i="1"/>
  <c r="A814" i="1"/>
  <c r="H813" i="1"/>
  <c r="G813" i="1"/>
  <c r="E813" i="1"/>
  <c r="B813" i="1"/>
  <c r="A813" i="1"/>
  <c r="H812" i="1"/>
  <c r="G812" i="1"/>
  <c r="E812" i="1"/>
  <c r="B812" i="1"/>
  <c r="A812" i="1"/>
  <c r="H811" i="1"/>
  <c r="G811" i="1"/>
  <c r="E811" i="1"/>
  <c r="B811" i="1"/>
  <c r="A811" i="1"/>
  <c r="H810" i="1"/>
  <c r="G810" i="1"/>
  <c r="E810" i="1"/>
  <c r="B810" i="1"/>
  <c r="A810" i="1"/>
  <c r="H809" i="1"/>
  <c r="G809" i="1"/>
  <c r="E809" i="1"/>
  <c r="B809" i="1"/>
  <c r="A809" i="1"/>
  <c r="H808" i="1"/>
  <c r="G808" i="1"/>
  <c r="E808" i="1"/>
  <c r="B808" i="1"/>
  <c r="A808" i="1"/>
  <c r="H807" i="1"/>
  <c r="G807" i="1"/>
  <c r="E807" i="1"/>
  <c r="B807" i="1"/>
  <c r="A807" i="1"/>
  <c r="H806" i="1"/>
  <c r="G806" i="1"/>
  <c r="E806" i="1"/>
  <c r="B806" i="1"/>
  <c r="A806" i="1"/>
  <c r="H805" i="1"/>
  <c r="G805" i="1"/>
  <c r="E805" i="1"/>
  <c r="B805" i="1"/>
  <c r="A805" i="1"/>
  <c r="H804" i="1"/>
  <c r="G804" i="1"/>
  <c r="E804" i="1"/>
  <c r="B804" i="1"/>
  <c r="A804" i="1"/>
  <c r="H803" i="1"/>
  <c r="G803" i="1"/>
  <c r="E803" i="1"/>
  <c r="B803" i="1"/>
  <c r="A803" i="1"/>
  <c r="H802" i="1"/>
  <c r="G802" i="1"/>
  <c r="E802" i="1"/>
  <c r="B802" i="1"/>
  <c r="A802" i="1"/>
  <c r="H801" i="1"/>
  <c r="G801" i="1"/>
  <c r="E801" i="1"/>
  <c r="B801" i="1"/>
  <c r="A801" i="1"/>
  <c r="H800" i="1"/>
  <c r="G800" i="1"/>
  <c r="E800" i="1"/>
  <c r="B800" i="1"/>
  <c r="A800" i="1"/>
  <c r="H799" i="1"/>
  <c r="G799" i="1"/>
  <c r="E799" i="1"/>
  <c r="B799" i="1"/>
  <c r="A799" i="1"/>
  <c r="H798" i="1"/>
  <c r="G798" i="1"/>
  <c r="E798" i="1"/>
  <c r="B798" i="1"/>
  <c r="A798" i="1"/>
  <c r="H797" i="1"/>
  <c r="G797" i="1"/>
  <c r="E797" i="1"/>
  <c r="B797" i="1"/>
  <c r="A797" i="1"/>
  <c r="H796" i="1"/>
  <c r="G796" i="1"/>
  <c r="E796" i="1"/>
  <c r="B796" i="1"/>
  <c r="A796" i="1"/>
  <c r="H795" i="1"/>
  <c r="G795" i="1"/>
  <c r="E795" i="1"/>
  <c r="B795" i="1"/>
  <c r="A795" i="1"/>
  <c r="H794" i="1"/>
  <c r="G794" i="1"/>
  <c r="E794" i="1"/>
  <c r="B794" i="1"/>
  <c r="A794" i="1"/>
  <c r="H793" i="1"/>
  <c r="G793" i="1"/>
  <c r="E793" i="1"/>
  <c r="B793" i="1"/>
  <c r="A793" i="1"/>
  <c r="H792" i="1"/>
  <c r="G792" i="1"/>
  <c r="E792" i="1"/>
  <c r="B792" i="1"/>
  <c r="A792" i="1"/>
  <c r="H791" i="1"/>
  <c r="G791" i="1"/>
  <c r="E791" i="1"/>
  <c r="B791" i="1"/>
  <c r="A791" i="1"/>
  <c r="H790" i="1"/>
  <c r="G790" i="1"/>
  <c r="E790" i="1"/>
  <c r="B790" i="1"/>
  <c r="A790" i="1"/>
  <c r="H789" i="1"/>
  <c r="G789" i="1"/>
  <c r="E789" i="1"/>
  <c r="B789" i="1"/>
  <c r="A789" i="1"/>
  <c r="H788" i="1"/>
  <c r="G788" i="1"/>
  <c r="E788" i="1"/>
  <c r="B788" i="1"/>
  <c r="A788" i="1"/>
  <c r="H787" i="1"/>
  <c r="G787" i="1"/>
  <c r="E787" i="1"/>
  <c r="B787" i="1"/>
  <c r="A787" i="1"/>
  <c r="H786" i="1"/>
  <c r="G786" i="1"/>
  <c r="E786" i="1"/>
  <c r="B786" i="1"/>
  <c r="A786" i="1"/>
  <c r="H785" i="1"/>
  <c r="G785" i="1"/>
  <c r="E785" i="1"/>
  <c r="B785" i="1"/>
  <c r="A785" i="1"/>
  <c r="H784" i="1"/>
  <c r="G784" i="1"/>
  <c r="E784" i="1"/>
  <c r="B784" i="1"/>
  <c r="A784" i="1"/>
  <c r="H783" i="1"/>
  <c r="G783" i="1"/>
  <c r="E783" i="1"/>
  <c r="B783" i="1"/>
  <c r="A783" i="1"/>
  <c r="H782" i="1"/>
  <c r="G782" i="1"/>
  <c r="E782" i="1"/>
  <c r="B782" i="1"/>
  <c r="A782" i="1"/>
  <c r="H781" i="1"/>
  <c r="G781" i="1"/>
  <c r="E781" i="1"/>
  <c r="B781" i="1"/>
  <c r="A781" i="1"/>
  <c r="H780" i="1"/>
  <c r="G780" i="1"/>
  <c r="E780" i="1"/>
  <c r="B780" i="1"/>
  <c r="A780" i="1"/>
  <c r="H779" i="1"/>
  <c r="G779" i="1"/>
  <c r="E779" i="1"/>
  <c r="B779" i="1"/>
  <c r="A779" i="1"/>
  <c r="H778" i="1"/>
  <c r="G778" i="1"/>
  <c r="E778" i="1"/>
  <c r="B778" i="1"/>
  <c r="A778" i="1"/>
  <c r="H777" i="1"/>
  <c r="G777" i="1"/>
  <c r="E777" i="1"/>
  <c r="B777" i="1"/>
  <c r="A777" i="1"/>
  <c r="H776" i="1"/>
  <c r="G776" i="1"/>
  <c r="E776" i="1"/>
  <c r="B776" i="1"/>
  <c r="A776" i="1"/>
  <c r="H775" i="1"/>
  <c r="G775" i="1"/>
  <c r="E775" i="1"/>
  <c r="B775" i="1"/>
  <c r="A775" i="1"/>
  <c r="H774" i="1"/>
  <c r="G774" i="1"/>
  <c r="E774" i="1"/>
  <c r="B774" i="1"/>
  <c r="A774" i="1"/>
  <c r="H773" i="1"/>
  <c r="G773" i="1"/>
  <c r="E773" i="1"/>
  <c r="B773" i="1"/>
  <c r="A773" i="1"/>
  <c r="H772" i="1"/>
  <c r="G772" i="1"/>
  <c r="E772" i="1"/>
  <c r="B772" i="1"/>
  <c r="A772" i="1"/>
  <c r="H771" i="1"/>
  <c r="G771" i="1"/>
  <c r="E771" i="1"/>
  <c r="B771" i="1"/>
  <c r="A771" i="1"/>
  <c r="H770" i="1"/>
  <c r="G770" i="1"/>
  <c r="E770" i="1"/>
  <c r="B770" i="1"/>
  <c r="A770" i="1"/>
  <c r="H769" i="1"/>
  <c r="G769" i="1"/>
  <c r="E769" i="1"/>
  <c r="B769" i="1"/>
  <c r="A769" i="1"/>
  <c r="H768" i="1"/>
  <c r="G768" i="1"/>
  <c r="E768" i="1"/>
  <c r="B768" i="1"/>
  <c r="A768" i="1"/>
  <c r="H767" i="1"/>
  <c r="G767" i="1"/>
  <c r="E767" i="1"/>
  <c r="B767" i="1"/>
  <c r="A767" i="1"/>
  <c r="H766" i="1"/>
  <c r="G766" i="1"/>
  <c r="E766" i="1"/>
  <c r="B766" i="1"/>
  <c r="A766" i="1"/>
  <c r="H765" i="1"/>
  <c r="G765" i="1"/>
  <c r="E765" i="1"/>
  <c r="B765" i="1"/>
  <c r="A765" i="1"/>
  <c r="H764" i="1"/>
  <c r="G764" i="1"/>
  <c r="E764" i="1"/>
  <c r="B764" i="1"/>
  <c r="A764" i="1"/>
  <c r="H763" i="1"/>
  <c r="G763" i="1"/>
  <c r="E763" i="1"/>
  <c r="B763" i="1"/>
  <c r="A763" i="1"/>
  <c r="H762" i="1"/>
  <c r="G762" i="1"/>
  <c r="E762" i="1"/>
  <c r="B762" i="1"/>
  <c r="A762" i="1"/>
  <c r="H761" i="1"/>
  <c r="G761" i="1"/>
  <c r="E761" i="1"/>
  <c r="B761" i="1"/>
  <c r="A761" i="1"/>
  <c r="H760" i="1"/>
  <c r="G760" i="1"/>
  <c r="E760" i="1"/>
  <c r="B760" i="1"/>
  <c r="A760" i="1"/>
  <c r="H759" i="1"/>
  <c r="G759" i="1"/>
  <c r="E759" i="1"/>
  <c r="B759" i="1"/>
  <c r="A759" i="1"/>
  <c r="H758" i="1"/>
  <c r="G758" i="1"/>
  <c r="E758" i="1"/>
  <c r="B758" i="1"/>
  <c r="A758" i="1"/>
  <c r="H757" i="1"/>
  <c r="G757" i="1"/>
  <c r="E757" i="1"/>
  <c r="B757" i="1"/>
  <c r="A757" i="1"/>
  <c r="H756" i="1"/>
  <c r="G756" i="1"/>
  <c r="E756" i="1"/>
  <c r="B756" i="1"/>
  <c r="A756" i="1"/>
  <c r="H755" i="1"/>
  <c r="G755" i="1"/>
  <c r="E755" i="1"/>
  <c r="B755" i="1"/>
  <c r="A755" i="1"/>
  <c r="H754" i="1"/>
  <c r="G754" i="1"/>
  <c r="E754" i="1"/>
  <c r="B754" i="1"/>
  <c r="A754" i="1"/>
  <c r="H753" i="1"/>
  <c r="G753" i="1"/>
  <c r="E753" i="1"/>
  <c r="B753" i="1"/>
  <c r="A753" i="1"/>
  <c r="H752" i="1"/>
  <c r="G752" i="1"/>
  <c r="E752" i="1"/>
  <c r="B752" i="1"/>
  <c r="A752" i="1"/>
  <c r="H751" i="1"/>
  <c r="G751" i="1"/>
  <c r="E751" i="1"/>
  <c r="B751" i="1"/>
  <c r="A751" i="1"/>
  <c r="H750" i="1"/>
  <c r="G750" i="1"/>
  <c r="E750" i="1"/>
  <c r="B750" i="1"/>
  <c r="A750" i="1"/>
  <c r="H749" i="1"/>
  <c r="G749" i="1"/>
  <c r="E749" i="1"/>
  <c r="B749" i="1"/>
  <c r="A749" i="1"/>
  <c r="H748" i="1"/>
  <c r="G748" i="1"/>
  <c r="E748" i="1"/>
  <c r="B748" i="1"/>
  <c r="A748" i="1"/>
  <c r="H747" i="1"/>
  <c r="G747" i="1"/>
  <c r="E747" i="1"/>
  <c r="B747" i="1"/>
  <c r="A747" i="1"/>
  <c r="H746" i="1"/>
  <c r="G746" i="1"/>
  <c r="E746" i="1"/>
  <c r="B746" i="1"/>
  <c r="A746" i="1"/>
  <c r="H745" i="1"/>
  <c r="G745" i="1"/>
  <c r="E745" i="1"/>
  <c r="B745" i="1"/>
  <c r="A745" i="1"/>
  <c r="H744" i="1"/>
  <c r="G744" i="1"/>
  <c r="E744" i="1"/>
  <c r="B744" i="1"/>
  <c r="A744" i="1"/>
  <c r="H743" i="1"/>
  <c r="G743" i="1"/>
  <c r="E743" i="1"/>
  <c r="B743" i="1"/>
  <c r="A743" i="1"/>
  <c r="H742" i="1"/>
  <c r="G742" i="1"/>
  <c r="E742" i="1"/>
  <c r="B742" i="1"/>
  <c r="A742" i="1"/>
  <c r="H741" i="1"/>
  <c r="G741" i="1"/>
  <c r="E741" i="1"/>
  <c r="B741" i="1"/>
  <c r="A741" i="1"/>
  <c r="H740" i="1"/>
  <c r="G740" i="1"/>
  <c r="E740" i="1"/>
  <c r="B740" i="1"/>
  <c r="A740" i="1"/>
  <c r="H739" i="1"/>
  <c r="G739" i="1"/>
  <c r="E739" i="1"/>
  <c r="B739" i="1"/>
  <c r="A739" i="1"/>
  <c r="H738" i="1"/>
  <c r="G738" i="1"/>
  <c r="E738" i="1"/>
  <c r="B738" i="1"/>
  <c r="A738" i="1"/>
  <c r="H737" i="1"/>
  <c r="G737" i="1"/>
  <c r="E737" i="1"/>
  <c r="B737" i="1"/>
  <c r="A737" i="1"/>
  <c r="H736" i="1"/>
  <c r="G736" i="1"/>
  <c r="E736" i="1"/>
  <c r="B736" i="1"/>
  <c r="A736" i="1"/>
  <c r="H735" i="1"/>
  <c r="G735" i="1"/>
  <c r="E735" i="1"/>
  <c r="B735" i="1"/>
  <c r="A735" i="1"/>
  <c r="H734" i="1"/>
  <c r="G734" i="1"/>
  <c r="E734" i="1"/>
  <c r="B734" i="1"/>
  <c r="A734" i="1"/>
  <c r="H733" i="1"/>
  <c r="G733" i="1"/>
  <c r="E733" i="1"/>
  <c r="B733" i="1"/>
  <c r="A733" i="1"/>
  <c r="H732" i="1"/>
  <c r="G732" i="1"/>
  <c r="E732" i="1"/>
  <c r="B732" i="1"/>
  <c r="A732" i="1"/>
  <c r="H731" i="1"/>
  <c r="G731" i="1"/>
  <c r="E731" i="1"/>
  <c r="B731" i="1"/>
  <c r="A731" i="1"/>
  <c r="H730" i="1"/>
  <c r="G730" i="1"/>
  <c r="E730" i="1"/>
  <c r="B730" i="1"/>
  <c r="A730" i="1"/>
  <c r="H729" i="1"/>
  <c r="G729" i="1"/>
  <c r="E729" i="1"/>
  <c r="B729" i="1"/>
  <c r="A729" i="1"/>
  <c r="H728" i="1"/>
  <c r="G728" i="1"/>
  <c r="E728" i="1"/>
  <c r="B728" i="1"/>
  <c r="A728" i="1"/>
  <c r="H727" i="1"/>
  <c r="G727" i="1"/>
  <c r="E727" i="1"/>
  <c r="B727" i="1"/>
  <c r="A727" i="1"/>
  <c r="H726" i="1"/>
  <c r="G726" i="1"/>
  <c r="E726" i="1"/>
  <c r="B726" i="1"/>
  <c r="A726" i="1"/>
  <c r="H725" i="1"/>
  <c r="G725" i="1"/>
  <c r="E725" i="1"/>
  <c r="B725" i="1"/>
  <c r="A725" i="1"/>
  <c r="H724" i="1"/>
  <c r="G724" i="1"/>
  <c r="E724" i="1"/>
  <c r="B724" i="1"/>
  <c r="A724" i="1"/>
  <c r="H723" i="1"/>
  <c r="G723" i="1"/>
  <c r="E723" i="1"/>
  <c r="B723" i="1"/>
  <c r="A723" i="1"/>
  <c r="H722" i="1"/>
  <c r="G722" i="1"/>
  <c r="E722" i="1"/>
  <c r="B722" i="1"/>
  <c r="A722" i="1"/>
  <c r="H721" i="1"/>
  <c r="G721" i="1"/>
  <c r="E721" i="1"/>
  <c r="B721" i="1"/>
  <c r="A721" i="1"/>
  <c r="H720" i="1"/>
  <c r="G720" i="1"/>
  <c r="E720" i="1"/>
  <c r="B720" i="1"/>
  <c r="A720" i="1"/>
  <c r="H719" i="1"/>
  <c r="G719" i="1"/>
  <c r="E719" i="1"/>
  <c r="B719" i="1"/>
  <c r="A719" i="1"/>
  <c r="H718" i="1"/>
  <c r="G718" i="1"/>
  <c r="E718" i="1"/>
  <c r="B718" i="1"/>
  <c r="A718" i="1"/>
  <c r="H717" i="1"/>
  <c r="G717" i="1"/>
  <c r="E717" i="1"/>
  <c r="B717" i="1"/>
  <c r="A717" i="1"/>
  <c r="H716" i="1"/>
  <c r="G716" i="1"/>
  <c r="E716" i="1"/>
  <c r="B716" i="1"/>
  <c r="A716" i="1"/>
  <c r="H715" i="1"/>
  <c r="G715" i="1"/>
  <c r="E715" i="1"/>
  <c r="B715" i="1"/>
  <c r="A715" i="1"/>
  <c r="H714" i="1"/>
  <c r="G714" i="1"/>
  <c r="E714" i="1"/>
  <c r="B714" i="1"/>
  <c r="A714" i="1"/>
  <c r="H713" i="1"/>
  <c r="G713" i="1"/>
  <c r="E713" i="1"/>
  <c r="B713" i="1"/>
  <c r="A713" i="1"/>
  <c r="H712" i="1"/>
  <c r="G712" i="1"/>
  <c r="E712" i="1"/>
  <c r="B712" i="1"/>
  <c r="A712" i="1"/>
  <c r="H711" i="1"/>
  <c r="G711" i="1"/>
  <c r="E711" i="1"/>
  <c r="B711" i="1"/>
  <c r="A711" i="1"/>
  <c r="H710" i="1"/>
  <c r="G710" i="1"/>
  <c r="E710" i="1"/>
  <c r="B710" i="1"/>
  <c r="A710" i="1"/>
  <c r="H709" i="1"/>
  <c r="G709" i="1"/>
  <c r="E709" i="1"/>
  <c r="B709" i="1"/>
  <c r="A709" i="1"/>
  <c r="H708" i="1"/>
  <c r="G708" i="1"/>
  <c r="E708" i="1"/>
  <c r="B708" i="1"/>
  <c r="A708" i="1"/>
  <c r="H707" i="1"/>
  <c r="G707" i="1"/>
  <c r="E707" i="1"/>
  <c r="B707" i="1"/>
  <c r="A707" i="1"/>
  <c r="H706" i="1"/>
  <c r="G706" i="1"/>
  <c r="E706" i="1"/>
  <c r="B706" i="1"/>
  <c r="A706" i="1"/>
  <c r="H705" i="1"/>
  <c r="G705" i="1"/>
  <c r="E705" i="1"/>
  <c r="B705" i="1"/>
  <c r="A705" i="1"/>
  <c r="H704" i="1"/>
  <c r="G704" i="1"/>
  <c r="E704" i="1"/>
  <c r="B704" i="1"/>
  <c r="A704" i="1"/>
  <c r="H703" i="1"/>
  <c r="G703" i="1"/>
  <c r="E703" i="1"/>
  <c r="B703" i="1"/>
  <c r="A703" i="1"/>
  <c r="H702" i="1"/>
  <c r="G702" i="1"/>
  <c r="E702" i="1"/>
  <c r="B702" i="1"/>
  <c r="A702" i="1"/>
  <c r="H701" i="1"/>
  <c r="G701" i="1"/>
  <c r="E701" i="1"/>
  <c r="B701" i="1"/>
  <c r="A701" i="1"/>
  <c r="H700" i="1"/>
  <c r="G700" i="1"/>
  <c r="E700" i="1"/>
  <c r="B700" i="1"/>
  <c r="A700" i="1"/>
  <c r="H699" i="1"/>
  <c r="G699" i="1"/>
  <c r="E699" i="1"/>
  <c r="B699" i="1"/>
  <c r="A699" i="1"/>
  <c r="H698" i="1"/>
  <c r="G698" i="1"/>
  <c r="E698" i="1"/>
  <c r="B698" i="1"/>
  <c r="A698" i="1"/>
  <c r="H697" i="1"/>
  <c r="G697" i="1"/>
  <c r="E697" i="1"/>
  <c r="B697" i="1"/>
  <c r="A697" i="1"/>
  <c r="H696" i="1"/>
  <c r="G696" i="1"/>
  <c r="E696" i="1"/>
  <c r="B696" i="1"/>
  <c r="A696" i="1"/>
  <c r="H695" i="1"/>
  <c r="G695" i="1"/>
  <c r="E695" i="1"/>
  <c r="B695" i="1"/>
  <c r="A695" i="1"/>
  <c r="H694" i="1"/>
  <c r="G694" i="1"/>
  <c r="E694" i="1"/>
  <c r="B694" i="1"/>
  <c r="A694" i="1"/>
  <c r="H693" i="1"/>
  <c r="G693" i="1"/>
  <c r="E693" i="1"/>
  <c r="B693" i="1"/>
  <c r="A693" i="1"/>
  <c r="H692" i="1"/>
  <c r="G692" i="1"/>
  <c r="E692" i="1"/>
  <c r="B692" i="1"/>
  <c r="A692" i="1"/>
  <c r="H691" i="1"/>
  <c r="G691" i="1"/>
  <c r="E691" i="1"/>
  <c r="B691" i="1"/>
  <c r="A691" i="1"/>
  <c r="H690" i="1"/>
  <c r="G690" i="1"/>
  <c r="E690" i="1"/>
  <c r="B690" i="1"/>
  <c r="A690" i="1"/>
  <c r="H689" i="1"/>
  <c r="G689" i="1"/>
  <c r="E689" i="1"/>
  <c r="B689" i="1"/>
  <c r="A689" i="1"/>
  <c r="H688" i="1"/>
  <c r="G688" i="1"/>
  <c r="E688" i="1"/>
  <c r="B688" i="1"/>
  <c r="A688" i="1"/>
  <c r="H687" i="1"/>
  <c r="G687" i="1"/>
  <c r="E687" i="1"/>
  <c r="B687" i="1"/>
  <c r="A687" i="1"/>
  <c r="H686" i="1"/>
  <c r="G686" i="1"/>
  <c r="E686" i="1"/>
  <c r="B686" i="1"/>
  <c r="A686" i="1"/>
  <c r="H685" i="1"/>
  <c r="G685" i="1"/>
  <c r="E685" i="1"/>
  <c r="B685" i="1"/>
  <c r="A685" i="1"/>
  <c r="H684" i="1"/>
  <c r="G684" i="1"/>
  <c r="E684" i="1"/>
  <c r="B684" i="1"/>
  <c r="A684" i="1"/>
  <c r="H683" i="1"/>
  <c r="G683" i="1"/>
  <c r="E683" i="1"/>
  <c r="B683" i="1"/>
  <c r="A683" i="1"/>
  <c r="H682" i="1"/>
  <c r="G682" i="1"/>
  <c r="E682" i="1"/>
  <c r="B682" i="1"/>
  <c r="A682" i="1"/>
  <c r="H681" i="1"/>
  <c r="G681" i="1"/>
  <c r="E681" i="1"/>
  <c r="B681" i="1"/>
  <c r="A681" i="1"/>
  <c r="H680" i="1"/>
  <c r="G680" i="1"/>
  <c r="E680" i="1"/>
  <c r="B680" i="1"/>
  <c r="A680" i="1"/>
  <c r="H679" i="1"/>
  <c r="G679" i="1"/>
  <c r="E679" i="1"/>
  <c r="B679" i="1"/>
  <c r="A679" i="1"/>
  <c r="H678" i="1"/>
  <c r="G678" i="1"/>
  <c r="E678" i="1"/>
  <c r="B678" i="1"/>
  <c r="A678" i="1"/>
  <c r="H677" i="1"/>
  <c r="G677" i="1"/>
  <c r="E677" i="1"/>
  <c r="B677" i="1"/>
  <c r="A677" i="1"/>
  <c r="H676" i="1"/>
  <c r="G676" i="1"/>
  <c r="E676" i="1"/>
  <c r="B676" i="1"/>
  <c r="A676" i="1"/>
  <c r="H675" i="1"/>
  <c r="G675" i="1"/>
  <c r="E675" i="1"/>
  <c r="B675" i="1"/>
  <c r="A675" i="1"/>
  <c r="H674" i="1"/>
  <c r="G674" i="1"/>
  <c r="E674" i="1"/>
  <c r="B674" i="1"/>
  <c r="A674" i="1"/>
  <c r="H673" i="1"/>
  <c r="G673" i="1"/>
  <c r="E673" i="1"/>
  <c r="B673" i="1"/>
  <c r="A673" i="1"/>
  <c r="H672" i="1"/>
  <c r="G672" i="1"/>
  <c r="E672" i="1"/>
  <c r="B672" i="1"/>
  <c r="A672" i="1"/>
  <c r="H671" i="1"/>
  <c r="G671" i="1"/>
  <c r="E671" i="1"/>
  <c r="B671" i="1"/>
  <c r="A671" i="1"/>
  <c r="H670" i="1"/>
  <c r="G670" i="1"/>
  <c r="E670" i="1"/>
  <c r="B670" i="1"/>
  <c r="A670" i="1"/>
  <c r="H669" i="1"/>
  <c r="G669" i="1"/>
  <c r="E669" i="1"/>
  <c r="B669" i="1"/>
  <c r="A669" i="1"/>
  <c r="H668" i="1"/>
  <c r="G668" i="1"/>
  <c r="E668" i="1"/>
  <c r="B668" i="1"/>
  <c r="A668" i="1"/>
  <c r="H667" i="1"/>
  <c r="G667" i="1"/>
  <c r="E667" i="1"/>
  <c r="B667" i="1"/>
  <c r="A667" i="1"/>
  <c r="H666" i="1"/>
  <c r="G666" i="1"/>
  <c r="E666" i="1"/>
  <c r="B666" i="1"/>
  <c r="A666" i="1"/>
  <c r="H665" i="1"/>
  <c r="G665" i="1"/>
  <c r="E665" i="1"/>
  <c r="B665" i="1"/>
  <c r="A665" i="1"/>
  <c r="H664" i="1"/>
  <c r="G664" i="1"/>
  <c r="E664" i="1"/>
  <c r="B664" i="1"/>
  <c r="A664" i="1"/>
  <c r="H663" i="1"/>
  <c r="G663" i="1"/>
  <c r="E663" i="1"/>
  <c r="B663" i="1"/>
  <c r="A663" i="1"/>
  <c r="H662" i="1"/>
  <c r="G662" i="1"/>
  <c r="E662" i="1"/>
  <c r="B662" i="1"/>
  <c r="A662" i="1"/>
  <c r="H661" i="1"/>
  <c r="G661" i="1"/>
  <c r="E661" i="1"/>
  <c r="B661" i="1"/>
  <c r="A661" i="1"/>
  <c r="H660" i="1"/>
  <c r="G660" i="1"/>
  <c r="E660" i="1"/>
  <c r="B660" i="1"/>
  <c r="A660" i="1"/>
  <c r="H659" i="1"/>
  <c r="G659" i="1"/>
  <c r="E659" i="1"/>
  <c r="B659" i="1"/>
  <c r="A659" i="1"/>
  <c r="H658" i="1"/>
  <c r="G658" i="1"/>
  <c r="E658" i="1"/>
  <c r="B658" i="1"/>
  <c r="A658" i="1"/>
  <c r="H657" i="1"/>
  <c r="G657" i="1"/>
  <c r="E657" i="1"/>
  <c r="B657" i="1"/>
  <c r="A657" i="1"/>
  <c r="H656" i="1"/>
  <c r="G656" i="1"/>
  <c r="E656" i="1"/>
  <c r="B656" i="1"/>
  <c r="A656" i="1"/>
  <c r="H655" i="1"/>
  <c r="G655" i="1"/>
  <c r="E655" i="1"/>
  <c r="B655" i="1"/>
  <c r="A655" i="1"/>
  <c r="H654" i="1"/>
  <c r="G654" i="1"/>
  <c r="E654" i="1"/>
  <c r="B654" i="1"/>
  <c r="A654" i="1"/>
  <c r="H653" i="1"/>
  <c r="G653" i="1"/>
  <c r="E653" i="1"/>
  <c r="B653" i="1"/>
  <c r="A653" i="1"/>
  <c r="H652" i="1"/>
  <c r="G652" i="1"/>
  <c r="E652" i="1"/>
  <c r="B652" i="1"/>
  <c r="A652" i="1"/>
  <c r="H651" i="1"/>
  <c r="G651" i="1"/>
  <c r="E651" i="1"/>
  <c r="B651" i="1"/>
  <c r="A651" i="1"/>
  <c r="H650" i="1"/>
  <c r="G650" i="1"/>
  <c r="E650" i="1"/>
  <c r="B650" i="1"/>
  <c r="A650" i="1"/>
  <c r="H649" i="1"/>
  <c r="G649" i="1"/>
  <c r="E649" i="1"/>
  <c r="B649" i="1"/>
  <c r="A649" i="1"/>
  <c r="H648" i="1"/>
  <c r="G648" i="1"/>
  <c r="E648" i="1"/>
  <c r="B648" i="1"/>
  <c r="A648" i="1"/>
  <c r="H647" i="1"/>
  <c r="G647" i="1"/>
  <c r="E647" i="1"/>
  <c r="B647" i="1"/>
  <c r="A647" i="1"/>
  <c r="H646" i="1"/>
  <c r="G646" i="1"/>
  <c r="E646" i="1"/>
  <c r="B646" i="1"/>
  <c r="A646" i="1"/>
  <c r="H645" i="1"/>
  <c r="G645" i="1"/>
  <c r="E645" i="1"/>
  <c r="B645" i="1"/>
  <c r="A645" i="1"/>
  <c r="H644" i="1"/>
  <c r="G644" i="1"/>
  <c r="E644" i="1"/>
  <c r="B644" i="1"/>
  <c r="A644" i="1"/>
  <c r="H643" i="1"/>
  <c r="G643" i="1"/>
  <c r="E643" i="1"/>
  <c r="B643" i="1"/>
  <c r="A643" i="1"/>
  <c r="H642" i="1"/>
  <c r="G642" i="1"/>
  <c r="E642" i="1"/>
  <c r="B642" i="1"/>
  <c r="A642" i="1"/>
  <c r="H641" i="1"/>
  <c r="G641" i="1"/>
  <c r="E641" i="1"/>
  <c r="B641" i="1"/>
  <c r="A641" i="1"/>
  <c r="H640" i="1"/>
  <c r="G640" i="1"/>
  <c r="E640" i="1"/>
  <c r="B640" i="1"/>
  <c r="A640" i="1"/>
  <c r="H639" i="1"/>
  <c r="G639" i="1"/>
  <c r="E639" i="1"/>
  <c r="B639" i="1"/>
  <c r="A639" i="1"/>
  <c r="H638" i="1"/>
  <c r="G638" i="1"/>
  <c r="E638" i="1"/>
  <c r="B638" i="1"/>
  <c r="A638" i="1"/>
  <c r="H637" i="1"/>
  <c r="G637" i="1"/>
  <c r="E637" i="1"/>
  <c r="B637" i="1"/>
  <c r="A637" i="1"/>
  <c r="H636" i="1"/>
  <c r="G636" i="1"/>
  <c r="E636" i="1"/>
  <c r="B636" i="1"/>
  <c r="A636" i="1"/>
  <c r="H635" i="1"/>
  <c r="G635" i="1"/>
  <c r="E635" i="1"/>
  <c r="B635" i="1"/>
  <c r="A635" i="1"/>
  <c r="H634" i="1"/>
  <c r="G634" i="1"/>
  <c r="E634" i="1"/>
  <c r="B634" i="1"/>
  <c r="A634" i="1"/>
  <c r="H633" i="1"/>
  <c r="G633" i="1"/>
  <c r="E633" i="1"/>
  <c r="B633" i="1"/>
  <c r="A633" i="1"/>
  <c r="H632" i="1"/>
  <c r="G632" i="1"/>
  <c r="E632" i="1"/>
  <c r="B632" i="1"/>
  <c r="A632" i="1"/>
  <c r="H631" i="1"/>
  <c r="G631" i="1"/>
  <c r="E631" i="1"/>
  <c r="B631" i="1"/>
  <c r="A631" i="1"/>
  <c r="H630" i="1"/>
  <c r="G630" i="1"/>
  <c r="E630" i="1"/>
  <c r="B630" i="1"/>
  <c r="A630" i="1"/>
  <c r="H629" i="1"/>
  <c r="G629" i="1"/>
  <c r="E629" i="1"/>
  <c r="B629" i="1"/>
  <c r="A629" i="1"/>
  <c r="H628" i="1"/>
  <c r="G628" i="1"/>
  <c r="E628" i="1"/>
  <c r="B628" i="1"/>
  <c r="A628" i="1"/>
  <c r="H627" i="1"/>
  <c r="G627" i="1"/>
  <c r="E627" i="1"/>
  <c r="B627" i="1"/>
  <c r="A627" i="1"/>
  <c r="H626" i="1"/>
  <c r="G626" i="1"/>
  <c r="E626" i="1"/>
  <c r="B626" i="1"/>
  <c r="A626" i="1"/>
  <c r="H625" i="1"/>
  <c r="G625" i="1"/>
  <c r="E625" i="1"/>
  <c r="B625" i="1"/>
  <c r="A625" i="1"/>
  <c r="H624" i="1"/>
  <c r="G624" i="1"/>
  <c r="E624" i="1"/>
  <c r="B624" i="1"/>
  <c r="A624" i="1"/>
  <c r="H623" i="1"/>
  <c r="G623" i="1"/>
  <c r="E623" i="1"/>
  <c r="B623" i="1"/>
  <c r="A623" i="1"/>
  <c r="H622" i="1"/>
  <c r="G622" i="1"/>
  <c r="E622" i="1"/>
  <c r="B622" i="1"/>
  <c r="A622" i="1"/>
  <c r="H621" i="1"/>
  <c r="G621" i="1"/>
  <c r="E621" i="1"/>
  <c r="B621" i="1"/>
  <c r="A621" i="1"/>
  <c r="H620" i="1"/>
  <c r="G620" i="1"/>
  <c r="E620" i="1"/>
  <c r="B620" i="1"/>
  <c r="A620" i="1"/>
  <c r="H619" i="1"/>
  <c r="G619" i="1"/>
  <c r="B619" i="1"/>
  <c r="A619" i="1"/>
  <c r="H618" i="1"/>
  <c r="G618" i="1"/>
  <c r="E618" i="1"/>
  <c r="B618" i="1"/>
  <c r="A618" i="1"/>
  <c r="H617" i="1"/>
  <c r="G617" i="1"/>
  <c r="E617" i="1"/>
  <c r="B617" i="1"/>
  <c r="A617" i="1"/>
  <c r="H616" i="1"/>
  <c r="G616" i="1"/>
  <c r="E616" i="1"/>
  <c r="B616" i="1"/>
  <c r="A616" i="1"/>
  <c r="H615" i="1"/>
  <c r="G615" i="1"/>
  <c r="E615" i="1"/>
  <c r="B615" i="1"/>
  <c r="A615" i="1"/>
  <c r="H614" i="1"/>
  <c r="G614" i="1"/>
  <c r="E614" i="1"/>
  <c r="B614" i="1"/>
  <c r="A614" i="1"/>
  <c r="H613" i="1"/>
  <c r="G613" i="1"/>
  <c r="E613" i="1"/>
  <c r="B613" i="1"/>
  <c r="A613" i="1"/>
  <c r="H612" i="1"/>
  <c r="G612" i="1"/>
  <c r="E612" i="1"/>
  <c r="B612" i="1"/>
  <c r="A612" i="1"/>
  <c r="H611" i="1"/>
  <c r="G611" i="1"/>
  <c r="E611" i="1"/>
  <c r="B611" i="1"/>
  <c r="A611" i="1"/>
  <c r="H610" i="1"/>
  <c r="G610" i="1"/>
  <c r="E610" i="1"/>
  <c r="B610" i="1"/>
  <c r="A610" i="1"/>
  <c r="H609" i="1"/>
  <c r="G609" i="1"/>
  <c r="E609" i="1"/>
  <c r="B609" i="1"/>
  <c r="A609" i="1"/>
  <c r="H608" i="1"/>
  <c r="G608" i="1"/>
  <c r="E608" i="1"/>
  <c r="B608" i="1"/>
  <c r="A608" i="1"/>
  <c r="H607" i="1"/>
  <c r="G607" i="1"/>
  <c r="E607" i="1"/>
  <c r="B607" i="1"/>
  <c r="A607" i="1"/>
  <c r="H606" i="1"/>
  <c r="G606" i="1"/>
  <c r="E606" i="1"/>
  <c r="B606" i="1"/>
  <c r="A606" i="1"/>
  <c r="H605" i="1"/>
  <c r="G605" i="1"/>
  <c r="E605" i="1"/>
  <c r="B605" i="1"/>
  <c r="A605" i="1"/>
  <c r="H604" i="1"/>
  <c r="G604" i="1"/>
  <c r="E604" i="1"/>
  <c r="B604" i="1"/>
  <c r="A604" i="1"/>
  <c r="H603" i="1"/>
  <c r="G603" i="1"/>
  <c r="E603" i="1"/>
  <c r="B603" i="1"/>
  <c r="A603" i="1"/>
  <c r="H602" i="1"/>
  <c r="G602" i="1"/>
  <c r="E602" i="1"/>
  <c r="B602" i="1"/>
  <c r="A602" i="1"/>
  <c r="H601" i="1"/>
  <c r="G601" i="1"/>
  <c r="E601" i="1"/>
  <c r="B601" i="1"/>
  <c r="A601" i="1"/>
  <c r="H600" i="1"/>
  <c r="G600" i="1"/>
  <c r="E600" i="1"/>
  <c r="B600" i="1"/>
  <c r="A600" i="1"/>
  <c r="H599" i="1"/>
  <c r="G599" i="1"/>
  <c r="E599" i="1"/>
  <c r="B599" i="1"/>
  <c r="A599" i="1"/>
  <c r="H598" i="1"/>
  <c r="G598" i="1"/>
  <c r="E598" i="1"/>
  <c r="B598" i="1"/>
  <c r="A598" i="1"/>
  <c r="H597" i="1"/>
  <c r="G597" i="1"/>
  <c r="E597" i="1"/>
  <c r="B597" i="1"/>
  <c r="A597" i="1"/>
  <c r="H596" i="1"/>
  <c r="G596" i="1"/>
  <c r="E596" i="1"/>
  <c r="B596" i="1"/>
  <c r="A596" i="1"/>
  <c r="H595" i="1"/>
  <c r="G595" i="1"/>
  <c r="E595" i="1"/>
  <c r="B595" i="1"/>
  <c r="A595" i="1"/>
  <c r="H594" i="1"/>
  <c r="G594" i="1"/>
  <c r="E594" i="1"/>
  <c r="B594" i="1"/>
  <c r="A594" i="1"/>
  <c r="H593" i="1"/>
  <c r="G593" i="1"/>
  <c r="E593" i="1"/>
  <c r="B593" i="1"/>
  <c r="A593" i="1"/>
  <c r="H592" i="1"/>
  <c r="G592" i="1"/>
  <c r="E592" i="1"/>
  <c r="B592" i="1"/>
  <c r="A592" i="1"/>
  <c r="H591" i="1"/>
  <c r="G591" i="1"/>
  <c r="E591" i="1"/>
  <c r="B591" i="1"/>
  <c r="A591" i="1"/>
  <c r="H590" i="1"/>
  <c r="G590" i="1"/>
  <c r="E590" i="1"/>
  <c r="B590" i="1"/>
  <c r="A590" i="1"/>
  <c r="H589" i="1"/>
  <c r="G589" i="1"/>
  <c r="E589" i="1"/>
  <c r="B589" i="1"/>
  <c r="A589" i="1"/>
  <c r="H588" i="1"/>
  <c r="G588" i="1"/>
  <c r="E588" i="1"/>
  <c r="B588" i="1"/>
  <c r="A588" i="1"/>
  <c r="H587" i="1"/>
  <c r="G587" i="1"/>
  <c r="E587" i="1"/>
  <c r="B587" i="1"/>
  <c r="A587" i="1"/>
  <c r="H586" i="1"/>
  <c r="G586" i="1"/>
  <c r="E586" i="1"/>
  <c r="B586" i="1"/>
  <c r="A586" i="1"/>
  <c r="H585" i="1"/>
  <c r="G585" i="1"/>
  <c r="E585" i="1"/>
  <c r="B585" i="1"/>
  <c r="A585" i="1"/>
  <c r="H584" i="1"/>
  <c r="G584" i="1"/>
  <c r="E584" i="1"/>
  <c r="B584" i="1"/>
  <c r="A584" i="1"/>
  <c r="H583" i="1"/>
  <c r="G583" i="1"/>
  <c r="E583" i="1"/>
  <c r="B583" i="1"/>
  <c r="A583" i="1"/>
  <c r="H582" i="1"/>
  <c r="G582" i="1"/>
  <c r="E582" i="1"/>
  <c r="B582" i="1"/>
  <c r="A582" i="1"/>
  <c r="H581" i="1"/>
  <c r="G581" i="1"/>
  <c r="E581" i="1"/>
  <c r="B581" i="1"/>
  <c r="A581" i="1"/>
  <c r="H580" i="1"/>
  <c r="G580" i="1"/>
  <c r="E580" i="1"/>
  <c r="B580" i="1"/>
  <c r="A580" i="1"/>
  <c r="H579" i="1"/>
  <c r="G579" i="1"/>
  <c r="E579" i="1"/>
  <c r="B579" i="1"/>
  <c r="A579" i="1"/>
  <c r="H578" i="1"/>
  <c r="G578" i="1"/>
  <c r="E578" i="1"/>
  <c r="B578" i="1"/>
  <c r="A578" i="1"/>
  <c r="H577" i="1"/>
  <c r="G577" i="1"/>
  <c r="E577" i="1"/>
  <c r="B577" i="1"/>
  <c r="A577" i="1"/>
  <c r="H576" i="1"/>
  <c r="G576" i="1"/>
  <c r="E576" i="1"/>
  <c r="B576" i="1"/>
  <c r="A576" i="1"/>
  <c r="H575" i="1"/>
  <c r="G575" i="1"/>
  <c r="E575" i="1"/>
  <c r="B575" i="1"/>
  <c r="A575" i="1"/>
  <c r="H574" i="1"/>
  <c r="G574" i="1"/>
  <c r="E574" i="1"/>
  <c r="B574" i="1"/>
  <c r="A574" i="1"/>
  <c r="H573" i="1"/>
  <c r="G573" i="1"/>
  <c r="E573" i="1"/>
  <c r="B573" i="1"/>
  <c r="A573" i="1"/>
  <c r="H572" i="1"/>
  <c r="G572" i="1"/>
  <c r="E572" i="1"/>
  <c r="B572" i="1"/>
  <c r="A572" i="1"/>
  <c r="H571" i="1"/>
  <c r="G571" i="1"/>
  <c r="E571" i="1"/>
  <c r="B571" i="1"/>
  <c r="A571" i="1"/>
  <c r="H570" i="1"/>
  <c r="G570" i="1"/>
  <c r="E570" i="1"/>
  <c r="B570" i="1"/>
  <c r="A570" i="1"/>
  <c r="H569" i="1"/>
  <c r="G569" i="1"/>
  <c r="E569" i="1"/>
  <c r="B569" i="1"/>
  <c r="A569" i="1"/>
  <c r="H568" i="1"/>
  <c r="G568" i="1"/>
  <c r="E568" i="1"/>
  <c r="B568" i="1"/>
  <c r="A568" i="1"/>
  <c r="H567" i="1"/>
  <c r="G567" i="1"/>
  <c r="E567" i="1"/>
  <c r="B567" i="1"/>
  <c r="A567" i="1"/>
  <c r="H566" i="1"/>
  <c r="G566" i="1"/>
  <c r="E566" i="1"/>
  <c r="B566" i="1"/>
  <c r="A566" i="1"/>
  <c r="H565" i="1"/>
  <c r="G565" i="1"/>
  <c r="E565" i="1"/>
  <c r="B565" i="1"/>
  <c r="A565" i="1"/>
  <c r="H564" i="1"/>
  <c r="G564" i="1"/>
  <c r="E564" i="1"/>
  <c r="B564" i="1"/>
  <c r="A564" i="1"/>
  <c r="H563" i="1"/>
  <c r="G563" i="1"/>
  <c r="E563" i="1"/>
  <c r="B563" i="1"/>
  <c r="A563" i="1"/>
  <c r="H562" i="1"/>
  <c r="G562" i="1"/>
  <c r="E562" i="1"/>
  <c r="B562" i="1"/>
  <c r="A562" i="1"/>
  <c r="H561" i="1"/>
  <c r="G561" i="1"/>
  <c r="E561" i="1"/>
  <c r="B561" i="1"/>
  <c r="A561" i="1"/>
  <c r="H560" i="1"/>
  <c r="G560" i="1"/>
  <c r="E560" i="1"/>
  <c r="B560" i="1"/>
  <c r="A560" i="1"/>
  <c r="H559" i="1"/>
  <c r="G559" i="1"/>
  <c r="E559" i="1"/>
  <c r="B559" i="1"/>
  <c r="A559" i="1"/>
  <c r="H558" i="1"/>
  <c r="G558" i="1"/>
  <c r="E558" i="1"/>
  <c r="B558" i="1"/>
  <c r="A558" i="1"/>
  <c r="H557" i="1"/>
  <c r="G557" i="1"/>
  <c r="E557" i="1"/>
  <c r="B557" i="1"/>
  <c r="A557" i="1"/>
  <c r="H556" i="1"/>
  <c r="G556" i="1"/>
  <c r="E556" i="1"/>
  <c r="B556" i="1"/>
  <c r="A556" i="1"/>
  <c r="H555" i="1"/>
  <c r="G555" i="1"/>
  <c r="E555" i="1"/>
  <c r="B555" i="1"/>
  <c r="A555" i="1"/>
  <c r="H554" i="1"/>
  <c r="G554" i="1"/>
  <c r="E554" i="1"/>
  <c r="B554" i="1"/>
  <c r="A554" i="1"/>
  <c r="H553" i="1"/>
  <c r="G553" i="1"/>
  <c r="E553" i="1"/>
  <c r="B553" i="1"/>
  <c r="A553" i="1"/>
  <c r="H552" i="1"/>
  <c r="G552" i="1"/>
  <c r="E552" i="1"/>
  <c r="B552" i="1"/>
  <c r="A552" i="1"/>
  <c r="H551" i="1"/>
  <c r="G551" i="1"/>
  <c r="E551" i="1"/>
  <c r="B551" i="1"/>
  <c r="A551" i="1"/>
  <c r="H550" i="1"/>
  <c r="G550" i="1"/>
  <c r="E550" i="1"/>
  <c r="B550" i="1"/>
  <c r="A550" i="1"/>
  <c r="H549" i="1"/>
  <c r="G549" i="1"/>
  <c r="E549" i="1"/>
  <c r="B549" i="1"/>
  <c r="A549" i="1"/>
  <c r="H548" i="1"/>
  <c r="G548" i="1"/>
  <c r="E548" i="1"/>
  <c r="B548" i="1"/>
  <c r="A548" i="1"/>
  <c r="H547" i="1"/>
  <c r="G547" i="1"/>
  <c r="E547" i="1"/>
  <c r="B547" i="1"/>
  <c r="A547" i="1"/>
  <c r="H546" i="1"/>
  <c r="G546" i="1"/>
  <c r="E546" i="1"/>
  <c r="B546" i="1"/>
  <c r="A546" i="1"/>
  <c r="H545" i="1"/>
  <c r="G545" i="1"/>
  <c r="E545" i="1"/>
  <c r="B545" i="1"/>
  <c r="A545" i="1"/>
  <c r="H544" i="1"/>
  <c r="G544" i="1"/>
  <c r="E544" i="1"/>
  <c r="B544" i="1"/>
  <c r="A544" i="1"/>
  <c r="H543" i="1"/>
  <c r="G543" i="1"/>
  <c r="E543" i="1"/>
  <c r="B543" i="1"/>
  <c r="A543" i="1"/>
  <c r="H542" i="1"/>
  <c r="G542" i="1"/>
  <c r="E542" i="1"/>
  <c r="B542" i="1"/>
  <c r="A542" i="1"/>
  <c r="H541" i="1"/>
  <c r="G541" i="1"/>
  <c r="E541" i="1"/>
  <c r="B541" i="1"/>
  <c r="A541" i="1"/>
  <c r="H540" i="1"/>
  <c r="G540" i="1"/>
  <c r="E540" i="1"/>
  <c r="B540" i="1"/>
  <c r="A540" i="1"/>
  <c r="H539" i="1"/>
  <c r="G539" i="1"/>
  <c r="E539" i="1"/>
  <c r="B539" i="1"/>
  <c r="A539" i="1"/>
  <c r="H538" i="1"/>
  <c r="G538" i="1"/>
  <c r="E538" i="1"/>
  <c r="B538" i="1"/>
  <c r="A538" i="1"/>
  <c r="H537" i="1"/>
  <c r="G537" i="1"/>
  <c r="E537" i="1"/>
  <c r="B537" i="1"/>
  <c r="A537" i="1"/>
  <c r="H536" i="1"/>
  <c r="G536" i="1"/>
  <c r="E536" i="1"/>
  <c r="B536" i="1"/>
  <c r="A536" i="1"/>
  <c r="H535" i="1"/>
  <c r="G535" i="1"/>
  <c r="E535" i="1"/>
  <c r="B535" i="1"/>
  <c r="A535" i="1"/>
  <c r="H534" i="1"/>
  <c r="G534" i="1"/>
  <c r="E534" i="1"/>
  <c r="B534" i="1"/>
  <c r="A534" i="1"/>
  <c r="H533" i="1"/>
  <c r="G533" i="1"/>
  <c r="E533" i="1"/>
  <c r="B533" i="1"/>
  <c r="A533" i="1"/>
  <c r="H532" i="1"/>
  <c r="G532" i="1"/>
  <c r="E532" i="1"/>
  <c r="B532" i="1"/>
  <c r="A532" i="1"/>
  <c r="H531" i="1"/>
  <c r="G531" i="1"/>
  <c r="E531" i="1"/>
  <c r="B531" i="1"/>
  <c r="A531" i="1"/>
  <c r="H530" i="1"/>
  <c r="G530" i="1"/>
  <c r="E530" i="1"/>
  <c r="B530" i="1"/>
  <c r="A530" i="1"/>
  <c r="H529" i="1"/>
  <c r="G529" i="1"/>
  <c r="E529" i="1"/>
  <c r="B529" i="1"/>
  <c r="A529" i="1"/>
  <c r="H528" i="1"/>
  <c r="G528" i="1"/>
  <c r="E528" i="1"/>
  <c r="B528" i="1"/>
  <c r="A528" i="1"/>
  <c r="H527" i="1"/>
  <c r="G527" i="1"/>
  <c r="E527" i="1"/>
  <c r="B527" i="1"/>
  <c r="A527" i="1"/>
  <c r="H526" i="1"/>
  <c r="G526" i="1"/>
  <c r="E526" i="1"/>
  <c r="B526" i="1"/>
  <c r="A526" i="1"/>
  <c r="H525" i="1"/>
  <c r="G525" i="1"/>
  <c r="E525" i="1"/>
  <c r="B525" i="1"/>
  <c r="A525" i="1"/>
  <c r="H524" i="1"/>
  <c r="G524" i="1"/>
  <c r="E524" i="1"/>
  <c r="B524" i="1"/>
  <c r="A524" i="1"/>
  <c r="H523" i="1"/>
  <c r="G523" i="1"/>
  <c r="E523" i="1"/>
  <c r="B523" i="1"/>
  <c r="A523" i="1"/>
  <c r="H522" i="1"/>
  <c r="G522" i="1"/>
  <c r="E522" i="1"/>
  <c r="B522" i="1"/>
  <c r="A522" i="1"/>
  <c r="H521" i="1"/>
  <c r="G521" i="1"/>
  <c r="E521" i="1"/>
  <c r="B521" i="1"/>
  <c r="A521" i="1"/>
  <c r="H520" i="1"/>
  <c r="G520" i="1"/>
  <c r="E520" i="1"/>
  <c r="B520" i="1"/>
  <c r="A520" i="1"/>
  <c r="H519" i="1"/>
  <c r="G519" i="1"/>
  <c r="E519" i="1"/>
  <c r="B519" i="1"/>
  <c r="A519" i="1"/>
  <c r="H518" i="1"/>
  <c r="G518" i="1"/>
  <c r="E518" i="1"/>
  <c r="B518" i="1"/>
  <c r="A518" i="1"/>
  <c r="H517" i="1"/>
  <c r="G517" i="1"/>
  <c r="E517" i="1"/>
  <c r="B517" i="1"/>
  <c r="A517" i="1"/>
  <c r="H516" i="1"/>
  <c r="G516" i="1"/>
  <c r="E516" i="1"/>
  <c r="B516" i="1"/>
  <c r="A516" i="1"/>
  <c r="H515" i="1"/>
  <c r="G515" i="1"/>
  <c r="E515" i="1"/>
  <c r="B515" i="1"/>
  <c r="A515" i="1"/>
  <c r="H514" i="1"/>
  <c r="G514" i="1"/>
  <c r="E514" i="1"/>
  <c r="B514" i="1"/>
  <c r="A514" i="1"/>
  <c r="H513" i="1"/>
  <c r="G513" i="1"/>
  <c r="E513" i="1"/>
  <c r="B513" i="1"/>
  <c r="A513" i="1"/>
  <c r="H512" i="1"/>
  <c r="G512" i="1"/>
  <c r="E512" i="1"/>
  <c r="B512" i="1"/>
  <c r="A512" i="1"/>
  <c r="H511" i="1"/>
  <c r="G511" i="1"/>
  <c r="E511" i="1"/>
  <c r="B511" i="1"/>
  <c r="A511" i="1"/>
  <c r="H510" i="1"/>
  <c r="G510" i="1"/>
  <c r="E510" i="1"/>
  <c r="B510" i="1"/>
  <c r="A510" i="1"/>
  <c r="H509" i="1"/>
  <c r="G509" i="1"/>
  <c r="E509" i="1"/>
  <c r="B509" i="1"/>
  <c r="A509" i="1"/>
  <c r="H508" i="1"/>
  <c r="G508" i="1"/>
  <c r="E508" i="1"/>
  <c r="B508" i="1"/>
  <c r="A508" i="1"/>
  <c r="H507" i="1"/>
  <c r="G507" i="1"/>
  <c r="E507" i="1"/>
  <c r="B507" i="1"/>
  <c r="A507" i="1"/>
  <c r="H506" i="1"/>
  <c r="G506" i="1"/>
  <c r="E506" i="1"/>
  <c r="B506" i="1"/>
  <c r="A506" i="1"/>
  <c r="H505" i="1"/>
  <c r="G505" i="1"/>
  <c r="E505" i="1"/>
  <c r="B505" i="1"/>
  <c r="A505" i="1"/>
  <c r="H504" i="1"/>
  <c r="G504" i="1"/>
  <c r="E504" i="1"/>
  <c r="B504" i="1"/>
  <c r="A504" i="1"/>
  <c r="H503" i="1"/>
  <c r="G503" i="1"/>
  <c r="E503" i="1"/>
  <c r="B503" i="1"/>
  <c r="A503" i="1"/>
  <c r="H502" i="1"/>
  <c r="G502" i="1"/>
  <c r="E502" i="1"/>
  <c r="B502" i="1"/>
  <c r="A502" i="1"/>
  <c r="H501" i="1"/>
  <c r="G501" i="1"/>
  <c r="E501" i="1"/>
  <c r="B501" i="1"/>
  <c r="A501" i="1"/>
  <c r="H500" i="1"/>
  <c r="G500" i="1"/>
  <c r="E500" i="1"/>
  <c r="B500" i="1"/>
  <c r="A500" i="1"/>
  <c r="H499" i="1"/>
  <c r="G499" i="1"/>
  <c r="E499" i="1"/>
  <c r="B499" i="1"/>
  <c r="A499" i="1"/>
  <c r="H498" i="1"/>
  <c r="G498" i="1"/>
  <c r="E498" i="1"/>
  <c r="B498" i="1"/>
  <c r="A498" i="1"/>
  <c r="H497" i="1"/>
  <c r="G497" i="1"/>
  <c r="E497" i="1"/>
  <c r="B497" i="1"/>
  <c r="A497" i="1"/>
  <c r="H496" i="1"/>
  <c r="G496" i="1"/>
  <c r="E496" i="1"/>
  <c r="B496" i="1"/>
  <c r="A496" i="1"/>
  <c r="H495" i="1"/>
  <c r="G495" i="1"/>
  <c r="E495" i="1"/>
  <c r="B495" i="1"/>
  <c r="A495" i="1"/>
  <c r="H494" i="1"/>
  <c r="G494" i="1"/>
  <c r="E494" i="1"/>
  <c r="B494" i="1"/>
  <c r="A494" i="1"/>
  <c r="H493" i="1"/>
  <c r="G493" i="1"/>
  <c r="E493" i="1"/>
  <c r="B493" i="1"/>
  <c r="A493" i="1"/>
  <c r="H492" i="1"/>
  <c r="G492" i="1"/>
  <c r="E492" i="1"/>
  <c r="B492" i="1"/>
  <c r="A492" i="1"/>
  <c r="H491" i="1"/>
  <c r="G491" i="1"/>
  <c r="E491" i="1"/>
  <c r="B491" i="1"/>
  <c r="A491" i="1"/>
  <c r="H490" i="1"/>
  <c r="G490" i="1"/>
  <c r="E490" i="1"/>
  <c r="B490" i="1"/>
  <c r="A490" i="1"/>
  <c r="H489" i="1"/>
  <c r="G489" i="1"/>
  <c r="E489" i="1"/>
  <c r="B489" i="1"/>
  <c r="A489" i="1"/>
  <c r="H488" i="1"/>
  <c r="G488" i="1"/>
  <c r="E488" i="1"/>
  <c r="B488" i="1"/>
  <c r="A488" i="1"/>
  <c r="H487" i="1"/>
  <c r="G487" i="1"/>
  <c r="E487" i="1"/>
  <c r="B487" i="1"/>
  <c r="A487" i="1"/>
  <c r="H486" i="1"/>
  <c r="G486" i="1"/>
  <c r="E486" i="1"/>
  <c r="B486" i="1"/>
  <c r="A486" i="1"/>
  <c r="H485" i="1"/>
  <c r="G485" i="1"/>
  <c r="E485" i="1"/>
  <c r="B485" i="1"/>
  <c r="A485" i="1"/>
  <c r="H484" i="1"/>
  <c r="G484" i="1"/>
  <c r="E484" i="1"/>
  <c r="B484" i="1"/>
  <c r="A484" i="1"/>
  <c r="H483" i="1"/>
  <c r="G483" i="1"/>
  <c r="E483" i="1"/>
  <c r="B483" i="1"/>
  <c r="A483" i="1"/>
  <c r="H482" i="1"/>
  <c r="G482" i="1"/>
  <c r="E482" i="1"/>
  <c r="B482" i="1"/>
  <c r="A482" i="1"/>
  <c r="H481" i="1"/>
  <c r="G481" i="1"/>
  <c r="E481" i="1"/>
  <c r="B481" i="1"/>
  <c r="A481" i="1"/>
  <c r="H480" i="1"/>
  <c r="G480" i="1"/>
  <c r="E480" i="1"/>
  <c r="B480" i="1"/>
  <c r="A480" i="1"/>
  <c r="H479" i="1"/>
  <c r="G479" i="1"/>
  <c r="E479" i="1"/>
  <c r="B479" i="1"/>
  <c r="A479" i="1"/>
  <c r="H478" i="1"/>
  <c r="G478" i="1"/>
  <c r="E478" i="1"/>
  <c r="B478" i="1"/>
  <c r="A478" i="1"/>
  <c r="H477" i="1"/>
  <c r="G477" i="1"/>
  <c r="E477" i="1"/>
  <c r="B477" i="1"/>
  <c r="A477" i="1"/>
  <c r="H476" i="1"/>
  <c r="G476" i="1"/>
  <c r="E476" i="1"/>
  <c r="B476" i="1"/>
  <c r="A476" i="1"/>
  <c r="H475" i="1"/>
  <c r="G475" i="1"/>
  <c r="E475" i="1"/>
  <c r="B475" i="1"/>
  <c r="A475" i="1"/>
  <c r="H474" i="1"/>
  <c r="G474" i="1"/>
  <c r="E474" i="1"/>
  <c r="B474" i="1"/>
  <c r="A474" i="1"/>
  <c r="H473" i="1"/>
  <c r="G473" i="1"/>
  <c r="E473" i="1"/>
  <c r="B473" i="1"/>
  <c r="A473" i="1"/>
  <c r="H472" i="1"/>
  <c r="G472" i="1"/>
  <c r="E472" i="1"/>
  <c r="B472" i="1"/>
  <c r="A472" i="1"/>
  <c r="H471" i="1"/>
  <c r="G471" i="1"/>
  <c r="E471" i="1"/>
  <c r="B471" i="1"/>
  <c r="A471" i="1"/>
  <c r="H470" i="1"/>
  <c r="G470" i="1"/>
  <c r="E470" i="1"/>
  <c r="B470" i="1"/>
  <c r="A470" i="1"/>
  <c r="H469" i="1"/>
  <c r="G469" i="1"/>
  <c r="E469" i="1"/>
  <c r="B469" i="1"/>
  <c r="A469" i="1"/>
  <c r="H468" i="1"/>
  <c r="G468" i="1"/>
  <c r="E468" i="1"/>
  <c r="B468" i="1"/>
  <c r="A468" i="1"/>
  <c r="H467" i="1"/>
  <c r="G467" i="1"/>
  <c r="E467" i="1"/>
  <c r="B467" i="1"/>
  <c r="A467" i="1"/>
  <c r="H466" i="1"/>
  <c r="G466" i="1"/>
  <c r="E466" i="1"/>
  <c r="B466" i="1"/>
  <c r="A466" i="1"/>
  <c r="H465" i="1"/>
  <c r="G465" i="1"/>
  <c r="E465" i="1"/>
  <c r="B465" i="1"/>
  <c r="A465" i="1"/>
  <c r="H464" i="1"/>
  <c r="G464" i="1"/>
  <c r="E464" i="1"/>
  <c r="B464" i="1"/>
  <c r="A464" i="1"/>
  <c r="H463" i="1"/>
  <c r="G463" i="1"/>
  <c r="E463" i="1"/>
  <c r="B463" i="1"/>
  <c r="A463" i="1"/>
  <c r="H462" i="1"/>
  <c r="G462" i="1"/>
  <c r="E462" i="1"/>
  <c r="B462" i="1"/>
  <c r="A462" i="1"/>
  <c r="H461" i="1"/>
  <c r="G461" i="1"/>
  <c r="E461" i="1"/>
  <c r="B461" i="1"/>
  <c r="A461" i="1"/>
  <c r="H460" i="1"/>
  <c r="G460" i="1"/>
  <c r="E460" i="1"/>
  <c r="B460" i="1"/>
  <c r="A460" i="1"/>
  <c r="H459" i="1"/>
  <c r="G459" i="1"/>
  <c r="E459" i="1"/>
  <c r="B459" i="1"/>
  <c r="A459" i="1"/>
  <c r="H458" i="1"/>
  <c r="G458" i="1"/>
  <c r="E458" i="1"/>
  <c r="B458" i="1"/>
  <c r="A458" i="1"/>
  <c r="H457" i="1"/>
  <c r="G457" i="1"/>
  <c r="E457" i="1"/>
  <c r="B457" i="1"/>
  <c r="A457" i="1"/>
  <c r="H456" i="1"/>
  <c r="G456" i="1"/>
  <c r="E456" i="1"/>
  <c r="B456" i="1"/>
  <c r="A456" i="1"/>
  <c r="H455" i="1"/>
  <c r="G455" i="1"/>
  <c r="E455" i="1"/>
  <c r="B455" i="1"/>
  <c r="A455" i="1"/>
  <c r="H454" i="1"/>
  <c r="G454" i="1"/>
  <c r="E454" i="1"/>
  <c r="B454" i="1"/>
  <c r="A454" i="1"/>
  <c r="H453" i="1"/>
  <c r="G453" i="1"/>
  <c r="E453" i="1"/>
  <c r="B453" i="1"/>
  <c r="A453" i="1"/>
  <c r="H452" i="1"/>
  <c r="G452" i="1"/>
  <c r="E452" i="1"/>
  <c r="B452" i="1"/>
  <c r="A452" i="1"/>
  <c r="H451" i="1"/>
  <c r="G451" i="1"/>
  <c r="E451" i="1"/>
  <c r="B451" i="1"/>
  <c r="A451" i="1"/>
  <c r="H450" i="1"/>
  <c r="G450" i="1"/>
  <c r="E450" i="1"/>
  <c r="B450" i="1"/>
  <c r="A450" i="1"/>
  <c r="H449" i="1"/>
  <c r="G449" i="1"/>
  <c r="E449" i="1"/>
  <c r="B449" i="1"/>
  <c r="A449" i="1"/>
  <c r="H448" i="1"/>
  <c r="G448" i="1"/>
  <c r="E448" i="1"/>
  <c r="B448" i="1"/>
  <c r="A448" i="1"/>
  <c r="H447" i="1"/>
  <c r="G447" i="1"/>
  <c r="E447" i="1"/>
  <c r="B447" i="1"/>
  <c r="A447" i="1"/>
  <c r="H446" i="1"/>
  <c r="G446" i="1"/>
  <c r="E446" i="1"/>
  <c r="B446" i="1"/>
  <c r="A446" i="1"/>
  <c r="H445" i="1"/>
  <c r="G445" i="1"/>
  <c r="E445" i="1"/>
  <c r="B445" i="1"/>
  <c r="A445" i="1"/>
  <c r="H444" i="1"/>
  <c r="G444" i="1"/>
  <c r="E444" i="1"/>
  <c r="B444" i="1"/>
  <c r="A444" i="1"/>
  <c r="H443" i="1"/>
  <c r="G443" i="1"/>
  <c r="E443" i="1"/>
  <c r="B443" i="1"/>
  <c r="A443" i="1"/>
  <c r="H442" i="1"/>
  <c r="G442" i="1"/>
  <c r="E442" i="1"/>
  <c r="B442" i="1"/>
  <c r="A442" i="1"/>
  <c r="H441" i="1"/>
  <c r="G441" i="1"/>
  <c r="E441" i="1"/>
  <c r="B441" i="1"/>
  <c r="A441" i="1"/>
  <c r="H440" i="1"/>
  <c r="G440" i="1"/>
  <c r="E440" i="1"/>
  <c r="B440" i="1"/>
  <c r="A440" i="1"/>
  <c r="H439" i="1"/>
  <c r="G439" i="1"/>
  <c r="E439" i="1"/>
  <c r="B439" i="1"/>
  <c r="A439" i="1"/>
  <c r="H438" i="1"/>
  <c r="G438" i="1"/>
  <c r="E438" i="1"/>
  <c r="B438" i="1"/>
  <c r="A438" i="1"/>
  <c r="H437" i="1"/>
  <c r="G437" i="1"/>
  <c r="E437" i="1"/>
  <c r="B437" i="1"/>
  <c r="A437" i="1"/>
  <c r="H436" i="1"/>
  <c r="G436" i="1"/>
  <c r="E436" i="1"/>
  <c r="B436" i="1"/>
  <c r="A436" i="1"/>
  <c r="H435" i="1"/>
  <c r="G435" i="1"/>
  <c r="E435" i="1"/>
  <c r="B435" i="1"/>
  <c r="A435" i="1"/>
  <c r="H434" i="1"/>
  <c r="G434" i="1"/>
  <c r="E434" i="1"/>
  <c r="B434" i="1"/>
  <c r="A434" i="1"/>
  <c r="H433" i="1"/>
  <c r="G433" i="1"/>
  <c r="E433" i="1"/>
  <c r="B433" i="1"/>
  <c r="A433" i="1"/>
  <c r="H432" i="1"/>
  <c r="G432" i="1"/>
  <c r="E432" i="1"/>
  <c r="B432" i="1"/>
  <c r="A432" i="1"/>
  <c r="H431" i="1"/>
  <c r="G431" i="1"/>
  <c r="E431" i="1"/>
  <c r="B431" i="1"/>
  <c r="A431" i="1"/>
  <c r="H430" i="1"/>
  <c r="G430" i="1"/>
  <c r="E430" i="1"/>
  <c r="B430" i="1"/>
  <c r="A430" i="1"/>
  <c r="H429" i="1"/>
  <c r="G429" i="1"/>
  <c r="E429" i="1"/>
  <c r="B429" i="1"/>
  <c r="A429" i="1"/>
  <c r="H428" i="1"/>
  <c r="G428" i="1"/>
  <c r="E428" i="1"/>
  <c r="B428" i="1"/>
  <c r="A428" i="1"/>
  <c r="H427" i="1"/>
  <c r="G427" i="1"/>
  <c r="E427" i="1"/>
  <c r="B427" i="1"/>
  <c r="A427" i="1"/>
  <c r="H426" i="1"/>
  <c r="G426" i="1"/>
  <c r="E426" i="1"/>
  <c r="B426" i="1"/>
  <c r="A426" i="1"/>
  <c r="H425" i="1"/>
  <c r="G425" i="1"/>
  <c r="E425" i="1"/>
  <c r="B425" i="1"/>
  <c r="A425" i="1"/>
  <c r="H424" i="1"/>
  <c r="G424" i="1"/>
  <c r="E424" i="1"/>
  <c r="B424" i="1"/>
  <c r="A424" i="1"/>
  <c r="H423" i="1"/>
  <c r="G423" i="1"/>
  <c r="E423" i="1"/>
  <c r="B423" i="1"/>
  <c r="A423" i="1"/>
  <c r="H422" i="1"/>
  <c r="G422" i="1"/>
  <c r="E422" i="1"/>
  <c r="B422" i="1"/>
  <c r="A422" i="1"/>
  <c r="H421" i="1"/>
  <c r="G421" i="1"/>
  <c r="E421" i="1"/>
  <c r="B421" i="1"/>
  <c r="A421" i="1"/>
  <c r="H420" i="1"/>
  <c r="G420" i="1"/>
  <c r="E420" i="1"/>
  <c r="B420" i="1"/>
  <c r="A420" i="1"/>
  <c r="H419" i="1"/>
  <c r="G419" i="1"/>
  <c r="E419" i="1"/>
  <c r="B419" i="1"/>
  <c r="A419" i="1"/>
  <c r="H418" i="1"/>
  <c r="G418" i="1"/>
  <c r="E418" i="1"/>
  <c r="B418" i="1"/>
  <c r="A418" i="1"/>
  <c r="H417" i="1"/>
  <c r="G417" i="1"/>
  <c r="E417" i="1"/>
  <c r="B417" i="1"/>
  <c r="A417" i="1"/>
  <c r="H416" i="1"/>
  <c r="G416" i="1"/>
  <c r="E416" i="1"/>
  <c r="B416" i="1"/>
  <c r="A416" i="1"/>
  <c r="H415" i="1"/>
  <c r="G415" i="1"/>
  <c r="E415" i="1"/>
  <c r="B415" i="1"/>
  <c r="A415" i="1"/>
  <c r="H414" i="1"/>
  <c r="G414" i="1"/>
  <c r="E414" i="1"/>
  <c r="B414" i="1"/>
  <c r="A414" i="1"/>
  <c r="H413" i="1"/>
  <c r="G413" i="1"/>
  <c r="E413" i="1"/>
  <c r="B413" i="1"/>
  <c r="A413" i="1"/>
  <c r="H412" i="1"/>
  <c r="G412" i="1"/>
  <c r="E412" i="1"/>
  <c r="B412" i="1"/>
  <c r="A412" i="1"/>
  <c r="H411" i="1"/>
  <c r="G411" i="1"/>
  <c r="E411" i="1"/>
  <c r="B411" i="1"/>
  <c r="A411" i="1"/>
  <c r="H410" i="1"/>
  <c r="G410" i="1"/>
  <c r="E410" i="1"/>
  <c r="B410" i="1"/>
  <c r="A410" i="1"/>
  <c r="H409" i="1"/>
  <c r="G409" i="1"/>
  <c r="E409" i="1"/>
  <c r="B409" i="1"/>
  <c r="A409" i="1"/>
  <c r="H408" i="1"/>
  <c r="G408" i="1"/>
  <c r="E408" i="1"/>
  <c r="B408" i="1"/>
  <c r="A408" i="1"/>
  <c r="H407" i="1"/>
  <c r="G407" i="1"/>
  <c r="E407" i="1"/>
  <c r="B407" i="1"/>
  <c r="A407" i="1"/>
  <c r="H406" i="1"/>
  <c r="G406" i="1"/>
  <c r="E406" i="1"/>
  <c r="B406" i="1"/>
  <c r="A406" i="1"/>
  <c r="H405" i="1"/>
  <c r="G405" i="1"/>
  <c r="E405" i="1"/>
  <c r="B405" i="1"/>
  <c r="A405" i="1"/>
  <c r="H404" i="1"/>
  <c r="G404" i="1"/>
  <c r="E404" i="1"/>
  <c r="B404" i="1"/>
  <c r="A404" i="1"/>
  <c r="H403" i="1"/>
  <c r="G403" i="1"/>
  <c r="E403" i="1"/>
  <c r="B403" i="1"/>
  <c r="A403" i="1"/>
  <c r="H402" i="1"/>
  <c r="G402" i="1"/>
  <c r="E402" i="1"/>
  <c r="B402" i="1"/>
  <c r="A402" i="1"/>
  <c r="H401" i="1"/>
  <c r="G401" i="1"/>
  <c r="E401" i="1"/>
  <c r="B401" i="1"/>
  <c r="A401" i="1"/>
  <c r="H400" i="1"/>
  <c r="G400" i="1"/>
  <c r="E400" i="1"/>
  <c r="B400" i="1"/>
  <c r="A400" i="1"/>
  <c r="H399" i="1"/>
  <c r="G399" i="1"/>
  <c r="E399" i="1"/>
  <c r="B399" i="1"/>
  <c r="A399" i="1"/>
  <c r="H398" i="1"/>
  <c r="G398" i="1"/>
  <c r="E398" i="1"/>
  <c r="B398" i="1"/>
  <c r="A398" i="1"/>
  <c r="H397" i="1"/>
  <c r="G397" i="1"/>
  <c r="E397" i="1"/>
  <c r="B397" i="1"/>
  <c r="A397" i="1"/>
  <c r="H396" i="1"/>
  <c r="G396" i="1"/>
  <c r="E396" i="1"/>
  <c r="B396" i="1"/>
  <c r="A396" i="1"/>
  <c r="H395" i="1"/>
  <c r="G395" i="1"/>
  <c r="E395" i="1"/>
  <c r="B395" i="1"/>
  <c r="A395" i="1"/>
  <c r="H394" i="1"/>
  <c r="G394" i="1"/>
  <c r="E394" i="1"/>
  <c r="B394" i="1"/>
  <c r="A394" i="1"/>
  <c r="H393" i="1"/>
  <c r="G393" i="1"/>
  <c r="E393" i="1"/>
  <c r="B393" i="1"/>
  <c r="A393" i="1"/>
  <c r="H392" i="1"/>
  <c r="G392" i="1"/>
  <c r="E392" i="1"/>
  <c r="B392" i="1"/>
  <c r="A392" i="1"/>
  <c r="H391" i="1"/>
  <c r="G391" i="1"/>
  <c r="E391" i="1"/>
  <c r="B391" i="1"/>
  <c r="A391" i="1"/>
  <c r="H390" i="1"/>
  <c r="G390" i="1"/>
  <c r="E390" i="1"/>
  <c r="B390" i="1"/>
  <c r="A390" i="1"/>
  <c r="H389" i="1"/>
  <c r="G389" i="1"/>
  <c r="E389" i="1"/>
  <c r="B389" i="1"/>
  <c r="A389" i="1"/>
  <c r="H388" i="1"/>
  <c r="G388" i="1"/>
  <c r="E388" i="1"/>
  <c r="B388" i="1"/>
  <c r="A388" i="1"/>
  <c r="H387" i="1"/>
  <c r="G387" i="1"/>
  <c r="E387" i="1"/>
  <c r="B387" i="1"/>
  <c r="A387" i="1"/>
  <c r="H386" i="1"/>
  <c r="G386" i="1"/>
  <c r="E386" i="1"/>
  <c r="B386" i="1"/>
  <c r="A386" i="1"/>
  <c r="H385" i="1"/>
  <c r="G385" i="1"/>
  <c r="E385" i="1"/>
  <c r="B385" i="1"/>
  <c r="A385" i="1"/>
  <c r="H384" i="1"/>
  <c r="G384" i="1"/>
  <c r="E384" i="1"/>
  <c r="B384" i="1"/>
  <c r="A384" i="1"/>
  <c r="H383" i="1"/>
  <c r="G383" i="1"/>
  <c r="E383" i="1"/>
  <c r="B383" i="1"/>
  <c r="A383" i="1"/>
  <c r="H382" i="1"/>
  <c r="G382" i="1"/>
  <c r="E382" i="1"/>
  <c r="B382" i="1"/>
  <c r="A382" i="1"/>
  <c r="H381" i="1"/>
  <c r="G381" i="1"/>
  <c r="E381" i="1"/>
  <c r="B381" i="1"/>
  <c r="A381" i="1"/>
  <c r="H380" i="1"/>
  <c r="G380" i="1"/>
  <c r="E380" i="1"/>
  <c r="B380" i="1"/>
  <c r="A380" i="1"/>
  <c r="H379" i="1"/>
  <c r="G379" i="1"/>
  <c r="E379" i="1"/>
  <c r="B379" i="1"/>
  <c r="A379" i="1"/>
  <c r="H378" i="1"/>
  <c r="G378" i="1"/>
  <c r="E378" i="1"/>
  <c r="B378" i="1"/>
  <c r="A378" i="1"/>
  <c r="H377" i="1"/>
  <c r="G377" i="1"/>
  <c r="E377" i="1"/>
  <c r="B377" i="1"/>
  <c r="A377" i="1"/>
  <c r="H376" i="1"/>
  <c r="G376" i="1"/>
  <c r="E376" i="1"/>
  <c r="B376" i="1"/>
  <c r="A376" i="1"/>
  <c r="H375" i="1"/>
  <c r="G375" i="1"/>
  <c r="E375" i="1"/>
  <c r="B375" i="1"/>
  <c r="A375" i="1"/>
  <c r="H374" i="1"/>
  <c r="G374" i="1"/>
  <c r="E374" i="1"/>
  <c r="B374" i="1"/>
  <c r="A374" i="1"/>
  <c r="H373" i="1"/>
  <c r="G373" i="1"/>
  <c r="E373" i="1"/>
  <c r="B373" i="1"/>
  <c r="A373" i="1"/>
  <c r="H372" i="1"/>
  <c r="G372" i="1"/>
  <c r="E372" i="1"/>
  <c r="B372" i="1"/>
  <c r="A372" i="1"/>
  <c r="H371" i="1"/>
  <c r="G371" i="1"/>
  <c r="E371" i="1"/>
  <c r="B371" i="1"/>
  <c r="A371" i="1"/>
  <c r="H370" i="1"/>
  <c r="G370" i="1"/>
  <c r="E370" i="1"/>
  <c r="B370" i="1"/>
  <c r="A370" i="1"/>
  <c r="H369" i="1"/>
  <c r="G369" i="1"/>
  <c r="E369" i="1"/>
  <c r="B369" i="1"/>
  <c r="A369" i="1"/>
  <c r="H368" i="1"/>
  <c r="G368" i="1"/>
  <c r="E368" i="1"/>
  <c r="B368" i="1"/>
  <c r="A368" i="1"/>
  <c r="H367" i="1"/>
  <c r="G367" i="1"/>
  <c r="E367" i="1"/>
  <c r="B367" i="1"/>
  <c r="A367" i="1"/>
  <c r="H366" i="1"/>
  <c r="G366" i="1"/>
  <c r="E366" i="1"/>
  <c r="B366" i="1"/>
  <c r="A366" i="1"/>
  <c r="H365" i="1"/>
  <c r="G365" i="1"/>
  <c r="E365" i="1"/>
  <c r="B365" i="1"/>
  <c r="A365" i="1"/>
  <c r="H364" i="1"/>
  <c r="G364" i="1"/>
  <c r="E364" i="1"/>
  <c r="B364" i="1"/>
  <c r="A364" i="1"/>
  <c r="H363" i="1"/>
  <c r="G363" i="1"/>
  <c r="E363" i="1"/>
  <c r="B363" i="1"/>
  <c r="A363" i="1"/>
  <c r="H362" i="1"/>
  <c r="G362" i="1"/>
  <c r="E362" i="1"/>
  <c r="B362" i="1"/>
  <c r="A362" i="1"/>
  <c r="H361" i="1"/>
  <c r="G361" i="1"/>
  <c r="E361" i="1"/>
  <c r="B361" i="1"/>
  <c r="A361" i="1"/>
  <c r="H360" i="1"/>
  <c r="G360" i="1"/>
  <c r="E360" i="1"/>
  <c r="B360" i="1"/>
  <c r="A360" i="1"/>
  <c r="H359" i="1"/>
  <c r="G359" i="1"/>
  <c r="E359" i="1"/>
  <c r="B359" i="1"/>
  <c r="A359" i="1"/>
  <c r="H358" i="1"/>
  <c r="G358" i="1"/>
  <c r="E358" i="1"/>
  <c r="B358" i="1"/>
  <c r="A358" i="1"/>
  <c r="H357" i="1"/>
  <c r="G357" i="1"/>
  <c r="E357" i="1"/>
  <c r="B357" i="1"/>
  <c r="A357" i="1"/>
  <c r="H356" i="1"/>
  <c r="G356" i="1"/>
  <c r="E356" i="1"/>
  <c r="B356" i="1"/>
  <c r="A356" i="1"/>
  <c r="H355" i="1"/>
  <c r="G355" i="1"/>
  <c r="E355" i="1"/>
  <c r="B355" i="1"/>
  <c r="A355" i="1"/>
  <c r="H354" i="1"/>
  <c r="G354" i="1"/>
  <c r="E354" i="1"/>
  <c r="B354" i="1"/>
  <c r="A354" i="1"/>
  <c r="H353" i="1"/>
  <c r="G353" i="1"/>
  <c r="E353" i="1"/>
  <c r="B353" i="1"/>
  <c r="A353" i="1"/>
  <c r="H352" i="1"/>
  <c r="G352" i="1"/>
  <c r="E352" i="1"/>
  <c r="B352" i="1"/>
  <c r="A352" i="1"/>
  <c r="H351" i="1"/>
  <c r="G351" i="1"/>
  <c r="E351" i="1"/>
  <c r="B351" i="1"/>
  <c r="A351" i="1"/>
  <c r="H350" i="1"/>
  <c r="G350" i="1"/>
  <c r="E350" i="1"/>
  <c r="B350" i="1"/>
  <c r="A350" i="1"/>
  <c r="H349" i="1"/>
  <c r="G349" i="1"/>
  <c r="E349" i="1"/>
  <c r="B349" i="1"/>
  <c r="A349" i="1"/>
  <c r="H348" i="1"/>
  <c r="G348" i="1"/>
  <c r="E348" i="1"/>
  <c r="B348" i="1"/>
  <c r="A348" i="1"/>
  <c r="H347" i="1"/>
  <c r="G347" i="1"/>
  <c r="E347" i="1"/>
  <c r="B347" i="1"/>
  <c r="A347" i="1"/>
  <c r="H346" i="1"/>
  <c r="G346" i="1"/>
  <c r="E346" i="1"/>
  <c r="B346" i="1"/>
  <c r="A346" i="1"/>
  <c r="H345" i="1"/>
  <c r="G345" i="1"/>
  <c r="E345" i="1"/>
  <c r="B345" i="1"/>
  <c r="A345" i="1"/>
  <c r="H344" i="1"/>
  <c r="G344" i="1"/>
  <c r="E344" i="1"/>
  <c r="B344" i="1"/>
  <c r="A344" i="1"/>
  <c r="H343" i="1"/>
  <c r="G343" i="1"/>
  <c r="E343" i="1"/>
  <c r="B343" i="1"/>
  <c r="A343" i="1"/>
  <c r="H342" i="1"/>
  <c r="G342" i="1"/>
  <c r="E342" i="1"/>
  <c r="B342" i="1"/>
  <c r="A342" i="1"/>
  <c r="H341" i="1"/>
  <c r="G341" i="1"/>
  <c r="E341" i="1"/>
  <c r="B341" i="1"/>
  <c r="A341" i="1"/>
  <c r="H340" i="1"/>
  <c r="G340" i="1"/>
  <c r="E340" i="1"/>
  <c r="B340" i="1"/>
  <c r="A340" i="1"/>
  <c r="H339" i="1"/>
  <c r="G339" i="1"/>
  <c r="E339" i="1"/>
  <c r="B339" i="1"/>
  <c r="A339" i="1"/>
  <c r="H338" i="1"/>
  <c r="G338" i="1"/>
  <c r="E338" i="1"/>
  <c r="B338" i="1"/>
  <c r="A338" i="1"/>
  <c r="H337" i="1"/>
  <c r="G337" i="1"/>
  <c r="E337" i="1"/>
  <c r="B337" i="1"/>
  <c r="A337" i="1"/>
  <c r="H336" i="1"/>
  <c r="G336" i="1"/>
  <c r="E336" i="1"/>
  <c r="B336" i="1"/>
  <c r="A336" i="1"/>
  <c r="H335" i="1"/>
  <c r="G335" i="1"/>
  <c r="E335" i="1"/>
  <c r="B335" i="1"/>
  <c r="A335" i="1"/>
  <c r="H334" i="1"/>
  <c r="G334" i="1"/>
  <c r="E334" i="1"/>
  <c r="B334" i="1"/>
  <c r="A334" i="1"/>
  <c r="H333" i="1"/>
  <c r="G333" i="1"/>
  <c r="E333" i="1"/>
  <c r="B333" i="1"/>
  <c r="A333" i="1"/>
  <c r="H332" i="1"/>
  <c r="G332" i="1"/>
  <c r="E332" i="1"/>
  <c r="B332" i="1"/>
  <c r="A332" i="1"/>
  <c r="H331" i="1"/>
  <c r="G331" i="1"/>
  <c r="E331" i="1"/>
  <c r="B331" i="1"/>
  <c r="A331" i="1"/>
  <c r="H330" i="1"/>
  <c r="G330" i="1"/>
  <c r="E330" i="1"/>
  <c r="B330" i="1"/>
  <c r="A330" i="1"/>
  <c r="H329" i="1"/>
  <c r="G329" i="1"/>
  <c r="E329" i="1"/>
  <c r="B329" i="1"/>
  <c r="A329" i="1"/>
  <c r="H328" i="1"/>
  <c r="G328" i="1"/>
  <c r="E328" i="1"/>
  <c r="B328" i="1"/>
  <c r="A328" i="1"/>
  <c r="H327" i="1"/>
  <c r="G327" i="1"/>
  <c r="E327" i="1"/>
  <c r="B327" i="1"/>
  <c r="A327" i="1"/>
  <c r="H326" i="1"/>
  <c r="G326" i="1"/>
  <c r="E326" i="1"/>
  <c r="B326" i="1"/>
  <c r="A326" i="1"/>
  <c r="H325" i="1"/>
  <c r="G325" i="1"/>
  <c r="E325" i="1"/>
  <c r="B325" i="1"/>
  <c r="A325" i="1"/>
  <c r="H324" i="1"/>
  <c r="G324" i="1"/>
  <c r="E324" i="1"/>
  <c r="B324" i="1"/>
  <c r="A324" i="1"/>
  <c r="H323" i="1"/>
  <c r="G323" i="1"/>
  <c r="E323" i="1"/>
  <c r="B323" i="1"/>
  <c r="A323" i="1"/>
  <c r="H322" i="1"/>
  <c r="G322" i="1"/>
  <c r="E322" i="1"/>
  <c r="B322" i="1"/>
  <c r="A322" i="1"/>
  <c r="H321" i="1"/>
  <c r="G321" i="1"/>
  <c r="E321" i="1"/>
  <c r="B321" i="1"/>
  <c r="A321" i="1"/>
  <c r="H320" i="1"/>
  <c r="G320" i="1"/>
  <c r="E320" i="1"/>
  <c r="B320" i="1"/>
  <c r="A320" i="1"/>
  <c r="H319" i="1"/>
  <c r="G319" i="1"/>
  <c r="E319" i="1"/>
  <c r="B319" i="1"/>
  <c r="A319" i="1"/>
  <c r="H318" i="1"/>
  <c r="G318" i="1"/>
  <c r="E318" i="1"/>
  <c r="B318" i="1"/>
  <c r="A318" i="1"/>
  <c r="H317" i="1"/>
  <c r="G317" i="1"/>
  <c r="E317" i="1"/>
  <c r="B317" i="1"/>
  <c r="A317" i="1"/>
  <c r="H316" i="1"/>
  <c r="G316" i="1"/>
  <c r="E316" i="1"/>
  <c r="B316" i="1"/>
  <c r="A316" i="1"/>
  <c r="H315" i="1"/>
  <c r="G315" i="1"/>
  <c r="E315" i="1"/>
  <c r="B315" i="1"/>
  <c r="A315" i="1"/>
  <c r="H314" i="1"/>
  <c r="G314" i="1"/>
  <c r="E314" i="1"/>
  <c r="B314" i="1"/>
  <c r="A314" i="1"/>
  <c r="H313" i="1"/>
  <c r="G313" i="1"/>
  <c r="E313" i="1"/>
  <c r="B313" i="1"/>
  <c r="A313" i="1"/>
  <c r="H312" i="1"/>
  <c r="G312" i="1"/>
  <c r="E312" i="1"/>
  <c r="B312" i="1"/>
  <c r="A312" i="1"/>
  <c r="H311" i="1"/>
  <c r="G311" i="1"/>
  <c r="E311" i="1"/>
  <c r="B311" i="1"/>
  <c r="A311" i="1"/>
  <c r="H310" i="1"/>
  <c r="G310" i="1"/>
  <c r="E310" i="1"/>
  <c r="B310" i="1"/>
  <c r="A310" i="1"/>
  <c r="H309" i="1"/>
  <c r="G309" i="1"/>
  <c r="E309" i="1"/>
  <c r="B309" i="1"/>
  <c r="A309" i="1"/>
  <c r="H308" i="1"/>
  <c r="G308" i="1"/>
  <c r="E308" i="1"/>
  <c r="B308" i="1"/>
  <c r="A308" i="1"/>
  <c r="H307" i="1"/>
  <c r="G307" i="1"/>
  <c r="E307" i="1"/>
  <c r="B307" i="1"/>
  <c r="A307" i="1"/>
  <c r="H306" i="1"/>
  <c r="G306" i="1"/>
  <c r="E306" i="1"/>
  <c r="B306" i="1"/>
  <c r="A306" i="1"/>
  <c r="H305" i="1"/>
  <c r="G305" i="1"/>
  <c r="E305" i="1"/>
  <c r="B305" i="1"/>
  <c r="A305" i="1"/>
  <c r="H304" i="1"/>
  <c r="G304" i="1"/>
  <c r="E304" i="1"/>
  <c r="B304" i="1"/>
  <c r="A304" i="1"/>
  <c r="H303" i="1"/>
  <c r="G303" i="1"/>
  <c r="E303" i="1"/>
  <c r="B303" i="1"/>
  <c r="A303" i="1"/>
  <c r="H302" i="1"/>
  <c r="G302" i="1"/>
  <c r="E302" i="1"/>
  <c r="B302" i="1"/>
  <c r="A302" i="1"/>
  <c r="H301" i="1"/>
  <c r="G301" i="1"/>
  <c r="E301" i="1"/>
  <c r="B301" i="1"/>
  <c r="A301" i="1"/>
  <c r="H300" i="1"/>
  <c r="G300" i="1"/>
  <c r="E300" i="1"/>
  <c r="B300" i="1"/>
  <c r="A300" i="1"/>
  <c r="H299" i="1"/>
  <c r="G299" i="1"/>
  <c r="E299" i="1"/>
  <c r="B299" i="1"/>
  <c r="A299" i="1"/>
  <c r="H298" i="1"/>
  <c r="G298" i="1"/>
  <c r="E298" i="1"/>
  <c r="B298" i="1"/>
  <c r="A298" i="1"/>
  <c r="H297" i="1"/>
  <c r="G297" i="1"/>
  <c r="E297" i="1"/>
  <c r="B297" i="1"/>
  <c r="A297" i="1"/>
  <c r="H296" i="1"/>
  <c r="G296" i="1"/>
  <c r="E296" i="1"/>
  <c r="B296" i="1"/>
  <c r="A296" i="1"/>
  <c r="H295" i="1"/>
  <c r="G295" i="1"/>
  <c r="E295" i="1"/>
  <c r="B295" i="1"/>
  <c r="A295" i="1"/>
  <c r="H294" i="1"/>
  <c r="G294" i="1"/>
  <c r="E294" i="1"/>
  <c r="B294" i="1"/>
  <c r="A294" i="1"/>
  <c r="H293" i="1"/>
  <c r="G293" i="1"/>
  <c r="E293" i="1"/>
  <c r="B293" i="1"/>
  <c r="A293" i="1"/>
  <c r="H292" i="1"/>
  <c r="G292" i="1"/>
  <c r="E292" i="1"/>
  <c r="B292" i="1"/>
  <c r="A292" i="1"/>
  <c r="H291" i="1"/>
  <c r="G291" i="1"/>
  <c r="E291" i="1"/>
  <c r="B291" i="1"/>
  <c r="A291" i="1"/>
  <c r="H290" i="1"/>
  <c r="G290" i="1"/>
  <c r="E290" i="1"/>
  <c r="B290" i="1"/>
  <c r="A290" i="1"/>
  <c r="H289" i="1"/>
  <c r="G289" i="1"/>
  <c r="E289" i="1"/>
  <c r="B289" i="1"/>
  <c r="A289" i="1"/>
  <c r="H288" i="1"/>
  <c r="G288" i="1"/>
  <c r="E288" i="1"/>
  <c r="B288" i="1"/>
  <c r="A288" i="1"/>
  <c r="H287" i="1"/>
  <c r="G287" i="1"/>
  <c r="E287" i="1"/>
  <c r="B287" i="1"/>
  <c r="A287" i="1"/>
  <c r="H286" i="1"/>
  <c r="G286" i="1"/>
  <c r="E286" i="1"/>
  <c r="B286" i="1"/>
  <c r="A286" i="1"/>
  <c r="H285" i="1"/>
  <c r="G285" i="1"/>
  <c r="E285" i="1"/>
  <c r="B285" i="1"/>
  <c r="A285" i="1"/>
  <c r="H284" i="1"/>
  <c r="G284" i="1"/>
  <c r="E284" i="1"/>
  <c r="B284" i="1"/>
  <c r="A284" i="1"/>
  <c r="H283" i="1"/>
  <c r="G283" i="1"/>
  <c r="E283" i="1"/>
  <c r="B283" i="1"/>
  <c r="A283" i="1"/>
  <c r="H282" i="1"/>
  <c r="G282" i="1"/>
  <c r="E282" i="1"/>
  <c r="B282" i="1"/>
  <c r="A282" i="1"/>
  <c r="H281" i="1"/>
  <c r="G281" i="1"/>
  <c r="E281" i="1"/>
  <c r="B281" i="1"/>
  <c r="A281" i="1"/>
  <c r="H280" i="1"/>
  <c r="G280" i="1"/>
  <c r="E280" i="1"/>
  <c r="B280" i="1"/>
  <c r="A280" i="1"/>
  <c r="H279" i="1"/>
  <c r="G279" i="1"/>
  <c r="E279" i="1"/>
  <c r="B279" i="1"/>
  <c r="A279" i="1"/>
  <c r="H278" i="1"/>
  <c r="G278" i="1"/>
  <c r="E278" i="1"/>
  <c r="B278" i="1"/>
  <c r="A278" i="1"/>
  <c r="H277" i="1"/>
  <c r="G277" i="1"/>
  <c r="E277" i="1"/>
  <c r="B277" i="1"/>
  <c r="A277" i="1"/>
  <c r="H276" i="1"/>
  <c r="G276" i="1"/>
  <c r="E276" i="1"/>
  <c r="B276" i="1"/>
  <c r="A276" i="1"/>
  <c r="H275" i="1"/>
  <c r="G275" i="1"/>
  <c r="E275" i="1"/>
  <c r="B275" i="1"/>
  <c r="A275" i="1"/>
  <c r="H274" i="1"/>
  <c r="G274" i="1"/>
  <c r="E274" i="1"/>
  <c r="B274" i="1"/>
  <c r="A274" i="1"/>
  <c r="H273" i="1"/>
  <c r="G273" i="1"/>
  <c r="E273" i="1"/>
  <c r="B273" i="1"/>
  <c r="A273" i="1"/>
  <c r="H272" i="1"/>
  <c r="G272" i="1"/>
  <c r="E272" i="1"/>
  <c r="B272" i="1"/>
  <c r="A272" i="1"/>
  <c r="H271" i="1"/>
  <c r="G271" i="1"/>
  <c r="E271" i="1"/>
  <c r="B271" i="1"/>
  <c r="A271" i="1"/>
  <c r="H270" i="1"/>
  <c r="G270" i="1"/>
  <c r="E270" i="1"/>
  <c r="B270" i="1"/>
  <c r="A270" i="1"/>
  <c r="H269" i="1"/>
  <c r="G269" i="1"/>
  <c r="E269" i="1"/>
  <c r="B269" i="1"/>
  <c r="A269" i="1"/>
  <c r="H268" i="1"/>
  <c r="G268" i="1"/>
  <c r="E268" i="1"/>
  <c r="B268" i="1"/>
  <c r="A268" i="1"/>
  <c r="H267" i="1"/>
  <c r="G267" i="1"/>
  <c r="E267" i="1"/>
  <c r="B267" i="1"/>
  <c r="A267" i="1"/>
  <c r="H266" i="1"/>
  <c r="G266" i="1"/>
  <c r="E266" i="1"/>
  <c r="B266" i="1"/>
  <c r="A266" i="1"/>
  <c r="H265" i="1"/>
  <c r="G265" i="1"/>
  <c r="E265" i="1"/>
  <c r="B265" i="1"/>
  <c r="A265" i="1"/>
  <c r="H264" i="1"/>
  <c r="G264" i="1"/>
  <c r="E264" i="1"/>
  <c r="B264" i="1"/>
  <c r="A264" i="1"/>
  <c r="H263" i="1"/>
  <c r="G263" i="1"/>
  <c r="E263" i="1"/>
  <c r="B263" i="1"/>
  <c r="A263" i="1"/>
  <c r="H262" i="1"/>
  <c r="G262" i="1"/>
  <c r="E262" i="1"/>
  <c r="B262" i="1"/>
  <c r="A262" i="1"/>
  <c r="H261" i="1"/>
  <c r="G261" i="1"/>
  <c r="E261" i="1"/>
  <c r="B261" i="1"/>
  <c r="A261" i="1"/>
  <c r="H260" i="1"/>
  <c r="G260" i="1"/>
  <c r="E260" i="1"/>
  <c r="B260" i="1"/>
  <c r="A260" i="1"/>
  <c r="H259" i="1"/>
  <c r="G259" i="1"/>
  <c r="E259" i="1"/>
  <c r="B259" i="1"/>
  <c r="A259" i="1"/>
  <c r="H258" i="1"/>
  <c r="G258" i="1"/>
  <c r="E258" i="1"/>
  <c r="B258" i="1"/>
  <c r="A258" i="1"/>
  <c r="H257" i="1"/>
  <c r="G257" i="1"/>
  <c r="E257" i="1"/>
  <c r="B257" i="1"/>
  <c r="A257" i="1"/>
  <c r="H256" i="1"/>
  <c r="G256" i="1"/>
  <c r="E256" i="1"/>
  <c r="B256" i="1"/>
  <c r="A256" i="1"/>
  <c r="H255" i="1"/>
  <c r="G255" i="1"/>
  <c r="E255" i="1"/>
  <c r="B255" i="1"/>
  <c r="A255" i="1"/>
  <c r="H254" i="1"/>
  <c r="G254" i="1"/>
  <c r="E254" i="1"/>
  <c r="B254" i="1"/>
  <c r="A254" i="1"/>
  <c r="H253" i="1"/>
  <c r="G253" i="1"/>
  <c r="E253" i="1"/>
  <c r="B253" i="1"/>
  <c r="A253" i="1"/>
  <c r="H252" i="1"/>
  <c r="G252" i="1"/>
  <c r="E252" i="1"/>
  <c r="B252" i="1"/>
  <c r="A252" i="1"/>
  <c r="H251" i="1"/>
  <c r="G251" i="1"/>
  <c r="E251" i="1"/>
  <c r="B251" i="1"/>
  <c r="A251" i="1"/>
  <c r="H250" i="1"/>
  <c r="G250" i="1"/>
  <c r="E250" i="1"/>
  <c r="B250" i="1"/>
  <c r="A250" i="1"/>
  <c r="H249" i="1"/>
  <c r="G249" i="1"/>
  <c r="E249" i="1"/>
  <c r="B249" i="1"/>
  <c r="A249" i="1"/>
  <c r="H248" i="1"/>
  <c r="G248" i="1"/>
  <c r="E248" i="1"/>
  <c r="B248" i="1"/>
  <c r="A248" i="1"/>
  <c r="H247" i="1"/>
  <c r="G247" i="1"/>
  <c r="E247" i="1"/>
  <c r="B247" i="1"/>
  <c r="A247" i="1"/>
  <c r="H246" i="1"/>
  <c r="G246" i="1"/>
  <c r="E246" i="1"/>
  <c r="B246" i="1"/>
  <c r="A246" i="1"/>
  <c r="H245" i="1"/>
  <c r="G245" i="1"/>
  <c r="E245" i="1"/>
  <c r="B245" i="1"/>
  <c r="A245" i="1"/>
  <c r="H244" i="1"/>
  <c r="G244" i="1"/>
  <c r="E244" i="1"/>
  <c r="B244" i="1"/>
  <c r="A244" i="1"/>
  <c r="H243" i="1"/>
  <c r="G243" i="1"/>
  <c r="E243" i="1"/>
  <c r="B243" i="1"/>
  <c r="A243" i="1"/>
  <c r="H242" i="1"/>
  <c r="G242" i="1"/>
  <c r="E242" i="1"/>
  <c r="B242" i="1"/>
  <c r="A242" i="1"/>
  <c r="H241" i="1"/>
  <c r="G241" i="1"/>
  <c r="E241" i="1"/>
  <c r="B241" i="1"/>
  <c r="A241" i="1"/>
  <c r="H240" i="1"/>
  <c r="G240" i="1"/>
  <c r="E240" i="1"/>
  <c r="B240" i="1"/>
  <c r="A240" i="1"/>
  <c r="H239" i="1"/>
  <c r="G239" i="1"/>
  <c r="E239" i="1"/>
  <c r="B239" i="1"/>
  <c r="A239" i="1"/>
  <c r="H238" i="1"/>
  <c r="G238" i="1"/>
  <c r="E238" i="1"/>
  <c r="B238" i="1"/>
  <c r="A238" i="1"/>
  <c r="H237" i="1"/>
  <c r="G237" i="1"/>
  <c r="E237" i="1"/>
  <c r="B237" i="1"/>
  <c r="A237" i="1"/>
  <c r="H236" i="1"/>
  <c r="G236" i="1"/>
  <c r="E236" i="1"/>
  <c r="B236" i="1"/>
  <c r="A236" i="1"/>
  <c r="H235" i="1"/>
  <c r="G235" i="1"/>
  <c r="E235" i="1"/>
  <c r="B235" i="1"/>
  <c r="A235" i="1"/>
  <c r="H234" i="1"/>
  <c r="G234" i="1"/>
  <c r="E234" i="1"/>
  <c r="B234" i="1"/>
  <c r="A234" i="1"/>
  <c r="H233" i="1"/>
  <c r="G233" i="1"/>
  <c r="E233" i="1"/>
  <c r="B233" i="1"/>
  <c r="A233" i="1"/>
  <c r="H232" i="1"/>
  <c r="G232" i="1"/>
  <c r="E232" i="1"/>
  <c r="B232" i="1"/>
  <c r="A232" i="1"/>
  <c r="H231" i="1"/>
  <c r="G231" i="1"/>
  <c r="E231" i="1"/>
  <c r="B231" i="1"/>
  <c r="A231" i="1"/>
  <c r="H230" i="1"/>
  <c r="G230" i="1"/>
  <c r="E230" i="1"/>
  <c r="B230" i="1"/>
  <c r="A230" i="1"/>
  <c r="H229" i="1"/>
  <c r="G229" i="1"/>
  <c r="E229" i="1"/>
  <c r="B229" i="1"/>
  <c r="A229" i="1"/>
  <c r="H228" i="1"/>
  <c r="G228" i="1"/>
  <c r="E228" i="1"/>
  <c r="B228" i="1"/>
  <c r="A228" i="1"/>
  <c r="H227" i="1"/>
  <c r="G227" i="1"/>
  <c r="E227" i="1"/>
  <c r="B227" i="1"/>
  <c r="A227" i="1"/>
  <c r="H226" i="1"/>
  <c r="G226" i="1"/>
  <c r="E226" i="1"/>
  <c r="B226" i="1"/>
  <c r="A226" i="1"/>
  <c r="H225" i="1"/>
  <c r="G225" i="1"/>
  <c r="E225" i="1"/>
  <c r="B225" i="1"/>
  <c r="A225" i="1"/>
  <c r="H224" i="1"/>
  <c r="G224" i="1"/>
  <c r="E224" i="1"/>
  <c r="B224" i="1"/>
  <c r="A224" i="1"/>
  <c r="H223" i="1"/>
  <c r="G223" i="1"/>
  <c r="E223" i="1"/>
  <c r="B223" i="1"/>
  <c r="A223" i="1"/>
  <c r="H222" i="1"/>
  <c r="G222" i="1"/>
  <c r="E222" i="1"/>
  <c r="B222" i="1"/>
  <c r="A222" i="1"/>
  <c r="H221" i="1"/>
  <c r="G221" i="1"/>
  <c r="E221" i="1"/>
  <c r="B221" i="1"/>
  <c r="A221" i="1"/>
  <c r="H220" i="1"/>
  <c r="G220" i="1"/>
  <c r="E220" i="1"/>
  <c r="B220" i="1"/>
  <c r="A220" i="1"/>
  <c r="H219" i="1"/>
  <c r="G219" i="1"/>
  <c r="E219" i="1"/>
  <c r="B219" i="1"/>
  <c r="A219" i="1"/>
  <c r="H218" i="1"/>
  <c r="G218" i="1"/>
  <c r="E218" i="1"/>
  <c r="B218" i="1"/>
  <c r="A218" i="1"/>
  <c r="H217" i="1"/>
  <c r="G217" i="1"/>
  <c r="E217" i="1"/>
  <c r="B217" i="1"/>
  <c r="A217" i="1"/>
  <c r="H216" i="1"/>
  <c r="G216" i="1"/>
  <c r="E216" i="1"/>
  <c r="B216" i="1"/>
  <c r="A216" i="1"/>
  <c r="H215" i="1"/>
  <c r="G215" i="1"/>
  <c r="E215" i="1"/>
  <c r="B215" i="1"/>
  <c r="A215" i="1"/>
  <c r="H214" i="1"/>
  <c r="G214" i="1"/>
  <c r="E214" i="1"/>
  <c r="B214" i="1"/>
  <c r="A214" i="1"/>
  <c r="H213" i="1"/>
  <c r="G213" i="1"/>
  <c r="E213" i="1"/>
  <c r="B213" i="1"/>
  <c r="A213" i="1"/>
  <c r="H212" i="1"/>
  <c r="G212" i="1"/>
  <c r="E212" i="1"/>
  <c r="B212" i="1"/>
  <c r="A212" i="1"/>
  <c r="H211" i="1"/>
  <c r="G211" i="1"/>
  <c r="E211" i="1"/>
  <c r="B211" i="1"/>
  <c r="A211" i="1"/>
  <c r="H210" i="1"/>
  <c r="G210" i="1"/>
  <c r="E210" i="1"/>
  <c r="B210" i="1"/>
  <c r="A210" i="1"/>
  <c r="H209" i="1"/>
  <c r="G209" i="1"/>
  <c r="E209" i="1"/>
  <c r="B209" i="1"/>
  <c r="A209" i="1"/>
  <c r="H208" i="1"/>
  <c r="G208" i="1"/>
  <c r="E208" i="1"/>
  <c r="B208" i="1"/>
  <c r="A208" i="1"/>
  <c r="H207" i="1"/>
  <c r="G207" i="1"/>
  <c r="E207" i="1"/>
  <c r="B207" i="1"/>
  <c r="A207" i="1"/>
  <c r="H206" i="1"/>
  <c r="G206" i="1"/>
  <c r="E206" i="1"/>
  <c r="B206" i="1"/>
  <c r="A206" i="1"/>
  <c r="H205" i="1"/>
  <c r="G205" i="1"/>
  <c r="E205" i="1"/>
  <c r="B205" i="1"/>
  <c r="A205" i="1"/>
  <c r="H204" i="1"/>
  <c r="G204" i="1"/>
  <c r="E204" i="1"/>
  <c r="B204" i="1"/>
  <c r="A204" i="1"/>
  <c r="H203" i="1"/>
  <c r="G203" i="1"/>
  <c r="E203" i="1"/>
  <c r="B203" i="1"/>
  <c r="A203" i="1"/>
  <c r="H202" i="1"/>
  <c r="G202" i="1"/>
  <c r="E202" i="1"/>
  <c r="B202" i="1"/>
  <c r="A202" i="1"/>
  <c r="H201" i="1"/>
  <c r="G201" i="1"/>
  <c r="E201" i="1"/>
  <c r="B201" i="1"/>
  <c r="A201" i="1"/>
  <c r="H200" i="1"/>
  <c r="G200" i="1"/>
  <c r="E200" i="1"/>
  <c r="B200" i="1"/>
  <c r="A200" i="1"/>
  <c r="H199" i="1"/>
  <c r="G199" i="1"/>
  <c r="E199" i="1"/>
  <c r="B199" i="1"/>
  <c r="A199" i="1"/>
  <c r="H198" i="1"/>
  <c r="G198" i="1"/>
  <c r="E198" i="1"/>
  <c r="B198" i="1"/>
  <c r="A198" i="1"/>
  <c r="H197" i="1"/>
  <c r="G197" i="1"/>
  <c r="E197" i="1"/>
  <c r="B197" i="1"/>
  <c r="A197" i="1"/>
  <c r="H196" i="1"/>
  <c r="G196" i="1"/>
  <c r="E196" i="1"/>
  <c r="B196" i="1"/>
  <c r="A196" i="1"/>
  <c r="H195" i="1"/>
  <c r="G195" i="1"/>
  <c r="E195" i="1"/>
  <c r="B195" i="1"/>
  <c r="A195" i="1"/>
  <c r="H194" i="1"/>
  <c r="G194" i="1"/>
  <c r="E194" i="1"/>
  <c r="B194" i="1"/>
  <c r="A194" i="1"/>
  <c r="H193" i="1"/>
  <c r="G193" i="1"/>
  <c r="E193" i="1"/>
  <c r="B193" i="1"/>
  <c r="A193" i="1"/>
  <c r="H192" i="1"/>
  <c r="G192" i="1"/>
  <c r="E192" i="1"/>
  <c r="B192" i="1"/>
  <c r="A192" i="1"/>
  <c r="H191" i="1"/>
  <c r="G191" i="1"/>
  <c r="E191" i="1"/>
  <c r="B191" i="1"/>
  <c r="A191" i="1"/>
  <c r="H190" i="1"/>
  <c r="G190" i="1"/>
  <c r="E190" i="1"/>
  <c r="B190" i="1"/>
  <c r="A190" i="1"/>
  <c r="H189" i="1"/>
  <c r="G189" i="1"/>
  <c r="E189" i="1"/>
  <c r="B189" i="1"/>
  <c r="A189" i="1"/>
  <c r="H188" i="1"/>
  <c r="G188" i="1"/>
  <c r="E188" i="1"/>
  <c r="B188" i="1"/>
  <c r="A188" i="1"/>
  <c r="H187" i="1"/>
  <c r="G187" i="1"/>
  <c r="E187" i="1"/>
  <c r="B187" i="1"/>
  <c r="A187" i="1"/>
  <c r="H186" i="1"/>
  <c r="G186" i="1"/>
  <c r="E186" i="1"/>
  <c r="B186" i="1"/>
  <c r="A186" i="1"/>
  <c r="H185" i="1"/>
  <c r="G185" i="1"/>
  <c r="E185" i="1"/>
  <c r="B185" i="1"/>
  <c r="A185" i="1"/>
  <c r="H184" i="1"/>
  <c r="G184" i="1"/>
  <c r="E184" i="1"/>
  <c r="B184" i="1"/>
  <c r="A184" i="1"/>
  <c r="H183" i="1"/>
  <c r="G183" i="1"/>
  <c r="E183" i="1"/>
  <c r="B183" i="1"/>
  <c r="A183" i="1"/>
  <c r="H182" i="1"/>
  <c r="G182" i="1"/>
  <c r="E182" i="1"/>
  <c r="B182" i="1"/>
  <c r="A182" i="1"/>
  <c r="H181" i="1"/>
  <c r="G181" i="1"/>
  <c r="E181" i="1"/>
  <c r="B181" i="1"/>
  <c r="A181" i="1"/>
  <c r="H180" i="1"/>
  <c r="G180" i="1"/>
  <c r="E180" i="1"/>
  <c r="B180" i="1"/>
  <c r="A180" i="1"/>
  <c r="H179" i="1"/>
  <c r="G179" i="1"/>
  <c r="E179" i="1"/>
  <c r="B179" i="1"/>
  <c r="A179" i="1"/>
  <c r="H178" i="1"/>
  <c r="G178" i="1"/>
  <c r="E178" i="1"/>
  <c r="B178" i="1"/>
  <c r="A178" i="1"/>
  <c r="H177" i="1"/>
  <c r="G177" i="1"/>
  <c r="E177" i="1"/>
  <c r="B177" i="1"/>
  <c r="A177" i="1"/>
  <c r="H176" i="1"/>
  <c r="G176" i="1"/>
  <c r="E176" i="1"/>
  <c r="B176" i="1"/>
  <c r="A176" i="1"/>
  <c r="H175" i="1"/>
  <c r="G175" i="1"/>
  <c r="E175" i="1"/>
  <c r="B175" i="1"/>
  <c r="A175" i="1"/>
  <c r="H174" i="1"/>
  <c r="G174" i="1"/>
  <c r="E174" i="1"/>
  <c r="B174" i="1"/>
  <c r="A174" i="1"/>
  <c r="H173" i="1"/>
  <c r="G173" i="1"/>
  <c r="E173" i="1"/>
  <c r="B173" i="1"/>
  <c r="A173" i="1"/>
  <c r="H172" i="1"/>
  <c r="G172" i="1"/>
  <c r="E172" i="1"/>
  <c r="B172" i="1"/>
  <c r="A172" i="1"/>
  <c r="H171" i="1"/>
  <c r="G171" i="1"/>
  <c r="E171" i="1"/>
  <c r="B171" i="1"/>
  <c r="A171" i="1"/>
  <c r="H170" i="1"/>
  <c r="G170" i="1"/>
  <c r="E170" i="1"/>
  <c r="B170" i="1"/>
  <c r="A170" i="1"/>
  <c r="H169" i="1"/>
  <c r="G169" i="1"/>
  <c r="E169" i="1"/>
  <c r="B169" i="1"/>
  <c r="A169" i="1"/>
  <c r="H168" i="1"/>
  <c r="G168" i="1"/>
  <c r="E168" i="1"/>
  <c r="B168" i="1"/>
  <c r="A168" i="1"/>
  <c r="H167" i="1"/>
  <c r="G167" i="1"/>
  <c r="E167" i="1"/>
  <c r="B167" i="1"/>
  <c r="A167" i="1"/>
  <c r="H166" i="1"/>
  <c r="G166" i="1"/>
  <c r="E166" i="1"/>
  <c r="B166" i="1"/>
  <c r="A166" i="1"/>
  <c r="H165" i="1"/>
  <c r="G165" i="1"/>
  <c r="E165" i="1"/>
  <c r="B165" i="1"/>
  <c r="A165" i="1"/>
  <c r="H164" i="1"/>
  <c r="G164" i="1"/>
  <c r="E164" i="1"/>
  <c r="B164" i="1"/>
  <c r="A164" i="1"/>
  <c r="H163" i="1"/>
  <c r="G163" i="1"/>
  <c r="E163" i="1"/>
  <c r="B163" i="1"/>
  <c r="A163" i="1"/>
  <c r="H162" i="1"/>
  <c r="G162" i="1"/>
  <c r="E162" i="1"/>
  <c r="B162" i="1"/>
  <c r="A162" i="1"/>
  <c r="H161" i="1"/>
  <c r="G161" i="1"/>
  <c r="E161" i="1"/>
  <c r="B161" i="1"/>
  <c r="A161" i="1"/>
  <c r="H160" i="1"/>
  <c r="G160" i="1"/>
  <c r="E160" i="1"/>
  <c r="B160" i="1"/>
  <c r="A160" i="1"/>
  <c r="H159" i="1"/>
  <c r="G159" i="1"/>
  <c r="E159" i="1"/>
  <c r="B159" i="1"/>
  <c r="A159" i="1"/>
  <c r="H158" i="1"/>
  <c r="G158" i="1"/>
  <c r="E158" i="1"/>
  <c r="B158" i="1"/>
  <c r="A158" i="1"/>
  <c r="H157" i="1"/>
  <c r="G157" i="1"/>
  <c r="E157" i="1"/>
  <c r="B157" i="1"/>
  <c r="A157" i="1"/>
  <c r="H156" i="1"/>
  <c r="G156" i="1"/>
  <c r="E156" i="1"/>
  <c r="B156" i="1"/>
  <c r="A156" i="1"/>
  <c r="H155" i="1"/>
  <c r="G155" i="1"/>
  <c r="E155" i="1"/>
  <c r="B155" i="1"/>
  <c r="A155" i="1"/>
  <c r="H154" i="1"/>
  <c r="G154" i="1"/>
  <c r="E154" i="1"/>
  <c r="B154" i="1"/>
  <c r="A154" i="1"/>
  <c r="H153" i="1"/>
  <c r="G153" i="1"/>
  <c r="E153" i="1"/>
  <c r="B153" i="1"/>
  <c r="A153" i="1"/>
  <c r="H152" i="1"/>
  <c r="G152" i="1"/>
  <c r="E152" i="1"/>
  <c r="B152" i="1"/>
  <c r="A152" i="1"/>
  <c r="H151" i="1"/>
  <c r="G151" i="1"/>
  <c r="E151" i="1"/>
  <c r="B151" i="1"/>
  <c r="A151" i="1"/>
  <c r="H150" i="1"/>
  <c r="G150" i="1"/>
  <c r="E150" i="1"/>
  <c r="B150" i="1"/>
  <c r="A150" i="1"/>
  <c r="H149" i="1"/>
  <c r="G149" i="1"/>
  <c r="E149" i="1"/>
  <c r="B149" i="1"/>
  <c r="A149" i="1"/>
  <c r="H148" i="1"/>
  <c r="G148" i="1"/>
  <c r="E148" i="1"/>
  <c r="B148" i="1"/>
  <c r="A148" i="1"/>
  <c r="H147" i="1"/>
  <c r="G147" i="1"/>
  <c r="E147" i="1"/>
  <c r="B147" i="1"/>
  <c r="A147" i="1"/>
  <c r="H146" i="1"/>
  <c r="G146" i="1"/>
  <c r="E146" i="1"/>
  <c r="B146" i="1"/>
  <c r="A146" i="1"/>
  <c r="H145" i="1"/>
  <c r="G145" i="1"/>
  <c r="E145" i="1"/>
  <c r="B145" i="1"/>
  <c r="A145" i="1"/>
  <c r="H144" i="1"/>
  <c r="G144" i="1"/>
  <c r="E144" i="1"/>
  <c r="B144" i="1"/>
  <c r="A144" i="1"/>
  <c r="H143" i="1"/>
  <c r="G143" i="1"/>
  <c r="E143" i="1"/>
  <c r="B143" i="1"/>
  <c r="A143" i="1"/>
  <c r="H142" i="1"/>
  <c r="G142" i="1"/>
  <c r="E142" i="1"/>
  <c r="B142" i="1"/>
  <c r="A142" i="1"/>
  <c r="H141" i="1"/>
  <c r="G141" i="1"/>
  <c r="E141" i="1"/>
  <c r="B141" i="1"/>
  <c r="A141" i="1"/>
  <c r="H140" i="1"/>
  <c r="G140" i="1"/>
  <c r="E140" i="1"/>
  <c r="B140" i="1"/>
  <c r="A140" i="1"/>
  <c r="H139" i="1"/>
  <c r="G139" i="1"/>
  <c r="E139" i="1"/>
  <c r="B139" i="1"/>
  <c r="A139" i="1"/>
  <c r="H138" i="1"/>
  <c r="G138" i="1"/>
  <c r="E138" i="1"/>
  <c r="B138" i="1"/>
  <c r="A138" i="1"/>
  <c r="H137" i="1"/>
  <c r="G137" i="1"/>
  <c r="E137" i="1"/>
  <c r="B137" i="1"/>
  <c r="A137" i="1"/>
  <c r="H136" i="1"/>
  <c r="G136" i="1"/>
  <c r="E136" i="1"/>
  <c r="B136" i="1"/>
  <c r="A136" i="1"/>
  <c r="H135" i="1"/>
  <c r="G135" i="1"/>
  <c r="E135" i="1"/>
  <c r="B135" i="1"/>
  <c r="A135" i="1"/>
  <c r="H134" i="1"/>
  <c r="G134" i="1"/>
  <c r="E134" i="1"/>
  <c r="B134" i="1"/>
  <c r="A134" i="1"/>
  <c r="H133" i="1"/>
  <c r="G133" i="1"/>
  <c r="E133" i="1"/>
  <c r="B133" i="1"/>
  <c r="A133" i="1"/>
  <c r="H132" i="1"/>
  <c r="G132" i="1"/>
  <c r="E132" i="1"/>
  <c r="B132" i="1"/>
  <c r="A132" i="1"/>
  <c r="H131" i="1"/>
  <c r="G131" i="1"/>
  <c r="E131" i="1"/>
  <c r="B131" i="1"/>
  <c r="A131" i="1"/>
  <c r="H130" i="1"/>
  <c r="G130" i="1"/>
  <c r="E130" i="1"/>
  <c r="B130" i="1"/>
  <c r="A130" i="1"/>
  <c r="H129" i="1"/>
  <c r="G129" i="1"/>
  <c r="E129" i="1"/>
  <c r="B129" i="1"/>
  <c r="A129" i="1"/>
  <c r="H128" i="1"/>
  <c r="G128" i="1"/>
  <c r="E128" i="1"/>
  <c r="B128" i="1"/>
  <c r="A128" i="1"/>
  <c r="H127" i="1"/>
  <c r="G127" i="1"/>
  <c r="E127" i="1"/>
  <c r="B127" i="1"/>
  <c r="A127" i="1"/>
  <c r="H126" i="1"/>
  <c r="G126" i="1"/>
  <c r="E126" i="1"/>
  <c r="B126" i="1"/>
  <c r="A126" i="1"/>
  <c r="H125" i="1"/>
  <c r="G125" i="1"/>
  <c r="E125" i="1"/>
  <c r="B125" i="1"/>
  <c r="A125" i="1"/>
  <c r="H124" i="1"/>
  <c r="G124" i="1"/>
  <c r="E124" i="1"/>
  <c r="B124" i="1"/>
  <c r="A124" i="1"/>
  <c r="H123" i="1"/>
  <c r="G123" i="1"/>
  <c r="E123" i="1"/>
  <c r="B123" i="1"/>
  <c r="A123" i="1"/>
  <c r="H122" i="1"/>
  <c r="G122" i="1"/>
  <c r="E122" i="1"/>
  <c r="B122" i="1"/>
  <c r="A122" i="1"/>
  <c r="H121" i="1"/>
  <c r="G121" i="1"/>
  <c r="E121" i="1"/>
  <c r="B121" i="1"/>
  <c r="A121" i="1"/>
  <c r="H120" i="1"/>
  <c r="G120" i="1"/>
  <c r="E120" i="1"/>
  <c r="B120" i="1"/>
  <c r="A120" i="1"/>
  <c r="H119" i="1"/>
  <c r="G119" i="1"/>
  <c r="E119" i="1"/>
  <c r="B119" i="1"/>
  <c r="A119" i="1"/>
  <c r="H118" i="1"/>
  <c r="G118" i="1"/>
  <c r="E118" i="1"/>
  <c r="B118" i="1"/>
  <c r="A118" i="1"/>
  <c r="H117" i="1"/>
  <c r="G117" i="1"/>
  <c r="E117" i="1"/>
  <c r="B117" i="1"/>
  <c r="A117" i="1"/>
  <c r="H116" i="1"/>
  <c r="G116" i="1"/>
  <c r="E116" i="1"/>
  <c r="B116" i="1"/>
  <c r="A116" i="1"/>
  <c r="H115" i="1"/>
  <c r="G115" i="1"/>
  <c r="E115" i="1"/>
  <c r="B115" i="1"/>
  <c r="A115" i="1"/>
  <c r="H114" i="1"/>
  <c r="G114" i="1"/>
  <c r="E114" i="1"/>
  <c r="B114" i="1"/>
  <c r="A114" i="1"/>
  <c r="H113" i="1"/>
  <c r="G113" i="1"/>
  <c r="E113" i="1"/>
  <c r="B113" i="1"/>
  <c r="A113" i="1"/>
  <c r="H112" i="1"/>
  <c r="G112" i="1"/>
  <c r="E112" i="1"/>
  <c r="B112" i="1"/>
  <c r="A112" i="1"/>
  <c r="H111" i="1"/>
  <c r="G111" i="1"/>
  <c r="E111" i="1"/>
  <c r="B111" i="1"/>
  <c r="A111" i="1"/>
  <c r="H110" i="1"/>
  <c r="G110" i="1"/>
  <c r="E110" i="1"/>
  <c r="B110" i="1"/>
  <c r="A110" i="1"/>
  <c r="H109" i="1"/>
  <c r="G109" i="1"/>
  <c r="E109" i="1"/>
  <c r="B109" i="1"/>
  <c r="A109" i="1"/>
  <c r="H108" i="1"/>
  <c r="G108" i="1"/>
  <c r="E108" i="1"/>
  <c r="B108" i="1"/>
  <c r="A108" i="1"/>
  <c r="H107" i="1"/>
  <c r="G107" i="1"/>
  <c r="E107" i="1"/>
  <c r="B107" i="1"/>
  <c r="A107" i="1"/>
  <c r="H106" i="1"/>
  <c r="G106" i="1"/>
  <c r="E106" i="1"/>
  <c r="B106" i="1"/>
  <c r="A106" i="1"/>
  <c r="H105" i="1"/>
  <c r="G105" i="1"/>
  <c r="E105" i="1"/>
  <c r="B105" i="1"/>
  <c r="A105" i="1"/>
  <c r="H104" i="1"/>
  <c r="G104" i="1"/>
  <c r="E104" i="1"/>
  <c r="B104" i="1"/>
  <c r="A104" i="1"/>
  <c r="H103" i="1"/>
  <c r="G103" i="1"/>
  <c r="E103" i="1"/>
  <c r="B103" i="1"/>
  <c r="A103" i="1"/>
  <c r="H102" i="1"/>
  <c r="G102" i="1"/>
  <c r="E102" i="1"/>
  <c r="B102" i="1"/>
  <c r="A102" i="1"/>
  <c r="H101" i="1"/>
  <c r="G101" i="1"/>
  <c r="E101" i="1"/>
  <c r="B101" i="1"/>
  <c r="A101" i="1"/>
  <c r="H100" i="1"/>
  <c r="G100" i="1"/>
  <c r="E100" i="1"/>
  <c r="B100" i="1"/>
  <c r="A100" i="1"/>
  <c r="H99" i="1"/>
  <c r="G99" i="1"/>
  <c r="E99" i="1"/>
  <c r="B99" i="1"/>
  <c r="A99" i="1"/>
  <c r="H98" i="1"/>
  <c r="G98" i="1"/>
  <c r="E98" i="1"/>
  <c r="B98" i="1"/>
  <c r="A98" i="1"/>
  <c r="H97" i="1"/>
  <c r="G97" i="1"/>
  <c r="E97" i="1"/>
  <c r="B97" i="1"/>
  <c r="A97" i="1"/>
  <c r="H96" i="1"/>
  <c r="G96" i="1"/>
  <c r="E96" i="1"/>
  <c r="B96" i="1"/>
  <c r="A96" i="1"/>
  <c r="H95" i="1"/>
  <c r="G95" i="1"/>
  <c r="E95" i="1"/>
  <c r="B95" i="1"/>
  <c r="A95" i="1"/>
  <c r="H94" i="1"/>
  <c r="G94" i="1"/>
  <c r="E94" i="1"/>
  <c r="B94" i="1"/>
  <c r="A94" i="1"/>
  <c r="H93" i="1"/>
  <c r="G93" i="1"/>
  <c r="E93" i="1"/>
  <c r="B93" i="1"/>
  <c r="A93" i="1"/>
  <c r="H92" i="1"/>
  <c r="G92" i="1"/>
  <c r="E92" i="1"/>
  <c r="B92" i="1"/>
  <c r="A92" i="1"/>
  <c r="H91" i="1"/>
  <c r="G91" i="1"/>
  <c r="E91" i="1"/>
  <c r="B91" i="1"/>
  <c r="A91" i="1"/>
  <c r="H90" i="1"/>
  <c r="G90" i="1"/>
  <c r="E90" i="1"/>
  <c r="B90" i="1"/>
  <c r="A90" i="1"/>
  <c r="H89" i="1"/>
  <c r="G89" i="1"/>
  <c r="E89" i="1"/>
  <c r="B89" i="1"/>
  <c r="A89" i="1"/>
  <c r="H88" i="1"/>
  <c r="G88" i="1"/>
  <c r="E88" i="1"/>
  <c r="B88" i="1"/>
  <c r="A88" i="1"/>
  <c r="H87" i="1"/>
  <c r="G87" i="1"/>
  <c r="E87" i="1"/>
  <c r="B87" i="1"/>
  <c r="A87" i="1"/>
  <c r="H86" i="1"/>
  <c r="G86" i="1"/>
  <c r="E86" i="1"/>
  <c r="B86" i="1"/>
  <c r="A86" i="1"/>
  <c r="H85" i="1"/>
  <c r="G85" i="1"/>
  <c r="E85" i="1"/>
  <c r="B85" i="1"/>
  <c r="A85" i="1"/>
  <c r="H84" i="1"/>
  <c r="G84" i="1"/>
  <c r="E84" i="1"/>
  <c r="B84" i="1"/>
  <c r="A84" i="1"/>
  <c r="H83" i="1"/>
  <c r="G83" i="1"/>
  <c r="E83" i="1"/>
  <c r="B83" i="1"/>
  <c r="A83" i="1"/>
  <c r="H82" i="1"/>
  <c r="G82" i="1"/>
  <c r="E82" i="1"/>
  <c r="B82" i="1"/>
  <c r="A82" i="1"/>
  <c r="H81" i="1"/>
  <c r="G81" i="1"/>
  <c r="E81" i="1"/>
  <c r="B81" i="1"/>
  <c r="A81" i="1"/>
  <c r="H80" i="1"/>
  <c r="G80" i="1"/>
  <c r="E80" i="1"/>
  <c r="B80" i="1"/>
  <c r="A80" i="1"/>
  <c r="H79" i="1"/>
  <c r="G79" i="1"/>
  <c r="E79" i="1"/>
  <c r="B79" i="1"/>
  <c r="A79" i="1"/>
  <c r="H78" i="1"/>
  <c r="G78" i="1"/>
  <c r="E78" i="1"/>
  <c r="B78" i="1"/>
  <c r="A78" i="1"/>
  <c r="H77" i="1"/>
  <c r="G77" i="1"/>
  <c r="E77" i="1"/>
  <c r="B77" i="1"/>
  <c r="A77" i="1"/>
  <c r="H76" i="1"/>
  <c r="G76" i="1"/>
  <c r="E76" i="1"/>
  <c r="B76" i="1"/>
  <c r="A76" i="1"/>
  <c r="H75" i="1"/>
  <c r="G75" i="1"/>
  <c r="E75" i="1"/>
  <c r="B75" i="1"/>
  <c r="A75" i="1"/>
  <c r="H74" i="1"/>
  <c r="G74" i="1"/>
  <c r="E74" i="1"/>
  <c r="B74" i="1"/>
  <c r="A74" i="1"/>
  <c r="H73" i="1"/>
  <c r="G73" i="1"/>
  <c r="E73" i="1"/>
  <c r="B73" i="1"/>
  <c r="A73" i="1"/>
  <c r="H72" i="1"/>
  <c r="G72" i="1"/>
  <c r="E72" i="1"/>
  <c r="B72" i="1"/>
  <c r="A72" i="1"/>
  <c r="H71" i="1"/>
  <c r="G71" i="1"/>
  <c r="E71" i="1"/>
  <c r="B71" i="1"/>
  <c r="A71" i="1"/>
  <c r="H70" i="1"/>
  <c r="G70" i="1"/>
  <c r="E70" i="1"/>
  <c r="B70" i="1"/>
  <c r="A70" i="1"/>
  <c r="H69" i="1"/>
  <c r="G69" i="1"/>
  <c r="E69" i="1"/>
  <c r="B69" i="1"/>
  <c r="A69" i="1"/>
  <c r="H68" i="1"/>
  <c r="G68" i="1"/>
  <c r="E68" i="1"/>
  <c r="B68" i="1"/>
  <c r="A68" i="1"/>
  <c r="H67" i="1"/>
  <c r="G67" i="1"/>
  <c r="E67" i="1"/>
  <c r="B67" i="1"/>
  <c r="A67" i="1"/>
  <c r="H66" i="1"/>
  <c r="G66" i="1"/>
  <c r="E66" i="1"/>
  <c r="B66" i="1"/>
  <c r="A66" i="1"/>
  <c r="H65" i="1"/>
  <c r="G65" i="1"/>
  <c r="E65" i="1"/>
  <c r="B65" i="1"/>
  <c r="A65" i="1"/>
  <c r="H64" i="1"/>
  <c r="G64" i="1"/>
  <c r="E64" i="1"/>
  <c r="B64" i="1"/>
  <c r="A64" i="1"/>
  <c r="H63" i="1"/>
  <c r="G63" i="1"/>
  <c r="E63" i="1"/>
  <c r="B63" i="1"/>
  <c r="A63" i="1"/>
  <c r="H62" i="1"/>
  <c r="G62" i="1"/>
  <c r="E62" i="1"/>
  <c r="B62" i="1"/>
  <c r="A62" i="1"/>
  <c r="H61" i="1"/>
  <c r="G61" i="1"/>
  <c r="E61" i="1"/>
  <c r="B61" i="1"/>
  <c r="A61" i="1"/>
  <c r="H60" i="1"/>
  <c r="G60" i="1"/>
  <c r="E60" i="1"/>
  <c r="B60" i="1"/>
  <c r="A60" i="1"/>
  <c r="H59" i="1"/>
  <c r="G59" i="1"/>
  <c r="E59" i="1"/>
  <c r="B59" i="1"/>
  <c r="A59" i="1"/>
  <c r="H58" i="1"/>
  <c r="G58" i="1"/>
  <c r="E58" i="1"/>
  <c r="B58" i="1"/>
  <c r="A58" i="1"/>
  <c r="H57" i="1"/>
  <c r="G57" i="1"/>
  <c r="E57" i="1"/>
  <c r="B57" i="1"/>
  <c r="A57" i="1"/>
  <c r="H56" i="1"/>
  <c r="G56" i="1"/>
  <c r="E56" i="1"/>
  <c r="B56" i="1"/>
  <c r="A56" i="1"/>
  <c r="H55" i="1"/>
  <c r="G55" i="1"/>
  <c r="E55" i="1"/>
  <c r="B55" i="1"/>
  <c r="A55" i="1"/>
  <c r="H54" i="1"/>
  <c r="G54" i="1"/>
  <c r="E54" i="1"/>
  <c r="B54" i="1"/>
  <c r="A54" i="1"/>
  <c r="H53" i="1"/>
  <c r="G53" i="1"/>
  <c r="E53" i="1"/>
  <c r="B53" i="1"/>
  <c r="A53" i="1"/>
  <c r="H52" i="1"/>
  <c r="G52" i="1"/>
  <c r="E52" i="1"/>
  <c r="B52" i="1"/>
  <c r="A52" i="1"/>
  <c r="H51" i="1"/>
  <c r="G51" i="1"/>
  <c r="E51" i="1"/>
  <c r="B51" i="1"/>
  <c r="A51" i="1"/>
  <c r="H50" i="1"/>
  <c r="G50" i="1"/>
  <c r="E50" i="1"/>
  <c r="B50" i="1"/>
  <c r="A50" i="1"/>
  <c r="H49" i="1"/>
  <c r="G49" i="1"/>
  <c r="E49" i="1"/>
  <c r="B49" i="1"/>
  <c r="A49" i="1"/>
  <c r="H48" i="1"/>
  <c r="G48" i="1"/>
  <c r="E48" i="1"/>
  <c r="B48" i="1"/>
  <c r="A48" i="1"/>
  <c r="H47" i="1"/>
  <c r="G47" i="1"/>
  <c r="E47" i="1"/>
  <c r="B47" i="1"/>
  <c r="A47" i="1"/>
  <c r="H46" i="1"/>
  <c r="G46" i="1"/>
  <c r="E46" i="1"/>
  <c r="B46" i="1"/>
  <c r="A46" i="1"/>
  <c r="H45" i="1"/>
  <c r="G45" i="1"/>
  <c r="E45" i="1"/>
  <c r="B45" i="1"/>
  <c r="A45" i="1"/>
  <c r="H44" i="1"/>
  <c r="G44" i="1"/>
  <c r="E44" i="1"/>
  <c r="B44" i="1"/>
  <c r="A44" i="1"/>
  <c r="H43" i="1"/>
  <c r="G43" i="1"/>
  <c r="E43" i="1"/>
  <c r="B43" i="1"/>
  <c r="A43" i="1"/>
  <c r="H42" i="1"/>
  <c r="G42" i="1"/>
  <c r="E42" i="1"/>
  <c r="B42" i="1"/>
  <c r="A42" i="1"/>
  <c r="H41" i="1"/>
  <c r="G41" i="1"/>
  <c r="E41" i="1"/>
  <c r="B41" i="1"/>
  <c r="A41" i="1"/>
  <c r="H40" i="1"/>
  <c r="G40" i="1"/>
  <c r="E40" i="1"/>
  <c r="B40" i="1"/>
  <c r="A40" i="1"/>
  <c r="H39" i="1"/>
  <c r="G39" i="1"/>
  <c r="E39" i="1"/>
  <c r="B39" i="1"/>
  <c r="A39" i="1"/>
  <c r="H38" i="1"/>
  <c r="G38" i="1"/>
  <c r="E38" i="1"/>
  <c r="B38" i="1"/>
  <c r="A38" i="1"/>
  <c r="H37" i="1"/>
  <c r="G37" i="1"/>
  <c r="E37" i="1"/>
  <c r="B37" i="1"/>
  <c r="A37" i="1"/>
  <c r="H36" i="1"/>
  <c r="G36" i="1"/>
  <c r="E36" i="1"/>
  <c r="B36" i="1"/>
  <c r="A36" i="1"/>
  <c r="H35" i="1"/>
  <c r="G35" i="1"/>
  <c r="E35" i="1"/>
  <c r="B35" i="1"/>
  <c r="A35" i="1"/>
  <c r="H34" i="1"/>
  <c r="G34" i="1"/>
  <c r="E34" i="1"/>
  <c r="B34" i="1"/>
  <c r="A34" i="1"/>
  <c r="H33" i="1"/>
  <c r="G33" i="1"/>
  <c r="E33" i="1"/>
  <c r="B33" i="1"/>
  <c r="A33" i="1"/>
  <c r="H32" i="1"/>
  <c r="G32" i="1"/>
  <c r="E32" i="1"/>
  <c r="B32" i="1"/>
  <c r="A32" i="1"/>
  <c r="H31" i="1"/>
  <c r="G31" i="1"/>
  <c r="E31" i="1"/>
  <c r="B31" i="1"/>
  <c r="A31" i="1"/>
  <c r="H30" i="1"/>
  <c r="G30" i="1"/>
  <c r="E30" i="1"/>
  <c r="B30" i="1"/>
  <c r="A30" i="1"/>
  <c r="H29" i="1"/>
  <c r="G29" i="1"/>
  <c r="E29" i="1"/>
  <c r="B29" i="1"/>
  <c r="A29" i="1"/>
  <c r="H28" i="1"/>
  <c r="G28" i="1"/>
  <c r="B28" i="1"/>
  <c r="A28" i="1"/>
  <c r="H27" i="1"/>
  <c r="G27" i="1"/>
  <c r="E27" i="1"/>
  <c r="B27" i="1"/>
  <c r="A27" i="1"/>
  <c r="H26" i="1"/>
  <c r="G26" i="1"/>
  <c r="E26" i="1"/>
  <c r="B26" i="1"/>
  <c r="A26" i="1"/>
  <c r="H25" i="1"/>
  <c r="G25" i="1"/>
  <c r="B25" i="1"/>
  <c r="A25" i="1"/>
  <c r="H24" i="1"/>
  <c r="G24" i="1"/>
  <c r="E24" i="1"/>
  <c r="B24" i="1"/>
  <c r="A24" i="1"/>
  <c r="H23" i="1"/>
  <c r="G23" i="1"/>
  <c r="E23" i="1"/>
  <c r="B23" i="1"/>
  <c r="A23" i="1"/>
  <c r="H22" i="1"/>
  <c r="G22" i="1"/>
  <c r="E22" i="1"/>
  <c r="B22" i="1"/>
  <c r="A22" i="1"/>
  <c r="H21" i="1"/>
  <c r="G21" i="1"/>
  <c r="E21" i="1"/>
  <c r="B21" i="1"/>
  <c r="A21" i="1"/>
  <c r="H20" i="1"/>
  <c r="G20" i="1"/>
  <c r="E20" i="1"/>
  <c r="B20" i="1"/>
  <c r="A20" i="1"/>
  <c r="H19" i="1"/>
  <c r="G19" i="1"/>
  <c r="E19" i="1"/>
  <c r="B19" i="1"/>
  <c r="A19" i="1"/>
  <c r="H18" i="1"/>
  <c r="G18" i="1"/>
  <c r="E18" i="1"/>
  <c r="B18" i="1"/>
  <c r="A18" i="1"/>
  <c r="H17" i="1"/>
  <c r="G17" i="1"/>
  <c r="E17" i="1"/>
  <c r="B17" i="1"/>
  <c r="A17" i="1"/>
  <c r="H16" i="1"/>
  <c r="G16" i="1"/>
  <c r="E16" i="1"/>
  <c r="B16" i="1"/>
  <c r="A16" i="1"/>
  <c r="H15" i="1"/>
  <c r="G15" i="1"/>
  <c r="E15" i="1"/>
  <c r="B15" i="1"/>
  <c r="A15" i="1"/>
  <c r="H14" i="1"/>
  <c r="G14" i="1"/>
  <c r="E14" i="1"/>
  <c r="B14" i="1"/>
  <c r="A14" i="1"/>
  <c r="H13" i="1"/>
  <c r="G13" i="1"/>
  <c r="E13" i="1"/>
  <c r="B13" i="1"/>
  <c r="A13" i="1"/>
  <c r="H12" i="1"/>
  <c r="G12" i="1"/>
  <c r="E12" i="1"/>
  <c r="B12" i="1"/>
  <c r="A12" i="1"/>
  <c r="H11" i="1"/>
  <c r="G11" i="1"/>
  <c r="E11" i="1"/>
  <c r="B11" i="1"/>
  <c r="A11" i="1"/>
  <c r="H10" i="1"/>
  <c r="G10" i="1"/>
  <c r="E10" i="1"/>
  <c r="B10" i="1"/>
  <c r="A10" i="1"/>
  <c r="H9" i="1"/>
  <c r="G9" i="1"/>
  <c r="E9" i="1"/>
  <c r="B9" i="1"/>
  <c r="A9" i="1"/>
  <c r="H8" i="1"/>
  <c r="G8" i="1"/>
  <c r="E8" i="1"/>
  <c r="B8" i="1"/>
  <c r="A8" i="1"/>
  <c r="H7" i="1"/>
  <c r="G7" i="1"/>
  <c r="E7" i="1"/>
  <c r="B7" i="1"/>
  <c r="A7" i="1"/>
  <c r="H6" i="1"/>
  <c r="G6" i="1"/>
  <c r="E6" i="1"/>
  <c r="B6" i="1"/>
  <c r="A6" i="1"/>
  <c r="H5" i="1"/>
  <c r="G5" i="1"/>
  <c r="E5" i="1"/>
  <c r="B5" i="1"/>
  <c r="A5" i="1"/>
  <c r="H4" i="1"/>
  <c r="G4" i="1"/>
  <c r="E4" i="1"/>
  <c r="B4" i="1"/>
  <c r="A4" i="1"/>
  <c r="H3" i="1"/>
  <c r="G3" i="1"/>
  <c r="E3" i="1"/>
  <c r="B3" i="1"/>
  <c r="A3" i="1"/>
  <c r="H2" i="1"/>
  <c r="G2" i="1"/>
  <c r="E2" i="1"/>
  <c r="B2" i="1"/>
  <c r="A2" i="1"/>
</calcChain>
</file>

<file path=xl/sharedStrings.xml><?xml version="1.0" encoding="utf-8"?>
<sst xmlns="http://schemas.openxmlformats.org/spreadsheetml/2006/main" count="50050" uniqueCount="9239">
  <si>
    <t>url</t>
  </si>
  <si>
    <t>canonicalUrl</t>
  </si>
  <si>
    <t>name</t>
  </si>
  <si>
    <t>Amazon Product Title</t>
  </si>
  <si>
    <t>Amazon Product URL</t>
  </si>
  <si>
    <t>ASIN</t>
  </si>
  <si>
    <t>Source Image</t>
  </si>
  <si>
    <t>Amazon Image</t>
  </si>
  <si>
    <t>offers/0/price</t>
  </si>
  <si>
    <t>Amazon Price</t>
  </si>
  <si>
    <t>ROI</t>
  </si>
  <si>
    <t>Rating</t>
  </si>
  <si>
    <t>ReviewCount</t>
  </si>
  <si>
    <t>offerCount</t>
  </si>
  <si>
    <t>offers/0/availability</t>
  </si>
  <si>
    <t>offers/0/regularPrice</t>
  </si>
  <si>
    <t>sku</t>
  </si>
  <si>
    <t>Match?</t>
  </si>
  <si>
    <t>Qualified?</t>
  </si>
  <si>
    <t>Approved</t>
  </si>
  <si>
    <t>Notes</t>
  </si>
  <si>
    <t>Grace USA Roll Pin Punch Set 7-Piece Steel</t>
  </si>
  <si>
    <t>Grace USA 27pc Gunsmith Steel &amp; Brass Roll Pin Spring Punch Set with Bench Block - GRSBRP27SBB, Multi</t>
  </si>
  <si>
    <t>B06ZYK5KXD</t>
  </si>
  <si>
    <t>3.0</t>
  </si>
  <si>
    <t>InStock</t>
  </si>
  <si>
    <t>29.99</t>
  </si>
  <si>
    <t>363683</t>
  </si>
  <si>
    <t>Grace USA GRRS12 Professional Steel Roll Pin Punch Set with Vinyl Pouch, Gunsmith Tools &amp; Accessories, 12 Piece, Black</t>
  </si>
  <si>
    <t>B06ZXZ81RF</t>
  </si>
  <si>
    <t>Grace USA BRP-8 - Gun Care Brass Roll Pin Punch Set - BRP8 - Gunsmithing - Brass Roll Pin Punches - 8 piece - Gunsmith Tools &amp; Accessories, Gold</t>
  </si>
  <si>
    <t>B00CAM4YTO</t>
  </si>
  <si>
    <t>Grace USA Gun Care Steel Punch Set, Gunsmith Tools &amp; Accessories, 7 Piece Set, Made in USA</t>
  </si>
  <si>
    <t>B007WADLBQ</t>
  </si>
  <si>
    <t>Grace USA - Steel Roll Spring Punch Set - SRS7 - Gunsmithing - Steel Punches - 7 piece - Gunsmith Tools &amp; Accessories, Black, Short Steel Roll Set</t>
  </si>
  <si>
    <t>B00H407C1O</t>
  </si>
  <si>
    <t>Grace USA Starter Short Pin Punch Set, Gunsmith, Hunting, Machinists, DIY Tools, Hardened Steel, Pin Punch Set, Punch Set, 5 Piece Set</t>
  </si>
  <si>
    <t>B06XNNX4SH</t>
  </si>
  <si>
    <t>Zeiss Terra ED Binocular 8x 25mm Refurb</t>
  </si>
  <si>
    <t>ZEISS Terra ED Binoculars 8x42 Waterproof, and Fast Focusing with Coated Glass for Optimal Clarity in All Weather Conditions for Bird Watching, Hunting, Sightseeing, Grey</t>
  </si>
  <si>
    <t>B01N7UD2U0</t>
  </si>
  <si>
    <t>60.0</t>
  </si>
  <si>
    <t>399.99</t>
  </si>
  <si>
    <t>718695</t>
  </si>
  <si>
    <t>Zeiss 8x25 Terra ED Compact Pocket Binoculars with Zeiss Lens Cleaning Kit Bundle</t>
  </si>
  <si>
    <t>B07PYNSSJD</t>
  </si>
  <si>
    <t>Zeiss Terra ED Binocular 8x 25mm Demo</t>
  </si>
  <si>
    <t>886482</t>
  </si>
  <si>
    <t>ZEISS Terra ED 8x42 Black-Orange Binoculars (524203-9905-000)</t>
  </si>
  <si>
    <t>B09KS3LWT3</t>
  </si>
  <si>
    <t>ZEISS Terra ED Binoculars 8x42 Waterproof, and Fast Focusing with Coated Glass for Optimal Clarity in all Weather Conditions for Bird Watching, Hunting, Sightseeing, Green</t>
  </si>
  <si>
    <t>B06XB45N9K</t>
  </si>
  <si>
    <t>ZEISS Terra ED Binoculars 8x32 Waterproof, and Fast Focusing with Coated Glass for Optimal Clarity in All Weather Conditions for Bird Watching, Hunting, Sightseeing, Green</t>
  </si>
  <si>
    <t>B083JD12Z8</t>
  </si>
  <si>
    <t>SOG MacV Multi-Tool Black Steel</t>
  </si>
  <si>
    <t>SOG PowerLock Oxide Stainless Steel Folding Knife 18 Multi Tool Pliers with Screwdrivers, Crimper, Can Opener, Gripper, and Cutter, Black</t>
  </si>
  <si>
    <t>B01DT4WW7C</t>
  </si>
  <si>
    <t>11.86</t>
  </si>
  <si>
    <t>18.95</t>
  </si>
  <si>
    <t>183372</t>
  </si>
  <si>
    <t>SOG PowerLock Multi-Tool- Compound Leverage Technology with EOD Crimper Device, 420 Stainless Steel Body, 18 Lightweight Specialty Tools (B61N-CP) , Black</t>
  </si>
  <si>
    <t>B000JD08ZU</t>
  </si>
  <si>
    <t>SOG PowerAccess Multi-Tool EDC Utility Tool, One-Handed Open, 18 Lightweight Speciality Tools, Stainless 5CR15MOV Steel Construction-Black (PA1002-CP)</t>
  </si>
  <si>
    <t>B08RQVMF92</t>
  </si>
  <si>
    <t>SOG Altair XR Folding Knife</t>
  </si>
  <si>
    <t>SOG High-Performance Duty S35VN Steel Ambidextrous Carry EDC 3.9" Sharp Blade Seal XR - USA Made Folding Knife, black</t>
  </si>
  <si>
    <t>B08KH6V61B</t>
  </si>
  <si>
    <t>37.49</t>
  </si>
  <si>
    <t>138.95</t>
  </si>
  <si>
    <t>991337</t>
  </si>
  <si>
    <t>Walker's Xcel 500 Bluetooth Electronic Earmuffs (NRR 26dB)</t>
  </si>
  <si>
    <t>Walker's XCEL 500BT Electronic Active Shooting Hearing Protection &amp; Enhancement Earmuffs w/ 4 Listening Modes &amp; Bluetooth Connectivity, Gray (2 Pack)</t>
  </si>
  <si>
    <t>B07JJCD7TM</t>
  </si>
  <si>
    <t>45.0</t>
  </si>
  <si>
    <t>119.99</t>
  </si>
  <si>
    <t>864198</t>
  </si>
  <si>
    <t>SOG Terminus XR Folding Knife D2 Steel</t>
  </si>
  <si>
    <t>SOG Aegis at Tanto Outdoor Pocket Folding Opening Knife, Ambidextrous at-XR Lock with Ergonomic Handle, Heat-Treated D2 Steel Blade, Built-in Blade Locking Safety and Spine-Mounted Safety System</t>
  </si>
  <si>
    <t>B09P8WXR9V</t>
  </si>
  <si>
    <t>17.99</t>
  </si>
  <si>
    <t>66.95</t>
  </si>
  <si>
    <t>890690</t>
  </si>
  <si>
    <t>SOG Terminus XR G10 Folding Pocket Knife- Ambidextrous EDC Knife with Adjustable Belt Clip, G10 Handle, and Stonewashed Hardware- Crimson (TM1023-CP)</t>
  </si>
  <si>
    <t>B08RQJL1TB</t>
  </si>
  <si>
    <t>SOG Hunting High Carbon Steel Ambidextrous Carry EDC 2.95' Sharp Blade Terminus XR OD Green Folding Knife</t>
  </si>
  <si>
    <t>B0817DMXLG</t>
  </si>
  <si>
    <t>SOG Urban Next Generation Gentleman's Stainless Steel Ambidextrous Carry EDC 2.8" Sharp Blade Ultra XR Carbon &amp; Gold Folding Knife</t>
  </si>
  <si>
    <t>B08CWZW63X</t>
  </si>
  <si>
    <t>SOG Powerpint Multi-Tool</t>
  </si>
  <si>
    <t>SOG Powerlock V-Cutter- Multi-Tool Pocket Utility Tool Set with 18 Specialty Tools for Heavy-Duty Field Use and Nylon Carrying Pouch (B63N-CP)</t>
  </si>
  <si>
    <t>B000PIF9PI</t>
  </si>
  <si>
    <t>34.96</t>
  </si>
  <si>
    <t>55.95</t>
  </si>
  <si>
    <t>340967</t>
  </si>
  <si>
    <t>SOG PA2002-CP PowerAccess Deluxe Multi-Tool, Black</t>
  </si>
  <si>
    <t>B08RQZ6996</t>
  </si>
  <si>
    <t>SOG PowerLite Mini Multi-Tool- Utility Tool w/ 19 Specialty Tools, Compact 5 Inch Long Utility Tool w/ Knife, Screwdriver, Hex Bit Holder (PL1001-CP), Multi-color</t>
  </si>
  <si>
    <t>B077LYZ951</t>
  </si>
  <si>
    <t>SOG PowerAccess Deluxe Multi-Tool- EDC Utility Tool, 21 Lightweight Specialty Tools, Stainless 5CR15MOV Steel Construction w/ Nylon Sheath (PA2001-CP)</t>
  </si>
  <si>
    <t>B077M3GMJT</t>
  </si>
  <si>
    <t>SOG PowerAccess Multi-Tool Pliers with 2.4 inch Folding Knife - Lightweight EDC Utility Tool w/ 18 Multi-Purpose Tools, One-Handed Open (PA1001-CP)</t>
  </si>
  <si>
    <t>B01LXP7BA6</t>
  </si>
  <si>
    <t>SOG PowerPint Mini Multi-Tool-Utility Tool with Compound Leverage Smooth Open, 18 Lightweight Specialty Tools, Stainless Steel Blade-Black (PP1002-CP)</t>
  </si>
  <si>
    <t>B08RQJWKP5</t>
  </si>
  <si>
    <t>SOG Multitool Pliers Pocket Knife – PowerPint EDC Tool and Compact Lightweight Multi Tool w/ 18 Multitools in Multi-Purpose Tool (PP1001-CP)</t>
  </si>
  <si>
    <t>B077LYXB6B</t>
  </si>
  <si>
    <t>SOG Cash Card Folding Knife</t>
  </si>
  <si>
    <t>SOG Cash Card Money Clip Pocket Knife- 2.75 Inch Blade EDC Knife with Clip for Pocket, Money or Card Holder, Stainless Steel Handle with Built-In Lanyard Hole (EZ1-CP), Onesize, Satin Polished</t>
  </si>
  <si>
    <t>B015QYHML4</t>
  </si>
  <si>
    <t>24.46</t>
  </si>
  <si>
    <t>38.95</t>
  </si>
  <si>
    <t>725423</t>
  </si>
  <si>
    <t>Browning Endeavor -20 Degree Sleeping Bag</t>
  </si>
  <si>
    <t>Browning Rambler -20 Degree Sleeping Bag</t>
  </si>
  <si>
    <t>B09RC3XH41</t>
  </si>
  <si>
    <t>160.0</t>
  </si>
  <si>
    <t>219.99</t>
  </si>
  <si>
    <t>889627</t>
  </si>
  <si>
    <t>SOG Entrenching Tool High Carbon Steel Black</t>
  </si>
  <si>
    <t>ZENHOSIT Folding Survival Shovel, Portable Camping Shovel with Axe, High Carbon Steel Entrenching Tool Tri-fold Handle Shovel with Tactical Shovel Carry Case for Camping, Hiking, Digging</t>
  </si>
  <si>
    <t>B09NQGLVBZ</t>
  </si>
  <si>
    <t>29.95</t>
  </si>
  <si>
    <t>32.95</t>
  </si>
  <si>
    <t>186697</t>
  </si>
  <si>
    <t>Gold Armour Military Folding Camping Shovel, High Carbon Steel Survival Shovel Entrenching Tool Handle with Carrying Pouch</t>
  </si>
  <si>
    <t>B08XBB755D</t>
  </si>
  <si>
    <t>REDCAMP Military Folding Camping Shovel，High Carbon Steel Entrenching Tool Tri-fold Handle Shovel with Cover</t>
  </si>
  <si>
    <t>B0814VBNGK</t>
  </si>
  <si>
    <t>MTB Military Folding Shovel Camping Shovel,High Carbon Steel Entrenching Tool w/Wood Saw Edge and Tactical Carry Case, 22.8 Inch, Black</t>
  </si>
  <si>
    <t>B08K77WV99</t>
  </si>
  <si>
    <t>DARTMOOR Mini Folding Shovel High Carbon Steel, Portable Lightweight Outdoor Tactical Survival Foldable Mini Shovel, Entrenching Tool, Camping, Hiking, Digging, Backpacking, Car Emergency</t>
  </si>
  <si>
    <t>B075WV7FBK</t>
  </si>
  <si>
    <t>Yeacool Folding Shovel, 18.1'' Camping Shovel w/Pick, Entrenching Tool Military, Survival Foldable Spade, High Carbon Steel, with Carry Bag, for Digging, Metal Detecting, Backpacking and Car Emergency</t>
  </si>
  <si>
    <t>B08BN8LJ1W</t>
  </si>
  <si>
    <t>Malco Tools MSHC 2-Inch C-Rhex Cleanable, Reversible Magnetic Hex Driver, 1/4" &amp; 5/16"</t>
  </si>
  <si>
    <t>Malco MALCOMBO1 2 in. C-Rhex Cleanable, Reversible Magnetic Hex Driver, 4 Piece Set &amp; Klein Tools 32767 Impact Driver, 3-in-1 Impact Flip Socket and Bit Holder, 1/4-Inch and 5/16-Inch Hex Drivers</t>
  </si>
  <si>
    <t>B0BGJ5RWTL</t>
  </si>
  <si>
    <t>5.89</t>
  </si>
  <si>
    <t>undefined</t>
  </si>
  <si>
    <t>4102600753252</t>
  </si>
  <si>
    <t>Klein Tools 65200 Slim-Profile Mini Ratchet Set, 5-Piece</t>
  </si>
  <si>
    <t>KNIPEX Tools - 2 Piece Mini Pliers Wrench Set (9K0080121US) &amp; Klein Tools 65200 Ratchet Set, 5-Piece Mini Ratchet Set with Phillips, Slotted, and Adapter for Other Socket Sizes, For Tight Spaces</t>
  </si>
  <si>
    <t>B0C9ZYJDDN</t>
  </si>
  <si>
    <t>15.97</t>
  </si>
  <si>
    <t>20.96</t>
  </si>
  <si>
    <t>5694440964264</t>
  </si>
  <si>
    <t>Hilmor 1839046 Service Wrench Hex Key Adapter</t>
  </si>
  <si>
    <t>Replacement for Yellow Jacket 60609 - Service Wrench Hex Key Adapter - 3/16" , 5/16"</t>
  </si>
  <si>
    <t>B010GBZZPW</t>
  </si>
  <si>
    <t>3.22</t>
  </si>
  <si>
    <t>4630002172004</t>
  </si>
  <si>
    <t>Uniweld DHW316 Dual 3/16" &amp; 5/16" Hex Key Adapter for Service Ratcheting Wrench</t>
  </si>
  <si>
    <t>B00ECC6DR6</t>
  </si>
  <si>
    <t>Malco MSH2XLC2 C-RHEX® Building Construction Series Cleanable, Reversible Magnetic Hex Driver (1/4" &amp; 5/16")</t>
  </si>
  <si>
    <t>B0BX79N2BV</t>
  </si>
  <si>
    <t>Service Hex Key Adapter for Straight Service Ratcheting Wrench 2 Pack</t>
  </si>
  <si>
    <t>B09V7TNW1R</t>
  </si>
  <si>
    <t>Midwest MWT-6510RO Right-Cutting Offset Aviation Snip - Blackout Series</t>
  </si>
  <si>
    <t>MIDWEST Aviation Snip - Left and Right Cut Offset Stainless Steel Cutting Shears with Forged Blade &amp; KUSH'N-POWER Comfort Grips - MWT-SS6510C</t>
  </si>
  <si>
    <t>B07RC7ZBK9</t>
  </si>
  <si>
    <t>30.31</t>
  </si>
  <si>
    <t>41.24</t>
  </si>
  <si>
    <t>4470025027684</t>
  </si>
  <si>
    <t>Klein Tools 32717 Precision Screwdriver Set with Case &amp; 65200 Ratchet Set, 5-Piece Mini Ratchet Set with Phillips, Slotted, and Adapter for Other Socket Sizes, For Tight Spaces</t>
  </si>
  <si>
    <t>B0BK4M6YR9</t>
  </si>
  <si>
    <t>ANCIRS 2 Pack 3/16 to 5/16 Service Wrench Hex Key Adapter, Ratchet Wrench Hexagon Bit Adapter Kit, HVAC Valve Opener for Air Conditioning Refrigeration Equipment Repair</t>
  </si>
  <si>
    <t>B096K2D4JD</t>
  </si>
  <si>
    <t>2 Pieces HVAC Service Wrench Set 3/16 to 5/16 Hex Key Tools Hex Key Adapter for Straight Metric for Fixing Air Conditioning Refrigeration Device</t>
  </si>
  <si>
    <t>B098B2QD5X</t>
  </si>
  <si>
    <t>Midwest MWT-SS6510L Special Hardness Offset Aviation Snip - Left-Cutting</t>
  </si>
  <si>
    <t>32.15</t>
  </si>
  <si>
    <t>OutOfStock</t>
  </si>
  <si>
    <t>47.17</t>
  </si>
  <si>
    <t>4421073272932</t>
  </si>
  <si>
    <t>Hilmor Service Hex Key Adapter for Straight Service Ratcheting Wrench, 1839046</t>
  </si>
  <si>
    <t>B00X9BP99O</t>
  </si>
  <si>
    <t>2Pcs Hex Key Adapter for HVAC Service Ratcheting Wrench, 1/4-Inch Square to 3/16 and 5/16-Inch Hex, For HVAC Compressor Service Valve, Rotalock Valves Open or Close</t>
  </si>
  <si>
    <t>B09F39WSSM</t>
  </si>
  <si>
    <t>Malco MSHMLC2 C-RHEX® Building Construction Series Cleanable, Reversible Magnetic Hex Driver (1/4" &amp; 5/16")</t>
  </si>
  <si>
    <t>B0BX77PFCY</t>
  </si>
  <si>
    <t>Klein Tools 65200 Ratchet Set, 5-Piece Mini Ratchet Set &amp; 7-in-1 Impact Flip Socket Set, 6 Hex Driver Sizes plus a 1/4-Inch Bit Holder 32907</t>
  </si>
  <si>
    <t>B0BNL31N8K</t>
  </si>
  <si>
    <t>Midwest MWT-6510LO Left-Cutting Offset Aviation Snip - Blackout Series</t>
  </si>
  <si>
    <t>39.85</t>
  </si>
  <si>
    <t>4508644606052</t>
  </si>
  <si>
    <t>Chumia 2 Pieces HVAC service wrench 3/16 to 5/16 Repair Hex Key Adapter HVAC service tools air conditioning wrench HVAC service tools for HVAC Valve Opener Air Conditioning Equipment Repair</t>
  </si>
  <si>
    <t>B09F2QDV9L</t>
  </si>
  <si>
    <t>Wisepick 2X Hex Key Adapter for Ratchet Wrench Service Wrench 3/16” 5/16” Hex Valve</t>
  </si>
  <si>
    <t>B08L4GNB3D</t>
  </si>
  <si>
    <t>Klein Tools 65200 Ratchet Set, 5-Piece Mini Ratchet Set &amp; 32308 Multi-bit Stubby Screwdriver, Impact Rated 8-in-1 Adjustable Magnetic Tool with Phillips, Slotted, Square and Nut Driver</t>
  </si>
  <si>
    <t>B0BCT97D2B</t>
  </si>
  <si>
    <t>Midwest Tools and Cutlery MWT-SS6510R Snips Forged Blade Special Hardness Offset Right Aviation Snip, Cuts Stainless Steel</t>
  </si>
  <si>
    <t>B01J7IOB64</t>
  </si>
  <si>
    <t>MIDWEST Blackout Series Aviation Snip - Left Cut Offset Tin Cutting Shears with Forged Blade &amp; KUSH'N-POWER Comfort Grips - MWT-6510LO</t>
  </si>
  <si>
    <t>B00TJQL91U</t>
  </si>
  <si>
    <t>Klein Tools 94155 American Legacy Lineman Pliers and Klein-Kurve® Wire Stripper / Cutter</t>
  </si>
  <si>
    <t>Klein Tools 80043 Heavy Duty Tool Set, Includes Lineman's Side-Cutting Pliers, Diagonal Cutters and Wire Stripper, 3-Piece</t>
  </si>
  <si>
    <t>B0977RM5G5</t>
  </si>
  <si>
    <t>39.99</t>
  </si>
  <si>
    <t>59.98</t>
  </si>
  <si>
    <t>7926859104472</t>
  </si>
  <si>
    <t>Klein Tools 80121 Stripper Plier Kit with Wire Strippers, Lineman Pliers and Diagonal Cutters, 3-Piece</t>
  </si>
  <si>
    <t>B0BMN726NC</t>
  </si>
  <si>
    <t>Klein Tools 94156 American Legacy Diagonal Plier and Klein-Kurve® Wire Stripper / Cutter</t>
  </si>
  <si>
    <t>7926866346200</t>
  </si>
  <si>
    <t>Klein Tools 65200 Ratchet Set, 5-Piece Mini Ratchet Set with Phillips, Slotted &amp; MAG2 Demagnetizer/Magnetizer for Screwdriver Bits and Tips, Makes Tools Magnetic with Powerful Rare-Earth Magnet</t>
  </si>
  <si>
    <t>B09Z917XB6</t>
  </si>
  <si>
    <t>JB Industries SHLD-MULTI The Shield™ Universal Locking Cap Multi-Tool</t>
  </si>
  <si>
    <t>JB Industries SHLD-Multi Shield Locking Caps Replacement Multi-Key Tool</t>
  </si>
  <si>
    <t>B07GRNN1DK</t>
  </si>
  <si>
    <t>30.87</t>
  </si>
  <si>
    <t>48.71</t>
  </si>
  <si>
    <t>4520783020132</t>
  </si>
  <si>
    <t>Malco MSHC2 C-RHEX® Building Construction Series Cleanable, Reversible Magnetic Hex Driver (1/4" &amp; 5/16")</t>
  </si>
  <si>
    <t>B0BX779Y8S</t>
  </si>
  <si>
    <t>MIDWEST Aviation Snip - Right Cut Offset Stainless Steel Cutting Shears with Forged Blade &amp; KUSH'N-POWER Comfort Grips - MWT-SS6510R</t>
  </si>
  <si>
    <t>B00OMSVOZ6</t>
  </si>
  <si>
    <t>MIDWEST Tool and Cutlery Aviation Snip - Left Cut Offset Tin Cutting Shears with Forged Blade &amp; KUSH'N-POWER Comfort Grips - MWT-6510L</t>
  </si>
  <si>
    <t>B00OCGQFP2</t>
  </si>
  <si>
    <t>JB Industries SHLD-Multi Shield Locking Caps Multi-Key Tool</t>
  </si>
  <si>
    <t>B015UA7GUQ</t>
  </si>
  <si>
    <t>Klein Tools 65200 Ratchet Set, 5-Piece Mini Ratchet Set with Phillips, Slotted, and Adapter for Other Socket Sizes, For Tight Spaces</t>
  </si>
  <si>
    <t>B08D6YDQNH</t>
  </si>
  <si>
    <t>Malco Tools LP7WC Eagle Grip 7″ Curved Jaw Locking Pliers W/Wire Cutters</t>
  </si>
  <si>
    <t>Malco Eagle Grip LP7WC 7 in. Curved Jaw Locking Pliers with Wire Cutter</t>
  </si>
  <si>
    <t>B0924QSHLF</t>
  </si>
  <si>
    <t>48.99</t>
  </si>
  <si>
    <t>52.26</t>
  </si>
  <si>
    <t>7742414455000</t>
  </si>
  <si>
    <t>MIDWEST Blackout Series Aviation Snip - Right Cut Regular Tin Cutting Shears with Forged Blade &amp; KUSH'N-POWER Comfort Grips - MWT-6716RO</t>
  </si>
  <si>
    <t>B00TJQL8FW</t>
  </si>
  <si>
    <t>CLC 1100 3 Multi-Purpose, Clip-on, Zippered Bags</t>
  </si>
  <si>
    <t>CLC Custom Leathercraft L255 Tech Gear 53 Pocket Lighted Back Pack, Black &amp; CLC 1100 Multi-Purpose Clip-on Zippered Poly Bags, 3 Pack</t>
  </si>
  <si>
    <t>B0B3DXHXHS</t>
  </si>
  <si>
    <t>11.75</t>
  </si>
  <si>
    <t>17.95</t>
  </si>
  <si>
    <t>5268012171432</t>
  </si>
  <si>
    <t>CLC Work Gear PB1133 38 Pocket Molded Base Tool Backpack &amp; 1100 Multi-Purpose Clip-on Zippered Poly Bags, 3 Pack</t>
  </si>
  <si>
    <t>B09Z92LJFF</t>
  </si>
  <si>
    <t>CLC WORK GEAR 1579 20 Inch, Open Top, Soft Sided Tool Box, 27 Pockets &amp; CLC Custom Leathercraft 1100 Multi-Purpose Clip-on Zippered Poly Bags, 3 Pack</t>
  </si>
  <si>
    <t>B09Z931QC2</t>
  </si>
  <si>
    <t>CLC Custom LeatherCraft 1539 Multi-Compartment 50 Pocket Tool Bag &amp; CLC Custom Leathercraft 1100 Multi-Purpose Clip-on Zippered Poly Bags, 3 Pack</t>
  </si>
  <si>
    <t>B093Q4S183</t>
  </si>
  <si>
    <t>Klein Tools 5141 Zipper Bags, Canvas Tool Pouches Brown/Black/Gray/Red, 4-Pack</t>
  </si>
  <si>
    <t>Klein Tools 55473RTB Rolling Tool Bag &amp; 5141 Canvas Zipper Bag, Tool Pouch, Tool Bag, Utility Bag, Bank Deposit Bag, 12.5 x 7-Inch, Brown/Black/Gray/Red 4-Pack</t>
  </si>
  <si>
    <t>B0BC868BJY</t>
  </si>
  <si>
    <t>39.97</t>
  </si>
  <si>
    <t>60.56</t>
  </si>
  <si>
    <t>5397460156584</t>
  </si>
  <si>
    <t>Klein Tools 58889 Padded Adjustable Shoulder Strap</t>
  </si>
  <si>
    <t>Klein Tools 55431 Tool Bag with Molded Bottom, Padded Shoulder Strap and Lighted Tool Storage with 31 Pockets</t>
  </si>
  <si>
    <t>B00MJNWO82</t>
  </si>
  <si>
    <t>15.99</t>
  </si>
  <si>
    <t>24.22</t>
  </si>
  <si>
    <t>7849990357208</t>
  </si>
  <si>
    <t>Klein Tools 55485 Tool Bag Backpack, Durable Electrician Backpack with 48 Pockets for Hand Tools &amp; 5141 Canvas Zipper Bag, Tool Pouch, Tool Bag, Utility Bag, 12.5 x 7-Inch, Brown/Black/Gray/Red 4-Pack</t>
  </si>
  <si>
    <t>B0BVGCG8DM</t>
  </si>
  <si>
    <t>Rack-A-Tiers 65300 Ladder Mate</t>
  </si>
  <si>
    <t>Rack-A-Tiers Ladder Mate - Light and Robust Ladder Tray (65300) pack of 4</t>
  </si>
  <si>
    <t>B09XLRBG8D</t>
  </si>
  <si>
    <t>33.49</t>
  </si>
  <si>
    <t>35.99</t>
  </si>
  <si>
    <t>6825688400045</t>
  </si>
  <si>
    <t>CLC Custom LeatherCraft 1529 16 In. Center Tray Tool Bag, 16 Pocket &amp; CLC 1100 Multi-Purpose Clip-on Zippered Poly Bags, 3 Pack</t>
  </si>
  <si>
    <t>B0B3DYQ35F</t>
  </si>
  <si>
    <t>Fluke C60 Soft Carrying Case</t>
  </si>
  <si>
    <t>Fluke C195 Polyester Soft Carrying Case</t>
  </si>
  <si>
    <t>B00011Q5S4</t>
  </si>
  <si>
    <t>49.49</t>
  </si>
  <si>
    <t>54.99</t>
  </si>
  <si>
    <t>6544664723629</t>
  </si>
  <si>
    <t>CLC Custom Leathercraft 1165 Large BigMouth Bag, 22 Pocket &amp; CLC 1100 Multi-Purpose Clip-on Zippered Poly Bags, 3 Pack</t>
  </si>
  <si>
    <t>B0BFXQMPC7</t>
  </si>
  <si>
    <t>Klein Tools 55559 Stand-up Zipper Bags, 7-Inch and 14-Inch, 2-Pack</t>
  </si>
  <si>
    <t>Klein Tools 5141 Canvas Zipper Bag, 12.5 x 7-Inch, Brown/Black/Gray/Red 4-Pack &amp; 55559 Stand-Up Zipper Bag Tool Pouch with Carabiners, 7-Inch Blue and 14-Inch Gray Utility Bags, 2-Pack</t>
  </si>
  <si>
    <t>B0BKQ9CM13</t>
  </si>
  <si>
    <t>14.99</t>
  </si>
  <si>
    <t>20.98</t>
  </si>
  <si>
    <t>7867902591192</t>
  </si>
  <si>
    <t>Milwaukee 48-22-8426 PACKOUT™ Rolling Tool Box</t>
  </si>
  <si>
    <t>Rolling Tool Box - 48-22-8426,Large Tool Box - 48-22-8425,Standard Tool Box - 48-22-8424 For Milwaukee Packout Heavy Duty Polymer Tool Box Combo Kit</t>
  </si>
  <si>
    <t>B0BXWMBNC3</t>
  </si>
  <si>
    <t>139.0</t>
  </si>
  <si>
    <t>222.0</t>
  </si>
  <si>
    <t>7926919332056</t>
  </si>
  <si>
    <t>Klein Tools 5539YEL Zipper Bag, Canvas Tool Pouch, 10-Inch, Yellow</t>
  </si>
  <si>
    <t>Klein Tools 5140 Canvas Zipper Bag, Tool Pouch, Tool Bag, Utility Bag, Bank Deposit Bag, 12.5 x 7-Inch, Olive/Orange/Blue/Yellow 4-Pack</t>
  </si>
  <si>
    <t>B000MKDUKU</t>
  </si>
  <si>
    <t>13.99</t>
  </si>
  <si>
    <t>21.18</t>
  </si>
  <si>
    <t>5362277449896</t>
  </si>
  <si>
    <t>Klein Tools 5539BLU Zipper Bag, Canvas Consumables Tool Pouch, Blue</t>
  </si>
  <si>
    <t>5361914609832</t>
  </si>
  <si>
    <t>Klein Tools 5539RED Zipper Bag, Canvas Tool Pouch, 10-Inch, Red</t>
  </si>
  <si>
    <t>Klein Tools 5141 Zipper Tool Bag, Canvas Tool Pouch / Utility Bag, Bank Deposit Bag, 12.5 x 7-Inch, Brown/Black/Gray/Red 4-Pack</t>
  </si>
  <si>
    <t>B007V8RXVI</t>
  </si>
  <si>
    <t>5362272174248</t>
  </si>
  <si>
    <t>Veto Pro Pac MB2 Blackout</t>
  </si>
  <si>
    <t>Veto Pro Pac TP-XD BLACKOUT</t>
  </si>
  <si>
    <t>B0B2YBQXNP</t>
  </si>
  <si>
    <t>79.99</t>
  </si>
  <si>
    <t>6765803405485</t>
  </si>
  <si>
    <t>Milwaukee 48-22-8432 PACKOUT™ Deep Organizer</t>
  </si>
  <si>
    <t>48-22-8432 fits Milwaukee Packout Deep Organizer w/ 50 lb Weight Capacity, IP65 rated protection, Reinforced hinge Includes 6 dividers, 3 large and 3 small dividers</t>
  </si>
  <si>
    <t>B0BRN4YDFR</t>
  </si>
  <si>
    <t>64.97</t>
  </si>
  <si>
    <t>108.0</t>
  </si>
  <si>
    <t>8005120655576</t>
  </si>
  <si>
    <t>Malco Tools TB1 Soft Sided Tool Bag</t>
  </si>
  <si>
    <t>Malco TB1 Soft Sided Tool Bag, 18 Pocket</t>
  </si>
  <si>
    <t>B0943Y3HYS</t>
  </si>
  <si>
    <t>71.99</t>
  </si>
  <si>
    <t>78.08</t>
  </si>
  <si>
    <t>7880639676632</t>
  </si>
  <si>
    <t>Veto Pro Pac TP4B BLACKOUT</t>
  </si>
  <si>
    <t>89.99</t>
  </si>
  <si>
    <t>7652181180632</t>
  </si>
  <si>
    <t>Veto Pro Pac TP3B Tool Pouch</t>
  </si>
  <si>
    <t>Veto Pro Pac TP-XL Extra Large Tool Pouch</t>
  </si>
  <si>
    <t>B07WDL7SD3</t>
  </si>
  <si>
    <t>74.99</t>
  </si>
  <si>
    <t>6752204587181</t>
  </si>
  <si>
    <t>Milwaukee 48-22-8045 PACKOUT™ Tool Tray</t>
  </si>
  <si>
    <t>Compatible with Milwaukee 48-22-8045 Packout Tool Tray w/ 25 lbs. Weight Capacity, Quick-Adjust Dividers Creating Six Separate Storage Compartments, Dimensions: 11.7L x 19.8W x 5H in</t>
  </si>
  <si>
    <t>B0BKGBDJMW</t>
  </si>
  <si>
    <t>64.9</t>
  </si>
  <si>
    <t>8002611806424</t>
  </si>
  <si>
    <t>Klein Tools 5141 Canvas Zipper Bag, Tool Pouch, Tool Bag, Utility Bag, Bank Deposit Bag, 12.5 x 7-Inch, Brown/Black/Gray/Red 4-Pack &amp; 5539LCPAK Zipper Bags, Large 16-Inch Canvas Tool Pouches, 3-Pack</t>
  </si>
  <si>
    <t>B0BD3WW5HW</t>
  </si>
  <si>
    <t>Klein Tools 5416OCTO Tool Bag, Bull-Pin and Bolt Pouch, Loop Connect, 5 x 5 x 9-Inch</t>
  </si>
  <si>
    <t>Klein Tools 5416TFR Tool Bag, Flame Resistant Canvas Bag for Bolt Storage, 5 x 10 x 9-Inch &amp; 3255 Bull Pin, Broad Head Bull Pin Resists Corrosion and Mushrooming, 1-1/4-Inch</t>
  </si>
  <si>
    <t>B093PYTVK3</t>
  </si>
  <si>
    <t>22.02</t>
  </si>
  <si>
    <t>35.96</t>
  </si>
  <si>
    <t>5347272130728</t>
  </si>
  <si>
    <t>Klein Tools 55559 Stand-Up Zipper Bag Tool Pouch, 7-Inch Blue and 14-Inch Gray, 2-Pack &amp; 55470 Utility Bag, Stand-Up Zipper Tool Bags, Orange/Black, Gray/Black, 2-Pack</t>
  </si>
  <si>
    <t>B0BNL5LYJJ</t>
  </si>
  <si>
    <t>Milwaukee 48-22-8435 PACKOUT™ Compact Organizer</t>
  </si>
  <si>
    <t>MFWNYVN for Milwaukee Tool 48-22-8435 Packout Compact Organizer w/5-Compartments Small Parts Organizer</t>
  </si>
  <si>
    <t>B0BZM6RSV5</t>
  </si>
  <si>
    <t>34.97</t>
  </si>
  <si>
    <t>58.0</t>
  </si>
  <si>
    <t>7910242877656</t>
  </si>
  <si>
    <t>Fluke C11XT Protective EVA Hard Tool Case</t>
  </si>
  <si>
    <t>Fluke C37XT Protective EVA Hard Tool Carrying Case for 117/1587 FC/87V/87V Max/T5/T6/323/324/378FC and Many More</t>
  </si>
  <si>
    <t>B09TG79CRT</t>
  </si>
  <si>
    <t>7815620100312</t>
  </si>
  <si>
    <t>Fieldpiece ANC4 - Medium Single Meter Case</t>
  </si>
  <si>
    <t>Fieldpiece ANC7 Large Single Meter Case</t>
  </si>
  <si>
    <t>B0195UTHTK</t>
  </si>
  <si>
    <t>10.2</t>
  </si>
  <si>
    <t>12.0</t>
  </si>
  <si>
    <t>6633591832749</t>
  </si>
  <si>
    <t>Milwaukee 48-22-8422 PACKOUT™ Compact Tool Box</t>
  </si>
  <si>
    <t>MFWNYVN for Milwaukee 48-22-8422 PACKOUT 10 in. Compact Tool Box</t>
  </si>
  <si>
    <t>B0BZMF2J37</t>
  </si>
  <si>
    <t>69.97</t>
  </si>
  <si>
    <t>114.0</t>
  </si>
  <si>
    <t>8036836442328</t>
  </si>
  <si>
    <t>Klein Tools 5183 Tool Bag, Tradesman Pro™ Drill Pouch</t>
  </si>
  <si>
    <t>Klein Tools 5244 Tool Apron, Waist Size 32 to 53-In &amp; 5183 Tool Bag, Tradesman Pro Drill Pouch Made of 1680d Ballistic Weave, Drill Holster with Pockets for Tools and Drill Bits</t>
  </si>
  <si>
    <t>B0BHVQDH94</t>
  </si>
  <si>
    <t>25.99</t>
  </si>
  <si>
    <t>36.14</t>
  </si>
  <si>
    <t>4458694541412</t>
  </si>
  <si>
    <t>CLC ECP135 E-Charge USB Charging Tool Backpack</t>
  </si>
  <si>
    <t>CLC Custom Leathercraft ECPL38 E-Charge Lighted USB Charging Tool Backpack, 36 Pocket,Black</t>
  </si>
  <si>
    <t>B01N4WKW6C</t>
  </si>
  <si>
    <t>89.95</t>
  </si>
  <si>
    <t>119.0</t>
  </si>
  <si>
    <t>5261393756328</t>
  </si>
  <si>
    <t>Veto Pro Pac TP-LC (Compact, Zippered Service Tech Tool Pouch)</t>
  </si>
  <si>
    <t>B09TPZKBDP</t>
  </si>
  <si>
    <t>Fieldpiece ANC4 Medium Single Meter Case</t>
  </si>
  <si>
    <t>B000TJX68U</t>
  </si>
  <si>
    <t>Klein Tools 55559 Stand-Up Zipper Bag Tool Pouch, 2-Pack &amp; 5139 Zipper Bag, Canvas Tool Pouch 12.5 x 7 x 4.25-Inch with Heavy Duty Brass Zipper Close, Natural</t>
  </si>
  <si>
    <t>B0BR25QG1Q</t>
  </si>
  <si>
    <t>Milwaukee 48-22-8430 PACKOUT™ Organizer</t>
  </si>
  <si>
    <t>48-22-8430 for Milwaukee Tool Packout Organizer</t>
  </si>
  <si>
    <t>B0C16HMS14</t>
  </si>
  <si>
    <t>49.97</t>
  </si>
  <si>
    <t>82.0</t>
  </si>
  <si>
    <t>8005119901912</t>
  </si>
  <si>
    <t>Fieldpiece ANC11 Manifold Case</t>
  </si>
  <si>
    <t>Fieldpiece ANC11 - Padded Drawstring Case</t>
  </si>
  <si>
    <t>B08CMWRQ8V</t>
  </si>
  <si>
    <t>31.45</t>
  </si>
  <si>
    <t>37.0</t>
  </si>
  <si>
    <t>4421344952420</t>
  </si>
  <si>
    <t>CLC 1528 11" Electrical &amp; Maintenance Tool Carrier</t>
  </si>
  <si>
    <t>CLC WORK GEAR 1530 Electrical and Maintenance Tool Carrier, 43 Pocket &amp; CLC Custom LeatherCraft 1528 Large Electrical and Maintenance Tool Carrier, 22 Pocket, Black, 11" x 10" x 19"h</t>
  </si>
  <si>
    <t>B0BFXQS1YT</t>
  </si>
  <si>
    <t>69.95</t>
  </si>
  <si>
    <t>94.95</t>
  </si>
  <si>
    <t>5267577110696</t>
  </si>
  <si>
    <t>Klein Tools Tradesman Pro™ Maintenance Tool Pouch &amp; 5183 Tool Bag, Tradesman Pro Drill Pouch Made of 1680d Ballistic Weave, Drill Holster with Pockets for Tools and Drill Bits</t>
  </si>
  <si>
    <t>B0BGJ64ZZV</t>
  </si>
  <si>
    <t>Veto Pro Pac Wrencher MC</t>
  </si>
  <si>
    <t>Veto Pro Pac Wrencher-LC (Large, Open-Top Tool Bag)</t>
  </si>
  <si>
    <t>B0BBPFQ447</t>
  </si>
  <si>
    <t>199.99</t>
  </si>
  <si>
    <t>7940474208472</t>
  </si>
  <si>
    <t>Klein Tools 5416T Tool Bag, Bull-Pin and Bolt Pouch, No. 4 Canvas with Tunnel Connection, 5 x 10 x 9-Inch &amp; 5459T Spud Wrench Holder Tunnel Connection</t>
  </si>
  <si>
    <t>B0BFXN41G3</t>
  </si>
  <si>
    <t>GHFVNEQ 48-22-8432 for Milwaukee PACKOUT Deep Organizer 3 large &amp; 3 small dividers 50 lb. Weight Capacity</t>
  </si>
  <si>
    <t>B0BPM74GMX</t>
  </si>
  <si>
    <t>48-22-8432 For Milwaukee PACKOUT Deep Organizer w/ 50 lb Weight Capacity Length 15.2 in Width 19.7 in Height 7 in</t>
  </si>
  <si>
    <t>B0BXS63FLD</t>
  </si>
  <si>
    <t>For Milwaukee 48-22-8432 PACKOUT 20 in. Deep Organizer with 6 Compartments</t>
  </si>
  <si>
    <t>B0C5T4G43M</t>
  </si>
  <si>
    <t>Veto Pro Pac TECH MC Compact Tool Bag</t>
  </si>
  <si>
    <t>Veto Pro Pac Tech Pac MC (Compact Tech Pac)</t>
  </si>
  <si>
    <t>B09WZDTXF8</t>
  </si>
  <si>
    <t>169.99</t>
  </si>
  <si>
    <t>3561427468388</t>
  </si>
  <si>
    <t>Milwaukee 48-22-8301 PACKOUT™ Backpack</t>
  </si>
  <si>
    <t>48-22-8301 PACKOUT Backpack Fits for Milwaukee 48-Pocket Tear-Resistant Modular Storage</t>
  </si>
  <si>
    <t>B0BXNRZLWR</t>
  </si>
  <si>
    <t>129.97</t>
  </si>
  <si>
    <t>213.0</t>
  </si>
  <si>
    <t>4377330942052</t>
  </si>
  <si>
    <t>Veto Pro Pac Wrencher XXL</t>
  </si>
  <si>
    <t>229.95</t>
  </si>
  <si>
    <t>7993760612568</t>
  </si>
  <si>
    <t>Fluke C11XT Protective EVA Hard Tool Carrying Case for 117/116/115/179/323/324/325 and Many More</t>
  </si>
  <si>
    <t>B09TG9VDVH</t>
  </si>
  <si>
    <t>B00ZVDLDZ2</t>
  </si>
  <si>
    <t>B07NDMH2Q2</t>
  </si>
  <si>
    <t>CLC L255 TECH GEAR 53 Pocket - Lighted Backpack</t>
  </si>
  <si>
    <t>CLC Custom Leather Craft L255 Tech Gear Lighted Backpack, 53 Compartments, 16" x 13"</t>
  </si>
  <si>
    <t>B01KWILK76</t>
  </si>
  <si>
    <t>159.0</t>
  </si>
  <si>
    <t>5267651985576</t>
  </si>
  <si>
    <t>Veto Pro Pac Wrencher XL</t>
  </si>
  <si>
    <t>Veto Pro Pac TECH-XL WHEELER</t>
  </si>
  <si>
    <t>B09ZCB7L65</t>
  </si>
  <si>
    <t>359.99</t>
  </si>
  <si>
    <t>7940480139480</t>
  </si>
  <si>
    <t>Klein Tools 5141 Canvas Zipper Bag, 12.5 x 7-Inch, Brown/Black/Gray/Red 4-Pack &amp; 55470 Utility Bag, Stand-Up Zipper Tool Bags, Orange/Black, Gray/Black, 2-Pack</t>
  </si>
  <si>
    <t>B0BD3XVWR6</t>
  </si>
  <si>
    <t>Fluke C23 Vinyl Soft Carrying Case</t>
  </si>
  <si>
    <t>B000Q8SDUA</t>
  </si>
  <si>
    <t>Fluke C37XT Protective EVA Hard Tool Case</t>
  </si>
  <si>
    <t>53.79</t>
  </si>
  <si>
    <t>7845839143128</t>
  </si>
  <si>
    <t>Klein Tools 58888 12 Pocket Tool Tote with Shoulder Strap</t>
  </si>
  <si>
    <t>Klein Tools 55598 Tradesman Pro High-Visibility Tool Bag with 42 Different Sized Pockets and Detatchable Shoulder Strap</t>
  </si>
  <si>
    <t>B01NCB4ZTN</t>
  </si>
  <si>
    <t>82.99</t>
  </si>
  <si>
    <t>135.44</t>
  </si>
  <si>
    <t>7776729333976</t>
  </si>
  <si>
    <t>Veto Pro Pac TP-XXL Tool Pouch</t>
  </si>
  <si>
    <t>Veto Pro Pac Model XXL-F Tool Bag</t>
  </si>
  <si>
    <t>B0002HC2CK</t>
  </si>
  <si>
    <t>209.99</t>
  </si>
  <si>
    <t>6917899321517</t>
  </si>
  <si>
    <t>Veto Pro Pac OT-XL Extra Large Open Top Tool Bag</t>
  </si>
  <si>
    <t>269.95</t>
  </si>
  <si>
    <t>7652911612120</t>
  </si>
  <si>
    <t>Veto Pro Pac TP-LC Tool Pouch</t>
  </si>
  <si>
    <t>134.99</t>
  </si>
  <si>
    <t>7652194189528</t>
  </si>
  <si>
    <t>Fieldpiece ANC9 - Padded Scale Case</t>
  </si>
  <si>
    <t>Fieldpiece ANC9 Scale Case</t>
  </si>
  <si>
    <t>B003U86VQG</t>
  </si>
  <si>
    <t>24.65</t>
  </si>
  <si>
    <t>29.0</t>
  </si>
  <si>
    <t>3665795154020</t>
  </si>
  <si>
    <t>TECHOT-MC Veto Compact Open Top Tool Bag</t>
  </si>
  <si>
    <t>B07146M3QW</t>
  </si>
  <si>
    <t>Klein Tools 55560 Zipper Bags, Camo Tool Pouches, 2-Pack</t>
  </si>
  <si>
    <t>24.99</t>
  </si>
  <si>
    <t>37.86</t>
  </si>
  <si>
    <t>5669841109160</t>
  </si>
  <si>
    <t>Klein Tools 510218SPBLK Tool Bag, Large 18-Inch Deluxe Canvas Tool Bag and Organizer with 13 Pockets and Shoulder Strap, Black</t>
  </si>
  <si>
    <t>B07VB168TG</t>
  </si>
  <si>
    <t>Fluke C116 Polyester Soft Carrying Case</t>
  </si>
  <si>
    <t>B0012WRD96</t>
  </si>
  <si>
    <t>Klein Tools 5539NAT Zipper Bag, Canvas Tool Pouch, 10-Inch, Natural</t>
  </si>
  <si>
    <t>5362260869288</t>
  </si>
  <si>
    <t>Veto Pro Pac Wrencher-MC (Medium Compact, Open-Top Tool Bag)</t>
  </si>
  <si>
    <t>B0BBQ3R11H</t>
  </si>
  <si>
    <t>Veto Pro Pac Tech OT-SC Open Top Electrician Tool Bag</t>
  </si>
  <si>
    <t>179.99</t>
  </si>
  <si>
    <t>7934929862872</t>
  </si>
  <si>
    <t>CLC 1523 21 Small Ziptop™ Utility Pouch</t>
  </si>
  <si>
    <t>CLC Custom Leathercraft 1523 Ziptop Utility Pouch, Small</t>
  </si>
  <si>
    <t>B0047O3TYE</t>
  </si>
  <si>
    <t>19.95</t>
  </si>
  <si>
    <t>5267994607784</t>
  </si>
  <si>
    <t>Veto OT-XXL Extra Large Open Top Contractor’s Tool Bag</t>
  </si>
  <si>
    <t>B09D23MY9J</t>
  </si>
  <si>
    <t>Klein Tools 5141P Tool Bag, Canvas Utility Bag, Loop Connection, 10 x 5 x 12-Inch</t>
  </si>
  <si>
    <t>34.65</t>
  </si>
  <si>
    <t>54.98</t>
  </si>
  <si>
    <t>6817822343341</t>
  </si>
  <si>
    <t>Veto Pro Pac TECH PAC MC Blackout</t>
  </si>
  <si>
    <t>Veto Pro Pac TECH PAC (Black)</t>
  </si>
  <si>
    <t>B085FQLM4N</t>
  </si>
  <si>
    <t>294.99</t>
  </si>
  <si>
    <t>6821254496429</t>
  </si>
  <si>
    <t>VETO PRO PAC TECH-MCT Tool Bag (Original)</t>
  </si>
  <si>
    <t>B01CENNFYS</t>
  </si>
  <si>
    <t>Fluke C150 Soft Carrying Case with Polyester, Including Belt Loop and Inner Storage Pocket</t>
  </si>
  <si>
    <t>B01C3ECK5S</t>
  </si>
  <si>
    <t>Klein Tools 5541610-14 Tool Bag with Shoulder Strap Has 40 Pockets for Tool Storage and Orange Interior</t>
  </si>
  <si>
    <t>B00MS16CU6</t>
  </si>
  <si>
    <t>CLC PB1133 Molded Rubber Bottom Tool Backpack</t>
  </si>
  <si>
    <t>6778833305773</t>
  </si>
  <si>
    <t>Veto Pro Pac TECH OT-SC (Sub-Compact Open Top Electrician Tool Bag)</t>
  </si>
  <si>
    <t>B09ZC63KFK</t>
  </si>
  <si>
    <t>Veto Pro Pac TECH PAC MC Backpack Tool Bag</t>
  </si>
  <si>
    <t>Veto Pro Pac Tech Pac LT Tool Bag</t>
  </si>
  <si>
    <t>B00WZLTCHO</t>
  </si>
  <si>
    <t>274.99</t>
  </si>
  <si>
    <t>3561063415908</t>
  </si>
  <si>
    <t>Hilmor 1891628 HVAC/R Refrigerant Tank &amp; Utility Backpack</t>
  </si>
  <si>
    <t>Hilmor HVAC/R Refigerant Tank &amp; Utility Backpack with 8 Carabiner Loops &amp; Storage Pocket, Black &amp; Green, 1891628</t>
  </si>
  <si>
    <t>B00SWBG814</t>
  </si>
  <si>
    <t>68.29</t>
  </si>
  <si>
    <t>233.47</t>
  </si>
  <si>
    <t>5982200922280</t>
  </si>
  <si>
    <t>Klein Tools 5114DSC Canvas Bucket with Drawstring Close, 17-Inch</t>
  </si>
  <si>
    <t>Klein Tools 5114DSC Canvas Bucket, Heavy Duty Drawstring Close Tool Bucket, 17-Inch with Leather Reinforced Bottoms, 100-Pound Load Rated</t>
  </si>
  <si>
    <t>B08BQ27XQB</t>
  </si>
  <si>
    <t>107.99</t>
  </si>
  <si>
    <t>180.0</t>
  </si>
  <si>
    <t>6070874964141</t>
  </si>
  <si>
    <t>Veto Pro Pac Tech OT-MC Tool Tote</t>
  </si>
  <si>
    <t>Veto Pro Pac Tech-TT (Tool Tote)</t>
  </si>
  <si>
    <t>B0BKTVB3NT</t>
  </si>
  <si>
    <t>3561810952292</t>
  </si>
  <si>
    <t>Veto Pro Pac TF-XXL Extra Large Open Top Contractor’s Tool Bag</t>
  </si>
  <si>
    <t>299.99</t>
  </si>
  <si>
    <t>8036828348632</t>
  </si>
  <si>
    <t>Klein Tools 5539RED Zipper Bag, Canvas Tool Pouch is 10-Inch Consumables Bag for Storing Parts, Brass Grommet for Easy Hanging, Red</t>
  </si>
  <si>
    <t>B0069KD084</t>
  </si>
  <si>
    <t>CLC 1509 21 Pocket Zippered Professional Electrician's Tool Pouch</t>
  </si>
  <si>
    <t>CLC Custom Leathercraft 1509 Zippered Professional Electricians Tool Pouch, 21 Pocket , Black</t>
  </si>
  <si>
    <t>B0001ZI524</t>
  </si>
  <si>
    <t>49.95</t>
  </si>
  <si>
    <t>5267903512744</t>
  </si>
  <si>
    <t>Klein Tools 55421BP-14 Tradesman Pro™ Tool Bag Backpack, 39 Pockets, Black, 14-Inch</t>
  </si>
  <si>
    <t>Klein Tools 55421BP-14 Tool Bag Backpack, Heavy Duty Tradesman Pro Tool Organizer / Tool Carrier with 39 Pockets and Molded Base</t>
  </si>
  <si>
    <t>B00MK9UY0A</t>
  </si>
  <si>
    <t>99.97</t>
  </si>
  <si>
    <t>157.98</t>
  </si>
  <si>
    <t>7784707686616</t>
  </si>
  <si>
    <t>CLC DeWALT DGL573 41-Pocket Lighted Technician’s Tool Bag</t>
  </si>
  <si>
    <t>DEWALT DGL573 Lighted Technician's Tool Bag, 41 Pocket</t>
  </si>
  <si>
    <t>B00QNTVV6Y</t>
  </si>
  <si>
    <t>84.95</t>
  </si>
  <si>
    <t>5264540958888</t>
  </si>
  <si>
    <t>CLC PB1531 Molded Plastic Bottom Electrical/HVAC Tool Carrier</t>
  </si>
  <si>
    <t>CLC Work Gear PB1531 13" Molded Base Electrical/HVAC Tool Carrier</t>
  </si>
  <si>
    <t>B099JPPB5S</t>
  </si>
  <si>
    <t>6781720232109</t>
  </si>
  <si>
    <t>Klein Tools 55559 Stand-Up Zipper Bag Tool Pouch with Carabiners, 7-Inch Blue and 14-Inch Gray Utility Bags with Reinforced Bottom, 2-Pack</t>
  </si>
  <si>
    <t>B0B11LN6SM</t>
  </si>
  <si>
    <t>Klein Tools 55914 Tradesman Pro™ Modular Trimming Pouch with Belt Clip</t>
  </si>
  <si>
    <t>Klein Tools 55914 Tool Pouch, Tradesman Pro Modular Trimming Pouch w/Belt Clip works with Klein Click Lock Modular Wall Rack and Tool Belts</t>
  </si>
  <si>
    <t>B084WXF7WF</t>
  </si>
  <si>
    <t>41.98</t>
  </si>
  <si>
    <t>4498949341284</t>
  </si>
  <si>
    <t>Zipper Bags, Camo Bags are 12.5 and 10-Inch, 1680d Ballistic Weave Camouflage 2-Piece Klein Tools 55560</t>
  </si>
  <si>
    <t>B0163SGPC4</t>
  </si>
  <si>
    <t>Klein Tools 55470 Utility Bag, Stand-Up Zipper Tool Bags, Tough 1680d Ballistic Weave, Reinforced Bottoms, Orange/Black, Gray/Black, 2-Pack</t>
  </si>
  <si>
    <t>B075ZYW694</t>
  </si>
  <si>
    <t>Klein Tools 55917 Tradesman Pro™ Modular Drill Pouch with Belt Clip</t>
  </si>
  <si>
    <t>Klein Tools 55917 Tool Pouch, Tradesman Pro Modular Drill Pouch with Belt Clip works with Klein Click Lock Modular Wall Rack and Tool Belts</t>
  </si>
  <si>
    <t>B084X5633G</t>
  </si>
  <si>
    <t>34.99</t>
  </si>
  <si>
    <t>49.0</t>
  </si>
  <si>
    <t>4498954322020</t>
  </si>
  <si>
    <t>Klein Tools 5539LYEL Zipper Bag, Large Canvas Tool Pouch, 18-Inch, Yellow</t>
  </si>
  <si>
    <t>Klein Tools 5539LYEL Zipper Bag, Large 16-Inch Canvas Tool Pouch for Tool Storage with Brass Zipper, and Grommet for Hanging, Yellow</t>
  </si>
  <si>
    <t>B07RDSFV7H</t>
  </si>
  <si>
    <t>19.99</t>
  </si>
  <si>
    <t>28.04</t>
  </si>
  <si>
    <t>3518288822372</t>
  </si>
  <si>
    <t>Klein Tools 55604 Rolling Tool Backpack</t>
  </si>
  <si>
    <t>Klein Tools 55604 Rolling Tool Backpack, Tool Bag with 28 Pockets, Heavy Duty Retractable Handle, Large Tool Storage Interior, 3-Inch Wheels</t>
  </si>
  <si>
    <t>B0BL1QZ9ZC</t>
  </si>
  <si>
    <t>291.98</t>
  </si>
  <si>
    <t>7903972819160</t>
  </si>
  <si>
    <t>Klein Tools 510212BLK Tool Bag, Black Canvas, 12-Inch</t>
  </si>
  <si>
    <t>Klein Tools 510212BLK Heavy Duty Black Canvas Tool Bag, Tool Tote, Multi-Purpose Bag with Wide Hinged Opening and Leather Handles, 12-Inch</t>
  </si>
  <si>
    <t>B09Q72FFBP</t>
  </si>
  <si>
    <t>69.99</t>
  </si>
  <si>
    <t>103.34</t>
  </si>
  <si>
    <t>7856656679128</t>
  </si>
  <si>
    <t>Milwaukee 48-22-8045 PACKOUT Tool Tray</t>
  </si>
  <si>
    <t>B0BL868CRC</t>
  </si>
  <si>
    <t>Klein Tools 5539LBLU Zipper Bag, Large Canvas Tool Pouch, 18-Inch, Blue</t>
  </si>
  <si>
    <t>Klein Tools 5539LBLU Zipper Bag, Large 16-Inch Canvas Tool Pouch for Tool Storage with Brass Zipper, and Grommet for Hanging, Blue</t>
  </si>
  <si>
    <t>B07R95F119</t>
  </si>
  <si>
    <t>3516627124324</t>
  </si>
  <si>
    <t>Klein Tools 5183 Tool Bag, Tradesman Pro Drill Pouch Made of 1680d Ballistic Weave, Drill Holster with Pockets for Tools and Drill Bits</t>
  </si>
  <si>
    <t>B00MJNFYRU</t>
  </si>
  <si>
    <t>Klein Tools 55663 Welding Helmet Replacement Pocket</t>
  </si>
  <si>
    <t>Klein Tools 55663 Replacement Welding Helmet Pocket for the Tradesman Pro Ironworker and Welder Backpack</t>
  </si>
  <si>
    <t>B0BN4K6F2J</t>
  </si>
  <si>
    <t>34.98</t>
  </si>
  <si>
    <t>7931835711704</t>
  </si>
  <si>
    <t>CLC Custom Leathercraft L255 Tech Gear 53 Pocket Lighted Back Pack , Black</t>
  </si>
  <si>
    <t>B00JCCHVRC</t>
  </si>
  <si>
    <t>CLC Work Gear PB1133 38 Pocket Molded Base Tool Backpack, Black/Blue</t>
  </si>
  <si>
    <t>B099J4QQQ8</t>
  </si>
  <si>
    <t>Veto Pro Pac Wrencher LC</t>
  </si>
  <si>
    <t>339.99</t>
  </si>
  <si>
    <t>7940479123672</t>
  </si>
  <si>
    <t>Veto Pro Pac TECH PAC Blackout Backpack</t>
  </si>
  <si>
    <t>329.99</t>
  </si>
  <si>
    <t>6752226476205</t>
  </si>
  <si>
    <t>B0931VCBYM</t>
  </si>
  <si>
    <t>CLC PB1563 16” Molded Plastic Bottom Bigmouth Tote Tool Bag</t>
  </si>
  <si>
    <t>CLC Work Gear PB1563 16" Molded Base Bigmouth Tote Tool Bag</t>
  </si>
  <si>
    <t>B099J8XP46</t>
  </si>
  <si>
    <t>59.95</t>
  </si>
  <si>
    <t>6781893673133</t>
  </si>
  <si>
    <t>7940481745112</t>
  </si>
  <si>
    <t>Veto Pro Pac TP-XXL (Original)</t>
  </si>
  <si>
    <t>B09Q4YNX94</t>
  </si>
  <si>
    <t>Veto Pro Pac TP5B Clip-on Service Tool Pouch</t>
  </si>
  <si>
    <t>Veto TP5B Clip-on Service Tool Pouch</t>
  </si>
  <si>
    <t>B086DWWVHW</t>
  </si>
  <si>
    <t>94.99</t>
  </si>
  <si>
    <t>6747522072749</t>
  </si>
  <si>
    <t>VETO PRO PAC TP4 Technician Tool Pouch</t>
  </si>
  <si>
    <t>B00EY8DZ42</t>
  </si>
  <si>
    <t>Klein Tools 55452RTB Tool Bag, Tradesman Pro™ Rolling Tool Bag, 24 Pockets, 19-Inch</t>
  </si>
  <si>
    <t>Klein Tools 55452RTB Tool Bag, Water Resistant Tool Storage Organizer Rolls on Rugged 6-Inch Wheels, 24 Pockets, Load Tested to 200-Pound</t>
  </si>
  <si>
    <t>B00BZXA35I</t>
  </si>
  <si>
    <t>199.97</t>
  </si>
  <si>
    <t>302.96</t>
  </si>
  <si>
    <t>7539025117400</t>
  </si>
  <si>
    <t>Klein Tools 55429 Tradesman Pro™ Electrician's Tool Belt, XL</t>
  </si>
  <si>
    <t>Klein Tools 55429 Tradesman Pro Electrician's Padded Tool Belt and Tool Pouch Combo for Long-wear Comfort and Durability Size XL</t>
  </si>
  <si>
    <t>B00BZXA3GC</t>
  </si>
  <si>
    <t>115.99</t>
  </si>
  <si>
    <t>166.76</t>
  </si>
  <si>
    <t>6848882868397</t>
  </si>
  <si>
    <t>Klein Tools 58886 Tool Tote, Polyester, 7-Pocket with Drain Holes</t>
  </si>
  <si>
    <t>Tool Tote, Polyester, 7-Pocket with Drain Holes</t>
  </si>
  <si>
    <t>B000MKKBDY</t>
  </si>
  <si>
    <t>72.99</t>
  </si>
  <si>
    <t>110.6</t>
  </si>
  <si>
    <t>7684484432088</t>
  </si>
  <si>
    <t>Klein Tools 5142P Tool Bag, Canvas Utility Bag, Interior Pocket, 9 x 8 x 10-Inch</t>
  </si>
  <si>
    <t>Klein Tools 5142P Heavy Tool Bag, No. 8 Canvas Utility Bag with Interior Pocket and Reinforced Rope Top, 9 x 8 x 10-Inch</t>
  </si>
  <si>
    <t>B000936Q4W</t>
  </si>
  <si>
    <t>32.94</t>
  </si>
  <si>
    <t>53.28</t>
  </si>
  <si>
    <t>5782787391656</t>
  </si>
  <si>
    <t>Klein Tools 5141 Canvas Zipper Bag, Tool Pouch, Tool Bag, 12.5 x 7-Inch, Brown/Black/Gray/Red 4-Pack &amp; 5139 Zipper Bag, Canvas Tool Pouch 12.5 x 7 x 4.25-Inch with Heavy Duty Brass Zipper Close</t>
  </si>
  <si>
    <t>B09Z91GLFK</t>
  </si>
  <si>
    <t>Klein Tools 58889 Padded Adjustable Shoulder Strap, 37 to 55-Inch, for Klein Tools Tool Tote and 5003 Series,Black</t>
  </si>
  <si>
    <t>B0002RI6Y8</t>
  </si>
  <si>
    <t>Veto Pro Pac TECH PAC Backpack Tool Bag</t>
  </si>
  <si>
    <t>3557476335716</t>
  </si>
  <si>
    <t>Klein Tools 5416OCTO Tool Bag, Bull-Pin and Bolt Pouch, No. 4 Canvas with Tunnel Connection, 5 x 5 x 9-Inch</t>
  </si>
  <si>
    <t>B00Y6WMEZW</t>
  </si>
  <si>
    <t>Klein Tools 554158-14 Tool Bag, Tradesman Pro™ Tool Tote, 20 Pockets, 8-Inch</t>
  </si>
  <si>
    <t>Klein Tools 554158-14 Tool Bag, Tradesman Pro Tote with 20 Pockets Made of 1680d Ballistic Weave and a Fully Molded Bottom, 8-Inch</t>
  </si>
  <si>
    <t>B00MVRGYC8</t>
  </si>
  <si>
    <t>76.57</t>
  </si>
  <si>
    <t>115.96</t>
  </si>
  <si>
    <t>7980653150424</t>
  </si>
  <si>
    <t>Veto Pro Pac MB2 Tool Pouch</t>
  </si>
  <si>
    <t>B0933KCZ5K</t>
  </si>
  <si>
    <t>Klein Tools 5102-14SP Tool Bag with Detachable Shoulder Strap 14-Inch, 10 Inside Pockets for Hand Tool Organization</t>
  </si>
  <si>
    <t>B007V8ZIG0</t>
  </si>
  <si>
    <t>Klein Tools 55599 Zipper Bags, High Visibility Tool Pouches, 2-Pack</t>
  </si>
  <si>
    <t>Klein Tools 55599 Zipper Bags, High Visibility Tool Pouches, Heavy-Duty 1680d Ballistic Weave, Black, Reflective Gray, Green Accents, 2-Pack</t>
  </si>
  <si>
    <t>B01N674AXT</t>
  </si>
  <si>
    <t>35.08</t>
  </si>
  <si>
    <t>3704494129252</t>
  </si>
  <si>
    <t>Klein Tools 69408 Tradesman Pro™ Carrying Case, Large</t>
  </si>
  <si>
    <t>Klein Tools 69408 Tradesman Pro Carrying Case, Large</t>
  </si>
  <si>
    <t>B00FZEO8EK</t>
  </si>
  <si>
    <t>60.62</t>
  </si>
  <si>
    <t>5431479664808</t>
  </si>
  <si>
    <t>Klein Tools 5539YEL Zipper Bag, Canvas Tool Pouch is 10-Inch Consumables Bag for Storing Parts, Brass Grommet for Easy Hanging, Yellow</t>
  </si>
  <si>
    <t>B002G7ZU0U</t>
  </si>
  <si>
    <t>Veto Pro Pac Tech XL Tool Bag, 1-Pack,Black, Grey</t>
  </si>
  <si>
    <t>B00DYRFEJI</t>
  </si>
  <si>
    <t>Klein Tools 5416TFR Tool Bag, Flame Resistant Canvas Bag for Bolt Storage with Double Reinforced Bottom and Tunnel Connect, 5 x 10 x 9-Inch</t>
  </si>
  <si>
    <t>B0116IFD6A</t>
  </si>
  <si>
    <t>CLC 1134 44 Pocket Deluxe Tool Backpack</t>
  </si>
  <si>
    <t>CLC Work Gear 1134 Carpenter's Tool Backpack, 44 Pockets, Padded Back Support</t>
  </si>
  <si>
    <t>B0047O3PFC</t>
  </si>
  <si>
    <t>99.95</t>
  </si>
  <si>
    <t>149.0</t>
  </si>
  <si>
    <t>5267885818024</t>
  </si>
  <si>
    <t>CLC Wild River WT3604 Nomad Lighted Backpack</t>
  </si>
  <si>
    <t>Custom Leathercraft Wild River by CLC WT3604 Tackle Tek Nomad Lighted Backpack &amp; Four PT3600 Trays, Orange, Sand</t>
  </si>
  <si>
    <t>B00A0PA46U</t>
  </si>
  <si>
    <t>209.0</t>
  </si>
  <si>
    <t>279.0</t>
  </si>
  <si>
    <t>5273624215720</t>
  </si>
  <si>
    <t>Klein Tools 5165 10 Pocket Leather Tool Pouch with Knife Snap</t>
  </si>
  <si>
    <t>Klein Tools 5165 Pocket Tool Pouch with Knife Snap, 10 Pockets, Stitched and Riveted Leather, Fits Belts up to 2-Inch Wide</t>
  </si>
  <si>
    <t>B000BU4CRG</t>
  </si>
  <si>
    <t>62.99</t>
  </si>
  <si>
    <t>90.92</t>
  </si>
  <si>
    <t>4421069373540</t>
  </si>
  <si>
    <t>CLC ECPL38 E-Charge Lighted USB Charging Tool Backpack</t>
  </si>
  <si>
    <t>189.0</t>
  </si>
  <si>
    <t>5261250068648</t>
  </si>
  <si>
    <t>CLC DeWALT DGCL33 33-Pocket Lighted USB Charging Tool Backpack</t>
  </si>
  <si>
    <t>219.0</t>
  </si>
  <si>
    <t>5261413712040</t>
  </si>
  <si>
    <t>CLC Wild River WT3503 Tackle Tek™ Recon – Lighted Compact Backpack</t>
  </si>
  <si>
    <t>Wild River by CLC 503 Tackle Tek Recon LED Lighted Camo Compact Backpack, Mossy Oak</t>
  </si>
  <si>
    <t>B00F66Z2XS</t>
  </si>
  <si>
    <t>199.0</t>
  </si>
  <si>
    <t>6830246101165</t>
  </si>
  <si>
    <t>Klein Tools 5118P5 Lineman Tool Pouch, 5-Pocket and Knife Snap, Durable Leather, 10-Inch x 11-Inch</t>
  </si>
  <si>
    <t>B004M2RE06</t>
  </si>
  <si>
    <t>CLC Wild River WCT503 Tackle Tek™ Recon – Lighted Camo Backpack</t>
  </si>
  <si>
    <t>149.95</t>
  </si>
  <si>
    <t>6831082373293</t>
  </si>
  <si>
    <t>Veto Pro Pac MC Tool Bag (Original)</t>
  </si>
  <si>
    <t>B00NLXNW3A</t>
  </si>
  <si>
    <t>CLC Custom Leathercraft 1100 Multi-Purpose Clip-on Zippered Poly Bags, 3 Pack</t>
  </si>
  <si>
    <t>B0002YVBC0</t>
  </si>
  <si>
    <t>Veto Pro Pac TECH-MC</t>
  </si>
  <si>
    <t>B078HLH6YV</t>
  </si>
  <si>
    <t>Veto Pro Pac TP3 Tool Pouch</t>
  </si>
  <si>
    <t>B008471T42</t>
  </si>
  <si>
    <t>Veto Pro Pac MB Tool Pouch</t>
  </si>
  <si>
    <t>B008471S4I</t>
  </si>
  <si>
    <t>Klein Tools 5416 Tool Pouch, Small Tool Bag for Bolt Storage with Bull Pin Loops and Belt Strap Connect, 5 x 10 x 9-Inch</t>
  </si>
  <si>
    <t>B0002RI6JS</t>
  </si>
  <si>
    <t>Klein Tools 51A Tool Pouch, Utility Pouch for Carrying Nuts and Bolts, with Interior Pocket, No. 10 Canvas, 9 x 3.5 x 10-Inch</t>
  </si>
  <si>
    <t>B0061J57ZW</t>
  </si>
  <si>
    <t>CLC DeWALT DGL523 57-Pocket Lighted Tool Backpack Bag</t>
  </si>
  <si>
    <t>DEWALT DGL523 Lighted Tool Backpack Bag, 57-Pockets, Black,yellow</t>
  </si>
  <si>
    <t>B00QNTVVOG</t>
  </si>
  <si>
    <t>129.0</t>
  </si>
  <si>
    <t>5264512254120</t>
  </si>
  <si>
    <t>CLC 1524 Medium Zip Top Utility Pouch</t>
  </si>
  <si>
    <t>CLC Custom Leathercraft 1524 Ziptop Utility Pouch, Medium, Black, 11 Pockets</t>
  </si>
  <si>
    <t>B0047O3TZS</t>
  </si>
  <si>
    <t>34.95</t>
  </si>
  <si>
    <t>5268003553448</t>
  </si>
  <si>
    <t>Klein Tools 55421BP14CAMO Tool Bag Backpack, Heavy Duty Tradesman Pro Tool Organizer / Tool Carrier has 39 Pockets, Molded Base, Camo Design</t>
  </si>
  <si>
    <t>B00VX5P8XK</t>
  </si>
  <si>
    <t>Veto Pro Pac OT-XL Tool Bag</t>
  </si>
  <si>
    <t>B000VKSAQK</t>
  </si>
  <si>
    <t>VETO PRO PAC TECH-MCT (Blackout)</t>
  </si>
  <si>
    <t>B09K4LCMP1</t>
  </si>
  <si>
    <t>CLC Custom LeatherCraft 1528 Large Electrical and Maintenance Tool Carrier</t>
  </si>
  <si>
    <t>B0000DYVHS</t>
  </si>
  <si>
    <t>Wild River by CLC WT3503 Tackle Tek Recon Lighted Compact Tackle Backpack &amp; Four PT3500 Trays, Clear, Water-Resistant Phone Storage,Beige</t>
  </si>
  <si>
    <t>B00A0PA4R4</t>
  </si>
  <si>
    <t>Veto Pro Pac TECH PAC WHEELER Backpack Tool Bag</t>
  </si>
  <si>
    <t>6917914984621</t>
  </si>
  <si>
    <t>Veto Pro Pac TP-XXL Blackout Tool Pouch</t>
  </si>
  <si>
    <t>239.99</t>
  </si>
  <si>
    <t>7999688868056</t>
  </si>
  <si>
    <t>Custom Leathercraft Wild River by CLC WN3503 Tackle Tek Recon Lighted Compact Backpack, Trays Not Included</t>
  </si>
  <si>
    <t>B00A738C4Q</t>
  </si>
  <si>
    <t>DEWALT DGCL33 33-Pocket Lighted USB Charging Tool Backpack , Yellow</t>
  </si>
  <si>
    <t>B01JIPPI2M</t>
  </si>
  <si>
    <t>Klein Tools 5104OCTO Canvas Bucket, Leather Bottom, Connection Points, 12-Inch</t>
  </si>
  <si>
    <t>Klein Tools 5104 Canvas Bucket with Leather Bottom, 12-Inch Diameter, 1 Pocket, 100-Pound Load Rated Utility Bucket, Natural</t>
  </si>
  <si>
    <t>B0042T2R9M</t>
  </si>
  <si>
    <t>101.04</t>
  </si>
  <si>
    <t>164.96</t>
  </si>
  <si>
    <t>6080598180013</t>
  </si>
  <si>
    <t>Veto Pro Pac OT-LC Tool Bag</t>
  </si>
  <si>
    <t>B000VKSAQA</t>
  </si>
  <si>
    <t>Klein Tools 5539NAT Zipper Bag, Canvas Tool Pouch is 10-Inch Consumables Bag for Storing Parts, Brass Grommet for Easy Hanging, Natural</t>
  </si>
  <si>
    <t>B002G6XV02</t>
  </si>
  <si>
    <t>Fluke C35 Polyester Soft Carrying Case</t>
  </si>
  <si>
    <t>B0012WXSWC</t>
  </si>
  <si>
    <t>48-22-8435 Packout Foam Inserts for Milwaukee Packout Foam and Milwaukee Packout Compact Organizer(2pc foam)</t>
  </si>
  <si>
    <t>B0C6MY62Y5</t>
  </si>
  <si>
    <t>Packout foam inserts 48-22-8435 Fits for Milwaukee Packout Compact Organizer (2 Pcs)</t>
  </si>
  <si>
    <t>B0C6LRFVDN</t>
  </si>
  <si>
    <t>Veto Pro Pac Model XL Tool Bag</t>
  </si>
  <si>
    <t>B00009K77K</t>
  </si>
  <si>
    <t>Veto Pro Pac Model LC Tool Bag</t>
  </si>
  <si>
    <t>B0002HC25M</t>
  </si>
  <si>
    <t>Veto Pro Pac TECH PAC MC Special Ops Backpack Tool Bag</t>
  </si>
  <si>
    <t>319.99</t>
  </si>
  <si>
    <t>7934918426840</t>
  </si>
  <si>
    <t>Klein Tools S5118PRS Leather Tool Holder with 3 Pockets for Pliers, Folding Rule, Screwdriver and Knife Snap, Fits Belts up to 2-Inch Wide</t>
  </si>
  <si>
    <t>B0002RIA30</t>
  </si>
  <si>
    <t>Klein Tools 5126 Leather Tool Pouch with Knife Snap, 5-Pocket</t>
  </si>
  <si>
    <t>B0002RI620</t>
  </si>
  <si>
    <t>Kaizen Foam Insert for Milwaukee PACKOUT Compact Organizer 48-22-8435 (Black Foam), (57KFI-MILW-8435)</t>
  </si>
  <si>
    <t>B0B5FQ7NGJ</t>
  </si>
  <si>
    <t>30mm Kaizen Foam Insert for Milwaukee PACKOUT™ Compact Organizer 48-22-8435</t>
  </si>
  <si>
    <t>B0B5W5MLYX</t>
  </si>
  <si>
    <t>LTGEM EVA Hard Carrying Case for Fluke 1AC/2AC Alert Voltage Tester- Protective Storage Bag</t>
  </si>
  <si>
    <t>B08DNGV8QF</t>
  </si>
  <si>
    <t>Milwaukee 48-22-8442 PACKOUT™ 2-Drawer Tool Box</t>
  </si>
  <si>
    <t>Foam Custom Tool Drawer Inserts 48-22-8452 For Packout Drawer Tool Boxes|Fits Milwaukee 48-22-8442 Packout Foam Inserts</t>
  </si>
  <si>
    <t>B0BRMSHYFF</t>
  </si>
  <si>
    <t>234.0</t>
  </si>
  <si>
    <t>7940460576984</t>
  </si>
  <si>
    <t>KingSung Zippered Soft Tool Carrying Case for Fluke 117/116/115/114/113 Digital Multimeter 62 Max and Many More, with Smooth Zipper and Thick Wrist Strap, Built-in Shock-Proof Cotton, Single-Layer</t>
  </si>
  <si>
    <t>B0B7HW73BH</t>
  </si>
  <si>
    <t>Klein Tools 5139B Zipper Bag, Cordura Nylon Tool Pouch with Heavy-Duty Nylon Zipper Close, 12-1/2-Inch, Black</t>
  </si>
  <si>
    <t>B000OQSS6S</t>
  </si>
  <si>
    <t>48-22-8472 Dividers Compatible with Milwaukee Packout 2-Drawer Tool Box, 8-Pieces Drawers Dividers Set - 2 Long Dividers &amp; 6 Short Dividers</t>
  </si>
  <si>
    <t>B0C1RWQ43Q</t>
  </si>
  <si>
    <t>48-22-8472 Drawer Dividers for Milwaukee Packout 2-Drawer|for Milwaukee Packout Dividers|Tool Box Dividers</t>
  </si>
  <si>
    <t>B0BZHWN82V</t>
  </si>
  <si>
    <t>48-22-8472 Dackout Dividers For Milwaukee Packout 2 Drawer Dividers Tool Box (Black)</t>
  </si>
  <si>
    <t>B0BYJ5MZHR</t>
  </si>
  <si>
    <t>Packout Handle Release Pins Kit Quick and Convenient Tool Box Handle Removal Fits for Milwaukee Packout 48-22-8426 Rolling Tool Box 2 Packs</t>
  </si>
  <si>
    <t>B0C7GVHF2Y</t>
  </si>
  <si>
    <t>Klein Tools 60177 Breakaway Lanyard for Safety Glasses</t>
  </si>
  <si>
    <t>Klein Tools 80055 Safety Glasses Kit, Professional Safety Glasses with Full Frame, Gray Lens and Breakaway Lanyard, 8-Piece</t>
  </si>
  <si>
    <t>B09HR9RV4H</t>
  </si>
  <si>
    <t>1.99</t>
  </si>
  <si>
    <t>2.68</t>
  </si>
  <si>
    <t>6104982454445</t>
  </si>
  <si>
    <t>Klein Tools 56062 Rechargeable Headlamp and Worklight, 300 Lumens All-Day Runtime</t>
  </si>
  <si>
    <t>Klein Tools 60347 Hard Hat &amp; 56062 Rechargeable LED Headlamp/Worklight for Klein Hardhats, 300 Lumens, All-Day Runtime, 3 Modes, for Work and Outdoors</t>
  </si>
  <si>
    <t>B09T6ZC141</t>
  </si>
  <si>
    <t>29.97</t>
  </si>
  <si>
    <t>42.0</t>
  </si>
  <si>
    <t>5877807218856</t>
  </si>
  <si>
    <t>Klein Tools 29025 Modular Battery for Klein Tools Cat. No. 60155 Hard Hat Cooling Fan</t>
  </si>
  <si>
    <t>Klein Tools 60347 Hard Hat, Vented Full Brim, Class C &amp; 29025 Rechargeable Lithium-ion Portable Battery to Power Klein Tools Hard Hat Cooling Fan Cat. No. 60155</t>
  </si>
  <si>
    <t>B0B56RS25Q</t>
  </si>
  <si>
    <t>36.99</t>
  </si>
  <si>
    <t>51.78</t>
  </si>
  <si>
    <t>7837556965592</t>
  </si>
  <si>
    <t>Klein Tools 60162 Professional Safety Glasses, Gray Lens</t>
  </si>
  <si>
    <t>12.99</t>
  </si>
  <si>
    <t>18.0</t>
  </si>
  <si>
    <t>6092128747693</t>
  </si>
  <si>
    <t>Milwaukee 48-73-2041 Performance Safety Glasses with Gaskets, Clear</t>
  </si>
  <si>
    <t>Milwaukee 48-73-2040 Clear High Performance Safety Glasses with Gasket</t>
  </si>
  <si>
    <t>B09ZPZJR4V</t>
  </si>
  <si>
    <t>37.4</t>
  </si>
  <si>
    <t>4486297780324</t>
  </si>
  <si>
    <t>Klein Tools 60245 P100 Half-Mask Respirator Replacement Filter</t>
  </si>
  <si>
    <t>Klein Tools 80044 Face Mask, P100 Half-Mask Respirator Kit with P100 Mask and Replacement Filters For Dust, Metal Fumes, and Mists, Size M/L</t>
  </si>
  <si>
    <t>B09FW2FRX8</t>
  </si>
  <si>
    <t>20.0</t>
  </si>
  <si>
    <t>7797345157336</t>
  </si>
  <si>
    <t>Klein Tools 60177 Eyewear Lanyard, Breakaway Safety Glasses Neck Cord, 27-Inch, Black, 2.25 Foot (Pack of 1)</t>
  </si>
  <si>
    <t>B08B71M22H</t>
  </si>
  <si>
    <t>Klein Tools 60346 Hard Hat, Non-Vented Full Brim &amp; 29025 Rechargeable Lithium-ion Portable Battery to Power Klein Tools Hard Hat Cooling Fan Cat. No. 60155</t>
  </si>
  <si>
    <t>B0B7MR6XWH</t>
  </si>
  <si>
    <t>Klein Tools 60163 Professional Safety Glasses, Full Frame, Clear Lens</t>
  </si>
  <si>
    <t>6094353039533</t>
  </si>
  <si>
    <t>Klein Tools 60471 Professional Full-Frame Gasket Safety Glasses, Gray Lens</t>
  </si>
  <si>
    <t>21.98</t>
  </si>
  <si>
    <t>7817587785944</t>
  </si>
  <si>
    <t>Milwaukee 48-22-8731 Demolition Gloves, Medium</t>
  </si>
  <si>
    <t>Milwaukee Demolition Glove Size 8 (Medium) 48-22-9731, Black/Red/Grey</t>
  </si>
  <si>
    <t>B01G4AC3QI</t>
  </si>
  <si>
    <t>24.97</t>
  </si>
  <si>
    <t>37.9</t>
  </si>
  <si>
    <t>4433517150308</t>
  </si>
  <si>
    <t>Hellberg Safety Classic PoP Headband Hearing Protection</t>
  </si>
  <si>
    <t>Hellberg Safety 41002-001 Secure 2 Headband Hearing Protection, 26 dB NRR, Level 2 Protection for Medium to High Noise, Best Choice for High Frequency Noise</t>
  </si>
  <si>
    <t>B017DJJXOE</t>
  </si>
  <si>
    <t>12.93</t>
  </si>
  <si>
    <t>16.99</t>
  </si>
  <si>
    <t>7355795472600</t>
  </si>
  <si>
    <t>Klein Tools 60502 Hard Hat Earmuffs, Full Brim Style</t>
  </si>
  <si>
    <t>Klein Tools 60407 Vented Full Brim Hard Hat with Rechargeable Headlamp and Klein Tools 60502 Earmuffs for Full Brim Style - Ultimate Job Site Protection and Comfort</t>
  </si>
  <si>
    <t>B0C1PYTDR6</t>
  </si>
  <si>
    <t>7931874869464</t>
  </si>
  <si>
    <t>Milwaukee 48-73-2046 Performance Safety Glasses with Gaskets, Polarized</t>
  </si>
  <si>
    <t>49.5</t>
  </si>
  <si>
    <t>4475028799588</t>
  </si>
  <si>
    <t>Klein Tools 60268 Safety Vest, High-Visibility Reflective Vest, XL</t>
  </si>
  <si>
    <t>Dib Safety Reflective Vest Heavy Duty, High Visibility Two Tone Engineer Vest, Made with 3M Tape, Padded Collar, Retractable ID Pocket, Yellow XL</t>
  </si>
  <si>
    <t>B0B1CCGWBG</t>
  </si>
  <si>
    <t>18.2</t>
  </si>
  <si>
    <t>5862990086312</t>
  </si>
  <si>
    <t>Recharge Headlamp Fabric Strap 400 Lumens All Day Runtime &amp; 56062 Rechargeable LED Headlamp/Worklight for Klein Hardhats, 300 Lumens</t>
  </si>
  <si>
    <t>B0C3BC48GJ</t>
  </si>
  <si>
    <t>Klein Tools 60539 Safety Glasses, Professional PPE Protective Eyewear, Full Frame, Scratch Resistant and Anti-Fog, Polarized Lens</t>
  </si>
  <si>
    <t>B0BLQ6F4MQ</t>
  </si>
  <si>
    <t>Klein Tools 60161 Professional Safety Glasses, Clear Lens</t>
  </si>
  <si>
    <t>6092105285805</t>
  </si>
  <si>
    <t>Milwaukee 48-73-2020 Clear High Performance Safety Glasses</t>
  </si>
  <si>
    <t>B09ZPZZZTK</t>
  </si>
  <si>
    <t>Klein Tools 60407 Hard Hat, Light, Vented Full Brim Style, Padded, Self-Wicking Odor-Resistant Sweatband, White &amp; 60181 Cooling Helmet Liner, Under Hard Hat Cap with Mesh Fabric at Crown</t>
  </si>
  <si>
    <t>B0B68NYYM7</t>
  </si>
  <si>
    <t>Klein Tools 60492 Lightweight Knee Pad Sleeves, M/L</t>
  </si>
  <si>
    <t>Klein Tools 60615 Knee Pad, Heavy Duty Padded Knee Sleeves, Breathable Mesh Back, Elastic Cuff with Slip-Resistant Silicone, S/M, Black</t>
  </si>
  <si>
    <t>B0BWB8VW7J</t>
  </si>
  <si>
    <t>19.97</t>
  </si>
  <si>
    <t>27.98</t>
  </si>
  <si>
    <t>7817560293592</t>
  </si>
  <si>
    <t>Klein Tools 60537 Professional Safety Glasses, Full-Frame, Indoor/Outdoor Lens</t>
  </si>
  <si>
    <t>7903997493464</t>
  </si>
  <si>
    <t>Klein Tools 60614 Lightweight Knee Pad Sleeves, S/M</t>
  </si>
  <si>
    <t>7980637356248</t>
  </si>
  <si>
    <t>Klein Tools 60407RL Hard Hat, Rechargeable Headlamp, Vented, Full Brim Style, Padded Self-Wicking Odor-Resistant Sweatband, White, Large</t>
  </si>
  <si>
    <t>B08DDTV9M3</t>
  </si>
  <si>
    <t>Klein Tools 60345 Hard Hat, Premium KARBN™ Pattern, Non-Vented Full Brim, Class E</t>
  </si>
  <si>
    <t>Klein Tools 60347 Hard Hat, Vented Full Brim, Class C, Premium KARBN Pattern, Rechargeable Lamp, Padded Sweat-Wicking Sweatband, Top Pad</t>
  </si>
  <si>
    <t>B08SYM9K52</t>
  </si>
  <si>
    <t>59.99</t>
  </si>
  <si>
    <t>81.02</t>
  </si>
  <si>
    <t>7778045493464</t>
  </si>
  <si>
    <t>Klein Tools 60184 Lightweight Gel Knee Pads</t>
  </si>
  <si>
    <t>Klein Tools 60491 Hinged Knee Pads, Heavy Duty Gel Foam Protective Knee Pads with Quick-Fasten Buckle and Thigh Strap, Black</t>
  </si>
  <si>
    <t>B0BHXBMBHP</t>
  </si>
  <si>
    <t>25.97</t>
  </si>
  <si>
    <t>36.04</t>
  </si>
  <si>
    <t>4610179170404</t>
  </si>
  <si>
    <t>Klein Tools 60347 Hard Hat, Premium KARBN™ Pattern, Vented Full Brim, Class C, Lamp</t>
  </si>
  <si>
    <t>Klein Tools 60407 Hard Hat, White &amp; 60347 Hard Hat, Vented Full Brim, Class C, Premium KARBN Pattern, Rechargeable Lamp, Padded Sweat-Wicking Sweatband, Top Pad</t>
  </si>
  <si>
    <t>B0BNL94L4X</t>
  </si>
  <si>
    <t>123.76</t>
  </si>
  <si>
    <t>7769755975896</t>
  </si>
  <si>
    <t>Klein Tools 60470 Professional Full-Frame Gasket Safety Glasses, Clear Lens</t>
  </si>
  <si>
    <t>7817690677464</t>
  </si>
  <si>
    <t>Klein Tools 60159 Standard Safety Glasses, Clear Lens</t>
  </si>
  <si>
    <t>Klein Tools 60161 Safety Glasses, Professional PPE Protective Eyewear with Semi Frame, Scratch Resistant and Anti-Fog, Clear Lens</t>
  </si>
  <si>
    <t>B08B496F57</t>
  </si>
  <si>
    <t>8.99</t>
  </si>
  <si>
    <t>12.6</t>
  </si>
  <si>
    <t>6091658428589</t>
  </si>
  <si>
    <t>Klein Tools 60470 Safety Glasses, ANSI Z87.1+ Pro Full Frame Gasket Safety Glasses, Clear Lenses, UV Protection, Anti-Fog, Scratch Resistant, Black/Orange</t>
  </si>
  <si>
    <t>B0B69KPRPF</t>
  </si>
  <si>
    <t>Klein Tools 60160 Standard Safety Glasses, Gray Lens</t>
  </si>
  <si>
    <t>Klein Tools 60471 Safety Glasses, ANSI Z87.1+ Pro Full Frame Gasket Safety Glasses, Gray Lens, UV Protection, Anti-Fog, Scratch Resistant</t>
  </si>
  <si>
    <t>B0B69LNT2Y</t>
  </si>
  <si>
    <t>6091953111213</t>
  </si>
  <si>
    <t>Klein Tools 56220 LED Headlamp with Silicone Hard Hat Strap</t>
  </si>
  <si>
    <t>Klein Tools 56064 Rechargeable Auto-Off LED Headlamp, Silicone Strap, 400 LMS, All-Day Runtime, for Work, Running, Outdoor Hiking, Camping &amp; Headlamp Bracket with Fabric Strap</t>
  </si>
  <si>
    <t>B09Z932C3Z</t>
  </si>
  <si>
    <t>26.97</t>
  </si>
  <si>
    <t>37.8</t>
  </si>
  <si>
    <t>4167511605348</t>
  </si>
  <si>
    <t>Milwaukee 48-22-8732 Demolition Gloves, Large</t>
  </si>
  <si>
    <t>Milwaukee 0 0 Demolition Glove Size 11 (XX-Large) 48-22-9734, Red</t>
  </si>
  <si>
    <t>B01G4AC6TM</t>
  </si>
  <si>
    <t>4433519149156</t>
  </si>
  <si>
    <t>Klein Tools 60401 Hard Hat, Vented, Full Brim Style</t>
  </si>
  <si>
    <t>Klein Tools Hard Hat, Vented, Full Brim with Headlamp &amp; KHHTOPPAD Hard Hat Pad, Replaceable Machine Washable Top Pad for Klein Tools Hard Hat Suspension System, 3-Pack</t>
  </si>
  <si>
    <t>B08KGPS8XH</t>
  </si>
  <si>
    <t>44.99</t>
  </si>
  <si>
    <t>59.62</t>
  </si>
  <si>
    <t>4357112463460</t>
  </si>
  <si>
    <t>Milwaukee Demolition Glove Size 10 (X-Large) 48-22-9733, Black/Red/Grey</t>
  </si>
  <si>
    <t>B01G4AC5H0</t>
  </si>
  <si>
    <t>Klein Tools 60246 P100 Half-Mask Respirator, S/M</t>
  </si>
  <si>
    <t>43.5</t>
  </si>
  <si>
    <t>7797322383576</t>
  </si>
  <si>
    <t>Klein Tools 60244 P100 Half-Mask Respirator, M/L</t>
  </si>
  <si>
    <t>7797350039768</t>
  </si>
  <si>
    <t>Klein Tools 60163 Safety Glasses, Professional PPE Protective Eyewear with Full Frame, Scratch Resistant and Anti-Fog, Clear Lens , 5.6 x 4 inch</t>
  </si>
  <si>
    <t>B08B48CZ5V</t>
  </si>
  <si>
    <t>Klein Tools 60164 Safety Glasses, Professional PPE Protective Eyewear with Full Frame, Scratch Resistant and Anti-Fog, Gray Lens 5.6 x 4 inch</t>
  </si>
  <si>
    <t>B08B4BNSHM</t>
  </si>
  <si>
    <t>Klein Tools 60539 Professional Safety Glasses, Full Frame, Polarized Lens</t>
  </si>
  <si>
    <t>7904008536280</t>
  </si>
  <si>
    <t>Klein Tools 60346 Hard Hat, Non-Vented Full Brim, Class E, Premium KARBN Pattern &amp; 60181 Cooling Helmet Liner, Under Hard Hat Cap with Mesh Fabric at Crown</t>
  </si>
  <si>
    <t>B09Z8ZC2TJ</t>
  </si>
  <si>
    <t>Klein Tools 40227 Journeyman Leather Utility Gloves, Large</t>
  </si>
  <si>
    <t>Klein Tools 40221 Journeyman Leather Gloves, Large</t>
  </si>
  <si>
    <t>B00KWJ98QG</t>
  </si>
  <si>
    <t>26.99</t>
  </si>
  <si>
    <t>39.12</t>
  </si>
  <si>
    <t>5240629723304</t>
  </si>
  <si>
    <t>Klein Tools 60100 Hard Hat, Non-Vented, Cap Style, White</t>
  </si>
  <si>
    <t>55.44</t>
  </si>
  <si>
    <t>7643170406616</t>
  </si>
  <si>
    <t>Klein Tools 60536 Professional Safety Glasses, Indoor/Outdoor Lens</t>
  </si>
  <si>
    <t>Klein Tools 60537 Safety Glasses, Professional PPE Protective Eyewear with Full Frame, Scratch Resistant and Anti-Fog, Indoor/Outdoor Lens</t>
  </si>
  <si>
    <t>B0BLQM26TJ</t>
  </si>
  <si>
    <t>7903989563608</t>
  </si>
  <si>
    <t>Hellberg Safety Secure 1 Headband Hearing Protection</t>
  </si>
  <si>
    <t>Hellberg Safety 42003-001 Secure 3 Helmet Mount Hearing Protection, 27 dB NRR, Level 3 Protection for High to Very High Noise, Red</t>
  </si>
  <si>
    <t>B017DJJY02</t>
  </si>
  <si>
    <t>24.95</t>
  </si>
  <si>
    <t>27.95</t>
  </si>
  <si>
    <t>7355683635416</t>
  </si>
  <si>
    <t>Klein Tools 60347 Hard Hat, Vented Full Brim, Class C, Premium KARBN Pattern, Rechargeable Lamp, Padded Sweat-Wicking Sweatband, Top Pad &amp; KHHSWTBND2 Hard Hat Sweatband Replacement, 3-Pack, Blue</t>
  </si>
  <si>
    <t>B0BFXRMN4S</t>
  </si>
  <si>
    <t>Edge Eyewear SR116 Reclus - Black Frame/Smoke Lens, Safety Glasses</t>
  </si>
  <si>
    <t>Edge Eyewear Reclus Wrap-Around Safety Glasses (Black Frame, Polarized Smoke Lens) Premium Polarized Tinted Anti-Scratch Non-Slip UV400 Protection Glasses for All Day Comfort</t>
  </si>
  <si>
    <t>B08FXW56MB</t>
  </si>
  <si>
    <t>16.47</t>
  </si>
  <si>
    <t>18.3</t>
  </si>
  <si>
    <t>6572908085421</t>
  </si>
  <si>
    <t>Klein Tools 60400 Hard Hat, Non-Vented Full Brim Style, Padded, Self-Wicking Odor-Resistant Sweatband, Tested up to 20kV, White</t>
  </si>
  <si>
    <t>B07TQNTCKL</t>
  </si>
  <si>
    <t>Klein Tools 55488 Tradesman Pro™ Shoe Covers, Large</t>
  </si>
  <si>
    <t>Klein Tools 55488 Tradesman Pro Shoe Covers, Large</t>
  </si>
  <si>
    <t>B075ZY8TD1</t>
  </si>
  <si>
    <t>23.78</t>
  </si>
  <si>
    <t>1705925378148</t>
  </si>
  <si>
    <t>Klein Tools Hard Hat, Vented, Full Brim with Headlamp &amp; KHHSTRP Chin Strap for Hard Hat, Multi-point Adjustment and Soft Chin Cup, Fits Klein Tools Hard Hats</t>
  </si>
  <si>
    <t>B08KGCJDG8</t>
  </si>
  <si>
    <t>Klein Tools 60443 Reusable Face Mask Filter Replacement, 3-Pack</t>
  </si>
  <si>
    <t>Klein Tools 60443 Reusable Face Mask Filter Replacement, for use with Reusable Face Mask (Cat. No. 60442), 3-Pack,Black</t>
  </si>
  <si>
    <t>B08P3SYJ5X</t>
  </si>
  <si>
    <t>7.99</t>
  </si>
  <si>
    <t>11.0</t>
  </si>
  <si>
    <t>7766614147288</t>
  </si>
  <si>
    <t>Hellberg Safety Secure 2 Headband Hearing Protection</t>
  </si>
  <si>
    <t>7355712504024</t>
  </si>
  <si>
    <t>Klein Tools 56062 Rechargeable LED Headlamp/Worklight for Klein Hardhats &amp; 56060 Headlamp Bracket and Fabric Strap, Marker, Carpenter Pencil Holder, for Klein Removable Headlamp</t>
  </si>
  <si>
    <t>B09Z9239J6</t>
  </si>
  <si>
    <t>Milwaukee 48-73-2045 High Performance Safety Tinted Lenses Glasses with Gasket</t>
  </si>
  <si>
    <t>B08DL9B6GP</t>
  </si>
  <si>
    <t>Klein Tools 60538 Professional Full-Frame Gasket Safety Glasses, Indoor/Outdoor Lens</t>
  </si>
  <si>
    <t>7904002179288</t>
  </si>
  <si>
    <t>Klein Tools 60492 Knee Pads, Lightweight Padded Knee Sleeves, Breathable Mesh Back, Elastic Cuff with Slip-Resistant Silicone, Black, M/L</t>
  </si>
  <si>
    <t>B0B6216HMW</t>
  </si>
  <si>
    <t>Klein Tools 55489 Tradesman Pro™ Shoe Covers, X-Large</t>
  </si>
  <si>
    <t>Klein Tools 55489 Tradesman Pro Shoe Covers, X-Large</t>
  </si>
  <si>
    <t>B075ZVKW4Y</t>
  </si>
  <si>
    <t>4095115100260</t>
  </si>
  <si>
    <t>Klein Tools 60346 Hard Hat, Premium KARBN™ Pattern, Non-Vented Full Brim, Class E, Lamp</t>
  </si>
  <si>
    <t>7778030321880</t>
  </si>
  <si>
    <t>Klein Tools 60536 Safety Glasses, Professional PPE Protective Eyewear with Semi Frame, Scratch Resistant and Anti-Fog, Indoor/Outdoor Lens, Clear Lens</t>
  </si>
  <si>
    <t>B0BLQWVJDB</t>
  </si>
  <si>
    <t>Klein Tools 60511 Heavy Duty Knee Pad Sleeves, M/L</t>
  </si>
  <si>
    <t>Klein Tools 80123 Gloves and Kneepad PPE Kit with Heavy Duty Kneepad Sleeve, L/XL and Cut Level 4 Knit Dipped Gloves, Large, 2-Pair, 3-Piece</t>
  </si>
  <si>
    <t>B0BMNQ58MV</t>
  </si>
  <si>
    <t>55.98</t>
  </si>
  <si>
    <t>7817486074072</t>
  </si>
  <si>
    <t>Klein Tools 60615 Heavy Duty Knee Pad Sleeves, S/M</t>
  </si>
  <si>
    <t>7980639813848</t>
  </si>
  <si>
    <t>Klein Tools 56064 Rechargeable Headlamp with Silicone Strap, 400 Lumens, All-Day Runtime</t>
  </si>
  <si>
    <t>56.0</t>
  </si>
  <si>
    <t>7793129521368</t>
  </si>
  <si>
    <t>Klein Tools 56048 Rechargeable Headlamp with Fabric Strap, 400 Lumens, All-Day Runtime</t>
  </si>
  <si>
    <t>5348876091560</t>
  </si>
  <si>
    <t>John Boy ARMY Face Guard</t>
  </si>
  <si>
    <t>JOHN BOY Fishing Face Guard - UPF 50+ Multi-Weather Sport Mask with UV Sun Protection &amp; Moisture Wicking Fabric</t>
  </si>
  <si>
    <t>B0843KL4TR</t>
  </si>
  <si>
    <t>10.0</t>
  </si>
  <si>
    <t>5862883393704</t>
  </si>
  <si>
    <t>John Boy DESERT Face Guard</t>
  </si>
  <si>
    <t>John Boy Fishing Face Guard - UPF 50+ Multi-Weather Sport Mask with UV Sun Protection &amp; Moisture Wicking Fabric</t>
  </si>
  <si>
    <t>5862662930600</t>
  </si>
  <si>
    <t>Klein Tools 60113RL Hard Hat, Vented, Cap Style with Rechargeable Headlamp, White</t>
  </si>
  <si>
    <t>Klein Tools 60406RL Hard Hat, Rechargeable Headlamp, Non-vented, Full Brim Style, Padded Self-Wicking Odor-Resistant Sweatband, Tested up to 20kV, White</t>
  </si>
  <si>
    <t>B08FBZT3BW</t>
  </si>
  <si>
    <t>90.48</t>
  </si>
  <si>
    <t>7640861376728</t>
  </si>
  <si>
    <t>Klein Tools 60407RL Hard Hat, Rechargeable Headlamp, White &amp; 60181 Cooling Helmet Liner, Under Hard Hat Cap with Mesh Fabric at Crown</t>
  </si>
  <si>
    <t>B0BR1ZQB58</t>
  </si>
  <si>
    <t>Klein Tools 60189 Leather Work Gloves, X-Large, Pair</t>
  </si>
  <si>
    <t>Klein Tools 40084 Work Gloves, Durable Soft Grain Leather Lineman Gloves with Padded Knuckles, Extra Large,Black</t>
  </si>
  <si>
    <t>B003OD8YX0</t>
  </si>
  <si>
    <t>35.98</t>
  </si>
  <si>
    <t>4554986815588</t>
  </si>
  <si>
    <t>Klein Tools 40218 Journeyman Extreme Gloves, Large</t>
  </si>
  <si>
    <t>5782641410216</t>
  </si>
  <si>
    <t>John Boy USA Face Guard</t>
  </si>
  <si>
    <t>B0842ZW5XH</t>
  </si>
  <si>
    <t>5862585270440</t>
  </si>
  <si>
    <t>John Boy NEON REFLECT-Y Face Guard</t>
  </si>
  <si>
    <t>JOHN BOY Hunting Face Guard - UPF 50+ Camoflauge Sport Mask with UV Sun Protection &amp; Moisture Wicking Fabric</t>
  </si>
  <si>
    <t>B0843N839C</t>
  </si>
  <si>
    <t>5862932414632</t>
  </si>
  <si>
    <t>John Boy GRASS Face Guard</t>
  </si>
  <si>
    <t>6237276438701</t>
  </si>
  <si>
    <t>John Boy CLOWN Face Guard</t>
  </si>
  <si>
    <t>John Boy Construction Face Guard - UPF 50+ Neck Gaiter Mask with UV Sun Protection &amp; Moisture Wicking Fabric - BLUE CAMO</t>
  </si>
  <si>
    <t>B0842ZPQ65</t>
  </si>
  <si>
    <t>6241757397165</t>
  </si>
  <si>
    <t>JOHN BOY Construction Face Guard - UPF 50+ Jobsite Dust Mask with UV Sun Protection &amp; Moisture Wicking Fabric</t>
  </si>
  <si>
    <t>B08HSN8R2R</t>
  </si>
  <si>
    <t>John Boy Racing Face Guard - UPF 50+ Motorcycle Accesory Mask with UV Sun Protection &amp; Moisture Wicking Fabric</t>
  </si>
  <si>
    <t>B0842ZNDHF</t>
  </si>
  <si>
    <t>John Boy Fitness Face Guard - UPF 50+ Multi-Purpose Athletic Mask with UV Sun Protection &amp; Moisture Wicking Fabric</t>
  </si>
  <si>
    <t>B0842ZBT1T</t>
  </si>
  <si>
    <t>John Boy Construction Face Guard - UPF 50+ Jobsite Dust Mask with UV Sun Protection &amp; Moisture Wicking Fabric</t>
  </si>
  <si>
    <t>B0896948Y4</t>
  </si>
  <si>
    <t>John Boy PATRIOT Face Guard</t>
  </si>
  <si>
    <t>JOHN BOY Fitness Face Guard - UPF 50+ Multi-Purpose Athletic Mask with UV Sun Protection &amp; Moisture Wicking Fabric</t>
  </si>
  <si>
    <t>5862599458984</t>
  </si>
  <si>
    <t>B0843N88ML</t>
  </si>
  <si>
    <t>JOHN BOY Racing Face Guard - UPF 50+ Motorcycle Accesory Mask with UV Sun Protection &amp; Moisture Wicking Fabric</t>
  </si>
  <si>
    <t>B07TSPYCSZ</t>
  </si>
  <si>
    <t>B08HSKXW6L</t>
  </si>
  <si>
    <t>John Boy MEXICO Face Guard</t>
  </si>
  <si>
    <t>5862645727400</t>
  </si>
  <si>
    <t>B0842ZF56G</t>
  </si>
  <si>
    <t>B0842ZNMJ6</t>
  </si>
  <si>
    <t>B0842X4J49</t>
  </si>
  <si>
    <t>John Boy TEXAS Face Guard</t>
  </si>
  <si>
    <t>5862606110888</t>
  </si>
  <si>
    <t>John Boy STICKS Face Guard</t>
  </si>
  <si>
    <t>6241744355501</t>
  </si>
  <si>
    <t>B0842YWL6K</t>
  </si>
  <si>
    <t>Klein Tools 60188 Leather Work Gloves, Large, Pair</t>
  </si>
  <si>
    <t>4603169734756</t>
  </si>
  <si>
    <t>Hellberg Safety Secure 3 Headband Hearing Protection</t>
  </si>
  <si>
    <t>37.95</t>
  </si>
  <si>
    <t>43.95</t>
  </si>
  <si>
    <t>7355746713816</t>
  </si>
  <si>
    <t>Klein Tools 40233 Journeyman Wire Pulling Gloves, L</t>
  </si>
  <si>
    <t>Klein Tools 40232 Wire Pulling Gloves, Extra Grip Work Gloves with Thumb Reinforcements and Grip Patches on Palm and Fingertips, Medium, Black</t>
  </si>
  <si>
    <t>B01M6BV5H9</t>
  </si>
  <si>
    <t>28.0</t>
  </si>
  <si>
    <t>2379566121060</t>
  </si>
  <si>
    <t>Klein Tools 40229 High Dexterity Touchscreen Gloves, Medium</t>
  </si>
  <si>
    <t>Klein Tools 40229 High Dexterity Touchscreen Gloves, M</t>
  </si>
  <si>
    <t>B01M68QAAK</t>
  </si>
  <si>
    <t>25.49</t>
  </si>
  <si>
    <t>36.94</t>
  </si>
  <si>
    <t>4414344560740</t>
  </si>
  <si>
    <t>Klein Tools 60491 Heavy Duty Hinged Knee Pads</t>
  </si>
  <si>
    <t>69.98</t>
  </si>
  <si>
    <t>7872437092568</t>
  </si>
  <si>
    <t>Klein Tools 60100 Hard Hat, Non-Vented Cap Style, Padded, Self-Wicking Odor-Resistant Sweatband, Tested up to 20kV, White</t>
  </si>
  <si>
    <t>B07TMHWDG5</t>
  </si>
  <si>
    <t>Klein Tools 40232 Journeyman Wire Pulling Gloves, M</t>
  </si>
  <si>
    <t>28.98</t>
  </si>
  <si>
    <t>5984552386728</t>
  </si>
  <si>
    <t>Klein Tools 56064 Rechargeable Auto-Off LED Headlamp, Silicone Strap, 400 lms, All-Day Runtime, for Work, Running, Outdoor Hiking, Camping</t>
  </si>
  <si>
    <t>B08V5KZCM6</t>
  </si>
  <si>
    <t>Klein Tools 60511 Knee Pad, Heavy Duty Padded Knee Sleeves, Breathable Mesh Back, Elastic Cuff with Slip-Resistant Silicone, Black, M/L</t>
  </si>
  <si>
    <t>B0B7Z7YH75</t>
  </si>
  <si>
    <t>Klein Tools 60344 Hinged Gel Knee Pads</t>
  </si>
  <si>
    <t>Klein Tools 60344 Knee Pads, Hinged Gel Knee Pads with Slip Resistant Rubber Caps, Quick-Release Clips and Adjustable Straps, Black</t>
  </si>
  <si>
    <t>B099HB24TD</t>
  </si>
  <si>
    <t>51.4</t>
  </si>
  <si>
    <t>7832142938328</t>
  </si>
  <si>
    <t>Klein Tools 60619 Winter Thermal Gloves, M</t>
  </si>
  <si>
    <t>Klein Tools 60619 Gloves, Thinsulate Lined Thermal Winter Weather Work Gloves, Hook and Loop Wrist Closure, Knit Orange/Black Fabric, Medium</t>
  </si>
  <si>
    <t>B0BPF4V69H</t>
  </si>
  <si>
    <t>7931953512664</t>
  </si>
  <si>
    <t>Klein Tools 60406RL Hard Hat, Non-Vented, Full Brim with Rechargeable Headlamp, White</t>
  </si>
  <si>
    <t>105.0</t>
  </si>
  <si>
    <t>7850253418712</t>
  </si>
  <si>
    <t>Klein Tools 60176 Safety Glasses Hard Case</t>
  </si>
  <si>
    <t>Klein Tools 60176 Safety Glasses Case, Hard Eye Protection Case with Zipper Closure</t>
  </si>
  <si>
    <t>B08B7B7SH3</t>
  </si>
  <si>
    <t>10.5</t>
  </si>
  <si>
    <t>6104975540397</t>
  </si>
  <si>
    <t>Klein Tools 60592 Knee Pads, Lightweight Padded Knee Sleeves, Breathable Mesh Back, Elastic Cuff with Slip-Resistant Silicone, Black, L/XL</t>
  </si>
  <si>
    <t>B0B622FRN8</t>
  </si>
  <si>
    <t>Klein Tools 40230 High Dexterity Touchscreen Gloves, L,Black</t>
  </si>
  <si>
    <t>B01M68QBRU</t>
  </si>
  <si>
    <t>Klein Tools 6050350 Corded Earplugs, 50-Pair Dispenser Pack</t>
  </si>
  <si>
    <t>Klein Tools 6050350 Corded Earplugs, 25dB NRR, Reusable Orange, with Dispenser Box, for Construction, Shooting and Hunting, 50-Pack</t>
  </si>
  <si>
    <t>B0BSXS7PQ4</t>
  </si>
  <si>
    <t>7953969840344</t>
  </si>
  <si>
    <t>Tajima AZS-ROP SAFETY ROPE™ for Tape Measure</t>
  </si>
  <si>
    <t>TAJIMA AZS-ROP Safety Rope for Measuring Tape</t>
  </si>
  <si>
    <t>B07JZNFX1D</t>
  </si>
  <si>
    <t>16.43</t>
  </si>
  <si>
    <t>8032826360024</t>
  </si>
  <si>
    <t>Klein Tools 60173 PRO Safety Glasses Semi-Frame, Combo Pack</t>
  </si>
  <si>
    <t>Klein Tools 60173 Safety Glasses, Pro PPE Protective Eyewear with Semi Frame, Scratch Resistant, Anti-Fog Clear and Gray Lens Combo Pack</t>
  </si>
  <si>
    <t>B08B7BCQSX</t>
  </si>
  <si>
    <t>21.99</t>
  </si>
  <si>
    <t>31.0</t>
  </si>
  <si>
    <t>6104960106669</t>
  </si>
  <si>
    <t>Klein Tools 60442 Reusable Face Mask with Replaceable Filters</t>
  </si>
  <si>
    <t>Klein Tools 60442 Face Mask, Reusable with Replaceable Filter, Washable Fabric Anti Pollution Shield Mask, Adjustable Nose Clip</t>
  </si>
  <si>
    <t>B08P3TF8LJ</t>
  </si>
  <si>
    <t>21.0</t>
  </si>
  <si>
    <t>7766586228952</t>
  </si>
  <si>
    <t>Klein Tools 60614 Knee Pads, Lightweight Padded Knee Sleeves, Breathable Mesh Back, Elastic Cuff with Slip-Resistant Silicone, S/M, Black</t>
  </si>
  <si>
    <t>B0BW9WHCRJ</t>
  </si>
  <si>
    <t>Milwaukee 48-22-8733 Demolition Gloves, XL</t>
  </si>
  <si>
    <t>Milwaukee 48-22-8733 Demolition Gloves, X-Large</t>
  </si>
  <si>
    <t>B01BIE0G00</t>
  </si>
  <si>
    <t>4433519804516</t>
  </si>
  <si>
    <t>Klein Tools 60618 Winter Thermal Gloves, S</t>
  </si>
  <si>
    <t>Klein Tools 60618 Gloves, Thinsulate Lined Thermal Winter Weather Work Gloves, Hook and Loop Wrist Closure, Knit Orange/Black Fabric, Small</t>
  </si>
  <si>
    <t>B0BPDVYGPY</t>
  </si>
  <si>
    <t>7959424958680</t>
  </si>
  <si>
    <t>Klein Tools 40234 Journeyman Wire Pulling Gloves, XL</t>
  </si>
  <si>
    <t>Klein Tools 40234 Wire Pulling Gloves, Extra Grip Work Gloves with Thumb Reinforcements and Grip Patches on Palm and Fingertips, Extra Large,Black</t>
  </si>
  <si>
    <t>B01MQCC9IZ</t>
  </si>
  <si>
    <t>7829475950808</t>
  </si>
  <si>
    <t>Klein Tools 605036 Corded Earplugs, 6-Pair Pack</t>
  </si>
  <si>
    <t>Klein Tools 605036 Corded Earplugs, 25dB NRR, Reusable Orange Earplugs, 6-Pack with Case for Construction, Industrial Use, Shooting and Hunting</t>
  </si>
  <si>
    <t>B0BSZH7YDX</t>
  </si>
  <si>
    <t>5.97</t>
  </si>
  <si>
    <t>8.38</t>
  </si>
  <si>
    <t>7953966170328</t>
  </si>
  <si>
    <t>Klein Tools 40231 High Dexterity Touchscreen Gloves, XL</t>
  </si>
  <si>
    <t>Klein Tools 40231 High Dexterity Touchscreen Gloves, XL,Black</t>
  </si>
  <si>
    <t>B01M5G3WA7</t>
  </si>
  <si>
    <t>7769502974168</t>
  </si>
  <si>
    <t>Klein Tools 60620 Winter Thermal Gloves, L</t>
  </si>
  <si>
    <t>Klein Tools 60620 Gloves, Thinsulate Lined Thermal Winter Weather Work Gloves, Hook and Loop Wrist Closure, Knit Orange/Black Fabric, Large</t>
  </si>
  <si>
    <t>B0BPDVBNYF</t>
  </si>
  <si>
    <t>7931955806424</t>
  </si>
  <si>
    <t>Klein Tools 60172 PRO Safety Glasses, Wide Lens, 2-Pack</t>
  </si>
  <si>
    <t>Klein Tools 60172 Safety Glasses, Professional PPE Protective Eyewear with Semi Frame, Scratch Resistant, Anti-Fog, Clear Wide Lens, 2-Pack</t>
  </si>
  <si>
    <t>B08B6ZZY8D</t>
  </si>
  <si>
    <t>6103227990189</t>
  </si>
  <si>
    <t>Klein Tools 56062 Rechargeable LED Headlamp / Worklight for Klein Hardhats, 300 Lumens, All-Day Runtime, 3 Modes, for Work and Outdoors</t>
  </si>
  <si>
    <t>B089CHFBL3</t>
  </si>
  <si>
    <t>Klein Tools 60532 Hard Hat Earmuffs for Cap Style and Safety Helmets</t>
  </si>
  <si>
    <t>Klein Tools 60532 Earmuffs, Cap and Safety Helmet Hard Hat Attachment, 26dB Noise Protection, Construction, Manufacturing, Maintenance, Gray/Orange</t>
  </si>
  <si>
    <t>B0BMW81MN6</t>
  </si>
  <si>
    <t>7931899511000</t>
  </si>
  <si>
    <t>Klein Tools 60162 Safety Glasses, Professional PPE Protective Eyewear with Semi Frame, Scratch Resistant and Anti-Fog, Gray Lens</t>
  </si>
  <si>
    <t>B08B47MGR6</t>
  </si>
  <si>
    <t>Klein Tools 60502 Earmuffs, Full Brim Hard Hat Attachment, 26dB Noise Protection, for Construction, Manufacturing, Maintenance, Woodworking</t>
  </si>
  <si>
    <t>B0BMW8YRD8</t>
  </si>
  <si>
    <t>Klein Tools 60185 Work Gloves, Cut Level 2, Touchscreen, Large, 2-Pair</t>
  </si>
  <si>
    <t>Klein Tools 60185 Work Gloves, Cut-Resistant Gloves ANSI Rated A2, Touchscreen, Large, 2-Pair, Gray Knit, Black Coating, Orange Cuff Thread</t>
  </si>
  <si>
    <t>B088NBRY3M</t>
  </si>
  <si>
    <t>12.97</t>
  </si>
  <si>
    <t>18.18</t>
  </si>
  <si>
    <t>5241275121832</t>
  </si>
  <si>
    <t>Klein Tools 60538 Gasket Safety Glasses, Professional PPE Protective Eyewear, Full Frame, Scratch Resistant, Anti-Fog, Indoor/Outdoor Lens</t>
  </si>
  <si>
    <t>B0BLQ55RMQ</t>
  </si>
  <si>
    <t>Klein Tools 56048 Rechargeable Auto-Off LED Headlamp, Adjustable Fabric Strap, 400 lms, All-Day Runtime, for Work, Running, Outdoor Hiking</t>
  </si>
  <si>
    <t>B08J4H5LCV</t>
  </si>
  <si>
    <t>Klein Tools 60107 Hard Hat, Light, Non-Vented Cap Style, Padded, Self-Wicking Odor-Resistant Sweatband, Tested up to 20kV, White, Large</t>
  </si>
  <si>
    <t>B07TLG3VQJ</t>
  </si>
  <si>
    <t>Klein Tools 60248 Hard Hat, Non-Vented Cap Style, Padded, Self-Wicking Odor-Resistant Sweatband, Tested up to 20kV, Blue, Large</t>
  </si>
  <si>
    <t>B08FBZMLC7</t>
  </si>
  <si>
    <t>John Boy Hunting Face Guard - UPF 50+ Camoflauge Sport Mask with UV Sun Protection &amp; Moisture Wicking Fabric</t>
  </si>
  <si>
    <t>B0842Z7QTK</t>
  </si>
  <si>
    <t>John Boy TREE-BLK Face Guard</t>
  </si>
  <si>
    <t>John Boy Construction Face Guard - UPF 50+ Neck Gaiter Mask with UV Sun Protection &amp; Moisture Wicking Fabric - USA-BLK</t>
  </si>
  <si>
    <t>B0842Z8BRJ</t>
  </si>
  <si>
    <t>6241737572525</t>
  </si>
  <si>
    <t>John Boy TREE Face Guard</t>
  </si>
  <si>
    <t>6241649066157</t>
  </si>
  <si>
    <t>John Boy USA-BLK Face Guard</t>
  </si>
  <si>
    <t>5862477398184</t>
  </si>
  <si>
    <t>John Boy Construction Face Guard - UPF 50+ Neck Gaiter Mask with UV Sun Protection &amp; Moisture Wicking Fabric - USA</t>
  </si>
  <si>
    <t>B0842Z7XGT</t>
  </si>
  <si>
    <t>JOHN BOY Construction Face Guard - UPF 50+ Neck Gaiter Mask with UV Sun Protection &amp; Moisture Wicking Fabric - TEXAS</t>
  </si>
  <si>
    <t>B0842ZR926</t>
  </si>
  <si>
    <t>John Boy Construction Face Guard - UPF 50+ Neck Gaiter Mask with UV Sun Protection &amp; Moisture Wicking Fabric - PATRIOT</t>
  </si>
  <si>
    <t>B0842ZGZCQ</t>
  </si>
  <si>
    <t>Klein Tools 60198 Work Gloves, Cut Level 4, Touchscreen, X-Large, 2-Pair</t>
  </si>
  <si>
    <t>Klein Tools 60198 Work Gloves, Cut-Resistant Gloves ANSI Rated A4, Touchscreen, X-Large, High-visibility Yellow Knit, Black Coating, Orange Cuff Thread, 2-Pair</t>
  </si>
  <si>
    <t>B086TTXF5C</t>
  </si>
  <si>
    <t>18.89</t>
  </si>
  <si>
    <t>25.66</t>
  </si>
  <si>
    <t>5241291505832</t>
  </si>
  <si>
    <t>Klein Tools 40230 High Dexterity Touchscreen Gloves, L</t>
  </si>
  <si>
    <t>26.49</t>
  </si>
  <si>
    <t>35.0</t>
  </si>
  <si>
    <t>5996792774824</t>
  </si>
  <si>
    <t>Klein Tools 60184 Knee Pads, Lightweight Gel Knee Pads with Slip Resistant Rubber Caps and Adjustable Straps, Great for Construction, Black</t>
  </si>
  <si>
    <t>B088N5Q59S</t>
  </si>
  <si>
    <t>Klein Tools 60188 Work Gloves, Professional Grade Leather Gloves with Knuckle and Finger Protection, Thumb Reinforcement, Mesh Back, Large, Natural Tan/Black</t>
  </si>
  <si>
    <t>B086V4NCVL</t>
  </si>
  <si>
    <t>Edge Eyewear TXB246-P2 Brazeau Patriot 2 - White &amp; Black Bald Eagle/Polarized Smoke</t>
  </si>
  <si>
    <t>Edge TXB246-P2 Brazeau Patriot 2 Polarized Wrap-Around Safety Glasses, Anti-Scratch, Non-Slip, UV 400, Military Grade, ANSI/ISEA &amp; MCEPS Compliant, 5.04" Wide, White &amp; Black Bald Eagle Frame / Smoke Lens</t>
  </si>
  <si>
    <t>B00V3YQOKW</t>
  </si>
  <si>
    <t>27.47</t>
  </si>
  <si>
    <t>40.75</t>
  </si>
  <si>
    <t>4348368683108</t>
  </si>
  <si>
    <t>Klein Tools 29025 Rechargeable Lithium-ion Portable Battery to Power Klein Tools Hard Hat Cooling Fan Cat. No. 60155, Small</t>
  </si>
  <si>
    <t>B09H3MYQ95</t>
  </si>
  <si>
    <t>Klein Tools 40226 Journeyman Leather Utility Gloves, Medium</t>
  </si>
  <si>
    <t>Klein Tools 40227 Journeyman Leather Utility Gloves, Large, Brown</t>
  </si>
  <si>
    <t>B01MCYW7TO</t>
  </si>
  <si>
    <t>5651533463720</t>
  </si>
  <si>
    <t>Klein Tools 55487 Tradesman Pro™ Shoe Covers, Medium</t>
  </si>
  <si>
    <t>Klein Tools 55487 Tradesman Pro Shoe Covers, Medium</t>
  </si>
  <si>
    <t>B075ZYTQHP</t>
  </si>
  <si>
    <t>6754580693165</t>
  </si>
  <si>
    <t>Klein Tools 60269 Safety Vest, High-Visibility Reflective Vest, M/L</t>
  </si>
  <si>
    <t>Klein Tools 60269 Safety Vest, High-Vis Reflective Mesh with 8-Pockets, M/L</t>
  </si>
  <si>
    <t>B086V43Y28</t>
  </si>
  <si>
    <t>14.0</t>
  </si>
  <si>
    <t>5647343976616</t>
  </si>
  <si>
    <t>Klein Tools 40216 Journeyman Grip Gloves, Size Extra-Large XL</t>
  </si>
  <si>
    <t>Klein Tools 40216 Journeyman Grip Gloves, X-Large</t>
  </si>
  <si>
    <t>B00KZL59DW</t>
  </si>
  <si>
    <t>35.95</t>
  </si>
  <si>
    <t>2847173279844</t>
  </si>
  <si>
    <t>SKSAFETY 10 Pockets Safety Vest, Class 2 High Visibility Security with Zipper Back Mesh, Hi Vis Vest with Reflective Strips, ANSI/ISEA Standard, Construction Work Vest for Men ＆ Women （Lime, 3XL）</t>
  </si>
  <si>
    <t>B098JJFDKD</t>
  </si>
  <si>
    <t>Klein Tools 60107RL Hard Hat, Rechargeable Headlamp, Non-vented, Cap Style, Padded Self-Wicking Odor-Resistant Sweatband, Tested up to 20kV, White</t>
  </si>
  <si>
    <t>B08FC2DMCY</t>
  </si>
  <si>
    <t>Klein Tools 60268 Safety Vest, High-Vis Reflective Mesh with 8-Pockets, XL, Green/Silver</t>
  </si>
  <si>
    <t>B086TTX1DN</t>
  </si>
  <si>
    <t>Klein Tools 60186 Work Gloves, Cut Level 4, Touchscreen, Large, 2-Pair</t>
  </si>
  <si>
    <t>Klein Tools 60186 Work Gloves, Cut-Resistant Gloves ANSI Rated A4, Touchscreen, Large, 2-Pair</t>
  </si>
  <si>
    <t>B086V5W257</t>
  </si>
  <si>
    <t>18.87</t>
  </si>
  <si>
    <t>26.56</t>
  </si>
  <si>
    <t>5241286066344</t>
  </si>
  <si>
    <t>Klein Tools 60189 Work Gloves, Professional Grade Leather Gloves with Knuckle and Finger Protection, Thumb Reinforcement, Mesh Back, X-Large</t>
  </si>
  <si>
    <t>B086V3DD9H</t>
  </si>
  <si>
    <t>MILWAUKEE'S 48-22-8732 Demolition Gloves, Large, Black/Red</t>
  </si>
  <si>
    <t>B01BICDCYY</t>
  </si>
  <si>
    <t>Klein Tools 56063 Rechargeable Safety Lamp with Magnet</t>
  </si>
  <si>
    <t>Klein Tools 56063 Rechargeable Safety Light with Magnet, Red, Mounts to Klein Hard Hats and Safety Helmets, Medium</t>
  </si>
  <si>
    <t>B09BTCMVN6</t>
  </si>
  <si>
    <t>34.49</t>
  </si>
  <si>
    <t>48.3</t>
  </si>
  <si>
    <t>7833437012184</t>
  </si>
  <si>
    <t>Edge SR116 Reclus Wrap-Around Safety Glasses, Anti-Scratch, Non-Slip, UV 400, Military Grade, ANSI/ISEA &amp; MCEPS Compliant, 5.04" Wide, Black Frame/Smoke Lens</t>
  </si>
  <si>
    <t>B002R98J1E</t>
  </si>
  <si>
    <t>John Boy Racing Face Guard - UPF 50+ Neck Gaiter Mask with UV Sun Protection &amp; Moisture Wicking Fabric - TOXIC</t>
  </si>
  <si>
    <t>B0842ZPD8B</t>
  </si>
  <si>
    <t>CLC 361 ULTRAFLEX Non-Skid Kneepads</t>
  </si>
  <si>
    <t>CLC Custom Leathercraft 361 Ultraflex Non-Skid Kneepads,Grey</t>
  </si>
  <si>
    <t>B0000DYVAI</t>
  </si>
  <si>
    <t>39.95</t>
  </si>
  <si>
    <t>5276074672296</t>
  </si>
  <si>
    <t>Klein Tools 40219 Journeyman Extreme Gloves, X-Large</t>
  </si>
  <si>
    <t>60.58</t>
  </si>
  <si>
    <t>2846942199908</t>
  </si>
  <si>
    <t>CLC DeWALT DG5203 Heavy-Duty Smooth Cap Kneepads</t>
  </si>
  <si>
    <t>DeWalt DG5203 Heavy Duty Smooth Cap Kneepads</t>
  </si>
  <si>
    <t>B001P30BQ4</t>
  </si>
  <si>
    <t>5264799596712</t>
  </si>
  <si>
    <t>B00KXDQGZC</t>
  </si>
  <si>
    <t>Klein Tools 40205 Journeyman Utility Gloves, Medium</t>
  </si>
  <si>
    <t>B00KZL59W8</t>
  </si>
  <si>
    <t>Klein Tools 40206 Journeyman Utility Gloves, Large</t>
  </si>
  <si>
    <t>B00KZL5AEK</t>
  </si>
  <si>
    <t>Klein Tools 40213 Journeyman Cold Weather Pro Gloves, X-Large</t>
  </si>
  <si>
    <t>B00KZL5C3E</t>
  </si>
  <si>
    <t>ProCase Noise Reduction Safety Ear Muffs, 32dB Hearing Protection Earmuffs Ear Defenders with Adjustable Headband for Shooting Mowing Construction Manufacturing Woodwork -Red</t>
  </si>
  <si>
    <t>B09W25LK3W</t>
  </si>
  <si>
    <t>Klein Tools 40212 Journeyman Cold Weather Pro Gloves, Large</t>
  </si>
  <si>
    <t>B00KZL5BLW</t>
  </si>
  <si>
    <t>45.44</t>
  </si>
  <si>
    <t>7851952701656</t>
  </si>
  <si>
    <t>Klein Tools 40209 Journeyman Camouflage Gloves, Large</t>
  </si>
  <si>
    <t>B00KWN4QIC</t>
  </si>
  <si>
    <t>REXBETI Knee Pads for Work, Construction Gel Knee Pads Tools, Heavy Duty Comfortable Anti-slip Foam Knee Pads for Cleaning Flooring and Garden, Strong Stretchable Straps, 1 Pair</t>
  </si>
  <si>
    <t>B07BPWV83H</t>
  </si>
  <si>
    <t>G &amp; F Products 12010BL Highest NRR Safety Muffs-Professional Defenders Adjustable Headband Ear Protection, Shooting Hearing Protector Earmuffs Fits Adults to Kids, one Size, Black</t>
  </si>
  <si>
    <t>B01AFOJ3I0</t>
  </si>
  <si>
    <t>Edge Eyewear DZ116-G2 Zorge G2 Wrap-Around Safety Glasses, Anti-Scratch, Non-Slip, UV 400, Military Grade, ANSI/ISEA &amp; MCEPS Compliant, 5.04" Wide, Black Frame / Smoke Lens, One Size</t>
  </si>
  <si>
    <t>B00OYIMUDE</t>
  </si>
  <si>
    <t>Hellberg Safety Xstream Headband Hearing Protection</t>
  </si>
  <si>
    <t>179.0</t>
  </si>
  <si>
    <t>7355764277464</t>
  </si>
  <si>
    <t>Cambridge 3/4" PVC Liquid Tight Conduit Fitting - Straight</t>
  </si>
  <si>
    <t>60Pcs,3/4" Liquid Tight Connector Non-Metallic Electrical Conduit Fittings, PVC Flexible Conduit Fittings, UL Listed(60Pcs Straight)</t>
  </si>
  <si>
    <t>B0BWTZR72Z</t>
  </si>
  <si>
    <t>1.5</t>
  </si>
  <si>
    <t>8028223897816</t>
  </si>
  <si>
    <t>Cambridge 1/2" PVC Liquid Tight Conduit Fitting - 90 Degree</t>
  </si>
  <si>
    <t>120 Pieces 1/2 Inch Liquid Tight Connector Nonmetallic Electrical Conduit Fittings 90 Degree Flexible PVC Conduit Connector for Kitchen Home Bathroom Tube Tool Supplies (90 Degree）</t>
  </si>
  <si>
    <t>B0C282NCDC</t>
  </si>
  <si>
    <t>1.48</t>
  </si>
  <si>
    <t>8028224422104</t>
  </si>
  <si>
    <t>30Pcs,3/4" Liquid Tight Connector Non-Metallic Electrical Conduit Fittings, PVC Flexible Conduit Fittings, UL Listed(Straight+90 Degree)</t>
  </si>
  <si>
    <t>B0B76D3XQX</t>
  </si>
  <si>
    <t>Cambridge 1/2" PVC Liquid Tight Conduit Fitting - Straight</t>
  </si>
  <si>
    <t>1/2 inch 60ft Liquid Tight Conduit and Connector Kit with 10 Straight and 6 Angle Fittings Included, Flexible Non Metallic Liquid Tight Electrical Conduit</t>
  </si>
  <si>
    <t>B0BS3SQ16M</t>
  </si>
  <si>
    <t>1.19</t>
  </si>
  <si>
    <t>8028223144152</t>
  </si>
  <si>
    <t>1/2 Inch Liquid Tight Connector PVC Electrical Conduit Fittings Straight 90 Degree Flexible Conduit Connector for Home Bathroom Tube Tool Supplies, Grey(50 Pcs)</t>
  </si>
  <si>
    <t>B0BQ728PVW</t>
  </si>
  <si>
    <t>Yaomiao Liquid Tight Connector 180 Degree Electrical Conduit Fittings Non Metallic PVC Conduit Fitting for Home Bathroom Kitchen Pipe, Gray (30 Pcs, 3/4 Inch)</t>
  </si>
  <si>
    <t>B0C3LGVCB2</t>
  </si>
  <si>
    <t>30Pcs 1/2" Liquid Tight Connector Electrical Conduit Connector Flexible Electrical Conduit Connector Fitting Electrical PVC Conduit Fittings,UL Listed(90 Degree and 180 Degree)</t>
  </si>
  <si>
    <t>B0BGR7DWR5</t>
  </si>
  <si>
    <t>Neorexon Liquid-Tight Conduit and Connector Kit 1/2inch 25ft, Flexible Non Metallic Liquid Tight Electrical Conduit UL Certification, Electrical Conduit Kit with 5 Straight, 5 Angle Fittings</t>
  </si>
  <si>
    <t>B0BJKD7KNP</t>
  </si>
  <si>
    <t>Cambridge 1/4" O.D. ACR Copper 90° Long Turn Elbow</t>
  </si>
  <si>
    <t>10 PCS 1/2" CxC Wrot Copper 90° Long Turn Elbow For 5/8"O.D. Pipe, BY PAKA TOOLS USA</t>
  </si>
  <si>
    <t>B09DXNF2ZH</t>
  </si>
  <si>
    <t>0.89</t>
  </si>
  <si>
    <t>8029392470232</t>
  </si>
  <si>
    <t>Cambridge 3/4" PVC Liquid Tight Conduit Fitting - 90 Degree</t>
  </si>
  <si>
    <t>Liquid Tight Connector 3/4 Inch 90 Degree Non Metallic Flex Electrical Conduit Fittings, Electrical Conduit Connector Fitting for PVC Pipe Cable Home Kitchen (25 Pcs)</t>
  </si>
  <si>
    <t>B0B5TYFB73</t>
  </si>
  <si>
    <t>1.8</t>
  </si>
  <si>
    <t>8028225175768</t>
  </si>
  <si>
    <t>Liquid-Tight Conduit and Connector Kit,3/4" 25ft Flexible Non Metallic Liquid Tight Electrical Conduit,with 5 Straight and 3 Angle Fittings Included</t>
  </si>
  <si>
    <t>B0C7QVWQ2X</t>
  </si>
  <si>
    <t>Liquid-Tight Conduit - 3/4inch 25 Foot Flexible Non Metallic Liquid Tight Electrical Conduit Kit, with 4 Straight and 3 Angle Fittings Included. 3/4" Dia</t>
  </si>
  <si>
    <t>B0B7R6R75T</t>
  </si>
  <si>
    <t>Feotech Liquid-Tight Conduit and Connector Kit - 3/4 Inch 25 FT Non Metallic Liquid Tight Electrical Conduit with 5 Straight and 5 Angle Fittings</t>
  </si>
  <si>
    <t>B0BY7SYDFJ</t>
  </si>
  <si>
    <t>FirmiBang Liquid Tight Connector 3/4 in - Non-Metallic Electrical Conduit Fittings, UL Listed PVC Conduit Fitting (Straight, 16 Pack)</t>
  </si>
  <si>
    <t>B0BW5MGW55</t>
  </si>
  <si>
    <t>Supco BPV31 BULLET® Piercing Valve - 1/4", 5/16 &amp; 3/8" O.D.</t>
  </si>
  <si>
    <t>SUPCO BPV-31 Bullet 3-in-1 Line Tap Piercing Valve, 500 psi Pressure, 1/4", 5/16", and 3/8" OD Size (Pack of 12)</t>
  </si>
  <si>
    <t>B071GRBXNP</t>
  </si>
  <si>
    <t>3.49</t>
  </si>
  <si>
    <t>2632316715108</t>
  </si>
  <si>
    <t>Klein Tools 55437 Tradesman Pro™ Work Light / Tool Bag Light / Cooler Light</t>
  </si>
  <si>
    <t>Klein Tools 55473RTB Rolling Tool Bag, Tradesman Pro Tool Master, 250lbs Load Rated &amp; 55437 Tradesman Pro Work Light/Tool Bag Light/Cooler Light, for Work, and Outdoor Hiking, Camping</t>
  </si>
  <si>
    <t>B0BC83F3HC</t>
  </si>
  <si>
    <t>19.14</t>
  </si>
  <si>
    <t>3722218897508</t>
  </si>
  <si>
    <t>BBTO Liquid Tight Connector 1/2 Inch Flexible Non Metallic Electrical Conduit Connector Fitting 90 Degree Electrical PVC Conduit Fittings for Home Kitchen Bathroom Tube Tool Supplies (24 Pieces)</t>
  </si>
  <si>
    <t>B09PTFZ341</t>
  </si>
  <si>
    <t>Kroil KS132 Original Penetrant Aerosol 13oz can</t>
  </si>
  <si>
    <t>Kroil Original Penetrating Oil (Aerosol Spray-13oz Can-Case of 12) | Penetrant for Rusted Bolts, Metal, Hinges, Chains, Moving Parts | Rust, Corrosion Inhibitor (KS132C)</t>
  </si>
  <si>
    <t>B08ZSZ82YY</t>
  </si>
  <si>
    <t>23.79</t>
  </si>
  <si>
    <t>27.4</t>
  </si>
  <si>
    <t>8005750554840</t>
  </si>
  <si>
    <t>Trion 266649-101 Pleated 16x25x3 MERV-13 Air Filter Media (1 filter)</t>
  </si>
  <si>
    <t>Nordic Pure 16x25x3 (15_13/16 x 24_5/16 x 3) MERV 15 Trion Bear Cub 266649-101 Replacement Pleated AC Furnace Air Filters</t>
  </si>
  <si>
    <t>B07B7PNMBH</t>
  </si>
  <si>
    <t>29.36</t>
  </si>
  <si>
    <t>7794251989208</t>
  </si>
  <si>
    <t>Moicstiy 10Pcs 1/2 Inch NPT Liquid Tight Connector Nonmetallic Electrical Conduit Connector Fitting, UL Listed PVC Flexible Conduit Fittings (5Pcs Straight + 5Pcs 90 Degree)</t>
  </si>
  <si>
    <t>B0B2VV972D</t>
  </si>
  <si>
    <t>Klein Tools 69445 Rare Earth Magnetic Hanger, no Strap</t>
  </si>
  <si>
    <t>Klein Tools ET600 Multimeter, Megohmmeter Insulation Tester, 4000 Ohms Resistance, 125V/250V/500V/1000V, Auto-Ranging TRMS Multimeter &amp; Rare-Earth Magnetic Hanger no Strap</t>
  </si>
  <si>
    <t>B0B7NFMBPZ</t>
  </si>
  <si>
    <t>22.84</t>
  </si>
  <si>
    <t>6112025280685</t>
  </si>
  <si>
    <t>Klein Tools 69417 Rare Earth Magnetic Meter Hanger, with Strap</t>
  </si>
  <si>
    <t>Klein Tools CL800 Digital Clamp Meter, Autoranging TRMS &amp; Klein Tools 69409 Line Splitter 10x, Black &amp; Klein Tools 69417 Rare-Earth Magnetic Hanger, with Strap</t>
  </si>
  <si>
    <t>B0C99CGRNM</t>
  </si>
  <si>
    <t>1778073731172</t>
  </si>
  <si>
    <t>Nu-Calgon 4289-05 Refrigerant Sealant 10ml</t>
  </si>
  <si>
    <t>Nu-Calgon 4050-11 EasySeal Direct Inject-UV Dye Refrigerant Leak Sealant, One Size Treats Systems 2 to 7.5 Tons</t>
  </si>
  <si>
    <t>B072Q3MX47</t>
  </si>
  <si>
    <t>9.0</t>
  </si>
  <si>
    <t>8007254081752</t>
  </si>
  <si>
    <t>1/2 Inch 90 Degree Nonmetallic Liquid Tight Electrical Conduit Conector Fitting, 5 Pack, UL Listed</t>
  </si>
  <si>
    <t>B08RX49Y2R</t>
  </si>
  <si>
    <t>Diablo Tools DMAPL4210 5/8 in. x 4 in. x 6 in. Rebar Demon™ SDS‑Plus 4‑Cutter Full Carbide Head Hammer Bit</t>
  </si>
  <si>
    <t>Diablo by Freud DMAPL4180-P25 1/2 in. x 4 in. x 6 in. Rebar Demon SDS-Plus 4-Cutter Full Carbide Head Hammer Bit (25-Pack) Multi, One Size</t>
  </si>
  <si>
    <t>B089LGWV7F</t>
  </si>
  <si>
    <t>9.97</t>
  </si>
  <si>
    <t>13.77</t>
  </si>
  <si>
    <t>5326920482984</t>
  </si>
  <si>
    <t>YXX-TECH 3/4 Inch Flexible Nonmetallic Liquid-Tight Connector, 90-Degree Electrical Conduit Connector Fitting,UL Listed, (6 PACK) (3/4 Npt 90D)</t>
  </si>
  <si>
    <t>B0828V3HJQ</t>
  </si>
  <si>
    <t>Nu-Calgon 4300-50 Rx11-Flush Line Set Flushing Tool</t>
  </si>
  <si>
    <t>Nu-Calgon 4300-11 - Rx11 Line Set Flush 2 lb. Canister</t>
  </si>
  <si>
    <t>B007IB7NY0</t>
  </si>
  <si>
    <t>13.53</t>
  </si>
  <si>
    <t>20.82</t>
  </si>
  <si>
    <t>7760937058520</t>
  </si>
  <si>
    <t>Klein Tools CL800 Digital Clamp Meter, Autoranging TRMS, AC/DC Volt/Current, LOZ, Continuity, Frequency, Capacitance, NCVT, Temp, More 1000V &amp; Rare-Earth Magnetic Hanger no Strap</t>
  </si>
  <si>
    <t>B0BFXMP222</t>
  </si>
  <si>
    <t>Maitys 1/2 Inch Liquid Tight Connector PVC Electrical Conduit Fittings Straight 180 Degree Flexible Conduit Connector for Home Kitchen Bathroom Tube Tool Supplies (10 Pcs)</t>
  </si>
  <si>
    <t>B0BF5G5X78</t>
  </si>
  <si>
    <t>Moicstiy 3/4 Inch NPT Liquid Tight Connector 90 Degree Nonmetallic Electrical PVC Conduit Connector Fitting(6Pcs)</t>
  </si>
  <si>
    <t>B0B2VDMQ8D</t>
  </si>
  <si>
    <t>FirmiBang Liquid Tight Connector 1/2 in - Non-Metallic Electrical Conduit Fittings, UL Listed PVC Conduit Fitting (Straight, 8 Pack)</t>
  </si>
  <si>
    <t>B09BZ6195M</t>
  </si>
  <si>
    <t>Sealproof 1/2-Inch Non-metallic Liquid Tight Straight Electrical Conduit Connector Fitting, UL Listed, 1/2" Dia, 5-Pack</t>
  </si>
  <si>
    <t>B0756MCT9P</t>
  </si>
  <si>
    <t>1/2" Liquid Tight Connector Electrical Conduit Connector 90 Degree and 180 Degree PVC Flexible Conduit Connector Fitting for Home Kitchen Bathroom Tube Tool Supplies (10 Pcs)</t>
  </si>
  <si>
    <t>B0C621G3ZP</t>
  </si>
  <si>
    <t>Fuzbaxy 3/4" NPT Liquid Tight Connector 90 Degree Electrical Conduit Connector Fitting-6pack</t>
  </si>
  <si>
    <t>B09SCM9FQK</t>
  </si>
  <si>
    <t>Diablo by Freud DMAPL4040-P25 3/16 in. x 4 in. x 6 in. Rebar Demon™ SDS-Plus 4-Cutter Full Carbide Head Hammer Bit (25-Pack)</t>
  </si>
  <si>
    <t>B089LKW42D</t>
  </si>
  <si>
    <t>1/2 inch Liquid Tight Connector PVC Flexible Conduit Connector UL Listed Liquid Tight Connector Non-Metallic Electrical Conduit Fittings 6 Pack (4 pcs 180D/2 pcs 90D)</t>
  </si>
  <si>
    <t>B0BX9J9PJV</t>
  </si>
  <si>
    <t>Packard Titan PRO TOC5 Motor Run Capacitor 5 MFD 370 Volt Oval</t>
  </si>
  <si>
    <t>Packard TOCFD255 Titan Pro Motor Run Capacitor 25+5 MFD 440/370V OVAL Capacitor</t>
  </si>
  <si>
    <t>B009558O8G</t>
  </si>
  <si>
    <t>1.84</t>
  </si>
  <si>
    <t>3597257539684</t>
  </si>
  <si>
    <t>Klein Tools CL700 Autoranging Digital Clamp Meter, TRMS 600Amp, AC/DC Volts, Current, LOZ, Continuity, Frequency, NCVT, Temp, More, 1000V &amp; 69417 Rare-Earth Magnetic Hanger, with Strap</t>
  </si>
  <si>
    <t>B0BFXLZRVQ</t>
  </si>
  <si>
    <t>Klein Tools 69410 Replacement Test Lead Set, Right Angle</t>
  </si>
  <si>
    <t>Klein Tools CL800 Digital Clamp Meter, Autoranging TRMS, AC/DC Volt/Current, LOZ, Continuity, Frequency, Capacitance, NCVT, Temp, More 1000V &amp; Test Lead Set, Right Angle Klein Tools 69410</t>
  </si>
  <si>
    <t>B0B2D3PJS9</t>
  </si>
  <si>
    <t>27.1</t>
  </si>
  <si>
    <t>4274171543652</t>
  </si>
  <si>
    <t>Lucas Milhaupt 99088 AL 822 Aluminum Solder, 4 Rods</t>
  </si>
  <si>
    <t>Lucas-Milhaupt 99088 Flux Cored Aluminum 822, 4 Pack of 4</t>
  </si>
  <si>
    <t>B0B22K311X</t>
  </si>
  <si>
    <t>25.58</t>
  </si>
  <si>
    <t>3567265251428</t>
  </si>
  <si>
    <t>Packard TTMJ108 Motor Start Capacitor 108-130 MFD 220-250 VAC</t>
  </si>
  <si>
    <t>Pooltek Start Capacitor, 108-130 MFD, 220-250 VAC</t>
  </si>
  <si>
    <t>B07D71163G</t>
  </si>
  <si>
    <t>4.39</t>
  </si>
  <si>
    <t>8028091154648</t>
  </si>
  <si>
    <t>Klein Tools 646-1/4 1/4-Inch Nut Driver with 6-Inch Hollow Shaft</t>
  </si>
  <si>
    <t>Klein Tools 647 Tool Set, Nut Drivers Sizes 3/16, 1/4, 5/16, 11/32, 3/8, 7/16, 1/2-Inch, Chrome-Plated 6-Inch Shafts, Cushion Grip, 7-Piece</t>
  </si>
  <si>
    <t>B0014KRVXO</t>
  </si>
  <si>
    <t>12.1</t>
  </si>
  <si>
    <t>4439433740388</t>
  </si>
  <si>
    <t>3/4 Inch 90 Degree Nonmetallic Liquid Tight Electrical Conduit Conector Fitting, 4 Pack, UL Listed</t>
  </si>
  <si>
    <t>B08RX4KXND</t>
  </si>
  <si>
    <t>LifCratms 4Pcs NPT 1/2" 180D Electrical Conduit Connector Fittings, PVC Non-metallic Liquid Tight Straight Conduit Connector</t>
  </si>
  <si>
    <t>B0BJKDYGF8</t>
  </si>
  <si>
    <t>1/2-Inch Liquid Tight Connector 90-Degree, for PVC Electrical Flexible Conduit Fittings NPT Non-Metallic Connectors, for Home Outdoor Tubes Tools, UL Listed, Grey, 8-Pack</t>
  </si>
  <si>
    <t>B0C6D6HV36</t>
  </si>
  <si>
    <t>Packard PTMJ56 Motor Start Capacitor 53-64 MFD 220-250 VAC</t>
  </si>
  <si>
    <t>PTMJ460 - Packard Upgraded Replacement Motor Start Capacitor 460-552 MFD 220-250 Volt VAC</t>
  </si>
  <si>
    <t>B0773VHK69</t>
  </si>
  <si>
    <t>3.59</t>
  </si>
  <si>
    <t>4414971347044</t>
  </si>
  <si>
    <t>Klein Tools CL600 Electrical Tester, Digital Clamp Meter has Autorange TRMS, Measures AC Current, AC/DC Volts, Resistance, NCVT, More, 1000V &amp; 69417 Rare-Earth Magnetic Hanger, with Strap</t>
  </si>
  <si>
    <t>B0BFXMTPBR</t>
  </si>
  <si>
    <t>UEi PDT650 Digital Folding Pocket Thermometer</t>
  </si>
  <si>
    <t>UEi Test Instruments PDT650 Folding Pocket Digital Thermometer (5-(Pack))</t>
  </si>
  <si>
    <t>B07N44VYFP</t>
  </si>
  <si>
    <t>19.51</t>
  </si>
  <si>
    <t>22.95</t>
  </si>
  <si>
    <t>3569106649188</t>
  </si>
  <si>
    <t>Moicstiy 6Pcs 3/4 Inch NPT Liquid Tight Connector Nonmetallic Straight Electrical Conduit Connector Fitting, UL Listed PVC Flexible Conduit Fittings</t>
  </si>
  <si>
    <t>B0B2V8G73L</t>
  </si>
  <si>
    <t>Bacharach 3015-0486 H-10 PRO Refrigerant Leak Detector Replacement Sensor</t>
  </si>
  <si>
    <t>Bacharach 3015-8004 H-10 Pro Refrigerant Leak Detectors</t>
  </si>
  <si>
    <t>B017PEZAUI</t>
  </si>
  <si>
    <t>146.7</t>
  </si>
  <si>
    <t>163.0</t>
  </si>
  <si>
    <t>7830926622936</t>
  </si>
  <si>
    <t>Kroil Penetrant with Graphite (Aerosol Spray-13oz Can-Case of 6) | High Temperature Penetrating Lubricant for Small Gaps, Corroded Metal, Seized Parts (AZPH132C6)</t>
  </si>
  <si>
    <t>B0B31ZX4SZ</t>
  </si>
  <si>
    <t>Kroil KL081 Original Penetrant 8oz can</t>
  </si>
  <si>
    <t>Kroil Original Penetrating Oil (Drip-8oz Can-Case of 6) | Penetrant for Rusted Bolts, Metal, Hinges, Chains, Moving Parts | Rust, Corrosion Inhibitor (AZKL081C6)</t>
  </si>
  <si>
    <t>B08ZM7PPK3</t>
  </si>
  <si>
    <t>16.09</t>
  </si>
  <si>
    <t>17.1</t>
  </si>
  <si>
    <t>8005737971928</t>
  </si>
  <si>
    <t>UEi Test Instruments PDT650 Folding Pocket Digital Thermometer (Pack of 4)</t>
  </si>
  <si>
    <t>B085PTFRPH</t>
  </si>
  <si>
    <t>Klein Tools MAG2 Magnetizer / Demagnetizer</t>
  </si>
  <si>
    <t>Klein Tools 32288 Insulated Screwdriver, 8-in-1 Screwdriver Set &amp; MAG2 Demagnetizer/Magnetizer for Screwdriver Bits and Tips, Makes Tools Magnetic with Powerful Rare-Earth Magnet</t>
  </si>
  <si>
    <t>B0BXK8RB9N</t>
  </si>
  <si>
    <t>13.96</t>
  </si>
  <si>
    <t>1706086858852</t>
  </si>
  <si>
    <t>Klein Tools MM700 Multimeter, Electrical Tester is Autoranging, for AC/DC, LOZ, Temp, Capacitance, Resistance, Frequency, and More, 1000V &amp; Test Lead Set, Right Angle Klein Tools 69410</t>
  </si>
  <si>
    <t>B0BD3XZ29K</t>
  </si>
  <si>
    <t>Klein Tools MM720 Digital Multimeter, Auto-Ranging TRMS, Low Impedance (LOZ), 1000V AC/DC Voltage, 10A AC/DC Current, 60 MOhms Resistance,Orange/Black &amp; 69410 Replacement Test Lead Set, Right Angle</t>
  </si>
  <si>
    <t>B0C7QB94HG</t>
  </si>
  <si>
    <t>Klein Tools ET120 Combustible Gas Leak Detector</t>
  </si>
  <si>
    <t>FLIR C3-X Compact Thermal Camera, Inspection Tool &amp; Klein Tools ET120 Gas Leak Detector, Combustible Gas Leak Tester with 18-Inch Gooseneck Has Range 50-10,000 ppm, Includes Pouch, Batteries</t>
  </si>
  <si>
    <t>B09Q663FQ5</t>
  </si>
  <si>
    <t>179.32</t>
  </si>
  <si>
    <t>1828453187684</t>
  </si>
  <si>
    <t>Refrigeration Technologies RT175B Viper Big Blu - Brush On Micro Leak Detector</t>
  </si>
  <si>
    <t>Refrigeration Technologies RT400P Viper Wetrag Heat Blocking Putty Jar (1), 12 oz. &amp; RT100S Big Blu Micro Leak Detector 1 Qt</t>
  </si>
  <si>
    <t>B0CB13Q956</t>
  </si>
  <si>
    <t>8.39</t>
  </si>
  <si>
    <t>9.22</t>
  </si>
  <si>
    <t>5300024967336</t>
  </si>
  <si>
    <t>ICM Controls ICM2811 Furnace Control Board - Replacement for Goodman</t>
  </si>
  <si>
    <t>ICM Controls ICM280 Furnace Control Replacement for OEM Models Including Goodman B18099-xx Series Control Boards, Multicolor (Twо Расk)</t>
  </si>
  <si>
    <t>B0893PWC76</t>
  </si>
  <si>
    <t>68.99</t>
  </si>
  <si>
    <t>93.62</t>
  </si>
  <si>
    <t>4345448202340</t>
  </si>
  <si>
    <t>Nu-Calgon 4171-75 Evap Foam No Rinse, Aerosol Coil Cleaner (18 oz. can)</t>
  </si>
  <si>
    <t>Nu-Calgon 4171-75 Evap Foam No Rinse Evaporator Coil Cleaner, 18 oz. - Pack of 6</t>
  </si>
  <si>
    <t>B07H26XW8D</t>
  </si>
  <si>
    <t>17.7</t>
  </si>
  <si>
    <t>7766316646616</t>
  </si>
  <si>
    <t>Channellock 804 4-Inch Chrome Adjustable Wrench</t>
  </si>
  <si>
    <t>CHANNELLOCK® VWS-4 Chrome Adjustable Wrench Set, 4-Piece | 4, 6, 10, 12-Inch | Wide Jaw Capacity | Precise Jaw Design Grips Tight in Confined Space | Laser-Etched Measurement Scales</t>
  </si>
  <si>
    <t>B0891JNCRL</t>
  </si>
  <si>
    <t>16.95</t>
  </si>
  <si>
    <t>26.62</t>
  </si>
  <si>
    <t>4094611488868</t>
  </si>
  <si>
    <t>Packard PMJ88 Motor Start Capacitor 88-108 MFD 110-125 VAC</t>
  </si>
  <si>
    <t>PMJ850 - Packard Upgraded Replacement Motor Start Capacitor 850-1020 MFD 110-125 Volt VAC</t>
  </si>
  <si>
    <t>B0773VT257</t>
  </si>
  <si>
    <t>3.1</t>
  </si>
  <si>
    <t>6224638771373</t>
  </si>
  <si>
    <t>LifCratms 4Pcs NPT 3/4" 180D Electrical Conduit Connector Fittings, PVC Nonmetallic Liquid Tight Straight Conduit Connector</t>
  </si>
  <si>
    <t>B0BJJM3CZ5</t>
  </si>
  <si>
    <t>Titan Pro Oval Motor Run Capacitor, 5 Microfarad Rating, 370-440VAC Voltage - TOCF5</t>
  </si>
  <si>
    <t>B08TTKHC9D</t>
  </si>
  <si>
    <t>Klein Tools NCVT-2PKIT Dual Range Non-Contact Voltage Tester with Receptacle Tester</t>
  </si>
  <si>
    <t>Klein Tools HVNCVT-1 Dual-Range Non-Contact High-Voltage Tester, Dual-Range, Audio/Visual Indicators, Water Resistant, With Case and Battery, Black</t>
  </si>
  <si>
    <t>B015KU2EXU</t>
  </si>
  <si>
    <t>41.28</t>
  </si>
  <si>
    <t>6082146238637</t>
  </si>
  <si>
    <t>heyous 4pcs PVC Liquid Tight 90 Degree Connector 3/4" NPT Electrical Conduit Fittings, Gray</t>
  </si>
  <si>
    <t>B0BKRRG1QV</t>
  </si>
  <si>
    <t>ISPINNER 4pcs NPT 3/4" Nonmetallic Liquid Tight 90 Degree Electrical Conduit Connector Fittings, UL Listed, 94V-1, Pack of 4</t>
  </si>
  <si>
    <t>B097GNQNTP</t>
  </si>
  <si>
    <t>Viega 25011 1" x 1" MegaPressG Coupling with Stop</t>
  </si>
  <si>
    <t>VIEGA 78182 Propress Zero Lead Copper Coupling without Stop 1" Press x Press (10-Pack)</t>
  </si>
  <si>
    <t>B017BVXM0U</t>
  </si>
  <si>
    <t>19.72</t>
  </si>
  <si>
    <t>34.0</t>
  </si>
  <si>
    <t>8029500342488</t>
  </si>
  <si>
    <t>Packard PMJ216 Motor Start Capacitor 216-259 MFD 110-125 VAC</t>
  </si>
  <si>
    <t>216-259 uF/MFD 110-125V Round Start Capacitor Replacement Part by Blue Stars - Exact Fit for AC Motor Run or Fan Start and Cool or Heat Pump Air Conditioner - Lot -1 - Packs of 2</t>
  </si>
  <si>
    <t>B0BRSMS7M2</t>
  </si>
  <si>
    <t>3.63</t>
  </si>
  <si>
    <t>3600549642340</t>
  </si>
  <si>
    <t>Klein Tools ET10 Magnetic Digital Pocket Thermometer</t>
  </si>
  <si>
    <t>Klein Tools IR10 Infrared Thermometer, Digital Thermometer Gun with Dual Targeting Laser, 20:1 &amp; ET10 Magnetic Digital Pocket Thermometer</t>
  </si>
  <si>
    <t>B0BGJ6JX2Q</t>
  </si>
  <si>
    <t>22.99</t>
  </si>
  <si>
    <t>34.08</t>
  </si>
  <si>
    <t>3690025943140</t>
  </si>
  <si>
    <t>Packard PRMJ130 Motor Start Capacitor 130-158 MFD 330 VAC</t>
  </si>
  <si>
    <t>Packard Motor Start Capacitor 135-162 uf MFD 330 Volt VAC, PRMJ135</t>
  </si>
  <si>
    <t>B07FKSRJSW</t>
  </si>
  <si>
    <t>3.9</t>
  </si>
  <si>
    <t>4432875946084</t>
  </si>
  <si>
    <t>130-156 uF x 330 VAC - Packard PRMJ130 Start Capacitor - BMI Replacement # 092A130B330CE7A - Made in The USA</t>
  </si>
  <si>
    <t>B00TKQ2B6Q</t>
  </si>
  <si>
    <t>Klein Tools MM450 Multimeter, Slim Digital Meter, Auto-Ranging TRMS, 600V AC/DC Voltage, Current, Resistance, Temp, Frequency, Continuity &amp; 69417 Rare-Earth Magnetic Hanger, with Strap</t>
  </si>
  <si>
    <t>B0CF1LF84V</t>
  </si>
  <si>
    <t>PRMJ216 - Packard Upgraded Replacement Motor Start Capacitor 216-259 MFD 330 Volt VAC</t>
  </si>
  <si>
    <t>B0773SJML1</t>
  </si>
  <si>
    <t>Klein Tools AEPJS2 Bluetooth Speaker, Wireless Portable Jobsite Speaker Plays Audio &amp; MAG2 Demagnetizer/Magnetizer for Screwdriver Bits and Tips, Makes Tools Magnetic</t>
  </si>
  <si>
    <t>B09Z918LTW</t>
  </si>
  <si>
    <t>Packard TRC40 Titan PRO Run Capacitor 40 MFD 370 Volt Round</t>
  </si>
  <si>
    <t>Packard Trcfd403 Titan Pro Run Capacitor 40+3 Mfd 440/370 Volt Round</t>
  </si>
  <si>
    <t>B01JMAXOL0</t>
  </si>
  <si>
    <t>4.6</t>
  </si>
  <si>
    <t>4343354654820</t>
  </si>
  <si>
    <t>Holyoke Fittings 41FPSW-4 1/4" Swivel Forged Flare Nut</t>
  </si>
  <si>
    <t>Highcraft G41GT-14-10 Forged Brass Short Nut for Flare Pipe Fittings 1/4" O.D. Connection (Pack of 10)</t>
  </si>
  <si>
    <t>B09JTTYXCY</t>
  </si>
  <si>
    <t>2.88</t>
  </si>
  <si>
    <t>5.64</t>
  </si>
  <si>
    <t>8010851418328</t>
  </si>
  <si>
    <t>Nu-Calgon 4291-18 Nu-Brite Aerosol Coil Cleaner</t>
  </si>
  <si>
    <t>Nu Calgon 4291-18 Nu Brite Aerosol (Тhrее Расk)</t>
  </si>
  <si>
    <t>B07TYJJDKB</t>
  </si>
  <si>
    <t>11.39</t>
  </si>
  <si>
    <t>15.42</t>
  </si>
  <si>
    <t>7760576119000</t>
  </si>
  <si>
    <t>Packard PMJ460 Motor Start Capacitor 460-552 MFD 110-125 VAC</t>
  </si>
  <si>
    <t>5.06</t>
  </si>
  <si>
    <t>5271944954024</t>
  </si>
  <si>
    <t>Wiha Tools 70486 6 Piece Color Coded Magnetic Nut Setter SAE Set</t>
  </si>
  <si>
    <t>Wiha 32095 Slotted and Phillips Insulated Screwdriver Set, 1000 Volt, 19 Piece &amp; 70486 | 6 Piece Color Coded Magnetic Nut Setter Set</t>
  </si>
  <si>
    <t>B0CB14SYQX</t>
  </si>
  <si>
    <t>39.98</t>
  </si>
  <si>
    <t>57.18</t>
  </si>
  <si>
    <t>8023447011544</t>
  </si>
  <si>
    <t>Packard Titan PRO TOC7.5 Motor Run Capacitor 7.5 MFD 370 Volt Oval</t>
  </si>
  <si>
    <t>Titan Pro Oval Motor Run Capacitor, 7.5 Microfarad Rating, 370-440VAC Voltage - TOCF7.5</t>
  </si>
  <si>
    <t>B08TT47VFZ</t>
  </si>
  <si>
    <t>2.16</t>
  </si>
  <si>
    <t>4653533757540</t>
  </si>
  <si>
    <t>Packard PRMJ108 Motor Start Capacitor 108-130 MFD 330 Volt</t>
  </si>
  <si>
    <t>BlueStars 2 Packs 108-130 uf/MFD 110-125 VAC ±20% Volts Round Start Capacitor 50/60 Hz AC Electric Replacement Part - Exact Fit for Single-Phase Electric Motors</t>
  </si>
  <si>
    <t>B0C2CTGWJ8</t>
  </si>
  <si>
    <t>5241928319144</t>
  </si>
  <si>
    <t>Refrigeration Technologies Big Blu Micro Leak Detector 1 Gal. RT100G Viper</t>
  </si>
  <si>
    <t>B0BLT99ZPX</t>
  </si>
  <si>
    <t>Digital Multimeter Electrical Test Kit, Non-Contact Voltage Tester, Receptacle Tester, Carrying Case and Batteries Klein Tools MM320KIT &amp; 69417 Rare-Earth Magnetic Hanger, with Strap</t>
  </si>
  <si>
    <t>B0CF2CFS1D</t>
  </si>
  <si>
    <t>Malco Tools 12F 12-Inch Sheet Metal Folding Tool</t>
  </si>
  <si>
    <t>Malco TS1 Turbo Shear 20 Gauge Capacity Sheet Metal Cutting Attachment &amp; 12F 12 in. Folding Tool, Multi</t>
  </si>
  <si>
    <t>B0BD3XBZKC</t>
  </si>
  <si>
    <t>16.79</t>
  </si>
  <si>
    <t>18.11</t>
  </si>
  <si>
    <t>4410314555492</t>
  </si>
  <si>
    <t>ICM Controls ICM401 3 Phase Line Voltage Monitor</t>
  </si>
  <si>
    <t>ICM Controls ICM409 Three-Phase Line Voltage Monitor Offering Protection Against Phase Loss/Reversal, Unbalance and High/Low Voltage, 50/60 Hz, 190-480 VAC, Din Rail Mount</t>
  </si>
  <si>
    <t>B00DGB4PQU</t>
  </si>
  <si>
    <t>34.79</t>
  </si>
  <si>
    <t>61.35</t>
  </si>
  <si>
    <t>7842404532440</t>
  </si>
  <si>
    <t>Refrigeration Technologies Big Blu Micro Leak Detector 1 Gal, Blue (RT100G)</t>
  </si>
  <si>
    <t>B0058E0Q0M</t>
  </si>
  <si>
    <t>Nu-Calgon 4171-75 Evap Foam No Rinse Evaporator Coil Cleaner, 18 oz. (4-(Pack))</t>
  </si>
  <si>
    <t>B07MYMC7YH</t>
  </si>
  <si>
    <t>Packard Titan PRO TOC10 Motor Run Capacitor 10 MFD 370 Volt Oval</t>
  </si>
  <si>
    <t>Titan Pro Oval Motor Run Capacitor, 10 Microfarad Rating, 370-440VAC Voltage - TOCF10</t>
  </si>
  <si>
    <t>B08TTWXTVG</t>
  </si>
  <si>
    <t>2.22</t>
  </si>
  <si>
    <t>7634985910488</t>
  </si>
  <si>
    <t>Kroil Original Penetrating Oil (Aerosol Spray-13oz Can-Case of 4) | Penetrant for Rusted Bolts, Metal, Hinges, Chains, Moving Parts | Rust, Corrosion Inhibitor (AZKS132C4)</t>
  </si>
  <si>
    <t>B08ZM7198N</t>
  </si>
  <si>
    <t>PTMJ88 - Packard Upgraded Replacement Motor Start Capacitor 88-108 MFD 220-250 Volt VAC</t>
  </si>
  <si>
    <t>B0773WVSB6</t>
  </si>
  <si>
    <t>Titan PRO TOCF7.5 Run Capacitor 7.5 MFD 440/370 Volt Oval (Made in The USA) /Item#H3NG UE-EW23D210882 L8</t>
  </si>
  <si>
    <t>B01IBV3OW0</t>
  </si>
  <si>
    <t>Kroil SK102 Penetrant With Silicone (AKA Silikroil) Aerosol 10oz Can</t>
  </si>
  <si>
    <t>Kroil Penetrating Oil with Silicone (Aerosol Spray-10oz Can-Case of 4) | Penetrant for Rusted Bolts, Metal | Lubricant for Hinges, Chains, Moving Parts (AZSK102C4)</t>
  </si>
  <si>
    <t>B08ZM6ND3L</t>
  </si>
  <si>
    <t>22.98</t>
  </si>
  <si>
    <t>24.0</t>
  </si>
  <si>
    <t>8005755699416</t>
  </si>
  <si>
    <t>Yellow Jacket 25002 9" FLEXFLOW™ 1/4" Adaper Hose with Ball Valve - Yellow</t>
  </si>
  <si>
    <t>Yellow Jacket 29985 - Plus II 1/4" Hose with Compact Ball Valve End, 60" Length</t>
  </si>
  <si>
    <t>B007ID1HK4</t>
  </si>
  <si>
    <t>35.54</t>
  </si>
  <si>
    <t>2633213739108</t>
  </si>
  <si>
    <t>Packard 10 MFD - 370 VAC Oval Motor Run Capacitor TOC10 HVAC Titan Pro</t>
  </si>
  <si>
    <t>B01KARDZTK</t>
  </si>
  <si>
    <t>Klein Tools PND-12-5 1/2-Inch Power Nut Driver 5-Inch Length</t>
  </si>
  <si>
    <t>Klein Tools 635-6 Tool Set, Heavy Duty Magnetic Nut Drivers SAE Sizes 1/4, 5/16, 3/8, 7/16, 1/2, and 9/16-Inch Hex, 6-Inch, 6-Piece</t>
  </si>
  <si>
    <t>B01DKNDHGM</t>
  </si>
  <si>
    <t>18.99</t>
  </si>
  <si>
    <t>30.98</t>
  </si>
  <si>
    <t>6729466445997</t>
  </si>
  <si>
    <t>Klein Tools 630M Magnetic Nut Driver Set, 3-Inch Shafts, 2-Piece</t>
  </si>
  <si>
    <t>Klein Tools 647M Tool Set, Magnetic Nut Drivers Sizes 3/16, 1/4, 5/16, 11/32, 3/8, 7/16, 1/2-Inch, 6-Inch Hollow Shafts, 7-Piece</t>
  </si>
  <si>
    <t>B000MKIUYQ</t>
  </si>
  <si>
    <t>28.78</t>
  </si>
  <si>
    <t>4508216787044</t>
  </si>
  <si>
    <t>108-130 uf/MFD 110-125 VAC ±20% Volts Round Start Capacitor 50/60 Hz AC Electric Replacement Part by Blue Stars - Exact Fit for Single-Phase Electric Motors</t>
  </si>
  <si>
    <t>B09C8MTD36</t>
  </si>
  <si>
    <t>JB Industries DVO-12 BLACK GOLD Vacuum Pump Oil (1 Quart)</t>
  </si>
  <si>
    <t>JB Industries DVO-24 Bottle of Black Gold Vacuum Pump Oil, 1 gallon - GIDDS-2463009</t>
  </si>
  <si>
    <t>B001UH3L8K</t>
  </si>
  <si>
    <t>14.83</t>
  </si>
  <si>
    <t>17.91</t>
  </si>
  <si>
    <t>8008297939160</t>
  </si>
  <si>
    <t>Viega 22009 3/4" x 3/4" MegaPressG Coupling with Stop</t>
  </si>
  <si>
    <t>VIEGA 78177 Propress Zero Lead Copper Coupling without Stop 3/4" Press x Press (5-Pack)</t>
  </si>
  <si>
    <t>B017BVY81W</t>
  </si>
  <si>
    <t>13.34</t>
  </si>
  <si>
    <t>23.0</t>
  </si>
  <si>
    <t>8029498179800</t>
  </si>
  <si>
    <t>TEMCo 53-64 uf/MFD 220-250 VAC Volts Round Start Capacitor 50/60 Hz AC Electric - Lot -1</t>
  </si>
  <si>
    <t>B08546HFBD</t>
  </si>
  <si>
    <t>Nu-Calgon 4291-08 Nu-Brite Alkaline Based Coil Cleaner 1 Gallon</t>
  </si>
  <si>
    <t>B009AXXUKU</t>
  </si>
  <si>
    <t>Milwaukee 48-22-6330 6" &amp; 10" Comfort Grip Straight Jaw Pliers Set</t>
  </si>
  <si>
    <t>For Milwaukee 48-22-6330 6" &amp; 10" Ream and Punch Straight Jaw Pliers Set</t>
  </si>
  <si>
    <t>B0C1G32TDX</t>
  </si>
  <si>
    <t>22.97</t>
  </si>
  <si>
    <t>41.4</t>
  </si>
  <si>
    <t>4387850715236</t>
  </si>
  <si>
    <t>Midwest MWT-6716B Bulldog Aviation Snip</t>
  </si>
  <si>
    <t>Aviation Bulldog Snips (Midwest #MWT-671B) - 9"</t>
  </si>
  <si>
    <t>B00A1BP4OK</t>
  </si>
  <si>
    <t>21.2</t>
  </si>
  <si>
    <t>31.11</t>
  </si>
  <si>
    <t>3688937390180</t>
  </si>
  <si>
    <t>B009J5QGG4</t>
  </si>
  <si>
    <t>Packard TOCF5 Titan Pro Motor Run Capacitor 5MFD 440/370V OVAL Capacitor</t>
  </si>
  <si>
    <t>B009558H9C</t>
  </si>
  <si>
    <t>Appli Parts motor start capacitor 216-259 Mfd (microfarads) uF 110-125 VAC universal fit for electric motor applications 1-7/16 in Diameter 3-3/8 in Height CON-216-110</t>
  </si>
  <si>
    <t>B01FK7CCQ2</t>
  </si>
  <si>
    <t>Packard TOC5 Motor Run Capacitor Oval/MFD: 5 / Volts: 370</t>
  </si>
  <si>
    <t>B01IUY2XZC</t>
  </si>
  <si>
    <t>PTMJ56 - Packard Upgraded Replacement Motor Start Capacitor 53-64 MFD 220-250 Volt VAC</t>
  </si>
  <si>
    <t>B0773WZHQQ</t>
  </si>
  <si>
    <t>PTMJ64 - Packard Upgraded Replacement Motor Start Capacitor 64-77 MFD 220-250 Volt VAC</t>
  </si>
  <si>
    <t>B0773W3KZ6</t>
  </si>
  <si>
    <t>Midwest MWT-6510S Straight Offset Aviation Snip</t>
  </si>
  <si>
    <t>23.49</t>
  </si>
  <si>
    <t>4436158677092</t>
  </si>
  <si>
    <t>New TitanPro TRC40 HVAC Round Motor Run Capacitor. 40 MFD/UF 370 Volts</t>
  </si>
  <si>
    <t>B07P4LFJGV</t>
  </si>
  <si>
    <t>PTMJ53 - Packard Upgraded Replacement Motor Start Capacitor 53-64 MFD 220-250 Volt VAC</t>
  </si>
  <si>
    <t>B0773W73B5</t>
  </si>
  <si>
    <t>PTMJ43 - Packard Upgraded Replacement Motor Start Capacitor 43-53 MFD 220-250 Volt VAC</t>
  </si>
  <si>
    <t>B0773XQVXN</t>
  </si>
  <si>
    <t>USA Motor Start Capacitor 88-106 uF MFD 110 125 VAC Replaces 11009 11909 PMJ88 PMJ88A</t>
  </si>
  <si>
    <t>B07M5MCQ5C</t>
  </si>
  <si>
    <t>TITAN PRO TRCFD4075 Dual Rated Motor Run Capacitor Round MFD 40/7.5 Volts 440/370</t>
  </si>
  <si>
    <t>B01IC27L72</t>
  </si>
  <si>
    <t>Appli Parts motor start capacitor 108-130 Mfd (microfarads) uF 330 VAC universal fit for electric motor applications 1-7/16 in Wide 3-3/8 in Height CON-108-330</t>
  </si>
  <si>
    <t>B01FSQQ2AW</t>
  </si>
  <si>
    <t>Packard TRC25 TITAN PRO Run Capacitor 25 MFD 370 Volt, Round</t>
  </si>
  <si>
    <t>Packard TRC25 Titan Pro Run Capacitor 25 MFD 370 Volt Round</t>
  </si>
  <si>
    <t>B09J1HKXXJ</t>
  </si>
  <si>
    <t>4.08</t>
  </si>
  <si>
    <t>5481010167976</t>
  </si>
  <si>
    <t>11063 - Mars OEM Replacement Motor Start Capacitor 330 Volt 108-130 MFD</t>
  </si>
  <si>
    <t>B06X9VNM1J</t>
  </si>
  <si>
    <t>Aain® LX575 Digital Refrigerant Charging Weight Scale for HVAC A/C 220Lbs with LCD Display &amp; Three Measurement Unit Options &amp; UEi Test Instruments PDT650 Folding Pocket Digital Thermometer,Yellow</t>
  </si>
  <si>
    <t>B0CF2HGH91</t>
  </si>
  <si>
    <t>PTMJ108 - Packard Upgraded Replacement Motor Start Capacitor 108-130 MFD 220-250 Volt VAC</t>
  </si>
  <si>
    <t>B0773VHXZP</t>
  </si>
  <si>
    <t>Klein Tools 89552 Hole Cutter for Duct and Sheet Metal, 2 to 12-Inch</t>
  </si>
  <si>
    <t>Malco C5A2 Impact Power Assisted Crimper &amp; Klein Tools 89552 Hole Cutter, Adjustable Cutter from 2 to 12 Inch, Cuts 24 gauge Steel and 26 gauge Stainless</t>
  </si>
  <si>
    <t>B0BD3XQQX3</t>
  </si>
  <si>
    <t>56.99</t>
  </si>
  <si>
    <t>83.98</t>
  </si>
  <si>
    <t>4169413165156</t>
  </si>
  <si>
    <t>Midwest MWT-SS6716R Special Hardness Aviation Snip - Right-Cutting</t>
  </si>
  <si>
    <t>24.66</t>
  </si>
  <si>
    <t>36.2</t>
  </si>
  <si>
    <t>4508658204772</t>
  </si>
  <si>
    <t>Supco MB55 5.5 Inch Motor Bracket</t>
  </si>
  <si>
    <t>Replacement 5.5 inch Blower 3 Leg Motor Belly Ban Bracket Compatible with Fasco FM55, MB55</t>
  </si>
  <si>
    <t>B0BL3WV2GH</t>
  </si>
  <si>
    <t>7910808486104</t>
  </si>
  <si>
    <t>Midwest MWT-6510R Right Offset Aviation Snip</t>
  </si>
  <si>
    <t>24.89</t>
  </si>
  <si>
    <t>4414962597988</t>
  </si>
  <si>
    <t>PRO1 IAQ T705 Digital 7-Day or 5/1/1 Programmable Thermostat, 1 Heat - 1 Cool</t>
  </si>
  <si>
    <t>Pro1 T855iSH WiFi Thermostat, 7 Day Programmable, Stages 4 Heat/2 Cool</t>
  </si>
  <si>
    <t>B01D0BT80I</t>
  </si>
  <si>
    <t>42.97</t>
  </si>
  <si>
    <t>100.27</t>
  </si>
  <si>
    <t>8019962003672</t>
  </si>
  <si>
    <t>Midwest MWT-6900R Upright Right-Cutting Aviation Snip</t>
  </si>
  <si>
    <t>25.29</t>
  </si>
  <si>
    <t>37.05</t>
  </si>
  <si>
    <t>4509684596836</t>
  </si>
  <si>
    <t>Rechargeable Thermal Imager &amp; ET120 Gas Leak Detector, Combustible Gas Leak Tester with 18-Inch Gooseneck Has Range 50-10,000 ppm, Includes Pouch, Batteries</t>
  </si>
  <si>
    <t>B09P846GLH</t>
  </si>
  <si>
    <t>Channellock 428 8-Inch Straight Jaw Tongue &amp; Groove Pliers</t>
  </si>
  <si>
    <t>Channellock 480 BIGAZZ Tongue and Groove Pliers | 20.25-Inch Straight Jaw Groove Joint Plier | 5.5-Inch Jaw Capacity | Laser Heat-Treated 90° Teeth| Forged High Carbon Steel | Made in USA</t>
  </si>
  <si>
    <t>B00004SBCX</t>
  </si>
  <si>
    <t>25.06</t>
  </si>
  <si>
    <t>3523408527460</t>
  </si>
  <si>
    <t>Packard PTMJ43A Motor Start Capacitor 43-53 MFD 220-250 VAC</t>
  </si>
  <si>
    <t>6734444232877</t>
  </si>
  <si>
    <t>PRMJ108 - Packard Aftermarket Replacement Motor Start Capacitor 108-130 MFD 330 Volt</t>
  </si>
  <si>
    <t>B00IWYEI1S</t>
  </si>
  <si>
    <t>Midwest MWT-SS6716L Special Hardness Aviation Snip - Left-Cutting</t>
  </si>
  <si>
    <t>4508646277220</t>
  </si>
  <si>
    <t>Packard PRMJ56 Motor Start Capacitor 53-64 MFD 330 VAC</t>
  </si>
  <si>
    <t>PRMJ56 - Packard Upgraded Replacement Motor Start Capacitor 56-64 MFD 330 Volt VAC</t>
  </si>
  <si>
    <t>B0773X1WL8</t>
  </si>
  <si>
    <t>3.92</t>
  </si>
  <si>
    <t>3575357505636</t>
  </si>
  <si>
    <t>PRMJ64 - Packard Upgraded Replacement Motor Start Capacitor 64-77 MFD 330 Volt VAC</t>
  </si>
  <si>
    <t>B0773WP25K</t>
  </si>
  <si>
    <t>Viega 25001 1/2" x 1/2" MegaPressG Coupling with Stop</t>
  </si>
  <si>
    <t>VIEGA 78172 Propress Zero Lead Copper Coupling without Stop 1/2" Press x Press (5-Pack)</t>
  </si>
  <si>
    <t>B017BVYKWO</t>
  </si>
  <si>
    <t>11.63</t>
  </si>
  <si>
    <t>20.04</t>
  </si>
  <si>
    <t>8028590178520</t>
  </si>
  <si>
    <t>TEMCo 108-130 uf/MFD 220-250 VAC Volts Round Start Capacitor 50/60 Hz AC Electric - Lot -1</t>
  </si>
  <si>
    <t>B00EQHO35G</t>
  </si>
  <si>
    <t>PRMJ43 - Packard Upgraded Replacement Motor Start Capacitor 43-53 MFD 330 Volt VAC</t>
  </si>
  <si>
    <t>B0773SJVXK</t>
  </si>
  <si>
    <t>Midwest MWT-6900L Upright Left-Cutting Aviation Snip</t>
  </si>
  <si>
    <t>4470064250980</t>
  </si>
  <si>
    <t>ICM Controls ICM492 Single Phase Line Voltage Monitor</t>
  </si>
  <si>
    <t>ICM ICM493 Advanced Single-Phase line Voltage Monitor with a Bank of Surge arresters for Added Protection Against Lightning Strikes. Includes a Built-in 40A contactor. Ideal for Mini-Splits or Other</t>
  </si>
  <si>
    <t>B07SZ45HQH</t>
  </si>
  <si>
    <t>94.5</t>
  </si>
  <si>
    <t>7842397257944</t>
  </si>
  <si>
    <t>LifCratms 2Pcs 1/2" NPT Liquid-Tight Connector, 90-Degree Electrical Conduit Connector Fitting Flexible Conduit Fittings</t>
  </si>
  <si>
    <t>B0BJJVBYL5</t>
  </si>
  <si>
    <t>Packard TRC20 Titan PRO Run Capacitor 20 MFD 370 Volt Round</t>
  </si>
  <si>
    <t>Titan Pro Round Motor Run Capacitor, 20 Microfarad Rating, 370-440VAC Voltage - TRCF20</t>
  </si>
  <si>
    <t>B08TV2JCYW</t>
  </si>
  <si>
    <t>3.61</t>
  </si>
  <si>
    <t>4363583357028</t>
  </si>
  <si>
    <t>Klein Tools 32907 7-in-1 Impact Flip Socket Set, No Handle</t>
  </si>
  <si>
    <t>Klein Tools 66070 Impact Socket Set, Impact Driver Flip Socket, Five Sockets with 1/4-Inch Hex and 1/2-Inch Square Socket Adapters, 7-Piece</t>
  </si>
  <si>
    <t>B0BGZPWNJQ</t>
  </si>
  <si>
    <t>29.18</t>
  </si>
  <si>
    <t>7856653009112</t>
  </si>
  <si>
    <t>Mars 73133 3/4 in. Clear PVC Condensate P-Trap</t>
  </si>
  <si>
    <t>3/4 Inch Standard Condensate Trap with Cleaning Brush, PVC U Trap for HVAC Systems, Air Conditioner, Effectively Drains Condensate (1 Pack)</t>
  </si>
  <si>
    <t>B0BCWPDZ7G</t>
  </si>
  <si>
    <t>4.78</t>
  </si>
  <si>
    <t>6841029787821</t>
  </si>
  <si>
    <t>Packard Titan PRO TOC15 Motor Run Capacitor 15 MFD 370 Volt Oval</t>
  </si>
  <si>
    <t>Titan Pro Oval Motor Run Capacitor, 15 Microfarad Rating, 370-440VAC Voltage - TOCF15</t>
  </si>
  <si>
    <t>B08TT47VFY</t>
  </si>
  <si>
    <t>3.37</t>
  </si>
  <si>
    <t>3726734131300</t>
  </si>
  <si>
    <t>Klein Tools 60164 Professional Safety Glasses, Full Frame, Gray Lens</t>
  </si>
  <si>
    <t>6103189520557</t>
  </si>
  <si>
    <t>Packard Titan Pro TTMJ43 Motor Start Capacitor 43-53 MFD 220-250 VAC</t>
  </si>
  <si>
    <t>3.98</t>
  </si>
  <si>
    <t>8029407346904</t>
  </si>
  <si>
    <t>DECOAIRCON 3/4 -inch Standard Condensate Trap with Cleaning Brush, PVC U Trap for HVAC Systems, Air Conditioner, Effectively Drains Condensate.</t>
  </si>
  <si>
    <t>B0BR6J4GL6</t>
  </si>
  <si>
    <t>216-259 uF/MFD 110-125V Round Start Capacitor Replacement Part by Blue Stars - Exact Fit for AC Motor Run or Fan Start and Cool or Heat Pump Air Conditioner - Lot -1</t>
  </si>
  <si>
    <t>B09TKVMGHC</t>
  </si>
  <si>
    <t>Packard Titan Pro 370 Motor Run Capacitor, Oval, 15 Mfd, 370 Volt, 15-370, TOC15</t>
  </si>
  <si>
    <t>B07F79HNQ7</t>
  </si>
  <si>
    <t>Klein Tools ET05 Digital Pocket Thermometer</t>
  </si>
  <si>
    <t>Klein Tools IR07 Dual Infrared (IR) and Probe Pocket Size LCD Digital Thermometer</t>
  </si>
  <si>
    <t>B07P9WM69C</t>
  </si>
  <si>
    <t>25.18</t>
  </si>
  <si>
    <t>4300015763556</t>
  </si>
  <si>
    <t>Packard TRCFD255 Titan PRO Run Capacitor 25+5 MFD 440/370 Volt, Round</t>
  </si>
  <si>
    <t>Titan Pro Round Motor Dual Run Capacitor, 25/5 Microfarad Rating, 370-440VAC Voltage - TRCFD255- Pack of 2</t>
  </si>
  <si>
    <t>B07L55T4PQ</t>
  </si>
  <si>
    <t>6.02</t>
  </si>
  <si>
    <t>4299522080868</t>
  </si>
  <si>
    <t>Klein Tools IR1 Infrared Thermometer &amp; UEi Test Instruments PDT650 Folding Pocket Digital Thermometer,Yellow</t>
  </si>
  <si>
    <t>B0B56MPSBN</t>
  </si>
  <si>
    <t>Supco MFD10 Digital Capacitor Tester with LED Display, 0.01 to 10000mF Range, 5% Accuracy &amp; UEi Test Instruments PDT650 Folding Pocket Digital Thermometer,Yellow</t>
  </si>
  <si>
    <t>B0C98WZWD6</t>
  </si>
  <si>
    <t>Klein Tools 55919 Tradesman Pro™ Modular Tool Belt - L</t>
  </si>
  <si>
    <t>Klein Tools 55428 Tradesman Pro Electrician's Padded Tool Belt and Tool Pouch Combo for Long-wear Comfort and Durability Size Large, Black</t>
  </si>
  <si>
    <t>B00BZXA376</t>
  </si>
  <si>
    <t>50.58</t>
  </si>
  <si>
    <t>4498961760356</t>
  </si>
  <si>
    <t>Klein Tools IR07 Dual Infrared (IR) and Probe Pocket Size LCD Digital Thermometer &amp; ET10 Magnetic Digital Pocket Thermometer</t>
  </si>
  <si>
    <t>B0BD3SYSCZ</t>
  </si>
  <si>
    <t>Hilmor 1839052 DBUR Deburrer, 1/4" to 1-5/8"</t>
  </si>
  <si>
    <t>hilmor 1839008 Punch Swage Set, 5 Piece, 1/4" to 5/8"</t>
  </si>
  <si>
    <t>B00IOROSA4</t>
  </si>
  <si>
    <t>14.49</t>
  </si>
  <si>
    <t>47.24</t>
  </si>
  <si>
    <t>4337582178404</t>
  </si>
  <si>
    <t>Milwaukee 48-22-2930 4-in-1 Precision Multi-Bit Screwdriver</t>
  </si>
  <si>
    <t>Milwaukee 11-in-1 Multi-Tip Screwdriver with Square Drive Bits and 13-in-1 Multi-Tip Cushion Grip Screwdriver Sets (48-22-2880-2761)</t>
  </si>
  <si>
    <t>B0BS435YZ2</t>
  </si>
  <si>
    <t>17.3</t>
  </si>
  <si>
    <t>7970427142360</t>
  </si>
  <si>
    <t>Home &amp; Appliances Packard PTMJ43 Packard 220-250V Start Capacitor 43-53 MFD Model:</t>
  </si>
  <si>
    <t>B0123MPXTK</t>
  </si>
  <si>
    <t>Klein Tools 646-5/16 5/16-Inch Nut Driver, 6-Inch Hollow Shaft</t>
  </si>
  <si>
    <t>Klein Tools 646M Tool Set, Magnetic Nut Drivers Sizes 1/4 and 5/16-Inch, 6-Inch Shafts, 2-Piece</t>
  </si>
  <si>
    <t>B000936QV0</t>
  </si>
  <si>
    <t>4395303272548</t>
  </si>
  <si>
    <t>PMJ460 - Packard Upgraded Replacement Motor Start Capacitor 460-552 MFD 110-125 Volt VAC</t>
  </si>
  <si>
    <t>B0773WC5NS</t>
  </si>
  <si>
    <t>Testo 0564 2552 01 552i App-Controlled Wireless Vacuum Probe</t>
  </si>
  <si>
    <t>Testo 550s Kit I App Operated Digital Manifold for HVAC and Refrigeration with 2 x Wired Temperature clamp Probes &amp; 552i App-Controlled Wireless Vacuum Probe I for HVAC Systems – with Bluetooth</t>
  </si>
  <si>
    <t>B0BS2YTS4Y</t>
  </si>
  <si>
    <t>177.65</t>
  </si>
  <si>
    <t>6939345223853</t>
  </si>
  <si>
    <t>UEi Test Instruments PDT650 Folding Pocket Digital Thermometer (Twо Расk)</t>
  </si>
  <si>
    <t>B084274DV2</t>
  </si>
  <si>
    <t>UEi Test Instruments PDT650 Folding Pocket Digital Thermometer (Pack of 2)</t>
  </si>
  <si>
    <t>B085PY12P1</t>
  </si>
  <si>
    <t>Nu-Calgon 4171-75 Evap Foam No Rinse Evaporator Coil Cleaner, 18 oz. (Pack 2)</t>
  </si>
  <si>
    <t>B082L1QFXK</t>
  </si>
  <si>
    <t>Nu-Calgon 4171-75 Evap Foam No Rinse Evaporator Coil Cleaner, 18 oz. (2-Pack)</t>
  </si>
  <si>
    <t>B07PT8DDBC</t>
  </si>
  <si>
    <t>Canamax 216-259 uF/MFD 110-125V Round Start Capacitor - Replacement for AC Motor Run or Fan Start and Cool or Heat Pump Air Conditioner - Lot -1</t>
  </si>
  <si>
    <t>B0B1CWPSRT</t>
  </si>
  <si>
    <t>Wiha Tools 32267 5/16" Insulated SoftFinish Nut Driver</t>
  </si>
  <si>
    <t>Wiha Tools - Softfinish Insulated Nut Drivers Insulated Nut Driver 9/16 X 125Mm: 817-32278 - insulated nut driver 9/16 x 125mm</t>
  </si>
  <si>
    <t>B00462C2Q8</t>
  </si>
  <si>
    <t>11.92</t>
  </si>
  <si>
    <t>15.9</t>
  </si>
  <si>
    <t>8023582146776</t>
  </si>
  <si>
    <t>Klein Tools IR1 Infrared Thermometer, Digital Laser Gun is Non-Contact Thermometer with a Temperature Range -4 to 752-Degree Fahrenheit &amp; ET05 Digital Pocket Thermometer</t>
  </si>
  <si>
    <t>B0BC88SF8V</t>
  </si>
  <si>
    <t>Klein ToolsKlein Tools 55895 Magnetic Wristband &amp; MAG2 Demagnetizer/Magnetizer for Screwdriver Bits and Tips, Makes Tools Magnetic with Powerful Rare-Earth MagnetKlein Tools</t>
  </si>
  <si>
    <t>B0BSKR7CQX</t>
  </si>
  <si>
    <t>Klein Tools 935DAG Digital Angle Gauge and Level</t>
  </si>
  <si>
    <t>Klein Tools 935DAGL Digital Level Angle Finder &amp; 935DAG Digital Electronic Level and Angle Gauge, Measures 0-90 and 0-180 Degree Ranges, Measures and Sets Angles</t>
  </si>
  <si>
    <t>B0BNL46JTV</t>
  </si>
  <si>
    <t>4167487094884</t>
  </si>
  <si>
    <t>Klein Tools 33736INS Screwdriver Set, 1000V Slim-Tip Insulated and Magnetizer, 6-Piece</t>
  </si>
  <si>
    <t>Klein Tools 94130 1000V Insulated Screwdriver Tool Set &amp; 33736INS Klein Tools 33736INS Insulated Screwdriver Set, 1000V Slim-Tip Driver with Phillips, 6-Piece</t>
  </si>
  <si>
    <t>B0B68LYZC5</t>
  </si>
  <si>
    <t>49.99</t>
  </si>
  <si>
    <t>73.98</t>
  </si>
  <si>
    <t>7837641375960</t>
  </si>
  <si>
    <t>USA Motor Start Capacitor 88-108 uF MFD 110 125 VAC Replaces 11009 11909 PMJ88 PMJ88A</t>
  </si>
  <si>
    <t>B07M5MD13K</t>
  </si>
  <si>
    <t>ICM Controls ICM103 Delay on Make Timer with 1-1,023 Second Time Delay, Universal 18-240 VAC</t>
  </si>
  <si>
    <t>ICM Controls ICM104 Delay-on-Make Timer with 10-1,000 Seconds Adjustable Time Delay and SPDT Relay Output, 18-30 VAC</t>
  </si>
  <si>
    <t>B00GIP4LCO</t>
  </si>
  <si>
    <t>24.02</t>
  </si>
  <si>
    <t>4368343105636</t>
  </si>
  <si>
    <t>Milwaukee 48-22-1500 FASTBACK™ Compact Folding Utility Knife</t>
  </si>
  <si>
    <t>For Milwaukee Tool 48-22-1505 Fastback™ 6In1 Folding Utility Knife</t>
  </si>
  <si>
    <t>B0C69TGH9K</t>
  </si>
  <si>
    <t>8.97</t>
  </si>
  <si>
    <t>13.0</t>
  </si>
  <si>
    <t>4342633824356</t>
  </si>
  <si>
    <t>Klein Tools 55580 Tradesman Tumbler</t>
  </si>
  <si>
    <t>Klein Tools 55600 Work Cooler, 17-Quart Lunch Box Holds 18 Cans &amp; Klein Tools 55580 Stainless Steel Tumbler with Flip-top Lid, Insulated 20 oz. Tradesman's Double Wall Vacuum Mug</t>
  </si>
  <si>
    <t>B09P846GLG</t>
  </si>
  <si>
    <t>5647227846824</t>
  </si>
  <si>
    <t>Malco C5R 5-Blade Pipe Crimper &amp; MIDWEST Bulldog Aviation Tin Snip - Straight Cut Regular Tin Cutting Shears with Forged Blade &amp; KUSH'N-POWER Comfort Grips - MWT-6716B</t>
  </si>
  <si>
    <t>B0CB11PTFT</t>
  </si>
  <si>
    <t>Nu-Calgon 4171-75 Evap Foam No Rinse Evaporator Coil Cleaner, 18 oz. (2 PACK)</t>
  </si>
  <si>
    <t>B079MGRQZ9</t>
  </si>
  <si>
    <t>MICROJIG GRR-RIPPER GR-100 3D Table Saw Pushblock, Yellow &amp; Klein Tools 935DAG Digital Electronic Level and Angle Gauge, Measures 0-90 and 0-180 Degree Ranges, Measures and Sets Angles</t>
  </si>
  <si>
    <t>B0B2DJJT1H</t>
  </si>
  <si>
    <t>Nu-Calgon 4179-05 Gallo Gun Cannon</t>
  </si>
  <si>
    <t>Nu Calgon Gallo Gun 4179-01 CO2 Drain Opener</t>
  </si>
  <si>
    <t>B08JCJK9L5</t>
  </si>
  <si>
    <t>19.89</t>
  </si>
  <si>
    <t>28.5</t>
  </si>
  <si>
    <t>8005597364440</t>
  </si>
  <si>
    <t>PTMJ108 - Packard Aftermarket Replacement Motor Start Capacitor 108-130 MFD 220 250 Volt</t>
  </si>
  <si>
    <t>B00IWYEC8M</t>
  </si>
  <si>
    <t>Midwest Tools and Cutlery MWT-6510C Midwest Snips Forged Blade Offset Aviation Snips Set (Pack of 2)</t>
  </si>
  <si>
    <t>B01J9IC5D8</t>
  </si>
  <si>
    <t>Packard Titan Pro TMJ270 Motor Start Capacitor 270-324 MFD 110-125 VAC</t>
  </si>
  <si>
    <t>PMJ270 - Packard Upgraded Replacement Motor Start Capacitor 270-324 MFD 110-125 Volt VAC</t>
  </si>
  <si>
    <t>B0773VP7SQ</t>
  </si>
  <si>
    <t>8029404135640</t>
  </si>
  <si>
    <t>Estwing T3-18 18 Oz Tinner's Hammer &amp; MIDWEST Bulldog Aviation Tin Snip - Straight Cut Regular Tin Cutting Shears with Forged Blade &amp; KUSH'N-POWER Comfort Grips - MWT-6716B</t>
  </si>
  <si>
    <t>B0BFXT2SPF</t>
  </si>
  <si>
    <t>Packard PMJ590 Motor Start Capacitor 590-708 MFD 110-125 Volt</t>
  </si>
  <si>
    <t>6.18</t>
  </si>
  <si>
    <t>5241729712296</t>
  </si>
  <si>
    <t>Klein Tools 618-5/16M Nut Driver, 5/16-Inch Magnetic Tip with 18-Inch Hollow Shaft</t>
  </si>
  <si>
    <t>B000TKF43E</t>
  </si>
  <si>
    <t>Klein Tools KTSB03 Step Drill Bit Double Fluted #3, 1/4 to 3/4-Inch</t>
  </si>
  <si>
    <t>Klein Tools 25951 Electrician's Step Drill Bit Set, Spiral Double Fluted, Titanium Nitride Coating, 1/4-Inch Impact Shank, Case, 3-Piece</t>
  </si>
  <si>
    <t>B0BLFRJLDX</t>
  </si>
  <si>
    <t>47.68</t>
  </si>
  <si>
    <t>4174339670116</t>
  </si>
  <si>
    <t>Klein Tools ET05 Digital Pocket Thermometer &amp; UEi Test Instruments PDT650 Folding Pocket Digital Thermometer,Yellow</t>
  </si>
  <si>
    <t>B0BGPW6Q6B</t>
  </si>
  <si>
    <t>48-22-2330 for Milwaukee 8-in-1 Compact Ratcheting Multi-Bit Screwdriver</t>
  </si>
  <si>
    <t>B0C2VXJ8ZN</t>
  </si>
  <si>
    <t>Klein Tools 3005CR Ratcheting Crimper, 10-22 AWG - Insulated Terminals</t>
  </si>
  <si>
    <t>Automatic Wire Stripper 10-24 AWG &amp; Klein Tools 3005CR Wire Crimper Tool, Ratcheting Insulated Terminal Crimper for 10 to 22 AWG Wire</t>
  </si>
  <si>
    <t>B0BM3NKTGN</t>
  </si>
  <si>
    <t>42.9</t>
  </si>
  <si>
    <t>3699388907620</t>
  </si>
  <si>
    <t>Packard PRMJ88 Motor Start Capacitor 88-108 MFD 330 Volt</t>
  </si>
  <si>
    <t>PRMJ88 - Packard Upgraded Replacement Motor Start Capacitor 88-108 MFD 330 Volt VAC</t>
  </si>
  <si>
    <t>B0773SJX5T</t>
  </si>
  <si>
    <t>5.59</t>
  </si>
  <si>
    <t>5302132179112</t>
  </si>
  <si>
    <t>PRMJ72 - Packard Upgraded Replacement Motor Start Capacitor 72-88 MFD 330 Volt VAC</t>
  </si>
  <si>
    <t>B0773SJQXH</t>
  </si>
  <si>
    <t>Klein Tools 32314 14-in-1 Precision Screwdriver/ Nut Driver</t>
  </si>
  <si>
    <t>Klein Tools 32717 Precision Screwdriver Set &amp; 32314 Electronic Screwdriver, 14-in-1 with 8 Precision Tips, Slotted, Phillips, and Tamperproof TORX Bits, 6 Precision Nut Drivers</t>
  </si>
  <si>
    <t>B0BF5CJP5B</t>
  </si>
  <si>
    <t>22.38</t>
  </si>
  <si>
    <t>7626984947928</t>
  </si>
  <si>
    <t>Klein Tools 32807MAG 7-in-1 Nut Driver &amp; 32314 Electronic Screwdriver, 14-in-1 with 8 Precision Tips, Slotted, Phillips, and Tamperproof TORX Bits, 6 Precision Nut Drivers</t>
  </si>
  <si>
    <t>B09Q66YZ6V</t>
  </si>
  <si>
    <t>Fieldpiece SR47 Wireless Refrigerant Scale</t>
  </si>
  <si>
    <t>Fieldpiece Wireless Refrigerant Scale Srs3</t>
  </si>
  <si>
    <t>B082MQ7B8J</t>
  </si>
  <si>
    <t>357.0</t>
  </si>
  <si>
    <t>420.0</t>
  </si>
  <si>
    <t>7897207701720</t>
  </si>
  <si>
    <t>Klein Tools 85616 Precision Screwdriver Set, TORX® 4-Piece</t>
  </si>
  <si>
    <t>Klein Tools 85614 Precision Screwdriver Set, Electronics Slotted and Phillips Screwdrivers with Rotating Caps and Color-Coded Rings, 5-Piece</t>
  </si>
  <si>
    <t>B0076RWZMQ</t>
  </si>
  <si>
    <t>8018843861208</t>
  </si>
  <si>
    <t>Robertshaw 41-401 Hot Surface Furnace Ignitor, Amana Replacement</t>
  </si>
  <si>
    <t>Robertshaw 41-602 Hot Surface Furnace Mini-Ignitor, Amana 20165702, White Rodgers 767A-378</t>
  </si>
  <si>
    <t>B003AST41U</t>
  </si>
  <si>
    <t>17.61</t>
  </si>
  <si>
    <t>6126276575405</t>
  </si>
  <si>
    <t>Klein Tools 646-1/4-INS Insulated 1/4-Inch Nut Driver with 6-Inch Hollow Shaft and Cushion Grip Handle</t>
  </si>
  <si>
    <t>B000MKMH5O</t>
  </si>
  <si>
    <t>Midwest MWT-6510L Left Offset Aviation Snip</t>
  </si>
  <si>
    <t>Midwest P6510L Forged Snips Offset Left Aviation Snip (2-Pack)</t>
  </si>
  <si>
    <t>B07PSL7KG8</t>
  </si>
  <si>
    <t>3688846917732</t>
  </si>
  <si>
    <t>Packard TRCF25 TITAN PRO Run Capacitor 25 MFD 440/370 Volt, Round</t>
  </si>
  <si>
    <t>5.33</t>
  </si>
  <si>
    <t>6556600631469</t>
  </si>
  <si>
    <t>Midwest MWT-SS6510R Special Hardness Offset Aviation Snip - Right-Cutting</t>
  </si>
  <si>
    <t>4473073107044</t>
  </si>
  <si>
    <t>Calculated Industries 7489 AccuMASTER Value Pack – 2-Pieces &amp; Klein Tools 935DAG Digital Electronic Level and Angle Gauge, Measures 0-90 and 0-180 Degree Ranges, Measures and Sets Angles</t>
  </si>
  <si>
    <t>B0C5TJLHHX</t>
  </si>
  <si>
    <t>Fresh-Aire UV TUVL-215P, 2-Year Blue-Tube Replacement UV Lamp</t>
  </si>
  <si>
    <t>Fresh-Aire UV Blue-Tube UV Low Voltage (24-32V) UV System with 2 Year UV-C Lamp</t>
  </si>
  <si>
    <t>B014MNU0Z0</t>
  </si>
  <si>
    <t>108.03</t>
  </si>
  <si>
    <t>4452670537828</t>
  </si>
  <si>
    <t>Nu-Calgon 4179-01 (1 Pack) Gallo Gun-Clears Condensate Drain Lines</t>
  </si>
  <si>
    <t>B0BSG1NW8T</t>
  </si>
  <si>
    <t>Packard TRC35 TITAN PRO Run Capacitor 35 MFD 370 Volt, Round</t>
  </si>
  <si>
    <t>TitanPro TRCD3575 HVAC Round Dual Motor Run Capacitor. 35/7.5 MFD/UF 370 Volts</t>
  </si>
  <si>
    <t>B0722PL3J7</t>
  </si>
  <si>
    <t>6.04</t>
  </si>
  <si>
    <t>7640304681176</t>
  </si>
  <si>
    <t>Dismantling Knife-1000V Insulated &amp; Klein Tools 3005CR Wire Crimper Tool, Ratcheting Insulated Terminal Crimper for 10 to 22 AWG Wire</t>
  </si>
  <si>
    <t>B0BGJ84H4F</t>
  </si>
  <si>
    <t>Nu-Calgon 4372-24 TriClean 2x Coil Cleaner, 1 quart</t>
  </si>
  <si>
    <t>Nu-Calgon 4372-24 TriClean 2x Concentrated Coil Cleaner w/Hose Connector, Pack of 2</t>
  </si>
  <si>
    <t>B07C1YSTDC</t>
  </si>
  <si>
    <t>23.29</t>
  </si>
  <si>
    <t>33.48</t>
  </si>
  <si>
    <t>7761828315352</t>
  </si>
  <si>
    <t>Klein Tools 65160 Tool Set, Metric Nut Driver Set Sizes 5, 5.5, 6, 7, 8, 9, and 10 mm, 3-Inch Chrome-Plate Hollow Shafts, 7-Piece</t>
  </si>
  <si>
    <t>B0009ORXQQ</t>
  </si>
  <si>
    <t>Packard TRCFD405 Titan PRO Run Capacitor 40+5 MFD 440/370 Volt Round</t>
  </si>
  <si>
    <t>Titan Pro Round Motor Dual Run Capacitor, 40/5 Microfarad Rating, 370-440VAC Voltage - TRCFD405</t>
  </si>
  <si>
    <t>B08TT9FDLR</t>
  </si>
  <si>
    <t>5302386950312</t>
  </si>
  <si>
    <t>Malco Tools MSHLC 2-5/8" C-Rhex Cleanable, Reversible Magnetic Hex Driver, 1/4" &amp; 5/16"</t>
  </si>
  <si>
    <t>8.76</t>
  </si>
  <si>
    <t>9.45</t>
  </si>
  <si>
    <t>4102686015588</t>
  </si>
  <si>
    <t>Malco Tools LP7R Eagle Grip 7″ Straight Jaw Locking Pliers</t>
  </si>
  <si>
    <t>Eagle Grip LP10R Locking Tool, 10" Straight Jaw &amp; Grip by Malco LP7R 7 in. Straight Jaw Locking Pliers &amp; Grip by Malco LP7WC 7 in. Curved Jaw Locking Pliers with Wire Cutter</t>
  </si>
  <si>
    <t>B0CC7MTMSQ</t>
  </si>
  <si>
    <t>54.67</t>
  </si>
  <si>
    <t>7742222270680</t>
  </si>
  <si>
    <t>Packard TRCFD455 Titan PRO Run Capacitor 45+5 MFD 440/370 Volt Round</t>
  </si>
  <si>
    <t>Titan Pro Round Motor Dual Run Capacitor, 45/5 Microfarad Rating, 370-440VAC Voltage - TRCFD455, (Pack of 2)</t>
  </si>
  <si>
    <t>B00DBSKUE4</t>
  </si>
  <si>
    <t>4309334556772</t>
  </si>
  <si>
    <t>11062 - Mars OEM Replacement Motor Start Capacitor 330 Volt 88-108 MFD</t>
  </si>
  <si>
    <t>B00IWV2P5W</t>
  </si>
  <si>
    <t>Yellow Jacket 93266 YJII™ 5 CFM Vacuum Pump</t>
  </si>
  <si>
    <t>Yellow Jacket 93780 SuperEvac Plus II 1/2 hp 8 CFM Vacuum Pump, 115VAC</t>
  </si>
  <si>
    <t>B095XK6GVG</t>
  </si>
  <si>
    <t>322.56</t>
  </si>
  <si>
    <t>3599841165412</t>
  </si>
  <si>
    <t>BlueStars 460-552 uf MFD 50/60 Hz 110-125 VAC Volts Round Start Capacitor - Universal Fit for Air Conditioner and Other Electric Motor Applications - Pack of 1</t>
  </si>
  <si>
    <t>B0BDV543B9</t>
  </si>
  <si>
    <t>Packard Titan Pro Motor Run Capacitor Oval Toc15</t>
  </si>
  <si>
    <t>B082MPZFNL</t>
  </si>
  <si>
    <t>RIDGID 36163 Model Micro CD-100 Combustible Gas Detector, Gas Leak Detector &amp; Klein Tools ET120 Gas Leak Detector, Combustible Gas Leak Tester</t>
  </si>
  <si>
    <t>B0BNL9BF1T</t>
  </si>
  <si>
    <t>Nu-Calgon 4171-75 Evap Foam No Rinse Evaporator Coil Cleaner, 18 oz. (Pack of 2)</t>
  </si>
  <si>
    <t>B07TT1JMR2</t>
  </si>
  <si>
    <t>PMJ590 - Packard Upgraded Replacement Motor Start Capacitor 590-708 MFD 110-125 Volt VAC</t>
  </si>
  <si>
    <t>B0773WXTQP</t>
  </si>
  <si>
    <t>Packard Titan PRO TRCD405 Run Capacitor 40+5 MFD 370 Volt Round</t>
  </si>
  <si>
    <t>9.04</t>
  </si>
  <si>
    <t>5302353002664</t>
  </si>
  <si>
    <t>Klein Tools 65064 2-in-1 Nut Driver, Hex Head, 1/4-Inch and 5/16-Inch</t>
  </si>
  <si>
    <t>Klein Tools 646M Tool Set, Magnetic Nut Drivers Sizes 1/4 and 5/16-Inch, 6-Inch Shafts, 2-Piece &amp; 65064 Hex Head 2-in-1 Nut Driver, 1/4-Inch and 5/16-Inch</t>
  </si>
  <si>
    <t>B0BGPTVP3Z</t>
  </si>
  <si>
    <t>23.36</t>
  </si>
  <si>
    <t>1707342889060</t>
  </si>
  <si>
    <t>Nu-Calgon 4185-15 Condensate Pan Gel Tab, 15 ton</t>
  </si>
  <si>
    <t>(12) Pack/Nu-Calgon Gel-Tab # 4185-05, Condensate Pan Treatment up to 5 Tons</t>
  </si>
  <si>
    <t>B07W3N6H62</t>
  </si>
  <si>
    <t>18.49</t>
  </si>
  <si>
    <t>27.68</t>
  </si>
  <si>
    <t>7769420529880</t>
  </si>
  <si>
    <t>108-130 uf/MFD 220-250 VAC ±20% Volts Round Start Capacitor 50/60 Hz AC Electric Replacement Part by Blue Stars - Exact Fit for Single-Phase Electric Motors</t>
  </si>
  <si>
    <t>B09TKWCV7P</t>
  </si>
  <si>
    <t>B0B33XLXD1</t>
  </si>
  <si>
    <t>Screwdriver, 14-in-1 Adjustable Screwdriver with Flip Socket, HVAC Nut Drivers and Bits &amp; Klein Tools 32314 Electronic Screwdriver, 14-in-1 with 8 Precision Tips, Slotted, 6 Precision Nut Drivers</t>
  </si>
  <si>
    <t>B0BM34Q1QR</t>
  </si>
  <si>
    <t>Imperial TC-1050 IMP® Mini Tube Cutter 1/8" - 5/8" O.D.</t>
  </si>
  <si>
    <t>Imperial Tool TC2050SP IMP Mini Tube Cutter for 3/16" to 7/8" O.D. Tubing</t>
  </si>
  <si>
    <t>B087YYZR8B</t>
  </si>
  <si>
    <t>3679475138660</t>
  </si>
  <si>
    <t>216-259 uf/MFD 110-125 VAC Round Start Capacitor ±20% 50/60 Hz CD60 Round Motor Well Pump Start Capacitor (216-259 uf/MFD)</t>
  </si>
  <si>
    <t>B0C2KRY85W</t>
  </si>
  <si>
    <t>Klein Tools 32304 14-in-1 HVAC Adjustable-Length Impact Screwdriver with Flip Socket</t>
  </si>
  <si>
    <t>Klein Tools 32304 Screwdriver, 14-in-1 Adjustable Screwdriver &amp; Impact Driver, 7-in-1 Impact Flip Socket Set &amp; Multi-bit Stubby Screwdriver, Impact Rated 8-in-1 Adjustable Magnetic Tool</t>
  </si>
  <si>
    <t>B0C9994NG7</t>
  </si>
  <si>
    <t>7856604578008</t>
  </si>
  <si>
    <t>Uniweld Type17-1 Oxyacetylene Welding &amp; Brazing Tip</t>
  </si>
  <si>
    <t>Uniweld TYPE17-15 Rosebud Brazing &amp; Heating Tip #15</t>
  </si>
  <si>
    <t>B00FI1J1V0</t>
  </si>
  <si>
    <t>29.79</t>
  </si>
  <si>
    <t>37.78</t>
  </si>
  <si>
    <t>5365601042600</t>
  </si>
  <si>
    <t>Supco SPP5 Solid State Relay &amp; Hard Start Capacitor Starter POW-R-PAK</t>
  </si>
  <si>
    <t>SPP5 Supco Solid State HVAC HS5 Relay &amp; Hard Start Capacitor Pow-R-Pak</t>
  </si>
  <si>
    <t>B01MF4CCJJ</t>
  </si>
  <si>
    <t>9.95</t>
  </si>
  <si>
    <t>3564190171236</t>
  </si>
  <si>
    <t>Packard PMJ708 Motor Start Capacitor 708-850 MFD 110-125 VAC</t>
  </si>
  <si>
    <t>USA Motor Start Capacitor 708-850 uF MFD 110 125 VAC Replaces 11028 11928 PMJ708 PMJ708A</t>
  </si>
  <si>
    <t>B07M5HQLFY</t>
  </si>
  <si>
    <t>6.76</t>
  </si>
  <si>
    <t>5271970021544</t>
  </si>
  <si>
    <t>PMJ216 - Packard Upgraded Replacement Motor Start Capacitor 216-259 MFD 110-125 Volt VAC</t>
  </si>
  <si>
    <t>B0773XR2MH</t>
  </si>
  <si>
    <t>B18099-04-Goodman ICM Replacement Furnace Control Board</t>
  </si>
  <si>
    <t>B00G036QKO</t>
  </si>
  <si>
    <t>Milwaukee 48-22-0305 Folding Jab Saw</t>
  </si>
  <si>
    <t>Milwaukee 48-22-0305 6 Inch Folding Jab Saw Compatible with Sawzall Reciprocating Saw Blades (Multi Purpose Blade Included), 2 Pack</t>
  </si>
  <si>
    <t>B082ZR5YFG</t>
  </si>
  <si>
    <t>31.1</t>
  </si>
  <si>
    <t>4349655449700</t>
  </si>
  <si>
    <t>Robertshaw 1751-013 Add-On Pressure Regulator Kit, LP Gas</t>
  </si>
  <si>
    <t>LP Gas Converstion Pressure Regulator Kit Replaces Robertshaw 1751-013 HVAC Part</t>
  </si>
  <si>
    <t>B07KJQN5QM</t>
  </si>
  <si>
    <t>26.21</t>
  </si>
  <si>
    <t>5945285247144</t>
  </si>
  <si>
    <t>Ranco LDK-110000-070 Reversing Valve Solenoid Coil, 24V</t>
  </si>
  <si>
    <t>Replacement for Ranco LDK-110000-070 Solenoid Coil 24 VAC for Heat Pump Reversing Valves</t>
  </si>
  <si>
    <t>B09Y4BS2XC</t>
  </si>
  <si>
    <t>22.79</t>
  </si>
  <si>
    <t>77.06</t>
  </si>
  <si>
    <t>5994116907176</t>
  </si>
  <si>
    <t>Klein Tools NCVT1XTKIT Non-Contact Voltage and GFCI Receptacle Premium Test Kit</t>
  </si>
  <si>
    <t>Klein Tools 80064 AC Circuit Breaker Kit with GFCI Digital Circuit Breaker Finder, Non-Contact Voltage Tester Pen and Zipper Bag, 3-Piece</t>
  </si>
  <si>
    <t>B09WJKKBP2</t>
  </si>
  <si>
    <t>32.98</t>
  </si>
  <si>
    <t>7931949187288</t>
  </si>
  <si>
    <t>ICM Controls ICM289 Furnace Control Board - Replacement for Lennox</t>
  </si>
  <si>
    <t>18G9101-Lennox ICM Replacement Furnace Control Board</t>
  </si>
  <si>
    <t>B00G03B9BK</t>
  </si>
  <si>
    <t>198.98</t>
  </si>
  <si>
    <t>7735114432728</t>
  </si>
  <si>
    <t>Titan TRCFD405 Dual Rated Motor Run Capacitor Round MFD 40/5 Volts 440/370</t>
  </si>
  <si>
    <t>B01HPK5ANO</t>
  </si>
  <si>
    <t>Canamax 708-850 MFD uf 50/60 Hz 110-125 VAC Volts Round Start Capacitor - Replacement for AC Motor Run or Fan Start and Cool or Heat Pump Air Conditioner - Replaces 11028 11928 PMJ708 PMJ708A</t>
  </si>
  <si>
    <t>B0BTHN9D35</t>
  </si>
  <si>
    <t>Midwest MWT-6716SO Straight Aviation Snip - Blackout Series</t>
  </si>
  <si>
    <t>24.98</t>
  </si>
  <si>
    <t>36.65</t>
  </si>
  <si>
    <t>5889374322856</t>
  </si>
  <si>
    <t>Packard C230B Contactor 2 Pole 30 AMPS 120 Coil Voltage</t>
  </si>
  <si>
    <t>Furnas 45EG20AF - Replaced by Eaton/Cutler Hammer C25BNB230A Contactor, 2-Pole, 30 Amp, 120 VAC Coil Voltage</t>
  </si>
  <si>
    <t>B07GSD7WRV</t>
  </si>
  <si>
    <t>10.82</t>
  </si>
  <si>
    <t>4367983673444</t>
  </si>
  <si>
    <t>SPIN Tools S1014 Swaging Individual 1/4" Drill Bit</t>
  </si>
  <si>
    <t>Spin S1014 Swaging Tool, 1/4-Inch, Individual Hex Drill Bit</t>
  </si>
  <si>
    <t>B093CFYFS2</t>
  </si>
  <si>
    <t>26.45</t>
  </si>
  <si>
    <t>30.0</t>
  </si>
  <si>
    <t>5242852114600</t>
  </si>
  <si>
    <t>Packard PMJ216 Motor Start Capacitor. 216-259 MFD UF / 110-125 VAC</t>
  </si>
  <si>
    <t>B0054JJ51C</t>
  </si>
  <si>
    <t>Contactor C240B 2 Pole 40 Amp 120 Coil Voltage Packard Direct Replacement</t>
  </si>
  <si>
    <t>B07XQLVWW3</t>
  </si>
  <si>
    <t>Titan Pro TRC20 20 MFD 370V Round Capacitor</t>
  </si>
  <si>
    <t>B00FQQLVSS</t>
  </si>
  <si>
    <t>Klein Tools MM450 Multimeter, Slim Digital Meter, Auto-Ranging TRMS, 600V AC/DC Voltage, Current, Resistance, Temp, Frequency, Continuity &amp; 69410 Replacement Test Lead Set, Right Angle</t>
  </si>
  <si>
    <t>B0CF1HLRLZ</t>
  </si>
  <si>
    <t>2 PACKAGES*** Lucas Milhaupt AL 822 Flux Cored Aluminum Solder, 4 Rods, Brazing Alloy, 99088</t>
  </si>
  <si>
    <t>B07ZJN4V46</t>
  </si>
  <si>
    <t>Packard C340A Contactor 3 Pole 40 Amps 24 Coil Voltage</t>
  </si>
  <si>
    <t>Packard C350A Packard Contactor 3 Pole 50 Amps 24 Coil Voltage</t>
  </si>
  <si>
    <t>B004ZU4Q06</t>
  </si>
  <si>
    <t>22.24</t>
  </si>
  <si>
    <t>5301718810792</t>
  </si>
  <si>
    <t>Packard Titan PRO TRCD305 Run Capacitor 30+5 MFD 370 Volt Round</t>
  </si>
  <si>
    <t>Packard TRCD455 Titan Pro 45+5 MFD 370V Round Run Capacitor Replaces PRCD455</t>
  </si>
  <si>
    <t>B01N55F81Z</t>
  </si>
  <si>
    <t>7.92</t>
  </si>
  <si>
    <t>5373456646312</t>
  </si>
  <si>
    <t>1/2" Propress Viega Couplings with Stop 78047 5 Pack</t>
  </si>
  <si>
    <t>B095Q1XVQX</t>
  </si>
  <si>
    <t>JB Industries P90009 1/4" Replacement O-Ring, 10-Pack</t>
  </si>
  <si>
    <t>JB Industries P90009 1/4 in. Replacement O-Ring in Packs of 10</t>
  </si>
  <si>
    <t>B07SZ5BGHD</t>
  </si>
  <si>
    <t>4.31</t>
  </si>
  <si>
    <t>6.38</t>
  </si>
  <si>
    <t>6631490125997</t>
  </si>
  <si>
    <t>Klein Tools 32305 Multi-bit Ratcheting Screwdriver &amp; 32314 Electronic Screwdriver, 14-in-1 with 8 Precision Tips, Slotted, Phillips, and Tamperproof TORX Bits, 6 Precision Nut Drivers</t>
  </si>
  <si>
    <t>B09Y88M7X7</t>
  </si>
  <si>
    <t>Packard TOC7.5 Motor Run Capacitor Oval / MFD: 7.5 / Volts: 370</t>
  </si>
  <si>
    <t>B01IUY5LS8</t>
  </si>
  <si>
    <t>Packard PRMJ189 Motor Start Capacitor 189-227 MFD 330 VAC</t>
  </si>
  <si>
    <t>Packard PSMJ189 Motor Start Capacitor. 189-227 MFD UF / 165 VAC</t>
  </si>
  <si>
    <t>B0BH4H7WKH</t>
  </si>
  <si>
    <t>8.59</t>
  </si>
  <si>
    <t>4298778378340</t>
  </si>
  <si>
    <t>Klein Tools 94130 1000V Insulated Tool Kit, 5-Piece</t>
  </si>
  <si>
    <t>Klein Tools 33524 Tool Kit, 1000V Insulated Nut Driver Set, Sizes 3/16, 1/4, 5/16, 11/32, 3/8,7/16,1/2,9/16,5/8-Inch, with Case, 9-Piece</t>
  </si>
  <si>
    <t>B000MKIR9E</t>
  </si>
  <si>
    <t>99.99</t>
  </si>
  <si>
    <t>149.98</t>
  </si>
  <si>
    <t>5299145146536</t>
  </si>
  <si>
    <t>Packard PRMJ145A Motor Start Capacitor 145-174 MFD</t>
  </si>
  <si>
    <t>Motor Start Capacitor, 110-125 Volt, 145-174 Mfd</t>
  </si>
  <si>
    <t>B01MR4WQRM</t>
  </si>
  <si>
    <t>7.51</t>
  </si>
  <si>
    <t>5272211062952</t>
  </si>
  <si>
    <t>TEMCo 708-850 uf/MFD 110-125 VAC Volts Round Start Capacitor 50/60 Hz AC Electric - Lot -1</t>
  </si>
  <si>
    <t>B00EQHE9TQ</t>
  </si>
  <si>
    <t>ICM Controls ICM102F Delay on Make Timer with .03-10 Minute Adjustable Time Delay, Universal 18-240 VAC, 6" Wire Leads</t>
  </si>
  <si>
    <t>ICM Controls ICM105 Delay-on-Make Timer with 0.03-10 Minute Adjustable Delay, Universal 18-240 VAC</t>
  </si>
  <si>
    <t>B00441XZXK</t>
  </si>
  <si>
    <t>19.53</t>
  </si>
  <si>
    <t>6183498743981</t>
  </si>
  <si>
    <t>ICM Controls ICM102 Delay on Make Timer with .03-10 Minute Adjustable Time Delay, Universal 18-240 VAC</t>
  </si>
  <si>
    <t>19.46</t>
  </si>
  <si>
    <t>4259030663268</t>
  </si>
  <si>
    <t>Canamax Premium 88-108 uf mfd 220-250VAC Volts Round Motor Start Capacitor 50/60 Hz AC Electric - Exact Fit for OEM Single Phase Motor Capacitors Condenser Straight Cool or Heat Pump Air Conditioner</t>
  </si>
  <si>
    <t>B0B253ZNKF</t>
  </si>
  <si>
    <t>Klein Tools 85073INS Screwdriver Set, 1000V Insulated, 3-Piece</t>
  </si>
  <si>
    <t>Klein Tools 33736INS Insulated Screwdriver Set, 1000V Slim-Tip Driver with Phillips, Cabinet and Square Bits and a Magnetizer, 6-Piece</t>
  </si>
  <si>
    <t>B09GPZPMTD</t>
  </si>
  <si>
    <t>21.97</t>
  </si>
  <si>
    <t>7839219613912</t>
  </si>
  <si>
    <t>Robertshaw 802 Electric Heat Line Voltage Thermostat, DPST</t>
  </si>
  <si>
    <t>Robertshaw DPST Line Voltage Electric Heat Thermostat 802</t>
  </si>
  <si>
    <t>B08WYMZ861</t>
  </si>
  <si>
    <t>15.37</t>
  </si>
  <si>
    <t>5993956737192</t>
  </si>
  <si>
    <t>White Rodgers 90-340 Switching Fan Relay, DPDT, 24V</t>
  </si>
  <si>
    <t>JARD Replacement Blower Fan Relay - Replaces White Rodgers 90-340 Relay, DPDT 24V Coil</t>
  </si>
  <si>
    <t>B07NF4JCKN</t>
  </si>
  <si>
    <t>8.78</t>
  </si>
  <si>
    <t>21.63</t>
  </si>
  <si>
    <t>6155057627309</t>
  </si>
  <si>
    <t>Inficon D-TEK® 3 Refrigerant Leak Detector</t>
  </si>
  <si>
    <t>Inficon AST 300 PPM Refrigerant Leak Detector with PPM Display (Model: AST300PPM)</t>
  </si>
  <si>
    <t>B08YLGQDZ5</t>
  </si>
  <si>
    <t>516.99</t>
  </si>
  <si>
    <t>645.0</t>
  </si>
  <si>
    <t>5950406623400</t>
  </si>
  <si>
    <t>Fieldpiece JL3PR Job Link® System Pressure Probe</t>
  </si>
  <si>
    <t>Fieldpiece JL3PR, Job Link Probe-Pressure (Pack of 2 pcs)</t>
  </si>
  <si>
    <t>B0856V74HP</t>
  </si>
  <si>
    <t>121.55</t>
  </si>
  <si>
    <t>143.0</t>
  </si>
  <si>
    <t>3548630712420</t>
  </si>
  <si>
    <t>Appion MGAVCT 1/4in Valve Core Removal Tool</t>
  </si>
  <si>
    <t>Appion MGAVCR Mega Flow Vacuum Rated Valve Core Removal Tool – 5/16" System Connection (2-(Pack))</t>
  </si>
  <si>
    <t>B07L9H16Z7</t>
  </si>
  <si>
    <t>7957780267224</t>
  </si>
  <si>
    <t>Appion MGAVCR 5/16in Valve Core Removal Tool</t>
  </si>
  <si>
    <t>7957758673112</t>
  </si>
  <si>
    <t>Klein Tools 11046 Wire Stripper/Cutter 16-26 AWG Stranded</t>
  </si>
  <si>
    <t>Klein Tools 11046 Wire Stripper/Cutter 16-26 AWG Stranded &amp; 11055 Wire Cutter and Wire Stripper, Stranded Wire Cutter, Solid Wire Cutter, Cuts Copper Wire</t>
  </si>
  <si>
    <t>B0BNL42TPG</t>
  </si>
  <si>
    <t>23.56</t>
  </si>
  <si>
    <t>3688603910244</t>
  </si>
  <si>
    <t>Klein Tools 32500MAG Magnetic Multi-Bit Screwdriver/Nut Driver &amp; 32314 Electronic Screwdriver, 14-in-1 with 8 Precision Tips, Slotted, Phillips, and Tamperproof TORX Bits, 6 Precision Nut Drivers</t>
  </si>
  <si>
    <t>B0BC81C7SH</t>
  </si>
  <si>
    <t>Klein Tools 11053 Klein-Kurve® Wire Stripper/Cutter</t>
  </si>
  <si>
    <t>Klein Tools 11055-INS Insulated Klein-Kurve Wire Stripper/Cutter, Orange</t>
  </si>
  <si>
    <t>B000MKIPPU</t>
  </si>
  <si>
    <t>20.97</t>
  </si>
  <si>
    <t>31.76</t>
  </si>
  <si>
    <t>5387171299496</t>
  </si>
  <si>
    <t>Packard Titan PRO TRCD355 Run Capacitor 35+5 MFD 370 Volt Round</t>
  </si>
  <si>
    <t>Titan TRCD355 Dual Rated Motor Run Capacitor Round MFD 35/5 Volts 440/370</t>
  </si>
  <si>
    <t>B01HQH22HS</t>
  </si>
  <si>
    <t>8.53</t>
  </si>
  <si>
    <t>5302188998824</t>
  </si>
  <si>
    <t>Appli Parts motor start capacitor 590-708 Mfd (microfarads) uF 110-125 VAC universal fit for electric motor applications 1-3/4 in Wide 3-3/8 in Height CON-590-110</t>
  </si>
  <si>
    <t>B01FMSM5KW</t>
  </si>
  <si>
    <t>Klein Tools JTH68M Hex Key Set, Metric, Journeyman™ T-Handle, 6-Inch with Stand, 8-Piece</t>
  </si>
  <si>
    <t>Klein Tools JTH68MB Hex Kit Set, Metric Ball End T-Handle Hex Key Allen Wrench Set with 6-Inch Blades, Stand Included, 8-Piece</t>
  </si>
  <si>
    <t>B004DB8GSK</t>
  </si>
  <si>
    <t>2766259650660</t>
  </si>
  <si>
    <t>Titan TRCFD255 Dual Rated Motor Run Capacitor Round MFD 25/5 Volts 440/370</t>
  </si>
  <si>
    <t>B01IC2J6NE</t>
  </si>
  <si>
    <t>Screwdriver, 14-in-1 Adjustable Screwdriver with Flip Socket, HVAC Nut Drivers and Bits, Impact Rated Klein Tools 32304 &amp; UEi Test Instruments PDT650 Folding Pocket Digital Thermometer,Yellow</t>
  </si>
  <si>
    <t>B0B68FP3YG</t>
  </si>
  <si>
    <t>Canamax Premium 108-130 uf/MFD 110-125 VAC ±20% Volts Round Start Capacitor 50/60 Hz AC Electric - Exact Fit for Single-Phase Electric Motors</t>
  </si>
  <si>
    <t>B0B1DF2X7K</t>
  </si>
  <si>
    <t>LENOX Tools Jab Saw, Folding (20997TFHS618636) &amp; Impact Driver, 7-in-1 Impact Flip Socket Set, 6 Hex Driver Sizes plus a 1/4-Inch Bit Holder Klein Tools 32907</t>
  </si>
  <si>
    <t>B0CF2HPH97</t>
  </si>
  <si>
    <t>PRMJ145 - Packard Upgraded Replacement Motor Start Capacitor 145-174 MFD 330 Volt VAC</t>
  </si>
  <si>
    <t>B0773VZKWV</t>
  </si>
  <si>
    <t>Fluke 62 MAX Mini Infrared Thermometer</t>
  </si>
  <si>
    <t>FLUKE FLUKE-62 MAX+ INFRARED THERMOMETER, -30C to +650C / -22F to +1202F</t>
  </si>
  <si>
    <t>B00BX8RMAY</t>
  </si>
  <si>
    <t>122.99</t>
  </si>
  <si>
    <t>5931906334888</t>
  </si>
  <si>
    <t>Klein Tools 32717 Precision Screwdriver Set &amp; 14-in-1 Adjustable Screwdriver with Flip Socket, HVAC Nut Drivers and Bits, Impact Rated Klein Tools 32304</t>
  </si>
  <si>
    <t>B0BRM3HJY8</t>
  </si>
  <si>
    <t>Greenlee GSB01 1/2" Step Bit (#1)</t>
  </si>
  <si>
    <t>Greenlee GSB09 1-1/8" Step Bit (#9) Metal Cutter with Patented Split-Step Design, 1-1/8" Metal Cutting Tool for 1/2" Drill Chucks</t>
  </si>
  <si>
    <t>B08TVGF4MS</t>
  </si>
  <si>
    <t>31.22</t>
  </si>
  <si>
    <t>8009320628440</t>
  </si>
  <si>
    <t>590-708 mfd uF 110-125VAC ±20% Volts Round Motor Start Capacitor 50/60 Hz AC Electric Replacement Part by Blue Stars</t>
  </si>
  <si>
    <t>B0B7VR1PM8</t>
  </si>
  <si>
    <t>ICM Controls ICM203 Delay on Break Timer with .03-10 Minute Adjustable Time Delay, Universal 18-240 VAC</t>
  </si>
  <si>
    <t>15.7</t>
  </si>
  <si>
    <t>18.92</t>
  </si>
  <si>
    <t>4169307979876</t>
  </si>
  <si>
    <t>Packard PSMJ400 Motor Start Capacitor 400-480 MFD 165 VAC</t>
  </si>
  <si>
    <t>PTMJ400 - Packard Aftermarket Replacement Motor Start Capacitor 400-480 MFD 220 250 Volt</t>
  </si>
  <si>
    <t>B00IWYFYDE</t>
  </si>
  <si>
    <t>3683072016484</t>
  </si>
  <si>
    <t>Supco SHP450250 High Pressure Control Switch, 450-250 PSI</t>
  </si>
  <si>
    <t>Supco SHP450250 High Pressure Control Switch 450-250 PSI</t>
  </si>
  <si>
    <t>B09L595N9W</t>
  </si>
  <si>
    <t>11.99</t>
  </si>
  <si>
    <t>3564174245988</t>
  </si>
  <si>
    <t>Packard C140A Contactor 1 Pole 40 AMPS 24 Coil Voltage</t>
  </si>
  <si>
    <t>Ducane - 40 Amp 1 Pole 24v Coil Replacement Contactor C140A</t>
  </si>
  <si>
    <t>B00S8IZ44I</t>
  </si>
  <si>
    <t>9.98</t>
  </si>
  <si>
    <t>4359080607844</t>
  </si>
  <si>
    <t>Klein Tools JTH6E14 5/16-Inch Hex Key with Journeyman T-Handle, 6-Inch</t>
  </si>
  <si>
    <t>Klein Tools JTH6M3BE 3 mm Ball End Hex Key with Journeyman T-Handle, 6-Inch (Pack of 2)</t>
  </si>
  <si>
    <t>B0CGLYY7WP</t>
  </si>
  <si>
    <t>6.99</t>
  </si>
  <si>
    <t>3694843822180</t>
  </si>
  <si>
    <t>PRMJ189 - Packard Aftermarket Replacement Motor Start Capacitor 189-227 MFD 330 Volt</t>
  </si>
  <si>
    <t>B00IWYGOTM</t>
  </si>
  <si>
    <t>Packard TRCFD305 Titan PRO Run Capacitor 30+5 MFD 440/370 Volt, Round</t>
  </si>
  <si>
    <t>Titan Pro Round Motor Dual Run Capacitor, 30/5 Microfarad Rating, 370-440VAC Voltage - TRCFD305</t>
  </si>
  <si>
    <t>B08TTPB9QZ</t>
  </si>
  <si>
    <t>7.29</t>
  </si>
  <si>
    <t>4339324911716</t>
  </si>
  <si>
    <t>Klein Tools 69417 Rare-Earth Magnetic Hanger, with Strap &amp; 69401 Multimeter Carrying Case</t>
  </si>
  <si>
    <t>B0BGJ66GX4</t>
  </si>
  <si>
    <t>Freud 99-240 2" Drawer Lock Bit</t>
  </si>
  <si>
    <t>Freud 2-3/4" (Dia.) Lock Miter Bit with 1/2" Shank (99-034), Pack of 1, Perma-SHIELD Coating Red</t>
  </si>
  <si>
    <t>B0000225XP</t>
  </si>
  <si>
    <t>36.98</t>
  </si>
  <si>
    <t>63.21</t>
  </si>
  <si>
    <t>8007803601112</t>
  </si>
  <si>
    <t>Tajima LCB-65-20 Rock Hard Blade™ H Utility Knife Blades, 7-Point, 20-Blade Hard Pack</t>
  </si>
  <si>
    <t>2 Pack Tajima LCB-65-20 1" x 7-point Replacement Snap-Blades for Aluminist &amp; Rock Hard Knives 20-blade hard pack</t>
  </si>
  <si>
    <t>B0757V77QS</t>
  </si>
  <si>
    <t>6897388028077</t>
  </si>
  <si>
    <t>Klein Tools JTH9E14 5/16-Inch Hex Key, Journeyman T-Handle, 9-Inch (Pack of 2)</t>
  </si>
  <si>
    <t>B0CF2VDSX2</t>
  </si>
  <si>
    <t>Packard PRMJ216 Motor Start Capacitor 216-259 MFD 330 VAC</t>
  </si>
  <si>
    <t>8.94</t>
  </si>
  <si>
    <t>3595512217700</t>
  </si>
  <si>
    <t>RectorSeal 66733 NoKink 3/8" x 3' Flexible Refrigerant Line Connector</t>
  </si>
  <si>
    <t>Rectorseal 68235 NoKink Flexible Refrigerant Line Connector, 5/8" x 72"</t>
  </si>
  <si>
    <t>B01ALRVLTA</t>
  </si>
  <si>
    <t>6957674758317</t>
  </si>
  <si>
    <t>PACKARD PMJ460 460-552 MFD 110-125 Volt, Start Capacitor, Discontinued by Manufacturer, Diameter: 1-7/16" Height: 3-3/8"</t>
  </si>
  <si>
    <t>B00IWYGPRS</t>
  </si>
  <si>
    <t>White-Rodgers 24A34-5 24V Electric Heat Sequencer, DPST-SPST</t>
  </si>
  <si>
    <t>Q105 Electric Heat Sequencer Control DPST-SPST 24Volt 24A34-5 525-37327-000</t>
  </si>
  <si>
    <t>B0BMPTJH7C</t>
  </si>
  <si>
    <t>18.31</t>
  </si>
  <si>
    <t>46.56</t>
  </si>
  <si>
    <t>5891615162536</t>
  </si>
  <si>
    <t>Klein Tools JTH4E11 3/16-Inch Hex Key with Journeyman T-Handle, 4-Inch</t>
  </si>
  <si>
    <t>Klein Tools JTH6E13BE 1/4-Inch Ball End Hex Key with Journeyman T-Handle, 6-Inch</t>
  </si>
  <si>
    <t>B004QW52YW</t>
  </si>
  <si>
    <t>4.99</t>
  </si>
  <si>
    <t>7.6</t>
  </si>
  <si>
    <t>4432217964644</t>
  </si>
  <si>
    <t>Klein Tools JTH6E11 3/16-Inch Hex Key, Journeyman T-Handle, 6-Inch</t>
  </si>
  <si>
    <t>7.56</t>
  </si>
  <si>
    <t>4396293947492</t>
  </si>
  <si>
    <t>TitanPro TRCFD305 HVAC Round Dual Motor Run Capacitor 30/5 MFD/UF440/370 Volts</t>
  </si>
  <si>
    <t>B06XHDG9PZ</t>
  </si>
  <si>
    <t>Fresh-Aire UV APCO TUV-APCO-ER2 18-32 VAC, 2-Year UV Lamp</t>
  </si>
  <si>
    <t>APCO Carbon Matrix HVAC UV Air Purifier, Includes Dual 2-Year UVC Lamp for Coils and Air Handler (18-32 VAC Series) # TUV-APCO-DE2</t>
  </si>
  <si>
    <t>B09P9S9GXM</t>
  </si>
  <si>
    <t>385.99</t>
  </si>
  <si>
    <t>4429144260708</t>
  </si>
  <si>
    <t>Canamax 590-708 MFD uf 50/60 Hz 110-125 VAC Volts Round Start Capacitor - Replacement for AC Motor Run or Fan Start and Cool or Heat Pump Air Conditioner - Replaces 6FLL3 2MDU7 CAP-590-110</t>
  </si>
  <si>
    <t>B0BTHNF9R1</t>
  </si>
  <si>
    <t>Klein Tools 80027 Screwdriver Set, 11-in-1 Multi-bit Screwdriver, 6-in-1 Stubby Screwdriver &amp; Impact Driver, 7-in-1 Impact Flip Socket Set, 6 Hex Driver Sizes plus a 1/4-Inch Bit Holder 32907</t>
  </si>
  <si>
    <t>B0CF2F1JXG</t>
  </si>
  <si>
    <t>PMJ590 - Packard Aftermarket Replacement Motor Start Capacitor 590-708 MFD 110 125 Volt</t>
  </si>
  <si>
    <t>B00IWYHDTC</t>
  </si>
  <si>
    <t>Packard PTMJ108 Start Capacitor 108-130 MFD 220-250 Volt</t>
  </si>
  <si>
    <t>B00C0Z216O</t>
  </si>
  <si>
    <t>Greenlee GSB06 1/2" Step Bit (#6)</t>
  </si>
  <si>
    <t>32.89</t>
  </si>
  <si>
    <t>33.55</t>
  </si>
  <si>
    <t>8009318367448</t>
  </si>
  <si>
    <t>Klein Tools 32484 Replacement Bit #1 Square &amp; #2 Square</t>
  </si>
  <si>
    <t>Klein Tools 32709 Adjustable Length Screwdriver Blade Replacement, Square #1 and #2</t>
  </si>
  <si>
    <t>B01HD4HEZY</t>
  </si>
  <si>
    <t>7.48</t>
  </si>
  <si>
    <t>4333072711780</t>
  </si>
  <si>
    <t>PRMJ189 - Packard Upgraded Replacement Motor Start Capacitor 189-227 MFD 330 Volt VAC</t>
  </si>
  <si>
    <t>B0773VVNGK</t>
  </si>
  <si>
    <t>RectorSeal 97089 Safe-T-Switch SS3</t>
  </si>
  <si>
    <t>Rectorseal 97089 SS3 3RD Generation Safe-T-Switch</t>
  </si>
  <si>
    <t>B09QQS4DF5</t>
  </si>
  <si>
    <t>14.09</t>
  </si>
  <si>
    <t>17.85</t>
  </si>
  <si>
    <t>8023711973592</t>
  </si>
  <si>
    <t>108-130 uf/MFD 220-250 VAC Round Start Capacitor ±20% 50/60 Hz CD60 Round Motor Well Pump Start Capacitor (108-130 uf/MFD)</t>
  </si>
  <si>
    <t>B0C2KJBQZQ</t>
  </si>
  <si>
    <t>Upgraded Replacement for Goodman Furnace Control Circuit Board B18099-06</t>
  </si>
  <si>
    <t>B016AQSGBC</t>
  </si>
  <si>
    <t>Klein Tools 605-6 1/4-Inch Cabinet Tip Screwdriver, Heavy Duty, 6-Inch</t>
  </si>
  <si>
    <t>Klein Tools 603-4 Screwdriver, 2 Phillips Tip with Cushion Grip Handle, Precision Machined Electrician Screwdriver, 8-Inch &amp; 605-6 1/4-Inch Cabinet Tip Screwdriver, Heavy Duty, 6-Inch</t>
  </si>
  <si>
    <t>B0BR23NNNH</t>
  </si>
  <si>
    <t>9.49</t>
  </si>
  <si>
    <t>14.38</t>
  </si>
  <si>
    <t>4512371310692</t>
  </si>
  <si>
    <t>weideer 53-64 uf/MFD Motor Start Capacitor 250 VAC Volts 50/60 Hz for Well Pump and Others</t>
  </si>
  <si>
    <t>B0B86Z795Y</t>
  </si>
  <si>
    <t>Supco FSC10 Flame Sensor Cleaner</t>
  </si>
  <si>
    <t>Edgewater Parts FSC10 Flame Sensor Cleaner</t>
  </si>
  <si>
    <t>B0964C1QLV</t>
  </si>
  <si>
    <t>7.13</t>
  </si>
  <si>
    <t>6870162079917</t>
  </si>
  <si>
    <t>Freud 99-035: 2-11/64" (Dia.) Lock Miter Bit with 1/2" Shank</t>
  </si>
  <si>
    <t>B0002TUDLU</t>
  </si>
  <si>
    <t>TitanPro TRCFD405 HVAC Round Dual Motor Run Capacitor. 40/5 MFD/UF 440/370 Volts</t>
  </si>
  <si>
    <t>B01EZ6JWEE</t>
  </si>
  <si>
    <t>Packard TRCFD3575 Titan PRO Run Capacitor 35+7.5 MFD 440/370 Volt Round</t>
  </si>
  <si>
    <t>Titan Pro Round Motor Dual Run Capacitor, 35/7.5 Microfarad Rating, 370-440VAC Voltage - TRCFD3575</t>
  </si>
  <si>
    <t>B08TTFTD3M</t>
  </si>
  <si>
    <t>8.73</t>
  </si>
  <si>
    <t>6649855475885</t>
  </si>
  <si>
    <t>Packard PRMJ270 Motor Start Capacitor 270-324 MFD 330 VAC</t>
  </si>
  <si>
    <t>Motor Start Capacitor 270-324 uf MFD 330 Volt VAC MARS2 11970</t>
  </si>
  <si>
    <t>B00C0VYISW</t>
  </si>
  <si>
    <t>10.37</t>
  </si>
  <si>
    <t>4298743185508</t>
  </si>
  <si>
    <t>Appli Parts motor start capacitor 189-227 Mfd (microfarads) uF 330 VAC universal fit for electric motor applications 1-3/4 in Wide 3-3/8 in Height CON-189-330</t>
  </si>
  <si>
    <t>B01FSQQ5OA</t>
  </si>
  <si>
    <t>Titan TRCFD3575 Dual Rated Motor Run Capacitor Round MFD 35/7.5 Volts 440/370</t>
  </si>
  <si>
    <t>B01IC2PSSG</t>
  </si>
  <si>
    <t>Robertshaw RS8110 Digital Non-Programmable Thermostat, Single Stage - 1 Heat/1 Cool</t>
  </si>
  <si>
    <t>Robertshaw RS9110T Pro Series 5-1-1 Programmable Touchscreen Thermostat, Single-Stage, 1 Heat, 1Cool White</t>
  </si>
  <si>
    <t>B0BM23W9SN</t>
  </si>
  <si>
    <t>32.96</t>
  </si>
  <si>
    <t>61.37</t>
  </si>
  <si>
    <t>6728860827821</t>
  </si>
  <si>
    <t>Klein Tools SRS56038 Polymer Fish Rod Set Glow-in-The-Dark</t>
  </si>
  <si>
    <t>Klein Tools 50660 Glow In The Dark Fish Tape, Fiberglass with Nylon Tip and Stainless-Steel Connector for Fish Rod Attachments, 40-Foot</t>
  </si>
  <si>
    <t>B0BVJXRH9J</t>
  </si>
  <si>
    <t>40.0</t>
  </si>
  <si>
    <t>5966785478824</t>
  </si>
  <si>
    <t>Channellock 440 12" Straight Jaw Tongue &amp; Groove Pliers</t>
  </si>
  <si>
    <t>Channellock 440 Tongue and Groove Pliers | 12-Inch Straight Jaw Groove Joint Plier with Comfort Grips| Made in USA, Black, Blue, Silver &amp; 442 Tongue and Groove Pliers, 12 In, Black, Blue, Silver</t>
  </si>
  <si>
    <t>B0BFXP68V9</t>
  </si>
  <si>
    <t>21.95</t>
  </si>
  <si>
    <t>29.82</t>
  </si>
  <si>
    <t>3553495908452</t>
  </si>
  <si>
    <t>Klein Tools 80021 Tool Set, Screwdriver and Nut Driver Tool Kit, 16-Piece &amp; 94130 1000V Insulated Screwdriver Tool Set with #2 Phillips and 1/4-Inch Cabinet Slim Tips, 2 Pliers and Wire Stripper</t>
  </si>
  <si>
    <t>B0BD4188RR</t>
  </si>
  <si>
    <t>Wiha 70487 6 Piece Color Coded Magnetic Nut Setter Metric Set &amp; Impact Driver, 7-in-1 Impact Flip Socket Set, 6 Hex Driver Sizes Plus a 1/4-Inch Bit Holder Klein Tools 32907</t>
  </si>
  <si>
    <t>B0C3BBFJC3</t>
  </si>
  <si>
    <t>PMJ64 - Packard Upgraded Replacement Motor Start Capacitor 64-77 MFD 110-125 Volt VAC</t>
  </si>
  <si>
    <t>B0773VSKH9</t>
  </si>
  <si>
    <t>Nu-Calgon 4900-40 iWave-V Vortex Air Ionization System</t>
  </si>
  <si>
    <t>Nu-Calgon 4900-20 - iWave-R Self-Cleaning Bi-Polar Ionization ION Generator for 6 Tons, 2400 CFM, 24-260 VAC (1)</t>
  </si>
  <si>
    <t>B07YYN1QRW</t>
  </si>
  <si>
    <t>185.99</t>
  </si>
  <si>
    <t>266.94</t>
  </si>
  <si>
    <t>8007558496472</t>
  </si>
  <si>
    <t>Klein Tools 3005CR Wire Crimper Tool &amp; 1005 Cutting/Crimping Tool for 10-22 AWG Terminals and Connectors, Terminal Crimper for Insulated and Non-Insulated Terminals</t>
  </si>
  <si>
    <t>B09T6YD8X4</t>
  </si>
  <si>
    <t>Klein Tools ET110 Carbon Monoxide Meter, with Exposure Limit Alarm &amp; ET120 Gas Leak Detector, Combustible Gas Leak Meter with 18-Inch Gooseneck Range 50-10,000 ppm, Includes Pouch, Batteries</t>
  </si>
  <si>
    <t>B08MFZNS5M</t>
  </si>
  <si>
    <t>INFICON D-TEK Stratus Refrigerant Leak Detector and Portable Monitor, Model: 724-202-G1,Off-White</t>
  </si>
  <si>
    <t>B07ZWGM6GR</t>
  </si>
  <si>
    <t>PRMJ270 - Packard Upgraded Replacement Motor Start Capacitor 270-324 MFD 330 Volt VAC</t>
  </si>
  <si>
    <t>B0773VZ1SY</t>
  </si>
  <si>
    <t>PMJ460 - Diversitech Aftermarket Replacement Motor Start Capacitor 460-552 MFD 110 125 Volt</t>
  </si>
  <si>
    <t>B00IWYGRDU</t>
  </si>
  <si>
    <t>Klein Tools JTH9M6 6 mm Hex Key, Journeyman T-Handle, 9-Inch</t>
  </si>
  <si>
    <t>B005G3HJKU</t>
  </si>
  <si>
    <t>New TitanPro TRCFD455 HVAC Round Dual Motor Run Capacitor. 45/5 MFD/UF440/370 Volts</t>
  </si>
  <si>
    <t>B07P5BTJKH</t>
  </si>
  <si>
    <t>Packard Titan PRO TRCD455 Run Capacitor 45+5 MFD 370 Volt, Round</t>
  </si>
  <si>
    <t>9.39</t>
  </si>
  <si>
    <t>5302371090600</t>
  </si>
  <si>
    <t>Milwaukee 48-22-1540 FASTBACK™ 5-in-1 Folding Knife</t>
  </si>
  <si>
    <t>SHISHUVIN For Milwaukee 48-22-1540 FASTBACK 5 in 1 Folding Pocket Knife Length 8.75 in Height 1 in Width 2 in</t>
  </si>
  <si>
    <t>B0C1RJSRPR</t>
  </si>
  <si>
    <t>23.97</t>
  </si>
  <si>
    <t>39.0</t>
  </si>
  <si>
    <t>4452621090916</t>
  </si>
  <si>
    <t>Appli Parts motor start capacitor 216-259 Mfd (microfarads) uF 330 VAC universal fit for electric motor applications 1-3/4 in Wide 3-3/8 in Height CON-216-330</t>
  </si>
  <si>
    <t>B01FSQQ7DE</t>
  </si>
  <si>
    <t>Universal Fit 400-480 uf/MFD 165 VAC Round Motor Start Capacitor 50/60 Hz AC Electric Replacement Part by Blue Stars</t>
  </si>
  <si>
    <t>B09TKWZCHZ</t>
  </si>
  <si>
    <t>Klein Tools 11053 Klein-Kurve Wire Stripper and Cutter for 6-12 AWG Stranded Wire, 7-1/8-Inch &amp; 11055 Wire Cutter and Wire Stripper, Stranded Wire Cutter, Solid Wire Cutter, Cuts Copper Wire</t>
  </si>
  <si>
    <t>B0BHVPT335</t>
  </si>
  <si>
    <t>RectorSeal 97087 Safe-T-Switch SS2, Gen 3</t>
  </si>
  <si>
    <t>Rectorseal 97085 Ss1 3rd Generation Safe-T-Switch</t>
  </si>
  <si>
    <t>B09QQR288Z</t>
  </si>
  <si>
    <t>30.67</t>
  </si>
  <si>
    <t>7799440933080</t>
  </si>
  <si>
    <t>CD60 330 VAC 189-227 uf/MFD Round Motor Start Capacitor Replacement Parts, Fit for Central Air-Conditioners, Condenser Fan Motors and Heat Pumps</t>
  </si>
  <si>
    <t>B0C88BP5F8</t>
  </si>
  <si>
    <t>Sioux Chief 672XV0490 3/4" PEX Inlet x (4) 1/2" PEX Branches Valved Manifold</t>
  </si>
  <si>
    <t>Sioux Chief 672XV0699, 1/2" PEX Manifold w/valves, 3/4" PEX in</t>
  </si>
  <si>
    <t>B003QSMAAQ</t>
  </si>
  <si>
    <t>68.25</t>
  </si>
  <si>
    <t>4410479673444</t>
  </si>
  <si>
    <t>Hilmor 1838952 FTO Orbital Flare Tool</t>
  </si>
  <si>
    <t>Hilmor Orbital Flare Kit with 1⁄8" - 1-3⁄8" Tubing Cutter, Pen Style Deburring Tool &amp; Storage Case, Black &amp; Green, FTOK 1937685</t>
  </si>
  <si>
    <t>B01HFOFZQ2</t>
  </si>
  <si>
    <t>136.27</t>
  </si>
  <si>
    <t>465.88</t>
  </si>
  <si>
    <t>4419205496932</t>
  </si>
  <si>
    <t>Klein Tools 56403 Rechargeable Personal Worklight</t>
  </si>
  <si>
    <t>Klein Tools 56403 LED Light, Rechargeable Flashlight/Worklight &amp; PJSFM1 Battery Operated Rechargeable Fan with USB-C Charging Cord and Multiple Mounting Options Perfect for the Jobsite</t>
  </si>
  <si>
    <t>B0BC85LX49</t>
  </si>
  <si>
    <t>71.02</t>
  </si>
  <si>
    <t>3618963947620</t>
  </si>
  <si>
    <t>ICM Controls ICM402 Three-Phase Line Voltage Monitor Offering Protection Against Phase Loss/Reversal and Unbalance, 50/60 Hz, 190-600 VAC (115 or 208/240 Control VAC)</t>
  </si>
  <si>
    <t>B0018MLVUM</t>
  </si>
  <si>
    <t>Comfortmaker - 40 Amp 1 Pole 24v Coil Replacement Contactor C140A</t>
  </si>
  <si>
    <t>B00S8IYYVC</t>
  </si>
  <si>
    <t>Yellow Jacket 42001 Series 41 Manifold Only, 3-1/8" Gauges - R-22 / 404A / 410A</t>
  </si>
  <si>
    <t>Yellow Jacket 42034 Series 41 Manifold with 3-1/8" Color-Coded Gauges, psi, R-22/404A/410A</t>
  </si>
  <si>
    <t>B00C2GV02C</t>
  </si>
  <si>
    <t>97.77</t>
  </si>
  <si>
    <t>2129997922404</t>
  </si>
  <si>
    <t>Klein Tools 11046 Wire Stripper/Cutter 16-26 AWG Stranded &amp; 11047 Wire Stripper/Cutter, Compact, Lightweight, Hardened Steel, Precision Ground, for Stranded and Solid Wires</t>
  </si>
  <si>
    <t>B0BNL5MC4G</t>
  </si>
  <si>
    <t>PTMJ145 - Packard Upgraded Replacement Motor Start Capacitor 145-174 MFD 220-250 Volt VAC</t>
  </si>
  <si>
    <t>B0773W3BX6</t>
  </si>
  <si>
    <t>Channellock 808WCB 8-Inch Chrome Adjustable Wrench with Code Blue Grips</t>
  </si>
  <si>
    <t>B00LFIEQ3S</t>
  </si>
  <si>
    <t>Refrigeration Technologies-RT100S Big Blu Micro Leak Detector 1 Qt</t>
  </si>
  <si>
    <t>B005IT8EI8</t>
  </si>
  <si>
    <t>Packard Prmj216 Start Capacitor 216-259 Mfd 330 Volt</t>
  </si>
  <si>
    <t>B004GCARCE</t>
  </si>
  <si>
    <t>White-Rodgers 24A34-2 24V Electric Heat Sequencer, SPST</t>
  </si>
  <si>
    <t>HVAC Parts Emerson White-Rodgers 24A34-4 24V Electric Heat Sequencer DPST</t>
  </si>
  <si>
    <t>B09N9VYKL1</t>
  </si>
  <si>
    <t>26.43</t>
  </si>
  <si>
    <t>5896366424232</t>
  </si>
  <si>
    <t>ICM Controls ICM203F Delay On Break Timer with 0.03-10 Minutes Adjustable Timing and 6 Lead Wires,Multicolor</t>
  </si>
  <si>
    <t>B00GIOYTJ0</t>
  </si>
  <si>
    <t>Wiha Tools 32088 8 Piece Insulated PicoFinish Precision Screwdriver Set</t>
  </si>
  <si>
    <t>Wiha PicoFinish® Electric Precision Screwdriver Set 7 Pieces Including Holder I Screwdriver for Electricians I VDE I Slotted Phillips (42989)</t>
  </si>
  <si>
    <t>B07H6SB33W</t>
  </si>
  <si>
    <t>64.55</t>
  </si>
  <si>
    <t>86.07</t>
  </si>
  <si>
    <t>8023413326040</t>
  </si>
  <si>
    <t>Supco MAG1BK 30 VAC Magnetic Test Leads</t>
  </si>
  <si>
    <t>6PCS Magnetic Test Leads Silicone Soft Flexible Jumper Test Wires 30V AC5A 3.3FT Magnetic Jumper Wires HVAC</t>
  </si>
  <si>
    <t>B0BD8L1R6B</t>
  </si>
  <si>
    <t>9.99</t>
  </si>
  <si>
    <t>7910334660824</t>
  </si>
  <si>
    <t>CD60 330 VAC 216-259 uf/MFD Round Motor Start Capacitor Replacement Parts, Fit for Central Air-Conditioners, Condenser Fan Motors and Heat Pumps</t>
  </si>
  <si>
    <t>B0C88MNBTZ</t>
  </si>
  <si>
    <t>Packard PMJ590 Packard 110-125V Start Capacitor 590-708 MFD</t>
  </si>
  <si>
    <t>B005YN5REM</t>
  </si>
  <si>
    <t>Milwaukee 48-22-2859 Demolition Driver</t>
  </si>
  <si>
    <t>For Milwaukee 48-22-2702 Tough Durable Demolition Screwdriver Set - 2 PC Length 14.35 in Width 1.7 in. Height 4.35 in.</t>
  </si>
  <si>
    <t>B0BYJLXHMN</t>
  </si>
  <si>
    <t>17.97</t>
  </si>
  <si>
    <t>7794952831192</t>
  </si>
  <si>
    <t>Rack-A-Tiers 51020 Exploding Garbage Can - Ultra</t>
  </si>
  <si>
    <t>Rack-A-Tiers 51020 Exploding Garbage CAN Ultra</t>
  </si>
  <si>
    <t>B07NLLQPTV</t>
  </si>
  <si>
    <t>31.49</t>
  </si>
  <si>
    <t>4349392814180</t>
  </si>
  <si>
    <t>Midwest MWT-6510C Left &amp; Right Offset Aviation 2-Piece Set</t>
  </si>
  <si>
    <t>46.77</t>
  </si>
  <si>
    <t>63.63</t>
  </si>
  <si>
    <t>3688829616228</t>
  </si>
  <si>
    <t>General Tools 4-in-1 Pin/Pinless Combo Moisture Meter &amp; Audible Alarm &amp; Klein Tools ET120 Gas Leak Detector, Combustible Gas Leak Tester with 18-Inch Gooseneck Has Range 50</t>
  </si>
  <si>
    <t>B0BC835B16</t>
  </si>
  <si>
    <t>Klein Tools 32807MAG 7-in-1 Nut Driver, Magnetic Driver has SAE Hex Nut Sizes 1/4 to 9/16-Inch, Cushion Grip Handle for Added Torque</t>
  </si>
  <si>
    <t>B07D4M51DQ</t>
  </si>
  <si>
    <t>Viega 25201 1/2" x 1/2" MegaPressG 90° Elbow</t>
  </si>
  <si>
    <t>VIEGA 79525 Propress Zero Lead Bronze 90-Degree Elbow with Female 1/2" x 1/2" P x Female NPT (2-Pack)</t>
  </si>
  <si>
    <t>B017BW6D6Y</t>
  </si>
  <si>
    <t>21.72</t>
  </si>
  <si>
    <t>8028105507032</t>
  </si>
  <si>
    <t>Packard PTMJ270A Motor Start Capacitor 220-250 Volt 270-324 MFD</t>
  </si>
  <si>
    <t>PTMJ270 - Packard Upgraded Replacement Motor Start Capacitor 270-324 MFD 220-250 Volt VAC</t>
  </si>
  <si>
    <t>B0773WQJ2T</t>
  </si>
  <si>
    <t>9.92</t>
  </si>
  <si>
    <t>5241741181096</t>
  </si>
  <si>
    <t>Klein Tools J12098 Journeyman Universal Combination Pliers</t>
  </si>
  <si>
    <t>Klein Tools 12098-INS Insulated Universal Combination Pliers, Side Cutters with Crimper, 8-Inch</t>
  </si>
  <si>
    <t>B0002RI4V8</t>
  </si>
  <si>
    <t>50.4</t>
  </si>
  <si>
    <t>1989504860260</t>
  </si>
  <si>
    <t>Supco 90380 General Purpose Fan Relay, NO/NC, 24 VAC</t>
  </si>
  <si>
    <t>Supco 90380 General Purpose Fan Relay, 13 A Load Current, 24 V Coil Voltage, Normally Open and Normally Closed Contacts</t>
  </si>
  <si>
    <t>B004XS1ZX6</t>
  </si>
  <si>
    <t>7.28</t>
  </si>
  <si>
    <t>7797851160792</t>
  </si>
  <si>
    <t>Dreyoo 2 Pack Carrier HVAC Motor Contactor, 120V 30 Amp Coil 2 Pole Replacement Relays Compatible with C230B, Air Conditioner, Heat Pump, Refrigeration Systems (2 Pole 30A 120V)</t>
  </si>
  <si>
    <t>B0BTLZCT96</t>
  </si>
  <si>
    <t>Robertshaw 41-414 Hot Surface Furnace Ignitor (Carbide)</t>
  </si>
  <si>
    <t>OEM Upgraded Replacement for Robertshaw Furnace Hot Surface Ignitor / Igniter 41-409</t>
  </si>
  <si>
    <t>B00EE86RC4</t>
  </si>
  <si>
    <t>18.08</t>
  </si>
  <si>
    <t>8025482821848</t>
  </si>
  <si>
    <t>Packard Titan Pro TMJ1000 Motor Start Capacitor 1000-1200 MFD 110-125 VAC</t>
  </si>
  <si>
    <t>PMJ1000 - Packard Upgraded Replacement Motor Start Capacitor 1000-1200 MFD 110-125 Volt VAC</t>
  </si>
  <si>
    <t>B0773WWGF5</t>
  </si>
  <si>
    <t>10.57</t>
  </si>
  <si>
    <t>8029409280216</t>
  </si>
  <si>
    <t>Klein Tools JTH9M5 5 mm Hex Key with Journeyman T-Handle, 9-Inch</t>
  </si>
  <si>
    <t>B005G3HJDW</t>
  </si>
  <si>
    <t>Melnor 65173AMZ RelaxGrip 8 Pattern 16" Pivoting Wand Bundle, Metal, Black, Yellow &amp; Klein Tools 65064 Hex Head 2-in-1 Nut Driver, 1/4-Inch and 5/16-Inch</t>
  </si>
  <si>
    <t>B0C6QZGPMM</t>
  </si>
  <si>
    <t>Klein Tools 32752 Double Sided Combo Replacement Bit, 2-Pack</t>
  </si>
  <si>
    <t>B00YJK0P5C</t>
  </si>
  <si>
    <t>5.99</t>
  </si>
  <si>
    <t>4432284188772</t>
  </si>
  <si>
    <t>Packard TRCFD455 45+5MFD 440/370V Round Run Capacitor Replaces PRCFD455</t>
  </si>
  <si>
    <t>B07TPFL8FB</t>
  </si>
  <si>
    <t>Channellock 440 Tongue and Groove Pliers | 12-Inch Straight Jaw Groove Joint Plier with Comfort Grips, Black, Blue, Silver &amp; Tongue and Groove Pliers, 9-1/2 In</t>
  </si>
  <si>
    <t>B0BFXKVMMD</t>
  </si>
  <si>
    <t>Lennox - 40 Amp 1 Pole 24v Coil Replacement Contactor C140A</t>
  </si>
  <si>
    <t>B00S8IYPCK</t>
  </si>
  <si>
    <t>Goodman - 40 Amp 1 Pole 24v Coil Replacement Contactor C140A</t>
  </si>
  <si>
    <t>B00S8IZAR4</t>
  </si>
  <si>
    <t>Malco Tools MSHLC1 2-5/8" C-Rhex Cleanable, Reversible Magnetic Hex Driver, 5/16" &amp; 3/8"</t>
  </si>
  <si>
    <t>Malco 5/16" and 3/8" C-RHEX Cleanable Reversible Magnetic Hex Driver (2" Length)</t>
  </si>
  <si>
    <t>B09RPKFRDN</t>
  </si>
  <si>
    <t>4504454037604</t>
  </si>
  <si>
    <t>ICM Controls ICM280 Furnace Board; Goodman OEM Replacement Board</t>
  </si>
  <si>
    <t>ICM Controls ICM2807 Furnace Control Board OEM Replacement Carrier for 325879-751 and HK42FZ017</t>
  </si>
  <si>
    <t>B00QW2MQ5C</t>
  </si>
  <si>
    <t>91.29</t>
  </si>
  <si>
    <t>130.14</t>
  </si>
  <si>
    <t>7830935273688</t>
  </si>
  <si>
    <t>Klein Tools 70550 Pro Folding Hex Key Set, 11-Key, SAE Sizes</t>
  </si>
  <si>
    <t>Klein Tools 65200 Ratchet Set, 5-Piece Mini Ratchet Set with Phillips, Slotted, and Adapter &amp; 70550 Hex Wrench Key Set, 11 SAE Sizes, Heavy Duty Folding Allen Wrench Tool</t>
  </si>
  <si>
    <t>B0CF2CH27G</t>
  </si>
  <si>
    <t>27.18</t>
  </si>
  <si>
    <t>3693538082916</t>
  </si>
  <si>
    <t>Refrigeration Technologies RT375A Viper Aerosol Foaming Coil Cleaner</t>
  </si>
  <si>
    <t>Refrigeration Technologies RT375A Viper Food Grade AEROSOL Coil</t>
  </si>
  <si>
    <t>B008HOSR9W</t>
  </si>
  <si>
    <t>9.79</t>
  </si>
  <si>
    <t>10.81</t>
  </si>
  <si>
    <t>4628294926436</t>
  </si>
  <si>
    <t>PMJ145 - Packard Upgraded Replacement Motor Start Capacitor 145-174 MFD 110-125 Volt VAC</t>
  </si>
  <si>
    <t>B0773SSCWS</t>
  </si>
  <si>
    <t>Titan TRCFD455 Dual Rated Motor Run Capacitor Round MFD 40+5 Volts 440/370</t>
  </si>
  <si>
    <t>B01IC31EW4</t>
  </si>
  <si>
    <t>Impact Driver, 7-in-1 Impact Flip Socket Set &amp; 14-in-1 Adjustable Screwdriver with Flip Socket, HVAC Nut Drivers and Bits, Impact Rated Klein Tools 32304</t>
  </si>
  <si>
    <t>B09Y84RPSB</t>
  </si>
  <si>
    <t>DiversiTech Asurity™ CP-22 Condensate Pump, 22ft. Lift, 120V</t>
  </si>
  <si>
    <t>DiversiTech CP-22T Condensate Pump, 22' Lift, with 20' of 3/8" CVT, 120V</t>
  </si>
  <si>
    <t>B008FM1PVI</t>
  </si>
  <si>
    <t>54.54</t>
  </si>
  <si>
    <t>145.32</t>
  </si>
  <si>
    <t>5284840374440</t>
  </si>
  <si>
    <t>PACKARD Start Capacitor PRMJ88 88-108 MFD 330VAC</t>
  </si>
  <si>
    <t>B004GCARCO</t>
  </si>
  <si>
    <t>White Rodgers 24A34-2 - Electric Heat Sequencer, 1 Switch, 1 Timing,</t>
  </si>
  <si>
    <t>B017RQXXFS</t>
  </si>
  <si>
    <t>White Rodgers 790-843A1 Universal Flame Sensor</t>
  </si>
  <si>
    <t>Replacement for White Rodgers 790-843A1 Furnace Flame Sensor for Carrier York Goodman Amana</t>
  </si>
  <si>
    <t>B09Y3V5472</t>
  </si>
  <si>
    <t>16.8</t>
  </si>
  <si>
    <t>39.71</t>
  </si>
  <si>
    <t>6257215340717</t>
  </si>
  <si>
    <t>White-Rodgers 50A55-843 Integrated Furnace Control Board, Universal Replacement</t>
  </si>
  <si>
    <t>White-Rodgers 21V51U-843 Universal Two Stage Hot Surface Ignition Variable Speed Ecm Circulator Furnace Control Replacement Kit</t>
  </si>
  <si>
    <t>B008FVEJVW</t>
  </si>
  <si>
    <t>135.23</t>
  </si>
  <si>
    <t>309.09</t>
  </si>
  <si>
    <t>5751568466088</t>
  </si>
  <si>
    <t>Klein Tools RT250KIT Non-Contact Voltage Tester and GFCI Receptacle Tester with LCD and Flashlight, Voltage Electrical Test Kit</t>
  </si>
  <si>
    <t>B08YDFQ2FV</t>
  </si>
  <si>
    <t>Trane • 40 Amp 1 Pole 24v Coil Packard Replacement Contactor C140A</t>
  </si>
  <si>
    <t>B00S8IZ3WG</t>
  </si>
  <si>
    <t>460-552 uf/MFD 110-125 VAC Round Start Capacitor ±20% 50/60 Hz CD60 Round Motor Well Pump Start Capacitor (460-552 uf/MFD)</t>
  </si>
  <si>
    <t>B0C2KRV74C</t>
  </si>
  <si>
    <t>Coleman - 40 Amp 1 Pole 24v Coil Replacement Contactor C140A</t>
  </si>
  <si>
    <t>B00S8IYX72</t>
  </si>
  <si>
    <t>White-Rodgers 24A34-3 24V Electric Heat Sequencer, DPST</t>
  </si>
  <si>
    <t>30.34</t>
  </si>
  <si>
    <t>5861046452392</t>
  </si>
  <si>
    <t>White-Rodgers 24A34-4 24V Electric Heat Sequencer, DPST</t>
  </si>
  <si>
    <t>5861153145000</t>
  </si>
  <si>
    <t>Klein Tools 32796 Pro Impact Power Bits, Assorted 7-Pack</t>
  </si>
  <si>
    <t>Klein Tools 32796 Pro Impact Driver Bits, Assorted Nut Drivers, Impact Bit Sizes 7-Pack</t>
  </si>
  <si>
    <t>B07RL6TJPM</t>
  </si>
  <si>
    <t>8.42</t>
  </si>
  <si>
    <t>3501062258788</t>
  </si>
  <si>
    <t>4171-75 Nu-Calgon Evap Foam No Rinse Evaporator Coil Cleaner 18 OZ Aerosol Spray</t>
  </si>
  <si>
    <t>B00E2X3MRE</t>
  </si>
  <si>
    <t>RectorSeal 66737 NoKink 1/2" x 3' Flexible Refrigerant Line Connector</t>
  </si>
  <si>
    <t>75.86</t>
  </si>
  <si>
    <t>6957694353581</t>
  </si>
  <si>
    <t>HQRP 400-480uf 165V Start Capacitor Compatible with AC Electric Motor Start HVAC Blower Compressor Pump 400-480MFD CD60 UL Listed</t>
  </si>
  <si>
    <t>B088BQVDGQ</t>
  </si>
  <si>
    <t>Malco Tools MSHMLC 4-Inch C-Rhex Cleanable, Reversible Magnetic Hex Driver, 1/4" &amp; 5/16"</t>
  </si>
  <si>
    <t>13.23</t>
  </si>
  <si>
    <t>3680855097444</t>
  </si>
  <si>
    <t>Packard C130A Contactor 1 Pole 30 Amps 24 Coil Voltage</t>
  </si>
  <si>
    <t>Rheem • 30 Amp 1 Pole 24v Coil Packard Replacement Contactor C130A</t>
  </si>
  <si>
    <t>B00S8JJZJ2</t>
  </si>
  <si>
    <t>9.62</t>
  </si>
  <si>
    <t>5301652095144</t>
  </si>
  <si>
    <t>Ruud • 30 Amp 1 Pole 24v Coil Packard Replacement Contactor C130A</t>
  </si>
  <si>
    <t>B00S8JK10O</t>
  </si>
  <si>
    <t>PRO1 IAQ T701i Digital WIFI Programmable Thermostat, Heat - 1 Cool</t>
  </si>
  <si>
    <t>83.16</t>
  </si>
  <si>
    <t>194.03</t>
  </si>
  <si>
    <t>8019985694936</t>
  </si>
  <si>
    <t>Packard C240A Contactor 2 Pole 40 AMPS 24 Coil Voltage</t>
  </si>
  <si>
    <t>Goodman • 40 Amp 2 Pole 24v Coil Fasco Replacement Contactor C240A</t>
  </si>
  <si>
    <t>B00S8K7L0G</t>
  </si>
  <si>
    <t>4316288680036</t>
  </si>
  <si>
    <t>CPS 5-2-1 TPSPD Thermally Protected Surge Protection Device</t>
  </si>
  <si>
    <t>B07PFYCVWH</t>
  </si>
  <si>
    <t>70.38</t>
  </si>
  <si>
    <t>81.21</t>
  </si>
  <si>
    <t>3124362674276</t>
  </si>
  <si>
    <t>Yellow Jacket 60440 Swaging and 45° Flaring Tool Kit</t>
  </si>
  <si>
    <t>YELLOW JACKET 60431 Lightweight Swaging/Flaring Tool Kit, 6 Standard, 6 Metric</t>
  </si>
  <si>
    <t>B072KKW9QG</t>
  </si>
  <si>
    <t>197.86</t>
  </si>
  <si>
    <t>2722184659044</t>
  </si>
  <si>
    <t>Refrigeration Technologies RT200R Viper Nylog Red - Gasket &amp; Thread Sealant</t>
  </si>
  <si>
    <t>Refrigeration Technologies Nylog Gasket Thread Sealant RT201B Nylog Blue + RT200R Nylog Red 2 Pack (RT201BP + RT200RP) 1 x Blu + 1 x Red</t>
  </si>
  <si>
    <t>B0BYX4DYVL</t>
  </si>
  <si>
    <t>6.84</t>
  </si>
  <si>
    <t>7.73</t>
  </si>
  <si>
    <t>4520715944036</t>
  </si>
  <si>
    <t>Refrigeration Technologies RT640A Viper Coil Coating Aerosol (15oz)</t>
  </si>
  <si>
    <t>Refrigeration Technologies Viper Coil Coating RT640A (2)</t>
  </si>
  <si>
    <t>B0BTCGWX6C</t>
  </si>
  <si>
    <t>27.39</t>
  </si>
  <si>
    <t>30.08</t>
  </si>
  <si>
    <t>7970513780952</t>
  </si>
  <si>
    <t>Packard TRCFD555 Titan PRO Run Capacitor 55+5 MFD 440/370 Volt Round</t>
  </si>
  <si>
    <t>Titan TRCFD555 Dual Rated Motor Run Capacitor Round MFD 55/5 Volts 440/370</t>
  </si>
  <si>
    <t>B01IC1YX74</t>
  </si>
  <si>
    <t>10.31</t>
  </si>
  <si>
    <t>5242703347880</t>
  </si>
  <si>
    <t>ESP POP5 Li'l Popper Control Board Circuit Breaker- 5 Amp</t>
  </si>
  <si>
    <t>EvertechPRO POP3 3 AMP Control Circuit Breaker UL Rated 125/250 Vac Replacement Li'l Popper G33-039</t>
  </si>
  <si>
    <t>B08R7RZHBK</t>
  </si>
  <si>
    <t>5702406439080</t>
  </si>
  <si>
    <t>ESP POP3 Li'l Popper Control Board Circuit Breaker- 3 Amp</t>
  </si>
  <si>
    <t>5702371934376</t>
  </si>
  <si>
    <t>Klein Tools 50900R Conduit Lockout Wrench Set, Tighten and Loosen Locknuts in Tight Spaces &amp; 70550 Hex Wrench Key Set, 11 SAE Sizes, Heavy Duty Folding Allen Wrench Tool</t>
  </si>
  <si>
    <t>B0CF2F1JTM</t>
  </si>
  <si>
    <t>Klein Tools 50900R Conduit Lockout Wrench Set, Tighten and Loosen Locknuts in Tight Spaces &amp; Impact Driver, 7-in-1 Impact Flip Socket Set, 6 Hex Driver Sizes plus a 1/4-Inch Bit Holder 32907</t>
  </si>
  <si>
    <t>B0CF2DNQ9B</t>
  </si>
  <si>
    <t>Yellow Jacket 40860 P51-860 Titan Digital Manifold</t>
  </si>
  <si>
    <t>Yellow Jacket P51-870 Titan? Digital Manifold 40875 w/ 5/16 Compact Valve Hoses</t>
  </si>
  <si>
    <t>B07QMKT79M</t>
  </si>
  <si>
    <t>508.65</t>
  </si>
  <si>
    <t>2503105740900</t>
  </si>
  <si>
    <t>Milwaukee 48-22-1502 FASTBACK™ Folding Utility Knife w/ Blade Storage</t>
  </si>
  <si>
    <t>14.97</t>
  </si>
  <si>
    <t>4399154069604</t>
  </si>
  <si>
    <t>CPS Products BTB300 BlackMax Tubing Bender Kit</t>
  </si>
  <si>
    <t>CPS Products HVAC Hand Tools and Equipments Kit, BlackMax BTB300 Premium Ratcheting Tube Bender with Reverse Bend and BTLDTW Adjustable Electronic Torque Wrench</t>
  </si>
  <si>
    <t>B0BMJRXXLS</t>
  </si>
  <si>
    <t>210.0</t>
  </si>
  <si>
    <t>242.31</t>
  </si>
  <si>
    <t>3344484171876</t>
  </si>
  <si>
    <t>Uniweld UTC702 1/8″ to 1-1/8″ Premium Tubing Cutter</t>
  </si>
  <si>
    <t>Uniweld UTC703 Premium Tubing Cutter for 1/8-Inch to 1 3/8-Inch OD Copper, Brass and Aluminum Tubing</t>
  </si>
  <si>
    <t>B00HNQRKIO</t>
  </si>
  <si>
    <t>24.59</t>
  </si>
  <si>
    <t>31.81</t>
  </si>
  <si>
    <t>7731714883800</t>
  </si>
  <si>
    <t>Klein Tools 33734INS 1000V Slim Tip Insulated Screwdriver Set, Phillips, Cabinet, Square Slim-Tip, Cushion Grip Handle, 4-Piece</t>
  </si>
  <si>
    <t>B088NQ1D2B</t>
  </si>
  <si>
    <t>Eagle Grip by Malco LP7WC 7 in. Curved Jaw Locking Pliers with Wire Cutter &amp; Grip by Malco LP7R 7 in. Straight Jaw Locking Pliers</t>
  </si>
  <si>
    <t>B0BGPVRDJ6</t>
  </si>
  <si>
    <t>PACKARD TRCD455 Titan Pro 45 MFD 370V Round Run Capacitor Replaces PRCD455 by PACKARD TRCD455 Titan Pro 45 MFD 370V Round Run Capacitor Replaces PRCD455</t>
  </si>
  <si>
    <t>B01IU7YGT0</t>
  </si>
  <si>
    <t>White-Rodgers 24A34-3 Electric Heat Sequencer, 2 Switch</t>
  </si>
  <si>
    <t>B000LDGR4Y</t>
  </si>
  <si>
    <t>Hilmor 1839108 TCC Thermocouple Clamp</t>
  </si>
  <si>
    <t>hilmor 1839108 TCC Thermocouple Clamp</t>
  </si>
  <si>
    <t>B00G2R0CYY</t>
  </si>
  <si>
    <t>163.01</t>
  </si>
  <si>
    <t>2099404374116</t>
  </si>
  <si>
    <t>Packard PRMJ270 Packard 330V Start Capacitor 270-324 MFD</t>
  </si>
  <si>
    <t>B005YN6Q7O</t>
  </si>
  <si>
    <t>ICM Controls ICM2805A Furnace Control Board - Replacement for Nordyne</t>
  </si>
  <si>
    <t>OEM Upgraded Replacement for Nordyne Furnace Control Circuit Board 903106</t>
  </si>
  <si>
    <t>B00EFAYTG2</t>
  </si>
  <si>
    <t>116.59</t>
  </si>
  <si>
    <t>161.12</t>
  </si>
  <si>
    <t>6892060639405</t>
  </si>
  <si>
    <t>Channellock 804 Adjustable Wrench, Chrome Plated</t>
  </si>
  <si>
    <t>B017082YG2</t>
  </si>
  <si>
    <t>Klein Tools 935DAG Digital Electronic Level and Angle Gauge, Measures and Sets Angles &amp; General Tools T-Bevel Gauge &amp; Protractor - Digital Angle Finder with Full LCD Display &amp; 8" Stainless Steel Blade</t>
  </si>
  <si>
    <t>B09P843CWF</t>
  </si>
  <si>
    <t>Packard C140B Contactor 1 Pole 40 Amps 120 Coil Voltage</t>
  </si>
  <si>
    <t>Packard C240B Packard Contactor 2 Pole 40 Amps 120 Coil Voltage</t>
  </si>
  <si>
    <t>B004Z0RLL2</t>
  </si>
  <si>
    <t>9.82</t>
  </si>
  <si>
    <t>5301666218152</t>
  </si>
  <si>
    <t>Klein Tools 69410 Replacement Test Lead Set, Right Angle &amp; 69381 Alligator Clip Test Leads, Heavy-Duty Replacement Meter Leads, for All Meters Using Banana Plug Meter Leads, 3-Foot</t>
  </si>
  <si>
    <t>B0C3B9WXP6</t>
  </si>
  <si>
    <t>624631-B - OEM Replacement for Nordyne Furnace Control Circuit Board</t>
  </si>
  <si>
    <t>B00YYFBC72</t>
  </si>
  <si>
    <t>ICM Controls UMSR-50 Universal Motor Starting Relay</t>
  </si>
  <si>
    <t>ICM Controls UMSR-50 Universal Motor Starting Relay, 50 Amp, Patented Differential Voltage Sensing, Voltage Rating 110V - 270V AC, Single Phase (Maximum Voltage Contact Rating 502V AC)</t>
  </si>
  <si>
    <t>B002JE3L9M</t>
  </si>
  <si>
    <t>23.83</t>
  </si>
  <si>
    <t>7993211191512</t>
  </si>
  <si>
    <t>B07FB3LJ2M</t>
  </si>
  <si>
    <t>Supco MAGTRACT Retractable Magnetic Jumper</t>
  </si>
  <si>
    <t>Supplying Demand MAGTRACT 20 Inch Retractable Magnetic Jumper for Diagnostics 5A 30V Maximum</t>
  </si>
  <si>
    <t>B094TGP7YZ</t>
  </si>
  <si>
    <t>11.2</t>
  </si>
  <si>
    <t>5263024390312</t>
  </si>
  <si>
    <t>JB Industries DV-200N Platinum 7 CFM Vacuum Pump</t>
  </si>
  <si>
    <t>JB Industries DV-285N Platinum 10 CFM Vacuum Pump</t>
  </si>
  <si>
    <t>B003M5JFFG</t>
  </si>
  <si>
    <t>611.21</t>
  </si>
  <si>
    <t>886.79</t>
  </si>
  <si>
    <t>3699353059428</t>
  </si>
  <si>
    <t>Klein Tools ET450 Advanced Circuit Tracer Kit</t>
  </si>
  <si>
    <t>Klein Tools ET600 Multimeter, Megohmmeter Insulation Tester, 4000 Ohms Resistance, 125V/250V/500V/1000V, Auto-Ranging TRMS Multimeter &amp; ET450 Advanced Circuit Breaker Finder and Wire Tracer Kit</t>
  </si>
  <si>
    <t>B0C2V14DQF</t>
  </si>
  <si>
    <t>359.98</t>
  </si>
  <si>
    <t>7778011971800</t>
  </si>
  <si>
    <t>Greenlee DTAP1/4-20 Drill/Tap, 1/4-20</t>
  </si>
  <si>
    <t>Greenlee Drill And Tap Bit, Hss, 1/4-20</t>
  </si>
  <si>
    <t>B00E62G6AG</t>
  </si>
  <si>
    <t>9.7</t>
  </si>
  <si>
    <t>4395885199460</t>
  </si>
  <si>
    <t>Klein Tools JTH6M3BE 3 mm Ball End Hex Key with Journeyman T-Handle, 6-Inch</t>
  </si>
  <si>
    <t>B005G394V2</t>
  </si>
  <si>
    <t>Goodman • 30 Amp 1 Pole 24v Coil Packard Replacement Contactor C130A</t>
  </si>
  <si>
    <t>B00S8JKFIC</t>
  </si>
  <si>
    <t>Milwaukee 2111-21 475-Lumen USB Rechargeable Hard Hat Headlamp</t>
  </si>
  <si>
    <t>Milwaukee 2111-21 475 Lumens USB Rechargeable TRUEVIEW HD Headlamp New</t>
  </si>
  <si>
    <t>B07XZFN514</t>
  </si>
  <si>
    <t>106.0</t>
  </si>
  <si>
    <t>4334127775844</t>
  </si>
  <si>
    <t>UEi DL479 AC 600A True RMS HVAC/R Clamp Meter</t>
  </si>
  <si>
    <t>UEi Test Instruments DL429B Digital HVAC Clamp Meter True RMS Wireless Multimeter Auto-ranging 6000 Counts Voltage Tester, Measures Inrush AC/DC Current Temperature Capacitance Resistance Diodes NCV</t>
  </si>
  <si>
    <t>B00W5B15P6</t>
  </si>
  <si>
    <t>138.51</t>
  </si>
  <si>
    <t>162.95</t>
  </si>
  <si>
    <t>3564094488676</t>
  </si>
  <si>
    <t>Testo 605i | Thermohygrometer for Indoor Temperature and Humidity Measurement | with Bluetooth Support &amp; 552i App-Controlled Wireless Vacuum Probe I for HVAC Systems – with Bluetooth</t>
  </si>
  <si>
    <t>B0C3MY4GXJ</t>
  </si>
  <si>
    <t>Packard C230A Contactor 2 Pole 30 Amps 24 Coil Voltage</t>
  </si>
  <si>
    <t>Packard - DP301202 C230B 2 Pole 30 Amp Contactor, 120 Voltage Coil</t>
  </si>
  <si>
    <t>B001KGSJ74</t>
  </si>
  <si>
    <t>5301685092520</t>
  </si>
  <si>
    <t>Titan TRCFD455 Dual Rated Motor Run Capacitor Round MFD 45/5 Volts 440</t>
  </si>
  <si>
    <t>B01HPIYGXG</t>
  </si>
  <si>
    <t>Greenlee GSB02 1/2" Step Bit (#2)</t>
  </si>
  <si>
    <t>39.29</t>
  </si>
  <si>
    <t>40.55</t>
  </si>
  <si>
    <t>8008010137816</t>
  </si>
  <si>
    <t>Viega 25206 3/4" x 3/4" MegaPressG 90° Elbow</t>
  </si>
  <si>
    <t>Viega MegaPressG 6616 Carbon Steel Elbow, 3/4"</t>
  </si>
  <si>
    <t>B00COVXBYK</t>
  </si>
  <si>
    <t>13.86</t>
  </si>
  <si>
    <t>24.74</t>
  </si>
  <si>
    <t>8032191676632</t>
  </si>
  <si>
    <t>YELLOW JACKET 42004 Series 41 Manifold with 3-1/8" Gauges with Hoses</t>
  </si>
  <si>
    <t>B005JV01ZE</t>
  </si>
  <si>
    <t>RectorSeal 66735 NoKink 5/8" x 3' Flexible Refrigerant Line Connector</t>
  </si>
  <si>
    <t>6957687439533</t>
  </si>
  <si>
    <t>Fresh-Aire UV APCO TUVL-215, 2-Year Replacement UV Lamp</t>
  </si>
  <si>
    <t>Fresh-Aire UV 3-Year Replacement UV-C Lamp for APCO-X Series, 15-Inch Length</t>
  </si>
  <si>
    <t>B09B7WYCC2</t>
  </si>
  <si>
    <t>108.19</t>
  </si>
  <si>
    <t>4452264837220</t>
  </si>
  <si>
    <t>PTMJ270 - Packard Aftermarket Replacement Motor Start Capacitor 270-324 MFD 220 250 Volt</t>
  </si>
  <si>
    <t>B00IWYHXOW</t>
  </si>
  <si>
    <t>Diablo Tools DMAMX1300 1-1/4 in. x 16 in. x 21 in. Rebar Demon™ SDS-Max 4-Cutter Full Carbide Head Hammer Drill Bit</t>
  </si>
  <si>
    <t>Diablo by Freud DMAMX1240 1 in. x 31 in. x 36 in. Rebar Demon SDS-Max 4-Cutter Full Carbide Head Hammer Bit</t>
  </si>
  <si>
    <t>B089KWF9R4</t>
  </si>
  <si>
    <t>66.4</t>
  </si>
  <si>
    <t>105.4</t>
  </si>
  <si>
    <t>7997856874712</t>
  </si>
  <si>
    <t>YELLOW JACKET 93600 Bullet Single Phase Vacuum Pump, 7 Cfm, 115V, 60 Hz</t>
  </si>
  <si>
    <t>B007ID2BKE</t>
  </si>
  <si>
    <t>Supco BRK3 3 Amp Fuse Pro Breaker - Tester with Light</t>
  </si>
  <si>
    <t>Supplying Demand BRK3 Fuse Pro 3 AMP Tester with Light Plugs Into PC Board</t>
  </si>
  <si>
    <t>B08G5CCG25</t>
  </si>
  <si>
    <t>11.9</t>
  </si>
  <si>
    <t>4725385330788</t>
  </si>
  <si>
    <t>Carrier • 30 Amp 1 Pole 24v Coil Packard Replacement Contactor C130A</t>
  </si>
  <si>
    <t>B00S8JK3AW</t>
  </si>
  <si>
    <t>SolderWeld SW-AlCu5K Al-Cop Braze - Aluminum to Copper Brazing Rod - Flux Core, 5 Rod Pack</t>
  </si>
  <si>
    <t>Solderweld SW-ALCU8K Al-Cop Braze Aluminum to Copper Brazing 8 18" Rods per pack</t>
  </si>
  <si>
    <t>B0B75JZYC7</t>
  </si>
  <si>
    <t>27.75</t>
  </si>
  <si>
    <t>4599315497060</t>
  </si>
  <si>
    <t>Supco ZMF56 Mini-Fit™ Flexible Mini-Split Adapter</t>
  </si>
  <si>
    <t>Supplying Demand ZMF56 Flexible Mini-Split Adapter Adapts From 1/4 To 5/16 Inch Mini Split Fittings</t>
  </si>
  <si>
    <t>B094SRRBGR</t>
  </si>
  <si>
    <t>12.11</t>
  </si>
  <si>
    <t>5263087042728</t>
  </si>
  <si>
    <t>ICM Controls ICM2813 Furnace Control Board - Replacement for Lennox</t>
  </si>
  <si>
    <t>ICM282A Replacement ICM Controls, Carrier HK42FZ004, HK42FZ007, HK42FZ008, HK42FZ009, HK42FZ011, HK42FZ013, HK42FZ016 and HK42FZ0 Series Furnace Control Board Module</t>
  </si>
  <si>
    <t>B0C5LZFXDK</t>
  </si>
  <si>
    <t>111.21</t>
  </si>
  <si>
    <t>7864012341464</t>
  </si>
  <si>
    <t>Packard C240C Contactor 2 Pole 40 AMPS 208/240 Coil Voltage</t>
  </si>
  <si>
    <t>Packard C340C 3 Pole 40 Amp Contactor 208/240 Volt Coil Contactor</t>
  </si>
  <si>
    <t>B004ZRWGGA</t>
  </si>
  <si>
    <t>12.22</t>
  </si>
  <si>
    <t>3691103715428</t>
  </si>
  <si>
    <t>MIDWEST Aviation Snip - Straight Cut Offset Tin Cutting Shears with Forged Blade &amp; KUSH'N-POWER Comfort Grips - MWT-6510S</t>
  </si>
  <si>
    <t>B00P7FFF6M</t>
  </si>
  <si>
    <t>[Upgraded] Ultra Durable 270-324 Mfd uF 250VAC Round Motor Start Capacitor 50/60 Hz AC Electric Replacement Part by Blue Stars</t>
  </si>
  <si>
    <t>B0BP6M6Z24</t>
  </si>
  <si>
    <t>UEi PDT655 Differential Temperature Folding Pocket Thermometer, HVAC Digital Thermometer with Backlit Display and Magnetic Mount, Measures -58 to 572°F</t>
  </si>
  <si>
    <t>B0938HPW8R</t>
  </si>
  <si>
    <t>Klein Tools 32791 Pro Impact Power Bit Extension 1/4-Inch Hex</t>
  </si>
  <si>
    <t>Klein Tools 32791 Pro Impact Driver Bit Extension 1/4-Inch Hex</t>
  </si>
  <si>
    <t>B07RMQD27L</t>
  </si>
  <si>
    <t>3500862570596</t>
  </si>
  <si>
    <t>Klein Tools IR07 Dual IR/Probe Thermometer</t>
  </si>
  <si>
    <t>Klein Tools IR07 Dual Infrared (IR) and Probe Pocket Size LCD Digital Thermometer &amp; ET140 Pinless Moisture Meter for Non-Destructive Moisture Detection</t>
  </si>
  <si>
    <t>B0BD41GF81</t>
  </si>
  <si>
    <t>57.49</t>
  </si>
  <si>
    <t>72.06</t>
  </si>
  <si>
    <t>3320746770532</t>
  </si>
  <si>
    <t>Titan 11477 Ratcheting Wire Terminal Crimper Tool for Insulated Terminals &amp; Wire Cutter and Stripper, for 8-20 AWG Solid and 10-22 AWG Stranded Electrical Wire Klein Tools 11063W</t>
  </si>
  <si>
    <t>B08DY433KH</t>
  </si>
  <si>
    <t>PRO1 IAQ T725 Programmable 2H/1C Digital Heat Pump Thermostat with 4 sq. in. Display</t>
  </si>
  <si>
    <t>B00H8B382Q</t>
  </si>
  <si>
    <t>Klein Tools 32314 Electronic Screwdriver, 14-in-1 with 8 Precision Tips &amp; 32561 Multi-Bit Screwdriver/Nut Driver, 6-in-1 Stubby Screwdriver with 2 Phillips, 2 Slotted Bits, 2 Nut Drivers</t>
  </si>
  <si>
    <t>B09Z9278H4</t>
  </si>
  <si>
    <t>30 AMP 120 VAC Double 2-pole Definite Purpose Contactor Hvac Packard C230b</t>
  </si>
  <si>
    <t>B00PXJOTPK</t>
  </si>
  <si>
    <t>MIDWEST Power Cutters Long Cut Snip - Straight Cut Offset Tin Cutting Shears with Forged Blade &amp; KUSH'N-POWER Comfort Grips - MWT-6516</t>
  </si>
  <si>
    <t>B00OCGQJDA</t>
  </si>
  <si>
    <t>Packard PRMJ189 Packard 330V Start Capacitor 189-227 MFD</t>
  </si>
  <si>
    <t>B004GC7DQM</t>
  </si>
  <si>
    <t>RectorSeal 97085 Safe-T-Switch SS1</t>
  </si>
  <si>
    <t>26.53</t>
  </si>
  <si>
    <t>35.61</t>
  </si>
  <si>
    <t>8023703552216</t>
  </si>
  <si>
    <t>ICM Controls ICM289 Furnace Control Replacement for Lennox Control Boards, Replaces All BCC1, BCC2 and BCC3 Circuit Boards</t>
  </si>
  <si>
    <t>B004I55HHY</t>
  </si>
  <si>
    <t>Ritchie Yellowjacket 40870, P51-870 Titan Digital Manifold</t>
  </si>
  <si>
    <t>B07GNB7PSK</t>
  </si>
  <si>
    <t>Sioux Chief 672XV0690, 1/2" PEX Manifold, valves, 3/4" PEX in., clsd</t>
  </si>
  <si>
    <t>B003QSPMLU</t>
  </si>
  <si>
    <t>ICM Universal Motor Starting Relay, 50 Amps</t>
  </si>
  <si>
    <t>B007IAPINY</t>
  </si>
  <si>
    <t>ICM Controls ICM206 Delay on Break Timer with 3-10 Minute Time Delay, 18-30 VAC</t>
  </si>
  <si>
    <t>31.79</t>
  </si>
  <si>
    <t>35.74</t>
  </si>
  <si>
    <t>6120854651053</t>
  </si>
  <si>
    <t>Bryant - 40 Amp 1 Pole 24v Coil Replacement Contactor C140A</t>
  </si>
  <si>
    <t>B00S8IYU6G</t>
  </si>
  <si>
    <t>Packard C125A 25 AMP 24 VAC Single 1-Pole Definite Purpose Contactor HVAC</t>
  </si>
  <si>
    <t>HVAC Contactor, 25 Amp Single Pole / 1 Pole Contactor 24V Coil AC Contactor, Air Conditioner Condenser Compressor Contactor AC Definite Purpose Contactor, UL Listed</t>
  </si>
  <si>
    <t>B0C7H9X655</t>
  </si>
  <si>
    <t>3550510121060</t>
  </si>
  <si>
    <t>Sioux Chief 672XV0599, PEX Manifold w/ 1/2" PEX valves, 3/4" PEX in</t>
  </si>
  <si>
    <t>B003QSOCKM</t>
  </si>
  <si>
    <t>Robertshaw RS9220 Programmable Wall Thermostat, Multi-Stage - 2 Heat / 2 Cool</t>
  </si>
  <si>
    <t>Robertshaw RS10420T Pro Series 7-Day Wi-Fi Programmable Touchscreen Thermostat, Multi-Stage, 4 Heat / 2 Cool…</t>
  </si>
  <si>
    <t>B00U5CBBJC</t>
  </si>
  <si>
    <t>47.04</t>
  </si>
  <si>
    <t>8034296594648</t>
  </si>
  <si>
    <t>Klein Tools NCVT-4IR Non-Contact Voltage Tester Pen, 12-1000V, with Infrared Thermometer</t>
  </si>
  <si>
    <t>Klein Tools NCVT-4IR Non-Contact Volt Tester, 12-1000V AC Pen with IR Thermometer -22 to 482 deg F, LED and Audible Alarms, Pocket Clip &amp; 14-in-1 Adjustable Screwdriver</t>
  </si>
  <si>
    <t>B0BD41QXCP</t>
  </si>
  <si>
    <t>58.58</t>
  </si>
  <si>
    <t>5310387617960</t>
  </si>
  <si>
    <t>Greenlee GSB03 3/4" Step Bit (#3)</t>
  </si>
  <si>
    <t>Greenlee 34403C BIT,STEP #3 COBALT (34403C), 7/8-Inch Multi-Hole</t>
  </si>
  <si>
    <t>B016IZP4IS</t>
  </si>
  <si>
    <t>48.39</t>
  </si>
  <si>
    <t>8009311551704</t>
  </si>
  <si>
    <t>Yellow Jacket 42007 Series 41 Manifold with 3-1/8" Gauge, 60" Plus II Standard Fittings, psi, R-12/22/134A</t>
  </si>
  <si>
    <t>B00R75RR48</t>
  </si>
  <si>
    <t>ESP POP3 Li'L Popper 3A Control Circuit Tester</t>
  </si>
  <si>
    <t>B07FWCVFP1</t>
  </si>
  <si>
    <t>400-480 - Packard Aftermarket Replacement Motor Start Capacitor 400-480 MFD 110 125 Volt</t>
  </si>
  <si>
    <t>B00IWYFSOE</t>
  </si>
  <si>
    <t>SharkBite UP514 1/2" Poly Crimp PEX Plug (Bag of 25)</t>
  </si>
  <si>
    <t>SharkBite 1/2 Inch Poly Crimp Plug, Pack of 25, PEX Pipe, PE-RT, UP514</t>
  </si>
  <si>
    <t>B00A8HRDN2</t>
  </si>
  <si>
    <t>13.75</t>
  </si>
  <si>
    <t>3618127020132</t>
  </si>
  <si>
    <t>Yellow Jacket 60430 Lightweight Swaging/Flaring Tool</t>
  </si>
  <si>
    <t>220.45</t>
  </si>
  <si>
    <t>2634354163812</t>
  </si>
  <si>
    <t>Nu-Calgon 4372-24 TriClean 2X Concentrate Coil Cleaning Sprayer with Hose Connector, 1 Quart</t>
  </si>
  <si>
    <t>B01FCABBQO</t>
  </si>
  <si>
    <t>ICM Controls ICM255 Fan Blower Control Board - Replacement for Rheem/Ruud</t>
  </si>
  <si>
    <t>ICM Controls ICM273 Fan Blower Control Replacement for EMI 240000-969 Control Boards</t>
  </si>
  <si>
    <t>B004I55GTI</t>
  </si>
  <si>
    <t>26.92</t>
  </si>
  <si>
    <t>6584951177389</t>
  </si>
  <si>
    <t>Klein Tools JTH9M4 4 mm Hex Key with Journeyman T-Handle, 9-Inch</t>
  </si>
  <si>
    <t>B005G3HJ8M</t>
  </si>
  <si>
    <t>PMJ108 - Packard Aftermarket Replacement Motor Start Capacitor 108-130 MFD 11...</t>
  </si>
  <si>
    <t>B00IWYE5P2</t>
  </si>
  <si>
    <t>Klein Tools 610 Stubby Nut Driver Set 1-1/2-Inch Shafts 2-Piece</t>
  </si>
  <si>
    <t>24.26</t>
  </si>
  <si>
    <t>3671774855268</t>
  </si>
  <si>
    <t>Nu-Calgon 4290-75 Nu-Blast Aerosol Coil Cleaner</t>
  </si>
  <si>
    <t>Nu Calgon 4290-75 18-ounce Nu-Blast Condenser Coil Cleaner</t>
  </si>
  <si>
    <t>B00HWMXGZA</t>
  </si>
  <si>
    <t>18.79</t>
  </si>
  <si>
    <t>7769839829208</t>
  </si>
  <si>
    <t>Channellock 8WCB 8" Code Blue WIDEAZZ Adjustable Wrench</t>
  </si>
  <si>
    <t>Channellock - Code Blue Wideazz Adjustable Wrenches 6" Wideazz Adjustable Wrw/Code Blue Cushion Hdl: 140-6Wcb-Bulk - 6" wideazz adjustable wrw/code blue cushion hdl</t>
  </si>
  <si>
    <t>B002FCM5AE</t>
  </si>
  <si>
    <t>31.95</t>
  </si>
  <si>
    <t>48.49</t>
  </si>
  <si>
    <t>5247300436136</t>
  </si>
  <si>
    <t>Sensible Products OTH-1 One Trip Hook</t>
  </si>
  <si>
    <t>Supplying Demand OTH-1 One Trip Hook with 3/16 Inch Control Rope</t>
  </si>
  <si>
    <t>B097Z8THWF</t>
  </si>
  <si>
    <t>26.39</t>
  </si>
  <si>
    <t>4341079769188</t>
  </si>
  <si>
    <t>Klein Tools ET20 WiFi Borescope Inspection Camera</t>
  </si>
  <si>
    <t>Klein Tools ET20 WiFi Borescope Inspection Camera &amp; 80016 Circuit Breaker Finder Tool Kit with Accessories, 2-Piece Set, Includes Cat. No. ET310 and Cat. No. 69411</t>
  </si>
  <si>
    <t>B0BGJ6GM38</t>
  </si>
  <si>
    <t>152.66</t>
  </si>
  <si>
    <t>3302429196388</t>
  </si>
  <si>
    <t>Robertshaw RS9320T Pro Series 7-Day Programmable Touchscreen Thermostat, Multi-Stage, 3 Heat, 2 Cool White</t>
  </si>
  <si>
    <t>B00U5CB7TG</t>
  </si>
  <si>
    <t>Midwest P6510L Forged Snips Offset Left Aviation Snip</t>
  </si>
  <si>
    <t>B002NGR71E</t>
  </si>
  <si>
    <t>Yellow Jacket 60652 Eight Head Precision Torque Wrench Kit</t>
  </si>
  <si>
    <t>Yellow Jacket 60652 Torque Wrench, Universal 8-Head Kit by "Yellow Jacket 60652 Torque Wrench, Universal 8-Head Kit"</t>
  </si>
  <si>
    <t>B01M122IZD</t>
  </si>
  <si>
    <t>195.13</t>
  </si>
  <si>
    <t>2645153874020</t>
  </si>
  <si>
    <t>Yellow Jacket 42006 Series 41 Manifold with 3-1/8" Gauge, psi, R-22/134A/404A</t>
  </si>
  <si>
    <t>B0039KT74S</t>
  </si>
  <si>
    <t>Klein Tools S12HB Grip-It™ Strap Wrench, 1-1/2 to 5-Inch, 12-Inch Handle</t>
  </si>
  <si>
    <t>Klein Tools S-12H Grip-It Strap Wrench, 1-1/2 to 5-Inch Capacity, 12-Inch Handle</t>
  </si>
  <si>
    <t>B0000DINCH</t>
  </si>
  <si>
    <t>29.98</t>
  </si>
  <si>
    <t>8018517229784</t>
  </si>
  <si>
    <t>Packard C240C 2 Pole 40 Amp Contactor 208/240 Volt Coil Contactor</t>
  </si>
  <si>
    <t>B004Z0RLR6</t>
  </si>
  <si>
    <t>Supco MAG1RD 30 VAC Magnetic Test Leads</t>
  </si>
  <si>
    <t>B01KU954MY</t>
  </si>
  <si>
    <t>Yellow Jacket 49863 Manifold with Red/Blue Gauges, psi Scale, R-22/404A/410A Refrigerant</t>
  </si>
  <si>
    <t>B0036FFUQ0</t>
  </si>
  <si>
    <t>PACKARD START CAPACITOR PTMJ145 145-174 MFD 220-250VAC</t>
  </si>
  <si>
    <t>B00C0Z23HG</t>
  </si>
  <si>
    <t>Klein Tools JTH6T25 T25 Torx® Hex Key with Journeyman T-Handle, 6-Inch</t>
  </si>
  <si>
    <t>Klein Tools JTH6T25 T25 TORX Hex Key, Journeyman T-Handle, 6-Inch</t>
  </si>
  <si>
    <t>B005G3B4HE</t>
  </si>
  <si>
    <t>12.14</t>
  </si>
  <si>
    <t>6254482489517</t>
  </si>
  <si>
    <t>Nu-Calgon 4057-56 A/C Re-New Connect Inject</t>
  </si>
  <si>
    <t>Nu-Calgon 4057-99 A/C Re-New Injector Tool</t>
  </si>
  <si>
    <t>B00OZVAR5I</t>
  </si>
  <si>
    <t>90.65</t>
  </si>
  <si>
    <t>139.4</t>
  </si>
  <si>
    <t>7765083324632</t>
  </si>
  <si>
    <t>Klein Tools ET120 Gas Leak Detector, Combustible Gas Leak Tester &amp; IR5 Dual Laser 12:1 Infrared Thermometer</t>
  </si>
  <si>
    <t>B09Q651S9V</t>
  </si>
  <si>
    <t>Icm Three-phase Line Voltage Monitor Icm401c</t>
  </si>
  <si>
    <t>B082J4SQY2</t>
  </si>
  <si>
    <t>Klein Tools 11046 Wire Stripper/Cutter 16-26 AWG Stranded &amp; Hakko-CHP-170 Micro Cutter - Red</t>
  </si>
  <si>
    <t>B0BSKRVY7T</t>
  </si>
  <si>
    <t>Rectorseal 66733 NoKink Flexible Refrigerant Line Connector, 3/8"</t>
  </si>
  <si>
    <t>B00MTWACSW</t>
  </si>
  <si>
    <t>Yellow Jacket 19165 1/2" Female Acme Quick Coupler X 1/4" Male Flare</t>
  </si>
  <si>
    <t>YELLOW JACKET 19173 Schrader Core in Male End Quick Coupler, 5/16" Female Qc x 1/4" Male Flare</t>
  </si>
  <si>
    <t>B009AXJL3K</t>
  </si>
  <si>
    <t>19.03</t>
  </si>
  <si>
    <t>2633090400356</t>
  </si>
  <si>
    <t>Klein Tools 55580 Stainless Steel Tumbler &amp; Klein Tools 44228 Electrician's Pocket Knife with Stainless Steel Blade, Perfect for Splitting Cable, Stripping Wire and Everyday Tasks</t>
  </si>
  <si>
    <t>B0BNL9BF2K</t>
  </si>
  <si>
    <t>Motor Start Capacitor 270-324 MFD 220-250VAC</t>
  </si>
  <si>
    <t>B00CLJFZN0</t>
  </si>
  <si>
    <t>Ducane • 30 Amp 2 Pole 24v Coil Packard Replacement Contactor C230A</t>
  </si>
  <si>
    <t>B00S8JNZKM</t>
  </si>
  <si>
    <t>Klein Tools JTH6T15 T15 TORX Hex Key, Journeyman T-Handle, 6-Inch</t>
  </si>
  <si>
    <t>B005G3B43I</t>
  </si>
  <si>
    <t>ICM Controls ICM286 Furnace Control Board Replacement for Goodman PCBBF112S, B1809926S, 0130F00005S Control Boards</t>
  </si>
  <si>
    <t>B00QW2U7KS</t>
  </si>
  <si>
    <t>CHANNELLOCK 440X 12-inch SPEEDGRIP Straight Jaw Tongue &amp; Groove Pliers | Made in USA | Forged High Carbon Steel</t>
  </si>
  <si>
    <t>B07R11V4X3</t>
  </si>
  <si>
    <t>Klein Tools S106M 5/16-Inch Magnetic Nut Driver with 9-Inch Solid Shaft and Comfordome Handle</t>
  </si>
  <si>
    <t>B0002RIA26</t>
  </si>
  <si>
    <t>Klein Tools 635-5/16 5/16-Inch Heavy-Duty Nut Driver</t>
  </si>
  <si>
    <t>B01D6FKW58</t>
  </si>
  <si>
    <t>Klein Tools JTH4E17 1/2-Inch Hex Key, Journeyman T-Handle, 4-Inch</t>
  </si>
  <si>
    <t>Klein Tools JTH9E17 1/2-Inch Hex Key, Journeyman T-Handle, 9-Inch</t>
  </si>
  <si>
    <t>B004QV6NL4</t>
  </si>
  <si>
    <t>24.24</t>
  </si>
  <si>
    <t>6203851538605</t>
  </si>
  <si>
    <t>Klein Tools 935R Aluminum Torpedo Level Rare Earth Magnet, 9-Inch</t>
  </si>
  <si>
    <t>Klein Tools 9319RETT Level, 9-Inch Aluminum Magnetic Torpedo Level with 3 Vials, Tether Ring, V-Grooved Edge, and Rare-Earth Magnets</t>
  </si>
  <si>
    <t>B01FFTADZW</t>
  </si>
  <si>
    <t>4353101824100</t>
  </si>
  <si>
    <t>White-Rodgers 50M56U-843 Integrated Furnace Control Board, Universal Replacement</t>
  </si>
  <si>
    <t>160.92</t>
  </si>
  <si>
    <t>367.81</t>
  </si>
  <si>
    <t>5896435368104</t>
  </si>
  <si>
    <t>Midwest MWT-A2 Scribe Mark &amp; Measure Tool</t>
  </si>
  <si>
    <t>Midwest Tool and Cutlery MWT-A2 Scribe Mark &amp; Measure Tool</t>
  </si>
  <si>
    <t>B01BYRB3F8</t>
  </si>
  <si>
    <t>6.12</t>
  </si>
  <si>
    <t>8.32</t>
  </si>
  <si>
    <t>4508544467044</t>
  </si>
  <si>
    <t>Klein Tools 94130 1000V Insulated Screwdriver Tool Set &amp; 80019 Tool Set, Multi-Bit Screwdriver and Nut Driver Tool Kit, 4-Piece</t>
  </si>
  <si>
    <t>B0B56SPFP5</t>
  </si>
  <si>
    <t>RectorSeal 66731 NoKink 1/4" x 3' Flexible Refrigerant Line Connector</t>
  </si>
  <si>
    <t>Rectorseal 66737 NoKink Flexible Refrigerant Line Connector, 1/2"</t>
  </si>
  <si>
    <t>B010M22SNM</t>
  </si>
  <si>
    <t>6957485621421</t>
  </si>
  <si>
    <t>Klein Tools 32717 Precision Screwdriver Set with Case, All-in-One Multi-Function Repair Tool Kit Includes 39 Bits for Apple Products &amp; 32900 Impact Driver, 7-in-1 Impact Flip Socket Set with Handle</t>
  </si>
  <si>
    <t>B0CB12C2ND</t>
  </si>
  <si>
    <t>65K29-Lennox ICM Replacement Furnace Control Board</t>
  </si>
  <si>
    <t>B00G0394AS</t>
  </si>
  <si>
    <t>Hilmor 1839032 CBK Compact Bender Kit - 1/4" to 7/8"</t>
  </si>
  <si>
    <t>hilmor Compact Bender Kit with Reverse Bending Attachment for 1/4" - 7/8" Tube and Pipe Bending, Black, CBKRB 1926598 and 2.75" 1/4 &amp; 5/16 Reversible Magnetic Nut Driver, 3-Pack</t>
  </si>
  <si>
    <t>B0BQ5F2JVJ</t>
  </si>
  <si>
    <t>191.8</t>
  </si>
  <si>
    <t>655.72</t>
  </si>
  <si>
    <t>2097359749220</t>
  </si>
  <si>
    <t>Fresh-Aire UV Blue-Tube UV TUV-BTER2 18-32 VAC, 2-Year UV Lamp</t>
  </si>
  <si>
    <t>193.99</t>
  </si>
  <si>
    <t>4439449436260</t>
  </si>
  <si>
    <t>York • 40 Amp 2 Pole 24v Coil Fasco Replacement Contactor C240A</t>
  </si>
  <si>
    <t>B00S8K235O</t>
  </si>
  <si>
    <t>Appion MH380001BAB MegaFlow 3/8in Hose - 1 ft (1/4FL to 1/4FL-45°) Blue</t>
  </si>
  <si>
    <t>Appion MH380006AAY - MegaFlow 3/8in Hose - 6 ft (1/4FL to 1/4FL) Yellow</t>
  </si>
  <si>
    <t>B072JBR98L</t>
  </si>
  <si>
    <t>43.99</t>
  </si>
  <si>
    <t>7958665167064</t>
  </si>
  <si>
    <t>Klein Tools JTH9E14 5/16-Inch Hex Key, Journeyman T-Handle, 9-Inch</t>
  </si>
  <si>
    <t>B004QVAH4I</t>
  </si>
  <si>
    <t>Yellow Jacket 63331 Alloy Ratchet Tube Bender Kit</t>
  </si>
  <si>
    <t>Yellow Jacket 63325 - Deluxe Alloy Ratchet Tube Bender Kit</t>
  </si>
  <si>
    <t>B08SFZP9W2</t>
  </si>
  <si>
    <t>241.83</t>
  </si>
  <si>
    <t>7567505588440</t>
  </si>
  <si>
    <t>Diablo DMAMX1360 1-1/2 in. x 16 in. x 21 in. Rebar Demon™ SDS-Max 4-Cutter Carbide-Tipped Hammer Bit</t>
  </si>
  <si>
    <t>B089KXF4R5</t>
  </si>
  <si>
    <t>Klein Tools JTH6M5BE 5 mm Ball-End Hex Key, Journeyman T-Handle, 6-Inch</t>
  </si>
  <si>
    <t>B005G3959S</t>
  </si>
  <si>
    <t>Klein Tools K12065CR Klein-Kurve® Heavy-Duty Wire Stripper / Cutter / Crimper Multi Tool, 8-20 AWG</t>
  </si>
  <si>
    <t>Klein Tools 3005CR Wire Crimper Tool &amp; 11063W Wire Cutter/Wire Stripper, Heavy Duty Wire Stripper Tool for 8-20 AWG Solid and 10-22 AWG Stranded Electrical Wire</t>
  </si>
  <si>
    <t>B08XKMZF55</t>
  </si>
  <si>
    <t>59.42</t>
  </si>
  <si>
    <t>5795137880232</t>
  </si>
  <si>
    <t>Bacharach H-10 PRO Refrigerant Leak Detector</t>
  </si>
  <si>
    <t>657.72</t>
  </si>
  <si>
    <t>7354561102040</t>
  </si>
  <si>
    <t>Klein Tools D502-6 Pump Pliers, 6-Inch</t>
  </si>
  <si>
    <t>Klein Tools D502-12 Pump Pliers, Dipped 12-Inch Tongue and Groove, Yellow</t>
  </si>
  <si>
    <t>B000ODU0N0</t>
  </si>
  <si>
    <t>20.99</t>
  </si>
  <si>
    <t>31.78</t>
  </si>
  <si>
    <t>4391424458852</t>
  </si>
  <si>
    <t>Titan TRCFD305 Dual Rated Motor Run Capacitor Round MFD 30/5 Volts 440/370</t>
  </si>
  <si>
    <t>B01IC22Q5Y</t>
  </si>
  <si>
    <t>Sensible Products DWL-1 Dual Worklight, Blue</t>
  </si>
  <si>
    <t>Sensible Products Blue Dual Work Light # DWL-1 with Holster - Sold Each</t>
  </si>
  <si>
    <t>B0BVGG3JRQ</t>
  </si>
  <si>
    <t>27.79</t>
  </si>
  <si>
    <t>4338918195300</t>
  </si>
  <si>
    <t>Rheem • 30 Amp 2 Pole 24v Coil Packard Replacement Contactor C230A</t>
  </si>
  <si>
    <t>B00S8JNZIO</t>
  </si>
  <si>
    <t>CHANNELLOCK 428X 8-inch SPEEDGRIP Straight Jaw Tongue &amp; Groove Pliers | Made in USA | Forged High Carbon Steel</t>
  </si>
  <si>
    <t>B07R27B4CJ</t>
  </si>
  <si>
    <t>Packard TRCFD505 TITAN PRO Run Capacitor 50+5 MFD 440/370 Volt Round</t>
  </si>
  <si>
    <t>Titan TRCFD505 Dual Rated Motor Run Capacitor Round MFD 50/5 Volts 440/370</t>
  </si>
  <si>
    <t>B01IC20TUS</t>
  </si>
  <si>
    <t>9.96</t>
  </si>
  <si>
    <t>5480944271528</t>
  </si>
  <si>
    <t>Appion KT11AA-R MegaFlow Hose Gasket 10 Pack for 1/4in FL Fittings</t>
  </si>
  <si>
    <t>Appion KT11AA-R - MegaFlow Hose Gasket Kit for 1/4in FL Fittings</t>
  </si>
  <si>
    <t>B08CSF9CGQ</t>
  </si>
  <si>
    <t>27.99</t>
  </si>
  <si>
    <t>7963357610200</t>
  </si>
  <si>
    <t>SolderWeld SW-AS09305K Alloy Sol Aluminum Repair and Joining Rods, 5 Rod Pack</t>
  </si>
  <si>
    <t>Solderweld SW-AS09305K Alloy Sol Aluminum Repair and Joining 18 in. Rod 5 Pack</t>
  </si>
  <si>
    <t>B0B75HS6J3</t>
  </si>
  <si>
    <t>15.98</t>
  </si>
  <si>
    <t>4595811418212</t>
  </si>
  <si>
    <t>Room Air Conditioner Replacement Parts New Supco MB55 Motor Mount Bracket Kit - 5-5/8" Belly Band - 3 Legs applies to The U.S. only</t>
  </si>
  <si>
    <t>B0711S9NXB</t>
  </si>
  <si>
    <t>Klein Tools 6916INS 1000V Slim Tip Insulated Screwdriver, 6-Inch Round Shank, 3/16-Inch Cabinet Tip, Cushion Grip Handle</t>
  </si>
  <si>
    <t>B089DR97MJ</t>
  </si>
  <si>
    <t>Klein Tools 89552 Hole Cutter, Adjustable Cutter from 2 to 12 Inch, Cuts 24 Gauge Steel and 26 Gauge Stainless &amp; Klein Tools 89565</t>
  </si>
  <si>
    <t>B0BGPWHHD6</t>
  </si>
  <si>
    <t>Nu-Calgon 4171-75 Evap Foam No Rinse Evaporator Coil Cleaner, 18 oz.</t>
  </si>
  <si>
    <t>B00DM8KQ3I</t>
  </si>
  <si>
    <t>Fieldpiece SC260 Compact Clamp Meter with True RMS</t>
  </si>
  <si>
    <t>Fieldpiece SC440 True RMS Clamp Meter with Temperature, Inrush Current, Capacitance and Backlight</t>
  </si>
  <si>
    <t>B00KLYJMNQ</t>
  </si>
  <si>
    <t>138.55</t>
  </si>
  <si>
    <t>4288310771812</t>
  </si>
  <si>
    <t>Klein Tools MM320KIT Digital Multimeter Electrical Test Kit</t>
  </si>
  <si>
    <t>Digital Multimeter Electrical Test Kit, Non-Contact Voltage Tester, Receptacle Tester, Carrying Case and Batteries Klein Tools MM320KIT &amp; 44228 Electrician's Pocket Knife with Stainless Steel Blade</t>
  </si>
  <si>
    <t>B0BVGB1TXZ</t>
  </si>
  <si>
    <t>79.3</t>
  </si>
  <si>
    <t>7783570309336</t>
  </si>
  <si>
    <t>Trion 455602-027 Air Bear Supreme 2000 20x25x5 MERV-8 Air Cleaner Cabinet (Grey)</t>
  </si>
  <si>
    <t>Trion 455602-227 - Air Bear Supreme 20x20x5 Media Air Cleaner- MERV 8, Warm Grey</t>
  </si>
  <si>
    <t>B079Y8CP9M</t>
  </si>
  <si>
    <t>119.59</t>
  </si>
  <si>
    <t>7955356385496</t>
  </si>
  <si>
    <t>Malco Tools AVM7 EV Mini Offset Aviation Snip, Right Cutting</t>
  </si>
  <si>
    <t>Malco AVM7 Mini Offset Aviation Snip, Right Cutting</t>
  </si>
  <si>
    <t>B00QV2NOS6</t>
  </si>
  <si>
    <t>15.89</t>
  </si>
  <si>
    <t>17.2</t>
  </si>
  <si>
    <t>7664941760728</t>
  </si>
  <si>
    <t>Klein Tools JTH6E14BE 5/16-Inch Ball End Hex Key with Journeyman T-Handle, 6-Inch</t>
  </si>
  <si>
    <t>B004QW1IC2</t>
  </si>
  <si>
    <t>Greenlee GSB12 1-3/8" Step Bit (#12) Metal Cutter with Patented Split-Step Design, 1-3/8" Metal Cutting Tool for 1/2" Drill Chucks</t>
  </si>
  <si>
    <t>B08TVF7KMP</t>
  </si>
  <si>
    <t>Compatible with Pack-ard C230B Contactor 2 Pole 30 Amps 120 Coil Voltage</t>
  </si>
  <si>
    <t>B07C1YQB6R</t>
  </si>
  <si>
    <t>SPIN Tools F5000 Flaring Drill Bit Set, 1/4", 3/8", 1/2", 5/8" &amp; 3/4"</t>
  </si>
  <si>
    <t>SPIN F6000 6-Piece Drill Bit Flaring Set, 1/4’’ 3/8’’ 1/2’’ 5/8’’ 3/4", &amp; 7/8"</t>
  </si>
  <si>
    <t>B07L7C7DPT</t>
  </si>
  <si>
    <t>62.61</t>
  </si>
  <si>
    <t>89.0</t>
  </si>
  <si>
    <t>3702075752548</t>
  </si>
  <si>
    <t>ICM Controls ICM325A Low Ambient Head Pressure Control</t>
  </si>
  <si>
    <t>ICM Controls ICM333 Low Ambient Head Pressure Control, 120-600 VAC; Dual Temp Or Dual Pressure Inputs</t>
  </si>
  <si>
    <t>B007ICI4LK</t>
  </si>
  <si>
    <t>153.19</t>
  </si>
  <si>
    <t>7993205948632</t>
  </si>
  <si>
    <t>Supco ECMPRO ECM Universal Tester</t>
  </si>
  <si>
    <t>Universal ECM Tester ECMPRO</t>
  </si>
  <si>
    <t>B08NXWDYMV</t>
  </si>
  <si>
    <t>52.73</t>
  </si>
  <si>
    <t>4429012041828</t>
  </si>
  <si>
    <t>Klein Tools 935DAG Digital Electronic Level and Angle Gauge, Measures 0-90 and 0-180 Degree Ranges, Measures and Sets Angles &amp; 935AB1V ACCU-BEND Level, 1 Vial</t>
  </si>
  <si>
    <t>B08KGPS8X9</t>
  </si>
  <si>
    <t>Dreyoo 2 Pack Carrier HVAC Motor Contactor, 24VAC 40 Amp Coil 2 Pole Replacement Relays Compatible with PC240A, Air Conditioner, Heat Pump, Refrigeration Systems (2 Pole 40A 24V)</t>
  </si>
  <si>
    <t>B0BTLZG7Z3</t>
  </si>
  <si>
    <t>Klein Tools K1412 Wire Cutter / Wire Stripper, Dual NM Cable Stripper / Cutter Cuts Solid Copper Wire, Strips 12 and 14 AWG Solid Wire,Yellow/White</t>
  </si>
  <si>
    <t>B000F9HIEC</t>
  </si>
  <si>
    <t>Klein Tools 11055RINS 1000V Insulated Klein Kurve Wire Stripper/Cutter Cuts and Strips 10-18 Solid and 12-20 Stranded AWG Wire, Orange</t>
  </si>
  <si>
    <t>B0BFZBQ9XF</t>
  </si>
  <si>
    <t>Klein Tools 56380 Multi-Groove Fiberglass Fish Tape with Spiral Steel Leader, 100-Foot</t>
  </si>
  <si>
    <t>Klein Tools 56056 Electrical Fiberglass Fish Tape, 200-Foot x 3/16-Inch Wide Multi-Groove Fish Tape with Steel Leader</t>
  </si>
  <si>
    <t>B00N6Y8RRA</t>
  </si>
  <si>
    <t>139.99</t>
  </si>
  <si>
    <t>204.42</t>
  </si>
  <si>
    <t>4412564602980</t>
  </si>
  <si>
    <t>Malco Tools 4IN1 Multi-Socket Nut Driver</t>
  </si>
  <si>
    <t>Malco 4IN1 Multi Socket Nut Driver</t>
  </si>
  <si>
    <t>B07KQYCJ6Y</t>
  </si>
  <si>
    <t>15.4</t>
  </si>
  <si>
    <t>16.73</t>
  </si>
  <si>
    <t>3674935328868</t>
  </si>
  <si>
    <t>Sensible Products HRF-1 High-Beam Rechargeable Flashlight, Black</t>
  </si>
  <si>
    <t>Sensible Products High-Beam Rechargeable Flashlight #HRF-1 - Sold Each</t>
  </si>
  <si>
    <t>B0BVGLNYDK</t>
  </si>
  <si>
    <t>27.33</t>
  </si>
  <si>
    <t>4340565540964</t>
  </si>
  <si>
    <t>Sensible Products HRF-1 High-Beam Rechargeable Flashlight, Silver</t>
  </si>
  <si>
    <t>4340572553316</t>
  </si>
  <si>
    <t>Klein Tools JTH6E17BE 1/2-Inch Ball End Hex Key with Journeyman T-Handle, 6-Inch</t>
  </si>
  <si>
    <t>B004QW58Q4</t>
  </si>
  <si>
    <t>Packard TRCFD355 Titan PRO Run Capacitor 35+5 MFD 440/370 Volt, Round</t>
  </si>
  <si>
    <t>Titan TRCFD355 Dual Rated Motor Run Capacitor Round MFD 35/5 Volts 440/370</t>
  </si>
  <si>
    <t>B01IC1SVP4</t>
  </si>
  <si>
    <t>8.08</t>
  </si>
  <si>
    <t>5242700562600</t>
  </si>
  <si>
    <t>Kroil Original Penetrating Oil (Aerosol Spray-16.5oz Can-Single) | Penetrant for Rusted Bolts, Metal, Hinges, Chains, Moving Parts | Rust, Corrosion Inhibitor (KS162)</t>
  </si>
  <si>
    <t>B005ESIHZI</t>
  </si>
  <si>
    <t>Klein Tools 610-5/16M 5/16-Inch Magnetic Tip Nut Driver with 1-1/2-Inch Hollow Shaft and Cushion Grip Handle</t>
  </si>
  <si>
    <t>B00093DZP0</t>
  </si>
  <si>
    <t>ESP ZT10 Z-Tool - 5/16" &amp; 1/4" Nut Driver</t>
  </si>
  <si>
    <t>ESP Z-Tool 5/16" &amp; 1/4" NUT Driver (ZT10)</t>
  </si>
  <si>
    <t>B07SPGG7ZW</t>
  </si>
  <si>
    <t>9.52</t>
  </si>
  <si>
    <t>5702481838248</t>
  </si>
  <si>
    <t>PACKARD TRCD455 Titan Pro 45+5 MFD 370V Round Run Capacitor Replaces PRCD455</t>
  </si>
  <si>
    <t>B00K3M3NQ8</t>
  </si>
  <si>
    <t>Nu Calgon Inc 429075 Condenser Coil Cleaner, 1.2 Pound (Pack of 1)</t>
  </si>
  <si>
    <t>B00E0CWJI0</t>
  </si>
  <si>
    <t>Greenlee DTAP1/4-20 Combination Drill, Tap, and Deburr Bit with Quick Change Hex, 1/4-20 NC</t>
  </si>
  <si>
    <t>B000FCEQ8K</t>
  </si>
  <si>
    <t>White-Rodgers 24A34-1 Electric Heat Sequencer, 1 Switch</t>
  </si>
  <si>
    <t>B000LD7VQW</t>
  </si>
  <si>
    <t>Malco Tools GSG6 Gutter Screw Guide</t>
  </si>
  <si>
    <t>Malco GSG6 Extra-Long Magnetic Gutter Screw Guide, Red</t>
  </si>
  <si>
    <t>B01D5UBZQY</t>
  </si>
  <si>
    <t>15.11</t>
  </si>
  <si>
    <t>5314508751016</t>
  </si>
  <si>
    <t>5-2-1 CSRU1 Compressor Saver, 1 to 3 Tons</t>
  </si>
  <si>
    <t>CPS 5-2-1 CSRU1 Compressor Saver for 1 to 3 Ton Units</t>
  </si>
  <si>
    <t>B003FNMADE</t>
  </si>
  <si>
    <t>34.62</t>
  </si>
  <si>
    <t>3558315950180</t>
  </si>
  <si>
    <t>Testo 0564 5501 01 - 550s Smart Digital Manifold w/ Wired Clamp Temperature Probes</t>
  </si>
  <si>
    <t>391.0</t>
  </si>
  <si>
    <t>460.0</t>
  </si>
  <si>
    <t>6969925697709</t>
  </si>
  <si>
    <t>Supco TB100 TugBoat HVAC Compressor Tote</t>
  </si>
  <si>
    <t>Supplying Demand TB100 TugBoat HVACR Compressor Tote Caddy System</t>
  </si>
  <si>
    <t>B09J6VN9BP</t>
  </si>
  <si>
    <t>71.18</t>
  </si>
  <si>
    <t>7691418763480</t>
  </si>
  <si>
    <t>MIDWEST Aviation Snip - Left Cut Offset Stainless Steel Cutting Shears with Forged Blade &amp; KUSH'N-POWER Comfort Grips - MWT-SS6510L</t>
  </si>
  <si>
    <t>B00PNJ1XXQ</t>
  </si>
  <si>
    <t>Klein Tools 725 Jab Saw</t>
  </si>
  <si>
    <t>Klein Tools 31737 Folding Jab Saw / Drywall Saw, Hand Saw with Lockback at 180 and 125 Degrees and Tether Hole</t>
  </si>
  <si>
    <t>B07DKRCNX3</t>
  </si>
  <si>
    <t>5412967940264</t>
  </si>
  <si>
    <t>Channellock 432 10-Inch V-Jaw Tongue &amp; Groove Pliers</t>
  </si>
  <si>
    <t>Channellock 432X 10” V-JAW SPEEDGRIP Tongue &amp; Groove Pliers, Forged High Carbon Steel, Push Button Adjustment, Made in the USA</t>
  </si>
  <si>
    <t>B0CF7NZW61</t>
  </si>
  <si>
    <t>27.63</t>
  </si>
  <si>
    <t>3553468317796</t>
  </si>
  <si>
    <t>Klein Tools 60439 Neck and Face Cooling Band</t>
  </si>
  <si>
    <t>Klein Tools 60455 Neck and Face Warming Band, Gaiter/Balaclava Made of Breathable Fleece Fabric for Warmth, Black</t>
  </si>
  <si>
    <t>B08L5JYT8W</t>
  </si>
  <si>
    <t>5304644599976</t>
  </si>
  <si>
    <t>Klein Tools 33736INS Klein Tools 33736INS Insulated Screwdriver Set, 1000V Slim-Tip Driver with Phillips, Cabinet and Square Bits and a Magnetizer, 6-Piece &amp; 11055 Wire Cutter and Wire Stripper</t>
  </si>
  <si>
    <t>B0BD3TP57V</t>
  </si>
  <si>
    <t>Uniweld 40000 Sludge Sucker®</t>
  </si>
  <si>
    <t>Uniweld 40000 Sludge Sucker</t>
  </si>
  <si>
    <t>B00CIRZGV6</t>
  </si>
  <si>
    <t>7729696637144</t>
  </si>
  <si>
    <t>Klein Tools MM400 Digital Multimeter, Auto-Ranging, 600V</t>
  </si>
  <si>
    <t>Klein Tools MM400 Multimeter, Digital Auto Ranging &amp; 80077 Voltage Tester Kit with Electronic AC/DC Voltage Tester, GFCI Outlet Tester and Non-Contact Voltage Tester Pen, 3-Piece</t>
  </si>
  <si>
    <t>B0BNLB1VFG</t>
  </si>
  <si>
    <t>54.97</t>
  </si>
  <si>
    <t>79.76</t>
  </si>
  <si>
    <t>5963177492648</t>
  </si>
  <si>
    <t>Malco Tools AVM6 EV Mini Offset Aviation Snip - Left Cutting</t>
  </si>
  <si>
    <t>Malco AVM6 Mini Offset Aviation Snip, Left Cutting</t>
  </si>
  <si>
    <t>B00QV2NOKY</t>
  </si>
  <si>
    <t>16.42</t>
  </si>
  <si>
    <t>6957954138285</t>
  </si>
  <si>
    <t>Lucas Milhaupt 98000 SILVALOY 450, 45% Silver, 1 Troy Oz.</t>
  </si>
  <si>
    <t>Lucas Milhaupt Silvaloy 450 45% Silver Solder Brazing Alloy 1 oz, 98000</t>
  </si>
  <si>
    <t>B01N4PE9L7</t>
  </si>
  <si>
    <t>26.42</t>
  </si>
  <si>
    <t>3567356739684</t>
  </si>
  <si>
    <t>Supco SPP5 Pow-R-Pak Solid State Relay &amp; Hard Start Capacitor Torque up to 300%</t>
  </si>
  <si>
    <t>B00EV8CE60</t>
  </si>
  <si>
    <t>Imperial 368-FH IMP™ Triple Head Tube Bender 3/16" - 3/8" O.D.</t>
  </si>
  <si>
    <t>Imperial Tool 470FHC Triple Head 180 Degree Tube Bender with Roto-Lok Indexing Handle, 3/16", 1/4", 5/16", and 3/8"</t>
  </si>
  <si>
    <t>B007IBPTLO</t>
  </si>
  <si>
    <t>36.52</t>
  </si>
  <si>
    <t>3679124127844</t>
  </si>
  <si>
    <t>2 Pack - ELECTECK Non-Programmable Digital Thermostat for Home, up to 1 Heat/1 Cool with 4.5 sq. inch Display, Compatible with Single Stage Electrical and Gas/Oil System, White</t>
  </si>
  <si>
    <t>B08QF63Q4Y</t>
  </si>
  <si>
    <t>Milwaukee 48-25-2122 Standard Selfeed Bit, 2-1/8"</t>
  </si>
  <si>
    <t>Milwaukee 48-25-2122 Heavy-duty Selfeed Bit 2-1/8"</t>
  </si>
  <si>
    <t>B006ERPNPA</t>
  </si>
  <si>
    <t>8007821590744</t>
  </si>
  <si>
    <t>Packard C340A 3 Pole 40 Amp Contactor 24 Volt Coil Contactor</t>
  </si>
  <si>
    <t>B003RXS8OC</t>
  </si>
  <si>
    <t>White-rodgers Universal Single Stage Hsi Integrated Furnace Control Kit 50m56u-843</t>
  </si>
  <si>
    <t>B082J512XT</t>
  </si>
  <si>
    <t>Packard PSMJ400 Packard 165V Start Capacitor 400-480 MFD</t>
  </si>
  <si>
    <t>B005YN6BYC</t>
  </si>
  <si>
    <t>Refrigeration Technologies RT201B Nylog Gasket &amp; Thread Sealant 30 ml RT201BP (4)</t>
  </si>
  <si>
    <t>B0C299WTWW</t>
  </si>
  <si>
    <t>Klein Tools JTH6M4BE 4 mm Ball End Hex Key with Journeyman T-Handle, 6-Inch</t>
  </si>
  <si>
    <t>B005G3951G</t>
  </si>
  <si>
    <t>Trion 455602-127 - Air Bear Supreme 1400 16x25x5 Media Air Cleaner- MERV 8, Warm Grey</t>
  </si>
  <si>
    <t>B079Y9ZFZN</t>
  </si>
  <si>
    <t>Fluke T5-600 Voltage, Continuity and Current Tester, 600V AC/DC</t>
  </si>
  <si>
    <t>Fluke T5-1000 Voltage, Continuity and Current Tester, OpenJaw Design For Current Measurements Without Metallic Contact, Includes Detachable Slim Reach Probe Tips, Auto Selects AC or DC Voltage</t>
  </si>
  <si>
    <t>B000LDKX62</t>
  </si>
  <si>
    <t>137.99</t>
  </si>
  <si>
    <t>152.99</t>
  </si>
  <si>
    <t>5238394781864</t>
  </si>
  <si>
    <t>Robertshaw RS8210 Pro Series Non-Programmable Thermostat, Multi-Stage, 2 Heat / 1 Cool</t>
  </si>
  <si>
    <t>B00U5CAN6O</t>
  </si>
  <si>
    <t>Nu-Calgon 2RZW9 4300-50 Rx11 Flushing Tool</t>
  </si>
  <si>
    <t>B003N58OWA</t>
  </si>
  <si>
    <t>CPS BlackMax® BFT850 Eccentric Flaring Tool</t>
  </si>
  <si>
    <t>CPS BFT850D Ultra-Lightweight R-410A Clutch-Type Eccentric Flaring Tool</t>
  </si>
  <si>
    <t>B06Y5TWHNQ</t>
  </si>
  <si>
    <t>142.65</t>
  </si>
  <si>
    <t>164.6</t>
  </si>
  <si>
    <t>2008905973860</t>
  </si>
  <si>
    <t>Klein Tools JTH6T27 T27 TORX Hex Key, Journeyman T-Handle, 6-Inch</t>
  </si>
  <si>
    <t>B005G3B4MO</t>
  </si>
  <si>
    <t>UEi DL489 Digital Clamp Meter HVAC Amp Meter True RMS Multimeter Auto-ranging 6000 Counts Voltage Tester, Measures Inrush AC/DC Current Voltage Temperature Capacitance Resistance Diodes Frequency NCV</t>
  </si>
  <si>
    <t>B076BZ9Q69</t>
  </si>
  <si>
    <t>Rectorseal 83114 EZ Trap 113B 3/4" CRS Trap Kit W/Brush</t>
  </si>
  <si>
    <t>Rectorseal Corp. EZT113B EZ TRAP 3/4"ECONMY CROSS TRAP KIT W/BRSH</t>
  </si>
  <si>
    <t>B00QW2KVRC</t>
  </si>
  <si>
    <t>8021228617944</t>
  </si>
  <si>
    <t>Midwest MWT-P6510RLS Left, Right &amp; Straight Offset Aviation 3-Piece Set</t>
  </si>
  <si>
    <t>MIDWEST Aviation Snip Set - Left, Right and Straight Cut Offset Tin Cutting Shears with Forged Blade &amp; KUSH'N-POWER Comfort Grips - MWT-6510RLS</t>
  </si>
  <si>
    <t>B008PH12VG</t>
  </si>
  <si>
    <t>70.99</t>
  </si>
  <si>
    <t>95.54</t>
  </si>
  <si>
    <t>4508629041252</t>
  </si>
  <si>
    <t>Channellock 804N Adjustable Wrench Black Phosphate Coated, 4.5-Inch</t>
  </si>
  <si>
    <t>B000REGV8Y</t>
  </si>
  <si>
    <t>JB Industries BRZ1000 Braze-Rite Nitrogen Purging Adapter</t>
  </si>
  <si>
    <t>JB Industries BRZ1000 Braze-Rite Adapter</t>
  </si>
  <si>
    <t>B00E1NE5WQ</t>
  </si>
  <si>
    <t>37.99</t>
  </si>
  <si>
    <t>63.81</t>
  </si>
  <si>
    <t>4520908783716</t>
  </si>
  <si>
    <t>Appion MH380004AAY MegaFlow 3/8in Hose - 4 ft (1/4FL to 1/4FL) Yellow</t>
  </si>
  <si>
    <t>47.99</t>
  </si>
  <si>
    <t>7959185260760</t>
  </si>
  <si>
    <t>Klein Tools 635-1/4 1/4-Inch Heavy Duty Nut Driver with Magnetic Tip, 4-Inch Hollow Shaft, Cushion Grip Handle</t>
  </si>
  <si>
    <t>B01D6DZRFA</t>
  </si>
  <si>
    <t>Yellow Jacket 78060 Gas Pressure Test Kit - 0-35" W.C.</t>
  </si>
  <si>
    <t>YELLOW JACKET 78055 Complete Gas Pressure Test Kit, 0-10"Wc</t>
  </si>
  <si>
    <t>B007PBCXFW</t>
  </si>
  <si>
    <t>72.35</t>
  </si>
  <si>
    <t>2442973642852</t>
  </si>
  <si>
    <t>Hilmor 1890999 CBRBM Compact Bender Reverse Bending Mandrel Attachment</t>
  </si>
  <si>
    <t>Hilmor Reverse Bending Attachment - HVAC Tool Tube Bender, Black, CBRBM 1890999</t>
  </si>
  <si>
    <t>B00X9BJPWQ</t>
  </si>
  <si>
    <t>75.69</t>
  </si>
  <si>
    <t>258.84</t>
  </si>
  <si>
    <t>3535889530980</t>
  </si>
  <si>
    <t>Packard TRCFD605 Titan PRO Run Capacitor 60+5 MFD 440/370 Volt Round</t>
  </si>
  <si>
    <t>Titan TRCFD605 Dual Rated Motor Run Capacitor Round MFD 60/5 Volts 440/370</t>
  </si>
  <si>
    <t>B01HPK9YMM</t>
  </si>
  <si>
    <t>13.49</t>
  </si>
  <si>
    <t>3651856040036</t>
  </si>
  <si>
    <t>Yellow Jacket 78080 2" Gas Test Gauge - 3/4" NPT - 0-30 lb</t>
  </si>
  <si>
    <t>Yellow Jacket 78088 3-1/2" Gas Test Gauge 0-30 1" pipe</t>
  </si>
  <si>
    <t>B0039X2LPM</t>
  </si>
  <si>
    <t>30.8</t>
  </si>
  <si>
    <t>6550757965997</t>
  </si>
  <si>
    <t>ESP BRT10 Board Removal Tool</t>
  </si>
  <si>
    <t>Supplying Demand BRT10 Dual Sided Circuit Board Pin Removal Tool</t>
  </si>
  <si>
    <t>B0BLTFBMBQ</t>
  </si>
  <si>
    <t>13.3</t>
  </si>
  <si>
    <t>5705477423272</t>
  </si>
  <si>
    <t>Robertshaw 41-412 Norton Hot Surface Furnace Ignitor, 5.25-Inch Lead Wire-951364</t>
  </si>
  <si>
    <t>B004XL3E9Q</t>
  </si>
  <si>
    <t>Rack-A-Tiers 47002 Croc's Jr. Needle Nose Wire Strippers</t>
  </si>
  <si>
    <t>Rack-A-Tiers Croc's Needle Nose Wire Strippers AWG 10-22, Wire Crimper, Heavy Duty, Ergonomic Hand Tool (47000)</t>
  </si>
  <si>
    <t>B0087TBQ3G</t>
  </si>
  <si>
    <t>22.49</t>
  </si>
  <si>
    <t>23.99</t>
  </si>
  <si>
    <t>3351147577444</t>
  </si>
  <si>
    <t>CHANNELLOCK 430X 10-inch SPEEDGRIP Straight Jaw Tongue &amp; Groove Pliers | Made in USA | Forged High Carbon Steel</t>
  </si>
  <si>
    <t>B07P42JFMG</t>
  </si>
  <si>
    <t>270-324 uf/MFD 330 VAC Round Start Capacitor 50/60 Hz AC Electric - Lot -1 Replacement Part by BlueStars - Compatible for Air Conditioner or Heat Pump Condenser</t>
  </si>
  <si>
    <t>B09CPD5SPQ</t>
  </si>
  <si>
    <t>Reed Mfg TCK50SLR 1/2" C-Cutter, Copper Tubing Cutter</t>
  </si>
  <si>
    <t>VEVOR 3PCS Tubing Cutter Set, 3/16"-2" O.D. Copper Pipe Cutter, 1/8"-7/8" O.D. Mini Tube Cutter and Deburring Tool, Heavy Duty Pipe Cutter Set for Copper, Aluminum, Stainless Steel, Plastic Pipes</t>
  </si>
  <si>
    <t>B0CG5V4ZQG</t>
  </si>
  <si>
    <t>15.58</t>
  </si>
  <si>
    <t>6680440045741</t>
  </si>
  <si>
    <t>Supplying Demand ECMPRO Universal ECM Tester for Electronically Commutated Motors 24 Inch Leads Includes Carrying Case</t>
  </si>
  <si>
    <t>B094S73V1M</t>
  </si>
  <si>
    <t>MIDWEST Aviation Snip - Left Cut Upright Tin Cutting Shears with Forged Blade &amp; KUSH'N-POWER Comfort Grips - MWT-6900L</t>
  </si>
  <si>
    <t>B00OJ0KPG6</t>
  </si>
  <si>
    <t>Blue Monster 62850 Power Deuce Power Pack with Quik-Change Chuck Adaptor</t>
  </si>
  <si>
    <t>Power Deuce Copper Fitting Brush Tool Pack with Quik-Change Chuck Adaptor (1/2", 3/4", 1" Sizes)</t>
  </si>
  <si>
    <t>B08L8FSBNB</t>
  </si>
  <si>
    <t>28.88</t>
  </si>
  <si>
    <t>51.57</t>
  </si>
  <si>
    <t>4644720738404</t>
  </si>
  <si>
    <t>Malco Tools M2007 Max2000® Offset Aviation Snip - Right Cutting</t>
  </si>
  <si>
    <t>Malco Ergonomic Right Cut Offset Aviation Snips Green - M2007</t>
  </si>
  <si>
    <t>B00GGQORQ0</t>
  </si>
  <si>
    <t>42.99</t>
  </si>
  <si>
    <t>45.82</t>
  </si>
  <si>
    <t>5517863682216</t>
  </si>
  <si>
    <t>Robertshaw RS9110 Pro Series 5-1-1 Programmable Thermostat, White, 1 Heat / 1 Cool for Single-Stage Systems</t>
  </si>
  <si>
    <t>B00U5CASIW</t>
  </si>
  <si>
    <t>Klein Tools NCVT-3 Voltage Tester, Non-Contact Dual Range Voltage Tester Pen for AC Testing with Integrated Flashlight</t>
  </si>
  <si>
    <t>B00XJQ9ZE4</t>
  </si>
  <si>
    <t>Appli Parts motor start capacitor 270-324 Mfd (microfarads) uF 330 VAC universal fit for electric motor applications 1-3/4 in Wide 3-3/8 in Height CON-270-330</t>
  </si>
  <si>
    <t>B01FSQQ6F8</t>
  </si>
  <si>
    <t>Nu-Calgon 4372-24 Inc Triclean 2X Coil Cleaner</t>
  </si>
  <si>
    <t>B01HQMF5YA</t>
  </si>
  <si>
    <t>Klein Tools ET120 Gas Leak Detector, Combustible Gas Leak Tester &amp; ET140 Pinless Moisture Meter for Non-Destructive Moisture Detection, Detects up to 3/4-Inch Below Surface</t>
  </si>
  <si>
    <t>B09P841QBX</t>
  </si>
  <si>
    <t>(12) Pack/Nu-Calgon Gel-Tab # 4185-03, Condensate Pan Treatment up to 3 Tons</t>
  </si>
  <si>
    <t>B07W68DHNQ</t>
  </si>
  <si>
    <t>Milwaukee 48-22-1902 Fastback Flip Utility Knife and 48-22-1950 General Purpose Utility Blades with Dispenser (50-Blades Included)</t>
  </si>
  <si>
    <t>B06XWJJQN2</t>
  </si>
  <si>
    <t>MIDWEST Aviation Snip - Right Cut Upright Tin Cutting Shears with Forged Blade &amp; KUSH'N-POWER Comfort Grips - MWT-6900R</t>
  </si>
  <si>
    <t>B00OJ0KPE8</t>
  </si>
  <si>
    <t>Milwaukee 48-22-7213 10L Aluminum Pipe Wrench with POWERLENGTH™ Handle</t>
  </si>
  <si>
    <t>Milwaukee 48-22-7213 10 in. Aluminum Pipe Wrench with POWERLENGTH Handle</t>
  </si>
  <si>
    <t>B09VQ6CYDG</t>
  </si>
  <si>
    <t>87.3</t>
  </si>
  <si>
    <t>7940122968280</t>
  </si>
  <si>
    <t>Refrigeration Technologies RT200R Nylog- Gasket/Thread Sealant</t>
  </si>
  <si>
    <t>B008HOSQ3E</t>
  </si>
  <si>
    <t>Hilmor 1839022 CSEH118 1-1/8" Compact Swage Expander Head</t>
  </si>
  <si>
    <t>hilmor 1839024 Swage Expander Head, 1-5/8"</t>
  </si>
  <si>
    <t>B00KUS04XU</t>
  </si>
  <si>
    <t>82.94</t>
  </si>
  <si>
    <t>283.56</t>
  </si>
  <si>
    <t>3669092860004</t>
  </si>
  <si>
    <t>1/4-Inch Tip Nut Driver with 3-Inch Hollow Shaft and Cushion Grip Handle Klein Tools 630-1/4</t>
  </si>
  <si>
    <t>B00093DZR8</t>
  </si>
  <si>
    <t>Diablo Tools DAG1130 1 in. x 7-1/2 in. Auger Bit</t>
  </si>
  <si>
    <t>Diablo 1-1/8 in. x 7-1/2 in. Auger Bit</t>
  </si>
  <si>
    <t>B089LK4BYB</t>
  </si>
  <si>
    <t>16.37</t>
  </si>
  <si>
    <t>25.94</t>
  </si>
  <si>
    <t>6866560581805</t>
  </si>
  <si>
    <t>Appion MH380001BAB - MegaFlow 3/8in Hose - 1 ft (1/4FL to 1/4FL-45°) Blue</t>
  </si>
  <si>
    <t>B08BR98WQB</t>
  </si>
  <si>
    <t>Uniweld Type17TFT Tuning Fork™ Tip</t>
  </si>
  <si>
    <t>Uniweld - OMER-OPN-893853 Type17TFT Tuning Fork Tip for Defective Reversing Valve Removal</t>
  </si>
  <si>
    <t>B00FI1JBV0</t>
  </si>
  <si>
    <t>81.99</t>
  </si>
  <si>
    <t>105.64</t>
  </si>
  <si>
    <t>7731703873752</t>
  </si>
  <si>
    <t>Klein Tools 32562 Multi-Bit Screwdriver / Nut Driver, 6-in-1, Stubby, Ph, Sl, Sq Bits</t>
  </si>
  <si>
    <t>Klein Tools 32560 Multi-Bit Screwdriver / Nut Driver, Extended Reach 6-in-1 Tool with Phillips, Slotted and Square Bits and Nut Drivers</t>
  </si>
  <si>
    <t>B005FQDHF4</t>
  </si>
  <si>
    <t>18.9</t>
  </si>
  <si>
    <t>4396350439524</t>
  </si>
  <si>
    <t>Sioux Chief 672XV0490, 1/2" PEX Manifold w/valves, 3/4" PEX in, clsd</t>
  </si>
  <si>
    <t>B003QSM9VQ</t>
  </si>
  <si>
    <t>Milwaukee 48-22-1505 FASTBACK™ 6IN1 Folding Utility Knife</t>
  </si>
  <si>
    <t>7937846083800</t>
  </si>
  <si>
    <t>Klein Tools 80067 Electrical Test Kit with IR Digital Thermometer, Multimeter, Non-Contact Voltage Tester Pen and Receptacle Tester, Green,Red, 4-Piece</t>
  </si>
  <si>
    <t>B0B11NG8XM</t>
  </si>
  <si>
    <t>USA Motor Start Capacitor 145-174 uF MFD 110 125 VAC Replaces 11913 11013 PMJ145 PMJ145A</t>
  </si>
  <si>
    <t>B07M5MD61W</t>
  </si>
  <si>
    <t>Robertshaw 1980-036 36" 1980 Series Snap-Fit® Universal Thermocouple</t>
  </si>
  <si>
    <t>MENSI Thermocoupler for Robertshaw Thermostat Control Pilot Burner Assembly Replacement 1980-024 &amp; 1980-036 Snap Fit Universal Thermocouple (36")</t>
  </si>
  <si>
    <t>B0832H3B1X</t>
  </si>
  <si>
    <t>7.15</t>
  </si>
  <si>
    <t>7441743970520</t>
  </si>
  <si>
    <t>Packard TRCFD5075 TITAN PRO Run Capacitor 50+7.5 MFD 440/370 Volt Round</t>
  </si>
  <si>
    <t>Titan TRCFD5075 Dual Rated Motor Run Capacitor Round MFD 50/7.5 Volts 440/370</t>
  </si>
  <si>
    <t>B01IC2MDGQ</t>
  </si>
  <si>
    <t>10.02</t>
  </si>
  <si>
    <t>7606661677272</t>
  </si>
  <si>
    <t>Midwest Tool &amp; Cutlery Aviation Snip - Right Cut Offset Tin Cutting Shears with Forged Blade &amp; KUSH'N-POWER Comfort Grips - MWT-6510R, Offset Cut</t>
  </si>
  <si>
    <t>B00OCGQG6A</t>
  </si>
  <si>
    <t>White-Rodgers 50M56X-843 Integrated Furnace Control Board, Universal Replacement</t>
  </si>
  <si>
    <t>186.13</t>
  </si>
  <si>
    <t>425.44</t>
  </si>
  <si>
    <t>7934945034456</t>
  </si>
  <si>
    <t>Channellock 440 Tongue and Groove Pliers | 12-Inch Straight Jaw Groove Joint Plier with Comfort Grips | 2.25-Inch Jaw Capacity | Laser Heat-Treated 90° Teeth| Forged High Carbon Steel | Made in USA, Black, Blue, Silver</t>
  </si>
  <si>
    <t>B00004SBCU</t>
  </si>
  <si>
    <t>Malco Tools M2002 Max2000® Standard Aviation Snip - Right Cutting</t>
  </si>
  <si>
    <t>Malco M2002 Standard Aviation Snip, Right</t>
  </si>
  <si>
    <t>B00004SUQK</t>
  </si>
  <si>
    <t>32.99</t>
  </si>
  <si>
    <t>37.68</t>
  </si>
  <si>
    <t>6620410249389</t>
  </si>
  <si>
    <t>Carrier HVAC Motor Contactor, 120V 30 Amp Coil 2 Pole Replacement Relays Compatible with C230B, Air Conditioner, Heat Pump, Refrigeration Systems</t>
  </si>
  <si>
    <t>B095KKYL6B</t>
  </si>
  <si>
    <t>Klein Tools 55600 Tradesman Pro™ Tough Box Cooler, 17-Quart</t>
  </si>
  <si>
    <t>Klein Tools 55600 Work Cooler, 17-Quart Lunch Box Holds 18 Cans, Tradesman Pro Tough Box &amp; Tool Bag, Flame Resistant Canvas Bag for Bolt Storage with Double Reinforced Bottom and Tunnel Connect</t>
  </si>
  <si>
    <t>B08DY41653</t>
  </si>
  <si>
    <t>91.98</t>
  </si>
  <si>
    <t>1707778277476</t>
  </si>
  <si>
    <t>Tajima DFC671N-R1 Rock Hard FIN™ Utility Knife, Dial Lock</t>
  </si>
  <si>
    <t>TAJIMA Utility Knife - 1" 7-Point Rock Hard FIN Snap Blade Box Cutter with Dial Lock &amp; 2 Rock Hard Blades - DFC671N-R1</t>
  </si>
  <si>
    <t>B07W4FVQKV</t>
  </si>
  <si>
    <t>15.28</t>
  </si>
  <si>
    <t>8032842514648</t>
  </si>
  <si>
    <t>US Motors 1861 5.6" Condenser Fan Motor, 208-230V, 1/3 HP, 1075 RPM, PSC, TEAO</t>
  </si>
  <si>
    <t>Nidec US Motors 2246 Condenser Fan Motor, 1/5 HP, PSC, 1075 RPM, 208-230V</t>
  </si>
  <si>
    <t>B08VN53ZKP</t>
  </si>
  <si>
    <t>111.26</t>
  </si>
  <si>
    <t>5279552667816</t>
  </si>
  <si>
    <t>Rack-A-Tiers 43095 Electrician's Grande Butt Pouch</t>
  </si>
  <si>
    <t>Rack-A-Tiers 43095 Ballistic Nylon Butt Pouch Grande Pocket Tool Holder Black</t>
  </si>
  <si>
    <t>B0186JN22E</t>
  </si>
  <si>
    <t>29.49</t>
  </si>
  <si>
    <t>31.99</t>
  </si>
  <si>
    <t>5609988980904</t>
  </si>
  <si>
    <t>RectorSeal 66734 NoKink 7/8" x 3' Flexible Hose</t>
  </si>
  <si>
    <t>Rectorseal 66734 Nokink Flexible Hose, 7/8" x 3'</t>
  </si>
  <si>
    <t>B01BKAZIN2</t>
  </si>
  <si>
    <t>8025255051480</t>
  </si>
  <si>
    <t>Supco SPP6 SUPER BOOST AC Hard Start Capacitor Kit, 500% Torque Increase</t>
  </si>
  <si>
    <t>SUPCO SPP6 Relay/Capacitor Hard Start Kit with 500% Increase Starting Torque</t>
  </si>
  <si>
    <t>B0002YTLFE</t>
  </si>
  <si>
    <t>10.08</t>
  </si>
  <si>
    <t>3564200591460</t>
  </si>
  <si>
    <t>Uniweld 70022 Ratchet Service Wrench+</t>
  </si>
  <si>
    <t>Uniweld 70022 Reversible Ratchet Wrench with DHVA Dual Hex Wrench Adaptor, Silver</t>
  </si>
  <si>
    <t>B00ECC6DE4</t>
  </si>
  <si>
    <t>13.39</t>
  </si>
  <si>
    <t>18.02</t>
  </si>
  <si>
    <t>7729278386392</t>
  </si>
  <si>
    <t>SC260, Compact Clamp Meter with True RMS</t>
  </si>
  <si>
    <t>B079L5D55Z</t>
  </si>
  <si>
    <t>Appion CTEE14 MegaSeal Low-Loss Charging T-Fitting 1/4in FL</t>
  </si>
  <si>
    <t>Appion CTEE14 - MegaSeal Low-Loss Charging T-Fitting 1/4in FL</t>
  </si>
  <si>
    <t>B07CZ3V566</t>
  </si>
  <si>
    <t>7959631659224</t>
  </si>
  <si>
    <t>Klein Tools 11055GLW Wire Stripper / Cutter, Klein-Kurve Stripper / Cutter, 10-18 AWG Solid, 12-20 AWG Stranded Wire, Glow in the Dark Grips</t>
  </si>
  <si>
    <t>B09FVTWPQV</t>
  </si>
  <si>
    <t>DiversiTech Asurity™ CP-22-230 Condensate Pump, 22ft. Lift, 230V</t>
  </si>
  <si>
    <t>Diversitech CP-22-230 Conden.Pump, 22 ft. Lift, 230V</t>
  </si>
  <si>
    <t>B008FM1PGI</t>
  </si>
  <si>
    <t>68.79</t>
  </si>
  <si>
    <t>8023187718360</t>
  </si>
  <si>
    <t>Klein Tools K12035 Klein-Kurve® Heavy-Duty Wire Stripper 8-20 AWG</t>
  </si>
  <si>
    <t>Klein Tools K12035 Klein-Kurve Wire Cutters, Heavy Duty Wire Stripping Tool &amp; 32581 4-in-1 Electronics Screwdriver Set with Precision Machines Bits: 2 Slotted, 2 Phillips, 4-Piece</t>
  </si>
  <si>
    <t>B09Z91XMF1</t>
  </si>
  <si>
    <t>48.86</t>
  </si>
  <si>
    <t>3699495665764</t>
  </si>
  <si>
    <t>Lennox • 30 Amp 1 Pole 24v Coil Packard Replacement Contactor C130A</t>
  </si>
  <si>
    <t>B00S8JJR0E</t>
  </si>
  <si>
    <t>Tempstar • 30 Amp 1 Pole 24v Coil Packard Replacement Contactor C130A</t>
  </si>
  <si>
    <t>B00S8JK244</t>
  </si>
  <si>
    <t>DiversiTech CP-22-230 230V 22ft condensate pump</t>
  </si>
  <si>
    <t>B079RM2JFX</t>
  </si>
  <si>
    <t>Hilmor 1838947 FS Quick-Engage Flare + Swage Tool Kit - 3/16" to 3/4"</t>
  </si>
  <si>
    <t>Hilmor 1838947 Quick Engage Flare and Swage Kit - HVAC Tools and Equipment for Flaring and Swaging, Black</t>
  </si>
  <si>
    <t>B00IOS0OKQ</t>
  </si>
  <si>
    <t>150.24</t>
  </si>
  <si>
    <t>2109183557732</t>
  </si>
  <si>
    <t>Malco Tools AV8 Vertical/Upright Aviation Snip - Left Cutting</t>
  </si>
  <si>
    <t>Malco AV8 Left Cutting Vertical Aviation Snip</t>
  </si>
  <si>
    <t>B009FAZNOO</t>
  </si>
  <si>
    <t>27.44</t>
  </si>
  <si>
    <t>5419059478696</t>
  </si>
  <si>
    <t>White-Rodgers 50M56-743 Integrated Furnace Control Board, Replacement for Goodman</t>
  </si>
  <si>
    <t>Home &amp; Tools 50A55-743 Emerson Single-Stage HSI Integrated Furnace Control Board Kit (OEM Replacement for White-Rodgers and Goodman Controls) Model: 50A55-743</t>
  </si>
  <si>
    <t>B00TW2G416</t>
  </si>
  <si>
    <t>62.87</t>
  </si>
  <si>
    <t>143.71</t>
  </si>
  <si>
    <t>5858158870696</t>
  </si>
  <si>
    <t>Appion CTEE516 - MegaSeal Low-Loss Charging T-Fitting 5/16in FL</t>
  </si>
  <si>
    <t>B072LXGRV2</t>
  </si>
  <si>
    <t>Robertshaw 1980-024 24" 1980 Series Snap-Fit® Universal Thermocouple</t>
  </si>
  <si>
    <t>MENSI Thermocoupler for Robertshaw Thermostat Control Pilot Burner Assembly Replacement 1980-024 &amp; 1980-036 Snap Fit Universal Thermocouple (24")</t>
  </si>
  <si>
    <t>B0832L7ZG4</t>
  </si>
  <si>
    <t>7.09</t>
  </si>
  <si>
    <t>6096240115885</t>
  </si>
  <si>
    <t>Midwest MWT-6716RLS Left, Right &amp; Straight Aviation 3-Piece Set</t>
  </si>
  <si>
    <t>MIDWEST Aviation Snip Set - Left, Right and Straight Cut Regular Tin Cutting Shears with Forged Blade &amp; KUSH'N-POWER Comfort Grips - MW-P6716RLS</t>
  </si>
  <si>
    <t>B003IWDQR6</t>
  </si>
  <si>
    <t>63.99</t>
  </si>
  <si>
    <t>87.87</t>
  </si>
  <si>
    <t>4508640870500</t>
  </si>
  <si>
    <t>Nu-Calgon 4155-01 Connect Injector Tool</t>
  </si>
  <si>
    <t>Nu-Calgon 4155-01 A/C Re-New Connect Injector Tool</t>
  </si>
  <si>
    <t>B07QD2PRH2</t>
  </si>
  <si>
    <t>30.89</t>
  </si>
  <si>
    <t>41.18</t>
  </si>
  <si>
    <t>7783178076376</t>
  </si>
  <si>
    <t>Klein Tools 602-6 5/16-Inch Keystone Tip Screwdriver, 6-Inch Heavy Duty Round Shank with Cushion Grip Handle</t>
  </si>
  <si>
    <t>B0000302WW</t>
  </si>
  <si>
    <t>400-480 uf/MFD Motor Start Capacitor 125 VAC Volts 50/60 Hz for Well Pump and Others</t>
  </si>
  <si>
    <t>B0B871GQ3B</t>
  </si>
  <si>
    <t>Klein Tools 6866INS Insulated Screwdriver, 1000V 5/16-Inch Cabinet Tip, Screwdriver with 6-Inch Shank, Tip-Ident, Cushion-Grip Handle</t>
  </si>
  <si>
    <t>B0BF73PSWC</t>
  </si>
  <si>
    <t>Fieldpiece SPK2 Folding Pocket In-Duct Thermometer</t>
  </si>
  <si>
    <t>SPK2, Folding Pocket In-Duct Thermometer</t>
  </si>
  <si>
    <t>B079L845BY</t>
  </si>
  <si>
    <t>34.85</t>
  </si>
  <si>
    <t>41.0</t>
  </si>
  <si>
    <t>4421438177380</t>
  </si>
  <si>
    <t>CPS BFS300QC Blackmax® Flaring &amp; Swaging Tool</t>
  </si>
  <si>
    <t>CPS BFS300QC 45˚ Flaring and Swaging Tool w/Quick Change Feature; 1/4", 5/16, 3/8, 1/2, 5/8, 3/4" O.D. Tube</t>
  </si>
  <si>
    <t>B08K3Q8K6K</t>
  </si>
  <si>
    <t>142.55</t>
  </si>
  <si>
    <t>164.48</t>
  </si>
  <si>
    <t>6844101591213</t>
  </si>
  <si>
    <t>Malco Tools M2004 Max2000® Double-Cut Aviation Snip</t>
  </si>
  <si>
    <t>Malco M2004 10 in. Double Cut Aviation Snips</t>
  </si>
  <si>
    <t>B006ZOMTYU</t>
  </si>
  <si>
    <t>63.49</t>
  </si>
  <si>
    <t>71.38</t>
  </si>
  <si>
    <t>4531101991012</t>
  </si>
  <si>
    <t>AccuTools S10735 Core Removal Tool, 1/4"</t>
  </si>
  <si>
    <t>hilmor Valve Core Removal Tool, 1/4", 1947967</t>
  </si>
  <si>
    <t>B06WVH3KHL</t>
  </si>
  <si>
    <t>6120779972781</t>
  </si>
  <si>
    <t>Robertshaw 41-409 120V Silicon Carbide Hot Surface Gas Furnace Ignitor</t>
  </si>
  <si>
    <t>B000VYOWVI</t>
  </si>
  <si>
    <t>Replacement for Robertshaw Gas Furnace Hot Surface Ignitor Igniter 41-409</t>
  </si>
  <si>
    <t>B00E3CDU6M</t>
  </si>
  <si>
    <t>ICM Controls ICM493 Single Phase Line Voltage Monitor with Surge Protection</t>
  </si>
  <si>
    <t>241.89</t>
  </si>
  <si>
    <t>272.02</t>
  </si>
  <si>
    <t>7990403268824</t>
  </si>
  <si>
    <t>Hilmor 1839054 3" Quick-Change Magnetic Nut Driver, 1/4" &amp; 5/16"</t>
  </si>
  <si>
    <t>Hilmor 1891260 Quick Change Magnetic Nut Driver, 6" 1/4" + 5/16" - HVAC Tool</t>
  </si>
  <si>
    <t>B00ITFZ1S4</t>
  </si>
  <si>
    <t>3544914231396</t>
  </si>
  <si>
    <t>Klein Tools D504-10 Classic Klaw™ Pump Pliers, 10-Inch</t>
  </si>
  <si>
    <t>Klein Tools D504-10B Pump Pliers, Quick-Adjust Tongue and Groove Klaw Water Pump Pliers, 10-Inch</t>
  </si>
  <si>
    <t>B00BJ4ORDM</t>
  </si>
  <si>
    <t>33.97</t>
  </si>
  <si>
    <t>47.1</t>
  </si>
  <si>
    <t>3694795522148</t>
  </si>
  <si>
    <t>ICM Controls ICM493 Single Phase Monitor with Surge Supression,Multicolor</t>
  </si>
  <si>
    <t>B01M16A7P3</t>
  </si>
  <si>
    <t>MILWAUKEE 48-22-1906J FASTBACK &amp; DRYWALL PLASTER RASPING JAB HAND SAW</t>
  </si>
  <si>
    <t>B07STGMWT6</t>
  </si>
  <si>
    <t>Klein Tools JTH4E17 1/2-Inch Hex Key with Journeyman T-Handle, 4-Inch</t>
  </si>
  <si>
    <t>B004LRBOA8</t>
  </si>
  <si>
    <t>Klein Tools 85076INS Screwdriver Set, 1000V Insulated, 6-Piece</t>
  </si>
  <si>
    <t>7839263916248</t>
  </si>
  <si>
    <t>Klein Tools 65129 2-in-1 Nut Driver, Hex Head Slide Drive, 6-Inch</t>
  </si>
  <si>
    <t>B0716VDFTD</t>
  </si>
  <si>
    <t>Channellock 10WCB 10-inch CODE BLUE WideAzz Adjustable Wrench | 2-inch Wide Mouth Jaw Capacity | Precise Jaw Design Grips in Tight Spaces | Measurement Scales for Easy Sizing Diameters</t>
  </si>
  <si>
    <t>B0BDHWW8K8</t>
  </si>
  <si>
    <t>Klein Tools 602-4DD 1/4-Inch Keystone Demolition Driver, 4-Inch Shank</t>
  </si>
  <si>
    <t>Klein Tools 602-7DD 5/16-Inch Keystone Demolition Driver, 7-Inch Shank</t>
  </si>
  <si>
    <t>B00B9HIBYA</t>
  </si>
  <si>
    <t>22.4</t>
  </si>
  <si>
    <t>1989595988068</t>
  </si>
  <si>
    <t>Hilmor 1839110 4-Valve Aluminum Manifold Set - R410A</t>
  </si>
  <si>
    <t>Hilmor 1839110 R410A 4-Valve Aluminum Manifold HVAC Gauge Set with Hose and Dual Readout Thermometer, Multi-Color</t>
  </si>
  <si>
    <t>B00FPP2SQO</t>
  </si>
  <si>
    <t>510.99</t>
  </si>
  <si>
    <t>1748.57</t>
  </si>
  <si>
    <t>3657657843812</t>
  </si>
  <si>
    <t>Klein Tools 630-5/16M 5/16-Inch Magnetic Tip Nut Driver with 3-Inch Hollow Shaft</t>
  </si>
  <si>
    <t>B000LEX58E</t>
  </si>
  <si>
    <t>Nu-Calgon 4050-05 EasySeal Ultimate-SS AC Leak Sealant</t>
  </si>
  <si>
    <t>52.99</t>
  </si>
  <si>
    <t>76.78</t>
  </si>
  <si>
    <t>7763518062808</t>
  </si>
  <si>
    <t>APCO Carbon Cell Matrix HVAC UV Air Purifier with Power Cord, Includes 1-Year UVC Lamp (18-32 VAC Series) # TUV-APCO-ER</t>
  </si>
  <si>
    <t>B09P9VLYMJ</t>
  </si>
  <si>
    <t>Supco SFPC Freeze Protection Control</t>
  </si>
  <si>
    <t>Sealed Unit Parts Company, Inc. (SUPCO) SFPC Freeze Protection Control Opens 35F/Close 50F Supco</t>
  </si>
  <si>
    <t>B00QW2H53A</t>
  </si>
  <si>
    <t>19.23</t>
  </si>
  <si>
    <t>8032400605400</t>
  </si>
  <si>
    <t>Rectorseal 97632 Safe-T-Switch Ss1,Black/ White</t>
  </si>
  <si>
    <t>B007CZCRXY</t>
  </si>
  <si>
    <t>Klein Tools MM400 Multimeter, Digital Auto Ranging, Orange &amp; RT250 GFCI Receptacle Tester with LCD Display, for Standard 3-Wire 120V Electrical Outlets</t>
  </si>
  <si>
    <t>B09Y7XWBDN</t>
  </si>
  <si>
    <t>Kroil Original Penetrating Oil (Aerosol Spray-10oz Can-Single) | Penetrant for Rusted Bolts, Metal, Hinges, Chains, Moving Parts | Rust, Corrosion Inhibitor (KS102)</t>
  </si>
  <si>
    <t>B00GM6NQLG</t>
  </si>
  <si>
    <t>Fluke 376 FC Wireless True-RMS AC/DC Clamp Meter with iFlex</t>
  </si>
  <si>
    <t>Fluke 376-FC True RMS AC/DC Clamp Meter with iFlex with a NIST-Traceable Calibration Certificate with Data</t>
  </si>
  <si>
    <t>B01CFXIMOU</t>
  </si>
  <si>
    <t>533.69</t>
  </si>
  <si>
    <t>592.99</t>
  </si>
  <si>
    <t>5238364668072</t>
  </si>
  <si>
    <t>Kroil Original Penetrating Oil (Drip-8oz Can-Single) | Penetrant for Rusted Bolts, Metal, Hinges, Chains, Moving Parts | Rust, Corrosion Inhibitor (KL081)</t>
  </si>
  <si>
    <t>B000F09CF4</t>
  </si>
  <si>
    <t>Midwest MWT-X1 12-Inch Duct Slitter</t>
  </si>
  <si>
    <t>MIDWEST Duct Slitter - 12" Punch For Sheet Metal Starter Hole Tool With Steel Forged Blade &amp; Grooved Acrylic Handle - MWT-X1</t>
  </si>
  <si>
    <t>B01CI0BOXG</t>
  </si>
  <si>
    <t>24.37</t>
  </si>
  <si>
    <t>4592464461924</t>
  </si>
  <si>
    <t>Robertshaw 1820-019 PG9 Pilot Generator Replacement Kit</t>
  </si>
  <si>
    <t>ROBERTSHAW 1820-019 PG9 Pilot Generator Replacement UNIKIT, 32 INCH Leads, Replaces PG9A41</t>
  </si>
  <si>
    <t>B007IB0NZG</t>
  </si>
  <si>
    <t>37.29</t>
  </si>
  <si>
    <t>78.48</t>
  </si>
  <si>
    <t>5941052440744</t>
  </si>
  <si>
    <t>YELLOW JACKET 60652 Eight Head Torque Wrench Kit</t>
  </si>
  <si>
    <t>B00IA2J4E8</t>
  </si>
  <si>
    <t>Reed Mfg DEB3 Deburring Tool</t>
  </si>
  <si>
    <t>Reed Tool DEB3B Deburring Tool Replacement Blades (Pack of 10)</t>
  </si>
  <si>
    <t>B005CCLEEM</t>
  </si>
  <si>
    <t>14.65</t>
  </si>
  <si>
    <t>15.39</t>
  </si>
  <si>
    <t>6245641683117</t>
  </si>
  <si>
    <t>ESP EL10 Easy Leveler Adjustable Furnace Legs</t>
  </si>
  <si>
    <t>ESP Easy Leveler EL10 Adjustable Furnace Legs</t>
  </si>
  <si>
    <t>B00FJCS2DG</t>
  </si>
  <si>
    <t>4334171357284</t>
  </si>
  <si>
    <t>Diablo 1-1/4 in. x 7-1/2 in. Auger Bit</t>
  </si>
  <si>
    <t>B089LGR2GW</t>
  </si>
  <si>
    <t>DiversiTech DP-1 Nitrogen Purge Tool</t>
  </si>
  <si>
    <t>Diversitech DP-1 Nitrogen Purge Tool , Red</t>
  </si>
  <si>
    <t>B01H3DRH7A</t>
  </si>
  <si>
    <t>60.91</t>
  </si>
  <si>
    <t>5958953795752</t>
  </si>
  <si>
    <t>CPS Products Pro-Set® TLVCS 1/4" SAE Valve Core Remover / Installer Tool w/ Side Port</t>
  </si>
  <si>
    <t>Unknown CPS TLVCS410-5/16' Valve Core Remover/Installer Tool w/Side Port</t>
  </si>
  <si>
    <t>B009M9V3ME</t>
  </si>
  <si>
    <t>36.93</t>
  </si>
  <si>
    <t>2008011767908</t>
  </si>
  <si>
    <t>Klein Tools S8M 1/4-Inch Magnetic Nut Driver 3-Inch Shank</t>
  </si>
  <si>
    <t>Klein Tools 630-3/8M 3/8-Inch Magnetic Tip Nut Driver with 3-Inch Hollow Shank</t>
  </si>
  <si>
    <t>B000MKH4OS</t>
  </si>
  <si>
    <t>13.62</t>
  </si>
  <si>
    <t>6072223957165</t>
  </si>
  <si>
    <t>Klein Tools JTH6E17 1/2-Inch Hex Key, Journeyman T-Handle, 6-Inch</t>
  </si>
  <si>
    <t>B004N604GC</t>
  </si>
  <si>
    <t>Testo 0590 7551 755-1 - Current / Voltage Meter with 200 A AC, 600 V AC/DC, and Continuity</t>
  </si>
  <si>
    <t>Testo 755-2 (0590 7552) Current/Voltage Meter w/ Continuity, Phase Rotation, 200 A AC, 1000 V AC/DC</t>
  </si>
  <si>
    <t>B01F3MPHQG</t>
  </si>
  <si>
    <t>8011673043160</t>
  </si>
  <si>
    <t>Klein Tools 55600 Work Cooler, 17-Quart Lunch Box Holds 18 Cans &amp; Klein Tools 55470 Utility Bag, Stand-Up Zipper Tool Bags, Tough 1680d Ballistic Weave, Orange/Black, Gray/Black, 2-Pack</t>
  </si>
  <si>
    <t>B09Y843VXJ</t>
  </si>
  <si>
    <t>UEi PDT655 Differential Folding Pocket Thermometer w/ Large Easy-to-Read Display</t>
  </si>
  <si>
    <t>26.31</t>
  </si>
  <si>
    <t>30.95</t>
  </si>
  <si>
    <t>6851646521517</t>
  </si>
  <si>
    <t>Tajima LC-500 Heavy Duty Ergonomic Utility Knife, Auto Blade Lock, 3 x Endura-Blade</t>
  </si>
  <si>
    <t>TAJIMA Utility Knives &amp; Blades - 7/8" Heavy Duty Snap Blade Box Cutter with Auto Lock &amp; 3 Endura-Blades - LC-620</t>
  </si>
  <si>
    <t>B003O684GO</t>
  </si>
  <si>
    <t>6897266000045</t>
  </si>
  <si>
    <t>ICM Controls ICM271 Fan Blower Control Board, Replacement for Carrier</t>
  </si>
  <si>
    <t>ICM Controls ICM271 Fan Blower Control OEM Replacement Carrier HH84AA020, Multicolor</t>
  </si>
  <si>
    <t>B000TMK310</t>
  </si>
  <si>
    <t>67.99</t>
  </si>
  <si>
    <t>97.17</t>
  </si>
  <si>
    <t>6991454306477</t>
  </si>
  <si>
    <t>PRO1 IAQ T721 Digital Non-Programmable Thermostat, 2 Heat - 1 Cool, Heat Pump/Conventional</t>
  </si>
  <si>
    <t>PRO1 T721 T700 Platform: Non-programmable, 2H/1C Heat Pump or 1H/1C Conventional with 4 sq. in. Display, White</t>
  </si>
  <si>
    <t>B006103HDU</t>
  </si>
  <si>
    <t>49.47</t>
  </si>
  <si>
    <t>115.43</t>
  </si>
  <si>
    <t>8017422549208</t>
  </si>
  <si>
    <t>Robertshaw 90° left hand flame PG9 Furnace Replacement Pilot 1820-019</t>
  </si>
  <si>
    <t>B00EZHK9LE</t>
  </si>
  <si>
    <t>ANTOBLE PC140A C140A Contactor Single One 1 Pole 40 Amps 24 Volts A/C Air Conditioner</t>
  </si>
  <si>
    <t>B07H2SVVH3</t>
  </si>
  <si>
    <t>Klein Tools 80130 Multimeter Tester Kit, Digital Multimeter Auto-Range 600V and Non-Contact Voltage Detector Pen, 50V to 1000V AC, 2-Piece</t>
  </si>
  <si>
    <t>B0BVSK581C</t>
  </si>
  <si>
    <t>Milwaukee 2912-22 M18 FUEL™ 1" SDS Plus Rotary Hammer Kit</t>
  </si>
  <si>
    <t>Milwaukee 2715-22 M18 Fuel 1-1/8" SDS Plus Rotary Hammer Kit</t>
  </si>
  <si>
    <t>B00OTXQUL2</t>
  </si>
  <si>
    <t>599.0</t>
  </si>
  <si>
    <t>1054.0</t>
  </si>
  <si>
    <t>8006184960216</t>
  </si>
  <si>
    <t>Klein Tools 80077 Voltage Tester Kit with Electronic AC/DC GFCI Outlet Tester and Non-Contact Voltage Tester Pen, 3-Piece , Green</t>
  </si>
  <si>
    <t>B0B11F7Q69</t>
  </si>
  <si>
    <t>Hilmor 1963826 Digital Adjustable Torque Wrench</t>
  </si>
  <si>
    <t>B01N5XLDMS</t>
  </si>
  <si>
    <t>201.02</t>
  </si>
  <si>
    <t>626.2</t>
  </si>
  <si>
    <t>3547077640292</t>
  </si>
  <si>
    <t>Klein Tools MM720 Digital Multimeter, TRMS Auto-Ranging, 1000V, Temp, Low Impedance</t>
  </si>
  <si>
    <t>145.98</t>
  </si>
  <si>
    <t>7822904754392</t>
  </si>
  <si>
    <t>Klein Tools 85153K Slotted Screw Holding Driver Kit, 3/16-Inch and 1/4-Inch</t>
  </si>
  <si>
    <t>Klein Tools 85153K Slotted Screw-Holding Screwdriver Set, 3/16-Inch, 1/4-Inch Split-Blade Flat Head Driver, Positive Gripping Action, 2-Piece</t>
  </si>
  <si>
    <t>B0CFRP1K3L</t>
  </si>
  <si>
    <t>19.98</t>
  </si>
  <si>
    <t>8034276344024</t>
  </si>
  <si>
    <t>Klein Tools IR07 Dual Infrared (IR) and Probe Pocket Size LCD Digital Thermometer &amp; 32308 Multi-bit Stubby Screwdriver, Impact Rated 8-in-1 Adjustable Magnetic Tool</t>
  </si>
  <si>
    <t>B0BNL7N5NM</t>
  </si>
  <si>
    <t>B01KU9583E</t>
  </si>
  <si>
    <t>Klein Tools NCVT3P Dual Range Non Contact Voltage Tester &amp; RT250 GFCI Receptacle Tester with LCD Display, for Standard 3-Wire 120V Electrical Outlets</t>
  </si>
  <si>
    <t>B0BC861K3W</t>
  </si>
  <si>
    <t>Appion MH380006AAY MegaFlow 3/8in Recovery Hose - 6 ft (1/4FL to 1/4FL) Yellow</t>
  </si>
  <si>
    <t>7962987004120</t>
  </si>
  <si>
    <t>Refrigeration Technologies RT175B Big Blu Brush On MicroLeak Detector Blue</t>
  </si>
  <si>
    <t>B082MQZBV5</t>
  </si>
  <si>
    <t>Diablo DMAMX1110 5/8 in. x 24 in. x 29 in. Rebar Demon™ SDS-Max 4-Cutter Full Carbide Head Hammer Bit</t>
  </si>
  <si>
    <t>B089LJ9GHW</t>
  </si>
  <si>
    <t>Packard Titan PRO TRCF60 Run Capacitor 60 MFD 440/370 Volt Round</t>
  </si>
  <si>
    <t>B08P3R452R</t>
  </si>
  <si>
    <t>PCBBF140 - OEM Upgraded Replacement for Goodman Furnace Control Circuit Board</t>
  </si>
  <si>
    <t>B079YXPQSC</t>
  </si>
  <si>
    <t>Klein Tools 610-1/4M 1/4-Inch Magnetic Nut Driver with 1-1/2-Inch Hollow Shaft and Cushion Grip Handle</t>
  </si>
  <si>
    <t>B00093GE3A</t>
  </si>
  <si>
    <t>Uniweld Type17-15 Oxyacetylene Rosebud Heating Welding &amp; Brazing Tip</t>
  </si>
  <si>
    <t>63.15</t>
  </si>
  <si>
    <t>82.02</t>
  </si>
  <si>
    <t>5597938286760</t>
  </si>
  <si>
    <t>Klein Tools 86939 Hex Key Adapter for Refrigeration Wrench</t>
  </si>
  <si>
    <t>Klein Tools 86939 Hex Adapter for 1/4-Inch Square to 3/16 and 5/16-Inch Hex for Refrigeration Wrench, HVAC&amp;R</t>
  </si>
  <si>
    <t>B07HFDT6SX</t>
  </si>
  <si>
    <t>16.94</t>
  </si>
  <si>
    <t>3692924338276</t>
  </si>
  <si>
    <t>Klein Tools 630-1/4M Nut Driver, 1/4-Inch Magnetic Tip Nut Driver with 3-Inch Hollow Shaft, Cushion Grip Handle</t>
  </si>
  <si>
    <t>B00093GE6M</t>
  </si>
  <si>
    <t>Klein Tools 32594 Multi-Bit Screwdriver / Nut Driver, 6-in-1 Stubby Tool with Phillips, Slotted and Square Bits and 2 Nut Driver Sizes</t>
  </si>
  <si>
    <t>B01I2KTKR8</t>
  </si>
  <si>
    <t>Malco Tools M2001 Max2000® Standard Aviation Snip - Left Cutting</t>
  </si>
  <si>
    <t>Malco M2001 Standard Aviation Snip, Left</t>
  </si>
  <si>
    <t>B00004SUQJ</t>
  </si>
  <si>
    <t>4406978609252</t>
  </si>
  <si>
    <t>Diablo by Freud DAG1110 7/8 in. x 7-1/2 in. Auger Bit</t>
  </si>
  <si>
    <t>B089KWR9F4</t>
  </si>
  <si>
    <t>Klein Tools JTH9M3 3 mm Hex Key, Journeyman T-Handle, 9-Inch</t>
  </si>
  <si>
    <t>B005G3HJ28</t>
  </si>
  <si>
    <t>Fluke T5-600 USACAL 600V Voltage Continuity and Current Tester with a NIST-Traceable Calibration Certificate with Data</t>
  </si>
  <si>
    <t>B00DK89Y7O</t>
  </si>
  <si>
    <t>Channellock 430 Tongue &amp; Groove Pliers | 10" Straight Jaw Groove Joint Plier with Comfort Grips | 2" Jaw Capacity | Laser Heat-Treated 90° Teeth| Forged From High Carbon Steel | Made In USA,Black, Blue, Silver,10-Inch</t>
  </si>
  <si>
    <t>B00002N5JF</t>
  </si>
  <si>
    <t>Channellock 808W 8-Inch Adjustable Wide Wrench, Chrome</t>
  </si>
  <si>
    <t>B000UJQ6EA</t>
  </si>
  <si>
    <t>SolderWeld SW-HB1 Hot Block - Reusable Heat Absorption Putty, 1 lb Tub</t>
  </si>
  <si>
    <t>Solderweld SW-HB1 Hot Block Heat Stop Putty 1 Lb. Tub</t>
  </si>
  <si>
    <t>B07QF6T8BH</t>
  </si>
  <si>
    <t>50.99</t>
  </si>
  <si>
    <t>6632639037613</t>
  </si>
  <si>
    <t>Supco MAG1BL 30 VAC Magnetic Test Leads | Low Voltage Magnetic Jumper, Blue</t>
  </si>
  <si>
    <t>B01KU9564K</t>
  </si>
  <si>
    <t>Klein Tools PND91610 9/16-Inch Power Nut Driver, 10-Inch Length</t>
  </si>
  <si>
    <t>B00ELGQ9WC</t>
  </si>
  <si>
    <t>3698739347556</t>
  </si>
  <si>
    <t>JB Industries A32008 1/4" Valve Core Torque Tool</t>
  </si>
  <si>
    <t>JB Industries A32008 Valve Core Torque Tool</t>
  </si>
  <si>
    <t>B00LO2JJ78</t>
  </si>
  <si>
    <t>23.03</t>
  </si>
  <si>
    <t>42.82</t>
  </si>
  <si>
    <t>3539324928100</t>
  </si>
  <si>
    <t>Robertshaw RS8210 Digital Non-Programmable Thermostat, Multi-Stage - 2 Heat/1 Cool</t>
  </si>
  <si>
    <t>38.99</t>
  </si>
  <si>
    <t>72.04</t>
  </si>
  <si>
    <t>6728872493229</t>
  </si>
  <si>
    <t>Milwaukee 2715-22DE M18 Fuel 1-1/8" SDS Plus Rotary Hammer with De Kit</t>
  </si>
  <si>
    <t>B00PP58QAQ</t>
  </si>
  <si>
    <t>Sold Each Blue Dual Work Light # DWL-1 with Holster by Sensible Products</t>
  </si>
  <si>
    <t>B079MDF76G</t>
  </si>
  <si>
    <t>Midwest MWT-C5 5-Blade Sheet Metal Crimper</t>
  </si>
  <si>
    <t>MIDWEST Blade Crimper - Sheet Metal Duct End Crimps Up to 1-5/8" with Compound Leverage &amp; KUSH'N-POWER Comfort Grips - MWT-C5</t>
  </si>
  <si>
    <t>B00OJ0KPBG</t>
  </si>
  <si>
    <t>25.69</t>
  </si>
  <si>
    <t>35.04</t>
  </si>
  <si>
    <t>4409568428132</t>
  </si>
  <si>
    <t>Klein Tools 646-1/4M Nut Driver, 1/4-Inch Magnetic Tip Nut Driver with 6-Inch Hollow Shaft, Cushion Grip Handle</t>
  </si>
  <si>
    <t>B00093GEC6</t>
  </si>
  <si>
    <t>CPS Products AD64 - 3/8" SAE M x 1/4"SAE F Adapter</t>
  </si>
  <si>
    <t>CPS AD64 3/8' SAE M x 1/4'SAE F Adapter Black Cable Adapter</t>
  </si>
  <si>
    <t>B07N93GJGZ</t>
  </si>
  <si>
    <t>8007781679320</t>
  </si>
  <si>
    <t>Motor Start Capacitor 189-227 MFD uF 125VAC US Style Round for Single Phase Motor</t>
  </si>
  <si>
    <t>B07H28CRSJ</t>
  </si>
  <si>
    <t>White-Rodgers 50A65-5165 Integrated Furnace Control Board, Replacement for Trane</t>
  </si>
  <si>
    <t>White-rodgers Trane Single Stage 80v Ignitor Hsi Integrated Furnace Control Kit 50a65-5165</t>
  </si>
  <si>
    <t>B082J6QBJH</t>
  </si>
  <si>
    <t>112.58</t>
  </si>
  <si>
    <t>257.31</t>
  </si>
  <si>
    <t>5757333209256</t>
  </si>
  <si>
    <t>Robertshaw RS9220 Pro Series 7-Day Programmable Thermostat, Multi-Stage, 2 Heat / 2 Cool</t>
  </si>
  <si>
    <t>B00U5CAZAS</t>
  </si>
  <si>
    <t>5-2-1 CSRU2 Compressor Saver, 3-1/2 to 5 Tons</t>
  </si>
  <si>
    <t>42.24</t>
  </si>
  <si>
    <t>48.74</t>
  </si>
  <si>
    <t>3561347317860</t>
  </si>
  <si>
    <t>UEi DL389B Digital True RMS Clamp Meter, HVAC 4000 Counts Auto Ranging Voltmeter, Measures AC &amp; DC Volts AC Amps AC/DC Microamps Temperature Frequency Resistance Capacitance Duty Cycle NCV Diode Test</t>
  </si>
  <si>
    <t>B07T9GD6DB</t>
  </si>
  <si>
    <t>Nu-Calgon 4774-0 Coil Gun</t>
  </si>
  <si>
    <t>Nu-Calgon Coil Gun Sprayer - 1/2 gallon #4774-0</t>
  </si>
  <si>
    <t>B0794HTC8H</t>
  </si>
  <si>
    <t>87.99</t>
  </si>
  <si>
    <t>133.84</t>
  </si>
  <si>
    <t>7777952202968</t>
  </si>
  <si>
    <t>Supco SB100 Shaft Blaster - Motor Shaft Cutting Tool</t>
  </si>
  <si>
    <t>Supplying Demand SB100 Shaft Blaster HVAC/R Motor Shaft Cutting Wheel Tool</t>
  </si>
  <si>
    <t>B09W68Z7WB</t>
  </si>
  <si>
    <t>138.6</t>
  </si>
  <si>
    <t>5370497892520</t>
  </si>
  <si>
    <t>Klein Tools 32557 Multi-Bit Screwdriver / Nut Driver, Heavy Duty 10-in-1 with Interchangable Shafts and Ph, Sl, Sq, Hex Bits and Nut Drivers</t>
  </si>
  <si>
    <t>B005FQDH9A</t>
  </si>
  <si>
    <t>Diablo by Freud Diablo DMAPL4210 5/8 in. x 4 in. x 6 in. Rebar Demon SDS-Plus 4-Cutter Full Carbide Head Hammer Bit</t>
  </si>
  <si>
    <t>B089LGF2KS</t>
  </si>
  <si>
    <t>Ultra Durable 5-2-1 CSR-U2 Compressor Saver Hard Start Capacitor by Blue Stars - Compatible for 3 1/2 to 5 Ton Units</t>
  </si>
  <si>
    <t>B097947PG6</t>
  </si>
  <si>
    <t>Appion MGAVCT Mega Flow Vacuum-Rated Valve Core Removal Tool, 1/4" Connection, Black</t>
  </si>
  <si>
    <t>B008GVRI50</t>
  </si>
  <si>
    <t>Hilmor 1839027 Tri-Tube Bender - 1/4", 3/8", 1/2"</t>
  </si>
  <si>
    <t>Hilmor HVAC Tri-Tube Bender 1/4", 3/8", 1/2", Pipe, Tubing &amp; Copper Bender, TB1412 1839027</t>
  </si>
  <si>
    <t>B00IPEJVJE</t>
  </si>
  <si>
    <t>172.6</t>
  </si>
  <si>
    <t>2109289791588</t>
  </si>
  <si>
    <t>Lucas Milhaupt 95060 Sil-Fos 5 28 Rods, 5% Silver</t>
  </si>
  <si>
    <t>Lucas-Milhaupt 95060 Sil Fos 5 Brazing Alloy 28 Rod Tube</t>
  </si>
  <si>
    <t>B06Y1TMQ41</t>
  </si>
  <si>
    <t>47.89</t>
  </si>
  <si>
    <t>3566474657892</t>
  </si>
  <si>
    <t>Bacharach 3015-0486 Replacement Refrigerant Sensor for Models H-10PM All-in-One Refrigerant Leak Detector and H-10G Manual Balance Refrigerant Leak Detector</t>
  </si>
  <si>
    <t>B00DSVGIUE</t>
  </si>
  <si>
    <t>Nu-Calgon 4300-89 Rx11-Flush Injection Valve</t>
  </si>
  <si>
    <t>Nu-calgon Rx11 Flush Injection Tool 4300-89</t>
  </si>
  <si>
    <t>B082J5HCH4</t>
  </si>
  <si>
    <t>38.27</t>
  </si>
  <si>
    <t>51.02</t>
  </si>
  <si>
    <t>7761647108312</t>
  </si>
  <si>
    <t>Klein Tools 32792 Pro Impact Driver Bit, 1/4-Inch Hex 3 Pack</t>
  </si>
  <si>
    <t>B07RGVMK47</t>
  </si>
  <si>
    <t>Milwaukee 48-25-1372 1-3/8" Self Feed Wood Bit</t>
  </si>
  <si>
    <t>Milwaukee 48-25-1371 1-3/8-Inch Bit with 7/16-Inch Shank Selfeed Bit</t>
  </si>
  <si>
    <t>B00002249T</t>
  </si>
  <si>
    <t>43.2</t>
  </si>
  <si>
    <t>4364850102372</t>
  </si>
  <si>
    <t>Appion MGAVCR Mega Flow Vacuum Rated Valve Core Removal Tool – 5/16" System Connection</t>
  </si>
  <si>
    <t>B008HQ2EZ8</t>
  </si>
  <si>
    <t>Ritchie Yellow Jacket 19173 5/16'' Female Quick Couplersx1/4'' Male Flare, Pack of 3</t>
  </si>
  <si>
    <t>B0B1YN6DC7</t>
  </si>
  <si>
    <t>DiversiTech CP-M115 Mini-Split Condensate Pump, 115V</t>
  </si>
  <si>
    <t>Diversitech CP-M115 Cond. Pump,for Mini Split,115V</t>
  </si>
  <si>
    <t>B01LYB6WRD</t>
  </si>
  <si>
    <t>112.99</t>
  </si>
  <si>
    <t>231.4</t>
  </si>
  <si>
    <t>4337569726564</t>
  </si>
  <si>
    <t>WORKPRO 9-Piece Socket Adapter Extension Set, 1/4, 3/8, 1/2-Inch Drive, 1/4-Inch Hex Shank, Impact Grade Extension Bit with Holder for Power Drill &amp; Impact Driver</t>
  </si>
  <si>
    <t>B0B6YYSZ6N</t>
  </si>
  <si>
    <t>Fresh-Aire UV Genuine Replacement UV-C Lamp, 15", 2 Year Effective Life</t>
  </si>
  <si>
    <t>B072N1MGRC</t>
  </si>
  <si>
    <t>Testo 755-1 (0590 7551) Current/Voltage Meter, 200 A AC, 600 V AC/DC</t>
  </si>
  <si>
    <t>B01F3MPHMU</t>
  </si>
  <si>
    <t>ICM2813 Furnace Control Board Module for Lennox 23W5101 30W2501 69M0801 69M1501</t>
  </si>
  <si>
    <t>B08TPQ179V</t>
  </si>
  <si>
    <t>Midwest MWT-SO6 6-Inch Offset Hand Seamer</t>
  </si>
  <si>
    <t>MIDWEST Seamer - 6 Inch Offset Sheet Metal Bender with Forged Blades &amp; KUSH'N-POWER Comfort Grip Handle - MWT-SO6</t>
  </si>
  <si>
    <t>B00UM3YKXS</t>
  </si>
  <si>
    <t>51.99</t>
  </si>
  <si>
    <t>73.36</t>
  </si>
  <si>
    <t>4433840111716</t>
  </si>
  <si>
    <t>SPIN S1014 1/4" Drill Bit Swaging Tool</t>
  </si>
  <si>
    <t>B087WSN432</t>
  </si>
  <si>
    <t>JB Industries CM-VC010 CoreMax High-Flow Valve with Caps (10 pack)</t>
  </si>
  <si>
    <t>JB Industries CM-VC010 CoreMax High Flow Valve w/Caps</t>
  </si>
  <si>
    <t>B071SG7H2M</t>
  </si>
  <si>
    <t>56.34</t>
  </si>
  <si>
    <t>89.42</t>
  </si>
  <si>
    <t>8009333899480</t>
  </si>
  <si>
    <t>ICM - ICM2805A - Furnace Control Board, 120/240 Input Voltage, for Use with Commercial HVAC Equipment, Residential</t>
  </si>
  <si>
    <t>B0716MJL45</t>
  </si>
  <si>
    <t>Milwaukee 2712-22DE M18 Fuel 1" SDS Plus Rotary Hammer with De Kit</t>
  </si>
  <si>
    <t>B00PP3CX3O</t>
  </si>
  <si>
    <t>Sensible Products UP-1 Ultimate Puller - Fan Blade and Blower Wheel Puller</t>
  </si>
  <si>
    <t>Sensible Products UP-1 Ultimate Hub Fan Blade Blower Wheel Puller</t>
  </si>
  <si>
    <t>B001CGFQDW</t>
  </si>
  <si>
    <t>47.6</t>
  </si>
  <si>
    <t>4337179885668</t>
  </si>
  <si>
    <t>Sensible Products HRF-2 High-Beam Rechargeable Flashlight-2, Black</t>
  </si>
  <si>
    <t>8032026919128</t>
  </si>
  <si>
    <t>Fluke T5-600 Electrical Voltage, Continuity and Current Tester, Measures AC Current Up To 100 A Without Contact, Automatically Select AC/DC Voltage For Tests, Includes Detachable SlimReach Probe Tip</t>
  </si>
  <si>
    <t>B0006Z3GZU</t>
  </si>
  <si>
    <t>Klein Tools 65131 2-in-1 Nut Driver, Hex Head Slide Drive, 1-1/2-Inch</t>
  </si>
  <si>
    <t>B071LCCGT1</t>
  </si>
  <si>
    <t>Klein Tools 630-5/16 Nut Driver, 5/16-Inch Tip Nut Driver with 3-Inch Hollow Shaft, Cushion Grip Handle</t>
  </si>
  <si>
    <t>B001BY0ESW</t>
  </si>
  <si>
    <t>Klein Tools 610M Tool Set, Magnetic Nut Driver Set with Stubby Nut Driver Sizes 1/4 and 5/16-Inch, Full Hollow Shaft, 2-Piece</t>
  </si>
  <si>
    <t>B00093DZO6</t>
  </si>
  <si>
    <t>Supco Tradefox TB100 Tugboat HVAC Compressor Tote Caddy Carrier</t>
  </si>
  <si>
    <t>B09HYTH7HC</t>
  </si>
  <si>
    <t>Imperial 370-FH Triple Head 180° Tube Bender 3/16" - 1/2" O.D.</t>
  </si>
  <si>
    <t>Imperial Tool 370FH Triple Head 180 Degree Tube Bender, 3/16”, 1/4”, 3/8”, and 1/2”</t>
  </si>
  <si>
    <t>B002P8UUD2</t>
  </si>
  <si>
    <t>3679116525668</t>
  </si>
  <si>
    <t>Klein Tools 80028 Electrician's Tool Kit, 28-Piece</t>
  </si>
  <si>
    <t>Klein Tools 80028 Hand Tools Kit includes Pliers, Screwdrivers, Nut Drivers, Backpack, and More Jobsite Tools, 28-Piece &amp; 80019 Tool Set, Multi-Bit Screwdriver and Nut Driver Tool Kit, 4-Piece</t>
  </si>
  <si>
    <t>B0BC7Y96KZ</t>
  </si>
  <si>
    <t>414.99</t>
  </si>
  <si>
    <t>628.74</t>
  </si>
  <si>
    <t>5868172214440</t>
  </si>
  <si>
    <t>ICM Controls ICM492 Single Phase Monitor, 80-300 VAC, 5-Fault Memory, LCD Setup and Diagnostics.</t>
  </si>
  <si>
    <t>B003MX23SE</t>
  </si>
  <si>
    <t>Fluke 1587 FC Insulation Multimeter</t>
  </si>
  <si>
    <t>Fluke 1587/I400 FC 2-In-1 Insulation Multimeter With Clamp</t>
  </si>
  <si>
    <t>B017OVC2HG</t>
  </si>
  <si>
    <t>929.99</t>
  </si>
  <si>
    <t>1038.99</t>
  </si>
  <si>
    <t>6925453754541</t>
  </si>
  <si>
    <t>DiversiTech CC-1 Condensate Cop™ Clamp-On Condensate Float Switch</t>
  </si>
  <si>
    <t>Diversitech CC-1 Condensate Cop Drain Pain Switch</t>
  </si>
  <si>
    <t>B003QK4KUM</t>
  </si>
  <si>
    <t>11.73</t>
  </si>
  <si>
    <t>28.76</t>
  </si>
  <si>
    <t>4409581699172</t>
  </si>
  <si>
    <t>Uniweld 45503 Gas Pressure Test Kit</t>
  </si>
  <si>
    <t>Uniweld Products 45503 Uni-Weld Gas Pressure Test Kit</t>
  </si>
  <si>
    <t>B0023ROKS6</t>
  </si>
  <si>
    <t>69.35</t>
  </si>
  <si>
    <t>5323211899048</t>
  </si>
  <si>
    <t>Uniweld RHP800 Nitrogen Regulator, 0-800 Delivery PSIG</t>
  </si>
  <si>
    <t>Uniweld RHP800 Nitrogen Regulator with 0-800 psi Delivery Pressure, 2"</t>
  </si>
  <si>
    <t>B00GYGJUQ4</t>
  </si>
  <si>
    <t>89.39</t>
  </si>
  <si>
    <t>150.62</t>
  </si>
  <si>
    <t>5300292845736</t>
  </si>
  <si>
    <t>Uniweld RHP400 Nitrogen Regulator, 0-400 Delivery PSIG</t>
  </si>
  <si>
    <t>Uniweld RHP400 Nitrogen Regulator with 0-400 PSI Delivery Pressure, CGA580 Inlet Connection and 1/4-Inch Male Flare Outlet Connection</t>
  </si>
  <si>
    <t>B008HQ6GXO</t>
  </si>
  <si>
    <t>75.99</t>
  </si>
  <si>
    <t>126.13</t>
  </si>
  <si>
    <t>5300269908136</t>
  </si>
  <si>
    <t>DEWALT Drill Tap, UNC, 1/4-Inch (DWADT1420)</t>
  </si>
  <si>
    <t>B014R19O7C</t>
  </si>
  <si>
    <t>Klein Tools D20009NEGLW High-Visibility Side-Cutting Pliers High-Leverage</t>
  </si>
  <si>
    <t>Klein Tools J2159CRTP Side Cutting Pliers, 9-Inch Journeyman High Leverage Hybrid Pliers with Crimper, Fish Tape Puller and Wire Stripper</t>
  </si>
  <si>
    <t>B09YSR1M8G</t>
  </si>
  <si>
    <t>44.97</t>
  </si>
  <si>
    <t>68.16</t>
  </si>
  <si>
    <t>4396888490084</t>
  </si>
  <si>
    <t>Hilmor 1926598 CBKRB Compact Bender Kit with Reverse Bending Attachment</t>
  </si>
  <si>
    <t>Hilmor Compact Bender Kit with Reverse Bending Attachment for 1/4" - 7/8" Tube and Pipe Bending, Black, CBKRB 1926598</t>
  </si>
  <si>
    <t>B00X9BJ8IC</t>
  </si>
  <si>
    <t>264.02</t>
  </si>
  <si>
    <t>914.52</t>
  </si>
  <si>
    <t>2097313546340</t>
  </si>
  <si>
    <t>ICM Controls ICM401 Three-Phase Line Voltage Monitor Offering Protection Against Phase Loss/Reversal and Unbalance; 50/60 Hz, 190-600 VAC (18-30 Control VAC)</t>
  </si>
  <si>
    <t>B004I5817C</t>
  </si>
  <si>
    <t>Klein Tools MM400 Multimeter, Digital Auto Ranging, AC/DC Voltage, Current, Capacitance, Frequency, Duty-Cycle, Diode, Continuity, Temp 600V &amp; 69417 Rare-Earth Magnetic Hanger, with Strap</t>
  </si>
  <si>
    <t>B095RFF319</t>
  </si>
  <si>
    <t>Imperial Tool TC1050 IMP Mini Tube Cutter for 1/8” to 5/8” O.D. Tubing</t>
  </si>
  <si>
    <t>B002FCVPX2</t>
  </si>
  <si>
    <t>Klein Tools 670-6 Screwdriver, 3/16-Inch Cabinet Tip, Rapi-Driv with 6-Inch Shank</t>
  </si>
  <si>
    <t>B000BO9T3Y</t>
  </si>
  <si>
    <t>WORKPRO 2 Piece Groove Joint Pliers Set, 7 &amp; 9-1/2-Inch Fast Adjustable Water Pump Pliers, V-Jaw Tongue and Groove Pliers in CRV Steel</t>
  </si>
  <si>
    <t>B09NMBQNSP</t>
  </si>
  <si>
    <t>ICM Controls ICM866U Universal Hard Start Kit</t>
  </si>
  <si>
    <t>ICM Controls ICM866U Motor Hard Start,Voltage Sensing with high-Powered Relay Output, 1/12 hp to 5 hp, 145-175 ufd, UL Recognized</t>
  </si>
  <si>
    <t>B00QW2HRK6</t>
  </si>
  <si>
    <t>45.47</t>
  </si>
  <si>
    <t>8016240410840</t>
  </si>
  <si>
    <t>Malco Tools S3R RedLine 3-Inch Offset Hand Seamer</t>
  </si>
  <si>
    <t>Malco S3R 3.25in Offset REDLINE Hand Seamer</t>
  </si>
  <si>
    <t>B005ZDY5FS</t>
  </si>
  <si>
    <t>65.99</t>
  </si>
  <si>
    <t>68.74</t>
  </si>
  <si>
    <t>4504369528932</t>
  </si>
  <si>
    <t>Klein Tools 44131 Folding Utility Knife</t>
  </si>
  <si>
    <t>Klein Tools 44218 Utility Knife, Lockback Electricians Knife and Folding Knife with Hawkbill Blade for Cable Skinning, Replaceable Blade</t>
  </si>
  <si>
    <t>B071YR1Q2L</t>
  </si>
  <si>
    <t>28.62</t>
  </si>
  <si>
    <t>1778892898404</t>
  </si>
  <si>
    <t>Klein Tools 935R Aluminum Torpedo Level, Rare-Earth Magnet, 9-Inch, Hi-Viz, V-Groove, 3 Vials, Top-View Vial, One Size, Factory</t>
  </si>
  <si>
    <t>B01M7SWA5B</t>
  </si>
  <si>
    <t>Wiha Tools 76889 32 Piece GoBox TerminatorBlue Impact Bit Set with Mini Ratchet</t>
  </si>
  <si>
    <t>Wiha 76889 32 Piece GoBox TerminatorBlue Impact Bit Set with Mini Ratchet</t>
  </si>
  <si>
    <t>B07MVNQ2KZ</t>
  </si>
  <si>
    <t>41.72</t>
  </si>
  <si>
    <t>8023445668056</t>
  </si>
  <si>
    <t>Yellow Jacket 29465 Plus II 1/4" Hose with Ball Valve for R410A, 60", Red</t>
  </si>
  <si>
    <t>B009AXBTB2</t>
  </si>
  <si>
    <t>Sold Each - High-Beam Rechargeable Flashlight #HRF-1 by Sensible Products</t>
  </si>
  <si>
    <t>B07QV3HVKP</t>
  </si>
  <si>
    <t>ICM Controls ICM450A 3 Phase Line Voltage Monitor</t>
  </si>
  <si>
    <t>149.99</t>
  </si>
  <si>
    <t>202.72</t>
  </si>
  <si>
    <t>7861482062040</t>
  </si>
  <si>
    <t>Midwest Tool &amp; Cutlery Aviation Snip - Right Cut Regular Tin Cutting Shears with Forged Blade &amp; KUSH'N-POWER Comfort Grips - MWT-6716R</t>
  </si>
  <si>
    <t>B00OCGQJL2</t>
  </si>
  <si>
    <t>ICM Controls ICM2805A Furnace Control Replacement for Nor Dyne 624631 Control Boards, Used with G3, G4, G5, G6, M2 and M3 Furnace Modules</t>
  </si>
  <si>
    <t>B006M7E8QW</t>
  </si>
  <si>
    <t>Uniweld UTC702 Premium Tubing Cutter Cuts 1/8 Inch to 1-1/8 Inch O.D. Copper, Brass, and Aluminum Tubing</t>
  </si>
  <si>
    <t>B00HNQRKGG</t>
  </si>
  <si>
    <t>NU CALGON 4774-0 Coil Gun Sprayer With Quick Connect Hose Nozzle</t>
  </si>
  <si>
    <t>B000R81VMG</t>
  </si>
  <si>
    <t>Klein Tools 1010 Multi Tool Long Nose Wire Cutter, Wire Crimper, Stripper and Bolt Cutter Multi-Purpose Electrician Tool, 8-Inch Long</t>
  </si>
  <si>
    <t>B0000302WX</t>
  </si>
  <si>
    <t>DiversiTech SG-1 20G SWOOSH Drain Gun Big Shot</t>
  </si>
  <si>
    <t>Diversitech SG-1 20G Swoosh Big Shot Drain Gun, Red</t>
  </si>
  <si>
    <t>B08B1S9X59</t>
  </si>
  <si>
    <t>35.86</t>
  </si>
  <si>
    <t>124.44</t>
  </si>
  <si>
    <t>5274588938408</t>
  </si>
  <si>
    <t>Rack-A-Tiers Grande Butt Pouch, Tool Pouch for Back Pocket (43095) Black</t>
  </si>
  <si>
    <t>B079DWYQQF</t>
  </si>
  <si>
    <t>Imperial 644-C 600 Series 4-Valve Manifold w/4-60" Hoses R-410A, R-22, R-404A</t>
  </si>
  <si>
    <t>Imperial Tool 644C Manifold R22 4-Valve, Hoses, R404A, R410A, 4 psi - 60 psi, 3/8" VAC</t>
  </si>
  <si>
    <t>B01KWRZE9W</t>
  </si>
  <si>
    <t>194.74</t>
  </si>
  <si>
    <t>3676279472228</t>
  </si>
  <si>
    <t>Klein Tools ET450 Advanced Circuit Breaker Finder and Wire Tracer Kit &amp; VDV500-820 Cable Tracer with Probe Tone Pro Kit for Telephone, Internet, Video, Data and Communications Cables</t>
  </si>
  <si>
    <t>B0BS36CVBC</t>
  </si>
  <si>
    <t>JB Industries DV-41 Supernova® Digital Vacuum Gauge with Case</t>
  </si>
  <si>
    <t>JB Industries DV-41 Supernova Digital Micron Gauge with Case and AC Adapter</t>
  </si>
  <si>
    <t>B00E1N4OBS</t>
  </si>
  <si>
    <t>283.93</t>
  </si>
  <si>
    <t>368.03</t>
  </si>
  <si>
    <t>5451053826216</t>
  </si>
  <si>
    <t>Yellow Jacket 29985 PLUS II 60" Charging Hose (RYB) w/ Compact Ball Valve, 3-Pack</t>
  </si>
  <si>
    <t>Yellow Jacket 29986 Plus II 1/4" Hose with Compact Ball Valve, 72" (Pack of 3)</t>
  </si>
  <si>
    <t>B0036UK0UQ</t>
  </si>
  <si>
    <t>139.83</t>
  </si>
  <si>
    <t>2503608041572</t>
  </si>
  <si>
    <t>Jb 7 Cfm Platinum Series Vacuum Pump Dv-200n</t>
  </si>
  <si>
    <t>B082MQ7W29</t>
  </si>
  <si>
    <t>RectorSeal 66732 NoKink 3/4" x 3' Flexible Refrigerant Line Connector</t>
  </si>
  <si>
    <t>123.99</t>
  </si>
  <si>
    <t>8023863918808</t>
  </si>
  <si>
    <t>JB Industries LD-5000 Prowler Electrochemical Refrigerant Leak Detector</t>
  </si>
  <si>
    <t>JB Industries LD-5000 Prowler Refrigerant Leak Detector</t>
  </si>
  <si>
    <t>B007BR545G</t>
  </si>
  <si>
    <t>454.67</t>
  </si>
  <si>
    <t>615.75</t>
  </si>
  <si>
    <t>3645497376868</t>
  </si>
  <si>
    <t>Milwaukee 2997-22 M18 FUEL™ 2-Tool Combo Kit: Hammer Drill/Impact</t>
  </si>
  <si>
    <t>Milwaukee 2797-22 M18 Fuel Lithium 2-Tool Combo Kit includes Hammer Drill and Hex Impact Driver</t>
  </si>
  <si>
    <t>B009OO84RY</t>
  </si>
  <si>
    <t>399.0</t>
  </si>
  <si>
    <t>726.0</t>
  </si>
  <si>
    <t>7741327409368</t>
  </si>
  <si>
    <t>UEi Test Instruments PDT650 Folding Pocket Digital Thermometer,Yellow</t>
  </si>
  <si>
    <t>B004WE73N2</t>
  </si>
  <si>
    <t>Klein Tools 502-10-EINS Insulated Pump Pliers, Slim Handle, 10-Inch</t>
  </si>
  <si>
    <t>Klein Tools 50210EINS Electrician's Insulated Pump Pliers with Slim Handle, 10-Inch</t>
  </si>
  <si>
    <t>B00JGG5QE4</t>
  </si>
  <si>
    <t>87.86</t>
  </si>
  <si>
    <t>6080591528109</t>
  </si>
  <si>
    <t>Klein Tools 80028 Hand Tools Kit includes Pliers, 28-Piece &amp; 32807MAG 7-in-1 Nut Driver, Magnetic Driver has SAE Hex Nut Sizes 1/4 to 9/16-Inch, Cushion Grip Handle for Added Torque</t>
  </si>
  <si>
    <t>B09T6Z6BK9</t>
  </si>
  <si>
    <t>Ranco ETC-112000-000 Single Stage Electronic Temperature Control, 24V</t>
  </si>
  <si>
    <t>Ranco ETC-112000 Single Stage Temperature Control w/ Sensor (24V Input)</t>
  </si>
  <si>
    <t>B003V14XBM</t>
  </si>
  <si>
    <t>97.73</t>
  </si>
  <si>
    <t>142.5</t>
  </si>
  <si>
    <t>5626767769768</t>
  </si>
  <si>
    <t>Rack-A-Tiers BB1520 Bumper Balls Kit</t>
  </si>
  <si>
    <t>Rack-A-Tiers Bumper Balls - Drill Alignment Tool 1-1/2" and 2" Kit (BB1520)</t>
  </si>
  <si>
    <t>B09JTWFQHT</t>
  </si>
  <si>
    <t>15.49</t>
  </si>
  <si>
    <t>6895308013741</t>
  </si>
  <si>
    <t>Rack-A-Tiers Crocs Jr. - Croc's Junior Needle Nose Wire Strippers AWG #8 – #22 sizes, Heavy Duty, Ergonomic Handles, Bolt cutters, glow in the dark handles (47002)</t>
  </si>
  <si>
    <t>B00ZV4JXU8</t>
  </si>
  <si>
    <t>Klein Tools D200028GLW Diagonal Cutting Pliers, High-Visibility, 8-Inch</t>
  </si>
  <si>
    <t>Klein Tools J2000-48 Pliers, Diagonal Cutting Pliers with Angled Head, Heavy-Duty to Cut ACSR, Screws, Nails, and most Hardened Wire, 8-Inch</t>
  </si>
  <si>
    <t>B0006M6Y8O</t>
  </si>
  <si>
    <t>56.78</t>
  </si>
  <si>
    <t>5848287477928</t>
  </si>
  <si>
    <t>Robertshaw 720-400 24VAC, Fast Opening, Standing Pilot Gas Valve, 150,000 BTU</t>
  </si>
  <si>
    <t>Robertshaw Gas Valve, Fast Opening, 150,000 BtuH - 720-400</t>
  </si>
  <si>
    <t>B07L5DZXRW</t>
  </si>
  <si>
    <t>104.08</t>
  </si>
  <si>
    <t>183.04</t>
  </si>
  <si>
    <t>5925305319592</t>
  </si>
  <si>
    <t>Klein Tools J248-8 Pliers, Diagonal Cutting Pliers with Angeled Head, Short Jaws, High-Leverage Design, 8-Inch</t>
  </si>
  <si>
    <t>B000CRY52A</t>
  </si>
  <si>
    <t>Nu-Calgon 4179-01 Gallo Gun Condensate Drain Line Cleaner</t>
  </si>
  <si>
    <t>49.89</t>
  </si>
  <si>
    <t>67.02</t>
  </si>
  <si>
    <t>7769280708824</t>
  </si>
  <si>
    <t>Fluke 1587T Insulation Multimeter for Telecommunications Testing</t>
  </si>
  <si>
    <t>B0012WTHIQ</t>
  </si>
  <si>
    <t>Nu-Calgon 4050-05 (0.1 oz. Vessel) EasySeal Ultimate SS</t>
  </si>
  <si>
    <t>B014T2K8WO</t>
  </si>
  <si>
    <t>White-Rodgers 21D64-2 HotRod™ 120V Nitride Universal Hot Surface Ignitor</t>
  </si>
  <si>
    <t>White Rodgers 21D64-2 Universal Silicon Nitride Hot Surface Igniter</t>
  </si>
  <si>
    <t>B00BTLLJ40</t>
  </si>
  <si>
    <t>30.07</t>
  </si>
  <si>
    <t>5756900507816</t>
  </si>
  <si>
    <t>Testo 0560 1410 01 - 410i Vane Anemometer Wireless Smart Probe</t>
  </si>
  <si>
    <t>Testo 0560 1410 410I Vane Anemometer Smart and Wireless Probe, 1" Height, 2" Width, 6" Length</t>
  </si>
  <si>
    <t>B018VO5GIM</t>
  </si>
  <si>
    <t>131.75</t>
  </si>
  <si>
    <t>155.0</t>
  </si>
  <si>
    <t>4165072945252</t>
  </si>
  <si>
    <t>Freud 99-239: 1-1/4" (Dia.) Drawer Lock Bit with 1/2" Shank</t>
  </si>
  <si>
    <t>B0002TUDME</t>
  </si>
  <si>
    <t>CPS Products TLVCS Valve Core Remover/Installer Tool with Side Port, 1/4" SAE</t>
  </si>
  <si>
    <t>B009M9V392</t>
  </si>
  <si>
    <t>Diablo by Freud DMAMX1300 1-1/4 in. x 16 in. x 21 in. Rebar Demon SDS-Max 4-Cutter Carbide-Tipped Hammer Bit</t>
  </si>
  <si>
    <t>B089KX2QSQ</t>
  </si>
  <si>
    <t>SpeedClean CoilJet® CJ-125 HVAC Coil Cleaner System</t>
  </si>
  <si>
    <t>SpeedClean CJ-125 Portable CoilJet Condenser Evaporator Cleaner, Safely Cleans HVAC Coils</t>
  </si>
  <si>
    <t>B003ZZZ6EM</t>
  </si>
  <si>
    <t>721.88</t>
  </si>
  <si>
    <t>6656697106605</t>
  </si>
  <si>
    <t>Klein Tools 80028 Hand Tools Kit includes Pliers, Screwdrivers, 28-Piece &amp; 31737 Folding Jab Saw/Drywall Saw, Hand Saw with Lockback at 180 and 125 Degrees and Tether Hole</t>
  </si>
  <si>
    <t>B0BXK9YSJS</t>
  </si>
  <si>
    <t>Digital Multimeter Electrical Test Kit, Non-Contact Voltage Tester, Receptacle Tester, Carrying Case and Batteries Klein Tools MM320KIT</t>
  </si>
  <si>
    <t>B08W1THSM8</t>
  </si>
  <si>
    <t>RectorSeal 87011 PRO-Fit™ Precision Swaging Kit</t>
  </si>
  <si>
    <t>Rectorseal 87011 Pro-Fit Precision Swaging Kit</t>
  </si>
  <si>
    <t>B079SBRYZ5</t>
  </si>
  <si>
    <t>147.56</t>
  </si>
  <si>
    <t>193.05</t>
  </si>
  <si>
    <t>3207516979300</t>
  </si>
  <si>
    <t>SpeedClean MSB-KIT Mini-Split Bib® Kit</t>
  </si>
  <si>
    <t>SpeedClean MSB-KIT Mini Split Bib Kit</t>
  </si>
  <si>
    <t>B00TG7QCDC</t>
  </si>
  <si>
    <t>107.64</t>
  </si>
  <si>
    <t>8018789040344</t>
  </si>
  <si>
    <t>Fieldpiece SPK2 Folding Pocket in-Duct Thermometer with MAX/MIN Hold and Stainless Steel Probe</t>
  </si>
  <si>
    <t>B00KDQ2ED2</t>
  </si>
  <si>
    <t>Yellow Jacket 19306 Valve Core Tool with 6 Cores</t>
  </si>
  <si>
    <t>YELLOW JACKET 19306 Valve Core Tool</t>
  </si>
  <si>
    <t>B009AXKN6E</t>
  </si>
  <si>
    <t>14.33</t>
  </si>
  <si>
    <t>2443881250916</t>
  </si>
  <si>
    <t>Supco CPPRO COOLPRESSOR - High-Powered Magnetic Compressor Cooler</t>
  </si>
  <si>
    <t>CPPRO TradeFox Coolpressor High-Powered Magnetic Water Dispenser to Cool Down Compressors</t>
  </si>
  <si>
    <t>B0913P8G5T</t>
  </si>
  <si>
    <t>48.75</t>
  </si>
  <si>
    <t>4485088378980</t>
  </si>
  <si>
    <t>Milwaukee 48-22-1985 Fastback Hawk Bill Folding Knife w/Belt Clip and Lanyard Hole, Metal</t>
  </si>
  <si>
    <t>B00IQCDWIG</t>
  </si>
  <si>
    <t>Milwaukee 48-22-1990 FASTBACK Smooth Folding Knife Stainless Steel</t>
  </si>
  <si>
    <t>B00IKVFCUO</t>
  </si>
  <si>
    <t>Imperial 535-C Kwik Charge® Liquid Refrigerant Low Side Charger</t>
  </si>
  <si>
    <t>Imperial Tool 535C Kwik Charge Liquid Low Side Charger</t>
  </si>
  <si>
    <t>B004RIDG02</t>
  </si>
  <si>
    <t>33.99</t>
  </si>
  <si>
    <t>41.95</t>
  </si>
  <si>
    <t>4166513885284</t>
  </si>
  <si>
    <t>Klein Tools 80097 Beginner Tester Kit with GFCI Outlet and Receptacle Tester, Electronic Voltage Tester, Non-Contact Voltage Tester, 3-Piece Red</t>
  </si>
  <si>
    <t>B0B7Z178B1</t>
  </si>
  <si>
    <t>Supco SB100 Motor Shaft Blaster Cutting Tool HVAC Tool</t>
  </si>
  <si>
    <t>B08P3Z57MY</t>
  </si>
  <si>
    <t>Robertshaw 41-205 Hot Surface Gas Range Ignitor</t>
  </si>
  <si>
    <t>21.91</t>
  </si>
  <si>
    <t>8035172516056</t>
  </si>
  <si>
    <t>ICM Controls ICM280 Furnace Control Replacement for OEM Models Including Goodman B18099-xx Series Control Boards, Multicolor</t>
  </si>
  <si>
    <t>B000TVHUFI</t>
  </si>
  <si>
    <t>Diablo 1 in. x 7-1/2 in. Auger Bit</t>
  </si>
  <si>
    <t>B089LHLLW4</t>
  </si>
  <si>
    <t>Nucalgon 4774-1 Coil Gun Probe</t>
  </si>
  <si>
    <t>B01M0S74LG</t>
  </si>
  <si>
    <t>Testo 0638 1557 External Vacuum Probe for Testo 557</t>
  </si>
  <si>
    <t>Testo - 0638 1557 External Vacuum Probe for 557</t>
  </si>
  <si>
    <t>B074JHGHMN</t>
  </si>
  <si>
    <t>192.95</t>
  </si>
  <si>
    <t>227.0</t>
  </si>
  <si>
    <t>4328741404772</t>
  </si>
  <si>
    <t>hilmor 1839052 Deburrer, 1/4" to 1-5/8"</t>
  </si>
  <si>
    <t>B00F8QLBA4</t>
  </si>
  <si>
    <t>"Hilmor 1891260 Quick Change Magnetic Nut Driver, 3"" 1/4"" + 5/16"" - HVAC Tool" (1839054)</t>
  </si>
  <si>
    <t>B00FFMMV78</t>
  </si>
  <si>
    <t>Robertshaw 700-506 Millivolt Combination Gas Valve, 3/4" x 3/4", 300,000 BTU</t>
  </si>
  <si>
    <t>Supplying Demand 700-506 Millivolt Combination Gas Valve 300,000 Capacity BTU 3/4 Inch x 3/4 Inch</t>
  </si>
  <si>
    <t>B0BQ194KZS</t>
  </si>
  <si>
    <t>106.55</t>
  </si>
  <si>
    <t>254.85</t>
  </si>
  <si>
    <t>6152434614445</t>
  </si>
  <si>
    <t>Refrigeration Technologies RT300S Viper Foaming Sprayer Gun</t>
  </si>
  <si>
    <t>Refrigeration Technologies Viper Coil Cleaning Foam Spray Gun (Chemical Not Included) RT300S</t>
  </si>
  <si>
    <t>B0BLTDRF15</t>
  </si>
  <si>
    <t>87.34</t>
  </si>
  <si>
    <t>95.93</t>
  </si>
  <si>
    <t>6649129599149</t>
  </si>
  <si>
    <t>Robertshaw RS10420T WIFI Programmable Touchscreen Wall Thermostat, Multi-Stage - 4 Heat / 2 Cool</t>
  </si>
  <si>
    <t>72.8</t>
  </si>
  <si>
    <t>8028306079960</t>
  </si>
  <si>
    <t>UEi DTH35 Digital Pocket Psychrometer</t>
  </si>
  <si>
    <t>UEi DTH35 Digital HVAC Psychrometer Thermo-Hygrometer, Portable Relative Humidity Meter, Handheld Electronic in-Duct Thermometer, Measures Wet Bulb Dry Bulb Dew Point Temperature Humidity</t>
  </si>
  <si>
    <t>B00M0EU6H6</t>
  </si>
  <si>
    <t>90.06</t>
  </si>
  <si>
    <t>105.95</t>
  </si>
  <si>
    <t>4603602894948</t>
  </si>
  <si>
    <t>Malco Tools C5A2 TurboCrimper® IMPACT Power Crimper</t>
  </si>
  <si>
    <t>Malco C5A2 Impact Power Assisted Crimper</t>
  </si>
  <si>
    <t>B01H1N3AA0</t>
  </si>
  <si>
    <t>142.99</t>
  </si>
  <si>
    <t>166.86</t>
  </si>
  <si>
    <t>3550191517796</t>
  </si>
  <si>
    <t>Rectorseal 97795 Mighty Pump Manual A/C Condensate Pump</t>
  </si>
  <si>
    <t>Rectorseal 97795 Mighty A/C Condensate Drain Line Pump</t>
  </si>
  <si>
    <t>B003GC8NEE</t>
  </si>
  <si>
    <t>96.39</t>
  </si>
  <si>
    <t>7637540798680</t>
  </si>
  <si>
    <t>Klein Tools 32535 10-in-1 10 Fold Screwdriver / Nut Driver</t>
  </si>
  <si>
    <t>Klein Tools 32534 10 Fold Screwdriver with Schrader Valve Core</t>
  </si>
  <si>
    <t>B007OX62QM</t>
  </si>
  <si>
    <t>45.36</t>
  </si>
  <si>
    <t>6224651485357</t>
  </si>
  <si>
    <t>Appion MGABAS MegaFlow Basics 1/2in Hose Evacuation Kit with 1/4in Valve Core Tool</t>
  </si>
  <si>
    <t>Appion MGABRO - MegaFlow Basics 1/2in Hose Evacuation Kit with 5/16in Valve Core Tool</t>
  </si>
  <si>
    <t>B084CXC6Y3</t>
  </si>
  <si>
    <t>7956964704472</t>
  </si>
  <si>
    <t>B00HQO4KOU</t>
  </si>
  <si>
    <t>Greenlee GSB04 7/8" Step Bit (#4) Metal Cutter with Patented Split-Step Design, 7/8" Metal Cutting Tool for 1/2" Drill Chucks</t>
  </si>
  <si>
    <t>B08TVF22W4</t>
  </si>
  <si>
    <t>Malco M2007 MAX2000 Bulldog 1-1/4-inch Cut Capacity 10-3/4-inch Right Cut Offset Aviation Snip (1 per Pack)</t>
  </si>
  <si>
    <t>B00004SUQO</t>
  </si>
  <si>
    <t>Reed Tool DEB3 Deburring Tool</t>
  </si>
  <si>
    <t>B003NU3DSA</t>
  </si>
  <si>
    <t>Reed Mfg DHR12 1 1/4NPT R12+ Drophead, 1-1/4" NPT</t>
  </si>
  <si>
    <t>Reed Tool DHR12 1NPT R12+ Drophead, 1-Inch NPT</t>
  </si>
  <si>
    <t>B000ZGZ0PY</t>
  </si>
  <si>
    <t>154.86</t>
  </si>
  <si>
    <t>179.13</t>
  </si>
  <si>
    <t>6698096230573</t>
  </si>
  <si>
    <t>RectorSeal 97705 Mighty Bracket Mini-Split Installation Support Tool</t>
  </si>
  <si>
    <t>Rectorseal 97705 Mighty Bracket Mini-Split Support Tool</t>
  </si>
  <si>
    <t>B010M261GW</t>
  </si>
  <si>
    <t>151.9</t>
  </si>
  <si>
    <t>6837858893997</t>
  </si>
  <si>
    <t>Wiha Tools 66990 9 Piece MagicRing Ball End Long Arm Hex L-Key Set - Metric</t>
  </si>
  <si>
    <t>Wiha 66991 MagicRing Ball End Hex Key Set, Long Inch, In Holder, 13 Piece</t>
  </si>
  <si>
    <t>B000WTAK2C</t>
  </si>
  <si>
    <t>39.26</t>
  </si>
  <si>
    <t>52.34</t>
  </si>
  <si>
    <t>8023273111768</t>
  </si>
  <si>
    <t>Milwaukee 2962P-22 M18 FUEL™ 1/2 " Mid-Torque Impact Wrench w/ Pin Detent Kit</t>
  </si>
  <si>
    <t>Milwaukee 2766-22 M18 FUEL High Torque 1/2 in. Impact Wrench with Pin Detent (Kit)</t>
  </si>
  <si>
    <t>B076S2DV48</t>
  </si>
  <si>
    <t>459.0</t>
  </si>
  <si>
    <t>896.0</t>
  </si>
  <si>
    <t>8020489142488</t>
  </si>
  <si>
    <t>Fresh-Aire Blue Tube 24-Volt UV Light HVAC Air Purification System, Includes 1-Year UVC Lamp #TUV-BTER</t>
  </si>
  <si>
    <t>B00D48XDO0</t>
  </si>
  <si>
    <t>Testo 0590 7552 755-2 - Current / Voltage Meter with 200 A AC, 1000 V AC/DC, Continuity, and Phase Rotation Tester</t>
  </si>
  <si>
    <t>213.35</t>
  </si>
  <si>
    <t>251.0</t>
  </si>
  <si>
    <t>8011674222808</t>
  </si>
  <si>
    <t>Inficon Whisper® Ultrasonic Leak Detector with Accessory Kit</t>
  </si>
  <si>
    <t>INFICON Whisper with Accessory Kit, Enhanced Ultrasonic Leak Detector, 711-203-G1,Off-White</t>
  </si>
  <si>
    <t>B00DAOI5EQ</t>
  </si>
  <si>
    <t>408.99</t>
  </si>
  <si>
    <t>510.0</t>
  </si>
  <si>
    <t>6207749783725</t>
  </si>
  <si>
    <t>Yellow Jacket 60625 Adjustable Torque Wrench Head 10-41 mm</t>
  </si>
  <si>
    <t>Yellow Jacket 60625 Adjustable Wrench Head, 10-41 mm</t>
  </si>
  <si>
    <t>B09X1YWQQP</t>
  </si>
  <si>
    <t>51.39</t>
  </si>
  <si>
    <t>7794662342872</t>
  </si>
  <si>
    <t>UP-1 Ultimate Hub Fan Blade Blower Wheel Puller, Hub Puller, Fan Blade Puller Perfect for 5/8" Belt Drive and 1/2" Or Less Direct Drive Motor Shafts</t>
  </si>
  <si>
    <t>B0BNHFVTF4</t>
  </si>
  <si>
    <t>MARKETTY UP-1 Ultimate Hub Fan Blade Blower Wheel Puller Perfect for 5/8" Belt Drive and 1/2" Or Less Direct Drive Motor Shafts</t>
  </si>
  <si>
    <t>B0C6T3YQNC</t>
  </si>
  <si>
    <t>US Motors 5464 Rescue 5.6" Condenser Fan Motor, 208-230V, 1/3-1/6 HP, 825 RPM</t>
  </si>
  <si>
    <t>U.S. Motors RESCUE Condenser Fan Motor 1/3 HP to 1/6HP 208-230V 1-Phase 60Hz 825 RPM 2-Speed (Emerson Nidec Protech Rheem #5464)</t>
  </si>
  <si>
    <t>B009AXINPW</t>
  </si>
  <si>
    <t>177.36</t>
  </si>
  <si>
    <t>182.0</t>
  </si>
  <si>
    <t>4472494850148</t>
  </si>
  <si>
    <t>Klein Tools S10M 5/16-Inch Magnetic Nut Driver with 3-Inch Solid Shaft and Comfordome Handle</t>
  </si>
  <si>
    <t>B000936PCU</t>
  </si>
  <si>
    <t>Fresh-Aire Blue Tube Light/Lamp TUV-BTER, 18-32 VAC, 1 Year Bulb</t>
  </si>
  <si>
    <t>B08QDQHKP3</t>
  </si>
  <si>
    <t>Fluke 378 FC Non-Contact Voltage True-RMS AC/DC Clamp Meter with iFlex</t>
  </si>
  <si>
    <t>Fluke 378FC AC/DC TRMS Non-Contact Voltage Wireless Clamp w/PQ Indicator &amp; iFlex</t>
  </si>
  <si>
    <t>B0916K6JZF</t>
  </si>
  <si>
    <t>776.69</t>
  </si>
  <si>
    <t>862.99</t>
  </si>
  <si>
    <t>6864217309357</t>
  </si>
  <si>
    <t>Nu-Calgon 4057-55 A/C Renew 4oz Unpressurized Can Install with the A/C Re~New Injector (NOT INCLUDED)</t>
  </si>
  <si>
    <t>B00ULIQ8XE</t>
  </si>
  <si>
    <t>B07B5CVTCT</t>
  </si>
  <si>
    <t>MAXPOWER 10 inch Groove Joint Pliers, Quick Adjustable Serrtated V Jaw Tongue and Groove Pliers</t>
  </si>
  <si>
    <t>B0BBMQZ28N</t>
  </si>
  <si>
    <t>ICM Controls ICM282B Furnace Control Board - Replacement for Carrier</t>
  </si>
  <si>
    <t>ICM Controls ICM291 Furnace Control Replacement for Carrier LH33WP003/3A Control Boards, Multicolor</t>
  </si>
  <si>
    <t>B0046V6VF2</t>
  </si>
  <si>
    <t>195.99</t>
  </si>
  <si>
    <t>256.41</t>
  </si>
  <si>
    <t>7770046464216</t>
  </si>
  <si>
    <t>Hilmor 1839032 CBK Compact Bender Kit, 1/4" To 7/8" - HVAC Tools and Equipment for Tube and Pipe Bending, Black</t>
  </si>
  <si>
    <t>B00FPPDK70</t>
  </si>
  <si>
    <t>Klein Tools 89552 Hole Cutter, Adjustable Cutter from 2 to 12 Inch, Cuts 24 gauge Steel and 26 gauge Stainless</t>
  </si>
  <si>
    <t>B07DLT79N8</t>
  </si>
  <si>
    <t>Channellock 432 Tongue and Groove Pliers, 10 In, Polished</t>
  </si>
  <si>
    <t>B000189GRY</t>
  </si>
  <si>
    <t>Tajima DFC670N-R1 Rock Hard FIN™ Utility Knife, Auto Lock</t>
  </si>
  <si>
    <t>TAJIMA Utility Knife - 1" 7-Point Rock Hard FIN Snap Blade Box Cutter with Auto Lock &amp; 2 Rock Hard Blades - DFC670N-R1 (Auto-Lock)</t>
  </si>
  <si>
    <t>B07W8SQ6NW</t>
  </si>
  <si>
    <t>8032838484184</t>
  </si>
  <si>
    <t>CHANNELLOCK 428 Straight Jaw Tongue &amp; Groove Pliers, 8-inch | 1-1/2-inch Jaw Capacity | 4 Adjustments | SAFE-T-STOP feature prevents finger pinch | Forged High-Carbon U.S. Steel | Made in USA, Polished Steel</t>
  </si>
  <si>
    <t>B00004SBCT</t>
  </si>
  <si>
    <t>Yellow Jacket 93850 SuperEvac™ Evacuation Manifold</t>
  </si>
  <si>
    <t>Yellow Jacket 93850 Evacuation Manifold,</t>
  </si>
  <si>
    <t>B009AX63JA</t>
  </si>
  <si>
    <t>112.31</t>
  </si>
  <si>
    <t>2503530250340</t>
  </si>
  <si>
    <t>Klein Tools 56026 Inspection Penlight with Class 3R Red Laser Pointer</t>
  </si>
  <si>
    <t>Klein Tools 56026R Flashlight and Inspection Penlight with Class 3R Red Laser Pointer, Glow-in-Dark, LED, Great for Jobsite, Outdoor, Emergency</t>
  </si>
  <si>
    <t>B01N9RGQQP</t>
  </si>
  <si>
    <t>32.0</t>
  </si>
  <si>
    <t>1724010135652</t>
  </si>
  <si>
    <t>Klein Tools 650DD Demolition Scratch Awl</t>
  </si>
  <si>
    <t>B00LUBVL9C</t>
  </si>
  <si>
    <t>27.26</t>
  </si>
  <si>
    <t>4431815901284</t>
  </si>
  <si>
    <t>Fieldpiece HS36 Expandable True RMS Stick Meter with Backlight</t>
  </si>
  <si>
    <t>Fieldpiece HS36 Expandable Autoranging True RMS Stick Multimeter w/Backlight</t>
  </si>
  <si>
    <t>B000OMJJ7Y</t>
  </si>
  <si>
    <t>298.35</t>
  </si>
  <si>
    <t>351.0</t>
  </si>
  <si>
    <t>3665834573924</t>
  </si>
  <si>
    <t>Klein Tools 11046 Wire Stripper/Cutter 16-26 AWG Stranded,Red</t>
  </si>
  <si>
    <t>B0000302WS</t>
  </si>
  <si>
    <t>Klein Tools D504-7 Classic Klaw™ Pump Pliers, 7-Inch</t>
  </si>
  <si>
    <t>Klein Tools D504-7 Classic Klaw Pump Pliers, 7-Inch</t>
  </si>
  <si>
    <t>B00BJ4OSTA</t>
  </si>
  <si>
    <t>42.06</t>
  </si>
  <si>
    <t>4653036765284</t>
  </si>
  <si>
    <t>Yellow Jacket 21985 PLUS II™ 60" Charging Hose (RYB) 3-Pack - Standard 1/4"</t>
  </si>
  <si>
    <t>Yellow Jacket 21985 Plus II Hose Standard 1/4" Flare Fittings, 60", Red/Yellow/Blue (Pack of 3)</t>
  </si>
  <si>
    <t>B000R8LM0M</t>
  </si>
  <si>
    <t>86.62</t>
  </si>
  <si>
    <t>2442871898212</t>
  </si>
  <si>
    <t>Klein Tools 70550 Hex Wrench Key Set, 11 SAE Sizes, Heavy Duty Folding Allen Wrench Tool with Extra Long Hex Keys</t>
  </si>
  <si>
    <t>B07SR11TC4</t>
  </si>
  <si>
    <t>Yellow Jacket 60667 Refrigerant Recovery Pliers</t>
  </si>
  <si>
    <t>YELLOW JACKET 60667 Refrigerant Recovery Plier</t>
  </si>
  <si>
    <t>B008FMBA90</t>
  </si>
  <si>
    <t>60.87</t>
  </si>
  <si>
    <t>2443085643876</t>
  </si>
  <si>
    <t>Klein Tools 32217 Drill Tap Tool Kit, 8-Piece</t>
  </si>
  <si>
    <t>Klein Tools 32217 Drill Tap Tool Kit, 8-Piece, For Aluminum-Brass-Copper-Plastic-Mild Steel, Quick Connect Power Tools Compatible</t>
  </si>
  <si>
    <t>B00SGMHU7U</t>
  </si>
  <si>
    <t>75.74</t>
  </si>
  <si>
    <t>4381003907172</t>
  </si>
  <si>
    <t>Klein Tools 56380 Non-Conductive Electrical Fish Tape, Multi-Groove Fiberglass Wire Puller with Steel Leader, 100-Foot x 3/16-Inch,Orange/Black</t>
  </si>
  <si>
    <t>B0822229DW</t>
  </si>
  <si>
    <t>Yellow Jacket 60475 PUNCH-TYPE SWAGING TOOL</t>
  </si>
  <si>
    <t>Yellow Jacket 60475 swaging Punch Tool Set</t>
  </si>
  <si>
    <t>B003ANV9PO</t>
  </si>
  <si>
    <t>47.67</t>
  </si>
  <si>
    <t>8025470009560</t>
  </si>
  <si>
    <t>Channellock 8WCB 8-Inch WideAzz Adjustable Wrench|1.5-Inch Wide Jaw Opening|Precise Jaw Design Grips Tight-Even in Tight Spaces|Measurement Scales Engraved on the Tool|CODE BLUE Comfort Grip</t>
  </si>
  <si>
    <t>B001I70C34</t>
  </si>
  <si>
    <t>Klein Tools 630M 3" Hollow Shank Magnetic Tip Nut Driver Set (2 Pieces)</t>
  </si>
  <si>
    <t>B00080FO5I</t>
  </si>
  <si>
    <t>Klein Tools 55919 Tool Belt, Electrician Tool Belt for use with Modular Pouches from Klein Tools Click Lock Modular System, Size L,Black</t>
  </si>
  <si>
    <t>B085LPTTKL</t>
  </si>
  <si>
    <t>Klein Tools ET20 WIfi Borescope Inspection Camera with Rechargeable Lithium-Ion Battery and On-Board LED Lights</t>
  </si>
  <si>
    <t>B07Q78WXFP</t>
  </si>
  <si>
    <t>Klein Tools 69417 Rare-Earth Magnetic Hanger, with Strap</t>
  </si>
  <si>
    <t>B01B7RBXZ0</t>
  </si>
  <si>
    <t>Klein Tools LLK12 L-Style Hex Key Caddy Set 12-Piece, Inch</t>
  </si>
  <si>
    <t>Klein Tools LLK12 L-Style Hex Key Caddy Set 12-Piece</t>
  </si>
  <si>
    <t>B0002RIA0I</t>
  </si>
  <si>
    <t>16.78</t>
  </si>
  <si>
    <t>5366344417448</t>
  </si>
  <si>
    <t>Klein Tools 602-4DD Demolition Driver with Keystone Tip and 4-Inch Shank, Made in USA</t>
  </si>
  <si>
    <t>B00B9HIC12</t>
  </si>
  <si>
    <t>Fieldpiece VP67 – 6 CFM Vacuum Pump</t>
  </si>
  <si>
    <t>Fieldpiece VP67-6 CFM Vacuum Pump</t>
  </si>
  <si>
    <t>B099JKH31V</t>
  </si>
  <si>
    <t>453.9</t>
  </si>
  <si>
    <t>534.0</t>
  </si>
  <si>
    <t>6810115965101</t>
  </si>
  <si>
    <t>Klein Tools ET450 Advanced Circuit Breaker Finder and Wire Tracer Kit for Energized and Non-Energized Breakers, Fuses, and Wires</t>
  </si>
  <si>
    <t>B09XG38XLP</t>
  </si>
  <si>
    <t>Klein Tools 44218 Cable Skinning Utility Knife w/Replaceable Blade</t>
  </si>
  <si>
    <t>31.72</t>
  </si>
  <si>
    <t>4392100692068</t>
  </si>
  <si>
    <t>Yellow Jacket 42005 Manifold with 3-1/8" Color-Coded Gauges, psi, R-22/134A/404A (Clamshell) (Hoses not included)</t>
  </si>
  <si>
    <t>B0039KNRF8</t>
  </si>
  <si>
    <t>Klein Tools 935DAG Digital Electronic Level and Angle Gauge, Measures 0 - 90 and 0 - 180 Degree Ranges, Measures and Sets Angles</t>
  </si>
  <si>
    <t>B07ZWW3BW5</t>
  </si>
  <si>
    <t>Yellow Jacket 42021 Manifold Only with 3-1/8" Color-Coded Gauges, bar/psi, R-410A (Clamshell)</t>
  </si>
  <si>
    <t>B0039L0LGU</t>
  </si>
  <si>
    <t>Wiha 70487 6 Piece Color Coded Magnetic Nut Setter Metric Set</t>
  </si>
  <si>
    <t>B0BJYV5CKN</t>
  </si>
  <si>
    <t>Klein Tools JTH6E11 3/16-Inch Hex Key with Journeyman T-Handle, 6-Inch</t>
  </si>
  <si>
    <t>B004N5WF56</t>
  </si>
  <si>
    <t>Wiha 70486 | 6 Piece Color Coded Magnetic Nut Setter Set</t>
  </si>
  <si>
    <t>B07MPK4Z4X</t>
  </si>
  <si>
    <t>Yellow Jacket 93600 BULLET®X 7 CFM Vacuum Pump</t>
  </si>
  <si>
    <t>533.94</t>
  </si>
  <si>
    <t>2647547641956</t>
  </si>
  <si>
    <t>Fieldpiece JL3PC Job Link® System Premium Pipe Clamp Probe</t>
  </si>
  <si>
    <t>Fieldpiece JL3PC Job Link Premium Pipe Clamp Probe for 1/4" to 1 3/8" Pipes</t>
  </si>
  <si>
    <t>B07DNKNFB2</t>
  </si>
  <si>
    <t>3548627533924</t>
  </si>
  <si>
    <t>Yellow Jacket 68802 Digital Electronic Charging Scales, 110 lb</t>
  </si>
  <si>
    <t>YELLOW JACKET 68802 Digital Electronic Charging Scale, 110 lb.</t>
  </si>
  <si>
    <t>B008FMBOM8</t>
  </si>
  <si>
    <t>388.88</t>
  </si>
  <si>
    <t>2722701148260</t>
  </si>
  <si>
    <t>Fieldpiece JL3PR Job Link Pressure Probe with Remote Data Logging</t>
  </si>
  <si>
    <t>B07DNK7Q3J</t>
  </si>
  <si>
    <t>Klein Tools 1019 Klein Kurve Wire Stripper / Crimper / Cutter for B and IDC Connectors, Terminals, More</t>
  </si>
  <si>
    <t>B07GFYBW4V</t>
  </si>
  <si>
    <t>Inficon D-TEK 3 Refrigerant Leak Detector</t>
  </si>
  <si>
    <t>B08XLCV4W3</t>
  </si>
  <si>
    <t>Klein Tools 11053 Klein-Kurve Wire Stripper and Cutter for 6-12 AWG Stranded Wire, 7-1/8-Inch,Blue/Red</t>
  </si>
  <si>
    <t>B000MKH0YC</t>
  </si>
  <si>
    <t>RITCHIE YELLOW JACKET 40860 P51-860 Titan Digital Manifold</t>
  </si>
  <si>
    <t>B07DPSLBYQ</t>
  </si>
  <si>
    <t>Klein Tools K12065CR Wire Stripper / Cutter / Crimper Tool for Cutting, Stripping, Crimping, Twisting (8-18 AWG solid, 10-20 AWG stranded)</t>
  </si>
  <si>
    <t>B08BX9RTPX</t>
  </si>
  <si>
    <t>Klein Tools S6HB Grip-It™ Strap Wrench, 1-1/2 to 4-Inch, 6-Inch Handle</t>
  </si>
  <si>
    <t>Klein Tools S6HB Strap Wrench, Adjustable Grip-It Strap Wrench Adjusts 1-1/2 to 4-Inch, 6-Inch Handle</t>
  </si>
  <si>
    <t>B0BN4K6NJ3</t>
  </si>
  <si>
    <t>8018538725592</t>
  </si>
  <si>
    <t>Klein Tools PJSFM2 Rechargeable Clamping Fan</t>
  </si>
  <si>
    <t>Klein Tools PJSFM2 Lithium Battery Operated Fan, Rechargeable Mini USB Fan with Clip On, Hang Hole, and Magnet Mounting, Portable, Orange/Gray 9-Inch</t>
  </si>
  <si>
    <t>B0BWGQVPSC</t>
  </si>
  <si>
    <t>7980631687384</t>
  </si>
  <si>
    <t>Klein Tools 93LDM100C Compact Laser Distance Measure</t>
  </si>
  <si>
    <t>Klein Tools 93LDM100C Compact Laser Distance Measure, 100 Feet, Measures in Feet, Inches, Meters</t>
  </si>
  <si>
    <t>B09VJS94G3</t>
  </si>
  <si>
    <t>51.46</t>
  </si>
  <si>
    <t>7866238861528</t>
  </si>
  <si>
    <t>Klein Tools MAG2 Demagnetizer / Magnetizer for Screwdriver Bits and Tips, Makes Tools Magnetic with Powerful Rare-Earth Magnet</t>
  </si>
  <si>
    <t>B074RMH9VL</t>
  </si>
  <si>
    <t>Fieldpiece DR58 Heated Diode Refrigerant Leak Detector</t>
  </si>
  <si>
    <t>Fieldpiece DR58 - Heated Diode Refrigerant Leak Detector</t>
  </si>
  <si>
    <t>B097SW9VJS</t>
  </si>
  <si>
    <t>332.35</t>
  </si>
  <si>
    <t>6811539275949</t>
  </si>
  <si>
    <t>Fieldpiece DR82 Infrared Refrigerant Leak Detector</t>
  </si>
  <si>
    <t>Fieldpiece DR82 - Battery Powered Infrared Refrigerant Leak Detector</t>
  </si>
  <si>
    <t>B09G963HQ6</t>
  </si>
  <si>
    <t>476.85</t>
  </si>
  <si>
    <t>561.0</t>
  </si>
  <si>
    <t>6819628613805</t>
  </si>
  <si>
    <t>Fieldpiece SC640 Loaded Clamp Meter</t>
  </si>
  <si>
    <t>Fieldpiece SC640 Loaded Clamp Multimeter with Swivel Head and LED Flashlight</t>
  </si>
  <si>
    <t>B00KLYJGJQ</t>
  </si>
  <si>
    <t>249.9</t>
  </si>
  <si>
    <t>294.0</t>
  </si>
  <si>
    <t>4409847283812</t>
  </si>
  <si>
    <t>Klein Tools 13231 Replacement Bits, 1/8-Inch Slotted and Schrader®</t>
  </si>
  <si>
    <t>Klein Tools 13231 Replacement Driver Bits, 1/8-Inch Slotted and Schrader</t>
  </si>
  <si>
    <t>B0791D1VPP</t>
  </si>
  <si>
    <t>6.49</t>
  </si>
  <si>
    <t>9.1</t>
  </si>
  <si>
    <t>2766663221348</t>
  </si>
  <si>
    <t>Klein Tools MM720 Digital Multimeter, Auto-Ranging TRMS, Low Impedance (LoZ), 1000V AC/DC Voltage, 10A AC/DC Current, 60 MOhms Resistance,Orange/Black</t>
  </si>
  <si>
    <t>B0B57PDQJC</t>
  </si>
  <si>
    <t>Klein Tools TI220 Thermal Imager for Android® Devices</t>
  </si>
  <si>
    <t>Klein Tools TI220 Thermal Imager for Android Devices, Thermal Imaging Camera, 10,800 Pixels, Three Color Palettes, High/Low Temperatures</t>
  </si>
  <si>
    <t>B0B356X9ZD</t>
  </si>
  <si>
    <t>249.99</t>
  </si>
  <si>
    <t>369.98</t>
  </si>
  <si>
    <t>7822884962520</t>
  </si>
  <si>
    <t>Klein Tools 2400L Offset Left-Cutting Aviation Snips</t>
  </si>
  <si>
    <t>Klein Tools 2400L Left-Cutting Offset Snips, Aviation Tin Snips with Forged Blade for Precision Sheet Metal Cutting</t>
  </si>
  <si>
    <t>B0C4C13S3C</t>
  </si>
  <si>
    <t>8018502811864</t>
  </si>
  <si>
    <t>Klein Tools TI270 Rechargeable Thermal Imager with Wi-Fi</t>
  </si>
  <si>
    <t>Klein Tools TI270 Rechargeable Thermal Imaging Camera, Over 10000 Pixels, Wi-Fi Data Transfer, 3 Palettes, High/Low Temperature Points</t>
  </si>
  <si>
    <t>B0C6J4B145</t>
  </si>
  <si>
    <t>619.98</t>
  </si>
  <si>
    <t>8018546819288</t>
  </si>
  <si>
    <t>Klein Tools S86 1/4-Inch Nut Driver with 6-Inch Hollow Shaft and Comfordome Handle</t>
  </si>
  <si>
    <t>B00093GCWS</t>
  </si>
  <si>
    <t>Klein Tools 2401R Offset Right-Cutting Aviation Snips</t>
  </si>
  <si>
    <t>Klein Tools 2401R Right-Cutting Offset Snips, Aviation Tin Snips with Forged Blade for Precision Sheet Metal Cutting</t>
  </si>
  <si>
    <t>B0C4BTTVPC</t>
  </si>
  <si>
    <t>8018503598296</t>
  </si>
  <si>
    <t>Klein Tools 62811 Reusable Cooler Ice Packs, 2-Pack</t>
  </si>
  <si>
    <t>Klein Tools 62811 Reusable Ice Packs for Cooler Bags and Lunch Boxes, Interlocking Design, Heavy Duty for Daily Use, Quick Freeze, 2-Pack</t>
  </si>
  <si>
    <t>B0C4RK78PC</t>
  </si>
  <si>
    <t>8018780717272</t>
  </si>
  <si>
    <t>Klein Tools SHBKIT Grip-It™ Strap Wrench Kit, 6-Inch and 12-Inch Handles, 2-Piece</t>
  </si>
  <si>
    <t>Klein Tools SHBKIT Grip-It Strap Wrench Kit, Adjustable Strap Wrenches with 6 and 12-Inch Handles, 2-Piece</t>
  </si>
  <si>
    <t>B0C1ZXXMN5</t>
  </si>
  <si>
    <t>42.98</t>
  </si>
  <si>
    <t>8018515755224</t>
  </si>
  <si>
    <t>Testo 0590 7501 750-1 - Digital Voltage Tester</t>
  </si>
  <si>
    <t>Testo 750-1 Digital Voltage and Phase Rotation Tester</t>
  </si>
  <si>
    <t>B01F3MPHKM</t>
  </si>
  <si>
    <t>62.05</t>
  </si>
  <si>
    <t>75.0</t>
  </si>
  <si>
    <t>8011666522328</t>
  </si>
  <si>
    <t>Klein Tools 2402S Offset Straight-Cutting Aviation Snips</t>
  </si>
  <si>
    <t>Klein Tools 2402S Straight-Cutting Offset Snips, Aviation Tin Snips with Forged Blade for Precision Sheet Metal Cutting</t>
  </si>
  <si>
    <t>B0C4C4SLCZ</t>
  </si>
  <si>
    <t>8018504188120</t>
  </si>
  <si>
    <t>Klein Tools PND125 1/2-Inch Power Nut Driver 5-Inch Length</t>
  </si>
  <si>
    <t>B00ELGQJT0</t>
  </si>
  <si>
    <t>Fieldpiece MG44 Wireless Vacuum Gauge</t>
  </si>
  <si>
    <t>Fieldpiece MG44 - Wireless Vacuum Gauge</t>
  </si>
  <si>
    <t>B099F3CNQW</t>
  </si>
  <si>
    <t>231.2</t>
  </si>
  <si>
    <t>272.0</t>
  </si>
  <si>
    <t>6858217980077</t>
  </si>
  <si>
    <t>Fieldpiece SDMN5 Dual Port Manometer</t>
  </si>
  <si>
    <t>Fieldpiece Dual-Port Manometer - SDMN5</t>
  </si>
  <si>
    <t>B000UV0F9U</t>
  </si>
  <si>
    <t>164.05</t>
  </si>
  <si>
    <t>193.0</t>
  </si>
  <si>
    <t>4112641687652</t>
  </si>
  <si>
    <t>Klein Tools 646-5/16 5/16-Inch Nut Driver with 6-Inch Hollow Shaft and Cushion Grip Handle</t>
  </si>
  <si>
    <t>B000LEZVWM</t>
  </si>
  <si>
    <t>Fieldpiece CAT85K2 Combustion Analyzer HC with Printer</t>
  </si>
  <si>
    <t>Fieldpiece CAT85K2 - Combustion Analyzer with Live Draft, Built-in Manometer, and Printer</t>
  </si>
  <si>
    <t>B0BL6M4WLL</t>
  </si>
  <si>
    <t>1897.2</t>
  </si>
  <si>
    <t>2232.0</t>
  </si>
  <si>
    <t>7897243156696</t>
  </si>
  <si>
    <t>Klein Tools S106 5/16-Inch Nut Driver, 6-Inch Shaft</t>
  </si>
  <si>
    <t>B000936PDO</t>
  </si>
  <si>
    <t>Klein Tools 60465 Cooling Band for Neck and Face with Evaporative Performance Knit Fabric, Cools Instantly When Wet, UPF 50 Protection, Yellow</t>
  </si>
  <si>
    <t>B08L5LWPH3</t>
  </si>
  <si>
    <t>Klein Tools S12HB Strap Wrench, Adjustable Grip-It Strap Wrench Adjusts 1-1/2 to 5-Inch, 12-Inch Handle</t>
  </si>
  <si>
    <t>B0BN4LK3NS</t>
  </si>
  <si>
    <t>Klein Tools 44131 Utility Knife, Folding Heavy Duty Retractable Box Cutter and Crafting Knife, Includes Pocket Clip and 1 Blade</t>
  </si>
  <si>
    <t>B00A9GGGYY</t>
  </si>
  <si>
    <t>Fieldpiece TC24 Pipe Clamp Thermocouple</t>
  </si>
  <si>
    <t>Fieldpiece - TC24 – Pipe Clamp Thermocouple</t>
  </si>
  <si>
    <t>B06XXNTVMM</t>
  </si>
  <si>
    <t>73.1</t>
  </si>
  <si>
    <t>86.0</t>
  </si>
  <si>
    <t>3688556494948</t>
  </si>
  <si>
    <t>Klein Tools 85615 Mini Precision Screwdriver Set, 4-Piece Phillips and Flat Head Set Ideal for Electronics and Small Home Appliances</t>
  </si>
  <si>
    <t>B0C1QBJGVD</t>
  </si>
  <si>
    <t>Channellock 804 4.5-Inch Adjustable Wrench, Chrome</t>
  </si>
  <si>
    <t>B00004SBDK</t>
  </si>
  <si>
    <t>Fieldpiece SC680 Wireless Power Clamp Meter</t>
  </si>
  <si>
    <t>Fieldpiece SC680 - Wireless Power Clamp Meter</t>
  </si>
  <si>
    <t>B0839M1W9X</t>
  </si>
  <si>
    <t>385.9</t>
  </si>
  <si>
    <t>454.0</t>
  </si>
  <si>
    <t>4421242093668</t>
  </si>
  <si>
    <t>Fieldpiece VP87 – 8 CFM Vacuum Pump</t>
  </si>
  <si>
    <t>Fieldpiece VP87 - Dual Stage, 8 CFM Vacuum Pump</t>
  </si>
  <si>
    <t>B096ZF285M</t>
  </si>
  <si>
    <t>710.6</t>
  </si>
  <si>
    <t>836.0</t>
  </si>
  <si>
    <t>6811423047853</t>
  </si>
  <si>
    <t>Klein Tools 32527 Multi-Bit Screwdriver / Nut Driver, 11-in-1, Ph, Sl, Sq, Schrader Bits</t>
  </si>
  <si>
    <t>Klein Tools 32527 Multi-Bit Screwdriver / Nut Driver, 11-in-1 with Phillips, Slotted, Square, and Schrader Bits and Nut Drivers</t>
  </si>
  <si>
    <t>B004RIDKHQ</t>
  </si>
  <si>
    <t>27.52</t>
  </si>
  <si>
    <t>3683661480036</t>
  </si>
  <si>
    <t>Fieldpiece ST4 Dual Temperature Meter</t>
  </si>
  <si>
    <t>Fieldpiece ST4 Dual Temperature Meter, -58 to 2000F(-50 to 1300C)</t>
  </si>
  <si>
    <t>B000OLCD9Q</t>
  </si>
  <si>
    <t>124.0</t>
  </si>
  <si>
    <t>3711714721892</t>
  </si>
  <si>
    <t>Klein Tools S18HB Grip-It™ Strap Wrench, 1-1/8 to 8-Inch, 18-Inch Handle</t>
  </si>
  <si>
    <t>Klein Tools S18HB Strap Wrench, Adjustable Grip-It Strap Wrench Adjusts 1-1/8 to 8-Inch, 18-Inch Handle</t>
  </si>
  <si>
    <t>B0BN4LGV19</t>
  </si>
  <si>
    <t>89.98</t>
  </si>
  <si>
    <t>8018523750616</t>
  </si>
  <si>
    <t>iO HVAC Controls iO-WRP Wireless Relay Plus</t>
  </si>
  <si>
    <t>IO-WRP | Wireless Relay Plus | iO HVAC Controls</t>
  </si>
  <si>
    <t>B0BCTKBVBV</t>
  </si>
  <si>
    <t>412.71</t>
  </si>
  <si>
    <t>444.46</t>
  </si>
  <si>
    <t>7724893765848</t>
  </si>
  <si>
    <t>Testo 552i App-Controlled Wireless Vacuum Probe I for HVAC Systems – with Bluetooth</t>
  </si>
  <si>
    <t>B08TZ3Z1S3</t>
  </si>
  <si>
    <t>NAVAC NHB2 High-Flow Evacuation Hose, 6', 1/2" to 1/4"</t>
  </si>
  <si>
    <t>Navac Big Boy High-Flow Refrigerant Hose, Black, 6', 1/2" Diameter, 1/2" to 1/4" Fitting (NHB2)</t>
  </si>
  <si>
    <t>B07VTQXG2W</t>
  </si>
  <si>
    <t>57.0</t>
  </si>
  <si>
    <t>79.0</t>
  </si>
  <si>
    <t>5740751356072</t>
  </si>
  <si>
    <t>Navac Big Boy High-Flow Refrigerant Hose, Black, 6', 1/2" Diameter, 3/8" to 1/4" Fitting (NHB1)</t>
  </si>
  <si>
    <t>B07VY9TBBJ</t>
  </si>
  <si>
    <t>Yellow Jacket YJII Vacuum Pump 5 CFM - 93266</t>
  </si>
  <si>
    <t>B07VNP6BFW</t>
  </si>
  <si>
    <t>Wiha Tools 66981 13 Piece Ball End Color Coded Hex L-Key Set - Inch</t>
  </si>
  <si>
    <t>Wiha 13 Piece Ball End Color Coded Hex L-Key Set - Inch</t>
  </si>
  <si>
    <t>B085G4FPTW</t>
  </si>
  <si>
    <t>53.42</t>
  </si>
  <si>
    <t>71.22</t>
  </si>
  <si>
    <t>8023253450968</t>
  </si>
  <si>
    <t>Fieldpiece JL3RH Job Link® System Flex Psychrometer Probe</t>
  </si>
  <si>
    <t>Fieldpiece JL3RH Job Link Flex Psychrometer Probe w/Remote Data Logging for BLE 4.0 Devices, 2.4 GHz Radio Frequency, 0% RH to 100% RH Measurement Range</t>
  </si>
  <si>
    <t>B07DNJ1YFJ</t>
  </si>
  <si>
    <t>3669071921252</t>
  </si>
  <si>
    <t>Fieldpiece SPK3 Folding ROD Dual Temperature Thermometer with 8:1 Infrared Gun</t>
  </si>
  <si>
    <t>B00GFVO9DC</t>
  </si>
  <si>
    <t>CPS® VG200 Vacrometer® Digital Micron Vacuum Gauge</t>
  </si>
  <si>
    <t>CPS-AO-42500-08 Products VG200 Portable Digital Vacuum Gauge, LCD, Atmospheric to 0 microns</t>
  </si>
  <si>
    <t>B00DDDA12I</t>
  </si>
  <si>
    <t>179.84</t>
  </si>
  <si>
    <t>207.51</t>
  </si>
  <si>
    <t>3282774982756</t>
  </si>
  <si>
    <t>Appion CCT14 1/4in Core Control Tool</t>
  </si>
  <si>
    <t>Appion CCT14-1/4-inch Core Control Tool</t>
  </si>
  <si>
    <t>B0C4SX4RVY</t>
  </si>
  <si>
    <t>7959626350808</t>
  </si>
  <si>
    <t>Supco SPP6E Super Boost E Series Electronic Potential Relay/Hard Start Capacitor</t>
  </si>
  <si>
    <t>Supco SPP6E E Series Electronic Potential Relay Style Hard Start Kit, 1/2 - 3 Horsepower Range, 88-106F Capacitor Size</t>
  </si>
  <si>
    <t>B002JP3MEK</t>
  </si>
  <si>
    <t>22.5</t>
  </si>
  <si>
    <t>7705761153240</t>
  </si>
  <si>
    <t>Klein Tools 725 Jab Saw, Triple Ground Teeth, Cuts Drywall, Wallboard, Plywood and Plastic, Hardened Carbon Steel Blade, Beveled Point</t>
  </si>
  <si>
    <t>B0014KQGHG</t>
  </si>
  <si>
    <t>YELLOW JACKET 60430 Lightweight Swaging/Flaring Tool, 6 Positions</t>
  </si>
  <si>
    <t>B071X9F1T1</t>
  </si>
  <si>
    <t>Hilmor Orbital Flare 3/16” - 3/4”, HVAC &amp; Refrigeration Flaring Tool, Gray &amp; Black, FTO 1838952</t>
  </si>
  <si>
    <t>B00FPO3YWC</t>
  </si>
  <si>
    <t>B0031BX54I</t>
  </si>
  <si>
    <t>Appion MGAVCT 1/4" MegaFlow Vacuum-Rated Valve Core Removal Tool</t>
  </si>
  <si>
    <t>B01M7SQGTR</t>
  </si>
  <si>
    <t>Wiha Tools 28345 6 Piece Insulated SlimLine PocketMax Multi-Driver</t>
  </si>
  <si>
    <t>Wiha 28345 6 Piece Insulated SlimLine PocketMax Multi-Driver</t>
  </si>
  <si>
    <t>B0C41RKZDW</t>
  </si>
  <si>
    <t>8023250010328</t>
  </si>
  <si>
    <t>Klein Tools 32286 Flip-Blade Insulated Screwdriver, 2-in1, Ph Bit #1, Sl Bit 3/16-Inch</t>
  </si>
  <si>
    <t>Klein Tools 32286 Insulated Screwdriver, 2-in-1 Screwdriver Set with Flip Blade, #1 Phillips and 3/16-Inch Slotted Tips, Double-Ended Blades</t>
  </si>
  <si>
    <t>B07XQBZXL2</t>
  </si>
  <si>
    <t>4163366944868</t>
  </si>
  <si>
    <t>Klein Tools NCVT1PKIT Electrical Tester Kit with Non-Contact Volt Tester, 50 to 1000V AC and GFCI Receptacle Tester, 2-Piece</t>
  </si>
  <si>
    <t>B0BS5SCNJ1</t>
  </si>
  <si>
    <t>NAVAC NP7DP 7 CFM Dual Stage/Dual-Voltage Vacuum Pump, PRO Series</t>
  </si>
  <si>
    <t>NAVAC NP7DP Pro Series Vacuum Pump, 7 cfm, Dual-Stage, 15 Microns, Dual-Voltage</t>
  </si>
  <si>
    <t>B07VN6C622</t>
  </si>
  <si>
    <t>359.47</t>
  </si>
  <si>
    <t>5726142070952</t>
  </si>
  <si>
    <t>Rectorseal 83809 Aspen Mini Aqua Pump Kit 100-250V</t>
  </si>
  <si>
    <t>Rectorseal 83809 Aspen Mini Aqua 100 to 230V Air Conditioner Condensate Pump</t>
  </si>
  <si>
    <t>B00GZYR09E</t>
  </si>
  <si>
    <t>309.45</t>
  </si>
  <si>
    <t>8023691919576</t>
  </si>
  <si>
    <t>Malco Tools AV9 Vertical/Upright Aviation Snip - Right Cutting</t>
  </si>
  <si>
    <t>Malco AV9 Right Cutting Vertical Aviation Snip</t>
  </si>
  <si>
    <t>B009FAZNPI</t>
  </si>
  <si>
    <t>4517985124452</t>
  </si>
  <si>
    <t>Rectorseal 97087 Ss2 3rd Generation Safe-T-Switch</t>
  </si>
  <si>
    <t>B09QQQ9J9S</t>
  </si>
  <si>
    <t>Yellow Jacket 78060 Complete Test Kit, 0-35" W.C</t>
  </si>
  <si>
    <t>B0016H12KS</t>
  </si>
  <si>
    <t>Inficon D-TEK Stratus® Refrigerant Leak Detector and Portable Monitor</t>
  </si>
  <si>
    <t>1024.99</t>
  </si>
  <si>
    <t>1281.0</t>
  </si>
  <si>
    <t>5973277999272</t>
  </si>
  <si>
    <t>NAVAC NHB1 High-Flow Evacuation Hose, 6', 3/8" to 1/4"</t>
  </si>
  <si>
    <t>57.17</t>
  </si>
  <si>
    <t>96.0</t>
  </si>
  <si>
    <t>5740698730664</t>
  </si>
  <si>
    <t>Klein Tools 1005 Cutting / Crimping Tool for 10-22 AWG Terminals and Connectors, Terminal Crimper for Insulated and Non-Insulated Terminals</t>
  </si>
  <si>
    <t>B0006M6Y5M</t>
  </si>
  <si>
    <t>Rectorseal 83114 2 EZ 113B Trap Kit with Brush</t>
  </si>
  <si>
    <t>B00BMUFSGI</t>
  </si>
  <si>
    <t>Hilmor 1950536 Lightweight Brushless DC Refrigerant Recovery Machine</t>
  </si>
  <si>
    <t>Hilmor Brushless DC Refrigerant Recovery Machine, 9.6" x 5.4" x 13.3", Black (1950536)</t>
  </si>
  <si>
    <t>B0872D9DH8</t>
  </si>
  <si>
    <t>643.5</t>
  </si>
  <si>
    <t>3540872921188</t>
  </si>
  <si>
    <t>Refrigeration Technologies RT400P Viper WetRag - Reusable Heat Blocking Putty</t>
  </si>
  <si>
    <t>Refrigeration Technologies RT400P Viper Wetrag Heat Blocking Putty Jar (1), 12 oz.</t>
  </si>
  <si>
    <t>B017T23T18</t>
  </si>
  <si>
    <t>23.64</t>
  </si>
  <si>
    <t>4548912414820</t>
  </si>
  <si>
    <t>Yellow Jacket 63331 - Alloy Ratchet Tube Bender Kit</t>
  </si>
  <si>
    <t>B08SG6D18Y</t>
  </si>
  <si>
    <t>Klein Tools 56040 Rechargeable Focus Flashlight with Laser</t>
  </si>
  <si>
    <t>Klein Tools 56040 LED Rechargeable Flashlight, 350 Lumens, Twist Focus, Laser Pointer, Hands-Free, USB Charging Cable, for Work and Outdoor</t>
  </si>
  <si>
    <t>B0828NGD4V</t>
  </si>
  <si>
    <t>56.8</t>
  </si>
  <si>
    <t>4412139634788</t>
  </si>
  <si>
    <t>Klein Tools 32304 Screwdriver, 14-in-1 Adjustable Screwdriver with Flip Socket, HVAC Nut Drivers and Bits, Impact Rated</t>
  </si>
  <si>
    <t>B09Q4H5STD</t>
  </si>
  <si>
    <t>B000BQT6GC</t>
  </si>
  <si>
    <t>ICM Controls ICM325HN Low Ambient Head Pressure Control, Output 120-480 VAC, Temperature Input</t>
  </si>
  <si>
    <t>B003U4JG5I</t>
  </si>
  <si>
    <t>NAVAC NRP8Di 8 CFM Smart Vacuum Pump</t>
  </si>
  <si>
    <t>NAVAC NRP8Di Master Series Vacuum Pump, 8 cfm, Dual-Stage, 15 Microns, Built-in Micron Gauge</t>
  </si>
  <si>
    <t>B07L76RBNK</t>
  </si>
  <si>
    <t>666.74</t>
  </si>
  <si>
    <t>895.0</t>
  </si>
  <si>
    <t>5719543578792</t>
  </si>
  <si>
    <t>Klein Tools 85076INS Insulated Screwdriver Set features 1000V Screwdrivers, (3) Phillips and (2) Slotted and Square Tips, 6-Piece</t>
  </si>
  <si>
    <t>B0BF76JDCC</t>
  </si>
  <si>
    <t>Klein Tools 55600 Work Cooler, 17-Quart Lunch Box Holds 18 Cans, Keeps Cool 30 Hours, Seats 300 Lb, Tradesman Pro Tough Box</t>
  </si>
  <si>
    <t>B06XGJTTRY</t>
  </si>
  <si>
    <t>JB Industries DV-200N 7 CFM 2 Stage Platinum Vacuum Pump</t>
  </si>
  <si>
    <t>B003M5NCKU</t>
  </si>
  <si>
    <t>Klein Tools 3005CR Wire Crimper Tool, Ratcheting Insulated Terminal Crimper for 10 to 22 AWG Wire</t>
  </si>
  <si>
    <t>B07WMB61J5</t>
  </si>
  <si>
    <t>Klein Tools 646-1/4 1/4-Inch Nut Driver with 6-Inch Hollow Shaft and Cushion Grip Handle</t>
  </si>
  <si>
    <t>B000LEBON2</t>
  </si>
  <si>
    <t>Klein Tools 69355 Digital Multimeter Premium Electrical Test Kit with Non-Contact Voltage Tester, Receptacle Tester, Test Leads</t>
  </si>
  <si>
    <t>B09SVQQFZX</t>
  </si>
  <si>
    <t>Uniweld 40061 Sludge Blaster®</t>
  </si>
  <si>
    <t>Uniweld 40061 Sludge Blaster</t>
  </si>
  <si>
    <t>B00CIRZ936</t>
  </si>
  <si>
    <t>27.11</t>
  </si>
  <si>
    <t>7731708133592</t>
  </si>
  <si>
    <t>Klein Tools ET120 Gas Leak Detector, Combustible Gas Leak Tester with 18-Inch Gooseneck Has Range 50 - 10,000 ppm, Includes Pouch, Batteries</t>
  </si>
  <si>
    <t>B074NBJ8XP</t>
  </si>
  <si>
    <t>Diablo 3/4 in. x 7-1/2 in. Auger Bit</t>
  </si>
  <si>
    <t>B089KW4S6Y</t>
  </si>
  <si>
    <t>Wiha 32088 8 Piece Insulated PicoFinish Precision Screwdriver Set</t>
  </si>
  <si>
    <t>B00SZ6LZMS</t>
  </si>
  <si>
    <t>Klein Tools 69445 Magnetic Hanger Without Strap for Klein Tools Clamp Meters and Multimeters with Powerful Rare Earth Magnets</t>
  </si>
  <si>
    <t>B08CP568HY</t>
  </si>
  <si>
    <t>White-Rodgers 24A34-6 24V Electric Heat Sequencer, 2 DPST</t>
  </si>
  <si>
    <t>23.5</t>
  </si>
  <si>
    <t>58.43</t>
  </si>
  <si>
    <t>5896305213608</t>
  </si>
  <si>
    <t>Fieldpiece Compact HVACR Clamp Multimeter SC260 – True RMS Clamp Meter with Temperature, Capacitance &amp; Backlight</t>
  </si>
  <si>
    <t>B00KLYJG78</t>
  </si>
  <si>
    <t>Milwaukee 0970-20 M18 FUEL™ PACKOUT™ 2.5 Gallon Wet/Dry Vacuum</t>
  </si>
  <si>
    <t>Milwaukee 0970-20 M18 Fuel 18V PACKOUT 2.5 Gallon Wet/Dry Vacuum Bare Tool</t>
  </si>
  <si>
    <t>B09RQ6WNZ8</t>
  </si>
  <si>
    <t>330.0</t>
  </si>
  <si>
    <t>7884392366296</t>
  </si>
  <si>
    <t>Klein Tools KTSB03 Step Drill Bit Double Fluted #3, 1/4 to 3/4-Inch with Easy-to-Read Markings and Targets, 3/8-Inch Hex Shank</t>
  </si>
  <si>
    <t>B0171X0MRO</t>
  </si>
  <si>
    <t>ICM Controls ICM-2810 Furnace Control Board For Goodman PCBBF136 and PCBBF140</t>
  </si>
  <si>
    <t>B078KMX2V9</t>
  </si>
  <si>
    <t>Klein Tools 69140 K-Type Temperature Pipe Clamp</t>
  </si>
  <si>
    <t>Klein Tools 69140 K-Type Thermometer, Pipe Temperature Clamp for HVAC, Measures -4 to +212 Degrees Fahrenheit</t>
  </si>
  <si>
    <t>B07B2PPBRB</t>
  </si>
  <si>
    <t>40.86</t>
  </si>
  <si>
    <t>1902706098276</t>
  </si>
  <si>
    <t>Klein Tools 32562 Multi-Bit Screwdriver / Nut Driver, 6-in-1 Stubby Tool with Square Recess, Slotted, Phillips Bits and Nut Drivers</t>
  </si>
  <si>
    <t>B007SF5DNE</t>
  </si>
  <si>
    <t>Klein Tools D502-6 Pump Pliers, Dipped 6-Inch Tongue and Groove, Yellow</t>
  </si>
  <si>
    <t>B0002RI9UY</t>
  </si>
  <si>
    <t>Robertshaw 710-205 Hydraulic Snap-Action Low Capacity Gas Valve</t>
  </si>
  <si>
    <t>Robertshaw 710-205 Low-Profile Hydraulic Snap Action Gas Valve</t>
  </si>
  <si>
    <t>B00VWGYSVS</t>
  </si>
  <si>
    <t>165.15</t>
  </si>
  <si>
    <t>8036857708760</t>
  </si>
  <si>
    <t>Klein Tools 44133 Klein-Kurve® Retractable Utility Knife</t>
  </si>
  <si>
    <t>Klein Tools 44133 Heavy Duty Utility Knife, Retractable, Adjustable, with Wire Stripper, Klein-Kurve Handle</t>
  </si>
  <si>
    <t>B00A9GGHHK</t>
  </si>
  <si>
    <t>22.36</t>
  </si>
  <si>
    <t>4319862653028</t>
  </si>
  <si>
    <t>Milwaukee 2712-22 M18 FUELâ„¢ 1" SDS Plus Rotary Hammer</t>
  </si>
  <si>
    <t>B0742N8XCD</t>
  </si>
  <si>
    <t>Klein Tools NCVT2PKIT Non-Contact Voltage Tester with Outlet Tester, 12-48V AC or 48 - 1000V AC Dual Range for Broad Application</t>
  </si>
  <si>
    <t>B08FPHS6HL</t>
  </si>
  <si>
    <t>Klein Tools NCVT-2 Voltage Tester, Non-Contact Dual Range Voltage Tester Pen for Standard and Low Voltage, with 3 m Drop Protection</t>
  </si>
  <si>
    <t>B004FXJOQO</t>
  </si>
  <si>
    <t>SPIN Tools F6000 Flaring Drill Bit Set, 1/4", 3/8", 1/2", 5/8", 3/4" &amp; 7/8"</t>
  </si>
  <si>
    <t>93.38</t>
  </si>
  <si>
    <t>3702718791780</t>
  </si>
  <si>
    <t>Wiha Tools 66992 22 Piece MagicRing Ball End Hex L-Key Set - Inch - Metric</t>
  </si>
  <si>
    <t>Wiha 66992 MagicRing Ball End Hex L-Key Set In Holders, 22 Piece</t>
  </si>
  <si>
    <t>B000LF2LJM</t>
  </si>
  <si>
    <t>84.19</t>
  </si>
  <si>
    <t>112.25</t>
  </si>
  <si>
    <t>8023271145688</t>
  </si>
  <si>
    <t>Wiha Tools 32637 10" Classic Auto Grip V-Jaw Tongue and Groove Pliers</t>
  </si>
  <si>
    <t>Wiha 32637 Classic Auto Grip VJaw Tongue and Groove Pliers 10 inch</t>
  </si>
  <si>
    <t>B071RC1NQF</t>
  </si>
  <si>
    <t>31.15</t>
  </si>
  <si>
    <t>46.36</t>
  </si>
  <si>
    <t>8023579066584</t>
  </si>
  <si>
    <t>Super Stars Tube Bender 1/4", 3/8", 1/2" 3-in-1 Tubing Bender 180° HVAC Copper Aluminum Tubes Bending Tool for AC Repair</t>
  </si>
  <si>
    <t>B0B8S9CYNX</t>
  </si>
  <si>
    <t>Milwaukee 600 Lumens LED USB Rechargeable Low-Profile Hard Hat Headlamp</t>
  </si>
  <si>
    <t>B087QKMN4H</t>
  </si>
  <si>
    <t>Nu-Calgon 4900-35 iWave-M Mini Flexible Air Ionization System</t>
  </si>
  <si>
    <t>Nu-Calgon 4900-35 - iWave-M Flexible ION Generator for Ductless &amp; Other HVAC Systems</t>
  </si>
  <si>
    <t>B07QFSDS8T</t>
  </si>
  <si>
    <t>239.22</t>
  </si>
  <si>
    <t>367.86</t>
  </si>
  <si>
    <t>8007551811800</t>
  </si>
  <si>
    <t>Klein Tools K11095 Klein-Kurve Wire Stripper and Cutter, for 8-18 AWG Solid and 10-20 AWG Stranded Wire,Blue/White</t>
  </si>
  <si>
    <t>B08TQ83P2C</t>
  </si>
  <si>
    <t>White-Rodgers 24A34-6 Electric Heat Relay, 4 Switch</t>
  </si>
  <si>
    <t>B000CD8QC4</t>
  </si>
  <si>
    <t>Klein Tools 65064 Hex Head 2-in-1 Nut Driver, 1/4-Inch and 5/16-Inch</t>
  </si>
  <si>
    <t>B01N2S3D09</t>
  </si>
  <si>
    <t>Tajima VRB2-100B V-REX™ II, Premium Tempered Steel Utility Knife Blades, 100-Blade Safety Dispenser</t>
  </si>
  <si>
    <t>Tajima VRB2-100B V-REX II Premium Tempered Steel Utility Knife Blades, 100-Pack</t>
  </si>
  <si>
    <t>B00NY8R9OU</t>
  </si>
  <si>
    <t>34.59</t>
  </si>
  <si>
    <t>6905347342509</t>
  </si>
  <si>
    <t>Greenlee GSB09 1-1/8" Step Bit (#9)</t>
  </si>
  <si>
    <t>69.26</t>
  </si>
  <si>
    <t>71.95</t>
  </si>
  <si>
    <t>8009317875928</t>
  </si>
  <si>
    <t>Klein Tools 56402 Cap Visor LED Light</t>
  </si>
  <si>
    <t>Klein Tools 56402 LED Light, Cap Visor Clip Light has Pivoting Head, 2xAAA Batteries, for Work, Running, Outdoor Hiking, Camping, Fishing</t>
  </si>
  <si>
    <t>B07PST59RV</t>
  </si>
  <si>
    <t>27.22</t>
  </si>
  <si>
    <t>3389909893220</t>
  </si>
  <si>
    <t>Fluke 62 Max Industrial Infrared Thermometer, -22 to +932 Degree F Range, Single Laser Targeting, 10:1 Distance To Spot Ratio, IP54 Rating, Includes 3 Year Warranty, (Not For Human Temp)</t>
  </si>
  <si>
    <t>B008EW837S</t>
  </si>
  <si>
    <t>Packard C230A 2 Pole 30 Amp Contactor 24 Volt Coil Contactor</t>
  </si>
  <si>
    <t>B003U7W3SM</t>
  </si>
  <si>
    <t>ICM Controls ICM1503 Intermittent Ignition Oil Burner Primary Control, 45-Second Safety Timing, Honeywell Replacement</t>
  </si>
  <si>
    <t>ICM Controls ICM1501 Intermittent Ignition Oil Primary Control with 15 Seconds Safety Timing, Replacement for R8184G Series Honeywell</t>
  </si>
  <si>
    <t>B000U7SQ36</t>
  </si>
  <si>
    <t>76.99</t>
  </si>
  <si>
    <t>6852304535725</t>
  </si>
  <si>
    <t>ICM Controls ICM1501 Intermittent Ignition Oil Burner Primary Control, 15-Second Safety Timing</t>
  </si>
  <si>
    <t>105.78</t>
  </si>
  <si>
    <t>5441634107560</t>
  </si>
  <si>
    <t>ICM Controls ICM325H ICM325H Head Pressure Controls - Low Ambient Fan C</t>
  </si>
  <si>
    <t>B008HOTESA</t>
  </si>
  <si>
    <t>ICM Controls ICM288 Furnace Control Board - Replacement for Rheem 62-24084-82</t>
  </si>
  <si>
    <t>ICM Controls ICM288 Furnace Control, Low Cost Replacement for Rheem 62-24084-82 Control Boards</t>
  </si>
  <si>
    <t>B00E3EM40S</t>
  </si>
  <si>
    <t>193.21</t>
  </si>
  <si>
    <t>5401501925544</t>
  </si>
  <si>
    <t>Midwest Snips MIDWEST Bulldog Aviation Tin Snip - Straight Cut Regular Tin Cutting Shears with Forged Blade &amp; KUSH'N-POWER Comfort Grips - MWT-6716B</t>
  </si>
  <si>
    <t>B00OCGQJIA</t>
  </si>
  <si>
    <t>Klein Tools DK06 Serrated Duct Knife</t>
  </si>
  <si>
    <t>Klein Tools DK06 Knife, Serrated Stainless Steel Bladed Duct Knife for Flexible Duct and Duct Board in Sheath</t>
  </si>
  <si>
    <t>B003OA69W6</t>
  </si>
  <si>
    <t>16.97</t>
  </si>
  <si>
    <t>25.74</t>
  </si>
  <si>
    <t>4334100152420</t>
  </si>
  <si>
    <t>Channellock 426 6.5-Inch Straight Jaw Tongue&amp;Groove Pliers|Groove Joint Plier with Comfort Grips|0.87-Inch Jaw Capacity|Laser Heat-Treated 90░ Teeth|Forged High Carbon Steel,Black,Blue,Silver</t>
  </si>
  <si>
    <t>B00004SBCS</t>
  </si>
  <si>
    <t>CHANNELLOCK 424 Straight Jaw Tongue &amp; Groove Pliers, 4.5-inch | 1/2-inch Jaw Capacity | 3 Adjustments | Forged High-Carbon U.S. Steel | 90° Teeth Grip in Both Directions | Made in USA, Polished Steel</t>
  </si>
  <si>
    <t>B00004SBCR</t>
  </si>
  <si>
    <t>Milwaukee 2951-20 M12™ Radio + Charger</t>
  </si>
  <si>
    <t>Milwaukee 2951-20 M12 Lithium-Ion Cordless Radio + Charger (Tool Only)</t>
  </si>
  <si>
    <t>B08CL27W51</t>
  </si>
  <si>
    <t>5646060814504</t>
  </si>
  <si>
    <t>Yellow Jacket® 69020 Omni™ Digital Vacuum Gauge</t>
  </si>
  <si>
    <t>YELLOW JACKET 69020 Omni Digital Vacuum Gauge with 1/4" Coupler</t>
  </si>
  <si>
    <t>B071X9DG33</t>
  </si>
  <si>
    <t>203.32</t>
  </si>
  <si>
    <t>2443198922852</t>
  </si>
  <si>
    <t>Klein Tools 32314 Electronic Screwdriver, 14-in-1 with 8 Precision Tips, Slotted, Phillips, and Tamperproof TORX Bits, 6 Precision Nut Drivers</t>
  </si>
  <si>
    <t>B08J8GGQBL</t>
  </si>
  <si>
    <t>B071JRZB49</t>
  </si>
  <si>
    <t>Klein Tools 2138NEEINS Insulated Pliers, Slim Handle Side Cutters, 8-Inch</t>
  </si>
  <si>
    <t>Klein Tools 2139NEEINS Slim Handle Insulated Side Cutter Pliers, Streamline New England Nose with Knurled Jaws, 9-Inch</t>
  </si>
  <si>
    <t>B00JGG5RNE</t>
  </si>
  <si>
    <t>106.06</t>
  </si>
  <si>
    <t>8036834476248</t>
  </si>
  <si>
    <t>Milwaukee 2566-22 M12 FUEL™ 1/4" High Speed Ratchet Kit</t>
  </si>
  <si>
    <t>Milwaukee 2566-22 M12 FUEL Brushless Lithium-Ion 1/4 in. Cordless High Speed Ratchet Kit with 2 Batteries (2 Ah)</t>
  </si>
  <si>
    <t>B08XB2SBDY</t>
  </si>
  <si>
    <t>299.0</t>
  </si>
  <si>
    <t>558.0</t>
  </si>
  <si>
    <t>8006190465240</t>
  </si>
  <si>
    <t>Klein Tools D2000-48 Pliers, Linemans Diagonal Cutting Pliers with High Leverage Design, 8-Inch</t>
  </si>
  <si>
    <t>B0000302WZ</t>
  </si>
  <si>
    <t>Midwest MWT-CDT01 Cleat Driver</t>
  </si>
  <si>
    <t>MIDWEST Cleat Driver Tool - with &amp; - MWT-CDT0</t>
  </si>
  <si>
    <t>B07PVCW21K</t>
  </si>
  <si>
    <t>78.41</t>
  </si>
  <si>
    <t>3153670307940</t>
  </si>
  <si>
    <t>B003U2GONM</t>
  </si>
  <si>
    <t>White-Rodgers 50A65-5165 White Rodgers Direct Replacement for Trane Single Stage Integrated Furnace Control, 80V Ignitor</t>
  </si>
  <si>
    <t>B00NO2QFT6</t>
  </si>
  <si>
    <t>Klein Tools JTH6E14 5/16-Inch Hex Key, Journeyman T-Handle, 6-Inch</t>
  </si>
  <si>
    <t>B004ITSTL6</t>
  </si>
  <si>
    <t>Milwaukee 2529-21XC M12 FUEL™ Compact Band Saw Kit</t>
  </si>
  <si>
    <t>Milwaukee 2529-21XC M12 FUEL 12-Volt Lithium-Ion Cordless Compact Band Saw XC Kit with One 4.0 Ah Battery, Charger and Tool Bag</t>
  </si>
  <si>
    <t>B09MSRNQ3L</t>
  </si>
  <si>
    <t>329.0</t>
  </si>
  <si>
    <t>579.0</t>
  </si>
  <si>
    <t>8002619605208</t>
  </si>
  <si>
    <t>Testo 0590 7701 770-1 - Hook clamp meter</t>
  </si>
  <si>
    <t>Testo 770-1 (0590 7701) TRMS Hook-Clamp Digital Multimeter with Inrush, 400A</t>
  </si>
  <si>
    <t>B01F3MPN9M</t>
  </si>
  <si>
    <t>199.67</t>
  </si>
  <si>
    <t>205.0</t>
  </si>
  <si>
    <t>8011551965400</t>
  </si>
  <si>
    <t>Klein Tools JTH4E11 3/16-Inch Hex Key, Journeyman T-Handle, 4-Inch</t>
  </si>
  <si>
    <t>B004ITQHXI</t>
  </si>
  <si>
    <t>Wiha Tools 70298 7 Piece TerminatorBlue Impact Bit Set - 2 Inch Bits</t>
  </si>
  <si>
    <t>Wiha 7 Piece TerminatorBlue Impact Bit Set - 2 Inch Bits</t>
  </si>
  <si>
    <t>B09FY9LM36</t>
  </si>
  <si>
    <t>16.98</t>
  </si>
  <si>
    <t>8023563239640</t>
  </si>
  <si>
    <t>Nu-Calgon 4296-60 Pan-Treat Condensate Tablets</t>
  </si>
  <si>
    <t>Nu-Calgon 4296-60 Pan-Treat Scum 200 Tablets</t>
  </si>
  <si>
    <t>B003N5AS60</t>
  </si>
  <si>
    <t>27.3</t>
  </si>
  <si>
    <t>36.4</t>
  </si>
  <si>
    <t>7760611311832</t>
  </si>
  <si>
    <t>Diablo Tools DS0705CWR3 7-3/8 in. Demo-Demon Rough-In/Scrolling Carbide Reciprocating Blade (3-Pack)</t>
  </si>
  <si>
    <t>Diablo DS0705CWR3 7‑3/8 in. Demo‑Demon Rough‑In/Scrolling Carbide Reciprocating Blade 3 Pack</t>
  </si>
  <si>
    <t>B083YTKSVM</t>
  </si>
  <si>
    <t>4601250742372</t>
  </si>
  <si>
    <t>Uniweld UEK1 Hydraulic Expander Swage Kit</t>
  </si>
  <si>
    <t>Uniweld UEK1 Hydraulic Swage Tool Kit</t>
  </si>
  <si>
    <t>B01N1ZW7A9</t>
  </si>
  <si>
    <t>430.69</t>
  </si>
  <si>
    <t>559.33</t>
  </si>
  <si>
    <t>5597660512424</t>
  </si>
  <si>
    <t>SolderWeld SW-AS09310K Alloy Sol Aluminum Repair and Joining Rods, 10 Rod Pack</t>
  </si>
  <si>
    <t>25.5</t>
  </si>
  <si>
    <t>5781724790952</t>
  </si>
  <si>
    <t>MIDWEST Blackout Series Aviation Snip - Straight Cut Regular Tin Cutting Shears with Forged Blade &amp; KUSH'N-POWER Comfort Grips - MWT-6716SO</t>
  </si>
  <si>
    <t>B00TJQKWCM</t>
  </si>
  <si>
    <t>Diablo 5/8 in. x 7-1/2 in. Auger Bit</t>
  </si>
  <si>
    <t>B089LCPNWX</t>
  </si>
  <si>
    <t>Klein Tools J2000-28 Diagonal Cutting Pliers are Heavy-Duty High-Leverage Design, 8-Inch</t>
  </si>
  <si>
    <t>B00093DY2O</t>
  </si>
  <si>
    <t>Milwaukee M18 18V Fuel 3/8" Mid-Torque Impact Wrench Kit Cordless Lithium-Ion Brushless 2960-22 with (2) 5Ah XC Batteries, Charger &amp; Carrying Tool Case</t>
  </si>
  <si>
    <t>B09SJ6THNK</t>
  </si>
  <si>
    <t>Klein Tools 9230 Tape Measure, 30-Foot Magnetic Double-Hook</t>
  </si>
  <si>
    <t>Klein Tools 9230 Tape Measure, Heavy-Duty Measuring Tape with 30-Foot Double-Hook Double-Sided Nylon Reinforced Blade, with Metal Belt Clip</t>
  </si>
  <si>
    <t>B07WD63HT7</t>
  </si>
  <si>
    <t>44.94</t>
  </si>
  <si>
    <t>4411548041316</t>
  </si>
  <si>
    <t>Klein Tools S8 1/4-Inch Hollow Shaft Nut Driver, 3-Inch Shaft</t>
  </si>
  <si>
    <t>B0000302VS</t>
  </si>
  <si>
    <t>Braeburn 1230 Economy Thermostat, 2 Heat / 1 Cool Non-Programmable</t>
  </si>
  <si>
    <t>Braeburn 1020NC Thermostat, Builder Series Non-Programmable, Single Stage Heat/Cool Conventional or Heat Pump w/Large Display by Braeburn</t>
  </si>
  <si>
    <t>B018A2RKJ8</t>
  </si>
  <si>
    <t>54.85</t>
  </si>
  <si>
    <t>8025701810392</t>
  </si>
  <si>
    <t>Channellock 87 9" Rescue Tool</t>
  </si>
  <si>
    <t>Channellock 86 Spring Loaded Compact Rescue Tool with Lock, 9"</t>
  </si>
  <si>
    <t>B00X3WJ50S</t>
  </si>
  <si>
    <t>54.95</t>
  </si>
  <si>
    <t>75.52</t>
  </si>
  <si>
    <t>4417465155684</t>
  </si>
  <si>
    <t>Klein Tools 85073INS Insulated Screwdriver Set features 1000V Phillips, Slotted and Square Tips, Cushion Grip Handles, 3-Piece</t>
  </si>
  <si>
    <t>B0BF79WQZX</t>
  </si>
  <si>
    <t>NAVAC NVR1 Valve Core Removal Tool</t>
  </si>
  <si>
    <t>Navac Fast Recovery and Evacuation Valve Core Removal Tool (NVR1)</t>
  </si>
  <si>
    <t>B07VN8L5WC</t>
  </si>
  <si>
    <t>67.76</t>
  </si>
  <si>
    <t>88.81</t>
  </si>
  <si>
    <t>5740615073960</t>
  </si>
  <si>
    <t>Klein Tools JTH6T40 T40 TORX Hex Key, Journeyman T-Handle, 6-Inch</t>
  </si>
  <si>
    <t>B005G3B500</t>
  </si>
  <si>
    <t>Klein Tools D248-8-GLW Pliers, Hi-Viz Diagonal Cutting Pliers with Angled Head, Short Jaws, and Glow in the Dark Handles, 8-Inch</t>
  </si>
  <si>
    <t>B00LMM39TY</t>
  </si>
  <si>
    <t>Greenlee 1923A Wire Stripper/Cutter/Crimper</t>
  </si>
  <si>
    <t>Greenlee 1955-SS Stainless Steel Wire Stripper for 10-18 AWG Solid and 12-20 AWG Stranded, Heavy-Duty Stripper, Cutter, and Crimper Tool</t>
  </si>
  <si>
    <t>B00GFXD22E</t>
  </si>
  <si>
    <t>28.29</t>
  </si>
  <si>
    <t>29.85</t>
  </si>
  <si>
    <t>8008001945816</t>
  </si>
  <si>
    <t>Imperial Tool 368FH Triple Head 90 Degree Tube Bender, 3/16", 1/4", 5/16", and 3/8"</t>
  </si>
  <si>
    <t>B001HWFI0W</t>
  </si>
  <si>
    <t>Packard Contactor C130A 1 Pole 30 Amps 24 Coil Voltage 4.5 Out of 5 Stars 44</t>
  </si>
  <si>
    <t>B002CJFJWQ</t>
  </si>
  <si>
    <t>Klein Tools D200028GLW Pliers, Hi-Viz Diagonal Cutting Pliers with Short Jaws and Glow in the Dark Handles, 8-Inch</t>
  </si>
  <si>
    <t>B00H7PIB66</t>
  </si>
  <si>
    <t>Yellow Jacket 93780 SuperEvac™ PLUS II 8 CFM Vacuum Pump</t>
  </si>
  <si>
    <t>922.31</t>
  </si>
  <si>
    <t>6620419686573</t>
  </si>
  <si>
    <t>5/32-Inch Hex Key with Journeyman T-Handle, 9-Inch Klein Tools JTH9E10</t>
  </si>
  <si>
    <t>B004QV8H90</t>
  </si>
  <si>
    <t>PACKARD C240A 24V Coil, CONTACTOR, 2POLE, 4AMP</t>
  </si>
  <si>
    <t>B00S8K7J08</t>
  </si>
  <si>
    <t>Uniweld UDFT Deluxe Flaring Tool</t>
  </si>
  <si>
    <t>Uniweld UDFT Electric/Manual R-410A Ratchet + Clutch Flaring Tool</t>
  </si>
  <si>
    <t>B08LHDKDFW</t>
  </si>
  <si>
    <t>179.69</t>
  </si>
  <si>
    <t>233.36</t>
  </si>
  <si>
    <t>7646647124184</t>
  </si>
  <si>
    <t>Yellow Jacket 19111 Quick Coupler 1/4" Female Fl x 1/8" Male NPT Straight</t>
  </si>
  <si>
    <t>B009AXHU1A</t>
  </si>
  <si>
    <t>Klein Tools 2037EINS Long Nose Side Cut Pliers, 7-Inch Slim Insulated (203-7-EINS)</t>
  </si>
  <si>
    <t>Klein Tools 2037EINS Linemans Pliers, Long Nose Side Cutters, 7-Inch Slim Insulated</t>
  </si>
  <si>
    <t>B00JGG5OZA</t>
  </si>
  <si>
    <t>4431826092132</t>
  </si>
  <si>
    <t>Freud 99-066: 2" (Dia.) Drawer Front Bit with 1/2" Shank</t>
  </si>
  <si>
    <t>B0002TUDM4</t>
  </si>
  <si>
    <t>Klein Tools J213-9NE Side Cutter Linemans Pliers, High Leverage, 9-Inch, Streamlined Design, Color Coded</t>
  </si>
  <si>
    <t>B001TKF1BS</t>
  </si>
  <si>
    <t>Klein Tools J2000-59 Pliers, Diagonal Cutting Journeyman Pliers with High-Leverage Design, Larger Head and Extra Long Blades, 9-Inch</t>
  </si>
  <si>
    <t>B075XG1DFD</t>
  </si>
  <si>
    <t>Klein Tools 610 Tool Set, Nut Driver Set with Stubby Nut Driver Sizes 1/4 and 5/16-Inch, Full Hollow Shaft, 2-Piece</t>
  </si>
  <si>
    <t>B000CSKRCQ</t>
  </si>
  <si>
    <t>Klein Tools J502-10 Pliers, Adjustable Jaw Pump Pliers, Tongue and Groove, with Dual Material Handles, 10-Inch</t>
  </si>
  <si>
    <t>B00093D51Y</t>
  </si>
  <si>
    <t>Diablo Tools DMARG1020-P5 5/32 in. x 3 in. x 6 in. SPEEDemon™ Red Granite Carbide Tipped Hammer Drill Bit (5 Pack)</t>
  </si>
  <si>
    <t>Diablo by Freud DMARG1020-P5 5/32 in. x 3 in. x 6 in. SPEEDemon Red Granite Carbide Tipped Hammer Drill Bit (5-Pack)</t>
  </si>
  <si>
    <t>B089KX38FF</t>
  </si>
  <si>
    <t>17.47</t>
  </si>
  <si>
    <t>5386160373928</t>
  </si>
  <si>
    <t>Reed Tool DHR12 1 1/4NPT R12+ Drophead, 1-1/4-Inch NPT</t>
  </si>
  <si>
    <t>B000ZH8QVI</t>
  </si>
  <si>
    <t>Channellock 87 8.88-Inch First Responder Rescue Tool ,Designed for Firefighters &amp; EMTs ,Compact Cable Cutters Forged from Alloy Steel Easily Shears Through Cables and Soft Metal</t>
  </si>
  <si>
    <t>B0057UMN3A</t>
  </si>
  <si>
    <t>NAVAC NRP6Di Smart Vacuum Pump, 6 CFM</t>
  </si>
  <si>
    <t>B07L76S5LC</t>
  </si>
  <si>
    <t>Testo 0560 1510 01 510i Differential Pressure Manometer Smart Probe - 2nd Generation</t>
  </si>
  <si>
    <t>Testo 0560 1510 510I Differential Pressure Manometer Smart and Wireless Probe, 1" Height, 1" Width, 6" Length (Pack of 1)</t>
  </si>
  <si>
    <t>B07VHJKMML</t>
  </si>
  <si>
    <t>148.75</t>
  </si>
  <si>
    <t>175.0</t>
  </si>
  <si>
    <t>3697155997796</t>
  </si>
  <si>
    <t>Robertshaw 41-224 Hot Surface Furnace Ignitor</t>
  </si>
  <si>
    <t>Robertshaw 41-207 Hot Surface Ignitor</t>
  </si>
  <si>
    <t>B00Y1POTR0</t>
  </si>
  <si>
    <t>41.78</t>
  </si>
  <si>
    <t>8035179692248</t>
  </si>
  <si>
    <t>Fluke 117 Electrician's Multimeter with Non-Contact Voltage</t>
  </si>
  <si>
    <t>Fluke 117 Digital Multimeter, Non-Contact AC Voltage Detection, Measures Resistance/Continuity/Frequency/Capacitance/Min Max Average, Automatic AC/DC Voltage Selection, Low Impedance Mode</t>
  </si>
  <si>
    <t>B000O3LUEI</t>
  </si>
  <si>
    <t>253.79</t>
  </si>
  <si>
    <t>281.99</t>
  </si>
  <si>
    <t>6555465580717</t>
  </si>
  <si>
    <t>Klein Tools 12098 High Leverage Universal Lineman Combination Pliers with Crimping Die, Toothed Pipe Grip, Induction Hardened Knives, 8-Inch</t>
  </si>
  <si>
    <t>B0002RI4UY</t>
  </si>
  <si>
    <t>Klein Tools 44219 Replacement Hawkbill Blade for 44218 3-Pack</t>
  </si>
  <si>
    <t>B072BQ6HGJ</t>
  </si>
  <si>
    <t>19.76</t>
  </si>
  <si>
    <t>4171462246500</t>
  </si>
  <si>
    <t>Klein Tools 11063W Wire Cutter / Wire Stripper, Heavy Duty Automatic Wire Stripper Tool for 8-20 AWG Solid and 10-22 AWG Stranded Electrical Wire,Blue/Black</t>
  </si>
  <si>
    <t>B00BC39YFQ</t>
  </si>
  <si>
    <t>Jerax tools 1/4 to 1-3/8 Inch Step Drill Bit Spiral Grooved Double Fluted, M2 High Speed Steel Drill bits for Hole Drilling in Stainless Steel, Copper, Aluminum, Wood, Plastic</t>
  </si>
  <si>
    <t>B094VCMB17</t>
  </si>
  <si>
    <t>Klein Tools MM400 Multimeter, Digital Auto Ranging, AC/DC Voltage, Current, Capacitance, Frequency, Duty-Cycle, Diode, Continuity, Temp 600V,Orange</t>
  </si>
  <si>
    <t>B018EXZO8M</t>
  </si>
  <si>
    <t>Rectorseal 97647 Safe-T-Switch Ss3</t>
  </si>
  <si>
    <t>B007CZ6PD2</t>
  </si>
  <si>
    <t>ELECTECK Non-Programmable Digital Thermostat for Home, up to 1 Heat/1 Cool with Large LCD Display, Compatible with Single Stage Electrical and Gas/Oil System, Black</t>
  </si>
  <si>
    <t>B08ZCK31P9</t>
  </si>
  <si>
    <t>Malco Eagle Grip LP7R 7 in. Straight Jaw Locking Pliers</t>
  </si>
  <si>
    <t>B0924RJNPQ</t>
  </si>
  <si>
    <t>Nu-Calgon 4300-89 Injection Valve</t>
  </si>
  <si>
    <t>B008FM9OCK</t>
  </si>
  <si>
    <t>Klein Tools 80041 Outlet Repair Tool Kit with GFCI Receptacle Tester, Non Contact Voltage Tester and Wire Stripper, 3-Piece,Black</t>
  </si>
  <si>
    <t>B0977QNC3X</t>
  </si>
  <si>
    <t>Milwaukee 48-40-4515 8" Circular Saw Metal Cutting Blade- 42T</t>
  </si>
  <si>
    <t>Milwaukee 48-40-4205 5-3/8 in. x 30 Carbide Teeth Metal and Stainless Cutting Circular Saw Blade</t>
  </si>
  <si>
    <t>B0B4PBQ93R</t>
  </si>
  <si>
    <t>59.97</t>
  </si>
  <si>
    <t>88.2</t>
  </si>
  <si>
    <t>8007979434200</t>
  </si>
  <si>
    <t>Klein Tools 55580 Stainless Steel Tumbler with Flip-top Lid, Insulated 20 oz. Tradesman's Double Wall Vacuum Mug, Slip-resistant Sleeve</t>
  </si>
  <si>
    <t>B08DDWFFPW</t>
  </si>
  <si>
    <t>Diablo 1" x 16" x 21" Rebar Demon™ SDS-Max 4-Cutter Full Carbide Head Hammer Bit</t>
  </si>
  <si>
    <t>B089LN5QN7</t>
  </si>
  <si>
    <t>Klein Tools Tradesman Pro™ Maintenance Tool Pouch &amp; 5225 Tool Belt, Adjustable Electrician Belt is 2-Inch Wide, Adjusts for 48-Inch Waist</t>
  </si>
  <si>
    <t>B0BGJ61V5H</t>
  </si>
  <si>
    <t>Fluke - Fluke-1587 FC Fluke 1587 FC 2-in-1 Insulation Multimeter &amp; 376FC True-RMS Clamp Meter with iFlex</t>
  </si>
  <si>
    <t>B097RJ5RFC</t>
  </si>
  <si>
    <t>Supplying Demand SW-ALCU5.5 5 Rod Pack Aluminum to Copper or Brass 8 Inch Brazing Rods Appliance Refrigeration HVAC</t>
  </si>
  <si>
    <t>B09W6YND6P</t>
  </si>
  <si>
    <t>MA-Line MA-12816-A Analog Multimeter</t>
  </si>
  <si>
    <t>Sunwa YX360-TRD 7-Function 16-Range Analog Multimeter With One Touch Capacitance Estimation</t>
  </si>
  <si>
    <t>B00UN4CMPY</t>
  </si>
  <si>
    <t>19.94</t>
  </si>
  <si>
    <t>4328880275556</t>
  </si>
  <si>
    <t>Klein Tools 56383 Non-Conductive 100-Foot Electrical Fish Tape, Multi-Groove Fiberglass Wire Puller with Nylon Tip, Optimized Housing and Handle</t>
  </si>
  <si>
    <t>B08222VGN8</t>
  </si>
  <si>
    <t>Milwaukee 2771-20 M18 Transfer Pump (bare tool)</t>
  </si>
  <si>
    <t>Milwaukee 2771-20 M18 Transfer Pump</t>
  </si>
  <si>
    <t>B01M09J2YX</t>
  </si>
  <si>
    <t>229.0</t>
  </si>
  <si>
    <t>389.0</t>
  </si>
  <si>
    <t>5279085887656</t>
  </si>
  <si>
    <t>CHANNELLOCK 412 6.5-inch V-Jaw Tongue &amp; Groove Pliers | Made in USA | 0.94-inch Jaw Capacity | Forged High Carbon Steel | More Points of Contact on Round Stock , Polished</t>
  </si>
  <si>
    <t>B003GDIDMU</t>
  </si>
  <si>
    <t>Klein Tools D203-8-GLW Pliers, Needle Nose Side-Cutters, High-Visibility, 8-Inch</t>
  </si>
  <si>
    <t>Klein Tools D203-8 Needle Nose Pliers, Long Nose Side Cutters, Alligator Pliers with Extended Handles, 8-Inch</t>
  </si>
  <si>
    <t>B0000302WQ</t>
  </si>
  <si>
    <t>53.0</t>
  </si>
  <si>
    <t>4386818883684</t>
  </si>
  <si>
    <t>Klein Tools CL445 HVAC Clamp Meter</t>
  </si>
  <si>
    <t>Klein Tools CL320 Digital Clamp Meter, HVAC AC Auto-ranging 400A, AC/DC Voltage, TRMS, DC Microamps, Resistance, Frequency, NCVT, Temp, More</t>
  </si>
  <si>
    <t>B08DDTV5KG</t>
  </si>
  <si>
    <t>140.0</t>
  </si>
  <si>
    <t>8018511134936</t>
  </si>
  <si>
    <t>Supco M500 Insulation Tester / LED Megohmmeter</t>
  </si>
  <si>
    <t>Supco M500 Insulation Tester/Electronic Megohmmeter with Soft Carrying Case, 0 to 1000 megohms Black</t>
  </si>
  <si>
    <t>B004OMAWIA</t>
  </si>
  <si>
    <t>116.94</t>
  </si>
  <si>
    <t>5259958976680</t>
  </si>
  <si>
    <t>Milwaukee 2912-22 M18 FUEL Brushless Lithium-Ion 1 in. Cordless SDS Plus Rotary Hammer Kit (6 Ah)</t>
  </si>
  <si>
    <t>B09PPQ5Q37</t>
  </si>
  <si>
    <t>Wiha Tools 32097 7 Piece Insulated SoftFinish Screwdriver Set</t>
  </si>
  <si>
    <t>Wiha 32097 | 7 Piece Insulated SoftFinish Screwdriver Set</t>
  </si>
  <si>
    <t>B07MWLL23S</t>
  </si>
  <si>
    <t>53.49</t>
  </si>
  <si>
    <t>71.32</t>
  </si>
  <si>
    <t>8023431020760</t>
  </si>
  <si>
    <t>Klein Tools S8M 1/4-Inch Magnetic Nut Driver with 3-Inch Solid Shaft and Comfordome Handle</t>
  </si>
  <si>
    <t>B00093GCW8</t>
  </si>
  <si>
    <t>Reed Tool DHR12 3/4NPT R12+ Drophead, 3/4-Inch NPT</t>
  </si>
  <si>
    <t>B000ZH6R3M</t>
  </si>
  <si>
    <t>Malco Tools LP10WC Eagle Grip 10″ Curved Jaw Locking Pliers W/Wire Cutters</t>
  </si>
  <si>
    <t>Malco Eagle Grip LP10WC 10 in. Curved Jaw Locking Pliers with Wire Cutter</t>
  </si>
  <si>
    <t>B0924QDF47</t>
  </si>
  <si>
    <t>54.39</t>
  </si>
  <si>
    <t>57.14</t>
  </si>
  <si>
    <t>7742426743000</t>
  </si>
  <si>
    <t>Testo 0560 1510 510I Differential Pressure Manometer Smart and Wireless Probe, 1" Height, 1" Width, 6" Length</t>
  </si>
  <si>
    <t>B018VO5GLO</t>
  </si>
  <si>
    <t>Fluke 381 Remote Display True-RMS AC/DC Clamp Meter with iFlex</t>
  </si>
  <si>
    <t>B004BF5ZEQ</t>
  </si>
  <si>
    <t>Klein Tools 608-6 1/8-Inch Cabinet Tip Mini Screwdriver, 6-Inch</t>
  </si>
  <si>
    <t>B001BQ20NC</t>
  </si>
  <si>
    <t>Milwaukee 48-22-0304 6 Inch Drywall and Plaster Rasping Jab Saw w/ Rubber Handle</t>
  </si>
  <si>
    <t>B003I85GTQ</t>
  </si>
  <si>
    <t>Nu-Calgon 4773-0 Clean Connect Sprayer</t>
  </si>
  <si>
    <t>119.91</t>
  </si>
  <si>
    <t>159.88</t>
  </si>
  <si>
    <t>7874094694616</t>
  </si>
  <si>
    <t>Klein Tools 56403 LED Light, Rechargeable Flashlight / Worklight with Kickstand and Carabiner, Charges Small Electronics, for Work, Camping</t>
  </si>
  <si>
    <t>B07V4FTX6C</t>
  </si>
  <si>
    <t>Klein Tools 69149P Electrical Test Kit with Digital Multimeter, Noncontact Voltage Tester and Electrical Outlet Tester, Leads and Batteries, Green,Red</t>
  </si>
  <si>
    <t>B09C6MGD7J</t>
  </si>
  <si>
    <t>Upgraded CSR-U1 Compressor Saver Compatible with 5-2-1 HVAC Hard Start Kit 1 to 3 Ton Units Hard Start Kit for Air Conditioner, AC Hard Start Capacitor</t>
  </si>
  <si>
    <t>B07GKXGKRB</t>
  </si>
  <si>
    <t>Klein Tools SK234 Screwdriver Set, Slotted Screw Holding, 3-Piece</t>
  </si>
  <si>
    <t>45.42</t>
  </si>
  <si>
    <t>4405483143268</t>
  </si>
  <si>
    <t>Klein Tools K48 5/16-Inch Slotted Screw-Holding Flat Head Screwdriver with 8-Inch Round Shank and Comfordome Handle</t>
  </si>
  <si>
    <t>B00093GCWI</t>
  </si>
  <si>
    <t>Fluke 376FC AC/DC Clamp Meter with iFlex For Industrial/Commercial Electricians, VFD Low Pass Filter For Accurate Measurements, Inrush Measurements, Bluetooth Connectivity For Remote Measurements</t>
  </si>
  <si>
    <t>B017OVC2QM</t>
  </si>
  <si>
    <t>Klein Tools NCVT1XTKIT Non-Contact Voltage Detector Pen and GFCI Outlet Premium Test Kit, 70V to 1000V AC, Detects Common Wiring Problems,Red</t>
  </si>
  <si>
    <t>B0BNLRMNF2</t>
  </si>
  <si>
    <t>MIDWEST Aviation Snip - Left Cut Regular Tin Cutting Shears with Forged Blade &amp; KUSH'N-POWER Comfort Grips - MWT-6716L</t>
  </si>
  <si>
    <t>B00OCGQFT8</t>
  </si>
  <si>
    <t>WIHA 66982 ErgoStar Ball End Hex L-Key, Inch and Metric, 22-Piece</t>
  </si>
  <si>
    <t>B009461IMA</t>
  </si>
  <si>
    <t>Packard HS24A346 2-DPDT Heat Sequencer - 2 Timings, 4 Switches</t>
  </si>
  <si>
    <t>HS24A346 - Packard Aftermarket Replacement 20 KW Heat Sequencer Relay</t>
  </si>
  <si>
    <t>B00FX6Q7V2</t>
  </si>
  <si>
    <t>22.04</t>
  </si>
  <si>
    <t>4464143564900</t>
  </si>
  <si>
    <t>Klein Tools NCVT2P Dual Range, Non-Contact Voltage Tester, 12-1000V AC, Visual and Audible Indicators, Auto Power Off, Green</t>
  </si>
  <si>
    <t>B07L5N8ZWS</t>
  </si>
  <si>
    <t>Fluke 1587 FC 2-in-1 Insulation Multimeter, True-RMS, Selectable Insulation Test Voltages Up To 1000 V, Pi/DAR Timed Ratio Tests, Measures Frequency, Includes Low-Pass Filter For Motor Drive VFD</t>
  </si>
  <si>
    <t>B017OVC2UI</t>
  </si>
  <si>
    <t>Diablo DMAMX1180 7/8 in. x 16 in. x 21 in. Rebar Demon™ SDS-Max 4-Cutter Full Carbide Head Hammer Bit</t>
  </si>
  <si>
    <t>B089KWFF8B</t>
  </si>
  <si>
    <t>Malco Tools UFWM Universal Oil Filter Wrench</t>
  </si>
  <si>
    <t>BILITOOLS Oil Filter Removal Tool, Universal Oil Filter Wrench Set Adjustable 2-1/2 to 4 inch &amp; 3 to 5-1/2 inch, 1/2" Drive</t>
  </si>
  <si>
    <t>B0BPGD5ND2</t>
  </si>
  <si>
    <t>7882422812888</t>
  </si>
  <si>
    <t>BILITOOLS Universal Oil Filter Wrench Removal Tool Adjustable, 60-80mm (2.36-3.15 inch), 1/2" Drive</t>
  </si>
  <si>
    <t>B0B616T1BJ</t>
  </si>
  <si>
    <t>Klein Tools 635-1/2 1/2-Inch Heavy-Duty Nut Driver</t>
  </si>
  <si>
    <t>B01D6CWLG4</t>
  </si>
  <si>
    <t>Malco Tools LP10R Eagle Grip 10″ Straight Jaw Locking Pliers</t>
  </si>
  <si>
    <t>Malco Eagle Grip LP10R Locking Tool, 10" Straight Jaw</t>
  </si>
  <si>
    <t>B0924S76Q1</t>
  </si>
  <si>
    <t>55.99</t>
  </si>
  <si>
    <t>60.04</t>
  </si>
  <si>
    <t>7742236262616</t>
  </si>
  <si>
    <t>Klein Tools D248-8 Pliers, Diagonal Cutting Multi-Purpose Pliers with Angled Head, High-Leverage Design, and Short Jaw, 8-Inch</t>
  </si>
  <si>
    <t>B0000302W8</t>
  </si>
  <si>
    <t>Diablo DMAMX1140 3/4 in. x 16 in. x 21 in. Rebar Demon™ SDS-Max 4-Cutter Full Carbide Head Hammer Bit</t>
  </si>
  <si>
    <t>B089KWP4WK</t>
  </si>
  <si>
    <t>Upgraded 5-2-1 CSR-U1 Compressor Saver Starter Kit for 1- to 3-ton AC units,Durable 5-2-1 HVAC Compressor Saver Hard Start Capacitor,Easy to Install -1 Years Warranty</t>
  </si>
  <si>
    <t>B0B5WQJT62</t>
  </si>
  <si>
    <t>Klein Tools 200028EINS Pliers, Electrician's Insulated Diagonal Cutting Pliers with Slim Handle 1000V Rated Grips, 8-Inch</t>
  </si>
  <si>
    <t>B00JGG5P86</t>
  </si>
  <si>
    <t>Klein Tools 1010 Long Nose Multi Tool Wire Stripper, Wire Cutters, Crimping Tool</t>
  </si>
  <si>
    <t>Klein Tools 1001 Multi Tool, Wire Stripper, Wire Cutters, Crimper Tool for 8-22 AWG, Multi-Purpose Electrician Tool is 8.5-Inch Long</t>
  </si>
  <si>
    <t>B000EVLUR2</t>
  </si>
  <si>
    <t>33.36</t>
  </si>
  <si>
    <t>4431821242468</t>
  </si>
  <si>
    <t>Rectorseal 83919 Aspen Maxi Orange Univ Pump 100-250V</t>
  </si>
  <si>
    <t>Rectorseal 83919 Aspen Maxi Orange Univ Condensate Pump 11x7x2</t>
  </si>
  <si>
    <t>B00KBP6UQ2</t>
  </si>
  <si>
    <t>233.52</t>
  </si>
  <si>
    <t>8021220262104</t>
  </si>
  <si>
    <t>Klein Tools D213-9NE Pliers, 9-Inch Side Cutters, High Leverage Linesman Pliers Cut Copper, Aluminum and other Soft Metals</t>
  </si>
  <si>
    <t>B0000302W6</t>
  </si>
  <si>
    <t>Klein Tools 86600 1/4-Inch Magnetic Hex Drivers, 3-Pack</t>
  </si>
  <si>
    <t>B0043GVDX0</t>
  </si>
  <si>
    <t>Klein Tools 32242 Drill Tap, 1/4-20</t>
  </si>
  <si>
    <t>B019874QJQ</t>
  </si>
  <si>
    <t>Packard 48332 Draft Inducer, Goodman B4833001 Replacement, 115 Volt, 1.8-1.1 Amps</t>
  </si>
  <si>
    <t>Packard 48332 Draft Inducer, Goodman Replacement, 115V, 1.8-1.1 Amp</t>
  </si>
  <si>
    <t>B00JN0OT0U</t>
  </si>
  <si>
    <t>198.18</t>
  </si>
  <si>
    <t>6924621971629</t>
  </si>
  <si>
    <t>Malco Tools MSHXLC 6-Inch C-Rhex Cleanable, Reversible Magnetic Hex Driver, 1/4" &amp; 5/16"</t>
  </si>
  <si>
    <t>19.11</t>
  </si>
  <si>
    <t>4102710394980</t>
  </si>
  <si>
    <t>Fluke 377FC AC/DC TRMS Non-Contact Voltage Wireless Clamp w/iFlex</t>
  </si>
  <si>
    <t>B0916LXCWW</t>
  </si>
  <si>
    <t>ICM2805A Furnace Control Board Replacement for Nordyne 624631Circuit Board, Used with G3, G4, G5, G6, M2 and M3 Furnace Modules, 624631 903106</t>
  </si>
  <si>
    <t>B0C5GW9NST</t>
  </si>
  <si>
    <t>CSRU1 CSR-U1 AC Hard Start Kit - DIY eTips Included - Compatible with 1 to 3 Ton AC Units - Upgraded 5-2-1 Compressor Saver Starter Kit - Easy to Install - Durable Materials</t>
  </si>
  <si>
    <t>B07V3TLLV7</t>
  </si>
  <si>
    <t>VEVOR Pipe Tube Bender, 1/4", 3/8", 1/2" OD, 3 in 1 Manual Level Tube Bender, 180° Copper Aluminum Pipes Bending Tools for HVAC Air Conditioning Refrigerator Repair</t>
  </si>
  <si>
    <t>B0C4F6BWDX</t>
  </si>
  <si>
    <t>Klein Tools J203-7 Long Nose Side-Cutter Pliers, Induction-Hardened Cutting Knives with Hot-Riveted Joints and Slim Heads, 7-Inch</t>
  </si>
  <si>
    <t>B000G6CACO</t>
  </si>
  <si>
    <t>ELECTECK Non-Programmable Digital Thermostat for Home, up to 1 Heat/1 Cool with Large LCD Display, Compatible with Single Stage Electrical and Gas/Oil System, White</t>
  </si>
  <si>
    <t>B07ZVVB1QT</t>
  </si>
  <si>
    <t>Wiha 66988 13 Piece ErgoStar Ball End Hex L-Key Set Inch</t>
  </si>
  <si>
    <t>B00CJC51MO</t>
  </si>
  <si>
    <t>SPP6E Hard Start Capacitor,E Series Electronic Potential Relay Style Hard Start Kit-1/2-3 Horsepower Range, 88-106F</t>
  </si>
  <si>
    <t>B08TWDDDDG</t>
  </si>
  <si>
    <t>OEM Upgraded Replacement for Goodman Furnace Control Circuit Board PCBFM131S</t>
  </si>
  <si>
    <t>B00EF5PRUY</t>
  </si>
  <si>
    <t>Elitech Refrigerant Leak Detector, Infrared &amp; Heated Diode Sensors in 1 Unit, HVAC Halogen Gas Sniffer, Anti-Interference, Reach SAE Standards, IR-200</t>
  </si>
  <si>
    <t>B083J25Z4X</t>
  </si>
  <si>
    <t>Refrigeration Technologies RT201BP Viper Nylog Blue - Gasket &amp; Thread Sealant, 2-Pack</t>
  </si>
  <si>
    <t>16.02</t>
  </si>
  <si>
    <t>17.6</t>
  </si>
  <si>
    <t>6649012256941</t>
  </si>
  <si>
    <t>BlueStars Premium 5-2-1 CSR-U1 CSRU1 Compressor Saver Hard Start Capacitor Kit for 1- to 3-ton AC units - Durable 5-2-1 HVAC Compressor Saver Hard Start Capacitor - Easy to Install - PACK OF 1</t>
  </si>
  <si>
    <t>B07X463KD1</t>
  </si>
  <si>
    <t>Packard PRMJ145 Packard 330V Start Capacitor 145-174 MFD</t>
  </si>
  <si>
    <t>B005YN6RNW</t>
  </si>
  <si>
    <t>Channellock 430CB 10" Code Blue Straight Jaw Tongue &amp; Groove Pliers</t>
  </si>
  <si>
    <t>26.95</t>
  </si>
  <si>
    <t>37.91</t>
  </si>
  <si>
    <t>3725968736356</t>
  </si>
  <si>
    <t>Fluke 376 True RMS AC/DC Clamp Meter with iFlex</t>
  </si>
  <si>
    <t>B0086963VC</t>
  </si>
  <si>
    <t>Klein Tools 9225 Tape Measure, Heavy-Duty Measuring Tape with 25-Foot Double-Hook Double-Sided Nylon Reinforced Blade, with Metal Belt Clip</t>
  </si>
  <si>
    <t>B07WF9TKNN</t>
  </si>
  <si>
    <t>Channellock Tool Roll-6LC 6pc LITTLE CHAMP®Tool Set with Tool Roll</t>
  </si>
  <si>
    <t>CHANNELLOCK GP-7 6pc Professional Tool Set with Tool Roll | Includes 4 Pliers, Wrench, Driver, Roll</t>
  </si>
  <si>
    <t>B0029PENOI</t>
  </si>
  <si>
    <t>129.95</t>
  </si>
  <si>
    <t>216.7</t>
  </si>
  <si>
    <t>5410962178216</t>
  </si>
  <si>
    <t>Diablo DMAPL4310 1 in. x 16 in. x 18 in. Rebar Demon™ SDS-Plus 4-Cutter Full Carbide Head Hammer Bit</t>
  </si>
  <si>
    <t>B089KX2VKR</t>
  </si>
  <si>
    <t>CPS Products TRS600 Sparkless Ignition Proof Recovery Machine</t>
  </si>
  <si>
    <t>CPS TRS21 Pro-Set Sparkless Ignition Proof Refrigerant Recovery Machine</t>
  </si>
  <si>
    <t>B08B7W6NVV</t>
  </si>
  <si>
    <t>1069.28</t>
  </si>
  <si>
    <t>1233.78</t>
  </si>
  <si>
    <t>8007779746008</t>
  </si>
  <si>
    <t>Malco Tools LP11SP Eagle Grip 11″ Locking C-Clamps with Swivel Pads</t>
  </si>
  <si>
    <t>Malco Eagle Grip LP11SP 11 in. Locking C-Clamp with Swivel Pads</t>
  </si>
  <si>
    <t>B0924SVWCF</t>
  </si>
  <si>
    <t>73.99</t>
  </si>
  <si>
    <t>80.93</t>
  </si>
  <si>
    <t>7742478450904</t>
  </si>
  <si>
    <t>Yellow Jacket 93760 SuperEvac™ PLUS II 6 CFM Vacuum Pump</t>
  </si>
  <si>
    <t>Yellow Jacket 93760 SuperEvac Plus II - 6 CFM</t>
  </si>
  <si>
    <t>B097L5P25H</t>
  </si>
  <si>
    <t>850.68</t>
  </si>
  <si>
    <t>6626605007021</t>
  </si>
  <si>
    <t>Diablo 1/4 in. x 7-1/2 in. Auger Bit</t>
  </si>
  <si>
    <t>B089LG7B4D</t>
  </si>
  <si>
    <t>Klein Tools 70591 Folding Hex Key Set, 9-Key, SAE Sizes</t>
  </si>
  <si>
    <t>B0002RI8RS</t>
  </si>
  <si>
    <t>Uniweld UTC701 Premium Tubing Cutter Cuts 1/8 Inch to 1 Inch O.D. Copper, Brass, and Aluminum Tubing</t>
  </si>
  <si>
    <t>B00HNQRKFC</t>
  </si>
  <si>
    <t>Diablo 5/8" x 16"x21" Rebar Demon SDS-Max 4-Cutter Full Carbide Head Hammer Bit</t>
  </si>
  <si>
    <t>B089LCPW7V</t>
  </si>
  <si>
    <t>hilmor 1839026 TB1438 Tri-Tube Bender 1/4", 5/16", 3/8"</t>
  </si>
  <si>
    <t>B00HVAS5LI</t>
  </si>
  <si>
    <t>PFS401 Universal Furnace Electrode Flame Sensor for Carrier replaces White Rodgers 760-401, 31380679</t>
  </si>
  <si>
    <t>B00HE0BLDO</t>
  </si>
  <si>
    <t>Milwaukee 2366-20 M18™ ROVER™ Dual Power Flood Light</t>
  </si>
  <si>
    <t>Milwaukee 2366-20 M18 ROVER Compact Lithium-Ion Dual Power 4000 Lumens Corded/ Cordless LED Flood Light (Tool Only)</t>
  </si>
  <si>
    <t>B08YS6CXG6</t>
  </si>
  <si>
    <t>256.0</t>
  </si>
  <si>
    <t>7741220815064</t>
  </si>
  <si>
    <t>Klein Tools 213-9NE High Leverage Side-Cutting Pliers with Knurled Jaws, Handle Tempering and Induction Hardened Knives</t>
  </si>
  <si>
    <t>B000KM95C2</t>
  </si>
  <si>
    <t>Klein Tools D502-10 Pump Pliers, 10-Inch Tongue and Groove, Quick-Adjust Rivet, 1-3/4 Inch Max Parallel Jaw Range, Tension Loaded Joint</t>
  </si>
  <si>
    <t>B0000302WC</t>
  </si>
  <si>
    <t>(1) Pack/Nu-Calgon Gel-Tab Mini # 4185-95, Condensate Pan Treatment up to 1-1/2 Tons</t>
  </si>
  <si>
    <t>B08SFLZBKH</t>
  </si>
  <si>
    <t>AMERICAN MUTT TOOLS Adjustable Sheet Metal Hole Cutter – Cut 2 – 12" Circle Holes in 24ga Steel and 26ga Stainless Steel | Adjustable Hole Cutter for Metal, Duct Hole Cutter, HVAC Ductwork Hole Cutter</t>
  </si>
  <si>
    <t>B0BNNXKQC9</t>
  </si>
  <si>
    <t>Fresh-Aire UV TUVP-ER-PCO Fresh Aire UV Power Supply</t>
  </si>
  <si>
    <t>LSE Lighting TUVL-215P TUVL-200-E 15" UV Lamp for AHU Series 1 APCO MAG 15 (no Black Wire Attached) | Used for Fresh-Aire UVC Systems | 2 Year 15" Replacement lamp | Made from Hard Quartz</t>
  </si>
  <si>
    <t>B0BCH7Z2T3</t>
  </si>
  <si>
    <t>77.22</t>
  </si>
  <si>
    <t>8028105605336</t>
  </si>
  <si>
    <t>Milwaukee 48-22-0335 35ft Compact Wide Blade Magnetic Tape Measure</t>
  </si>
  <si>
    <t>Milwaukee 48-22-0325 Compact Wide Blade Magnetic Tape Measures</t>
  </si>
  <si>
    <t>B082L6Q7WV</t>
  </si>
  <si>
    <t>32.97</t>
  </si>
  <si>
    <t>46.7</t>
  </si>
  <si>
    <t>8020501528792</t>
  </si>
  <si>
    <t>Wiha 66994 9-Piece Metric Ball End Long Hex L-Key Set</t>
  </si>
  <si>
    <t>B002S0O7TK</t>
  </si>
  <si>
    <t>Klein Tools 55437 Tradesman Pro Work Light / Tool Bag Light / Cooler Light, for Work, and Outdoor Hiking, Camping</t>
  </si>
  <si>
    <t>B00MJO7KYO</t>
  </si>
  <si>
    <t>Klein Tools 9216 Tape Measure, Heavy-Duty Measuring Tape with 16-Foot Double-Hook Double-Sided Nylon Reinforced Blade, with Metal Belt Clip</t>
  </si>
  <si>
    <t>B07WHF9LWP</t>
  </si>
  <si>
    <t>Milwaukee 48-11-2430 M12™ REDLITHIUM™ 3.0 Compact Battery Pack</t>
  </si>
  <si>
    <t>Milwaukee Electric Tool 48-11-2430 M12 Red Lithium 3.0 Compact Battery Pack, 3.375" x 1.875" x 1.75"</t>
  </si>
  <si>
    <t>B078W9W425</t>
  </si>
  <si>
    <t>69.0</t>
  </si>
  <si>
    <t>117.0</t>
  </si>
  <si>
    <t>4385431912548</t>
  </si>
  <si>
    <t>Klein Tools 32477 Multi-Bit Screwdriver / Nut Driver 10-in-1 Multi Tool, Industrial Strength Bits, Phillips, Slotted, Square and Torx Bits</t>
  </si>
  <si>
    <t>B0002RI5EY</t>
  </si>
  <si>
    <t>Klein Tools D248-9ST Pliers, Ironworker's Diagonal Cutting Pliers with High Leverage Design Works as Rebar Cutter and Rebar Bender, 9-Inch</t>
  </si>
  <si>
    <t>B0009ZAT1G</t>
  </si>
  <si>
    <t>Klein Tools NCVT3PKIT Electrical Test Kit, Dual-Range Non-Contact Voltage Tester with Flashlight, AC/DC Voltage Tester</t>
  </si>
  <si>
    <t>B08SY9XFJK</t>
  </si>
  <si>
    <t>AC Hard Start Capacitor Compatible with 5-2-1 CSR-U2, Compressor Saver for 3.5-4- 5 Tons, Hvac Hard Start Kit</t>
  </si>
  <si>
    <t>B07MDJ67M7</t>
  </si>
  <si>
    <t>Klein Tools JTH67T Hex Key Set, TORX T-Handle, 6-Inch with Stand, 7-Piece</t>
  </si>
  <si>
    <t>Klein Tools JTH67T Hex Key Set, TORX T-Handle Hex Key Allen Wrench Set with 6-Inch Blades, Stand Included, 7-Piece</t>
  </si>
  <si>
    <t>B004DAE9G4</t>
  </si>
  <si>
    <t>76.3</t>
  </si>
  <si>
    <t>1900793823332</t>
  </si>
  <si>
    <t>PFS401 Universal Furnace Electode Flame Sensor replaces White Rodgers 760-401 HVAC Part</t>
  </si>
  <si>
    <t>B07KJQP4QY</t>
  </si>
  <si>
    <t>B077ZB71LK</t>
  </si>
  <si>
    <t>Nu-Calgon 4900-10 iWave-C Commercial Air Ionization System</t>
  </si>
  <si>
    <t>Nu-Calgon 4900-10 iWave-C Commercial Air Cleaner</t>
  </si>
  <si>
    <t>B072N1M4JS</t>
  </si>
  <si>
    <t>649.93</t>
  </si>
  <si>
    <t>1008.66</t>
  </si>
  <si>
    <t>8007544176856</t>
  </si>
  <si>
    <t>Inficon Compass, Refrigerant Leak Detector, 717-202-G1</t>
  </si>
  <si>
    <t>B000X288WM</t>
  </si>
  <si>
    <t>Yellow Jacket 60616 Off-Set Service Wrench - 1/4", 3/16", 3/8" &amp; 5/16"</t>
  </si>
  <si>
    <t>LDCRE HVAC Service Wrench Set, Air Conditioner Valve Curved Ratchet Wrench (1/4", 3/8", 3/16", 5/16"), with Hexagon Bit Adapter Tool Kit for Refrigeration Equipment and Repair</t>
  </si>
  <si>
    <t>B09YHHW476</t>
  </si>
  <si>
    <t>17.16</t>
  </si>
  <si>
    <t>6851779526829</t>
  </si>
  <si>
    <t>Milwaukee Electric Tool 48-11-2430 M12 Redlithium 3.0 Compact Battery Pack</t>
  </si>
  <si>
    <t>B01M4LEIPF</t>
  </si>
  <si>
    <t>(4) Pack/Nu-Calgon Gel-Tab # 4185-03, Condensate Pan Treatment up to 3 Tons</t>
  </si>
  <si>
    <t>B07W43TC9Y</t>
  </si>
  <si>
    <t>Wiha 32085 5 Piece Insulated PicoFinish Precision Screwdriver Set</t>
  </si>
  <si>
    <t>B00SZ66CSA</t>
  </si>
  <si>
    <t>CSRU2 5-2-1 Compressor Saver Replacement HVAC Hard Start Capacitor 3.5-4- 5 Tons Hard Start Kit FOR Air Conditioner</t>
  </si>
  <si>
    <t>B0B7842HBF</t>
  </si>
  <si>
    <t>Wiha 26187 8 Piece PicoFinish Precision Screwdriver Set, Slotted and Phillips</t>
  </si>
  <si>
    <t>B084DZ71RX</t>
  </si>
  <si>
    <t>Viega 25301 1/2" x 1/2" x 1/2" MegaPressG Tee</t>
  </si>
  <si>
    <t>ProPress Tee, 1/2" x 1/2" x 1/2"</t>
  </si>
  <si>
    <t>B000R899KW</t>
  </si>
  <si>
    <t>19.9</t>
  </si>
  <si>
    <t>35.53</t>
  </si>
  <si>
    <t>8028491055320</t>
  </si>
  <si>
    <t>CSRU2 CSR-U2 AC Hard Start Kit - DIY eTips Included - Compatible with 3.5- to 5-ton AC units - Upgraded 5-2-1 Compressor Saver Starter Kit - Easy to Install - Durable Materials</t>
  </si>
  <si>
    <t>B07V3TL63Q</t>
  </si>
  <si>
    <t>Supco CCB100 Coil-X Coil Cleaning Brush</t>
  </si>
  <si>
    <t>GE PM14X51 Coil Cleaning Brush, Black</t>
  </si>
  <si>
    <t>B00DZU954E</t>
  </si>
  <si>
    <t>5290623828136</t>
  </si>
  <si>
    <t>Next Generation Air Conditioner Evaporator Coil Condenser Fin Cleaning Brush - Double Sided - Wide - by XCEL</t>
  </si>
  <si>
    <t>B0C22YXH1B</t>
  </si>
  <si>
    <t>Klein Tools K46 5/16-Inch Slotted Screw-Holding Flat Head Screwdriver with 6-Inch Round Shank and Comfordome Handle</t>
  </si>
  <si>
    <t>B000936P4S</t>
  </si>
  <si>
    <t>ICM284 - Aftermarket Upgraded Replacement for ICM Controls Furnace Control Circuit Board</t>
  </si>
  <si>
    <t>B07KPKHNZ9</t>
  </si>
  <si>
    <t>Klein Tools 1009 Multi Tool, Wire Stripper, Crimping Tool, Wire Cutter, Long-Nose Multi-Purpose Electrician Tool,Gray/Yellow</t>
  </si>
  <si>
    <t>B079T9Q9X8</t>
  </si>
  <si>
    <t>Milwaukee GIDDS2-288392 48-25-1372 Standard Selfeed Drill Bit</t>
  </si>
  <si>
    <t>B000F6V0O4</t>
  </si>
  <si>
    <t>Klein Tools 602-4 1/4-Inch Keystone-Tip Screwdriver with 4-Inch Heavy-Duty Round-Shank</t>
  </si>
  <si>
    <t>B0000302WD</t>
  </si>
  <si>
    <t>Greenlee GSB04 7/8" Step Bit (#4)</t>
  </si>
  <si>
    <t>53.96</t>
  </si>
  <si>
    <t>55.05</t>
  </si>
  <si>
    <t>8009319186648</t>
  </si>
  <si>
    <t>Greenlee GSB07 7/8" Step Bit (#7)</t>
  </si>
  <si>
    <t>54.59</t>
  </si>
  <si>
    <t>59.9</t>
  </si>
  <si>
    <t>8009322561752</t>
  </si>
  <si>
    <t>ICM Controls ICM101F Delay-On-Make Timer with 5 Minutes Fixed Delay and 6 Wire Leads, 18 VAC-30 VAC</t>
  </si>
  <si>
    <t>B00GIOYUJY</t>
  </si>
  <si>
    <t>Winters PET Series Steel Dual Scale Gas Test Pressure Gauge with Polycarbonate Lens, 0-30 psi/kpa, 2" Dial Display, +/-3-2-3% Accuracy, 3/4" FNPT Connection</t>
  </si>
  <si>
    <t>B0087UDNW2</t>
  </si>
  <si>
    <t>Wiha 36991 13-Piece Ball End Long Hex-Inch L-Key Set in ProStar Holder</t>
  </si>
  <si>
    <t>B000LSJGQU</t>
  </si>
  <si>
    <t>Klein Tools 86522 Straight Hand Seamer, 3-Inch</t>
  </si>
  <si>
    <t>AMERICAN MUTT TOOLS Sheet Metal Hand Seamer - 3 Inch Sheet Metal Bender with 1/4" Depth Markings | Metal Bending Tool, Aluminum Siding Seamer, Straight Seamer, Tong HVAC Hand Seamers Sheet Metal Tools</t>
  </si>
  <si>
    <t>B099CJJBCD</t>
  </si>
  <si>
    <t>41.99</t>
  </si>
  <si>
    <t>60.3</t>
  </si>
  <si>
    <t>4410466992228</t>
  </si>
  <si>
    <t>Hurricane Sheet Metal Hand Seamer, 3 Inch Straight Jaw Sheet Metal Bender Tools for Flattening Metal, Ergonomic TyreGrip Handle</t>
  </si>
  <si>
    <t>B0B5SPNDCM</t>
  </si>
  <si>
    <t>Robertshaw 41-401 Hot Surface Ignitor 271A</t>
  </si>
  <si>
    <t>B00Y1PP4HY</t>
  </si>
  <si>
    <t>Milwaukee 2598-22 M12 FUEL 2-Tool Combo Kit: 1/2 in. Hammer Drill and 1/4 in. Hex Impact Driver</t>
  </si>
  <si>
    <t>B07F9Q4H5S</t>
  </si>
  <si>
    <t>Milwaukee 48-40-4225 6-7/8” 36T Circular Saw Metal Cutting Blade</t>
  </si>
  <si>
    <t>B09F72V5K9</t>
  </si>
  <si>
    <t>Malco Tools HC1 Adjustable Sheet Metal Hole Cutter, 2" - 12"</t>
  </si>
  <si>
    <t>81.93</t>
  </si>
  <si>
    <t>7880760328408</t>
  </si>
  <si>
    <t>Greenlee GSB12 1-3/8" Step Bit (#12)</t>
  </si>
  <si>
    <t>85.79</t>
  </si>
  <si>
    <t>89.25</t>
  </si>
  <si>
    <t>8009319743704</t>
  </si>
  <si>
    <t>Packard C440B Contactor 4 Pole 40 AMPS 120 Coil Voltage</t>
  </si>
  <si>
    <t>Packard C340B 3 Pole 40 Amp Contactor 120 Volt Coil Contactor</t>
  </si>
  <si>
    <t>B004ZRWG9C</t>
  </si>
  <si>
    <t>46.61</t>
  </si>
  <si>
    <t>6631570735277</t>
  </si>
  <si>
    <t>MILWAUKEE'S Builders World Wholesale Distribution 48-25-2122 Bit Selfeed, 2-1/8"</t>
  </si>
  <si>
    <t>B009HEHTMM</t>
  </si>
  <si>
    <t>Diablo by Freud DMAPL4300 1 in. x 8 in. x 10 in. Rebar Demon™ SDS-Plus 4-Cutter Full Carbide Head Hammer Bit</t>
  </si>
  <si>
    <t>B089LL8JD8</t>
  </si>
  <si>
    <t>Rectorseal 83909 Aspen Mini Orange Univ Pump 100-250V</t>
  </si>
  <si>
    <t>Rectorseal Aspen Universal volt Mini Orange Kit, 100-250V, Orange</t>
  </si>
  <si>
    <t>B00JXA0U44</t>
  </si>
  <si>
    <t>260.28</t>
  </si>
  <si>
    <t>8023694082264</t>
  </si>
  <si>
    <t>Inficon AST100 Refrigerant Leak Detector</t>
  </si>
  <si>
    <t>B08YLCXNJR</t>
  </si>
  <si>
    <t>Fresh-Aire UV APCO TUVL-211, 2-Year Replacement UV Lamp with NO Plug</t>
  </si>
  <si>
    <t>8028095840472</t>
  </si>
  <si>
    <t>CaseSack Consolidation case for Klein Tools 935DAG Digital Electronic Level and Angle Gauge and 935AB1V ACCU-Bend Level</t>
  </si>
  <si>
    <t>B08Y67WSYP</t>
  </si>
  <si>
    <t>The Klein Tools 18-Inch Grip-It Strap Wrench is completely adjustable for tight-quarters tasks on polished, PVC and glass pipes, fittings, filters, conduit and shafts. The strap is urethane-coated to resist scratching or damaging surfaces and is attached to a lightweight I-beam handle. Also available in 12-Inch length (Cat. No. S12H). For more than 160 years, Klein Tools has manufactured premium-quality, professional-grade hand tools that deliver the performance, durability and precision needed to get the job done right. Our family of engineers, workers and craftsman continue to put six generations of expertise into every tool we create by using only the highest quality materials, superior workmanship, and keeping manufacturing as close to home as we can. Klein isn't just the name of our company, it's also our family name. And since we're an American company that's family-owned and family-run, you know you can count on us to be here tomorrow. Klein Tools doesn't just make great products, we make great products that stand up to the demands of the professionals who use them every day ... Since 1857.</t>
  </si>
  <si>
    <t>B00093DYFQ</t>
  </si>
  <si>
    <t>Imperial Tool 421C Manifold R22 2-Valve Brass, R404A, R410A, 3" - 60" Hoses</t>
  </si>
  <si>
    <t>B01KWRZEE2</t>
  </si>
  <si>
    <t>Surface Ignitor Furnace Igniter Replacement for Robertshaw 41-406 Weil McLain 511-330-188 Norton 201Y 271Y</t>
  </si>
  <si>
    <t>B08P3XCX18</t>
  </si>
  <si>
    <t>Inficon 705-202-G1 TEK-Mate Refrigerant Leak Detector</t>
  </si>
  <si>
    <t>B074ZNCLM3</t>
  </si>
  <si>
    <t>Fresh-Aire UV APCO TUV-APCO-RT-ER2 18-32 VAC, 2-Year UV Lamp</t>
  </si>
  <si>
    <t>409.92</t>
  </si>
  <si>
    <t>522.5</t>
  </si>
  <si>
    <t>6694665781421</t>
  </si>
  <si>
    <t>Klein Tools 32767 Impact Driver, 3-in-1 Impact Flip Socket and Bit Holder, 1/4-Inch and 5/16-Inch Hex Drivers, 5-Inch Length</t>
  </si>
  <si>
    <t>B09R3CWH91</t>
  </si>
  <si>
    <t>Klein Tools SS8 1/4-Inch Stubby Nut Driver with 1-1/2-Inch Hollow Shaft and Comfordome Handle</t>
  </si>
  <si>
    <t>B00093D5HS</t>
  </si>
  <si>
    <t>Klein Tools 610-1/4 1/4-Inch Stubby Nut Driver with 1-1/2-Inch Hollow Shaft and Cushion Grip Handle</t>
  </si>
  <si>
    <t>B001BZHUKQ</t>
  </si>
  <si>
    <t>LTGEM EVA Hard Case for Klein Tools 935DAG Digital Electronic Level and Angle Gauge- Travel - Protective Carrying Storage Bag</t>
  </si>
  <si>
    <t>B093KVTKDJ</t>
  </si>
  <si>
    <t>Milwaukee 48-40-4006 Non-Ferrous Metal Cutting Circular Saw Blade 6-7/8-Inch 52 Tooth</t>
  </si>
  <si>
    <t>B000MW57T0</t>
  </si>
  <si>
    <t>Milwaukee 48-89-9212 Step Bit #12 7/8" - 1-3/8"</t>
  </si>
  <si>
    <t>B00LP43CPU</t>
  </si>
  <si>
    <t>ICM Controls ICM281 Furnace Control Replacement for OEM Models Including Carrier CES0110057-xx Series Control Boards</t>
  </si>
  <si>
    <t>B004I5FD4G</t>
  </si>
  <si>
    <t>Klein Tools JTH4E13 1/4-Inch Hex Key with Journeyman T-Handle, 4-Inch</t>
  </si>
  <si>
    <t>B007GH2CDS</t>
  </si>
  <si>
    <t>Milwaukee 2912-20 M18 Fuel 18V 1" Sds Plus Brushless Rotary Hammer</t>
  </si>
  <si>
    <t>B09PMSKXRV</t>
  </si>
  <si>
    <t>JB Industries A31999-100 1/4" Valve Core Replacement (100 Pack)</t>
  </si>
  <si>
    <t>jb industries a31999-100 1/4" valve core</t>
  </si>
  <si>
    <t>B00E1NKJ26</t>
  </si>
  <si>
    <t>113.51</t>
  </si>
  <si>
    <t>8028648866008</t>
  </si>
  <si>
    <t>Sioux Chief 672X0490 1/2" PEX Plumbing Manifold 3/4" PEX inlet, clsd</t>
  </si>
  <si>
    <t>B003QSOB9E</t>
  </si>
  <si>
    <t>LSE Lighting TUVL-215 TUVL-200-E 17W Fresh-Aire Equivalent Replacement UVC Lamp 15" 2 Year Life Span | TUV-APCO-DER2 | TUV-APCO-ER2 | TUV-APCO-SI2P | TUV-APCO-DI2P</t>
  </si>
  <si>
    <t>B0BFSSHTT5</t>
  </si>
  <si>
    <t>LSE Lighting TUVL-115 TUVL-115, TUVL-115Р, TUVL-100-E 17W Fresh-Aire Equivalent Replacement UVC Lamp 15" | High Performance UV Lamp | Used in Fresh Air APCO-SI, APCO-DI, APCO-ER or APCO-MAG 15 Models</t>
  </si>
  <si>
    <t>B0BFRWSH4Q</t>
  </si>
  <si>
    <t>B01C0GADSA</t>
  </si>
  <si>
    <t>Case Compatible with Klein Tools 935DAG Digital Electronic Level and Angle Gauge, Angle Finder Protractors Carrying Storage Holder Bag Fits for Degree Ranges Measures and Batteries (Box Only)</t>
  </si>
  <si>
    <t>B09JW639MH</t>
  </si>
  <si>
    <t>Packard C440C Contactor 4 Pole 40 AMPS 208/240 Coil Voltage</t>
  </si>
  <si>
    <t>4175222997092</t>
  </si>
  <si>
    <t>Aproca Hard Protective Storage Case, for Klein Tools 93LDM100C Compact Laser Distance Measure</t>
  </si>
  <si>
    <t>B07H2S8KRM</t>
  </si>
  <si>
    <t>Imperial Tool TC1050RH Ratcheting Tube Cutter for 1/8" to 5/8" O.D. Tubing</t>
  </si>
  <si>
    <t>B002P8Q1S0</t>
  </si>
  <si>
    <t>MEASUREMAN 2" Brass Gas Pressure Test Gauge Assembly, 3/4" FNPT Connection, 0-30 psi/kpa, -3-2-3% Accuracy</t>
  </si>
  <si>
    <t>B07XN7XNJG</t>
  </si>
  <si>
    <t>Inficon Inficon Refrigerant Leak Detector, Model:705-202-G1</t>
  </si>
  <si>
    <t>B000H6OZJ4</t>
  </si>
  <si>
    <t>Wiha 66995 6-Piece Metric Ball End Long Hex L-Key Set</t>
  </si>
  <si>
    <t>B002S0O7U4</t>
  </si>
  <si>
    <t>Sioux Chief 672X0699, 1/2" PEX Manifold, 3/4" PEX inlet/outlet</t>
  </si>
  <si>
    <t>B003QSGQ1A</t>
  </si>
  <si>
    <t>Packard C390A Contactor 3 Pole 90 AMPS 24 Coil Voltage</t>
  </si>
  <si>
    <t>128.99</t>
  </si>
  <si>
    <t>8007878836440</t>
  </si>
  <si>
    <t>Yellow Jacket 19047 Gasket Remover Pick Tool</t>
  </si>
  <si>
    <t>PATIKIL O-Ring Straight Pick 142mm, Oil Seal Gasket Precision Screwdriver Puller Remover Removal Tool, Yellow</t>
  </si>
  <si>
    <t>B0C3MCMWRM</t>
  </si>
  <si>
    <t>15.24</t>
  </si>
  <si>
    <t>4549796233316</t>
  </si>
  <si>
    <t>Hilmor 1839043 SWOS Service Wrench - Offset Ratchet 1/4", 3/16", 3/8", 5/16" Sq</t>
  </si>
  <si>
    <t>Hilmor 1839043 Offset Service Wrench, 1/4" x 3/16" Square, 3/8" x 5/16" Square - HVAC Ratchet Wrench</t>
  </si>
  <si>
    <t>B00O94UTUE</t>
  </si>
  <si>
    <t>2097400217700</t>
  </si>
  <si>
    <t>SpeedClean Mini Split Bib Kit Replacement Bag</t>
  </si>
  <si>
    <t>B01N5HRIBR</t>
  </si>
  <si>
    <t>Hilmor Straight Service Racheting Wrench 1/4", 3/16", 3/8", 5/16" Square Hex, SWS 1839042</t>
  </si>
  <si>
    <t>B00FDJBW14</t>
  </si>
  <si>
    <t>Packard C390C Contactor 3 Pole 90 AMPS 208/240 Coil Voltage</t>
  </si>
  <si>
    <t>Packard C360C Packard Contactor 3 Pole 60 Amps 208/240 Coil Voltage</t>
  </si>
  <si>
    <t>B00BD4BS7Q</t>
  </si>
  <si>
    <t>131.25</t>
  </si>
  <si>
    <t>4276682850404</t>
  </si>
  <si>
    <t>Aproca Hard Storage Travel Case, for Klein Tools 935DAG Digital Electronic Level and Angle Gauge</t>
  </si>
  <si>
    <t>B08LKV462K</t>
  </si>
  <si>
    <t>Elitech HVAC Refrigerant Leak Detector 10 Yrs Infrared Sensor Life Halogen Freon Sniffer, Air Conditioning Detection, Automotive Gas Finder, R410A R134A R1234YF CFCs HCFCs HFCs, ILD-200</t>
  </si>
  <si>
    <t>B07586MWM9</t>
  </si>
  <si>
    <t>TUVL-215, TUVL-200-E, 15" Lamp for Fresh Air Blue-Tube, AHU Series 1, and APCO MAG 15, OEM Quality Premium Compatible Lamp Bulb. (Bulb has The Notch on The Base) Guaranteed for One Year</t>
  </si>
  <si>
    <t>B09NL9LX1P</t>
  </si>
  <si>
    <t>Milwaukee 48-22-8392R PACKOUT™ 20oz Tumbler</t>
  </si>
  <si>
    <t>20 oz Tumbler Rubber Gaskets Replacement for Milwaukee 48-22-8392R Coffee Cup Lid Resealable Gasket-Seals(2 Pack)</t>
  </si>
  <si>
    <t>B0C9R4T855</t>
  </si>
  <si>
    <t>29.47</t>
  </si>
  <si>
    <t>46.0</t>
  </si>
  <si>
    <t>8025473089752</t>
  </si>
  <si>
    <t>Milwaukee 48-22-1933 5-Pack of Deburred Micro Carbide Drywall Utility Knife Blades for Folding Lockback and Sliding Knives</t>
  </si>
  <si>
    <t>B00D5YLP5W</t>
  </si>
  <si>
    <t>TUVL-215P, TUVL-200-E, TUVL-215, 15" OEM Quality Premium Compatible Lamp Bulb, Lamp for Fresh Air Blue-Tube, AHU Series 1, and APCO MAG 15, (Bulb has The Notch on The Base) Guaranteed for One Year</t>
  </si>
  <si>
    <t>B0BDSHMM2T</t>
  </si>
  <si>
    <t>Klein Tools 32483 Bit for 11-in-1 and 10-in-1 Klein Screwdriver Nut Driver, #2 Phillips, 1/4-Inch Slotted</t>
  </si>
  <si>
    <t>B000936PUC</t>
  </si>
  <si>
    <t>Yellow Jacket 49137 3-1/8" Red Pressure, 0-800 psi, R-22/404A/410A Gauge Degrees F</t>
  </si>
  <si>
    <t>B00C2GWR5G</t>
  </si>
  <si>
    <t>Dosctt 2 Packs 3.0Ah 12 Volt 48-11-2430 Replacement Battery Compatible with Milwaukee 12V Battery Lithium 48-11-2420 48-11-2425 48-11-2401 48-11-2402 48-11-2440 48-11-2460</t>
  </si>
  <si>
    <t>B08H21NVMH</t>
  </si>
  <si>
    <t>Xetron Heated Diode EMOS Technology Refrigerant Leak Detector A2L Compatible, Manual/Automatic Reset, Mute Beep, HVAC AC Leak Detector[Freon R134A R410A R22 R32 Sniff Halogen] CFCs HCFCs HFCs HFOs</t>
  </si>
  <si>
    <t>B09Q59ZKD3</t>
  </si>
  <si>
    <t>Beauthom Gas Test Pressure Gauge 2" Steel Dual Scale Dial, 0-30psi/ 2bar, 3/4" FNPT Connection, Brass Valve, Chrome Plated Steel Body Assembly</t>
  </si>
  <si>
    <t>B091KXKL5T</t>
  </si>
  <si>
    <t>Klein Tools JTH6M4 4 mm Hex Key, Journeyman T-Handle, 6-Inch</t>
  </si>
  <si>
    <t>B005G394YO</t>
  </si>
  <si>
    <t>ICM Controls ICM450A+ 3 Phase Line Voltage Monitor with MODBUS</t>
  </si>
  <si>
    <t>160.99</t>
  </si>
  <si>
    <t>219.15</t>
  </si>
  <si>
    <t>7960731943128</t>
  </si>
  <si>
    <t>Temperature Clamp HVAC K-Type Thermocouple Thermometer Lead Probe Pipe Clamp Multimeter Sensor Fieldpiece Jaw Clip Plumbing Clamp</t>
  </si>
  <si>
    <t>B0BNL9JNGM</t>
  </si>
  <si>
    <t>Refrigerant Leak Detector, Aprvtio ALD-200 Freon Leak Detector, Freon Sniffer Automotive Halogen Gas Leak Detector for R134A R410A R22 R1234YF R600a R290 CFCs HCFCs HFCs HCs HFOs</t>
  </si>
  <si>
    <t>B095S6S6GY</t>
  </si>
  <si>
    <t>Fieldpiece Fieldpiece Pipe Clamp Yellow Ht 05 K Type Thermocouple Sensor Temperature Pipe Clamp 1~3 8 40~200℃</t>
  </si>
  <si>
    <t>B0BZ95QL8L</t>
  </si>
  <si>
    <t>HT-05 Temperature Pipe, Fieldpiece Pipe Clamp Temperature Probe Clamp Thermocouple Clamp Type K Pipe Clamp Temperature 1~3/8" -40~200℃ Yellow</t>
  </si>
  <si>
    <t>B0B7X5TDFG</t>
  </si>
  <si>
    <t>HT 05 Temperature Pipe, Fieldpiece Temperature Clamp Thermocouple Clamp Type K Pipe Clamp Temperature 1~3/8" 40~200℃ Yellow</t>
  </si>
  <si>
    <t>B0B97FD6ND</t>
  </si>
  <si>
    <t>GEARWRENCH 9 Piece Metric Ball End Long Arm Hex Key Set - 83521</t>
  </si>
  <si>
    <t>B098TYMJ3X</t>
  </si>
  <si>
    <t>Elitech Refrigerant Leak Detector, Freon Leak Detector, Freon Sniffer Automotive Halogen Gas Leak Detector for R134A R410A R1234YF R600a R290 CFCs HCFCs HFCs HCs HFOs, LD-100+</t>
  </si>
  <si>
    <t>B0928N17S6</t>
  </si>
  <si>
    <t>JB Industries A31999 Replacement Valve Core, 1/4"</t>
  </si>
  <si>
    <t>B00E1NKERG</t>
  </si>
  <si>
    <t>CaseSack Detector Case for UEi Test Instruments CD100A Combustible Gas Leak Detector &amp; CO71A Carbon Monoxide Detector, Also for Techamor Y201, EG Air Y201, Pangea, Klein Tools ET120, ALOPEX</t>
  </si>
  <si>
    <t>B088MDT81X</t>
  </si>
  <si>
    <t>Klein Tools 89551 Hole Cutter Replacement Bit for Klein Tools Hole Cutter Cat. No. 89552 Cuts 2 to 12-Inch</t>
  </si>
  <si>
    <t>B07DLRWFCG</t>
  </si>
  <si>
    <t>Aproca Hard Storage Travel Case, for Fluke 62 Max Infrared Thermometer</t>
  </si>
  <si>
    <t>B07WMQ8G1Q</t>
  </si>
  <si>
    <t>co2CREA Hard Travel Case Replacement for Fluke 62 Max+ / 62 Max / 64 Max / 59 Max+ / 59 Max / 59 Mini Infrared IR Thermometer (Yellow Case)</t>
  </si>
  <si>
    <t>B08FHPGX3X</t>
  </si>
  <si>
    <t>Yellow Jacket 61001 Hydrocarbon Charging Kit</t>
  </si>
  <si>
    <t>Yellow Jacket 61003 Digital Scale for Hydrocarbon Charging Kit</t>
  </si>
  <si>
    <t>B091H63CYZ</t>
  </si>
  <si>
    <t>488.66</t>
  </si>
  <si>
    <t>6626544812205</t>
  </si>
  <si>
    <t>RLSOCO Hard Case for Klein Tools ET450 Advanced Circuit Breaker Finder and Wire Tracer Kit-Compact Tools Kit Organizer Case</t>
  </si>
  <si>
    <t>B0BVVRMV9H</t>
  </si>
  <si>
    <t>Klein Tools 80019 Tool Set, Multi-Bit Screwdriver and Nut Driver Tool Kit, 28 Different Industrial Strength Bits and Sizes, 4-Piece</t>
  </si>
  <si>
    <t>B08VW84W2G</t>
  </si>
  <si>
    <t>KitchenKipper 14-37-0016 Hose Assembly Compatible with Milwaukee 0970-20 M18 Fuel 18V PACKOUT 2.5 Gallon Wet/Dry Vacuum Bare Tool (Please note the product usage diagram)</t>
  </si>
  <si>
    <t>B0C5QLZ8LK</t>
  </si>
  <si>
    <t>Leak Detection Tools，Ultrasonic Leak Detector &amp; Transmitter with Headphone Accessory Kit for Pipeline/tire/Refrigeration Equipment Leak Detection, Automotive Window Seal Inspection etc.</t>
  </si>
  <si>
    <t>B07MC2QSFX</t>
  </si>
  <si>
    <t>Inficon 712-700-G1 NIMH Replacement Battery Power Stick for Compass and D-TEK CO2 Refrigerant Leak Detectors</t>
  </si>
  <si>
    <t>B008FM7YLI</t>
  </si>
  <si>
    <t>SPIN Tools S6000 Swaging Drill Bit Set, 1/4", 3/8", 1/2", 5/8", 3/4" &amp; 7/8"</t>
  </si>
  <si>
    <t>Swaging Tool Drill Bit Set, HVAC Repairing Set, Air Conditioner Copper Tube Expander with 1/4", 3/8", 1/2", 5/8", 3/4", 7/8" Drill Bit Repairing Set</t>
  </si>
  <si>
    <t>B09TFVWT1F</t>
  </si>
  <si>
    <t>3702992339044</t>
  </si>
  <si>
    <t>Aryavos 2 Pack Wet Dry Vacuum HEPA Filter Replacement 49-90-1900 Compatible with Milwaukee Cordless Vacuum M18 Fuel Packout 0970-20 / M18 2 Gallon 0880-20 / M12 Fuel 1.6 Gallon 0960-20</t>
  </si>
  <si>
    <t>B0B7M6DM8K</t>
  </si>
  <si>
    <t>Inficon 712-707-G1 Replacement Filter Cartridges for D-TEK Stratus, D-TEK3 and D-TEK Select Refrigerant Leak Detector</t>
  </si>
  <si>
    <t>B0086AO5CU</t>
  </si>
  <si>
    <t>Elitech WJL-6000 Freon Leak Detector Halogen Gas Tester HVAC Refrigerant AC Sniffer R22 R410A R134A</t>
  </si>
  <si>
    <t>B015FK1EH2</t>
  </si>
  <si>
    <t>Xetron HVAC Refrigerant Leak Detector with UV LED,Automotive AC [R134A R410A R22 R1234YF] Freon Sniff Halogen Gas Leak Detector, 6 Adjustable Sensitivity, CFCs HCFCs HFCs HFOs CLD-100UV</t>
  </si>
  <si>
    <t>B0BCPWJ9P4</t>
  </si>
  <si>
    <t>Elitech WJL-6000 Freon Leak Detector Halogen Gas Tester HVAC Refrigerant AC Sniffer R22 R410A R134A with LED</t>
  </si>
  <si>
    <t>B0BX26TPL6</t>
  </si>
  <si>
    <t>AC Adapter Compatible with Fieldpiece SRL2K7 Infrared Refrigerant Leak Detector DR82 Heated Diode Detectors RCA2 RWA2 SRL8 SRL2 Power Supply Cord Cable PS Wall Outlet Battery Charger</t>
  </si>
  <si>
    <t>B09VFRYYHX</t>
  </si>
  <si>
    <t>RLSOCO Hard Case for FLUKE 1587 FC/1503/1507/1508 /1577 &amp; Works with Brymen BM869s Digital Megohmmeter Insulation Resistance Tester (Case has updated to have padding around)</t>
  </si>
  <si>
    <t>B086MC4V89</t>
  </si>
  <si>
    <t>Holyoke Fittings 1057B Brass Garden Hose Cap</t>
  </si>
  <si>
    <t>3/8 Inch Brass Compression Cap Stop Valve Cap Brass Compression Cap Drain Pipe Fittings for Hose Connector Garden Outdoor Water Pipes Nozzle Joints (50 Pieces)</t>
  </si>
  <si>
    <t>B0B9N28DCB</t>
  </si>
  <si>
    <t>1.68</t>
  </si>
  <si>
    <t>2.78</t>
  </si>
  <si>
    <t>8002190737624</t>
  </si>
  <si>
    <t>Holyoke Fittings 41FP-4 1/4" Forged Flare Nut</t>
  </si>
  <si>
    <t>1.25</t>
  </si>
  <si>
    <t>1.57</t>
  </si>
  <si>
    <t>8004509663448</t>
  </si>
  <si>
    <t>Kroil KS102 Original Penetrant Aerosol 10oz can</t>
  </si>
  <si>
    <t>Kroil Original Penetrating Oil (Aerosol Spray-16.5oz Can-Case of 6) | Penetrant for Rusted Bolts, Metal, Hinges, Chains, Moving Parts | Rust, Corrosion Inhibitor (AZKS162C6)</t>
  </si>
  <si>
    <t>B08ZM6LQV6</t>
  </si>
  <si>
    <t>22.9</t>
  </si>
  <si>
    <t>8005750391000</t>
  </si>
  <si>
    <t>Holyoke Fittings 1051-12MPMH 3/4" Male Pipe Thread to Male Garden Hose Adapter</t>
  </si>
  <si>
    <t>STYDDI 3/4” GHT X 3/4” NPT Male Connector, Brass Garden Hose Convert Adapter Fitting, Garden Hose Thread to 3/4" Male Pipe Thread, with Extra 6 Washers</t>
  </si>
  <si>
    <t>B09336JH6L</t>
  </si>
  <si>
    <t>2.79</t>
  </si>
  <si>
    <t>4.13</t>
  </si>
  <si>
    <t>8002192834776</t>
  </si>
  <si>
    <t>Kroil KS162 Original Penetrant Aerosol 16.5oz can</t>
  </si>
  <si>
    <t>Kroil Original Penetrating Oil (Aerosol Spray-16.5oz Can-Case of 4) | Penetrant for Rusted Bolts, Metal, Hinges, Chains, Moving Parts | Rust, Corrosion Inhibitor (AZKS162C4)</t>
  </si>
  <si>
    <t>B08ZM7TTGC</t>
  </si>
  <si>
    <t>27.89</t>
  </si>
  <si>
    <t>8005750685912</t>
  </si>
  <si>
    <t>JOEJET Garden Hose Connector, 3/4'' GHT Female and Male to 3/4'' NPT Male, Metal Brass Water Hose to Pipe Thread Adapters and Fittings</t>
  </si>
  <si>
    <t>B09NJHPXL8</t>
  </si>
  <si>
    <t>Holyoke Fittings 1055-FHFH 3/4" Garden Hose Thread Fitting - Brass Female Garden Hose to Hose Swivel Adapter</t>
  </si>
  <si>
    <t>Hooshing 3PCS Brass Garden Hose Swivel Adapter Connector 3/4" GHT to 3/4" NPT Thread Double Female Garden Hose Adapter</t>
  </si>
  <si>
    <t>B09H2DXSMD</t>
  </si>
  <si>
    <t>5.17</t>
  </si>
  <si>
    <t>8002194342104</t>
  </si>
  <si>
    <t>Kroil FL132 Floway Degreaser Aerosol 13oz can</t>
  </si>
  <si>
    <t>KROIL Floway Aerosol 13oz Can Amazon Case of 6</t>
  </si>
  <si>
    <t>B0B31ZHRHN</t>
  </si>
  <si>
    <t>21.45</t>
  </si>
  <si>
    <t>22.0</t>
  </si>
  <si>
    <t>8005763170520</t>
  </si>
  <si>
    <t>Kroil EX161 Exrust Rust Remover 16oz bottle</t>
  </si>
  <si>
    <t>KROIL PENETRANT W Silicone 16.5oz + FLOWAY DEGREASER 13oz + KREEN Gas &amp; Oil Treatment 1qt + EXRUST Rust Remover 16oz "Kroil Engine Clean &amp; Prep" Bundle [4-Pack]</t>
  </si>
  <si>
    <t>B0BVLLZ81M</t>
  </si>
  <si>
    <t>36.03</t>
  </si>
  <si>
    <t>8005762711768</t>
  </si>
  <si>
    <t>Minimprover 2PCS Brass Hex Swivel 1/4" NPT to 3/4 inch Female GHT Garden Hose Thread Connector Adapter,Garden Hose Pipe Fitting For Fuel/AIR/Water/Oil/Gas WOG</t>
  </si>
  <si>
    <t>B08ML1MZNC</t>
  </si>
  <si>
    <t>Litorange Lead-Free 2 PCS Swivel 3/4"GHT Female x 1/2"NPT Male Connector,GHT to NPT Garden Hose Adapter Brass Fitting,Garden Pipe Joint Extension Repair Fitting(Pack of 2)</t>
  </si>
  <si>
    <t>B09QFJYGNS</t>
  </si>
  <si>
    <t>Boss Products 326 Hi-Temp Red Silicone Sealant, 3 oz Tube</t>
  </si>
  <si>
    <t>Boss Products 326 Hi-Temp Red Silicone Sealant 3oz Tube</t>
  </si>
  <si>
    <t>B00M8FPE10</t>
  </si>
  <si>
    <t>6.29</t>
  </si>
  <si>
    <t>8004214030552</t>
  </si>
  <si>
    <t>Holyoke Fittings 1055-12FPFH 3/4" Garden Hose Thread Fitting - Brass Nut Female to Female Pipe Swivel Adapter</t>
  </si>
  <si>
    <t>Litorange (2 Pack) Lead-free Brass Garden Hose to Pipe NPT Fitting Connect, Green Thumb Quick Swivel Connector Adapter,Double Male Thread Size GHT 3/4" x 3/4 NPT Male Inch or 1/2" NPT Female</t>
  </si>
  <si>
    <t>B07GCLGQWL</t>
  </si>
  <si>
    <t>4.29</t>
  </si>
  <si>
    <t>5.81</t>
  </si>
  <si>
    <t>8002208432344</t>
  </si>
  <si>
    <t>M MINGLE Garden Hose Adapter, Female to Female, 3/4 Inch Heavy Duty Brass Connect Fittings with Dual Swivel, Pressure Washer to Garden Hose Connector, 2-Pack with Extra 4 Washers and 1 Filter</t>
  </si>
  <si>
    <t>B09P322DT8</t>
  </si>
  <si>
    <t>ceaeso (2-piece brass garden hose, threaded 3/4" GHT to 1/2" NPT connection), quick swivel adapter, double female 3/4" x 1/2" NPT pipe…</t>
  </si>
  <si>
    <t>B0BYC7NQJ1</t>
  </si>
  <si>
    <t>Enoch's Land Brass Garden Hose Fittings Connectors Adapter,Female 3/4" GHT to Female 1/2" NPT</t>
  </si>
  <si>
    <t>B0C1NHYLZC</t>
  </si>
  <si>
    <t>YELUN Solid brass Garden Hose Fittings Connectors Adapter Heavy Duty Brass Repair Female to Female Double Female dual water hose connector(3/4" GHT Female to 1/2" NPT Female) 2 Pcs</t>
  </si>
  <si>
    <t>B092HZLXPD</t>
  </si>
  <si>
    <t>Milwaukee 49-56-7000 Small Thread Arbor, 7/16" Shank</t>
  </si>
  <si>
    <t>MILWAUKEE'S Hole Saw Arbor, 7/16 Shank, 5/8-18 Thread, 1/2 in, 49-56-9100</t>
  </si>
  <si>
    <t>B0019VAV2G</t>
  </si>
  <si>
    <t>10.97</t>
  </si>
  <si>
    <t>19.0</t>
  </si>
  <si>
    <t>8002379284696</t>
  </si>
  <si>
    <t>Diablo Tools DSP3050 7/8 in. x 16 in. Spade Bit</t>
  </si>
  <si>
    <t>DEWALT Drill Bit, Spade, 7/8 Inch x 16 Inch (DW1594)</t>
  </si>
  <si>
    <t>B0001LQYW6</t>
  </si>
  <si>
    <t>11.19</t>
  </si>
  <si>
    <t>7999598330072</t>
  </si>
  <si>
    <t>Diablo Tools DSP2090 3/4 in. x 6 in. Spade Bit</t>
  </si>
  <si>
    <t>DEWALT Drill Bit, Spade, 3/4 Inch x 6 Inch (DW1578)</t>
  </si>
  <si>
    <t>B0001LQYGM</t>
  </si>
  <si>
    <t>5.37</t>
  </si>
  <si>
    <t>8004512710872</t>
  </si>
  <si>
    <t>BOSCH DLSB1011 7/8 In. x 16 In. Daredevil Extended Length Spade Bits</t>
  </si>
  <si>
    <t>B002BYQPJI</t>
  </si>
  <si>
    <t>Fluke 373 True-RMS AC Clamp Meter</t>
  </si>
  <si>
    <t>Fluke - 374-FC-AMZNCAL 374-FC-AMZN True-RMS AC/DC Clamp Meter, 600A/600V with a NIST-Traceable Calibration Certificate with Data</t>
  </si>
  <si>
    <t>B01CFXIMCC</t>
  </si>
  <si>
    <t>290.05</t>
  </si>
  <si>
    <t>8016406773976</t>
  </si>
  <si>
    <t>Milwaukee 49-90-1900 HEPA Filter</t>
  </si>
  <si>
    <t>Fette Filter-HEPA Wet Dry Vacuum Filter Compatible with Milwaukee 49-90-1900 for Gallon Wet/Dry Vacuum M18 2 Gallon (0880-20), M12 FUEL 1.6 Gallon (0960-20), M18 FUEL PACKOUT (0970-20). 4 QTY</t>
  </si>
  <si>
    <t>B08296RWMV</t>
  </si>
  <si>
    <t>8002625306840</t>
  </si>
  <si>
    <t>Diablo by Freud DSP2090-P2 3/4 in. x 6 in. SPEEDemon Spade Bit (2-Pack)</t>
  </si>
  <si>
    <t>B089KV8K7W</t>
  </si>
  <si>
    <t>Diablo Tools DMAMXCC5010 2 in. x 7 in. SDS-Max Carbide Tipped Core Bit</t>
  </si>
  <si>
    <t>Diablo by Freud DMAMX1400 2 in. x 16 in. x 21 in. Rebar Demon SDS-Max 4-Cutter Carbide-Tipped Hammer Bit</t>
  </si>
  <si>
    <t>B089LHKFQ2</t>
  </si>
  <si>
    <t>101.49</t>
  </si>
  <si>
    <t>161.02</t>
  </si>
  <si>
    <t>8004502585560</t>
  </si>
  <si>
    <t>Milwaukee 48-39-0521 18 TPI Band Saw Blade, Deep Cut- 3 Pack</t>
  </si>
  <si>
    <t>Milwaukee 48-39-0521 3 Pack 18 TPI Compact Portable Band Saw Blade</t>
  </si>
  <si>
    <t>B002ZC81DO</t>
  </si>
  <si>
    <t>27.9</t>
  </si>
  <si>
    <t>8006180339928</t>
  </si>
  <si>
    <t>Fluke 375 FC True-RMS AC/DC Clamp Meter, Measures AC/DC Current To 600 A and AC/DC Voltage To 1000 V, CAT III 1000 V, CAT IV 600 V Safety Rating, Includes Batteries and Soft Carrying Case</t>
  </si>
  <si>
    <t>B017OVC1U4</t>
  </si>
  <si>
    <t>Diablo by Freud DSP3010 3/8 in. x 16 in. SPEEDemon Spade Bit</t>
  </si>
  <si>
    <t>B089LKXD6Z</t>
  </si>
  <si>
    <t>Diablo Tools DMAPL4250 3/4 in. x 8 in. x 10 in. Rebar Demon™ SDS-Plus 4-Cutter Full Carbide Head Hammer Drill Bit</t>
  </si>
  <si>
    <t>24.47</t>
  </si>
  <si>
    <t>38.21</t>
  </si>
  <si>
    <t>8004486168792</t>
  </si>
  <si>
    <t>Vacuum Filter 49-90-1900 For Milwaukee, Compatible With Milwaukee Cordless M18 Vacuum 0780-20 0880-20, 4 Pack 49-90-1900 HEPA Wet Dry Vacuum Filter</t>
  </si>
  <si>
    <t>B0CB5BCMWC</t>
  </si>
  <si>
    <t>Anewise 49-90-1900 Wet Dry Vacuum HEPA Filter Replacement for Milwaukee M18 2 Gallon 0880-20, M12 FUEL 1.6 Gallon 0960-20 and M18 FUEL PACKOUT 0970-20 Wet Dry Vacuums, 4 Packs</t>
  </si>
  <si>
    <t>B0C149NC9Q</t>
  </si>
  <si>
    <t>Diablo Tools DMAPL2290 7/16 in. x 10 in. x 12 in. SDS-Plus 2-Cutter</t>
  </si>
  <si>
    <t>Diablo 9/16 in. x 10 in. x 12 in. SDS-Plus 2-Cutter</t>
  </si>
  <si>
    <t>B089LGWH7X</t>
  </si>
  <si>
    <t>16.67</t>
  </si>
  <si>
    <t>8002354872536</t>
  </si>
  <si>
    <t>Diablo by Freud DMAPL4270 27/32 in. x 8 in. x 10 in. Rebar Demon SDS-Plus 4-Cutter Full Carbide Head Hammer Bit</t>
  </si>
  <si>
    <t>B089KXBGLM</t>
  </si>
  <si>
    <t>PUREBURG Wet Dry Vacuum HEPA Filter Replacement 49-90-1900 Compatible with Milwaukee Cordless Vacuum, M18 FUEL PACKOUT 0970-20 / M18 2 Gallon 0880-20 / M12 FUEL 1.6 Gallon 0960-20,4-Pack</t>
  </si>
  <si>
    <t>B09TQMH51M</t>
  </si>
  <si>
    <t>Diablo DMAMX1390 1-3/4 in. x 16 in. x 21 in. Rebar Demon™ SDS-Max 4-Cutter Carbide-Tipped Hammer Bit</t>
  </si>
  <si>
    <t>B089KW6C8V</t>
  </si>
  <si>
    <t>Boss Products 315 100% RTV Silicone Sealant, 10.1 oz Cartridge, Clear</t>
  </si>
  <si>
    <t>Boss Silicone RTV 100% 315 Clear Sealant, 3 oz. Tube</t>
  </si>
  <si>
    <t>B00X521W1G</t>
  </si>
  <si>
    <t>7.76</t>
  </si>
  <si>
    <t>8003733389528</t>
  </si>
  <si>
    <t>Kroil Penetrating Oil with Silicone (Aerosol Spray-16.5oz Can-Single) | Penetrant for Rusted Bolts, Metal | Lubricant for Hinges, Chains, Moving Parts (SK162)</t>
  </si>
  <si>
    <t>B0036RNKCO</t>
  </si>
  <si>
    <t>Kroil Original Penetrating Oil 10 oz Aerosol, Penetrant Loosens Rusty Nuts &amp; Bolts, Screws, Clamps, Pipes (Kroil Original KS102C)</t>
  </si>
  <si>
    <t>B000F09CEA</t>
  </si>
  <si>
    <t>Diablo Tools DMAMXCC5030 3-1/4 in. x 7 in. SDS-Max Carbide Tipped Core Bit</t>
  </si>
  <si>
    <t>Diablo 4 in. x 7 in. SDS-Max Carbide Tipped Core Bit</t>
  </si>
  <si>
    <t>B089M8ST7R</t>
  </si>
  <si>
    <t>125.99</t>
  </si>
  <si>
    <t>201.87</t>
  </si>
  <si>
    <t>8004507435224</t>
  </si>
  <si>
    <t>Diablo Tools DOU125CGP 1-1/4 in. Universal Fit Carbide Oscillating Blade for General Purpose Cuts</t>
  </si>
  <si>
    <t>Diablo 1-1/4" Universal Carbide Oscillating Blades for General Purpose Cuts 3pk</t>
  </si>
  <si>
    <t>B089KW6C8Q</t>
  </si>
  <si>
    <t>28.57</t>
  </si>
  <si>
    <t>8002356576472</t>
  </si>
  <si>
    <t>Diablo 2-5/8 in. x 7 in. SDS-Max Carbide Tipped Core Bit</t>
  </si>
  <si>
    <t>B089M7TYBC</t>
  </si>
  <si>
    <t>Diablo - DMAPL4250 3/4" x 8"x10" Rebar Demon SDS-Plus 4-Cutter Full Carbide Head Hammer Bit</t>
  </si>
  <si>
    <t>B089KX6X16</t>
  </si>
  <si>
    <t>Diablo Tools DMAMXCC5020 2-5/8 in. x 7 in. SDS-Max Carbide Tipped Core Bit</t>
  </si>
  <si>
    <t>173.04</t>
  </si>
  <si>
    <t>8004505272536</t>
  </si>
  <si>
    <t>FOXBC 35-3/8 Inch Bandsaw Blade 18 TPI for Milwaukee 48-39-0529 Portable Band Saw Blade, 35-3/8" x 1/2" x .020" 18 TPI, 3-Pack</t>
  </si>
  <si>
    <t>B0C3C69BHQ</t>
  </si>
  <si>
    <t>Diablo by Freud DMAMXCC5030 3-1/4 in. x 7 in. SDS-Max Carbide Tipped Core Bit Multi, One Size</t>
  </si>
  <si>
    <t>B089M8K3HG</t>
  </si>
  <si>
    <t>Diablo Tools DSP2090-P2 3/4 in. x 6 in. Spade Bit (2 Pack)</t>
  </si>
  <si>
    <t>8004514021592</t>
  </si>
  <si>
    <t>Diablo DMAPL2240 3/8 in. x 10 in. x 12 in. SDS-Plus 2-Cutter</t>
  </si>
  <si>
    <t>B089KVWDFV</t>
  </si>
  <si>
    <t>Diablo Tools DMAMXCC5050 4 in. x 7 in. SDS-Max Carbide Tipped Core Bit</t>
  </si>
  <si>
    <t>151.4</t>
  </si>
  <si>
    <t>240.33</t>
  </si>
  <si>
    <t>8004510908632</t>
  </si>
  <si>
    <t>Fluke 374 True-RMS AC/DC Clamp Meter, 600A/600V</t>
  </si>
  <si>
    <t>B004E248XA</t>
  </si>
  <si>
    <t>Diablo 7/16 in. x 10 in. x 12 in. SDS-Plus 2-Cutter</t>
  </si>
  <si>
    <t>B089KVPSVG</t>
  </si>
  <si>
    <t>Diablo 2-3/4" Universal Fit Carbide Oscillating Blade for General Purpose Cuts</t>
  </si>
  <si>
    <t>B089LHJYGQ</t>
  </si>
  <si>
    <t>FOXBC 44-7/8-inch Bandsaw Blades, 44-7/8" x 1/2" x .020" 18 TPI, Replacement for DeWalt DW3983 DCS374B, Milwaukee 48-39-0521 Portable Band Saw Blades, 3-Pack</t>
  </si>
  <si>
    <t>B0C3C8Q6K1</t>
  </si>
  <si>
    <t>SpaceTent 3 Pack 49-90-1900 Hepa Filters for Milwaukee M18 Wet Dry Vacs (0880-20, 0970-20) and M12 Wet Dry Vacs (0960-20, 0960-21)</t>
  </si>
  <si>
    <t>B0C8HF1NGW</t>
  </si>
  <si>
    <t>Diablo 3-9/16 in. x 7 in. SDS-Max Carbide Tipped Core Bit</t>
  </si>
  <si>
    <t>B089M9SDDV</t>
  </si>
  <si>
    <t>Nu-Calgon 4900-20 iWave-R Residential Air Ionization System</t>
  </si>
  <si>
    <t>410.75</t>
  </si>
  <si>
    <t>647.94</t>
  </si>
  <si>
    <t>8007549190360</t>
  </si>
  <si>
    <t>Sabre Tools 7/16 Inch x 12 Inch SDS Plus Rotary Hammer Drill Bit, Carbide Tipped for Brick, Stone, and Concrete Version 2 (7/16" x 10" x 12")</t>
  </si>
  <si>
    <t>B0BL1JRTCP</t>
  </si>
  <si>
    <t>2 Pack Wet Dry Vacuum HEPA Filter Replacement 49-90-1900 Compatible with Milwaukee Cordless Vacuum - for Milwaukee Cordless M18 Vacuum 0780-20 0880-20</t>
  </si>
  <si>
    <t>B081V5362Z</t>
  </si>
  <si>
    <t>Diablo Tools DMAMXCC5040 3-9/16 in. x 7 in. SDS-Max Carbide Tipped Core Bit</t>
  </si>
  <si>
    <t>133.99</t>
  </si>
  <si>
    <t>213.9</t>
  </si>
  <si>
    <t>8004509630680</t>
  </si>
  <si>
    <t>Funmit 49-90-1900 HEPA Wet Dry Vacuum Filter Replacement for Milwaukee Cordless M18 Vacuum 0780-20 0880-20 (2 Pack)</t>
  </si>
  <si>
    <t>B08QMJWVP1</t>
  </si>
  <si>
    <t>B004DZCWIQ</t>
  </si>
  <si>
    <t>Diablo Tools DOU250BW3 2-1/2 in. Universal Fit Bi-Metal Oscillating Blades for Nail-Embedded Wood (3 pack)</t>
  </si>
  <si>
    <t>Diablo DOU125BW3 1-1/4 in. Universal Fit Bi-Metal Oscillating Blades for Nail-Embedded Wood (3-Pack)</t>
  </si>
  <si>
    <t>B089KW2WVD</t>
  </si>
  <si>
    <t>31.32</t>
  </si>
  <si>
    <t>49.73</t>
  </si>
  <si>
    <t>8002370601176</t>
  </si>
  <si>
    <t>49-90-1900 Wet/Dry Filter Kit Replacement Compatible with Milwaukee Cordless Vacuum (Pack of 2)</t>
  </si>
  <si>
    <t>B082Y7JPM4</t>
  </si>
  <si>
    <t>EZ SPARES 2pcs Replacements for Milwaukee,49-90-1900 Filter,Wet/Dry 0780-20 or 0880-20 Hepa Kit Attachment</t>
  </si>
  <si>
    <t>B07SGPWPBF</t>
  </si>
  <si>
    <t>Fluke 365 Detachable Jaw True-RMS AC/DC Clamp Meter</t>
  </si>
  <si>
    <t>B004I2ZSLC</t>
  </si>
  <si>
    <t>Diablo by Freud DOU125CGP 1-1/4 in. Universal Fit Carbide Oscillating Blade for General Purpose Cuts</t>
  </si>
  <si>
    <t>B089LGJV4X</t>
  </si>
  <si>
    <t>Fluke 324 True-RMS Clamp Meter with Temperature &amp; Capacitance, Measure AC Current Up To 400 A and AC/DC Voltage Up to 600 V, Includes Backlit Display, Measure Resistance Up To 4000 Ohms</t>
  </si>
  <si>
    <t>B009AZ0TXE</t>
  </si>
  <si>
    <t>Diablo DMAPL4055 3/16 in. x 10 in. x 12 in. Rebar Demon™ SDS-Plus 4-Cutter Full Carbide Head Hammer Bit</t>
  </si>
  <si>
    <t>B089LJCD42</t>
  </si>
  <si>
    <t>Diablo 2 in. x 7 in. SDS-Max Carbide Tipped Core Bit</t>
  </si>
  <si>
    <t>B089M8SC7R</t>
  </si>
  <si>
    <t>Diablo Tools DOU125CGP3 1-1/4 in. Universal Fit Carbide Oscillating Blades for General Purpose Cuts (3 Pack)</t>
  </si>
  <si>
    <t>55.96</t>
  </si>
  <si>
    <t>8002357264600</t>
  </si>
  <si>
    <t>Diablo 2-1/2 in. Universal Fit Bi-Metal Oscillating Blade for Nail-Embedded Wood</t>
  </si>
  <si>
    <t>B089KWP5Z2</t>
  </si>
  <si>
    <t>49-90-1900 HEPA Filter Replacement Compatible with Milwaukee M18 Cordless 2 Gal.Wet Dry Vacuum 0880-20</t>
  </si>
  <si>
    <t>B07VTP5MF3</t>
  </si>
  <si>
    <t>Milwaukee 2829-22 M18 FUEL™ Compact Band Saw Kit</t>
  </si>
  <si>
    <t>Milwaukee 2829-22 M18 FUEL Compact Band Saw Kit</t>
  </si>
  <si>
    <t>B09PQBHPNH</t>
  </si>
  <si>
    <t>519.0</t>
  </si>
  <si>
    <t>913.0</t>
  </si>
  <si>
    <t>8002612625624</t>
  </si>
  <si>
    <t>Diablo DOU125BW 1-1/4 in. Universal Fit Bi-Metal Oscillating Blade for Nail-Embedded Wood</t>
  </si>
  <si>
    <t>B089LDN2LT</t>
  </si>
  <si>
    <t>Diablo by Freud DMAPL4050 3/16 in. x 6 in. x 8 in. Rebar Demon SDS-Plus 4-Cutter Full Carbide Head Hammer Bit Multi, One Size</t>
  </si>
  <si>
    <t>B089LKWR9L</t>
  </si>
  <si>
    <t>BOSCH HC2074 7/16 In. x 10 In. x 12 In. Bulldog SDS-Plus Rotary Hammer Bit</t>
  </si>
  <si>
    <t>B000AMXOF6</t>
  </si>
  <si>
    <t>Milwaukee 2980-22 M18 FUEL™ 4-1/2” - 6” Braking Grinder Kit, Paddle Switch No-Lock</t>
  </si>
  <si>
    <t>Milwaukee 2980-20 M18 FUEL 4-1/2 in. - 6 in. Braking Grinder w/No-Lock Paddle Switch (Tool Only)</t>
  </si>
  <si>
    <t>B07VXK6NBC</t>
  </si>
  <si>
    <t>8002396160216</t>
  </si>
  <si>
    <t>Sabre Tools Sabre Tool 2 Inch x 21 Inch SDS MAX Rotary Hammer Drill Bit, U-Flute, Carbide Tipped for Brick, Stone, and Concrete SDS MAX Drivers ONLY (2inches x 15inches x 21</t>
  </si>
  <si>
    <t>B0BF5T89Y5</t>
  </si>
  <si>
    <t>Diablo Tools DMAPL4060 1/4 in. x 2 in. x 4 in. Rebar Demon™ SDS‑Plus 4‑Cutter Full Carbide Head Hammer Bit</t>
  </si>
  <si>
    <t>3.47</t>
  </si>
  <si>
    <t>6.0</t>
  </si>
  <si>
    <t>7639203807448</t>
  </si>
  <si>
    <t>Klein Tools 5416TFR Tool Bag, Flame Resistant Bolt Bag, No. 4 Canvas, 5 x 10 x 9-Inch</t>
  </si>
  <si>
    <t>Occidental Leather 8580 M FatLip Tool Bag Set &amp; Klein Tools 5416TFR Tool Bag, Flame Resistant Canvas Bag for Bolt Storage with Double Reinforced Bottom and Tunnel Connect, 5 x 10 x 9-Inch</t>
  </si>
  <si>
    <t>B08ZNLG8FB</t>
  </si>
  <si>
    <t>33.64</t>
  </si>
  <si>
    <t>1490970837092</t>
  </si>
  <si>
    <t>Guardian 21030 Cyclone Construction Harness, Black/Yellow &amp; Klein Tools 5416TFR Tool Bag, Flame Resistant Canvas Bag for Bolt Storage with Double Reinforced Bottom and Tunnel Connect, 5 x 10 x 9-Inch</t>
  </si>
  <si>
    <t>B0BC86NRSH</t>
  </si>
  <si>
    <t>Klein Tools 9125 Tape Measure, 25-Foot Single-Hook</t>
  </si>
  <si>
    <t>Klein Tools 92911 Tool Kit, Apprentice Tool Set with 4 Pliers, Wire Stripper and Cutter &amp; 9125 Tape Measure, Heavy-Duty Measuring Tape with 25-Foot Single-Hook Nylon</t>
  </si>
  <si>
    <t>B0CF2H8PTH</t>
  </si>
  <si>
    <t>4163406430308</t>
  </si>
  <si>
    <t>Klein Tools CL800 Digital Clamp Meter, Autoranging TRMS, AC/DC Volt/Current, LoZ, Continuity, Frequency, Capacitance, NCVT, Temp, More 1000V &amp; 69417 Rare-Earth Magnetic Hanger, with Strap</t>
  </si>
  <si>
    <t>B08MG1RGM4</t>
  </si>
  <si>
    <t>Tajima VRB2-5B V-REX™ II, Premium Tempered Steel Utility Knife Blades, 5-Blade Pack</t>
  </si>
  <si>
    <t>6905363202221</t>
  </si>
  <si>
    <t>Klein Tools 31918 Bi-Metal Hole Saw, 1-1/8-Inch</t>
  </si>
  <si>
    <t>Klein Tools 31902 Bi-Metal Hole Saw Kit with Arbor Bits for Cutting Steel, Drywall, Ceiling Tile, Wood, Plastic, 8-Piece</t>
  </si>
  <si>
    <t>B014WEBAO4</t>
  </si>
  <si>
    <t>7896138678488</t>
  </si>
  <si>
    <t>Diablo Tools DMARG1010 1/8 in. x 2 in. x 3 in. SPEEDemon™ Red Granite Carbide Tipped Hammer Drill Bit</t>
  </si>
  <si>
    <t>Diablo 1 in. x 10" x 12" SPEEDemon™ Red Granite Carbide Tipped Hammer Drill Bit</t>
  </si>
  <si>
    <t>B089KW1B5V</t>
  </si>
  <si>
    <t>2.99</t>
  </si>
  <si>
    <t>3.86</t>
  </si>
  <si>
    <t>6917972099245</t>
  </si>
  <si>
    <t>Diablo Tools D0760X 7-1/4 in. x 60 Tooth Ultra Finish Saw Blade</t>
  </si>
  <si>
    <t>Diablo by Freud D0760A-10 7-1/4" by 60T Ultra Fine Finishing Circular Saw Blade with 5/8" Arbor, Diamond Knockout Single Blade (10 per pack)</t>
  </si>
  <si>
    <t>B078YBD4L1</t>
  </si>
  <si>
    <t>30.2</t>
  </si>
  <si>
    <t>7962630521048</t>
  </si>
  <si>
    <t>Klein Tools 11045 Wire Stripper/Cutter (10-18 AWG Solid)</t>
  </si>
  <si>
    <t>Klein Tools 11045 Wire Stripper/Cutter, Yellow 10 - 18 AWG Solid Wire 3 Pack</t>
  </si>
  <si>
    <t>B002YE5L9K</t>
  </si>
  <si>
    <t>22.8</t>
  </si>
  <si>
    <t>6712927027373</t>
  </si>
  <si>
    <t>Klein Tools RT110 Receptacle Tester</t>
  </si>
  <si>
    <t>Klein Tools 80101 Home Tester Kit, GFCI Outlet and Receptacle Testers, Multimeter, NCVT, Circuit Breaker Finder, Leads, 6-Piece, Black</t>
  </si>
  <si>
    <t>B0B7817ZG5</t>
  </si>
  <si>
    <t>12.12</t>
  </si>
  <si>
    <t>6740486619309</t>
  </si>
  <si>
    <t>Klein Tools CL390 Digital Clamp Meter, Reverse Contrast Display, Auto Ranging 400A AC/DC, AC/DC Voltage,TRMS, DC Microamps, Temp, NCVT, More &amp; 69417 Rare-Earth Magnetic Hanger, with Strap</t>
  </si>
  <si>
    <t>B09T72LQCJ</t>
  </si>
  <si>
    <t>Occidental Leather 5055 Stronghold Suspension System &amp; Klein Tools 5416TFR Tool Bag, Flame Resistant Canvas Bag for Bolt Storage with Double Reinforced Bottom and Tunnel Connect, 5 x 10 x 9-Inch</t>
  </si>
  <si>
    <t>B09Y8Y6ZND</t>
  </si>
  <si>
    <t>Gorilla Glue 107450 Original Gorilla Glue, 2oz. bottle</t>
  </si>
  <si>
    <t>Gorilla Original Waterproof Polyurethane Glue, 18 ounce Bottle, Brown, (Pack of 2)</t>
  </si>
  <si>
    <t>B01M3VNMNB</t>
  </si>
  <si>
    <t>6.98</t>
  </si>
  <si>
    <t>7961253314776</t>
  </si>
  <si>
    <t>Klein Tools 31856 1-1/8-Inch Carbide Hole Cutter</t>
  </si>
  <si>
    <t>Klein Tools 31873 Heavy Duty Hole Cutter Kit, Includes Carbide Hole Cutters and 2 Pilot Bits in Rust-Proof Molded Plastic Case, 8-Piece</t>
  </si>
  <si>
    <t>B003CCRCM2</t>
  </si>
  <si>
    <t>50.38</t>
  </si>
  <si>
    <t>7999529910488</t>
  </si>
  <si>
    <t>Greenlee LDTAPKIT Drill/Tap/Countersink Set, Hss, 7 Pcs., 8-32 to 1/4-20</t>
  </si>
  <si>
    <t>B00E62G68I</t>
  </si>
  <si>
    <t>Klein Tools 51612 3/4-Inch Angle Setter™</t>
  </si>
  <si>
    <t>Klein Tools 51610 Iron Conduit Bender Head, for 1-Inch EMT or 3/4-Inch Rigid IMC, use with Klein Tools Angle Setter (Cat. No. 51613)</t>
  </si>
  <si>
    <t>B08V8J5CX4</t>
  </si>
  <si>
    <t>12.96</t>
  </si>
  <si>
    <t>7798382756056</t>
  </si>
  <si>
    <t>Klein Tools 51604 Iron Conduit Bender Full Assembly, 3/4-Inch EMT and 1/2-Inch Rigid, Wide Foot Pedal, Benchmark Symbols and Angle Setter</t>
  </si>
  <si>
    <t>B08V8YVWH1</t>
  </si>
  <si>
    <t>Klein Tools 31922 Bi-Metal Hole Saw, 1-3/8-Inch</t>
  </si>
  <si>
    <t>7827257819352</t>
  </si>
  <si>
    <t>Klein Tools 66079 Flip Impact Socket Adapter, Small, 1/4 to 1/4-Inch</t>
  </si>
  <si>
    <t>6.86</t>
  </si>
  <si>
    <t>9.6</t>
  </si>
  <si>
    <t>7896124555480</t>
  </si>
  <si>
    <t>Klein Tools 630-3/8M 3/8-Inch Magnetic Tip Nut Driver</t>
  </si>
  <si>
    <t>10.99</t>
  </si>
  <si>
    <t>16.66</t>
  </si>
  <si>
    <t>2766802288740</t>
  </si>
  <si>
    <t>Komelon 7325 25' X 1" MagGrip™ SpeedMark™, Magnetic Tape Measure</t>
  </si>
  <si>
    <t>4 Pack Komelon 7125 25' x 1" Monster MagGrip Rubberized Case, Magnetic Tip Tape Measure</t>
  </si>
  <si>
    <t>B00377BZL6</t>
  </si>
  <si>
    <t>6652039692461</t>
  </si>
  <si>
    <t>Klein Tools 631M Tool Set, Magnetic Nut Drivers Sizes 3/16, 1/4, 5/16, 11/32, 3/8, 7/16 and 1/2-Inch on 3-Inch Full Hollow Shaft, 7-Piece</t>
  </si>
  <si>
    <t>B001BQ0DNG</t>
  </si>
  <si>
    <t>Klein Tools VDV500-123 Probe-PRO Tracing Probe</t>
  </si>
  <si>
    <t>Klein Tools VDV501-853 CoaxialCable Tester, Scout Pro 3 with Test-n-Map Remote, Includes Remotes #2 - #6, Tests Voice, Data and Video Cable &amp; VDV500-123 Cable Tracer Probe-Pro Tracing Probe</t>
  </si>
  <si>
    <t>B09T71M6ZZ</t>
  </si>
  <si>
    <t>63.0</t>
  </si>
  <si>
    <t>4274361466980</t>
  </si>
  <si>
    <t>Diablo Tools D0624X 6-1/2 in. 24-Tooth Framing Saw Blade</t>
  </si>
  <si>
    <t>Freud D0624A Diablo 6-1/2-inch 24T ATB Perma-Shield Framing Saw Blades, 10-Pack</t>
  </si>
  <si>
    <t>B00USCET84</t>
  </si>
  <si>
    <t>11.97</t>
  </si>
  <si>
    <t>17.38</t>
  </si>
  <si>
    <t>7962732855512</t>
  </si>
  <si>
    <t>Klein Tools 6926INS Slim-Tip 1000V Insulated Screwdriver, 1/4-Inch Cabinet, 6-Inch</t>
  </si>
  <si>
    <t>Klein Tools 94130 1000V Insulated Screwdriver Tool Set with #2 Phillips and 1/4-Inch Cabinet Slim Tips, 2 Pliers and Wire Stripper</t>
  </si>
  <si>
    <t>B088V99QGG</t>
  </si>
  <si>
    <t>7837578625240</t>
  </si>
  <si>
    <t>Klein Tools ET45 AC/DC Voltage Tester</t>
  </si>
  <si>
    <t>Klein Tools CL600 Electrical Tester, Digital Clamp Meter has Autorange TRMS, Measures AC Current, AC/DC Volts, Resistance, NCVT, More, 1000V</t>
  </si>
  <si>
    <t>B019QMRR08</t>
  </si>
  <si>
    <t>16.72</t>
  </si>
  <si>
    <t>3688633630820</t>
  </si>
  <si>
    <t>Klein Tools 66076 Flip Impact Socket, 9/16 and 1/2-Inch</t>
  </si>
  <si>
    <t>10.71</t>
  </si>
  <si>
    <t>15.0</t>
  </si>
  <si>
    <t>7814133874904</t>
  </si>
  <si>
    <t>Klein Tools 69381 Heavy-Duty Alligator Clip Test Leads, 3-Foot</t>
  </si>
  <si>
    <t>Klein Tools CL390 Digital Clamp Meter, Reverse Contrast Display, Auto Ranging 400A AC/DC Voltage &amp; 69381 Alligator Clip Test Leads, Heavy-Duty Replacement Meter Leads</t>
  </si>
  <si>
    <t>B0CF2GZK45</t>
  </si>
  <si>
    <t>7867714371800</t>
  </si>
  <si>
    <t>Tajima VRB2-50B V-REX II Premium Tempered Steel Utility Knife Blades, 50-Pack</t>
  </si>
  <si>
    <t>B00PX98JT2</t>
  </si>
  <si>
    <t>Greenlee 609 3/4" Foam Conduit Piston</t>
  </si>
  <si>
    <t>Greenlee 609-5 Piston For 3/4 Conduit, by Greenlee</t>
  </si>
  <si>
    <t>B01N55WU6M</t>
  </si>
  <si>
    <t>6.82</t>
  </si>
  <si>
    <t>8007988248792</t>
  </si>
  <si>
    <t>Klein Tools 51611 1/2-Inch Angle Setter™</t>
  </si>
  <si>
    <t>Klein Tools 51603 Iron Conduit Bender Full Assembly, 1/2-Inch EMT, Wide Foot Pedal, Benchmark Symbols and Angle Setter</t>
  </si>
  <si>
    <t>B08W6GJTHW</t>
  </si>
  <si>
    <t>7798377840856</t>
  </si>
  <si>
    <t>Klein Tools 56119 Illuminated Fish Rod Tip</t>
  </si>
  <si>
    <t>14.02</t>
  </si>
  <si>
    <t>5990222266536</t>
  </si>
  <si>
    <t>Diablo Tools D0724DA 7-1/4 in. 24-Tooth ™ Framing/Demolition Saw Blade</t>
  </si>
  <si>
    <t>Diablo D0724A 7-1/4" 24T Diablo™ Circular Saw Framing Blade</t>
  </si>
  <si>
    <t>B00M9IDPD0</t>
  </si>
  <si>
    <t>22.22</t>
  </si>
  <si>
    <t>7962610204888</t>
  </si>
  <si>
    <t>Diablo Tools D0740X 7-1/4 in. x 40 Tooth Finish Saw Blade</t>
  </si>
  <si>
    <t>Diablo D0740A 7-1/4" X 40 Tooth Wet Lumber Finish Circular Saw Blade 5 Pack</t>
  </si>
  <si>
    <t>B00VITLHO0</t>
  </si>
  <si>
    <t>24.4</t>
  </si>
  <si>
    <t>7962622787800</t>
  </si>
  <si>
    <t>Gorilla Original Gorilla Glue, Waterproof Polyurethane Glue, 36 Ounce Bottle, Brown, (Pack of 1)</t>
  </si>
  <si>
    <t>B00006LAAQ</t>
  </si>
  <si>
    <t>Greenlee 609-5 Piston For 3/4" Conduit, 5 Pack</t>
  </si>
  <si>
    <t>B002KM05F6</t>
  </si>
  <si>
    <t>Klein Tools JTH9M4 4 mm Hex Key, Journeyman T-Handle, 9-Inch</t>
  </si>
  <si>
    <t>4.49</t>
  </si>
  <si>
    <t>6.8</t>
  </si>
  <si>
    <t>7555980656856</t>
  </si>
  <si>
    <t>Klein Tools 66078 Flip Impact Socket Adapter, Large, 1/2 to 1/2-Inch</t>
  </si>
  <si>
    <t>Klein Tools 66031 3-in-1 Slotted Impact Socket, 12-Point Deep Sockets, Coaxial Spring Loaded, 3/4 and 9/16-Inch Hex Sizes, 1/2-Inch Drive</t>
  </si>
  <si>
    <t>B08R6FL5P8</t>
  </si>
  <si>
    <t>9.36</t>
  </si>
  <si>
    <t>15.6</t>
  </si>
  <si>
    <t>7814086361304</t>
  </si>
  <si>
    <t>Gorilla Original Waterproof Polyurethane Glue, 8 ounce Bottle, Brown, (Pack of 2)</t>
  </si>
  <si>
    <t>B01M8O1Z3Y</t>
  </si>
  <si>
    <t>Diablo 5/8" x 10"x12" SPEEDemon™ Red Granite Carbide Tipped Hammer Drill Bit</t>
  </si>
  <si>
    <t>B089LG6VXL</t>
  </si>
  <si>
    <t>Klein Tools VDV501-852 Cable Tester &amp; VDV500-123 Cable Tracer Probe-Pro Tracing Probe with Replaceable Non-Metallic, Conductive Tip and a Light for Use in Dark Spaces</t>
  </si>
  <si>
    <t>B09T71P1V2</t>
  </si>
  <si>
    <t>Veto Pro Pac TP3 Tool Bag</t>
  </si>
  <si>
    <t>Veto Pro Pac Xlt Laptop-Tool Bag</t>
  </si>
  <si>
    <t>B006B6IZT0</t>
  </si>
  <si>
    <t>3561762816100</t>
  </si>
  <si>
    <t>Klein Tools 80050 Fish Tape, Glow Fish Tape Kit with 20-Foot Fiberglass Tape, Illuminated Fish Rod Tip and Fish Rod Attachments, 6-Piece</t>
  </si>
  <si>
    <t>B09FRBGCZD</t>
  </si>
  <si>
    <t>Klein Tools 25964 Step Drill Bit, Spiral Double-Fluted, 1/8-Inch to 1/2-Inch, VACO</t>
  </si>
  <si>
    <t>29.96</t>
  </si>
  <si>
    <t>7903946670296</t>
  </si>
  <si>
    <t>Klein Tools 32288 8-in-1 Insulated Interchangeable Screwdriver Set</t>
  </si>
  <si>
    <t>Klein Tools 55485 Tool Bag Backpack, Durable Electrician Backpack &amp; 32288 Insulated Screwdriver, 8-in-1 Screwdriver Set with Interchangeable Blades, 3 Phillips, 3 Slotted and 2 Square Tips</t>
  </si>
  <si>
    <t>B09P83P6C1</t>
  </si>
  <si>
    <t>4094849613924</t>
  </si>
  <si>
    <t>Klein Tools 630-3/8 3/8-Inch Nut Driver with 3-Inch Hollow Shaft</t>
  </si>
  <si>
    <t>Klein Tools 633 Tool Set, Nut Driver Set with Driver Sizes 1/4, 5/16, 3/8, 9/16-Inch on 3-Inch Full Hollow Shaft, w/Cushion Grips, 4-Piece</t>
  </si>
  <si>
    <t>B00508QS5I</t>
  </si>
  <si>
    <t>11.74</t>
  </si>
  <si>
    <t>6244382376109</t>
  </si>
  <si>
    <t>Klein Tools 450-001 Staples, 1/4-Inch x 5/16-Inch Insulated</t>
  </si>
  <si>
    <t>Klein Tools 450-002 Heavy Duty Staples, 5/16 x 5/16-Inch Insulated Staples &amp; 450-100 Heavy Duty Stapler for Voice, Data, Video and Nonmetallic Sheathed (Romex)</t>
  </si>
  <si>
    <t>B0C1BZK9RJ</t>
  </si>
  <si>
    <t>5365258715304</t>
  </si>
  <si>
    <t>Klein Tools 450-002 Staples, 5/16-Inch x 5/16-Inch Insulated</t>
  </si>
  <si>
    <t>5365322612904</t>
  </si>
  <si>
    <t>Diablo Tools D0824X 8-1/4 in. x 24 Tooth Framing Saw Blade</t>
  </si>
  <si>
    <t>Freud D0824X Diablo 8-1/4-inch 24 Tooth ATB Thin Kerf Framing Saw Blades, 5-Pack</t>
  </si>
  <si>
    <t>B00W698NZW</t>
  </si>
  <si>
    <t>18.97</t>
  </si>
  <si>
    <t>26.89</t>
  </si>
  <si>
    <t>7962666500312</t>
  </si>
  <si>
    <t>Klein Tools JTH9M5 5 mm Hex Key, Journeyman T-Handle 9-Inch</t>
  </si>
  <si>
    <t>7.58</t>
  </si>
  <si>
    <t>6772921532589</t>
  </si>
  <si>
    <t>Greenlee 608 1/2" Foam Conduit Piston</t>
  </si>
  <si>
    <t>Greenlee 613 Piston For 2" Conduit, 1 Pack by Greenlee</t>
  </si>
  <si>
    <t>B0184XZKN6</t>
  </si>
  <si>
    <t>8007982285016</t>
  </si>
  <si>
    <t>Greenlee 608-5 Piston, Foam, 1/2 In, Pk5</t>
  </si>
  <si>
    <t>B002KLW92E</t>
  </si>
  <si>
    <t>Klein Tools 51607 Aluminum Conduit Bender Full Assembly, 3/4-Inch EMT, 1/2-Inch Rigid, Wide Foot Pedal, Benchmark Symbols and Angle Setter</t>
  </si>
  <si>
    <t>B08L41G5G5</t>
  </si>
  <si>
    <t>Klein Tools 51609 Iron Conduit Bender Head, for 3/4-Inch EMT or 1/2-Inch Rigid IMC, use with Klein Tools Angle Setter (Cat. No. 51612)</t>
  </si>
  <si>
    <t>B08VYFHL9J</t>
  </si>
  <si>
    <t>Klein Tools 31856 Heavy Duty Hole Cutter, 1-1/8-Inch Carbide Hole Cutter Cuts Stainless Steel, Mild Steel, Iron, and Copper</t>
  </si>
  <si>
    <t>B00776T2XQ</t>
  </si>
  <si>
    <t>Gorilla Original Gorilla Glue, Waterproof Polyurethane Glue, 18 Ounce Bottle, Brown, (Pack of 1)</t>
  </si>
  <si>
    <t>B0000223UU</t>
  </si>
  <si>
    <t>Klein Tools 32900 7-in-1 Impact Flip Socket with Handle</t>
  </si>
  <si>
    <t>Klein Tools 80021 Tool Set, Screwdriver and Nut Driver Tool Kit with Assorted Tips &amp; 32900 Impact Driver, 7-in-1 Impact Flip Socket Set with Handle, 6 Hex Driver Sizes</t>
  </si>
  <si>
    <t>B0CF29SBCM</t>
  </si>
  <si>
    <t>7856651239640</t>
  </si>
  <si>
    <t>Milwaukee 49-56-0082 1-1/2" HOLE DOZER™ Hole Saw Bi-Metal Cup</t>
  </si>
  <si>
    <t>Milwaukee Electric Tool 49-56-0233 Electric Bi-Metal Hole Saw, 4-1/2"</t>
  </si>
  <si>
    <t>B0017WPX5M</t>
  </si>
  <si>
    <t>7965257498840</t>
  </si>
  <si>
    <t>Klein Tools 86602 3/8-Inch Magnetic Hex Drivers, 3-Pack</t>
  </si>
  <si>
    <t>10.6</t>
  </si>
  <si>
    <t>7833497960664</t>
  </si>
  <si>
    <t>Greenlee - Piston,2-1/2" Conduit, Fishing (614)</t>
  </si>
  <si>
    <t>B0042T01W2</t>
  </si>
  <si>
    <t>Klein Tools RT250 GFCI Receptacle Tester with LCD</t>
  </si>
  <si>
    <t>Klein Tools ET310 AC Circuit Breaker Finder, Electric Tester with Integrated GFCI Outlet Tester &amp; RT250 GFCI Outlet Tester with LCD Display &amp; Klein Tools 69411 Circuit Breaker Finder Accessory Kit</t>
  </si>
  <si>
    <t>B0C9999Y7J</t>
  </si>
  <si>
    <t>30.78</t>
  </si>
  <si>
    <t>7793138729176</t>
  </si>
  <si>
    <t>Klein Tools Voltage Tester Kit with Electronic AC/DC Voltage Tester, GFCI Outlet Tester and Non-Contact Voltage Tester Pen, 3-Piece</t>
  </si>
  <si>
    <t>B0C8JZWTZY</t>
  </si>
  <si>
    <t>Klein Tools 51608 Iron Conduit Bender Head, for 1/2-Inch EMT, Compatible with Klein Tools Angle Setter (Cat. No. 51611)</t>
  </si>
  <si>
    <t>B08VYJMT3R</t>
  </si>
  <si>
    <t>Klein Tools RT310 Outlet Tester, AFCI and GFCI Receptacle Tester for North American AC Electrical Outlets</t>
  </si>
  <si>
    <t>B07PMDRHXB</t>
  </si>
  <si>
    <t>Klein Tools 51606 Aluminum Conduit Bender Full Assembly, 1/2-Inch EMT, Wide Food Pedal, Benchmark Symbols and Angle Setter</t>
  </si>
  <si>
    <t>B08L41DC9N</t>
  </si>
  <si>
    <t>Klein Tools RT310 AFCI / GFCI Outlet Tester</t>
  </si>
  <si>
    <t>Klein Tools ET110 CO Meter, Carbon Monoxide Tester and Detector &amp; RT310 Receptacle Tester, AFCI and GFCI Outlet and Device Tester for North American AC Electrical Outlet Receptacles</t>
  </si>
  <si>
    <t>B09Q65CGHR</t>
  </si>
  <si>
    <t>57.9</t>
  </si>
  <si>
    <t>3372527779940</t>
  </si>
  <si>
    <t>Klein Tools 25963 Step Drill Bit, Spiral Double-Fluted, 1/4-Inch to 3/4-Inch, VACO</t>
  </si>
  <si>
    <t>37.48</t>
  </si>
  <si>
    <t>7901318971608</t>
  </si>
  <si>
    <t>Klein Tools 450-100 Heavy Duty Stapler for Voice, Data, Video and Nonmetallic Sheathed (Romex) Cable Fits 1/4-, 5/16-, and 19/32-Inch Staples</t>
  </si>
  <si>
    <t>B085RLW9XL</t>
  </si>
  <si>
    <t>Klein Tools 51610 1" Iron Conduit Bender Head</t>
  </si>
  <si>
    <t>Klein Tools 56211 Iron Conduit Bender Head, 1-1/4-Inch EMT</t>
  </si>
  <si>
    <t>B00BEZWIBY</t>
  </si>
  <si>
    <t>113.68</t>
  </si>
  <si>
    <t>7798372630744</t>
  </si>
  <si>
    <t>Klein Tools JTH4E09 9/64-Inch Hex Key Journeyman T-Handle 4-Inch</t>
  </si>
  <si>
    <t>Klein Tools JTH9M10 10 mm Hex Key with Journeyman T-Handle, 9-Inch</t>
  </si>
  <si>
    <t>B005G3HIA6</t>
  </si>
  <si>
    <t>3.79</t>
  </si>
  <si>
    <t>5.76</t>
  </si>
  <si>
    <t>7434795876568</t>
  </si>
  <si>
    <t>Klein Tools NCVT1PKIT Non-Contact Voltage and GFCI Receptacle Test Kit</t>
  </si>
  <si>
    <t>Klein Tools RT250KIT Non-Contact Voltage Tester and GFCI Receptacle Tester &amp; 80016 Circuit Breaker Finder Tool Kit with Accessories, 2-Piece Set, Includes Cat. No. ET310 and Cat. No. 69411</t>
  </si>
  <si>
    <t>B0BC86DZ9N</t>
  </si>
  <si>
    <t>35.38</t>
  </si>
  <si>
    <t>7953960698072</t>
  </si>
  <si>
    <t>Klein Tools 32308 8-in-1 Multi-Bit Adjustable Length Stubby Screwdriver</t>
  </si>
  <si>
    <t>Klein Tools 32288 Insulated Screwdriver, 8-in-1 Screwdriver Set &amp; 32308 Multi-bit Stubby Screwdriver, Impact Rated 8-in-1 Adjustable Magnetic Tool with Phillips, Slotted, Square and Nut Driver</t>
  </si>
  <si>
    <t>B09Y7XVMRK</t>
  </si>
  <si>
    <t>7637271445720</t>
  </si>
  <si>
    <t>Klein Tools 66074 Flip Impact Socket, 3/4 and 13/16-Inch</t>
  </si>
  <si>
    <t>12.71</t>
  </si>
  <si>
    <t>17.8</t>
  </si>
  <si>
    <t>7817341534424</t>
  </si>
  <si>
    <t>Klein Tools 31932 Bi-Metal Hole Saw, 2-Inch</t>
  </si>
  <si>
    <t>Klein Tools 31900 Bi-Metal Hole Saw, 6-3/8-Inch, For Drywall-Ceiling Tile-Steel-Wood-Plastic, Stainless Steel, Recessed Lighting</t>
  </si>
  <si>
    <t>B0171X0FXU</t>
  </si>
  <si>
    <t>6572814434477</t>
  </si>
  <si>
    <t>Sunex 9732 44Pc 1/4" Dr Mini Dual Flex Head RATCHET W Socket &amp; Bit Set &amp; Klein Tools 65200 Ratchet Set, 5-Piece Mini Ratchet Set with Phillips, Slotted, and Adapter for Other Socket Sizes</t>
  </si>
  <si>
    <t>B0C5TJQVQ5</t>
  </si>
  <si>
    <t>KNIPEX Tools - 2 Piece Mini Pliers Wrench Set (9K0080121US) &amp; Klein Tools 32900 Impact Driver, 7-in-1 Impact Flip Socket Set with Handle, 6 Hex Driver Sizes plus a 1/4-Inch Bit Holder</t>
  </si>
  <si>
    <t>B0CB142X56</t>
  </si>
  <si>
    <t>Klein Tools JTH6E09BE 9/64-Inch Ball-End Hex Key with Journeyman T-Handle, 6-Inch (Pack of 2)</t>
  </si>
  <si>
    <t>B0CGLVC75M</t>
  </si>
  <si>
    <t>Klein Tools IR1 Infrared Digital Thermometer with Targeting Laser, 10:1</t>
  </si>
  <si>
    <t>48.5</t>
  </si>
  <si>
    <t>7766524231896</t>
  </si>
  <si>
    <t>Klein Tools 66001 2-in-1 Impact Socket, Socket Wrench Sizes 3/4-Inch and 9/16-Inch Hex, 12-Point Deep Socket with 1/2-Inch Drive</t>
  </si>
  <si>
    <t>B078NHVXWK</t>
  </si>
  <si>
    <t>Klein Tools 31902 Bi-Metal Hole Saw Kit, 8-Piece</t>
  </si>
  <si>
    <t>105.24</t>
  </si>
  <si>
    <t>7966205673688</t>
  </si>
  <si>
    <t>Klein Tools 32305 15-in-1 Multi-Bit Ratcheting Screwdriver</t>
  </si>
  <si>
    <t>Klein Tools 55419SP-14 Tool Bag with Shoulder Strap Has 14 Pockets for Tool Storage, Can Fit Long Screwdrivers &amp; 32305 Multi-bit Ratcheting Screwdriver, 15-in-1 Tool with Phillips, Slotted, Square</t>
  </si>
  <si>
    <t>B0CF2DT3WF</t>
  </si>
  <si>
    <t>7632426598616</t>
  </si>
  <si>
    <t>Klein Tools KTSB01 Step Drill Bit Double-Fluted #1, 1/8 to 1/2-Inch</t>
  </si>
  <si>
    <t>36.48</t>
  </si>
  <si>
    <t>7007793774765</t>
  </si>
  <si>
    <t>Klein Tools 31860 Heavy Duty Hole Cutter, 1-3/8-Inch Carbide Hole Cutter Cuts Stainless Steel, Mild Steel, Iron, and Copper</t>
  </si>
  <si>
    <t>B0061J5B2Q</t>
  </si>
  <si>
    <t>Diablo Tools D0724X 7-1/4 in. x 24 Tooth Framing Saw Blade</t>
  </si>
  <si>
    <t>2 Pack Diablo D0724DA 7-1/4" X 24 Tooth Framing/Deconstruction Circular Saw Blade</t>
  </si>
  <si>
    <t>B00XT9KFVS</t>
  </si>
  <si>
    <t>16.41</t>
  </si>
  <si>
    <t>7962598670552</t>
  </si>
  <si>
    <t>Klein Tools JTH9E13 1/4-Inch Hex Key with Journeyman T-Handle, 9-Inch</t>
  </si>
  <si>
    <t>9.84</t>
  </si>
  <si>
    <t>5999069462696</t>
  </si>
  <si>
    <t>Klein Tools VDV770-126 Carrying Case for Scout® Pro 3 Tester and Locator Remotes</t>
  </si>
  <si>
    <t>Klein Tools VDV501-851 Cable Tester Kit, 5 Locator Remotes &amp; Klein Tools VDV770-126 Replacement Carrying Case for Scout Pro 3 Series Testers and Locator Remotes, Black</t>
  </si>
  <si>
    <t>B09T6YN1YB</t>
  </si>
  <si>
    <t>32.49</t>
  </si>
  <si>
    <t>48.14</t>
  </si>
  <si>
    <t>7620077256920</t>
  </si>
  <si>
    <t>Diablo Tools D0704DH 7-1/4 in. x 4 Tooth Fiber Cement</t>
  </si>
  <si>
    <t>Freud D0704DHA Diablo 7-1/4-inch x4T PCD Tip TCG Hardie Fiber Cement Saw Blade (5-Pack)</t>
  </si>
  <si>
    <t>B00QZDV1YA</t>
  </si>
  <si>
    <t>7964908159192</t>
  </si>
  <si>
    <t>Klein Tools VDV427-300 Impact Punchdown Tool, 66/110 Blade</t>
  </si>
  <si>
    <t>Klein Tools 80072 RJ45 Cable Tester Kit with LAN Scout Jr. 2, Coax Crimper/Stripper/Cutter Tool and Pass-Thru Modular Data Plug &amp; VDV427-300 Impact Punchdown Tool, 66/110 Blade</t>
  </si>
  <si>
    <t>B0BVGDFVMZ</t>
  </si>
  <si>
    <t>7620069818584</t>
  </si>
  <si>
    <t>Automatic Wire Stripper 10-24 AWG &amp; Klein Tools 32305 Multi-bit Ratcheting Screwdriver, 15-in-1 Tool with Phillips, Slotted, Square, Torx and Combo Bits and 1/4-Inch Nut Driver</t>
  </si>
  <si>
    <t>B0BM42HWSD</t>
  </si>
  <si>
    <t>Klein Tools 31870 Carbide Hole Cutter, 2-1/2-Inch</t>
  </si>
  <si>
    <t>121.2</t>
  </si>
  <si>
    <t>6680619974829</t>
  </si>
  <si>
    <t>Diablo Tools DSP1060 1 in. x 4 in. Spade Bit</t>
  </si>
  <si>
    <t>Diablo 1-1/2 in. x 6 in. SPEEDemon Spade Bit (2-Pack)</t>
  </si>
  <si>
    <t>B089KWGLL1</t>
  </si>
  <si>
    <t>2.59</t>
  </si>
  <si>
    <t>2.96</t>
  </si>
  <si>
    <t>7901168730328</t>
  </si>
  <si>
    <t>Klein Tools 2036EINS Long Nose Side Cutter Pliers 6-Inch Slim Insulated</t>
  </si>
  <si>
    <t>Klein Tools 94130 1000V Insulated Screwdriver Tool Set &amp; 2038EINS Long Nose Side Cutter Insulated Pliers with Slim Induction Hardened Cutting Knives for Long Life, 8-Inch</t>
  </si>
  <si>
    <t>B0B56XS25D</t>
  </si>
  <si>
    <t>46.99</t>
  </si>
  <si>
    <t>71.2</t>
  </si>
  <si>
    <t>6829261029549</t>
  </si>
  <si>
    <t>Milwaukee 48-22-6625 Compact Tape Measure, 25ft</t>
  </si>
  <si>
    <t>Milwaukee Electric Tool 48-22-6625G Heavy Duty, Compact Measuring Tapes (2 Piece), 25'</t>
  </si>
  <si>
    <t>B005NSO6TA</t>
  </si>
  <si>
    <t>27.5</t>
  </si>
  <si>
    <t>7940063396056</t>
  </si>
  <si>
    <t>Greenlee 611 1-1/4" Foam Conduit Piston</t>
  </si>
  <si>
    <t>Greenlee - Piston,4" Conduit, Fishing (617)</t>
  </si>
  <si>
    <t>B000E2JVR2</t>
  </si>
  <si>
    <t>8.89</t>
  </si>
  <si>
    <t>9.25</t>
  </si>
  <si>
    <t>8007992017112</t>
  </si>
  <si>
    <t>Milwaukee 2880-20 M18 FUEL™ 4-1/2" / 5" Grinder Paddle Switch, No-Lock</t>
  </si>
  <si>
    <t>Milwaukee 2780-22 M18 Fuel 4-1/2" / 5" Grinder, Paddle Switch No-Lock</t>
  </si>
  <si>
    <t>B01N45B1K5</t>
  </si>
  <si>
    <t>7795852411096</t>
  </si>
  <si>
    <t>Diablo DMARG1110 5/16 in. x 8 in. x 10 in. SPEEDemon™ Red Granite Carbide Tipped Hammer Drill Bit</t>
  </si>
  <si>
    <t>B089LN9JJL</t>
  </si>
  <si>
    <t>Milwaukee 48-22-9429 7pc SAE Flex Head Combination Wrenches</t>
  </si>
  <si>
    <t>Milwaukee Flex Head Ratcheting Combination Wrench Set Bundel - 2 Items - Metric (8mm - 22mm) - SAE (1/4" - 1") 48-22-9513 48-22-9413</t>
  </si>
  <si>
    <t>B09HN752MW</t>
  </si>
  <si>
    <t>179.97</t>
  </si>
  <si>
    <t>273.0</t>
  </si>
  <si>
    <t>7884342034648</t>
  </si>
  <si>
    <t>Milwaukee 48-22-9529 7pc Metric Flex Head Ratcheting Combination Wrench</t>
  </si>
  <si>
    <t>270.4</t>
  </si>
  <si>
    <t>7884351045848</t>
  </si>
  <si>
    <t>Klein Tools 80072 RJ45 Cable Tester Kit with LAN Scout Jr. 2, Coax Crimper/Stripper/Cutter Tool and Pass-Thru Modular Data Plug &amp; VDV500-123 Cable Tracer Probe-Pro Tracing Probe</t>
  </si>
  <si>
    <t>B0BVG9VVZR</t>
  </si>
  <si>
    <t>Klein Tools JTH9M8 8 mm Hex Key with Journeyman T-Handle, 9-Inch</t>
  </si>
  <si>
    <t>B005G3HJSC</t>
  </si>
  <si>
    <t>Klein Tools ET310 AC Circuit Breaker Finder with Integrated GFCI Outlet Tester &amp; RT250 GFCI Receptacle Tester with LCD Display, for Standard 3-Wire 120V Electrical Outlets</t>
  </si>
  <si>
    <t>B09P85276K</t>
  </si>
  <si>
    <t>Klein Tools VDV501-851 Cable Tester Kit &amp; VDV427-300 Impact Punchdown Tool, 66/110 Blade</t>
  </si>
  <si>
    <t>B09Q66V8VH</t>
  </si>
  <si>
    <t>Klein Tools JTH9E09 9/64-Inch Hex Key, Journeyman™ T-Handle, 9-Inch</t>
  </si>
  <si>
    <t>7995440595160</t>
  </si>
  <si>
    <t>Klein Tools NCVT1XT Non-Contact Voltage Tester, 70 to 1000V AC</t>
  </si>
  <si>
    <t>26.32</t>
  </si>
  <si>
    <t>7931947155672</t>
  </si>
  <si>
    <t>Freud D0624X Diablo 6-1/2-Inch 24-Tooth ATB Framing Saw Blade 5/8-Inch Arbor (4 Pack)</t>
  </si>
  <si>
    <t>B0772PYWSJ</t>
  </si>
  <si>
    <t>Klein Tools JTH9E10 5/32-Inch Hex Key, Journeyman T-Handle, 9-Inch</t>
  </si>
  <si>
    <t>7640873205976</t>
  </si>
  <si>
    <t>Klein Tools IR10 Infrared Thermometer, Digital Thermometer Gun with Dual Targeting Laser, 20:1</t>
  </si>
  <si>
    <t>B07K1JB9TQ</t>
  </si>
  <si>
    <t>Klein Tools JTH6E06BE 3/32-Inch Ball End Hex Key with T-Handle, 6-Inch</t>
  </si>
  <si>
    <t>7.54</t>
  </si>
  <si>
    <t>6895312601261</t>
  </si>
  <si>
    <t>Klein Tools JTH6M3BE 3 mm Ball Hex Key Journeyman T-Handle 6-Inch</t>
  </si>
  <si>
    <t>7727600304344</t>
  </si>
  <si>
    <t>Klein Tools 94130 1000V Insulated Screwdriver Tool Set &amp; 32288 Insulated Screwdriver, 8-in-1 Screwdriver Set with Interchangeable Blades, 3 Phillips, 3 Slotted and 2 Square Tips</t>
  </si>
  <si>
    <t>B0B56RT7PC</t>
  </si>
  <si>
    <t>Klein Tools VDV501-851 Cable Tester Kit &amp; VDV500-123 Cable Tracer Probe-Pro Tracing Probe with Replaceable Non-Metallic, Conductive Tip and a Light for Use in Dark Spaces</t>
  </si>
  <si>
    <t>B09H38G69B</t>
  </si>
  <si>
    <t>Milwaukee 48-03-3015 Spline to SDS-Plus Bit Adapter</t>
  </si>
  <si>
    <t>Milwaukee 48-03-3012 SDS-Max to Spline Adapter</t>
  </si>
  <si>
    <t>B00I3PGEOA</t>
  </si>
  <si>
    <t>56.45</t>
  </si>
  <si>
    <t>102.3</t>
  </si>
  <si>
    <t>7926202794200</t>
  </si>
  <si>
    <t>Klein Tools VDV500-820 Cable Tracer with Probe Tone Pro Kit for Telephone, Internet, Video, Data and Communications Cables &amp; Klein Tools VDV427-300 Impact Punchdown Tool, 66/110 Blade</t>
  </si>
  <si>
    <t>B09Q66CDN4</t>
  </si>
  <si>
    <t>Klein Tools 88910 Mini Tube Cutter</t>
  </si>
  <si>
    <t>Klein Tools 88904 Professional Tube Cutter, 4-Roller Tracking System, Accurate Cutting for HVAC, Reaming Tool, Includes Extra Cutting Wheel &amp; 88910 Mini Tube Cutter</t>
  </si>
  <si>
    <t>B0BHVPRYWJ</t>
  </si>
  <si>
    <t>27.36</t>
  </si>
  <si>
    <t>7539584631000</t>
  </si>
  <si>
    <t>Klein Tools 31948 Bi-Metal Hole Saw, 3-Inch</t>
  </si>
  <si>
    <t>19.62</t>
  </si>
  <si>
    <t>7827277185240</t>
  </si>
  <si>
    <t>Milwaukee 49-56-0032 7/8" HOLE DOZER™ Hole Saw Bi-Metal Cup</t>
  </si>
  <si>
    <t>Milwaukee Electric Tool 49-56-0167 Electric Bi-Metal Hole Saw, 2-7/8"</t>
  </si>
  <si>
    <t>B0017WOBBO</t>
  </si>
  <si>
    <t>6.05</t>
  </si>
  <si>
    <t>12.3</t>
  </si>
  <si>
    <t>7965277880536</t>
  </si>
  <si>
    <t>Klein Tools NCVT1P Voltage Tester, 50V to 1000V AC, Audible and Flashing LED Alarms, Pocket Clip &amp; RT110 Outlet Tester, AC Electrical Receptacle Tester for North American Outlets</t>
  </si>
  <si>
    <t>B0BRM9Q8SF</t>
  </si>
  <si>
    <t>Diablo Tools DSP2060 9/16 in. x 6 in. Spade Bit</t>
  </si>
  <si>
    <t>IVY Classic 10709 9/16 x 6-Inch Swift Bore® Wood Spade Bit, High-Carbon Steel, 1/Card</t>
  </si>
  <si>
    <t>B00065DQLY</t>
  </si>
  <si>
    <t>3.21</t>
  </si>
  <si>
    <t>7901216112856</t>
  </si>
  <si>
    <t>Klein Tools 614-2 1/16-Inch Slotted Electronics Screwdriver, 2-Inch</t>
  </si>
  <si>
    <t>8.49</t>
  </si>
  <si>
    <t>12.86</t>
  </si>
  <si>
    <t>7512018616536</t>
  </si>
  <si>
    <t>Klein Tools 50611ML Magnetic Wire Puller Replacement Leader</t>
  </si>
  <si>
    <t>Klein Tools 50611 Magnetic Wire Puller, Fishes and Pulls Wire Cable Behind Walls or Tight Spaces, Stainless-Steel Leader, Rare Earth Magnet</t>
  </si>
  <si>
    <t>B093J6Z5QT</t>
  </si>
  <si>
    <t>36.06</t>
  </si>
  <si>
    <t>7832399937752</t>
  </si>
  <si>
    <t>Klein Tools 32900 Impact Driver, 7-in-1 Impact Flip Socket Set with Handle, 6 Hex Driver Sizes plus a 1/4-Inch Bit Holder</t>
  </si>
  <si>
    <t>B09PZG4F8X</t>
  </si>
  <si>
    <t>Klein Tools RT310 Receptacle Tester, AFCI and GFCI Outlet and Device Tester &amp; Klein Tools RT250 GFCI Receptacle Tester with LCD Display, for Standard 3-Wire 120V Electrical Outlets</t>
  </si>
  <si>
    <t>B0BD3YZ7JV</t>
  </si>
  <si>
    <t>Klein Tools JTH4E08 1/8-Inch Hex Key, Journeyman T-Handle, 4-Inch</t>
  </si>
  <si>
    <t>5.74</t>
  </si>
  <si>
    <t>7614347509976</t>
  </si>
  <si>
    <t>DEWALT Drill Bit, Spade, 9/16 Inch x 6 Inch (DW1575)</t>
  </si>
  <si>
    <t>B0001LQYFS</t>
  </si>
  <si>
    <t>Klein Tools 32807MAG 7-in-1 Nut Driver &amp; 32308 Multi-bit Stubby Screwdriver, Impact Rated 8-in-1 Adjustable Magnetic Tool with Phillips, Slotted, Square and Nut Driver</t>
  </si>
  <si>
    <t>B0B2DDKN6X</t>
  </si>
  <si>
    <t>Milwaukee 2458-21 M12™ Cordless Lithium-Ion Palm Nailer Kit</t>
  </si>
  <si>
    <t>Milwaukee Elec Tool 2742-21CT M18 Fuel Lithiumion Brushless Cordless 16Gauge Angled F Inish Nailer Kit 247221Ct</t>
  </si>
  <si>
    <t>B01DE8ZIVK</t>
  </si>
  <si>
    <t>365.0</t>
  </si>
  <si>
    <t>7964958490840</t>
  </si>
  <si>
    <t>Klein Tools 605-4 1/4-Inch Cabinet Tip Screwdriver 4-Inch Shank</t>
  </si>
  <si>
    <t>Klein Tools 614-4 Flat Screwdriver, Precision Electronics Screwdriver, 1/8-Inch Cabinet Tip, 4-Inch Shank (Pack of 2)</t>
  </si>
  <si>
    <t>B0CDQJLP83</t>
  </si>
  <si>
    <t>13.6</t>
  </si>
  <si>
    <t>7852059132120</t>
  </si>
  <si>
    <t>Diablo by Freud DMAPL4010 5/32 in. x 2 in. x 4 in. Rebar Demon SDS-Plus 4-Cutter Full Carbide Head Hammer Bit</t>
  </si>
  <si>
    <t>B089KWVTD3</t>
  </si>
  <si>
    <t>Klein Tools ET45VP AC/DC Voltage and GFCI Receptacle Outlet Test Kit</t>
  </si>
  <si>
    <t>25.82</t>
  </si>
  <si>
    <t>7783562084568</t>
  </si>
  <si>
    <t>Klein Tools 9416R 1000V Insulated Tool Kit, 3-Piece</t>
  </si>
  <si>
    <t>84.99</t>
  </si>
  <si>
    <t>127.48</t>
  </si>
  <si>
    <t>7872648347864</t>
  </si>
  <si>
    <t>Klein Tools 5416 Tool Bag, Bull-Pin and Bolt Pouch, Belt Strap Connect, 5 x 10 x 9-Inch</t>
  </si>
  <si>
    <t>29.06</t>
  </si>
  <si>
    <t>7966205018328</t>
  </si>
  <si>
    <t>Milwaukee 48-39-0572 18 TPI Sub-Compact Portable Band Saw Blade, 3 Per Pack, 3 Pack</t>
  </si>
  <si>
    <t>B083W3GY5W</t>
  </si>
  <si>
    <t>Milwaukee 48-39-0572 18 TPI Standard Compact Portable Band Saw Blade BULK 100</t>
  </si>
  <si>
    <t>7962068549848</t>
  </si>
  <si>
    <t>Klein Tools 32768 3-in-1 Impact Flip Socket Set, 1/4-Inch, 5/16-Inch, 2-Piece</t>
  </si>
  <si>
    <t>Klein Tools 32304 Screwdriver &amp; 32768 Impact Driver, 3-in-1 Impact Flip Socket and Bit Holder, 1/4 and 5/16-Inch Hex Drivers, 3 and 5-Inch Lengths, 2-Piece Set</t>
  </si>
  <si>
    <t>B0C4H7N4GS</t>
  </si>
  <si>
    <t>7856621977816</t>
  </si>
  <si>
    <t>Klein Tools JTH4E06 3/32-Inch Hex Key, Journeyman T-Handle, 4-Inch</t>
  </si>
  <si>
    <t>3.99</t>
  </si>
  <si>
    <t>7032648794285</t>
  </si>
  <si>
    <t>Milwaukee 49-56-0072 1-3/8" HOLE DOZER™ Hole Saw Bi-Metal Cup</t>
  </si>
  <si>
    <t>Milwaukee Electric Tool 49-56-0193 Bi-Metal Hole Saw, 3-1/2"</t>
  </si>
  <si>
    <t>B0017WTULA</t>
  </si>
  <si>
    <t>7965261791448</t>
  </si>
  <si>
    <t>Diablo 1 in. x 4 in. SPEEDemon™ Spade Bit</t>
  </si>
  <si>
    <t>B089KXW89T</t>
  </si>
  <si>
    <t>RJ45 Ethernet Cable Tester and Crimper Kit, Pass-Thru Technology, Includes Connectors for Cat5e / CAT6 Data Applications Klein Tools &amp; Klein Tools VDV427-300 Impact Punchdown Tool, 66/110 Blade</t>
  </si>
  <si>
    <t>B0BM3B5HST</t>
  </si>
  <si>
    <t>Klein Tools RT390 Circuit Analyzer</t>
  </si>
  <si>
    <t>Klein Tools ET450 Advanced Circuit Breaker Finder and Wire Tracer Kit &amp; RT390 Circuit Analyzer with Large LCD, Identifies Wiring Faults, GFCI and AFCI Tester, Voltage Drop, Displays Trip Time, Orange</t>
  </si>
  <si>
    <t>B0CCS6L8DC</t>
  </si>
  <si>
    <t>209.98</t>
  </si>
  <si>
    <t>7953963581656</t>
  </si>
  <si>
    <t>Tajima VRB2-5B V-REX II Premium Tempered Steel Utility Knife Blades, 5-Pack</t>
  </si>
  <si>
    <t>B00PX98GTA</t>
  </si>
  <si>
    <t>Freud D0824X Diablo 8-1/4-inch 24 Tooth ATB Thin Kerf Framing Saw Blades, 2-Pack</t>
  </si>
  <si>
    <t>B00W68OTLK</t>
  </si>
  <si>
    <t>Klein Tools JTH6M6BE 6 mm Ball-End Hex Key, Journeyman™ T-Handle, 6-Inch</t>
  </si>
  <si>
    <t>9.12</t>
  </si>
  <si>
    <t>7857474404568</t>
  </si>
  <si>
    <t>Milwaukee 48-39-0572 Sub-Compact Portable Band Saw Blades, 27-Inch 18TPI, 3 Blades per Pack, 3 Pack (9 Blades Total)</t>
  </si>
  <si>
    <t>B084GCHPC3</t>
  </si>
  <si>
    <t>Klein Tools S10M 5/16-Inch Magnetic Nut Driver 3-Inch Shaft</t>
  </si>
  <si>
    <t>15.08</t>
  </si>
  <si>
    <t>2767113125988</t>
  </si>
  <si>
    <t>Klein Tools ET920 USB Digital Meter, USB-A and USB-C</t>
  </si>
  <si>
    <t>Klein Tools ET920 USB Power Meter, USB-A and USB-C Digital Meter for Voltage &amp; Klein Tools AC Circuit Breaker Kit with GFCI Digital Circuit Breaker Finder, Non-Contact Voltage Tester Pen, 3-Piece</t>
  </si>
  <si>
    <t>B0BM3QKQ5G</t>
  </si>
  <si>
    <t>47.98</t>
  </si>
  <si>
    <t>7584862372056</t>
  </si>
  <si>
    <t>Klein Tools 607-3 Mini Screwdriver, 3/32-Inch Cabinet Tip, 3-Inch</t>
  </si>
  <si>
    <t>Klein Tools 607-3-INS Insulated Screwdriver, 3/32-Inch Cabinet Tip with 3-Inch Shank</t>
  </si>
  <si>
    <t>B00J9S35OW</t>
  </si>
  <si>
    <t>10.58</t>
  </si>
  <si>
    <t>6068127203501</t>
  </si>
  <si>
    <t>Klein Tools 31872 Heavy Duty Hole Cutter Kit, Includes Carbide Hole Cutters and Pilot Bit in Rust-Proof Molded Plastic Case, 4-Piece</t>
  </si>
  <si>
    <t>B003CCR97A</t>
  </si>
  <si>
    <t>Diablo Tools D0604DH 6-1/2 in. x 4 Tooth Fiber Cement</t>
  </si>
  <si>
    <t>Freud-Diablo Company. 6-1/2 X 4 PCD Fiber Cement DIAB, Multi, One Size (D0604DH). Set of 3</t>
  </si>
  <si>
    <t>B09711QP6W</t>
  </si>
  <si>
    <t>76.15</t>
  </si>
  <si>
    <t>7964861595864</t>
  </si>
  <si>
    <t>Klein Tools JTH6E12BE 7/32-Inch Ball End Hex Key with Journeyman T-Handle,6-Inch (Pack of 2)</t>
  </si>
  <si>
    <t>B0CFKJBMTP</t>
  </si>
  <si>
    <t>Milwaukee 48-03-3025 SDS Max to SDS Plus Bit Adapter</t>
  </si>
  <si>
    <t>67.75</t>
  </si>
  <si>
    <t>122.6</t>
  </si>
  <si>
    <t>7926094758104</t>
  </si>
  <si>
    <t>Milwaukee 49-56-0197 3-5/8" HOLE DOZER™ Hole Saw Bi-Metal Cup</t>
  </si>
  <si>
    <t>12.19</t>
  </si>
  <si>
    <t>24.7</t>
  </si>
  <si>
    <t>7962124681432</t>
  </si>
  <si>
    <t>Screwdriver, 14-in-1 Adjustable Screwdriver with Flip Socket &amp; 32308 Multi-bit Stubby Screwdriver, Impact Rated 8-in-1 Adjustable Magnetic Tool with Phillips, Slotted, Square and Nut Driver</t>
  </si>
  <si>
    <t>B09YTXLJXC</t>
  </si>
  <si>
    <t>Klein Tools VDV526-200 LAN Scout ® Jr. 2 Cable Tester</t>
  </si>
  <si>
    <t>Klein Tools VDV500-820 Cable Tracer with Probe Tone Pro Kit &amp; VDV526-200 Cable Tester, LAN Scout Jr. 2 Ethernet Cable Tester for CAT 5e, CAT 6/6A Cables with RJ45 Connections</t>
  </si>
  <si>
    <t>B09T6ZKDCM</t>
  </si>
  <si>
    <t>82.5</t>
  </si>
  <si>
    <t>7823726182616</t>
  </si>
  <si>
    <t>Klein Tools ET600 Insulation Resistance Tester</t>
  </si>
  <si>
    <t>164.99</t>
  </si>
  <si>
    <t>231.0</t>
  </si>
  <si>
    <t>4411568095332</t>
  </si>
  <si>
    <t>Greenlee 612 1-1/2" Foam Conduit Piston</t>
  </si>
  <si>
    <t>11.33</t>
  </si>
  <si>
    <t>8007993032920</t>
  </si>
  <si>
    <t>Klein Tools D248-8 Diagonal Cutting Pliers, Angled Head, Short Jaw, 8-Inch</t>
  </si>
  <si>
    <t>Klein Tools D201-7CSTA Linesman Pliers, Side Cutters with Spring Loaded Action &amp; D248-8 Pliers, Diagonal Cutting Multi-Purpose Pliers with Angled Head, High-Leverage Design, and Short Jaw, 8-Inch</t>
  </si>
  <si>
    <t>B093PYY2DS</t>
  </si>
  <si>
    <t>6680617091245</t>
  </si>
  <si>
    <t>Klein Tools J203-8 Pliers, Needle Nose Side-Cutters, 8-Inch</t>
  </si>
  <si>
    <t>Klein Tools J2000-9NECRTP Side Cutter Linemans Pliers with Tape Pulling and Wire Crimping, High Leverage, 9-Inch &amp; J203-8 Needle Nose Pliers with Cutter, Heavy Duty 8-Inch Journeyman</t>
  </si>
  <si>
    <t>B0BFXQNZ95</t>
  </si>
  <si>
    <t>38.49</t>
  </si>
  <si>
    <t>58.32</t>
  </si>
  <si>
    <t>7606180249816</t>
  </si>
  <si>
    <t>Klein Tools 32500MAG 11-in-1 Magnetic Screwdriver / Nut Driver</t>
  </si>
  <si>
    <t>Klein Tools 32500MAG Magnetic Multi-Bit Screwdriver/Nut Driver, 11-in-1 &amp; 32900 Impact Driver, 7-in-1 Impact Flip Socket Set with Handle, 6 Hex Driver Sizes plus a 1/4-Inch Bit Holder</t>
  </si>
  <si>
    <t>B0BNL72TB8</t>
  </si>
  <si>
    <t>29.38</t>
  </si>
  <si>
    <t>6082199814317</t>
  </si>
  <si>
    <t>Klein Tools 32807MAG 7-in-1 Nut Driver &amp; 32500MAG Magnetic Multi-Bit Screwdriver/Nut Driver, 11-in-1 Multi Tool with 8 Bits, 3 Nut Driver Sizes, Cushion Grip Handle</t>
  </si>
  <si>
    <t>B09Q64R2HY</t>
  </si>
  <si>
    <t>Klein Tools NCVT3PKIT Dual Range NCVT and AC/DC Voltage Tester Electrical Test Kit</t>
  </si>
  <si>
    <t>Klein Tools NCVT3PKIT Electrical Test Kit, Dual-Range Non-Contact Voltage Tester with Flashlight, AC/DC Voltage Tester and Carrying Case &amp; ET310 AC Circuit Breaker Finder</t>
  </si>
  <si>
    <t>B0BD3WBV6W</t>
  </si>
  <si>
    <t>48.52</t>
  </si>
  <si>
    <t>7871488032984</t>
  </si>
  <si>
    <t>Replacement Test Lead Set, Right Angle Klein Tools 69410 &amp; 69417 Rare-Earth Magnetic Hanger, with Strap</t>
  </si>
  <si>
    <t>B0BGJ4RHHH</t>
  </si>
  <si>
    <t>Diablo by Freud DSP1090 1-1/2 in. x 4 in. SPEEDemon Spade Bit Multi, One Size</t>
  </si>
  <si>
    <t>B089KWFTKZ</t>
  </si>
  <si>
    <t>Diablo Tools D0536X 5-3/8 in. x 36 Tooth Finish Trim Saw Blade</t>
  </si>
  <si>
    <t>Freud D0536X Diablo 5-3/8-Inch 36 Tooth ATB Finish Cordless Trim Saw Blade (2 Pack)</t>
  </si>
  <si>
    <t>B076HCJL4B</t>
  </si>
  <si>
    <t>26.04</t>
  </si>
  <si>
    <t>7964916482264</t>
  </si>
  <si>
    <t>Klein Tools 80016 Circuit Breaker Finder Tool Kit &amp; RT310 Receptacle Tester, AFCI and GFCI Outlet and Device Tester for North American AC Electrical Outlet Receptacles</t>
  </si>
  <si>
    <t>B09P84542L</t>
  </si>
  <si>
    <t>Klein Tools 46037 Cable Splicer's Kit</t>
  </si>
  <si>
    <t>Dismantling Knife-1000V Insulated &amp; Klein Tools 46039 Cable Splicer's Kit with Cable Splicer Electricians Knife and Free-Fall Snip</t>
  </si>
  <si>
    <t>B0BM2ZZM12</t>
  </si>
  <si>
    <t>66.7</t>
  </si>
  <si>
    <t>7819207508184</t>
  </si>
  <si>
    <t>Klein Tools 646-3/8-INS 3/8-Inch Hex Insulated Nut Driver with 6-Inch Hollow Shaft and Cushion Grip Handle</t>
  </si>
  <si>
    <t>B000MKH62I</t>
  </si>
  <si>
    <t>Klein Tools 32293 Insulated Screwdriver, 2-in-1 Screwdriver Set with Flip Blade, #2 Phillips and1/4-Inch Slotted Tips, Double-Ended Blades</t>
  </si>
  <si>
    <t>B07WWZZQD2</t>
  </si>
  <si>
    <t>Klein Tools ET60 Voltage Tester, Tests AC and DC Voltage and Low Voltage, No Batteries Needed, Orange/Black</t>
  </si>
  <si>
    <t>B06WWFGHQZ</t>
  </si>
  <si>
    <t>Klein Tools 32768 Impact Driver, 3-in-1 &amp; 7-in-1 Impact Flip Socket Set, 6 Hex Driver Sizes plus a 1/4-Inch Bit Holder Klein Tools 32907</t>
  </si>
  <si>
    <t>B0BNL4KNLD</t>
  </si>
  <si>
    <t>Klein Tools J215-8CR Multitool Pliers, Twisting, Looping &amp; 32900 Impact Driver, 7-in-1 Impact Flip Socket Set with Handle, 6 Hex Driver Sizes plus a 1/4-Inch Bit Holder</t>
  </si>
  <si>
    <t>B0BNL9XZLY</t>
  </si>
  <si>
    <t>Klein Tools Recharge Headlamp Fabric Strap 400 Lumens All Day Runtime &amp; 32900 Impact Driver, 7-in-1 Impact Flip Socket Set with Handle, 6 Hex Driver Sizes Plus a 1/4-Inch Bit Holder</t>
  </si>
  <si>
    <t>B0BNL563BW</t>
  </si>
  <si>
    <t>Freud D0760A Diablo 7-1/4" x 60-Tooth Ultra Fine Finishing Circular Saw Blade With 5/8" Arbor (2 Pack)</t>
  </si>
  <si>
    <t>B0763T4PLZ</t>
  </si>
  <si>
    <t>Klein Tools VDV526-200 Cable Tester, LAN Scout Jr. 2 Ethernet Cable Tester &amp; VDV427-300 Impact Punchdown Tool, 66/110 Blade</t>
  </si>
  <si>
    <t>B09T6Y965V</t>
  </si>
  <si>
    <t>Greenlee 612-2 Conduit Piston, 1-1/2-Inch Conduit</t>
  </si>
  <si>
    <t>B003STCZE4</t>
  </si>
  <si>
    <t>Diablo by Freud DSP1020 1/2 in. x 4 in. SPEEDemon Spade Bit Multi, One Size</t>
  </si>
  <si>
    <t>B089LMWCBQ</t>
  </si>
  <si>
    <t>Klein Tools 85091 Power Conduit Reamer</t>
  </si>
  <si>
    <t>Klein Tools 85091 Power Conduit Reamer, 1/2-, 3/4- and 1-In &amp; 85191 Screwdriver/Conduit Reamer, Conduit Fitting and Reaming Screwdriver for 1/2-In, 3/4-In, and 1-In Thin-Wall Conduit</t>
  </si>
  <si>
    <t>B0BGPT4RV4</t>
  </si>
  <si>
    <t>42.04</t>
  </si>
  <si>
    <t>6221953269933</t>
  </si>
  <si>
    <t>Diablo by Freud Diablo DMAPL4070 1/4 in. x 4 in. x 6 in. Rebar Demon SDS-Plus 4-Cutter Full Carbide Head Hammer Bit</t>
  </si>
  <si>
    <t>B089KVLDML</t>
  </si>
  <si>
    <t>Diablo Tools DMAMM1010 1/8 in. x 2 in. x 3 in. Multi-Material Carbide Tipped Hammer Drill Bit</t>
  </si>
  <si>
    <t>Diablo 1/2 in. x 4 in. x 6 in. Multi-Material Carbide Tipped Hammer Drill Bit</t>
  </si>
  <si>
    <t>B089LGQPBS</t>
  </si>
  <si>
    <t>4.97</t>
  </si>
  <si>
    <t>6917950668973</t>
  </si>
  <si>
    <t>Milwaukee 49-90-2022 AIR-TIP™ Dust Collector</t>
  </si>
  <si>
    <t>Compatible with Milwaukee Air-Tip Vacuum Dust Collector Attachment part# 49-90-2022</t>
  </si>
  <si>
    <t>B0BQ3PFPND</t>
  </si>
  <si>
    <t>66.0</t>
  </si>
  <si>
    <t>7940159176920</t>
  </si>
  <si>
    <t>Klein Tools NCVT-2P Dual Range Non-Contact Voltage Tester 12 - 1000V AC</t>
  </si>
  <si>
    <t>27.97</t>
  </si>
  <si>
    <t>35.76</t>
  </si>
  <si>
    <t>6080875626669</t>
  </si>
  <si>
    <t>Klein Tools 66078 Impact Flip Socket Adapter, Large 1/2 to 1/2 -Inch Square Adapter, Use with Klein Tools Flip Impact Socket Set 66070</t>
  </si>
  <si>
    <t>B0B33T15XS</t>
  </si>
  <si>
    <t>Klein Tools ET310 AC Circuit Breaker Finder, Electric Tester With Integrated GFCI Outlet Tester &amp; RT310 Outlet Tester, AFCI and GFCI Receptacle Tester for North American AC Electrical Outlets</t>
  </si>
  <si>
    <t>B08MFYB28G</t>
  </si>
  <si>
    <t>Klein Tools VDV526-052 Cable Tester, LAN Scout® Jr. Continuity Tester</t>
  </si>
  <si>
    <t>96.68</t>
  </si>
  <si>
    <t>7995835678936</t>
  </si>
  <si>
    <t>24.03</t>
  </si>
  <si>
    <t>Klein Tools 5416TFR Tool Bag, Flame Resistant Canvas Bag for Bolt Storage with Double Reinforced Bottom and Tunnel Connect, 5 x 10 x 9-Inch &amp; 5471FR Flame-Resistant Electrode Bag</t>
  </si>
  <si>
    <t>B0BFXQNQMY</t>
  </si>
  <si>
    <t>Klein Tools 51607 Aluminum Conduit Bender Full Assembly, 3/4-Inch EMT with Angle Setter™</t>
  </si>
  <si>
    <t>Klein Tools 51605 Iron Conduit Bender Full Assembly, 1-Inch EMT and 3/4-Inch Rigid, Wide Foot Pedal, Benchmark Symbols and Angle Setter</t>
  </si>
  <si>
    <t>B08L3ZQCT1</t>
  </si>
  <si>
    <t>7827252216024</t>
  </si>
  <si>
    <t>Klein Tools VDV526-200 Cable Tester, LAN Scout Jr. 2 Ethernet Cable Tester &amp; VDV500-123 Cable Tracer Probe-Pro Tracing Probe with Replaceable Non-Metallic</t>
  </si>
  <si>
    <t>B09Y84486X</t>
  </si>
  <si>
    <t>Klein Tools D502-10 Pump Pliers, 10-Inch</t>
  </si>
  <si>
    <t>Klein Tools D502-10-INS 10-Inch Pump Pliers, Insulated</t>
  </si>
  <si>
    <t>B0002RI9UO</t>
  </si>
  <si>
    <t>37.84</t>
  </si>
  <si>
    <t>6203936669869</t>
  </si>
  <si>
    <t>Freud Diablo 7-1/4-Inch 24 Tooth Framing Circular Saw Blades (2-Pack)</t>
  </si>
  <si>
    <t>B09K81GP9V</t>
  </si>
  <si>
    <t>Milwaukee 49-56-0505 1/4" Diamond MAX™ Hole Saw</t>
  </si>
  <si>
    <t>Milwaukee 49-56-5660 2‐1/2" Diamond Hole Saw</t>
  </si>
  <si>
    <t>B00KQMUOOE</t>
  </si>
  <si>
    <t>26.6</t>
  </si>
  <si>
    <t>7969746485464</t>
  </si>
  <si>
    <t>Klein Tools 32807MAG 7-in-1 Nut Driver, Magnetic Driver with SAE Hex Nut Sizes and Spring Coil Bits &amp; 32527 Schrader 11-in-1 Screwdriver/Nut Driver, Black</t>
  </si>
  <si>
    <t>B08MG3L43V</t>
  </si>
  <si>
    <t>Klein Tools 32768 Impact Driver, 3-in-1 Impact Flip Socket and Bit Holder, 1/4 and 5/16-Inch Hex Drivers, 3 and 5-Inch Lengths, 2-Piece Set</t>
  </si>
  <si>
    <t>B09Q52LQ5G</t>
  </si>
  <si>
    <t>SATA 19-in-1 Multipurpose Ratcheting Screwdriver Set with 8 Double-Sided Bits &amp; Klein Tools 32305 Multi-bit Ratcheting Screwdriver, 15-in-1 Tool</t>
  </si>
  <si>
    <t>B0CB14B5K6</t>
  </si>
  <si>
    <t>Klein Tools 32308 Multi-bit Stubby Screwdriver, Impact Rated 8-in-1 Adjustable Magnetic Tool &amp; 32303 Multi-Bit Screwdriver/Nut Driver, Impact Rated 14-in-1 Magnetic Screwdriver Set</t>
  </si>
  <si>
    <t>B0B56P6P3L</t>
  </si>
  <si>
    <t>Klein Tools 70550 Hex Key Set, 11 SAE Sizes, Heavy Duty Folding Allen Wrench Tool &amp; 32308 Multi-bit Stubby Screwdriver, Impact Rated 8-in-1 Adjustable Magnetic Tool</t>
  </si>
  <si>
    <t>B0BC874NXV</t>
  </si>
  <si>
    <t>Klein Tools 630-5/8 Nut Driver, 5/8-Inch, 4-Inch Hollow Shaft</t>
  </si>
  <si>
    <t>Klein Tools 646-5/8-INS 5/8-Inch Insulated Nut Driver with 6-Inch Hollow Shaft and Cushion Grip Handle</t>
  </si>
  <si>
    <t>B000MKH632</t>
  </si>
  <si>
    <t>12.49</t>
  </si>
  <si>
    <t>6781025386669</t>
  </si>
  <si>
    <t>Klein Tools 640-5/8 5/8-Inch Coated Nut Driver with 4-Inch Hollow Shaft and Cushion Grip Handle</t>
  </si>
  <si>
    <t>B00093D6YA</t>
  </si>
  <si>
    <t>7614370054360</t>
  </si>
  <si>
    <t>Milwaukee 49-56-0426 Hole Saw 1-3/8" Carbide Grit with Pilot Bit</t>
  </si>
  <si>
    <t>B004AGOTB6</t>
  </si>
  <si>
    <t>Screwdriver, 14-in-1 Adjustable Screwdriver &amp; 32305 Multi-bit Ratcheting Screwdriver, 15-in-1 Tool with Phillips, Slotted, Square, Torx and Combo Bits and 1/4-Inch Nut Driver</t>
  </si>
  <si>
    <t>B0BRM1659C</t>
  </si>
  <si>
    <t>Malco MSHC 1/4 &amp; 5/16 Reversible Hex Chuck Driver, 2 pack &amp; Klein Tools 32768 Impact Driver, 3-in-1 Impact Flip Socket and Bit Holder, 1/4 and 5/16-Inch Hex Drivers, 3 and 5-Inch Lengths, 2-Piece Set</t>
  </si>
  <si>
    <t>B0CB15L9TC</t>
  </si>
  <si>
    <t>Klein Tools RT250 GFCI Outlet Tester with LCD Display, Electric Voltage Tester for Standard 3-Wire 120V Electrical Receptacles,Green/Red</t>
  </si>
  <si>
    <t>B08QW7K1JJ</t>
  </si>
  <si>
    <t>Klein Tools JTH9M25 2.5 mm Hex Key with Journeyman T-Handle, 9-Inch (Pack of 2)</t>
  </si>
  <si>
    <t>B0CFXPBXYK</t>
  </si>
  <si>
    <t>Klein Tools VDV526-200 Cable Tester, LAN Scout Jr. 2 Ethernet Cable Tester &amp; 80024 Racheting Data Cable and CAT6 Plug 50-Pack Tool Kit, Pass Thru Installation Tool Kit, 2-Piece</t>
  </si>
  <si>
    <t>B09T6ZR6BP</t>
  </si>
  <si>
    <t>Klein Tools 50031 Ratcheting PVC Cutter</t>
  </si>
  <si>
    <t>Klein Tools 50034 Large Capacity Ratcheting PVC Cutter</t>
  </si>
  <si>
    <t>B019875KC8</t>
  </si>
  <si>
    <t>143.9</t>
  </si>
  <si>
    <t>4385929920612</t>
  </si>
  <si>
    <t>Milwaukee 49-56-0509 3/8" Diamond MAX™ Hole Saw</t>
  </si>
  <si>
    <t>Milwaukee Electric Tool 49-56-0305 Recessed Light Hole Saw, 6-3/8" D</t>
  </si>
  <si>
    <t>B000CSWEXG</t>
  </si>
  <si>
    <t>30.9</t>
  </si>
  <si>
    <t>7910281019608</t>
  </si>
  <si>
    <t>Klein Tools 66070 Flip Impact Socket Set, 7-Piece</t>
  </si>
  <si>
    <t>Wera 056490 Tool-Check Plus Bit Ratchet Set with Sockets - Metric &amp; Impact Driver, 7-in-1 Impact Flip Socket Set, 6 Hex Driver Sizes plus a 1/4-Inch Bit Holder Klein Tools 32907</t>
  </si>
  <si>
    <t>B0C3MY7J6Z</t>
  </si>
  <si>
    <t>7817421127896</t>
  </si>
  <si>
    <t>Klein Tools RT250 GFCI Outlet Tester with LCD Display, Electric Voltage Tester &amp; NCVT1XT Voltage Tester, Non-Contact Voltage Detector Pen, 70V to 1000V AC</t>
  </si>
  <si>
    <t>B0CB14H87T</t>
  </si>
  <si>
    <t>Milwaukee 48-22-1521 Compact Folding Knife</t>
  </si>
  <si>
    <t>15.5</t>
  </si>
  <si>
    <t>7937891827928</t>
  </si>
  <si>
    <t>Klein Tools 46039 Cable Splicer's Kit with Free-Fall Snip &amp; VDV427-300 Impact Punchdown Tool, 66/110 Blade</t>
  </si>
  <si>
    <t>B0BD3YB2HS</t>
  </si>
  <si>
    <t>Greenlee - Piston, Boxed-3/4", Fishing (609)</t>
  </si>
  <si>
    <t>B004QNZ8GS</t>
  </si>
  <si>
    <t>Milwaukee 48-39-0572 18 TPI Sub-Compact Portable Band Saw Blade, 3 Per Pack, 2 Pack (6 Blades Total)</t>
  </si>
  <si>
    <t>B009G6W59S</t>
  </si>
  <si>
    <t>Klein Tools JTH9M8 8 mm Hex Key, Journeyman™ T-Handle, 9-Inch</t>
  </si>
  <si>
    <t>7809334018264</t>
  </si>
  <si>
    <t>Rack-A-Tiers 80050 The Nut Snugger - 1/2" Magnetic Locknut Holder</t>
  </si>
  <si>
    <t>Rack-A-Tiers Nut Snugger Kit 1ea: 1/2" &amp; 3/4" Magnetic Locknut Holder (80090)</t>
  </si>
  <si>
    <t>B0BX4MB59Q</t>
  </si>
  <si>
    <t>36.49</t>
  </si>
  <si>
    <t>7871146983640</t>
  </si>
  <si>
    <t>Diablo Tools D0660X 6-1/2 in. x 60 Tooth Ultra Finish Saw Blade</t>
  </si>
  <si>
    <t>33.88</t>
  </si>
  <si>
    <t>7962739507416</t>
  </si>
  <si>
    <t>Klein Tools 69367 Alligator Clip Test Leads, Heavy-Duty Replacement Meter Leads, for All Meters Using Banana Plug Meter Leads, 10-Foot</t>
  </si>
  <si>
    <t>B09YTDG6FQ</t>
  </si>
  <si>
    <t>Milwaukee 2553-22 M12 FUEL™ 1/4" Hex Impact Driver Kit</t>
  </si>
  <si>
    <t>Milwaukee 2853-22 M18 FUEL 1/4" Hex Impact Driver XC Kit</t>
  </si>
  <si>
    <t>B07G9H57FM</t>
  </si>
  <si>
    <t>169.0</t>
  </si>
  <si>
    <t>7884423528664</t>
  </si>
  <si>
    <t>Freud D0624A Diablo 6-1/2-inch 24T ATB Perma-Shield Framing Saw Blades, 2-Pack</t>
  </si>
  <si>
    <t>B00USC8HBO</t>
  </si>
  <si>
    <t>Klein Tools 56411 Rechargeable Waterproof LED Pocket Light with Lanyard</t>
  </si>
  <si>
    <t>Klein Tools 80079 Headlamp Kit with Rechargeable LED Headlamp, Pocket Flashlight and Bracketed Headlamp Strap, for Klein Hard Hats, 3-Piece</t>
  </si>
  <si>
    <t>B0B11GSP2C</t>
  </si>
  <si>
    <t>7827354779864</t>
  </si>
  <si>
    <t>Klein Tools 80027 Screwdriver Set, 11-in-1 Multi-bit Screwdriver, 6-in-1 Stubby Screwdriver &amp; 32305 Multi-bit Ratcheting Screwdriver, 15-in-1 Tool with Phillips, Slotted, Square</t>
  </si>
  <si>
    <t>B0CGZMVQLX</t>
  </si>
  <si>
    <t>Klein Tools D507-8 Adjustable Wrench, Extra Capacity 8-Inch</t>
  </si>
  <si>
    <t>4353085014116</t>
  </si>
  <si>
    <t>Klein Tools 32717 All-in-1 Precision Screwdriver Set with Case</t>
  </si>
  <si>
    <t>Klein Tools 32510 Magnetic Multibit Screwdriver &amp; 32717 Precision Screwdriver Set with Case, All-in-One Multi-Function Repair Tool Kit Includes 39 Bits for Apple Products</t>
  </si>
  <si>
    <t>B0BGPXB5KD</t>
  </si>
  <si>
    <t>6897560453293</t>
  </si>
  <si>
    <t>Klein Tools 33736INS Klein Tools 33736INS Insulated Screwdriver Set, 6-Piece &amp; 32288 Insulated Screwdriver, 8-in-1 Screwdriver Set with Interchangeable Blades, 3 Phillips, 3 Slotted and 2 Square Tips</t>
  </si>
  <si>
    <t>B0BFXQ67BR</t>
  </si>
  <si>
    <t>Klein Tools 56221 LED Clip Light</t>
  </si>
  <si>
    <t>Klein Tools 56412 Rechargeable LED Flashlight with Worklight, 500 Lumens, USB Charging Cable, Pocket Clip, Battery Life Indicator, Magnetic</t>
  </si>
  <si>
    <t>B0947YMH51</t>
  </si>
  <si>
    <t>6135824285869</t>
  </si>
  <si>
    <t>Klein Tools 50900R Locknut Wrench Set</t>
  </si>
  <si>
    <t>Klein Tools 32581INS Precision Screwdriver, 2-in-1 Insulated Screwdriver &amp; 50900R Conduit Lockout Wrench Set, Tighten and Loosen Locknuts in Tight Spaces, 1/2, 3/4 and 1-Inch, 3-Piece</t>
  </si>
  <si>
    <t>B0CGZJYYV9</t>
  </si>
  <si>
    <t>22.46</t>
  </si>
  <si>
    <t>8018543968472</t>
  </si>
  <si>
    <t>Klein Tools D248-8 Pliers, Diagonal Cutting Multi-Purpose Pliers with Angled Head, High-Leverage Design, and Short Jaw, 8-Inch &amp; 1005 Cutting/Crimping Tool</t>
  </si>
  <si>
    <t>B0BKQCRLT1</t>
  </si>
  <si>
    <t>Milwaukee 48-59-1812 M18™ &amp; M12™ Multi-Voltage Charger</t>
  </si>
  <si>
    <t>Milwaukee 48-59-1850 M18 RED LITHIUM XC 5.0 Ah Batteries (2) + 48-59-1812 M12 and M18 Multi Voltage Charger kit</t>
  </si>
  <si>
    <t>B015GOE7B2</t>
  </si>
  <si>
    <t>126.0</t>
  </si>
  <si>
    <t>7733079343320</t>
  </si>
  <si>
    <t>Rack-A-Tiers 80075 The Nut Snugger - 3/4" Magnetic Locknut Holder</t>
  </si>
  <si>
    <t>7871152652504</t>
  </si>
  <si>
    <t>Klein Tools 6826INS Insulated Screwdriver, 1/4-Inch Cabinet Tip, 6-Inch Shank</t>
  </si>
  <si>
    <t>Klein Tools 605-7-INS Insulated 1/4-Inch Cabinet Tip Screwdriver, 7-Inch</t>
  </si>
  <si>
    <t>B00J9S1EX6</t>
  </si>
  <si>
    <t>17.98</t>
  </si>
  <si>
    <t>7837707698392</t>
  </si>
  <si>
    <t>MILWAUKEE'S Hole Saw, Bi-Metal, Black, 3-3/4 in. (49-56-9643T)</t>
  </si>
  <si>
    <t>B007FUN6HC</t>
  </si>
  <si>
    <t>Klein Tools 69357 AC Plug to Banana Jacks</t>
  </si>
  <si>
    <t>Klein Tools 69357 AC Outlet Plug to Banana Plug, for use with with Klein Tools Cat. No. ET450 or any Meter with Banana-Type Connectors</t>
  </si>
  <si>
    <t>B0BN2LTKTB</t>
  </si>
  <si>
    <t>14.98</t>
  </si>
  <si>
    <t>7931923300568</t>
  </si>
  <si>
    <t>Klein Tools D2000-28 Diagonal Cutting Pliers, Heavy-Duty, High-Leverage, 8-Inch</t>
  </si>
  <si>
    <t>Klein Tools D2000-28 Pliers, Diagonal Cutting Pliers, 8-Inch &amp; D213-9NE Pliers, 9-Inch Side Cutters, High Leverage Linesman Pliers Cut Copper, Aluminum and other Soft Metals</t>
  </si>
  <si>
    <t>B0BD3WQ62S</t>
  </si>
  <si>
    <t>6183860568237</t>
  </si>
  <si>
    <t>MilwaukeeTool Milwaukee M18 FUEL 4-1/2 / 5inch Grinder Paddle Switch, No-Lock Kit 2880-22</t>
  </si>
  <si>
    <t>B09FBJL179</t>
  </si>
  <si>
    <t>Klein Tools VDV226-110 Ratcheting Modular Cable Crimper &amp; VDV526-200 Cable Tester, LAN Scout Jr. 2 Ethernet Cable Tester for CAT 5e, CAT 6/6A Cables with RJ45 Connections</t>
  </si>
  <si>
    <t>B09T6YN1NB</t>
  </si>
  <si>
    <t>Klein Tools 32305 Multi-bit Ratcheting Screwdriver, 15-in-1 Tool with Phillips, Slotted, Torx and Combo Bits and 1/4-Inch Nut Driver &amp; 27 in 1 Multi Bit Precision Screwdriver with Tamperproof Bit</t>
  </si>
  <si>
    <t>B0BVG436BF</t>
  </si>
  <si>
    <t>Klein Tools 1550-44 Pocket Knife, 2-5/8-Inch Hawkbill Slitting Blade</t>
  </si>
  <si>
    <t>Klein Tools 44006 Pocket Knife, Electricians Knife with 2-5/8-Inch Hawkbill Blade and Aluminum Handle</t>
  </si>
  <si>
    <t>B009EBS4Q8</t>
  </si>
  <si>
    <t>30.93</t>
  </si>
  <si>
    <t>48.6</t>
  </si>
  <si>
    <t>7809379172568</t>
  </si>
  <si>
    <t>Klein Tools K11095 Klein-Kurve® Wire Stripper / Cutter, 8-20 AWG</t>
  </si>
  <si>
    <t>7793145315544</t>
  </si>
  <si>
    <t>Klein Tools 602-4-INS 1/4-Inch Cabinet Tip Insulated Screwdriver, 4-Inch</t>
  </si>
  <si>
    <t>Klein Tools 33532-INS Electrical Insulated Screwdriver Set of 2, 4-Inch Phillips and Cabinet Set, Made in USA</t>
  </si>
  <si>
    <t>B000MKIRBC</t>
  </si>
  <si>
    <t>31.8</t>
  </si>
  <si>
    <t>6779496890541</t>
  </si>
  <si>
    <t>Milwaukee 48-22-7212 12" Aluminum Pipe Wrench</t>
  </si>
  <si>
    <t>MILWAUKEE ELEC TOOL 48 22 7224 Milwaukee 24 In. Aluminum Pipe Wrench</t>
  </si>
  <si>
    <t>B01HOXID1I</t>
  </si>
  <si>
    <t>75.4</t>
  </si>
  <si>
    <t>7969537458392</t>
  </si>
  <si>
    <t>Milwaukee 48-22-7214 14" Aluminum Pipe Wrench</t>
  </si>
  <si>
    <t>75.5</t>
  </si>
  <si>
    <t>7940127719640</t>
  </si>
  <si>
    <t>Klein Tools 5416TFR Tool Bag, Flame Resistant Canvas Bag for Bolt Storage with Double Reinforced Bottom and Tunnel Connect, 5 x 10 x 9-Inch &amp; Spud Wrench Holder Tunnel Connection Klein Tools 5459T</t>
  </si>
  <si>
    <t>B0923CTJF5</t>
  </si>
  <si>
    <t>Klein Tools D2000-9NE Lineman's Pliers, 9-Inch</t>
  </si>
  <si>
    <t>Klein Tools D20009NEINS Insulated Lineman's Pliers with Dual Layer Insulation Exceeding tests and Flame and Impact Resistence, 9-Inch</t>
  </si>
  <si>
    <t>B00093DXVQ</t>
  </si>
  <si>
    <t>62.04</t>
  </si>
  <si>
    <t>6070895411373</t>
  </si>
  <si>
    <t>Klein Tools 601-4-INS Insulated Screwdriver, 3/16-Inch Cabinet Tip with 4-Inch Shank</t>
  </si>
  <si>
    <t>B000LEBVIK</t>
  </si>
  <si>
    <t>Klein Tools 80072 RJ45 Cable Tester Kit with LAN Scout Jr. 2, Coax Crimper / Stripper / Cutter Tool and Pass-Thru Modular Data Plug</t>
  </si>
  <si>
    <t>B09TPLNBQ2</t>
  </si>
  <si>
    <t>Klein Tools RT250 GFCI Receptacle Tester with LCD Display, for Standard 3-Wire 120V Electrical Outlets &amp; Finder Accessory Kit, Circuit Breaker Leads, Circuit Breaker Adapters Klein Tools 69411</t>
  </si>
  <si>
    <t>B09P83VQDK</t>
  </si>
  <si>
    <t>Klein Tools 6866INS Insulated Screwdriver, 5/16-Inch Cabinet Tip, 6-Inch Shank</t>
  </si>
  <si>
    <t>Klein Tools 602-7-INS Flathead Screwdriver, 5/16-Inch Cabinet Tip, Insulated, 7-Inch Shank</t>
  </si>
  <si>
    <t>B00CQL8UM6</t>
  </si>
  <si>
    <t>7837748068568</t>
  </si>
  <si>
    <t>Klein Tools 51606 Aluminum Conduit Bender Full Assembly, 1/2-Inch EMT with Angle Setter™</t>
  </si>
  <si>
    <t>7827248447704</t>
  </si>
  <si>
    <t>Klein Tools 31534 Bi-Metal Hole Saw, 2-1/8-Inch</t>
  </si>
  <si>
    <t>B0009OIJFA</t>
  </si>
  <si>
    <t>Klein Tools 51608 1/2-inch Iron Conduit Bender Head</t>
  </si>
  <si>
    <t>60.66</t>
  </si>
  <si>
    <t>7597417693400</t>
  </si>
  <si>
    <t>Klein Tools 31906 Hole Saw Arbor With Pins, 7/16-Inch</t>
  </si>
  <si>
    <t>Klein Tools 31906 Hole Saw Arbor with Pins, 7/16-Inch and 31958 Bi-Metal Hole Saw, 3-5/8 Inch - Hole Saw Kit</t>
  </si>
  <si>
    <t>B0BVGZ3GN2</t>
  </si>
  <si>
    <t>22.44</t>
  </si>
  <si>
    <t>7851715494104</t>
  </si>
  <si>
    <t>Klein Tools D2000-48 Diagonal Cutting Pliers, Angled Head, 8-Inch</t>
  </si>
  <si>
    <t>Klein Tools D2000-48-INS Pliers, Insulated Heavy-Duty Diagonal Cutting Pliers with Angled Head and 1000V Rated Insulated Grips, 8-Inch</t>
  </si>
  <si>
    <t>B000LDFIVC</t>
  </si>
  <si>
    <t>49.78</t>
  </si>
  <si>
    <t>7786125164760</t>
  </si>
  <si>
    <t>Klein Tools JTH4E10 5/32-Inch Hex Key, Journeyman T-Handle, 4-Inch</t>
  </si>
  <si>
    <t>7614353015000</t>
  </si>
  <si>
    <t>Klein Tools JTH9E14 5/16-Inch Hex Key, Journeyman™ T-Handle, 9-Inch</t>
  </si>
  <si>
    <t>7850142204120</t>
  </si>
  <si>
    <t>Crescent Tools CX6DBS2 2 Pc. X6™ 4-in-1 Black Oxide Spline Ratcheting SAE Wrench Set</t>
  </si>
  <si>
    <t>Crescent 2 Pc. X6™ 4-in-1 Black Oxide Spline Ratcheting SAE Wrench Set - CX6DBS2 and Crescent 7 Pc. X6™ Black Oxide Spline Open End Ratcheting Combination SAE Wrench Set - CX6RWS7</t>
  </si>
  <si>
    <t>B0886TQZTW</t>
  </si>
  <si>
    <t>33.98</t>
  </si>
  <si>
    <t>60.67</t>
  </si>
  <si>
    <t>7977587376344</t>
  </si>
  <si>
    <t>Klein Tools 6824INS Insulated Screwdriver, 1/4-Inch Cabinet Tip, 4-Inch Round Shank</t>
  </si>
  <si>
    <t>15.72</t>
  </si>
  <si>
    <t>7837703471320</t>
  </si>
  <si>
    <t>Komelon 7125IE; 25' x 1" Magnetic MagGrip Pro Tape Measure with Inch/Engineer Scale, Yellow/Black</t>
  </si>
  <si>
    <t>B0013L8E8U</t>
  </si>
  <si>
    <t>Klein Tools 635-1/4 1/4-Inch Nut Driver, Magnetic Tip, 4-Inch Shaft</t>
  </si>
  <si>
    <t>7866294010072</t>
  </si>
  <si>
    <t>Diablo Tools DAG3010 3/8 in. x 17-1/2 in. Auger Bit</t>
  </si>
  <si>
    <t>Diablo 7/8 in. x 17-1/2 in. Auger Bit</t>
  </si>
  <si>
    <t>B089LG8GYB</t>
  </si>
  <si>
    <t>25.04</t>
  </si>
  <si>
    <t>7897480921304</t>
  </si>
  <si>
    <t>Klein Tools ET310 Digital Circuit Breaker Finder with GFCI Outlet Tester</t>
  </si>
  <si>
    <t>75.1</t>
  </si>
  <si>
    <t>3389551280228</t>
  </si>
  <si>
    <t>Diablo Tools DMAMX1360 1-1/2 in. x 16 in. x 21 in. Rebar Demon™ SDS-Max 4-Cutter Carbide-Tipped Hammer Drill Bit</t>
  </si>
  <si>
    <t>Diablo by Freud DMAMX1370 1-1/2 in. x 24 in. x 29 in. Rebar Demon SDS-Max 4-Cutter Carbide-Tipped Hammer Bit</t>
  </si>
  <si>
    <t>B089LN938F</t>
  </si>
  <si>
    <t>93.87</t>
  </si>
  <si>
    <t>149.01</t>
  </si>
  <si>
    <t>7950786855128</t>
  </si>
  <si>
    <t>Klein Tools NCVT1P Voltage Tester, Non-Contact Voltage Detector Pen &amp; RT250 GFCI Receptacle Tester with LCD Display, for Standard 3-Wire 120V Electrical Outlets</t>
  </si>
  <si>
    <t>B09Y7XWBF8</t>
  </si>
  <si>
    <t>Klein Tools 32900 Impact Driver, 7-in-1 Impact Flip Socket Set, 6 Hex Driver Sizes plus a 1/4-Inch Bit Holder &amp; 14-in-1 Adjustable Screwdriver</t>
  </si>
  <si>
    <t>B0BGZPZCPF</t>
  </si>
  <si>
    <t>Milwaukee 48-22-6625 25' Heavy Duty Compact Tape Measure, 2-Pack</t>
  </si>
  <si>
    <t>B07KQG1WW2</t>
  </si>
  <si>
    <t>Diablo Tools DAG1110 7/8 in. x 7-1/2 in. Auger Bit</t>
  </si>
  <si>
    <t>23.76</t>
  </si>
  <si>
    <t>7970459549912</t>
  </si>
  <si>
    <t>Klein Tools 31940 Bi-Metal Hole Saw, 2-1/2-Inch</t>
  </si>
  <si>
    <t>LENOX Tools Hole Saw, Bi-Metal, Speed Slot, Arbored, 2-1/2-Inch (1772954)</t>
  </si>
  <si>
    <t>B004YK5DHW</t>
  </si>
  <si>
    <t>18.22</t>
  </si>
  <si>
    <t>7657257074904</t>
  </si>
  <si>
    <t>Klein Tools 32307 27-in-1 Multi-Bit Tamperproof Screwdriver</t>
  </si>
  <si>
    <t>Klein Tools 32305 Multi-bit Ratcheting Screwdriver &amp; 32307 Multi-bit Tamperproof Screwdriver, 27-in-1 Tool with Torx, Hex, Torq and Spanner Bits with 1/4-Inch Nut Driver</t>
  </si>
  <si>
    <t>B09Y7PBFQ1</t>
  </si>
  <si>
    <t>36.38</t>
  </si>
  <si>
    <t>7637266366680</t>
  </si>
  <si>
    <t>Klein Tools 56413 Rechargeable 2-Color LED Flashlight with Holster</t>
  </si>
  <si>
    <t>Klein Tools 56040 LED Rechargeable Flashlight &amp; 56413 Rechargeable 2-Color LED Flashlight, Holster, Spotlight, Floodlight, Red LED, 1000 Lumens, USB Cable, Camping, Hunting</t>
  </si>
  <si>
    <t>B0BXKC43LR</t>
  </si>
  <si>
    <t>72.0</t>
  </si>
  <si>
    <t>7827366215896</t>
  </si>
  <si>
    <t>Komelon 7425; 25' x 1" Magnetic MagGrip Tape Measure, Black/Yellow</t>
  </si>
  <si>
    <t>B0000DD5GR</t>
  </si>
  <si>
    <t>Gorilla Original Gorilla Glue, Waterproof Polyurethane Glue, 8 Ounce Bottle, Brown, (Pack of 1)</t>
  </si>
  <si>
    <t>B0000223UV</t>
  </si>
  <si>
    <t>Klein Tools CL220 Digital Clamp Meter, AC Auto-Ranging 400 Amp with Temp</t>
  </si>
  <si>
    <t>Klein Tools CL220 Digital Clamp Meter, Auto-Ranging 400 Amp AC, AC/DC Voltage, TRMS, Resistance, Continuity, NCVT Detection, and Temp &amp; 80016 Circuit Breaker Finder Tool Kit</t>
  </si>
  <si>
    <t>B0BNL6NFV7</t>
  </si>
  <si>
    <t>93.22</t>
  </si>
  <si>
    <t>6080846463149</t>
  </si>
  <si>
    <t>Klein Tools 31905 Hole Saw Arbor with Adapter, 3/8-Inch</t>
  </si>
  <si>
    <t>B0198751UO</t>
  </si>
  <si>
    <t>12.62</t>
  </si>
  <si>
    <t>7850183360728</t>
  </si>
  <si>
    <t>Klein Tools JTH6E14BE 5/16-Inch Ball End Hex Key with T-Handle, 6-Inch</t>
  </si>
  <si>
    <t>12.88</t>
  </si>
  <si>
    <t>6899546161325</t>
  </si>
  <si>
    <t>Klein Tools JTH68MB Hex Kit Set, Metric, Ball End T-Handle, 6-Inch with Stand, 8-Piece</t>
  </si>
  <si>
    <t>3679146639460</t>
  </si>
  <si>
    <t>Klein Tools VDV500-820 Cable Tracer with Probe Tone Pro Kit for Telephone, Internet, Video, Data and Communications Cables, Beige</t>
  </si>
  <si>
    <t>B07VYN98QV</t>
  </si>
  <si>
    <t>Klein Tools 32308 Multi-bit Stubby Screwdriver &amp; 32305 Multi-bit Ratcheting Screwdriver, 15-in-1 Tool with Phillips, Slotted, Square, Torx and Combo Bits and 1/4-Inch Nut Driver</t>
  </si>
  <si>
    <t>B0B56L1H2R</t>
  </si>
  <si>
    <t>Diablo D0824X 8-1/4" 24T Diablo Circular Saw Framing Blade</t>
  </si>
  <si>
    <t>B01JED7NYY</t>
  </si>
  <si>
    <t>Klein Tools VDV770-125 Replacement Carrying Case for Scout Pro 3 Series Testers and Test + Map Remotes, Black</t>
  </si>
  <si>
    <t>B08C4LJTX8</t>
  </si>
  <si>
    <t>Channellock 2 Piece Tongue and Groove Pliers Set - 9.5-Inch, 6.5-Inch | Straight Jaw Groove Joint Pliers | Laser Heat-Treated 90° Teeth| Forged from High Carbon Steel | Patented Reinforcing Edge Minimizes Stress Breakage | Made in USA</t>
  </si>
  <si>
    <t>B00011V0GG</t>
  </si>
  <si>
    <t>Klein Tools 32581INS Precision Screwdriver, 2-in-1 Insulated Screwdriver with No. 0 Phillips and 1/8-Inch Slotted Bits</t>
  </si>
  <si>
    <t>B0C1QDNC55</t>
  </si>
  <si>
    <t>Klein Tools 32614 Multi-bit Precision Screwdriver Set, 4-in-1 Electronics Pocket Screwdriver, Professional Phillips and Slotted Bits</t>
  </si>
  <si>
    <t>B07PNC5MPB</t>
  </si>
  <si>
    <t>Klein Tools JTH4E13 1/4-Inch Hex Key, Journeyman™ T-Handle, 4-Inch</t>
  </si>
  <si>
    <t>9.08</t>
  </si>
  <si>
    <t>7786113728728</t>
  </si>
  <si>
    <t>Milwaukee 49-56-0500 Diamond Max Diamond Grit Hole Saw 3 Piece Set 49560500 0</t>
  </si>
  <si>
    <t>B09L5DZ2TG</t>
  </si>
  <si>
    <t>Milwaukee 48-22-8485 PACKOUT™ Mounting Plate</t>
  </si>
  <si>
    <t>NEW 48-22-8485 Packout Wall &amp; Floor Mounting Plate Black</t>
  </si>
  <si>
    <t>B09P3WTLRH</t>
  </si>
  <si>
    <t>50.0</t>
  </si>
  <si>
    <t>7950727413976</t>
  </si>
  <si>
    <t>Klein Tools K1412 Klein-Kurve® Dual NM Cable Stripper/Cutter</t>
  </si>
  <si>
    <t>Klein Tools K1412 Wire Cutter/Wire Stripper, Dual NM Cable Stripper/Cutter Cuts Solid Copper Wire &amp; 11061 Wire Stripper/Wire Cutter for Solid and Stranded AWG Wire</t>
  </si>
  <si>
    <t>B0C3BBD1YQ</t>
  </si>
  <si>
    <t>42.1</t>
  </si>
  <si>
    <t>6562532130989</t>
  </si>
  <si>
    <t>Greenlee - Piston, Boxed-1-1/4", Fishing (611)</t>
  </si>
  <si>
    <t>B00270XDXM</t>
  </si>
  <si>
    <t>Diablo Tools DOU125BW 1-1/4 in. Universal Fit Bi-Metal Oscillating Blade for Nail-Embedded Wood</t>
  </si>
  <si>
    <t>Diablo 2-1/2" Universal Fit Bi-Metal Osc. Blades for Nail-Embedded Wood,3Pk</t>
  </si>
  <si>
    <t>B089KW4T8J</t>
  </si>
  <si>
    <t>6846081433773</t>
  </si>
  <si>
    <t>Klein Tools NCVT-6 Non-Contact Volt Tester, 12 - 1000V AC Pen with Integrated Laser Distance Measure, LED and Audible Alarms, Pocket Clip</t>
  </si>
  <si>
    <t>B07SLFX6B2</t>
  </si>
  <si>
    <t>Milwaukee Hole Dozer Hole Saw, Bi-Metal, 1-1/2 in (49-56-9617)</t>
  </si>
  <si>
    <t>B007FUMZ24</t>
  </si>
  <si>
    <t>Klein Tools JTH6E12BE 7/32-Inch Ball-End Hex Key, Journeyman™ T-Handle, 6-Inch</t>
  </si>
  <si>
    <t>Klein Tools BL14 7/32-Inch Hex Key, L-Style Ball-End</t>
  </si>
  <si>
    <t>B00093DXVG</t>
  </si>
  <si>
    <t>9.86</t>
  </si>
  <si>
    <t>7857467457752</t>
  </si>
  <si>
    <t>Klein Tools D507-12 Adjustable Drive Wrench, Forged with Extra Capacity Jaw and High Polish Chrome Finish, 12-inch</t>
  </si>
  <si>
    <t>B000936OVW</t>
  </si>
  <si>
    <t>Crescent Wiss M2P 9-3/4" Compound Action Straight and Right Cut Aviation Snips</t>
  </si>
  <si>
    <t>Crescent Wiss 9-1/4" Metalmaster Offset Straight and Left Cut Aviation Snips - M6R &amp; Crescent Wiss 9-1/4" Metalmaster Offset Straight and Right Cut Aviation Snips - M7R</t>
  </si>
  <si>
    <t>B087492PJS</t>
  </si>
  <si>
    <t>36.51</t>
  </si>
  <si>
    <t>7966255579352</t>
  </si>
  <si>
    <t>Reed Mfg CW4 4" Chrome Adjustable Wrench</t>
  </si>
  <si>
    <t>Reed Tool CW4 Chrome Finish Adjustable Wrench, 4-Inch</t>
  </si>
  <si>
    <t>B001H4RT7K</t>
  </si>
  <si>
    <t>14.78</t>
  </si>
  <si>
    <t>17.26</t>
  </si>
  <si>
    <t>6696111603885</t>
  </si>
  <si>
    <t>Diablo Tools DOU250JBW 2-1/2 in. Universal Fit Bi-Metal Oscillating Blade for Clean Wood</t>
  </si>
  <si>
    <t>Diablo by Freud DOU125JBW3 1-1/4 in. Universal Fit Bi-Metal Oscillating Blades for Clean Wood (3-Pack)</t>
  </si>
  <si>
    <t>B089KX3SWM</t>
  </si>
  <si>
    <t>15.65</t>
  </si>
  <si>
    <t>24.85</t>
  </si>
  <si>
    <t>7999572279512</t>
  </si>
  <si>
    <t>Klein Tools 646-5/8 5/8-Inch Hollow Shaft Nut Driver 6-Inch Shaft</t>
  </si>
  <si>
    <t>B000QJHJSG</t>
  </si>
  <si>
    <t>Diablo Tools DOU125BF 1-1/4 in. Universal Fit Bi-Metal Oscillating Blade for Metal</t>
  </si>
  <si>
    <t>Diablo by Freud DOU125CF3 1-1/4 in. Universal Fit Carbide Oscillating Blades for Metal (3-Pack)</t>
  </si>
  <si>
    <t>B089LKXD7L</t>
  </si>
  <si>
    <t>22.35</t>
  </si>
  <si>
    <t>7997877584088</t>
  </si>
  <si>
    <t>Klein Tools JTH6M10 10 mm Hex Key Journeyman T-Handle 6-Inch</t>
  </si>
  <si>
    <t>13.56</t>
  </si>
  <si>
    <t>6852298014893</t>
  </si>
  <si>
    <t>Klein Tools 602-4 1/4-Inch Keystone Screwdriver, 4-Inch Round Shank</t>
  </si>
  <si>
    <t>14.36</t>
  </si>
  <si>
    <t>6080792363181</t>
  </si>
  <si>
    <t>Fluke 393 FC Solar Clamp Meter CAT III 1500 V</t>
  </si>
  <si>
    <t>Fluke 393FC Clamp Meter with Irradiance Meter and Solar Test Lead Kit, CAT III 1500 V Rated, Measure Solar Irradiance, Ambient and PV Module Temperature, with MC4 Test Leads</t>
  </si>
  <si>
    <t>B0B49954PS</t>
  </si>
  <si>
    <t>676.79</t>
  </si>
  <si>
    <t>751.99</t>
  </si>
  <si>
    <t>7809266090200</t>
  </si>
  <si>
    <t>Klein Tools 602-6 5/16-Inch Keystone Tip Screwdriver, Cushion Grip, 6-Inch</t>
  </si>
  <si>
    <t>6169213501613</t>
  </si>
  <si>
    <t>Wiha Tools 66991 13 Piece MagicRing Ball End Hex L-Key Set - Inch</t>
  </si>
  <si>
    <t>48.61</t>
  </si>
  <si>
    <t>64.81</t>
  </si>
  <si>
    <t>8023273668824</t>
  </si>
  <si>
    <t>Klein Tools 51603 Iron Conduit Bender Full Assembly, 1/2-Inch EMT with Angle Setter™</t>
  </si>
  <si>
    <t>86.4</t>
  </si>
  <si>
    <t>7827227574488</t>
  </si>
  <si>
    <t>Klein Tools 51609 3/4-Inch Iron Conduit Bender Head</t>
  </si>
  <si>
    <t>90.22</t>
  </si>
  <si>
    <t>7797415837912</t>
  </si>
  <si>
    <t>Klein Tools 1550-2 2 Blade Pocket Knife, Steel, 2-1/2-Inch Blade</t>
  </si>
  <si>
    <t>Klein Tools 44007 Electricians Knife, Lightweight Lockback Knife with 2-1/2-Inch Coping Blade and Silver Handle</t>
  </si>
  <si>
    <t>B001TJ1JVK</t>
  </si>
  <si>
    <t>45.52</t>
  </si>
  <si>
    <t>2766536409188</t>
  </si>
  <si>
    <t>Diablo by Freud DMAMX1380 1-1/2 in. x 31 in. x 36 in. Rebar Demon SDS-Max 4-Cutter Carbide-Tipped Hammer Bit</t>
  </si>
  <si>
    <t>B089KVRR1J</t>
  </si>
  <si>
    <t>Klein Tools JTH6E11BE 3/16-Inch Ball Hex Key, Journeyman T-Handle 6-Inch</t>
  </si>
  <si>
    <t>6203917336749</t>
  </si>
  <si>
    <t>Rack-A-Tiers 84000 Dirt Bag</t>
  </si>
  <si>
    <t>Rack-A-Tiers Dirt Bag - Magnetic Drilling Bag for Metal Shavings (84000) (Single Pack)</t>
  </si>
  <si>
    <t>B09R5R87NQ</t>
  </si>
  <si>
    <t>52.49</t>
  </si>
  <si>
    <t>3523271655524</t>
  </si>
  <si>
    <t>Diablo by Freud DOS125CGP3 1-1/4 in. Starlock Carbide Oscillating Blades for General Purpose Cuts (3-Pack)</t>
  </si>
  <si>
    <t>B089LJS9ZL</t>
  </si>
  <si>
    <t>Klein Tools 32308 Multi-bit Stubby Screwdriver &amp; 32561 Multi-Bit Screwdriver/Nut Driver, 6-in-1 Stubby Screwdriver with 2 Phillips, 2 Slotted Bits, 2 Nut Drivers</t>
  </si>
  <si>
    <t>B0B7N8RXDY</t>
  </si>
  <si>
    <t>Klein Tools JTH9M6 6 mm Hex Key, Journeyman™ T-Handle, 9-Inch</t>
  </si>
  <si>
    <t>9.06</t>
  </si>
  <si>
    <t>7839321981144</t>
  </si>
  <si>
    <t>Diablo Tools DMAMM1030 3/16 in. x 4 in. x 6 in. Multi-Material Carbide Tipped Hammer Drill Bit</t>
  </si>
  <si>
    <t>6.97</t>
  </si>
  <si>
    <t>7970452766936</t>
  </si>
  <si>
    <t>Klein Tools D2000-28-INS Pliers, Insulated Diagonal Cutting Pliers with 1000V Rated Grips, Heavy-Duty High-Leverage Cutters, 8-Inch</t>
  </si>
  <si>
    <t>B00093DXUC</t>
  </si>
  <si>
    <t>Klein Tools 69149P Test Kit with Multimeter, Non-Contact Volt Tester, Receptacle Tester</t>
  </si>
  <si>
    <t>63.9</t>
  </si>
  <si>
    <t>6584860606637</t>
  </si>
  <si>
    <t>Klein Tools 65131 2-in-1 Nut Driver, Hex Head Slide Drive™, 1-1/2-Inch</t>
  </si>
  <si>
    <t>Klein Tools 80065 Schrader Driver Kit with Multi-Bit 11-in-1 Screwdriver / Nut Driver and 2-in-1 Nut Driver, Hex Head Slide Drive, 2-Piece</t>
  </si>
  <si>
    <t>B09SGPJ79X</t>
  </si>
  <si>
    <t>23.68</t>
  </si>
  <si>
    <t>7783466500312</t>
  </si>
  <si>
    <t>Crescent 2 Pc. X6 4-in-1 Black Oxide Spline Ratcheting SAE Wrench Set - CX6DBS2 &amp; Crescent CX6DBM2 Home Hand Tools Wrenches Ratchet Sets</t>
  </si>
  <si>
    <t>B0874GFK5Y</t>
  </si>
  <si>
    <t>CHAR YONG Replacement for Milwaukee 48-22-8485 Packout Wall and Floor Mounting Plate Impact Resistant</t>
  </si>
  <si>
    <t>B0BP7DBCKW</t>
  </si>
  <si>
    <t>Klein Tools VDV526-200 Cable Tester, LAN Scout Jr. 2 Ethernet Cable Tester for CAT 5e, CAT 6/6A Cables with RJ45 Connections &amp; VDV226-011-SEN Crimper, All-in-One Ratcheting Modular Data Cable Crimper</t>
  </si>
  <si>
    <t>B0B68N3CXD</t>
  </si>
  <si>
    <t>Greenlee 0252-11 NM Cable Ripper</t>
  </si>
  <si>
    <t>B002JFMO1W</t>
  </si>
  <si>
    <t>4.9</t>
  </si>
  <si>
    <t>6012484911272</t>
  </si>
  <si>
    <t>Klein Tools 51427 Conduit Bender Handle for 1/2-Inch, 3/4-Inch Heads</t>
  </si>
  <si>
    <t>42.4</t>
  </si>
  <si>
    <t>7823793127640</t>
  </si>
  <si>
    <t>Freud D0624X Diablo 6-1/2-Inch 24-Tooth ATB Framing Saw Blade with 5/8-Inch Arbor - 1</t>
  </si>
  <si>
    <t>B08RDYY4WQ</t>
  </si>
  <si>
    <t>Milwaukee 49-56-0177 3-1/8" HOLE DOZER™ Hole Saw Bi-Metal Cup</t>
  </si>
  <si>
    <t>11.49</t>
  </si>
  <si>
    <t>7964967076056</t>
  </si>
  <si>
    <t>Klein Tools 66040 2-in-1 Impact Socket Set, 12-Point, 5-Piece</t>
  </si>
  <si>
    <t>Klein Tools 66010 2-in-1 Impact Socket Set, 6-Piece Tool Set with 12-Point Deep Sockets with 1/2-Inch Drive, Includes Tool Case</t>
  </si>
  <si>
    <t>B07NZS6998</t>
  </si>
  <si>
    <t>124.79</t>
  </si>
  <si>
    <t>217.02</t>
  </si>
  <si>
    <t>7766538846424</t>
  </si>
  <si>
    <t>Channellock GS-1X 2PC SPEEDGRIP™ Tongue &amp; Groove Pliers Set</t>
  </si>
  <si>
    <t>CHANNELLOCK GS-3X SPEEDGRIP Tongue &amp; Groove Pliers Set | Made in USA | Forged High Carbon Steel</t>
  </si>
  <si>
    <t>B0B5FH5D7B</t>
  </si>
  <si>
    <t>77.87</t>
  </si>
  <si>
    <t>7633810227416</t>
  </si>
  <si>
    <t>Klein Tools 32288 Insulated Screwdriver, 8-in-1 Screwdriver Set &amp; 80045 Screwdriver and Nut Driver Tool Kit, Includes Magnetic 11 in 1, Multi-Bit Stubby and Electronics Screwdrivers, 3-Piece</t>
  </si>
  <si>
    <t>B09T6VZ31V</t>
  </si>
  <si>
    <t>Klein Tools 32288 Insulated Screwdriver, 8-in-1 Screwdriver Set &amp; 32900 Impact Driver, 7-in-1 Impact Flip Socket Set with Handle, 6 Hex Driver Sizes plus a 1/4-Inch Bit Holder</t>
  </si>
  <si>
    <t>B0BK4LCT3J</t>
  </si>
  <si>
    <t>Diablo Tools DHS0312DG 5/16 in. Diamond Grit Hole Saws</t>
  </si>
  <si>
    <t>LENOX Tools Hole Saw, Diamond Grit, 5/16-Inch or 7.9mm (121085DGDS)</t>
  </si>
  <si>
    <t>B002TPXXOO</t>
  </si>
  <si>
    <t>12.73</t>
  </si>
  <si>
    <t>20.21</t>
  </si>
  <si>
    <t>7897589973208</t>
  </si>
  <si>
    <t>Milwaukee 49-56-0132 2-1/4" HOLE DOZER™ Hole Saw Bi-Metal Cup</t>
  </si>
  <si>
    <t>20.8</t>
  </si>
  <si>
    <t>7964970156248</t>
  </si>
  <si>
    <t>Klein Tools 507-12 Adjustable Wrench, Extra Capacity Jaw Forged Drive Wrench with High Polish Chrome Finish, 12-Inch</t>
  </si>
  <si>
    <t>B000I1R5FE</t>
  </si>
  <si>
    <t>Klein Tools VDV427-300 Impact Punchdown Tool, 66/110 Blade &amp; 21010-6-SEN Free-Fall Snip, Scraper, File, Serrated Blades</t>
  </si>
  <si>
    <t>B0BNL4X7CJ</t>
  </si>
  <si>
    <t>LENOX Tools Hole Saw, Bi-Metal, Speed Slot, 1-1/8-Inch (3001818L)</t>
  </si>
  <si>
    <t>B00024389Y</t>
  </si>
  <si>
    <t>Klein Tools 32794 Pro Impact Driver Bit, 3/8-Inch Hex Nut Driver, 3 Pack</t>
  </si>
  <si>
    <t>B07RGVM3RS</t>
  </si>
  <si>
    <t>Lightweight Lockback Knife with 2-1/2-Inch Drop-Point Blade and Black Aluminum Handle Klein Tools 44001-BLK</t>
  </si>
  <si>
    <t>B0026T18RW</t>
  </si>
  <si>
    <t>Klein Tools 11055RINS Insulated Klein-Kurve® Wire Stripper and Cutter</t>
  </si>
  <si>
    <t>7871527813336</t>
  </si>
  <si>
    <t>Klein Tools IR1 Infrared Thermometer, Digital Laser Gun is Non-Contact Thermometer with a Temperature Range -4 to 752-Degree Fahrenheit &amp; NCVT1P Voltage Tester, Non-Contact Voltage Detector Pen</t>
  </si>
  <si>
    <t>B0B68MLBWN</t>
  </si>
  <si>
    <t>Klein Tools 44001 Leightweight Lockback Knife 2-1/2-Inch Drop-Point Blade Silver</t>
  </si>
  <si>
    <t>B00093GDFE</t>
  </si>
  <si>
    <t>Klein Tools RT250 GFCI Receptacle Tester &amp; RT210 Outlet Tester, Receptacle Tester for GFCI/Standard North American AC Electrical Outlets, Detects Common Wiring Problems</t>
  </si>
  <si>
    <t>B0B7NKSRX4</t>
  </si>
  <si>
    <t>Klein Tools NCVT1P Voltage Tester, Non-Contact Voltage Detector Pen, 50V to 1000V AC, Audible and Flashing LED Alarms, Pocket Clip,Green,Red,Green/Red/Yellow</t>
  </si>
  <si>
    <t>B099SJ6469</t>
  </si>
  <si>
    <t>Klein Tools 6924INS 1000V Slim Tip Insulated Screwdriver, 4-Inch Round Shank, 1/4-Inch Cabinet Tip, Cushion Grip Handle</t>
  </si>
  <si>
    <t>B088NRM4CC</t>
  </si>
  <si>
    <t>Diablo Tools DOU250BW 2-1/2 in. Universal Fit Bi-Metal Oscillating Blade for Nail-Embedded Wood</t>
  </si>
  <si>
    <t>7999559598296</t>
  </si>
  <si>
    <t>Klein Tools 1" Iron Conduit Bender Head</t>
  </si>
  <si>
    <t>B007OX1M6W</t>
  </si>
  <si>
    <t>Greenlee - Piston, Boxed-1-1/2", Fishing (612)</t>
  </si>
  <si>
    <t>B002716FLS</t>
  </si>
  <si>
    <t>Diablo by Freud DOS125BW3 1-1/4 in. Starlock Bi-Metal Oscillating Blades for Nail-Embedded Wood (3-Pack)</t>
  </si>
  <si>
    <t>B089KX5FJS</t>
  </si>
  <si>
    <t>Klein Tools JTH9M25 2.5 mm Hey Key, Journeyman™ T-Handle, 9-Inch</t>
  </si>
  <si>
    <t>Klein Tools JTH9M2 2 mm Hey Key, Journeyman T-Handle, 9-Inch</t>
  </si>
  <si>
    <t>B005G3HIHY</t>
  </si>
  <si>
    <t>7957390000344</t>
  </si>
  <si>
    <t>Klein Tools JTH9M2 2 mm Hey Key, Journeyman™ T-Handle, 9-Inch</t>
  </si>
  <si>
    <t>Klein Tools JTH9M25 2.5 mm Hex Key with Journeyman T-Handle, 9-Inch</t>
  </si>
  <si>
    <t>B005G3HIRY</t>
  </si>
  <si>
    <t>7937141145816</t>
  </si>
  <si>
    <t>Klein Tools 32478 Bit for 32476 and 32460, #1 PH 3/16-Inch SL</t>
  </si>
  <si>
    <t>Klein Tools 32482 Replacement Bit, #1 Phillips, 3/16-Inch Slotted for 10-in-1 and 11-in-1 Screwdriver/Nut Driver</t>
  </si>
  <si>
    <t>B000936PTS</t>
  </si>
  <si>
    <t>3.29</t>
  </si>
  <si>
    <t>5.0</t>
  </si>
  <si>
    <t>6831095742637</t>
  </si>
  <si>
    <t>Channellock 440X 12-Inch SPEEDGRIP™ Straight Jaw Tongue &amp; Groove Pliers</t>
  </si>
  <si>
    <t>Channellock GS-3 3 Piece Straight Jaw Tongue and Groove Pliers Set - 12-Inch, 9.5-Inch, 6.5-Inch | Groove Joint Pliers | Laser Heat-Treated 90° Teeth| Forged from High Carbon Steel | Patented Reinforcing Edge Minimizes Stress Breakage | Made in USA</t>
  </si>
  <si>
    <t>B000189GSI</t>
  </si>
  <si>
    <t>45.99</t>
  </si>
  <si>
    <t>7633805279448</t>
  </si>
  <si>
    <t>Klein Tools 6884INS Insulated Screwdriver, #1 Square Tip, 4-Inch Shank</t>
  </si>
  <si>
    <t>Klein Tools 6986INS Insulated Screwdriver, 1000V Slim Profile Tip, #1 Square with 6-Inch Shank, Cushion-Grip Handle</t>
  </si>
  <si>
    <t>B09GPYQ7DM</t>
  </si>
  <si>
    <t>7839150735576</t>
  </si>
  <si>
    <t>Klein Tools 6926INS Insulated Screwdriver, 1000V Slim Profile Tip, 1/4-Inch Cabinet Screwdriver with 6-Inch Shank, Cushion-Grip Handle</t>
  </si>
  <si>
    <t>B09GL1X5SZ</t>
  </si>
  <si>
    <t>Diablo Tools DOU125JBW 1-1/4 in. Universal Fit Bi-Metal Oscillating Blades for Clean Wood</t>
  </si>
  <si>
    <t>Diablo 1-1/4 in. Starlock Bi-Metal Oscillating Blades for Clean Wood (3-Pack)</t>
  </si>
  <si>
    <t>B089KWG9Z3</t>
  </si>
  <si>
    <t>7000455807149</t>
  </si>
  <si>
    <t>Klein Tools 65129 2-in-1 Nut Driver, Hex Head Slide Drive™, 6-Inch</t>
  </si>
  <si>
    <t>31.06</t>
  </si>
  <si>
    <t>7833473155288</t>
  </si>
  <si>
    <t>Klein Tools 80083 Impact Driver Kit with 7-in-1 Impact Flip Socket and 14-in-1 Multi-Bit Adjustable Length Screwdriver, 2-Piece</t>
  </si>
  <si>
    <t>B0B97ZB7G2</t>
  </si>
  <si>
    <t>Klein Tools 56412 Rechargeable LED Flashlight with Worklight</t>
  </si>
  <si>
    <t>59.64</t>
  </si>
  <si>
    <t>7827358056664</t>
  </si>
  <si>
    <t>Klein Tools 88977 Professional Mini Tube Cutter</t>
  </si>
  <si>
    <t>B005TU32JC</t>
  </si>
  <si>
    <t>Klein Tools D86936 Adjustable Wrench, Forged with Slimmer Jaw and a High Polish Chrome Finish, 8-inch</t>
  </si>
  <si>
    <t>B075X84TBJ</t>
  </si>
  <si>
    <t>Crescent Wiss 9-3/4" Straight and Left Aviation Snips - M1R with Crescent Wiss 9-3/4" Straight, Left and Right Cut MetalMaster Compound Action Snips - M3R</t>
  </si>
  <si>
    <t>B093TXCS3X</t>
  </si>
  <si>
    <t>Crescent Wiss M1P 9-3/4" Compound Action Straight and Left Aviation Snips</t>
  </si>
  <si>
    <t>7966222221528</t>
  </si>
  <si>
    <t>Crescent Wiss M3P 9-3/4" Compound Action Straight, Left and Right Cut Snips</t>
  </si>
  <si>
    <t>7966280843480</t>
  </si>
  <si>
    <t>Klein Tools 935DAGL Digital Level with Programmable Angles</t>
  </si>
  <si>
    <t>83.8</t>
  </si>
  <si>
    <t>7779783606488</t>
  </si>
  <si>
    <t>Klein Tools ET45VP Electrical Test Kit with GFCI Outlet Tester and AC/DC Voltage Tester, Orange</t>
  </si>
  <si>
    <t>B08Y63ZG1B</t>
  </si>
  <si>
    <t>Klein Tools D502-6TT Pump Pliers, 6-Inch</t>
  </si>
  <si>
    <t>B072BQM873</t>
  </si>
  <si>
    <t>Milwaukee 2880-22 M18 FUEL™ 4-1/2" / 5" Grinder Paddle Switch, No-Lock (Kit)</t>
  </si>
  <si>
    <t>449.0</t>
  </si>
  <si>
    <t>792.0</t>
  </si>
  <si>
    <t>7879707033816</t>
  </si>
  <si>
    <t>Diablo 5/8 in. x 17-1/2 in. Auger Bit</t>
  </si>
  <si>
    <t>B089KWL81X</t>
  </si>
  <si>
    <t>Reed Mfg R12DN 1/2 R12+ Segmental Dies, 1/2" NPT</t>
  </si>
  <si>
    <t>Reed Tool R12DN 1 R12+ Segmental Die, 1-Inch NPT</t>
  </si>
  <si>
    <t>B001H4K78I</t>
  </si>
  <si>
    <t>55.4</t>
  </si>
  <si>
    <t>6698123067565</t>
  </si>
  <si>
    <t>Klein Tools 56028 LED Flashlight with Work Light</t>
  </si>
  <si>
    <t>41.04</t>
  </si>
  <si>
    <t>1778913050724</t>
  </si>
  <si>
    <t>Crescent Wiss M8P 9-4/5" Offset Straight, Left and Right Cut Aviation Snips</t>
  </si>
  <si>
    <t>41.64</t>
  </si>
  <si>
    <t>7966309351640</t>
  </si>
  <si>
    <t>Crescent Wiss M6P 9-1/4" Offset Straight and Left Cut Aviation Snips</t>
  </si>
  <si>
    <t>7965651960024</t>
  </si>
  <si>
    <t>Crescent Wiss M7P 9-1/4" Offset Straight and Right Cut Aviation Snips</t>
  </si>
  <si>
    <t>7966220681432</t>
  </si>
  <si>
    <t>Klein Tools CL390 AC/DC Digital Clamp Meter, Auto-Ranging 400 Amp</t>
  </si>
  <si>
    <t>Klein Tools CL390 Digital Clamp Meter, Reverse Contrast Display, Auto Ranging 400A AC/DC, AC/DC Voltage,TRMS, DC Microamps, Temp, NCVT, More &amp; ET310 AC Circuit Breaker Finder</t>
  </si>
  <si>
    <t>B09T6X3TL9</t>
  </si>
  <si>
    <t>133.3</t>
  </si>
  <si>
    <t>7809430585560</t>
  </si>
  <si>
    <t>Milwaukee 48-22-8452 Customizable Foam Insert for PACKOUT™ Drawer Tool Boxes</t>
  </si>
  <si>
    <t>48-22-8451 For Milwaukee Packout Foam Inserts|Foam Custom Tool Drawer Inserts Fit Milwaukee Packout Drawer Tool Boxes-2PC</t>
  </si>
  <si>
    <t>B0BZTT7L29</t>
  </si>
  <si>
    <t>40.7</t>
  </si>
  <si>
    <t>7822974058712</t>
  </si>
  <si>
    <t>Milwaukee 48-22-7218 18" Aluminum Pipe Wrench</t>
  </si>
  <si>
    <t>103.5</t>
  </si>
  <si>
    <t>7969546404056</t>
  </si>
  <si>
    <t>Klein Tools 2139NERINS Insulated Pliers, Side Cutters, 9-Inch</t>
  </si>
  <si>
    <t>62.98</t>
  </si>
  <si>
    <t>7871534235864</t>
  </si>
  <si>
    <t>Klein Tools JTH6E07BE 7/64-Inch Ball-End Hex Key, Journeyman™ T-Handle, 6-Inch</t>
  </si>
  <si>
    <t>Klein Tools JTH6E09BE 9/64-Inch Ball-End Hex Key with Journeyman T-Handle, 6-Inch</t>
  </si>
  <si>
    <t>B004QW2H9U</t>
  </si>
  <si>
    <t>7871470731480</t>
  </si>
  <si>
    <t>Klein Tools 635-4 Nut Driver Set, Magnetic Nut Drivers, Heavy Duty, 4-Piece</t>
  </si>
  <si>
    <t>83.32</t>
  </si>
  <si>
    <t>7559649984728</t>
  </si>
  <si>
    <t>Klein Tools 635-3/8 3/8-Inch Heavy-Duty Nut Driver</t>
  </si>
  <si>
    <t>B01D6E8NSM</t>
  </si>
  <si>
    <t>Klein Tools S126M 3/8-Inch Magnetic Nut Driver with 6-Inch Solid Shaft and Comfordome Handle</t>
  </si>
  <si>
    <t>B0009OODZU</t>
  </si>
  <si>
    <t>Klein Tools 650 Cushion-Grip Scratch Awl</t>
  </si>
  <si>
    <t>6064841916589</t>
  </si>
  <si>
    <t>Diablo by Freud DMAPL2920 3/16 in. x 3-1/2 in. x 6 in. SDS-Plus Full Carbide Head Concrete Anchor Hammer Drill Bit Multi, One Size</t>
  </si>
  <si>
    <t>B089KWDK51</t>
  </si>
  <si>
    <t>Diablo 3/4 in. x 17-1/2 in. Auger Bit</t>
  </si>
  <si>
    <t>B089LHKRPP</t>
  </si>
  <si>
    <t>Klein Tools 50550 Glow in the Dark Fish Tape, 20-Foot</t>
  </si>
  <si>
    <t>52.46</t>
  </si>
  <si>
    <t>7664909615320</t>
  </si>
  <si>
    <t>Klein Tools 32288 Insulated Screwdriver, 8-in-1 Screwdriver Set &amp; RT250 GFCI Receptacle Tester with LCD Display, for Standard 3-Wire 120V Electrical Outlets</t>
  </si>
  <si>
    <t>B0BC81C7T9</t>
  </si>
  <si>
    <t>Fluke 80AK-A Thermocouple Adapter, Type K</t>
  </si>
  <si>
    <t>Fluke 80PK-11 Type-K Velcro Thermocouple Temperature Probe</t>
  </si>
  <si>
    <t>B000R81U3G</t>
  </si>
  <si>
    <t>7808997687512</t>
  </si>
  <si>
    <t>Klein Tools NCVT3PKIT Electrical Test Kit, Dual-Range Non-Contact Voltage Tester &amp; 80077 Voltage Tester Kit with Electronic AC/DC Voltage Tester, 3-Piece</t>
  </si>
  <si>
    <t>B0BNL8GVPW</t>
  </si>
  <si>
    <t>Reed Mfg DHR12 1/2NPT R12+ Drophead, 1/2" NPT</t>
  </si>
  <si>
    <t>Reed Tool DHR12 1 1/2NPT R12+ Drophead, 1-1/2-Inch NPT</t>
  </si>
  <si>
    <t>B000ZGXUMY</t>
  </si>
  <si>
    <t>121.16</t>
  </si>
  <si>
    <t>140.16</t>
  </si>
  <si>
    <t>6698071261357</t>
  </si>
  <si>
    <t>Diablo Tools DSP2160 1-3/8 in. x 6 in. SPEEDemon™ Spade Bit</t>
  </si>
  <si>
    <t>7639189782744</t>
  </si>
  <si>
    <t>Klein Tools S20 5/8-Inch Nut Driver with 4-Inch Hollow Shaft and Comfordome Handle</t>
  </si>
  <si>
    <t>B0002RIA2Q</t>
  </si>
  <si>
    <t>Klein Tools 6816INS Insulated Screwdriver, 3/16-Inch Cabinet Tip, 6-Inch Round Shank</t>
  </si>
  <si>
    <t>7837697966296</t>
  </si>
  <si>
    <t>Milwaukee 2960-22 M18 FUEL™ 3/8 " Mid-Torque Impact Wrench w/ Friction Ring Kit</t>
  </si>
  <si>
    <t>Milwaukee M18 FUEL Mid-Torque 3/8" Impact Wrench with Friction Ring Kit - (2) 5.0Ah Batteries &amp; Charger</t>
  </si>
  <si>
    <t>B08P3RPQ4M</t>
  </si>
  <si>
    <t>755.0</t>
  </si>
  <si>
    <t>7795189809368</t>
  </si>
  <si>
    <t>Diablo Tools DSP2130-P2 1 in. x 6 in. Spade Bit</t>
  </si>
  <si>
    <t>6.39</t>
  </si>
  <si>
    <t>7901272047832</t>
  </si>
  <si>
    <t>Klein Tools 6844INS Insulated Screwdriver, #2 Square Tip, 4-Inch Round Shank</t>
  </si>
  <si>
    <t>Klein Tools 6944INS Insulated Screwdriver, 1000V Slim Profile Tip, #2 Square with 4-Inch Shank, Cushion-Grip Handle</t>
  </si>
  <si>
    <t>B09GPYTZV3</t>
  </si>
  <si>
    <t>15.12</t>
  </si>
  <si>
    <t>7837735551192</t>
  </si>
  <si>
    <t>Klein Tools 6984INS Insulated Screwdriver, 1000V Slim Profile Tip, #1 Square with 4-Inch Shank, Cushion-Grip Handle</t>
  </si>
  <si>
    <t>B09GPZ5P2M</t>
  </si>
  <si>
    <t>Klein Tools 60466 Neck and Face Warming Half-Band, Black</t>
  </si>
  <si>
    <t>13.98</t>
  </si>
  <si>
    <t>7766557262040</t>
  </si>
  <si>
    <t>Klein Tools 69149P Multimeter Test Kit, Klein Digital Multimeter, Noncontact Voltage Tester and Outlet Tester, Leads and Batteries Included &amp; 69401 Multimeter Carrying Case</t>
  </si>
  <si>
    <t>B0BC819G7C</t>
  </si>
  <si>
    <t>Klein Tools RT310 Outlet Tester, AFCI and GFCI Receptacle Tester for North American AC Electrical Outlets &amp; Klein Tools 69401 Multimeter Carrying Case</t>
  </si>
  <si>
    <t>B0BNL4NYN9</t>
  </si>
  <si>
    <t>Klein Tools 32288 Insulated Screwdriver, 8-in-1 Screwdriver Set &amp; 32293 Insulated Screwdriver, 2-in-1 Screwdriver Set with Flip Blade, 2 Phillips and1/4-Inch Slotted Tips, Double-Ended Blades</t>
  </si>
  <si>
    <t>B08ZNQFGYR</t>
  </si>
  <si>
    <t>Klein Tools 69149P Electrical Test Kit with Digital Multimeter &amp; ET310 AC Circuit Breaker Finder, Electric Tester with Integrated GFCI Outlet Tester</t>
  </si>
  <si>
    <t>B0BXK9J5KD</t>
  </si>
  <si>
    <t>Klein Tools Digital Circuit Breaker Finder with GFCI Outlet Tester ET310 &amp; Circuit Breaker Finder Accessory Kit, Circuit Breaker Leads, Circuit Breaker Adapters 69411</t>
  </si>
  <si>
    <t>B08MG1LZJS</t>
  </si>
  <si>
    <t>Klein Tools 66079 Impact Flip Socket Adapter, Small 1/4 to 1/4 -Inch Hex Adapter, Use with Klein Tools Flip Impact Socket Set 66070</t>
  </si>
  <si>
    <t>B0B33WGYX5</t>
  </si>
  <si>
    <t>Diablo Tools DOU125CF 1-1/4" Universal Fit Carbide Oscillating Blade for Metal</t>
  </si>
  <si>
    <t>27.86</t>
  </si>
  <si>
    <t>7000434999469</t>
  </si>
  <si>
    <t>Klein Tools 6946INS 1000V Slim Tip Insulated Screwdriver, 6-Inch Round Shank, #2 Square Tip, Cushion Grip Handle</t>
  </si>
  <si>
    <t>B088NN95Q5</t>
  </si>
  <si>
    <t>Klein Tools JTH6M2BE 2 mm Hex Key, Journeyman™ T-Handle, 6-Inch</t>
  </si>
  <si>
    <t>Klein Tools JTH6M2BE 2 mm Hex Key, Journeyman T-Handle, 6-Inch</t>
  </si>
  <si>
    <t>B005G2RMIU</t>
  </si>
  <si>
    <t>7965318480088</t>
  </si>
  <si>
    <t>Uniweld 70075 Heavy Duty Offset Ratchet Wrench+</t>
  </si>
  <si>
    <t>DURATECH 5 Pc Double Offset Box End Reversible Ratcheting Wrench Set, SAE, Heavy-duty, Matte Chrome Plated, Ratchet Spanner Crooked for Narrow Spaces (1/4-7/8 inch)</t>
  </si>
  <si>
    <t>B08RZ1SVXG</t>
  </si>
  <si>
    <t>27.14</t>
  </si>
  <si>
    <t>7729212063960</t>
  </si>
  <si>
    <t>Freud D0704DH Diablo 7-1/4"x4T PCD Tip TCG Hardie Fiber Cement Saw BLD,5/8 Arbor (Twо Расk)</t>
  </si>
  <si>
    <t>B09BQF8L4V</t>
  </si>
  <si>
    <t>Klein Tools 11061 Wire Stripper / Wire Cutter for Solid and Stranded AWG Wire, Heavy Duty Kleins are Self Adjusting,Blue/Black</t>
  </si>
  <si>
    <t>B00CXKOEQ6</t>
  </si>
  <si>
    <t>Klein Tools ET310 AC Circuit Breaker Finder with Integrated GFCI Outlet Tester &amp; NCVT1P Voltage Tester, Non-Contact Voltage Detector Pen, 50V to 1000V AC, Audible and Flashing LED Alarms, Pocket Clip</t>
  </si>
  <si>
    <t>B0BC84182C</t>
  </si>
  <si>
    <t>Klein Tools CL390 Digital Clamp Meter, Reverse Contrast Display, Auto Ranging 400A AC/DC Voltage,TRMS, DC Microamps, Temp, NCVT, More</t>
  </si>
  <si>
    <t>B08DTDCG7T</t>
  </si>
  <si>
    <t>Amprobe THWD-3 Relative Humidity Temperature Meter</t>
  </si>
  <si>
    <t>Amprobe-3311844 TR300 Temperature and Relative Humidity Data Logger</t>
  </si>
  <si>
    <t>B004ZZVZLY</t>
  </si>
  <si>
    <t>176.36</t>
  </si>
  <si>
    <t>6996577550509</t>
  </si>
  <si>
    <t>Packout Foam Inserts 48-22-8452 fits for Milwaukee Packout Drawer Tool Boxes48-22-8442 and 48-22-8443|Foam Custom Tool Drawer Inserts</t>
  </si>
  <si>
    <t>B0BRN73CTQ</t>
  </si>
  <si>
    <t>Klein Tools BL6 3/32-Inch Hex Key, L-Style Ball-End</t>
  </si>
  <si>
    <t>B000936OMG</t>
  </si>
  <si>
    <t>48-22-8485 for Milwaukee Packout Mounting Plate</t>
  </si>
  <si>
    <t>B0BCYT877C</t>
  </si>
  <si>
    <t>Diablo Tools DAG3090 7/8 in. x 17-1/2 in. Auger Bit</t>
  </si>
  <si>
    <t>36.28</t>
  </si>
  <si>
    <t>7950782136536</t>
  </si>
  <si>
    <t>B0BGZPR364</t>
  </si>
  <si>
    <t>Klein Tools 66050E 2-in-1 Metric Impact Socket Set, 12-Point, 5-Piece</t>
  </si>
  <si>
    <t>149.54</t>
  </si>
  <si>
    <t>249.24</t>
  </si>
  <si>
    <t>7766623420632</t>
  </si>
  <si>
    <t>48-22-8452 packout foam inserts for Milwaukee packout Drawer foam tool box inserts (BLACK)</t>
  </si>
  <si>
    <t>B0BYS69XLH</t>
  </si>
  <si>
    <t>Klein Tools 55597 Tool Bag Backpack, Tradesman Pro Tool Organizer with 39 Pockets, Reflective Hi Viz, Padded Shoulder Straps, Molded Base</t>
  </si>
  <si>
    <t>B01N2KEYLV</t>
  </si>
  <si>
    <t>Klein Tools 13156 Screwdriver Blades, Insulated Single-End, 2-Pack</t>
  </si>
  <si>
    <t>Klein Tools 13157 Insulated Screwdriver Blades, Interchangeable Single-End Replacement Blades for Klein Insulated Screwdrivers, 3-Pack</t>
  </si>
  <si>
    <t>B07XQC1PVB</t>
  </si>
  <si>
    <t>20.5</t>
  </si>
  <si>
    <t>4161839562852</t>
  </si>
  <si>
    <t>Komelon 7330 30' X 1" MagGrip™ SpeedMark™, Magnetic Tape Measure</t>
  </si>
  <si>
    <t>Komelon 7430; 30' x 1" Magnetic MagGrip Tape Measure, Black/Yellow</t>
  </si>
  <si>
    <t>B000HE9W2Q</t>
  </si>
  <si>
    <t>6652052013229</t>
  </si>
  <si>
    <t>Klein Tools 93LCLS Laser Level, Self-Leveling Red Cross-Line Level and Red Plumb Spot</t>
  </si>
  <si>
    <t>Klein Tools 93LCLG Laser Level, Self Leveling, Hi-Viz Green Cross Line Level with Red Plumb Spot and Magnetic Mounting Clamp</t>
  </si>
  <si>
    <t>B0866NY3NW</t>
  </si>
  <si>
    <t>149.97</t>
  </si>
  <si>
    <t>230.88</t>
  </si>
  <si>
    <t>6589388685485</t>
  </si>
  <si>
    <t>Klein Tools 631 Nut Driver Set, 3-Inch Shafts, Cushion Grip, 7-Piece</t>
  </si>
  <si>
    <t>82.2</t>
  </si>
  <si>
    <t>6961446420653</t>
  </si>
  <si>
    <t>Klein Tools 51604 Iron Conduit Bender Full Assembly, 3/4-Inch EMT with Angle Setter™</t>
  </si>
  <si>
    <t>7784729673944</t>
  </si>
  <si>
    <t>Milwaukee 49-56-0513 5/8"  Diamond One-Piece Hole Saw</t>
  </si>
  <si>
    <t>B00LCUC50A</t>
  </si>
  <si>
    <t>Klein Tools D2000-9ST Pliers, Side Cutters are Heavy-Duty 9-Inch Ironworker Pliers for Rebar, ACSR, Screws, Nails and Most Hardened Wire</t>
  </si>
  <si>
    <t>B0002RI9GI</t>
  </si>
  <si>
    <t>Klein Tools 66075 Flip Impact Socket, 11/16 and 5/8-Inch</t>
  </si>
  <si>
    <t>Klein Tools 66075 Impact Driver Flip Socket, 11/16- and 5/8-Inch Sizes, Use with Klein Tools Compact Impact Wrenches BAT20CW, BAT20CW1</t>
  </si>
  <si>
    <t>B0B33YLHPQ</t>
  </si>
  <si>
    <t>7817283862744</t>
  </si>
  <si>
    <t>Klein Tools Digital Circuit Breaker Finder with GFCI Outlet Tester ET310 &amp; Tools 69401 Multimeter Carrying Case</t>
  </si>
  <si>
    <t>B08MG1HXLJ</t>
  </si>
  <si>
    <t>Fluke 179 True-RMS Digital Multimeter</t>
  </si>
  <si>
    <t>Fluke - 179ESFPCAL 179 True RMS Multimeter with Backlight and Temp with a NIST-Traceable Calibration Certificate with Data</t>
  </si>
  <si>
    <t>B01CFXID8U</t>
  </si>
  <si>
    <t>394.19</t>
  </si>
  <si>
    <t>437.99</t>
  </si>
  <si>
    <t>6544506060973</t>
  </si>
  <si>
    <t>Klein Tools 11054EINS Electrician's Insulated Wire Stripper / Cutter, 1000V Rated, VDE Certified, for Solid and Stranded Wires,Orange/Gray</t>
  </si>
  <si>
    <t>B00JGG5VJ4</t>
  </si>
  <si>
    <t>Rack-A-Tiers 11455 Wire Dispenser</t>
  </si>
  <si>
    <t>Rack-A-Tiers E-Z Roll - Wire Dispenser Rack, Ultra-Compact &amp; Collapsible Wheeled Wire Dispenser (55455)</t>
  </si>
  <si>
    <t>B0076B0M0O</t>
  </si>
  <si>
    <t>105.39</t>
  </si>
  <si>
    <t>3259201126500</t>
  </si>
  <si>
    <t>Milwaukee 48-08-2745 M18 FUEL™ 30 Degree Framing Nailer Extended Capacity Magazine</t>
  </si>
  <si>
    <t>Fortool 48-08-2745 30 Degree Framing Nailer Extended Capacity Magazine Fits For Milwaukee M18 Fuel 30 Degree Framing Nailer (2744-20), Black Magnesium Magazine Extension</t>
  </si>
  <si>
    <t>B09YP6L87F</t>
  </si>
  <si>
    <t>99.0</t>
  </si>
  <si>
    <t>164.0</t>
  </si>
  <si>
    <t>8020490387672</t>
  </si>
  <si>
    <t>Milwaukee 48-08-2744 M18 FUEL™ 21 Degree Framing Nailer Extended Capacity Magazine</t>
  </si>
  <si>
    <t>7916436291800</t>
  </si>
  <si>
    <t>Klein Tools JTH9E06 3/32-Inch Hex Key, Journeyman™ T-Handle, 9-Inch</t>
  </si>
  <si>
    <t>7809328808152</t>
  </si>
  <si>
    <t>Uniweld 70074 Medium Duty Offset Ratchet Wrench+</t>
  </si>
  <si>
    <t>Uniweld 70074 Offset Ratchet (3/16,1/4,5/16,3/8) with DHVA Dual Hex Wrench Adapter</t>
  </si>
  <si>
    <t>B00HNQR5D4</t>
  </si>
  <si>
    <t>16.03</t>
  </si>
  <si>
    <t>7729262657752</t>
  </si>
  <si>
    <t>Diablo Ultra Finish Circular Saw Blade - 7 1/4in. 60 Tooth, Fine Finish, Model Number D0760X</t>
  </si>
  <si>
    <t>B071X5DBWR</t>
  </si>
  <si>
    <t>Milwaukee 48-03-3564 12-Inch Spline Thick Core Bit Adapter for 1 1/2-Inch to 6-Inch Bits</t>
  </si>
  <si>
    <t>B0009H5R6Q</t>
  </si>
  <si>
    <t>Crescent Lufkin L1116B-02 1-3/16" x 16' Shockforce Nite Eye™ G1 Dual Sided Tape Measure</t>
  </si>
  <si>
    <t>1-3/16" x 16' Shockforce Nite Eye™ Dual Sided Tape Measure</t>
  </si>
  <si>
    <t>B0B2MRLK53</t>
  </si>
  <si>
    <t>46.15</t>
  </si>
  <si>
    <t>7965929898200</t>
  </si>
  <si>
    <t>Tajima JPR-265 Japan Pull™ 265, 16 TPI Blade</t>
  </si>
  <si>
    <t>TAJIMA Pull-Stroke Saw - 265 mm x 16 TPI Japanese Flush Cut Hand Saw with Quick-Release Blade &amp; Traditional Elastomer Straight Handle - JPR-265R</t>
  </si>
  <si>
    <t>B004AM7C4G</t>
  </si>
  <si>
    <t>31.82</t>
  </si>
  <si>
    <t>7726142652632</t>
  </si>
  <si>
    <t>Diablo 6-1/2-Inch x 40-Tooth ATB Precision Finishing Saw Blade Bundle (2-Pack)</t>
  </si>
  <si>
    <t>B076T8T71Z</t>
  </si>
  <si>
    <t>Diablo by Freud DAG3100 15/16 in. x 17-1/2 in. Auger Bit Multi, One Size</t>
  </si>
  <si>
    <t>B089KWFBPH</t>
  </si>
  <si>
    <t>Klein Tools RT210 Outlet Tester, Receptacle Tester for GFCI / Standard North American AC Electrical Outlets, Detects Common Wiring Problems, Pack of 1, Factory</t>
  </si>
  <si>
    <t>B01AKX8L0M</t>
  </si>
  <si>
    <t>Klein Tools 81021 Electrical Tester Tool Kit with Multimeter, Non-Contact Voltage Pen, Receptacle Tester, Wire Stripper / Cutter, 4-Piece, Orange</t>
  </si>
  <si>
    <t>B09N5598J2</t>
  </si>
  <si>
    <t>MILWAUKEE'S 49-56-0511 1/2"  Diamond One-Piece Hole Saw, Red</t>
  </si>
  <si>
    <t>B00L2PBUS8</t>
  </si>
  <si>
    <t>Tajima GKB-G210 G-Saw™ Replacement Blade</t>
  </si>
  <si>
    <t>Tajima GKBG210 Blade for Aluminist/G-Saw, Silver, 210 mm</t>
  </si>
  <si>
    <t>B002FB73U2</t>
  </si>
  <si>
    <t>12.69</t>
  </si>
  <si>
    <t>7718380241112</t>
  </si>
  <si>
    <t>BOSCH NKLT14 7/8 In. x 17-1/2 In. Daredevil Auger Bit</t>
  </si>
  <si>
    <t>B003BIFMW4</t>
  </si>
  <si>
    <t>Blackfire - Klein Tools Outdoors - Rechargeable Weatherproof Magnetic Flashlight with Lantern BBM6412, 500 Lumens, Glow-in-Dark Ring with Removable Pocket Clip for Outdoor Use, Camping, Hunting, Work</t>
  </si>
  <si>
    <t>B0973P55J1</t>
  </si>
  <si>
    <t>Klein Tools 11045-INS Insulated Wire Stripper and Cutter,Orange</t>
  </si>
  <si>
    <t>B0002RI4TK</t>
  </si>
  <si>
    <t>Klein Tools 44005 Pocket Knife, Stainless Steel Lockback Knife with 2-5/8-Inch Hawkill Blade, Nylon Handle,Black</t>
  </si>
  <si>
    <t>B000936PU2</t>
  </si>
  <si>
    <t>Diablo Tools DHS0500DG 1/2 in. Diamond Grit Hole Saws</t>
  </si>
  <si>
    <t>LENOX Tools Hole Saw, Diamond Grit, 1/2-Inch or 12.7mm (121108DGDS)</t>
  </si>
  <si>
    <t>B002TQ9PKE</t>
  </si>
  <si>
    <t>14.22</t>
  </si>
  <si>
    <t>22.59</t>
  </si>
  <si>
    <t>7897594757336</t>
  </si>
  <si>
    <t>Diablo Tools DAG3040 9/16 in. x 17-1/2 in. Auger Bit</t>
  </si>
  <si>
    <t>17.83</t>
  </si>
  <si>
    <t>28.28</t>
  </si>
  <si>
    <t>7897495142616</t>
  </si>
  <si>
    <t>Klein Tools 31958 Bi-Metal Hole Saw, Heavy-Duty 3 5/8-Inch Steel Cutting Hole Saw with Multiple Leverage Points</t>
  </si>
  <si>
    <t>B01987566S</t>
  </si>
  <si>
    <t>Amprobe ST-102B Receptacle Tester with GFCI</t>
  </si>
  <si>
    <t>Amprobe ST-102B Socket Tester with GFCI, Red</t>
  </si>
  <si>
    <t>B008E07HM2</t>
  </si>
  <si>
    <t>17.49</t>
  </si>
  <si>
    <t>7808944570584</t>
  </si>
  <si>
    <t>LENOX Tools Hole Saw, Bi-Metal, Speed Slot, 3-1/2-Inch (1772012)</t>
  </si>
  <si>
    <t>B001HRME3Q</t>
  </si>
  <si>
    <t>Tajima LC-303 Precision Craft 303 Blade Cutter Knife</t>
  </si>
  <si>
    <t>TAJIMA Utility Knives &amp; Blades - 3/8" Precision Craft Snap Blade Box Cutter with Slide Lock &amp; 3 Endura-Blades - LC-303</t>
  </si>
  <si>
    <t>B0008KLNR6</t>
  </si>
  <si>
    <t>5.19</t>
  </si>
  <si>
    <t>7833871778008</t>
  </si>
  <si>
    <t>Komelon 7325; 25' x 1" Magnetic MagGrip Tape Measure, Yellow/Black</t>
  </si>
  <si>
    <t>B002IVTCDK</t>
  </si>
  <si>
    <t>Lufkin 1-3/16" x 35' Shockforce Nite Eye G1 Dual Sided Tape Measure - L1135B</t>
  </si>
  <si>
    <t>B09N3VL34P</t>
  </si>
  <si>
    <t>Diablo 9/16 in. x 17-1/2 in. Auger Bit</t>
  </si>
  <si>
    <t>B089LDN2LV</t>
  </si>
  <si>
    <t>Miluwakee Milwaukee 49-56-0501 Diamond MAX 1/4inch Diamond Grit Hole Saw 2 Pack</t>
  </si>
  <si>
    <t>B09L5DK255</t>
  </si>
  <si>
    <t>Diablo 3/8 in. x 17-1/2 in. Auger Bit</t>
  </si>
  <si>
    <t>B089KY885C</t>
  </si>
  <si>
    <t>Fieldpiece SNCV1 Non-contact Voltage Detector</t>
  </si>
  <si>
    <t>Fieldpiece SNCV1 Non-Contact Voltage Detector</t>
  </si>
  <si>
    <t>B003ZZIUD6</t>
  </si>
  <si>
    <t>15.3</t>
  </si>
  <si>
    <t>4288353435748</t>
  </si>
  <si>
    <t>Klein Tools 69381 Alligator Clip Test Leads, Heavy-Duty Replacement Meter Leads, for All Meters Using Banana Plug Meter Leads, 3-Foot</t>
  </si>
  <si>
    <t>B09YTDKDPQ</t>
  </si>
  <si>
    <t>Klein Tools 6886INS Insulated Screwdriver, #1 Square Tip, 6-Inch Shank</t>
  </si>
  <si>
    <t>Klein Tools 6936INS Insulated Screwdriver, 1000V Slim Profile Tip, 2 Phillips with 6-Inch Shank, Cushion-Grip Handle</t>
  </si>
  <si>
    <t>B09GPZMQ1R</t>
  </si>
  <si>
    <t>7839176491224</t>
  </si>
  <si>
    <t>6-1/2-Inch 24-Tooth Circular Saw Blade with 5/8-Inch Arbor, TCT ATB Framing Blade for Wood Fast Cutting (2-Pack)</t>
  </si>
  <si>
    <t>B09RZZ5VHQ</t>
  </si>
  <si>
    <t>Klein Tools 6846INS Insulated Screwdriver, #2 Square Tip, 6-Inch Round Shank</t>
  </si>
  <si>
    <t>7837739319512</t>
  </si>
  <si>
    <t>Norske Tools NCSBP281C 6-1/2 inch 4 Tooth Polycrystalline Diamond (PCD) Hardie Fiber Cement Saw Blade (2PC Combo)</t>
  </si>
  <si>
    <t>B0B9LBHPLH</t>
  </si>
  <si>
    <t>Klein Tools 63060 Ratcheting Cable Cutter</t>
  </si>
  <si>
    <t>Klein Tools 63060 Cable Cutters, Ratcheting Heavy Duty Cutters for Up to 750 MCM, Great for Cable Preparation &amp; 21051 Large Cable Stripper (2/0-250 MCM)</t>
  </si>
  <si>
    <t>B0BD431C5B</t>
  </si>
  <si>
    <t>349.32</t>
  </si>
  <si>
    <t>6220423594157</t>
  </si>
  <si>
    <t>Klein Tools S10 5/16-Inch Nut Driver 3-Inch Hollow Shaft</t>
  </si>
  <si>
    <t>12.06</t>
  </si>
  <si>
    <t>6223447031981</t>
  </si>
  <si>
    <t>Diablo Tools DMAPL2530 1 in. x 16 in. x 18 in. SDS-Plus 2-Cutter</t>
  </si>
  <si>
    <t>38.97</t>
  </si>
  <si>
    <t>50.56</t>
  </si>
  <si>
    <t>6839623778477</t>
  </si>
  <si>
    <t>Reed Mfg R12DN 1 1/2 R12+ Segmental Dies, 1-1/2" NPT</t>
  </si>
  <si>
    <t>68.46</t>
  </si>
  <si>
    <t>6698164551853</t>
  </si>
  <si>
    <t>Freud D0760A Diablo 7-1/4" x 60-Tooth Ultra Fine Finishing Circular Saw Blade with 5/8" Arbor and Diamond Knockout Single Blade</t>
  </si>
  <si>
    <t>B0062KI7BQ</t>
  </si>
  <si>
    <t>Klein Tools JTH6E12BE 7/32-Inch Ball End Hex Key with Journeyman T-Handle,6-Inch</t>
  </si>
  <si>
    <t>B004QW74L6</t>
  </si>
  <si>
    <t>Reed Mfg ARW48 48" Heavy-Duty Aluminum Straight Pipe Wrench</t>
  </si>
  <si>
    <t>Reed Tool ARW48 Heavy Duty Aluminum Pipe Wrench, 48-Inch</t>
  </si>
  <si>
    <t>B001H4K7II</t>
  </si>
  <si>
    <t>351.15</t>
  </si>
  <si>
    <t>412.87</t>
  </si>
  <si>
    <t>7994848084184</t>
  </si>
  <si>
    <t>Klein Tools 51427 Steel Conduit Bender Handle for 1/2-Inch and 3/4-Inch EMT Benders, 38-Inch, For Use With Klein Tools Conduit Bender Heads</t>
  </si>
  <si>
    <t>B002PDZKY6</t>
  </si>
  <si>
    <t>Diablo Tools DMAMX1220 1 in. x 16 in. x 21 in. Rebar Demon™ SDS-Max 4-Cutter Full Carbide Head Hammer Drill Bit</t>
  </si>
  <si>
    <t>45.69</t>
  </si>
  <si>
    <t>70.58</t>
  </si>
  <si>
    <t>7900195356888</t>
  </si>
  <si>
    <t>Klein Tools JTH6M10BE 10 mm Ball End Hex Key with Journeyman T-Handle, 6-Inch</t>
  </si>
  <si>
    <t>B007FZ4F3G</t>
  </si>
  <si>
    <t>Klein Tools JTH6M10 10 mm Hex Key with Journeyman T-Handle, 6-Inch</t>
  </si>
  <si>
    <t>B007GOWC1S</t>
  </si>
  <si>
    <t>Klein Tools A116-3 3/32-Inch Flat Head Screwdriver with Cabinet Tip, 3-Inch Round Shank and Pocket Clip</t>
  </si>
  <si>
    <t>B00093D4M4</t>
  </si>
  <si>
    <t>Klein Tools 605-4B Wire Bending Cabinet Tip Screwdriver 4-Inch</t>
  </si>
  <si>
    <t>B00093DZNM</t>
  </si>
  <si>
    <t>Fluke 377 FC Non-Contact Voltage True-RMS AC/DC Clamp Meter with iFlex</t>
  </si>
  <si>
    <t>639.89</t>
  </si>
  <si>
    <t>710.99</t>
  </si>
  <si>
    <t>6864129949869</t>
  </si>
  <si>
    <t>Crescent Lufkin L1025C-02 1-3/16" x 25' Command Control Series™ Yellow Clad Tape Measure</t>
  </si>
  <si>
    <t>Lufkin Crescent Lufkin 1-3/16 x 35' Command Control Series Yellow Clad Tape Measure - L1035C-02</t>
  </si>
  <si>
    <t>B09PGYR28F</t>
  </si>
  <si>
    <t>15.59</t>
  </si>
  <si>
    <t>7968970866904</t>
  </si>
  <si>
    <t>Klein Tools JTH6T30 T30 TORX® Hex Key, Journeyman™ T-Handle, 6-Inch</t>
  </si>
  <si>
    <t>Klein Tools JTH6T30 T30 TORX Hex Key, Journeyman T-Handle, 6-Inch</t>
  </si>
  <si>
    <t>B005G3B4TM</t>
  </si>
  <si>
    <t>13.72</t>
  </si>
  <si>
    <t>6201547194541</t>
  </si>
  <si>
    <t>Klein Tools 832-26 Lineman's Claw Milled Hammer</t>
  </si>
  <si>
    <t>Klein Tools 832-32 Lineman's Straight-Claw Hammer</t>
  </si>
  <si>
    <t>B0002RI8XC</t>
  </si>
  <si>
    <t>46.21</t>
  </si>
  <si>
    <t>77.02</t>
  </si>
  <si>
    <t>7643083440344</t>
  </si>
  <si>
    <t>Milwaukee 2367-20 M12™ ROVER™ Service and Repair Flood Light w/ USB Charging</t>
  </si>
  <si>
    <t>2367-20 M12 for Milwaukee Repair Flood Light 12V Rover Cordless Service w/USB Charging</t>
  </si>
  <si>
    <t>B0BRZ31ZFS</t>
  </si>
  <si>
    <t>116.0</t>
  </si>
  <si>
    <t>7716234264792</t>
  </si>
  <si>
    <t>Diablo Tools DMAMX1050 9/16 in. x 8 in. x 13 in. Rebar Demon™ SDS-Max 4-Cutter Full Carbide Head Hammer Drill Bit</t>
  </si>
  <si>
    <t>Diablo by Freud DMAMX1090 5/8 in. x 8 in. x 13 in. Rebar Demon SDS-Max 4-Cutter Full Carbide Head Hammer Bit</t>
  </si>
  <si>
    <t>B089LGB35P</t>
  </si>
  <si>
    <t>29.19</t>
  </si>
  <si>
    <t>46.05</t>
  </si>
  <si>
    <t>6842367738029</t>
  </si>
  <si>
    <t>BOSCH DCB760 7-1/4 In. 60 Tooth Edge Circular Saw Blade for Extra-Fine Finish, Blue, 7-1/4" Diameter</t>
  </si>
  <si>
    <t>B008FYUSTG</t>
  </si>
  <si>
    <t>Klein Tools 6846INS Insulated Screwdriver, 1000V #2 Square Tip Screwdriver with 6-Inch Shank, Tip-Ident, Cushion-Grip Handle</t>
  </si>
  <si>
    <t>B0BF7X96QK</t>
  </si>
  <si>
    <t>Klein Tools D504-10 Pump Pliers, Unique Curved Jaw, Maximum Torque, Hardened Teeth, Adjustable Wide Jaw, Ideal for Plumbing, Nail Holding</t>
  </si>
  <si>
    <t>B00BJ4ORCI</t>
  </si>
  <si>
    <t>Klein Tools D507-10 Adjustable Drive Wrench, Forged with Extra Capacity Jaw and High Polish Chrome Finish, 10-inch</t>
  </si>
  <si>
    <t>B000ALGRG0</t>
  </si>
  <si>
    <t>Klein Tools 507-10 Adjustable Wrench, Extra Capacity Jaw Forged Drive Wrench with High Polish Chrome Finish, 10-Inch</t>
  </si>
  <si>
    <t>B001BQ0DZE</t>
  </si>
  <si>
    <t>Klein Tools CL220 Digital Clamp Meter, Auto-Ranging 400 Amp AC, AC/DC Voltage, TRMS, Resistance, Continuity, NCVT Detection, and Temp &amp; 69417 Rare-Earth Magnetic Hanger, with Strap</t>
  </si>
  <si>
    <t>B0BC885SQJ</t>
  </si>
  <si>
    <t>Klein Tools ET180 Digital Differential Manometer</t>
  </si>
  <si>
    <t>Digital Manometer, Air and Gas Pressure Tester, Differential Dual Port Pressure Gauge, Large LCD Display with Backlight Klein Tools ET180 &amp; ET10 Magnetic Digital Pocket Thermometer</t>
  </si>
  <si>
    <t>B0BD3TD1X3</t>
  </si>
  <si>
    <t>109.99</t>
  </si>
  <si>
    <t>151.98</t>
  </si>
  <si>
    <t>7832184094936</t>
  </si>
  <si>
    <t>Klein Tools JTH6E15BE 3/8-Inch Hex Key with Ball End and Journeyman T-Handle, 6-Inch</t>
  </si>
  <si>
    <t>B004QW56FC</t>
  </si>
  <si>
    <t>Reed Mfg RW10 10" Heavy-Duty Straight Pipe Wrench</t>
  </si>
  <si>
    <t>REED RW10 10" Heavy-Duty Pipe Wrench</t>
  </si>
  <si>
    <t>B002JG0JV8</t>
  </si>
  <si>
    <t>26.09</t>
  </si>
  <si>
    <t>6696509472941</t>
  </si>
  <si>
    <t>Klein Tools 66050E Metric Socket Set, Impact with 1/2-Inch Drive, 12-Point Deep Sockets, 5-Piece Set, Includes Carrying Case</t>
  </si>
  <si>
    <t>B08R138PF6</t>
  </si>
  <si>
    <t>Milwaukee 2863-22 M18 FUEL w/ ONEKEY High Torque Impact Wrench 1/2 in. Friction Ring Kit</t>
  </si>
  <si>
    <t>B08DTMV8DQ</t>
  </si>
  <si>
    <t>Rack-A-Tiers Wire Tub - Coil Wire Dispenser, Dispense &amp; Rewind Wire Coils, 360° Wire Dispensing, No Setup Needed (18455)</t>
  </si>
  <si>
    <t>B0087TBRI0</t>
  </si>
  <si>
    <t>Milwaukee 48-03-3012 SDS-MAX to Spline Bit Adapter</t>
  </si>
  <si>
    <t>141.88</t>
  </si>
  <si>
    <t>256.6</t>
  </si>
  <si>
    <t>7926127886552</t>
  </si>
  <si>
    <t>Milwaukee 49-56-0515 3/4"  Diamond One-Piece Hole Saw</t>
  </si>
  <si>
    <t>B00LCU108S</t>
  </si>
  <si>
    <t>Diablo Tools DMAPL2500 7/8 in. x 8 in. x 10 in. SDS-Plus 2-Cutter</t>
  </si>
  <si>
    <t>28.97</t>
  </si>
  <si>
    <t>7639201317080</t>
  </si>
  <si>
    <t>Klein Tools JTH6M8 8 mm Hex Key, Journeyman T-Handle, 6-Inch</t>
  </si>
  <si>
    <t>B005G395P2</t>
  </si>
  <si>
    <t>Diablo by Freud DSP2050-P2 1/2 in. x 6 in. SPEEDemon Spade Bit (2-Pack)</t>
  </si>
  <si>
    <t>B089KX7BQ7</t>
  </si>
  <si>
    <t>Diablo 3-1/2" Universal Fit Bi-Metal Oscillating Blade for General Purpose Cuts</t>
  </si>
  <si>
    <t>B089LLG8ZQ</t>
  </si>
  <si>
    <t>Klein Tools JTH6T20 T20 Torx Hex Key with Journeyman T-Handle, 6-Inch</t>
  </si>
  <si>
    <t>6094316339373</t>
  </si>
  <si>
    <t>Klein Tools CL320KIT HVAC Digital Clamp Meter Electrical Test Kit</t>
  </si>
  <si>
    <t>Klein Tools CL320KIT HVAC Kit for HVAC Testing; Digital Clamp Meter, Non-Contact Voltage Tester, and Infrared/Probe Thermometer &amp; Rare-Earth Magnetic Hanger no Strap</t>
  </si>
  <si>
    <t>B09Z6R1FLB</t>
  </si>
  <si>
    <t>118.99</t>
  </si>
  <si>
    <t>170.54</t>
  </si>
  <si>
    <t>7783540949208</t>
  </si>
  <si>
    <t>Rack-A-Tiers 19455 Thomas Wheeler Wire Coil Dispenser</t>
  </si>
  <si>
    <t>Rack-A-Tiers Thomas Wheeler Hanging Wire Dispenser (19455)</t>
  </si>
  <si>
    <t>B0087TBQFE</t>
  </si>
  <si>
    <t>81.49</t>
  </si>
  <si>
    <t>3573350695012</t>
  </si>
  <si>
    <t>Diablo 7/8 in. x 16 in. x 18 in. SDS-Plus 2-Cutter</t>
  </si>
  <si>
    <t>B089KW5TV6</t>
  </si>
  <si>
    <t>Klein Tools CL600 Electrical Tester, Digital Clamp Meter &amp; 80016 Circuit Breaker Finder Tool Kit with Accessories, 2-Piece Set, Includes Cat. No. ET310 and Cat. No. 69411</t>
  </si>
  <si>
    <t>B0BNL7KB4S</t>
  </si>
  <si>
    <t>Reed Mfg RW8 8" Heavy-Duty Straight Pipe Wrench</t>
  </si>
  <si>
    <t>REED RW8 8" Heavy-Duty Pipe Wrench</t>
  </si>
  <si>
    <t>B00467NQ3Q</t>
  </si>
  <si>
    <t>22.92</t>
  </si>
  <si>
    <t>6696498331821</t>
  </si>
  <si>
    <t>Milwaukee 2953-22 M18 FUEL™ 1/4" Hex Impact Driver Kit</t>
  </si>
  <si>
    <t>556.0</t>
  </si>
  <si>
    <t>7822930870488</t>
  </si>
  <si>
    <t>Klein Tools CL390 Digital Clamp Meter, Reverse Contrast Display, Auto Ranging 400A AC/DC, AC/DC Voltage,TRMS, DC Microamps, Temp, NCVT, More &amp; 69409 Line Splitter 10x</t>
  </si>
  <si>
    <t>B09T6ZV9PK</t>
  </si>
  <si>
    <t>Klein Tools IR5 Dual Laser 12:1 Infrared Thermometer Digital Backlit</t>
  </si>
  <si>
    <t>B01DR066WU</t>
  </si>
  <si>
    <t>Klein Tools JTH9E08 1/8-Inch Hex Key, Journeyman T-Handle, 9-Inch</t>
  </si>
  <si>
    <t>B004QV8DGW</t>
  </si>
  <si>
    <t>Klein Tools JTH9E09 9/64-Inch Hex Key with Journeyman T-Handle, 9-Inch</t>
  </si>
  <si>
    <t>B004QV4ORY</t>
  </si>
  <si>
    <t>B019874Q0K</t>
  </si>
  <si>
    <t>Klein Tools HD2000-9NE Side Cutter Linemans Pliers Cut ACSR, Screws, Nails, Hard Wire, 9-Inch Electrical Pliers</t>
  </si>
  <si>
    <t>B0002RI9Y0</t>
  </si>
  <si>
    <t>Klein Tools D213-9NETH Lineman's Bolt-Thread Holding Pliers, 9-Inch</t>
  </si>
  <si>
    <t>Klein Tools HD213-9NETH Lineman's Pliers, Oversized Heavy Duty, High Leverage Side Cutting Pliers, 9-Inch</t>
  </si>
  <si>
    <t>B000FAFE7O</t>
  </si>
  <si>
    <t>6070906749101</t>
  </si>
  <si>
    <t>Klein Tools D2000-9NETH Lineman's Bolt-Thread Holding Pliers, High-Leverage Streamline Design with Rounded Nose and Knurled Jaw, 9-Inch</t>
  </si>
  <si>
    <t>B0002RI9FY</t>
  </si>
  <si>
    <t>Fluke 325 True RMS Clamp Meter</t>
  </si>
  <si>
    <t>373.49</t>
  </si>
  <si>
    <t>6917985468589</t>
  </si>
  <si>
    <t>Klein Tools ET600 Multimeter, Megohmmeter Insulation Tester, 4000 Ohms Resistance, 125V/250V/500V/1000V &amp; 69411 Circuit Breaker Finder Accessory Kit, Circuit Breaker Leads, Circuit Breaker Adapters</t>
  </si>
  <si>
    <t>B09Z3DPNJ2</t>
  </si>
  <si>
    <t>Klein Tools 46039 Cable Splicer's Kit with Cable Splicer Electricians Knife and Free-Fall Snip,Black</t>
  </si>
  <si>
    <t>B003AXBJMC</t>
  </si>
  <si>
    <t>Klein Tools RT250KIT Premium Dual-Range NCVT and GFCI Receptacle Tester Electrical Test Kit</t>
  </si>
  <si>
    <t>7783551336664</t>
  </si>
  <si>
    <t>Klein Tools J213-9NECR Jouneyman Pliers Connector Crimp Side, With High-Leverage Design Featuring Crimping Die Behind Hinge, 9-Inch</t>
  </si>
  <si>
    <t>B000BYBZ9U</t>
  </si>
  <si>
    <t>Klein Tools 56049 Rechargeable Headlamp / LED Lights, Adjustable Fabric Strap with Marker / Pencil Holder, 260 Lumens, for Work and Outdoors</t>
  </si>
  <si>
    <t>B089DRF7QW</t>
  </si>
  <si>
    <t>Klein Tools 2139NERINS 1000V Insulated Side Cutter Pliers, High Leverage Design, Induction Hardened Knives, 9-Inch</t>
  </si>
  <si>
    <t>B0BFZRMX2B</t>
  </si>
  <si>
    <t>Klein Tools 612-4-INS Insulated 1/8-Inch Slotted Screwdriver, 4-Inch</t>
  </si>
  <si>
    <t>B00J9S3YR0</t>
  </si>
  <si>
    <t>Klein Tools MM420 Digital Multimeter, TRMS Auto-Ranging, 600V, Temp</t>
  </si>
  <si>
    <t>79.58</t>
  </si>
  <si>
    <t>7822918615256</t>
  </si>
  <si>
    <t>Freud Diablo D0724X Framing Saw Blade, Multi</t>
  </si>
  <si>
    <t>B00006407Q</t>
  </si>
  <si>
    <t>Milwaukee (MLW 2853-22) M18 Fuel 1/4IN Hex Impact Driver XC Kit</t>
  </si>
  <si>
    <t>B07CZSSFR5</t>
  </si>
  <si>
    <t>Klein Tools 13156 Insulated Screwdriver Blades, Interchangeable Single-End Replacement Blades for Klein Insulated Screwdrivers, 2-Pack</t>
  </si>
  <si>
    <t>B07XJZ4CJN</t>
  </si>
  <si>
    <t>Klein Tools 93PLL Rechargeable Self-Leveling Green Planar Laser Level</t>
  </si>
  <si>
    <t>Klein Tools 93PLL Self-Leveling Green Planar Laser Level (≤1mW @ 510-530nm) &amp; 935DAG Digital Electronic Level and Angle Gauge, Measures 0-90 and 0-180 Degree Ranges, Measures and Sets Angles</t>
  </si>
  <si>
    <t>B0BC86ZZ6Q</t>
  </si>
  <si>
    <t>455.98</t>
  </si>
  <si>
    <t>7833808371928</t>
  </si>
  <si>
    <t>Milwaukee 48-03-3010 Spline to SDS-MAX Bit Adapter</t>
  </si>
  <si>
    <t>151.89</t>
  </si>
  <si>
    <t>274.6</t>
  </si>
  <si>
    <t>7926176383192</t>
  </si>
  <si>
    <t>Fluke TL75 Hard Point™ Test Lead Set</t>
  </si>
  <si>
    <t>Fluke TL75 Hard Point Test Lead Set</t>
  </si>
  <si>
    <t>B0002SRIMS</t>
  </si>
  <si>
    <t>6925419249837</t>
  </si>
  <si>
    <t>Klein Tools 32537 10-Fold Screwdriver/Nut Driver, Tamperproof Torx®</t>
  </si>
  <si>
    <t>Klein Tools 32537 10-Fold Torx Tamperproof Screwdriver and Nut Driver</t>
  </si>
  <si>
    <t>B0031D0HKG</t>
  </si>
  <si>
    <t>7533566296280</t>
  </si>
  <si>
    <t>Reed Mfg CV2 Chain Vise, 1/8" - 2-1/2"</t>
  </si>
  <si>
    <t>Reed Tool CV2 Top-Screw Bench Chain Vise, 1/8 to 2-1/2-Inch Pipe Capacity</t>
  </si>
  <si>
    <t>B000ZJYFRA</t>
  </si>
  <si>
    <t>179.17</t>
  </si>
  <si>
    <t>207.24</t>
  </si>
  <si>
    <t>6900642611373</t>
  </si>
  <si>
    <t>Tajima GS-25BW GS Lock™ Standard Scale, 25 ft x 1-1/16 in. Steel Blade Tape Measure</t>
  </si>
  <si>
    <t>TAJIMA Tape Measure - 25 ft x 1-1/16 inch GS-Lock Measuring Tape with Shock Resistant Case &amp; Safety Clip Holder - GSSF-25BW</t>
  </si>
  <si>
    <t>B07KK5M5N6</t>
  </si>
  <si>
    <t>40.08</t>
  </si>
  <si>
    <t>42.19</t>
  </si>
  <si>
    <t>7726262583512</t>
  </si>
  <si>
    <t>FOXBC 27 Inch Bandsaw Blades 18 TPI for DeWalt DCS377, Milwaukee 48-39-0572 Portable Band Saw Blade - 3 Pack</t>
  </si>
  <si>
    <t>B0BSFB7P8L</t>
  </si>
  <si>
    <t>Klein Tools 646-3/8M Magnetic Tip Nut Driver, 3/8-Inch with 6-Inch Hollow Shank</t>
  </si>
  <si>
    <t>B000MKKD78</t>
  </si>
  <si>
    <t>Crescent Lufkin 1-3/16 x 8m/26' Command Control Series Yellow Clad Tape Measure - L1025CME-02</t>
  </si>
  <si>
    <t>B09PGYTGMG</t>
  </si>
  <si>
    <t>Lufkin 1-3/16 x 25' Command Control Series Black Clad Tape Measure - L1025CB-02</t>
  </si>
  <si>
    <t>B09PGYPKZZ</t>
  </si>
  <si>
    <t>Crescent Lufkin 1-3/16 x 25' Command Control Series Black Clad Tape Measure - L1025CB</t>
  </si>
  <si>
    <t>B07WP71GPH</t>
  </si>
  <si>
    <t>Klein Tools 614-2 1/16-Inch Slotted Electronics Screwdriver with 2-Inch Shank and Cushion Grip Handle</t>
  </si>
  <si>
    <t>B00B9HIBYU</t>
  </si>
  <si>
    <t>Rack-A-Tiers 72101 The Nut Blaster - XL Yellow</t>
  </si>
  <si>
    <t>Rack-A-Tiers Nut Blaster - Tighten Wire Nuts with Drill, Universal Wire Connector Drill Bit Attachment, Twist Wire Nuts with Your Drill (XL) (72101)</t>
  </si>
  <si>
    <t>B0087TBPS2</t>
  </si>
  <si>
    <t>7949290406104</t>
  </si>
  <si>
    <t>Rack-A-Tiers 84100 Chip Catcher</t>
  </si>
  <si>
    <t>Rack-A-Tiers Chip Catcher, Magnetic Metal Chips Catcher, Metal shavings Catcher (84100)</t>
  </si>
  <si>
    <t>B00TQZDAMK</t>
  </si>
  <si>
    <t>3523267854436</t>
  </si>
  <si>
    <t>Rack-A-Tiers 80090 The Nut Snugger Kit - 1/2" &amp; 3/4" Magnetic Locknut Holder</t>
  </si>
  <si>
    <t>7871153602776</t>
  </si>
  <si>
    <t>Diablo by Freud DOU125BF3 1-1/4 in. Universal Fit Bi-Metal Oscillating Blades for Metal (3-Pack)</t>
  </si>
  <si>
    <t>B089KTHL1Z</t>
  </si>
  <si>
    <t>Freud D0740A Diablo 7-1/4 40 Tooth ATB Finishing Saw Blade with 5/8-Inch Arbor, Diamond Knockout, and PermaShield Coating</t>
  </si>
  <si>
    <t>B00008WQ2G</t>
  </si>
  <si>
    <t>Klein Tools ET600 Multimeter, Megohmmeter Insulation Tester, 4000 Ohms Resistance, 125V/250V/500V/1000V, Auto-Ranging TRMS Multimeter &amp; 69417 Rare-Earth Magnetic Hanger, with Strap</t>
  </si>
  <si>
    <t>B09T6YCW54</t>
  </si>
  <si>
    <t>Reed Mfg RWO10 10" Heavy-Duty 45° Offset Pipe Wrench</t>
  </si>
  <si>
    <t>Reed Tool RWO10 Heavy Duty Offset Pipe Wrench, 10-Inch</t>
  </si>
  <si>
    <t>B001H4K3KK</t>
  </si>
  <si>
    <t>34.03</t>
  </si>
  <si>
    <t>38.59</t>
  </si>
  <si>
    <t>6697623388333</t>
  </si>
  <si>
    <t>Rack-A-Tiers 7WBK100 Panel Buddy Knockout Kit</t>
  </si>
  <si>
    <t>B0087TBHKS</t>
  </si>
  <si>
    <t>7990332686552</t>
  </si>
  <si>
    <t>BOSCH NKLT09 9/16 In. x 17-1/2 In. Daredevil Auger Bit</t>
  </si>
  <si>
    <t>B003BIFMUQ</t>
  </si>
  <si>
    <t>TAJIMA Replacement Pull Saw Blade - 240 mm x 9 TPI Japanese Flush Cut Hand Saw Blade with Premium-Grade Steel &amp; Triple-Edge Cutting Teeth - GKB-G240</t>
  </si>
  <si>
    <t>B0008KLNPS</t>
  </si>
  <si>
    <t>Klein Tools 56059 Multi-Groove Fiberglass Fish Tape 200-Foot</t>
  </si>
  <si>
    <t>184.99</t>
  </si>
  <si>
    <t>272.72</t>
  </si>
  <si>
    <t>7652141531352</t>
  </si>
  <si>
    <t>Klein Tools 56255 Wire Markers, Household Electric Panel w/Directory</t>
  </si>
  <si>
    <t>Klein Tools 56254 Wire Marker Book, Household Electrical Panel, Black Print on White</t>
  </si>
  <si>
    <t>B07222CNFX</t>
  </si>
  <si>
    <t>7566880997592</t>
  </si>
  <si>
    <t>B000E2NFP6</t>
  </si>
  <si>
    <t>Rack-A-Tiers 11655 The X-Dispenser</t>
  </si>
  <si>
    <t>Rack-A-Tiers The Big E-Z - Wire Dispenser Rack on Wheels (55632)</t>
  </si>
  <si>
    <t>B0179VK4DK</t>
  </si>
  <si>
    <t>175.89</t>
  </si>
  <si>
    <t>188.49</t>
  </si>
  <si>
    <t>6825695510701</t>
  </si>
  <si>
    <t>Rack-A-Tiers 54100 Clip Whacker – Beam Clamp Tool</t>
  </si>
  <si>
    <t>Rack-A-Tiers Clip Whacker - Beam Clamp Tool (54100)</t>
  </si>
  <si>
    <t>B0C75W9DPB</t>
  </si>
  <si>
    <t>39.49</t>
  </si>
  <si>
    <t>42.49</t>
  </si>
  <si>
    <t>7871134662872</t>
  </si>
  <si>
    <t>Rack-A-Tiers 40001 Wire Vortex - Wire Pulling Guide</t>
  </si>
  <si>
    <t>Rack-A-Tiers Wire Vortex - Wire Pulling Guide (40001)</t>
  </si>
  <si>
    <t>B0087TBRPS</t>
  </si>
  <si>
    <t>21.49</t>
  </si>
  <si>
    <t>3624644608100</t>
  </si>
  <si>
    <t>Fluke 393FC Clamp Meter and Solar Test Lead Kit, CAT III 1500 V, IP54-Rated, DC Power Measurements, Fluke Connect Software, 18 inch iFlex, MC4 Test Leads</t>
  </si>
  <si>
    <t>B0B499Y3Y5</t>
  </si>
  <si>
    <t>Rack-A-Tiers 18455 Wire Tub</t>
  </si>
  <si>
    <t>115.39</t>
  </si>
  <si>
    <t>3573358100580</t>
  </si>
  <si>
    <t>Rack-A-Tiers 72102 The Nut Blaster - XXL Blue</t>
  </si>
  <si>
    <t>Rack-A-Tiers Nut Blaster - Tighten Wire Nuts with Drill, Universal Wire Connector Drill Bit Attachment, Twist Wire Nuts with Your Drill (XXL)(72102)</t>
  </si>
  <si>
    <t>B0087TBQ5O</t>
  </si>
  <si>
    <t>7949296664792</t>
  </si>
  <si>
    <t>TAJIMA Pull-Stroke Saw - 265 mm x 16 TPI Japanese Flush Cut Hand Saw with Quick-Release Blade &amp; Short Elastomer Straight Handle - JPR-265ST</t>
  </si>
  <si>
    <t>B00ID1PKD0</t>
  </si>
  <si>
    <t>Rack-A-Tiers 48000 Driller’s Dust Bowl</t>
  </si>
  <si>
    <t>Rack-A-Tiers Driller's Dust Bowl - Hole Saw dust Bowl Installing recessed Lights, Works for All Hole saws, Flexible Drywall Dust Collector, Overhead Drilling dust Catcher (48000)</t>
  </si>
  <si>
    <t>B00QW29WR2</t>
  </si>
  <si>
    <t>27.49</t>
  </si>
  <si>
    <t>7555292365016</t>
  </si>
  <si>
    <t>Milwaukee 49-56-9280 7 PC BIG HAWG™ with Carbide Teeth Hole Saw Kit</t>
  </si>
  <si>
    <t>Milwaukee 49-56-9285 8 Pc Big Hawg Hole Saw W/Carbide Teeth Kit New</t>
  </si>
  <si>
    <t>B07HNDM4VB</t>
  </si>
  <si>
    <t>139.97</t>
  </si>
  <si>
    <t>203.4</t>
  </si>
  <si>
    <t>7885368721624</t>
  </si>
  <si>
    <t>Klein Tools 6944INS Slim-Tip 1000V Insulated Screwdriver, #2 Square, 4-Inch Round Shank</t>
  </si>
  <si>
    <t>19.54</t>
  </si>
  <si>
    <t>7837602054360</t>
  </si>
  <si>
    <t>Klein Tools 6984INS Slim-Tip 1000V Insulated Screwdriver, #1 Square, 4-Inch Round Shank</t>
  </si>
  <si>
    <t>7837625450712</t>
  </si>
  <si>
    <t>Klein Tools JTH9E06 3/32-Inch Hex Key, Journeyman T-Handle, 9-Inch</t>
  </si>
  <si>
    <t>B004QV4A50</t>
  </si>
  <si>
    <t>Klein Tools JTH6E07 7/64-Inch Hex Key, Journeyman™ T-Handle, 6-Inch</t>
  </si>
  <si>
    <t>7/64-Inch Hex Key with Journeyman T-Handle, 9-Inch Klein Tools JTH9E07</t>
  </si>
  <si>
    <t>B004QV6Q9S</t>
  </si>
  <si>
    <t>7861255078104</t>
  </si>
  <si>
    <t>Diablo Tools D0424X 4-1/2 in. x 24 Tooth Framing Trim Saw Blade</t>
  </si>
  <si>
    <t>Echo Corner 4-1/2 Inch Combo Pack Wood Cutting Circular Saw Blades, 3/8" Arbor 2X 24T/40T, for Rip Framing Trim Crosscut Fine Finish Wood Laminate Veneered Plywood Plastic MDF</t>
  </si>
  <si>
    <t>B0BQB4YHBQ</t>
  </si>
  <si>
    <t>18.44</t>
  </si>
  <si>
    <t>7964926083288</t>
  </si>
  <si>
    <t>FOXBC 7-1/4" Circular Saw Blade 60-Tooth Replacement for Freud Diablo D0760A D0760X, DeWalt DWA171460 Ultra Fine Finish Circular Saw Blade</t>
  </si>
  <si>
    <t>B0C6L4CRY2</t>
  </si>
  <si>
    <t>Klein Tools 56119 Fish Rod Tip, Wire Pulling through Conduit is easier with Illuminated Fish Rod Tip</t>
  </si>
  <si>
    <t>B00ABSYVUQ</t>
  </si>
  <si>
    <t>Milwaukee 49-56-5620 1‐1/4" Diamond Hole Saw</t>
  </si>
  <si>
    <t>B00KXURDC0</t>
  </si>
  <si>
    <t>Diablo 1-1/2 in. x 6 in. SPEEDemon Spade Bit</t>
  </si>
  <si>
    <t>B089KWPYC8</t>
  </si>
  <si>
    <t>Klein Tools 450-320 Cable and Wire Management Sleeves,1.25-Inch Diameter, 3-Foot Long</t>
  </si>
  <si>
    <t>Klein Tools 450-320 Cable Management Sleeve, Cord Management for Home, Office or Job, 1-1/4-Inch Max Diameter, 3-Foot Length, Black, 2-Pack</t>
  </si>
  <si>
    <t>B092X37WSG</t>
  </si>
  <si>
    <t>7827307954392</t>
  </si>
  <si>
    <t>UEi DL589 600A TRMS Clamp Meter w/ DC Amps, Inrush, Magnet</t>
  </si>
  <si>
    <t>UEi DL589-600A TRMS Clamp Meter with DC Amps, Inrush, Magnet</t>
  </si>
  <si>
    <t>B0BCVNJ8KW</t>
  </si>
  <si>
    <t>203.96</t>
  </si>
  <si>
    <t>239.95</t>
  </si>
  <si>
    <t>7704259756248</t>
  </si>
  <si>
    <t>Rack-A-Tiers 47010 V-Cutter</t>
  </si>
  <si>
    <t>Rack-A-Tiers V-Cutter NMSC Cable Stripper (47010)</t>
  </si>
  <si>
    <t>B00AKPFOW4</t>
  </si>
  <si>
    <t>3351176872036</t>
  </si>
  <si>
    <t>Klein Tools 5416TBR Tool Pouch, Bolt Retention Pouch, Canvas, Tunnel Connect, 5x10x9-Inch</t>
  </si>
  <si>
    <t>Klein Tools 5416TBR Tool Pouch, Bolt Retention Tool Bag Constructed of No. 4 Canvas with Reinforced Bottom, Tunnel Connect, 5 x 10 x 9-Inch</t>
  </si>
  <si>
    <t>B06XYVMGZK</t>
  </si>
  <si>
    <t>62.34</t>
  </si>
  <si>
    <t>7861058699480</t>
  </si>
  <si>
    <t>Klein Tools J63050 Journeyman™ High Leverage Cable Cutter</t>
  </si>
  <si>
    <t>Klein Tools J63225N Journeyman High-Leverage Wire Cable Cutter and Stripper for Cutting Aluminum, Soft Copper and Communications Cable,Red/Black</t>
  </si>
  <si>
    <t>B08R8SNQCL</t>
  </si>
  <si>
    <t>55.32</t>
  </si>
  <si>
    <t>7779784949976</t>
  </si>
  <si>
    <t>Klein Tools 32500HD Multi-Bit Screwdriver / Nut Driver, Impact Rated 11-in-1 Tool with Phillips, Slotted, Square and Torx Tips</t>
  </si>
  <si>
    <t>B0C9V6NYZ4</t>
  </si>
  <si>
    <t>Klein Tools 646-5/16M 5/16-Inch Hex Magnetic Tip Nut Driver with 6-Inch Hollow Shank</t>
  </si>
  <si>
    <t>B00093GECG</t>
  </si>
  <si>
    <t>Klein Tools 621-6 Coated 3/16-Inch Cabinet Tip Flat Head Screwdriver, 6-Inch Round Shank, Cushion Grip Handle</t>
  </si>
  <si>
    <t>B00093GE44</t>
  </si>
  <si>
    <t>Diablo Tools DAG3070 3/4 in. x 17-1/2 in. Auger Bit</t>
  </si>
  <si>
    <t>32.3</t>
  </si>
  <si>
    <t>7897497960664</t>
  </si>
  <si>
    <t>Klein Tools 44001-BLK Black Lightweight Lockback Knife, 2-1/2-Inch</t>
  </si>
  <si>
    <t>72.98</t>
  </si>
  <si>
    <t>6080581107885</t>
  </si>
  <si>
    <t>Klein Tools MM325 Digital Multimeter, Manual-Ranging, 600V</t>
  </si>
  <si>
    <t>Klein Tools MM300 Multimeter, Digital Manual-Ranging Voltmeter, Tests Batteries, AC/DC, Current, Resistance, Diodes, and Continuity, 600V</t>
  </si>
  <si>
    <t>B018O18VUW</t>
  </si>
  <si>
    <t>49.98</t>
  </si>
  <si>
    <t>7823042904280</t>
  </si>
  <si>
    <t>Klein Tools 70572 Grip-It® Ball End Hex Set, 5-Key, Metric Sizes</t>
  </si>
  <si>
    <t>Klein Tools 70571 Grip-It Ball End Hex Set, 5-Key, SAE Sizes</t>
  </si>
  <si>
    <t>B0002RI8P0</t>
  </si>
  <si>
    <t>20.44</t>
  </si>
  <si>
    <t>7791130312920</t>
  </si>
  <si>
    <t>IDEAL INDUSTRIES INC. 36-303 TKO 1-1/8-Inch Carbide Tipped Hole Cutter</t>
  </si>
  <si>
    <t>B002BAZVTW</t>
  </si>
  <si>
    <t>Reed Mfg DHR12 3/4NPT R12+ Drophead, 3/4" NPT</t>
  </si>
  <si>
    <t>6698079158445</t>
  </si>
  <si>
    <t>Tajima LC-650 Rock Hard® Utility Knife, Dial Blade Lock, 1x Rock Hard Blade</t>
  </si>
  <si>
    <t>TAJIMA Utility Knife - 1" 7-Point Rock Hard Snap Blade Box Cutter with Dial Lock &amp; Rock Hard Blade - LC-650</t>
  </si>
  <si>
    <t>B0006HHWY4</t>
  </si>
  <si>
    <t>12.09</t>
  </si>
  <si>
    <t>6897291067565</t>
  </si>
  <si>
    <t>Klein Tools 44005C Hawkbill Lockback Knife with Clip</t>
  </si>
  <si>
    <t>Klein Tools 44005RC Hawkbill Lockback Round Tip Knife with Clip</t>
  </si>
  <si>
    <t>B082PKQRKT</t>
  </si>
  <si>
    <t>71.24</t>
  </si>
  <si>
    <t>7837679616216</t>
  </si>
  <si>
    <t>Freud D0436X Diablo 4-1/2-Inch 36 Tooth ATB Cordless Trim Saw Blade with 20-Millimeter Arbor and 3/8-Inch Reducer Bushing</t>
  </si>
  <si>
    <t>B0002TUFAO</t>
  </si>
  <si>
    <t>2880-20 M18 FUEL for Milwaukee 18 Volt 4-1/2" / 5" Grinder Paddle Switch, No-Lock (Tool Only)</t>
  </si>
  <si>
    <t>B0C1BWXP7W</t>
  </si>
  <si>
    <t>Klein Tools 50351 Steel Fish Tape Swivel Eyelet</t>
  </si>
  <si>
    <t>Klein Tools 50351 Steel Fish Tape Swivel Eyelet for Flat-Steel Fish Tapes</t>
  </si>
  <si>
    <t>B0002RI5QW</t>
  </si>
  <si>
    <t>22.72</t>
  </si>
  <si>
    <t>7569996841176</t>
  </si>
  <si>
    <t>Klein Tools NCVT3P Dual Range Non Contact Voltage Tester, 12 - 1000V AC Pen, Flashlight, Audible and Flashing LED Alarms, Pocket Clip,green</t>
  </si>
  <si>
    <t>B08DQMX7YF</t>
  </si>
  <si>
    <t>Klein Tools D2000-49 Diagonal Cutting Pliers, Angled Head, 9-Inch</t>
  </si>
  <si>
    <t>59.06</t>
  </si>
  <si>
    <t>6025094987944</t>
  </si>
  <si>
    <t>Klein Tools JTH4E08 1/8-Inch Hex Key with Journeyman T-Handle, 4-Inch</t>
  </si>
  <si>
    <t>B004ITRDJ0</t>
  </si>
  <si>
    <t>Klein Tools 56341 Stainless Steel Fish Tape, 1/8-Inch x 240-Foot</t>
  </si>
  <si>
    <t>Klein Tools 56004 Fish Tape, 240-Foot Long x 1/8-Inch Wide Steel Pull Line for Heavy Duty Wire Pulls, Updated Model Cat. No. 56334 Available</t>
  </si>
  <si>
    <t>B0026TDB5Y</t>
  </si>
  <si>
    <t>114.99</t>
  </si>
  <si>
    <t>168.08</t>
  </si>
  <si>
    <t>7867914944728</t>
  </si>
  <si>
    <t>Diablo 1/2 in. x 17-1/2 in. Auger Bit</t>
  </si>
  <si>
    <t>B089KVBK8P</t>
  </si>
  <si>
    <t>Reed Mfg DHR12 1NPT R12+ Drophead, 1" NPT</t>
  </si>
  <si>
    <t>6698083811501</t>
  </si>
  <si>
    <t>Klein Tools 29026 Li-Ion Battery</t>
  </si>
  <si>
    <t>Klein Tools 29026 Rechargeable Li-ion Battery, 3.7V 10400 mAh Battery, for Klein Tools Self-Leveling Laser Level Cat. No. 93PLL</t>
  </si>
  <si>
    <t>B09C6SDHXS</t>
  </si>
  <si>
    <t>7833819250904</t>
  </si>
  <si>
    <t>Klein Tools 70574 Grip-It® Hex Key Set, 9-Key, 4-1/2-Inch Handle, SAE Sizes</t>
  </si>
  <si>
    <t>Klein Tools 70575 Grip-It Hex Key Set, 9-Key, 3-3/4-Inch Handle, SAE Sizes</t>
  </si>
  <si>
    <t>B0002RI8PK</t>
  </si>
  <si>
    <t>6536956444845</t>
  </si>
  <si>
    <t>Reed Mfg DHR12 1 1/2NPT R12+ Drophead, 1-1/2" NPT</t>
  </si>
  <si>
    <t>170.7</t>
  </si>
  <si>
    <t>197.46</t>
  </si>
  <si>
    <t>6698100195501</t>
  </si>
  <si>
    <t>Diablo Tools DMAPL9920-S7 7pc Rebar Demon™ SDS-Plus 4-Cutter Full Carbide Head Hammer Bit Set</t>
  </si>
  <si>
    <t>Diablo 7pc Rebar Demon SDS-Plus 4-Cutter Full Carbide Head Hammer Bit Set</t>
  </si>
  <si>
    <t>B089LJJ6KJ</t>
  </si>
  <si>
    <t>37.97</t>
  </si>
  <si>
    <t>55.56</t>
  </si>
  <si>
    <t>7964936995032</t>
  </si>
  <si>
    <t>Klein Tools JTH6T10 T10 TORX Hex Key, Journeyman T-Handle, 6-Inch</t>
  </si>
  <si>
    <t>B005G3B3TI</t>
  </si>
  <si>
    <t>B002ICF5AI</t>
  </si>
  <si>
    <t>Klein Tools 56008 Fish Tape, 1/8-Inch Stainless Steel Fish Tape , Easy-Feed Sloped Handle, 240-Foot, Updated Model Cat. No. 56341 Available</t>
  </si>
  <si>
    <t>B002PDVHXO</t>
  </si>
  <si>
    <t>Klein Tools 6834INS Insulated Screwdriver, 1000V #2 Phillips Tip Screwdriver with 4-Inch Shank, Tip-Ident, Cushion-Grip Handle</t>
  </si>
  <si>
    <t>B0BF7LCHQ9</t>
  </si>
  <si>
    <t>Klein Tools 6844INS Insulated Screwdriver, 1000V #2 Square Tip Screwdriver with 4-Inch Shank, Tip-Ident, Cushion-Grip Handle</t>
  </si>
  <si>
    <t>B0BF7L6BZ6</t>
  </si>
  <si>
    <t>Klein Tools 6824INS Insulated Screwdriver, 1000V 1/4-Inch Cabinet Tip Screwdriver with 4-Inch Shank, Tip-Ident, Cushion-Grip Handle</t>
  </si>
  <si>
    <t>B0BF78XBPX</t>
  </si>
  <si>
    <t>FOXBC 7-1/4" Circular Saw Blade 40 Tooth, Replacement for Freud D0740A Diablo, SKIL 75740W, DeWalt Finishing Saw Blade</t>
  </si>
  <si>
    <t>B0C6L5RLM8</t>
  </si>
  <si>
    <t>Blackfire - Klein Tools Outdoors - Rechargeable Waterproof Pocket Flashlight BBM6411, 275 Lumen, Dual-Direction Pocket Clip with Lanyard for Outdoor Use, Camping, Hunting, Work</t>
  </si>
  <si>
    <t>B0973SR954</t>
  </si>
  <si>
    <t>Klein Tools 66030 2-in-1 Coated Impact Socket, 12-Point, 3/4 and 9/16-Inch</t>
  </si>
  <si>
    <t>83.3</t>
  </si>
  <si>
    <t>7856657858776</t>
  </si>
  <si>
    <t>Klein Tools 6826INS Insulated Screwdriver, 1000V 1/4-Inch Cabinet Tip Screwdriver with 6-Inch Shank, Tip-Ident, Cushion-Grip Handle</t>
  </si>
  <si>
    <t>B0BF79W49J</t>
  </si>
  <si>
    <t>Klein Tools 635-6 Nut Driver Set, Magnetic Nut Drivers, Heavy Duty, 6-Piece</t>
  </si>
  <si>
    <t>6690795716781</t>
  </si>
  <si>
    <t>Klein Tools 93LCLS Laser Level, Self Leveling, Cross Line Level with Plumb Spot and Magnetic Mounting Clamp</t>
  </si>
  <si>
    <t>B0753K7XQF</t>
  </si>
  <si>
    <t>Klein Tools 60487 Cooling Headband, Blue, 2-Pack</t>
  </si>
  <si>
    <t>Klein Tools 60487 Headband, Cooling Evaporative Sweatband, Reversible and Lightweight, Can be Worn under Hard Hat or Helmet, Blue, 2-Pack</t>
  </si>
  <si>
    <t>B092XCFFKH</t>
  </si>
  <si>
    <t>13.9</t>
  </si>
  <si>
    <t>7823737749720</t>
  </si>
  <si>
    <t>Klein Tools 50611 Magnetic Wire Puller</t>
  </si>
  <si>
    <t>7827343999192</t>
  </si>
  <si>
    <t>Klein Tools 85091 Power Conduit Reamer with Improved Bit Retention, 1/2-, 3/4- and 1-Inch</t>
  </si>
  <si>
    <t>B00B9HICKI</t>
  </si>
  <si>
    <t>Klein Tools VDV327-103 Wire Pick</t>
  </si>
  <si>
    <t>B00ITG4PNK</t>
  </si>
  <si>
    <t>6553452413101</t>
  </si>
  <si>
    <t>Klein Tools TI222 Thermal Imager for iOS Devices</t>
  </si>
  <si>
    <t>Klein Tools TI222 Thermal Imager for iOS Devices, Thermal Imaging Camera, 10,800 Pixels, Three Color Palettes, High/Low Temperatures</t>
  </si>
  <si>
    <t>B0B4PXYRS1</t>
  </si>
  <si>
    <t>7817753133272</t>
  </si>
  <si>
    <t>Klein Tools 31932 Bi-Metal Hole Saw, 2-Inch with Easy Slug Removal</t>
  </si>
  <si>
    <t>B019874WBS</t>
  </si>
  <si>
    <t>Klein Tools 31870 Heavy Duty Hole Cutter, 2-1/2-Inch Carbide Hole Cutter Cuts Stainless Steel, Mild Steel, Iron, and Copper</t>
  </si>
  <si>
    <t>B00776T3C6</t>
  </si>
  <si>
    <t>Klein Tools 32538 10-Fold Screwdriver / Nut Driver, Fractional Hex</t>
  </si>
  <si>
    <t>B0031D9NSS</t>
  </si>
  <si>
    <t>7590378799320</t>
  </si>
  <si>
    <t>Klein Tools 2036EINS Insulated Pliers, Long Nose Side Cutters with Knurled Jaw, Slim 6-Inch</t>
  </si>
  <si>
    <t>B00JGG5OB4</t>
  </si>
  <si>
    <t>Klein Tools 69190 Magnetic Hanger</t>
  </si>
  <si>
    <t>Klein Tools 69190 Magnetic Hanger for Electric Multimeters with Velcro Loop and Hook for Hands Free Use</t>
  </si>
  <si>
    <t>B003USDOD4</t>
  </si>
  <si>
    <t>31.34</t>
  </si>
  <si>
    <t>6840979521709</t>
  </si>
  <si>
    <t>Klein Tools 51605 Iron Conduit Bender Full Assembly, 1-Inch EMT with Angle Setter™</t>
  </si>
  <si>
    <t>7827205619928</t>
  </si>
  <si>
    <t>Klein Tools 32288 Insulated Screwdriver, 8-in-1 Screwdriver Set with Interchangeable Blades, 3 Phillips, 3 Slotted and 2 Square Tips</t>
  </si>
  <si>
    <t>B07WTRTVFS</t>
  </si>
  <si>
    <t>Klein Tools 85077 Screwdriver Set, Multi-Application, 7-Piece</t>
  </si>
  <si>
    <t>Klein Tools 85077 Screwdriver Set, Multi-Application Screwdriver Kit with Cushion-Grip Handles and Tip-Ident, 7-Piece</t>
  </si>
  <si>
    <t>B0002DOL78</t>
  </si>
  <si>
    <t>64.99</t>
  </si>
  <si>
    <t>98.46</t>
  </si>
  <si>
    <t>6937808961709</t>
  </si>
  <si>
    <t>Klein Tools RT110 Outlet Tester, AC Electrical Receptacle Tester for North American Outlets</t>
  </si>
  <si>
    <t>B01AKX3AYE</t>
  </si>
  <si>
    <t>Capri Tools Kontour 3/8-Inch Nut Driver, 3-Inch Hollow Shaft</t>
  </si>
  <si>
    <t>B079G82XNX</t>
  </si>
  <si>
    <t>Klein Tools ET310 AC Circuit Breaker Finder, Electric Tester With Integrated GFCI Outlet Tester</t>
  </si>
  <si>
    <t>B07QNMCVWP</t>
  </si>
  <si>
    <t>Klein Tools VDV526-200 Cable Tester, LAN Scout Jr. 2 Ethernet Cable Tester for CAT 5e, CAT 6/6A Cables with RJ45 Connections, Yellow/Black</t>
  </si>
  <si>
    <t>B0925826M2</t>
  </si>
  <si>
    <t>Klein Tools D2000-9NE Side Cutter Linemans Pliers Cut ACSR, Screws, Nails, Hard Wire, 9-Inch Electrical Pliers</t>
  </si>
  <si>
    <t>B0031ERRNU</t>
  </si>
  <si>
    <t>Klein Tools CL220 Digital Clamp Meter, Auto-Ranging 400 Amp AC, AC/DC Voltage, TRMS, Resistance, Continuity, NCVT Detection, and Temp, Orange and Black</t>
  </si>
  <si>
    <t>B08CFWMYYY</t>
  </si>
  <si>
    <t>B019874KZ6</t>
  </si>
  <si>
    <t>Klein Tools ET40 Electronic AC/DC Voltage Tester 12 to 240V AC, 1.5 to 24V DC</t>
  </si>
  <si>
    <t>Klein Tools ET40 Digital AC/DC Voltage Tester, 12-240V AC, 1.5-24V DC, LED Illumination, DC Polarity, Auto Off, CATIII 250V-Class 2- Double Insulation, IP4 Dust and Water Resistant,Black/Orange</t>
  </si>
  <si>
    <t>B07P45RB8S</t>
  </si>
  <si>
    <t>6252427837613</t>
  </si>
  <si>
    <t>Klein Tools 56413 Rechargeable 2-Color LED Flashlight, Holster, Spotlight, Floodlight, Red LED, 1000 Lumens, USB Cable, Camping, Hunting</t>
  </si>
  <si>
    <t>B094JV7LNF</t>
  </si>
  <si>
    <t>Rack-A-Tiers Multi Purpose Wire Dispenser (11455)</t>
  </si>
  <si>
    <t>B0039UVLZG</t>
  </si>
  <si>
    <t>Klein Tools 650 Scratch Awl with 3-1/2-Inch Shank and Cushion Grip</t>
  </si>
  <si>
    <t>B0000302W2</t>
  </si>
  <si>
    <t>Klein Tools 93PLL Self-Leveling Laser Level, Green 3x360-Deg Planes, Rechargeable Battery, Magnetic Mount, Class II Laser (≤1mW @ 510-530nm) Orange</t>
  </si>
  <si>
    <t>B09C7F4H9T</t>
  </si>
  <si>
    <t>Klein Tools D2000-49 Pliers, Diagonal Cutting Pliers with Heavy-Duty Cutting Knives, Short Jaws and Dual Material Grips, 9-Inch</t>
  </si>
  <si>
    <t>B01KKCNNWY</t>
  </si>
  <si>
    <t>Klein Tools 22002 Large Broad Blade Utility Shear</t>
  </si>
  <si>
    <t>Klein Tools 22002 Scissors, Broad Blade Utility Shear Cuts Anything from Rubber to Metal, with Extended Handled, Serrated Blade, 8.5-Inch</t>
  </si>
  <si>
    <t>B001UBYWJS</t>
  </si>
  <si>
    <t>6064844701869</t>
  </si>
  <si>
    <t>Klein Tools 63060 Cable Cutters, Ratcheting Heavy Duty Cutters for Up to 750 MCM, Great for Cable Preparation</t>
  </si>
  <si>
    <t>B001BPYJO6</t>
  </si>
  <si>
    <t>Klein Tools 56411 Rechargeable Pocket Flashlight, 275 Lumen, Dual-Direction Pocket Clip and Lanyard, IP67 Waterproof, 10-Foot Drop Rating</t>
  </si>
  <si>
    <t>B0948329XF</t>
  </si>
  <si>
    <t>Klein Tools 450-003 Staples, 11/32-Inch x 19/32-Inch Insulated</t>
  </si>
  <si>
    <t>Klein Tools 450-003 Heavy Duty Staples,19/32 x 11/32-Inch Insulated Staples for Romex and Other Cables, for Klein Tools Stapler No. 450-100</t>
  </si>
  <si>
    <t>B085T26XB8</t>
  </si>
  <si>
    <t>5365386182824</t>
  </si>
  <si>
    <t>Klein Tools ET310TRANS Replacement Transmitter for ET310</t>
  </si>
  <si>
    <t>Klein Tools ET310TRANS ET310 Circuit Breaker Finder Replacement Transmitter, Digital Circuit Breaker Finder, Integrated GFCI Outlet Tester</t>
  </si>
  <si>
    <t>B0B6PZ31KW</t>
  </si>
  <si>
    <t>19.58</t>
  </si>
  <si>
    <t>7823606907096</t>
  </si>
  <si>
    <t>Klein Tools TI250 Rechargeable Thermal Imager</t>
  </si>
  <si>
    <t>Klein Tools TI250 Rechargeable Thermal Imaging Camera, Camera Displays Over 10,000 Pixels with 3 Color Palettes, High / Low Temperature Points</t>
  </si>
  <si>
    <t>B089QW8R9S</t>
  </si>
  <si>
    <t>478.0</t>
  </si>
  <si>
    <t>6082170552493</t>
  </si>
  <si>
    <t>Klein Tools ET45 Voltage Tester, AC Voltage, DC Voltage, Low Voltage Electric Tester, No Batteries Needed</t>
  </si>
  <si>
    <t>B07NZS6DGS</t>
  </si>
  <si>
    <t>Klein Tools 630-5/8 Nut Driver, 5/8-Inch, 4-Inch Hollow Shaft, Cushion Grip Handle</t>
  </si>
  <si>
    <t>B000219OBI</t>
  </si>
  <si>
    <t>Klein Tools 66040 2-in-1 Impact Socket Set, 5-Piece Tool Set with 12-Point Deep Sockets with 1/2-Inch Drive, Includes Tool Case</t>
  </si>
  <si>
    <t>B08363H71P</t>
  </si>
  <si>
    <t>Klein Tools 32500MAG Magnetic Multi-Bit Screwdriver / Nut Driver, 11-in-1 Multi Tool with 8 Bits, 3 Nut Driver Sizes, Cushion Grip Handle</t>
  </si>
  <si>
    <t>B089LTTZWT</t>
  </si>
  <si>
    <t>Klein Tools MM325 Multimeter, Digital Manual-Ranging 600V AC/DC Voltage Tester, Tests Batteries, Current, Resistance, Diodes, and Continuity, Black</t>
  </si>
  <si>
    <t>B0B57L9FNL</t>
  </si>
  <si>
    <t>Diablo Tools DOU200RBD 2" Universal Fit Bi-Metal Oscillating Blade for Drywall</t>
  </si>
  <si>
    <t>Diablo 2 in. Universal Fit Bi-Metal Oscillating Blade for Drywall</t>
  </si>
  <si>
    <t>B089KXBGLH</t>
  </si>
  <si>
    <t>23.6</t>
  </si>
  <si>
    <t>6846108008621</t>
  </si>
  <si>
    <t>Klein Tools RT390 Circuit Analyzer with Large LCD, Identifies Wiring Faults, GFCI and AFCI Tester, Voltage Drop, Displays Trip Time,Orange</t>
  </si>
  <si>
    <t>B0BT87LJRL</t>
  </si>
  <si>
    <t>Klein Tools 51611 Conduit Bender 1/2-Inch Angle Setter, For Use With Klein Tools Conduit Benders (Cat Nos. 51606 and 51603)</t>
  </si>
  <si>
    <t>B08L5J5TRQ</t>
  </si>
  <si>
    <t>Rack-A-Tiers Pull Buddy - Multi-Pack Wire Pulling Guides (42000)</t>
  </si>
  <si>
    <t>B0087TBOWY</t>
  </si>
  <si>
    <t>Tajima CNV-100LT Convoy® Lite, Ultra-lightweight Caulk Gun</t>
  </si>
  <si>
    <t>TAJIMA Caulk Gun - 1/10 Gallon (10 oz) Convoy Lite Caulking Tool with Ultra Lightweight ABS Construction &amp; Auto Flow Stop - CNV-100LT</t>
  </si>
  <si>
    <t>B001S2QO18</t>
  </si>
  <si>
    <t>21.89</t>
  </si>
  <si>
    <t>7718418874584</t>
  </si>
  <si>
    <t>Klein Tools 70572 Grip-It Ball End Hex Set, 5-Key, Metric Sizes</t>
  </si>
  <si>
    <t>B000936R78</t>
  </si>
  <si>
    <t>Tajima GP-30BW G-PLUS™ Standard Scale, 30 ft x 1 in. Steel Blade Tape Measure</t>
  </si>
  <si>
    <t>TAJIMA Tape Measure - 30 ft x 1 inch G-Plus Measuring Tape with Armored Case &amp; Acrylic Coated Blade - GP-30BW</t>
  </si>
  <si>
    <t>B001S2QNOQ</t>
  </si>
  <si>
    <t>38.93</t>
  </si>
  <si>
    <t>40.99</t>
  </si>
  <si>
    <t>7726172111064</t>
  </si>
  <si>
    <t>Tajima VR-102B One-Piece Retractable Utility Knife</t>
  </si>
  <si>
    <t>TAJIMA Utility Knife - VR-Series Box Cutter with Retractable Blade &amp; 3 V-REX Blades - VR-102B</t>
  </si>
  <si>
    <t>B003O684PU</t>
  </si>
  <si>
    <t>25.27</t>
  </si>
  <si>
    <t>26.59</t>
  </si>
  <si>
    <t>7745552974040</t>
  </si>
  <si>
    <t>Klein Tools 6956INS Insulated Screwdriver, 1000V Slim Profile Tip, 1 Philliips with 6-Inch Shank, Cushion-Grip Handle</t>
  </si>
  <si>
    <t>B09H9GV5CP</t>
  </si>
  <si>
    <t>Tajima GS-16/5MBW GS Lock™ Standard &amp; Metric Scale, 16 ft/ 5 m x 1 in./25mm Steel Blade Tape Measure</t>
  </si>
  <si>
    <t>Tajima GS-16/5MBW 16 ft./5 m x 1 in. Standard and Metric Steel GS-Lock Tape Measure</t>
  </si>
  <si>
    <t>B07KK4HWTX</t>
  </si>
  <si>
    <t>27.92</t>
  </si>
  <si>
    <t>29.39</t>
  </si>
  <si>
    <t>7726331560152</t>
  </si>
  <si>
    <t>Klein Tools J63225N Journeyman™ High Leverage Cable Cutter with Stripping</t>
  </si>
  <si>
    <t>41.97</t>
  </si>
  <si>
    <t>58.08</t>
  </si>
  <si>
    <t>7769461555416</t>
  </si>
  <si>
    <t>Klein Tools 32510 Magnetic Screwdriver with 32 Tamperproof Bits</t>
  </si>
  <si>
    <t>Klein Tools 32510 Magnetic Multibit Screwdriver with Sturdy Torx, Hex, Spanner, Tri-Wing, Torq and Nut Tamperproof Bits and Storage Block</t>
  </si>
  <si>
    <t>B0018BS7GY</t>
  </si>
  <si>
    <t>43.88</t>
  </si>
  <si>
    <t>7696117367000</t>
  </si>
  <si>
    <t>Klein Tools 50550 20-Foot Glow In The Dark Fish Tape, Fiberglass with Nylon Tip and Stainless-Steel Connector for Fish Rod Attachments</t>
  </si>
  <si>
    <t>B08N5FML65</t>
  </si>
  <si>
    <t>Klein Tools VDV500-123 Cable Tracer Probe-Pro Tracing Probe with Replaceable Non-Metallic, Conductive Tip and a Light for Use in Dark Spaces</t>
  </si>
  <si>
    <t>B07ZWCM8L5</t>
  </si>
  <si>
    <t>Klein Tools 66031 3-in-1 Slotted Impact Socket, 12-Point, 3/4 and 9/16-Inch</t>
  </si>
  <si>
    <t>85.0</t>
  </si>
  <si>
    <t>7769476563160</t>
  </si>
  <si>
    <t>TAJIMA Tape Measure - 25 ft / 7.5 m x 1-1/16 inch GS-Lock Measuring Tape with Dual Metric/Standard Scale &amp; Acrylic Coated Blade - GS-25/7.5MBW</t>
  </si>
  <si>
    <t>B07KJYHXG2</t>
  </si>
  <si>
    <t>Klein Tools ET600 Multimeter, Megohmmeter Insulation Tester, 4000 Ohms Resistance, 125V/250V/500V/1000V, Auto-Ranging TRMS Multimeter</t>
  </si>
  <si>
    <t>B07ZZX5TK8</t>
  </si>
  <si>
    <t>Klein Tools 935DAGL Digital Level Angle Finder with Programmable Angles, Measures 0 - 90 and 0 - 180 Degree or Dual Axis Bullseye Ranges</t>
  </si>
  <si>
    <t>B07L5LMYV8</t>
  </si>
  <si>
    <t>Klein Tools IR1 Infrared Thermometer, Digital Laser Gun is Non-Contact Thermometer with a Temperature Range -4 to 752-Degree Fahrenheit</t>
  </si>
  <si>
    <t>B0873T6SGR</t>
  </si>
  <si>
    <t>Klein Tools CL320KIT HVAC Kit for HVAC Testing; Digital Clamp Meter, Non-Contact Voltage Tester, and Infrared/Probe Thermometer</t>
  </si>
  <si>
    <t>B08ZJSN5X3</t>
  </si>
  <si>
    <t>Rack-A-Tiers 42675 3 3/8" Round Multi-Tool Hole Saw</t>
  </si>
  <si>
    <t>Rack-A-Tiers Round Multi-Tool Hole Saw 3 3/8" Cutting recessed Lights with oscillating Multi-Tool, Round Holes in Drywall (42675)</t>
  </si>
  <si>
    <t>B0BQPCGLL8</t>
  </si>
  <si>
    <t>7949307379928</t>
  </si>
  <si>
    <t>Klein Tools 9125 Tape Measure, Heavy-Duty Measuring Tape with 25-Foot Single-Hook Nylon Reinforced Blade, With Metal Belt Clip</t>
  </si>
  <si>
    <t>B07WHFFY72</t>
  </si>
  <si>
    <t>Channellock 430X 10-Inch SPEEDGRIP™ Straight Jaw Tongue &amp; Groove Pliers</t>
  </si>
  <si>
    <t>40.47</t>
  </si>
  <si>
    <t>7633790238936</t>
  </si>
  <si>
    <t>Klein Tools D228-8TT Diagonal Cutting Pliers, High-Leverage, Tie Ring, 8-Inch</t>
  </si>
  <si>
    <t>Klein Tools D228-8TT Pliers, Diagonal Cutting Pliers with High-Leverage Design and Tether Ring, 8-Inch</t>
  </si>
  <si>
    <t>B01K76W5UE</t>
  </si>
  <si>
    <t>6879409078445</t>
  </si>
  <si>
    <t>Klein Tools 56251 Wire Marker Book, 120/240V 3 Phase 1-48</t>
  </si>
  <si>
    <t>Klein Tools 56251 Wire Marker Book, 120/240V 3 Phase 1-48, Black, Blue, Red Printed on White, 1 Count (Pack of 1)</t>
  </si>
  <si>
    <t>B073YYNDLS</t>
  </si>
  <si>
    <t>18.24</t>
  </si>
  <si>
    <t>7553317109976</t>
  </si>
  <si>
    <t>Klein Tools 50350 13-Inch Flexible Fish Tape Leader</t>
  </si>
  <si>
    <t>Klein Tools 50350 13-Inch Flexible Fish Tape Leader for 1/8-Inch Wide Steel Fish Tapes</t>
  </si>
  <si>
    <t>B000WMS9KY</t>
  </si>
  <si>
    <t>27.66</t>
  </si>
  <si>
    <t>7022603403437</t>
  </si>
  <si>
    <t>Klein Tools 63225 High-Leverage Cable Cutter</t>
  </si>
  <si>
    <t>Klein Tools 63225 Cable Cutter, 9-Inch High Leverage Cutter for Aluminum, Copper and Communication Cable</t>
  </si>
  <si>
    <t>B08HC6N4J9</t>
  </si>
  <si>
    <t>35.97</t>
  </si>
  <si>
    <t>47.32</t>
  </si>
  <si>
    <t>6900133429421</t>
  </si>
  <si>
    <t>Rack-A-Tiers 77455 Bend-All Cable Bender</t>
  </si>
  <si>
    <t>Rack-A-Tiers Bend-All - Cable Bender, Wire Bender, Connects to 1/2" Ratchet, Machined Aircraft Aluminum (77455)</t>
  </si>
  <si>
    <t>B00QW2AZ9G</t>
  </si>
  <si>
    <t>3259230421092</t>
  </si>
  <si>
    <t>Klein Tools 631 Tool Set, Nut Driver Set w/Hex Nut Sizes 3/16, 1/4, 5/16, 11/32, 3/8, 7/16 and 1/2-Inch on 3-Inch Full Hollow Shaft, 7-Piece</t>
  </si>
  <si>
    <t>B0000BYEPS</t>
  </si>
  <si>
    <t>Klein Tools 832-26 Lineman's Claw Milled Hammer, 26-Ounce, Fiberglass Handle, Heavy Duty for Utility Poles, Milled Face, High Visibility Orange</t>
  </si>
  <si>
    <t>B08LPYBCR9</t>
  </si>
  <si>
    <t>Klein Tools 32717 Precision Screwdriver Set with Case, All-in-One Multi-Function Repair Tool Kit Includes 39 Bits for Apple Products</t>
  </si>
  <si>
    <t>B08DRVM38X</t>
  </si>
  <si>
    <t>Digital Manometer, Air and Gas Pressure Tester, Differential Dual Port Pressure Gauge, Large LCD Display with Backlight Klein Tools ET180</t>
  </si>
  <si>
    <t>B099ZYCV1L</t>
  </si>
  <si>
    <t>Klein Tools 60486 Cooling PVA Towel, High-Visibility Yellow, 2-Pack</t>
  </si>
  <si>
    <t>Klein Tools 60486 Cooling Towel with Evaporative PVA Technology, Comes in Resealable Bag with Convenient Carabiner Clip, Yellow, 2-Pack</t>
  </si>
  <si>
    <t>B092XBY412</t>
  </si>
  <si>
    <t>7823734407384</t>
  </si>
  <si>
    <t>32.87</t>
  </si>
  <si>
    <t>Klein Tools J215-8CR Hybrid Pliers</t>
  </si>
  <si>
    <t>Klein Tools J215-8CR Multitool Pliers, Hybrid Multi Purpose Tool / Crimper, Wire Stripper, Bolt Shearing, Wire Grabbing, Twisting, Looping</t>
  </si>
  <si>
    <t>B07BX7QJYH</t>
  </si>
  <si>
    <t>6922482811053</t>
  </si>
  <si>
    <t>B0778PB1QQ</t>
  </si>
  <si>
    <t>Klein Tools 32308 Multi-bit Stubby Screwdriver, Impact Rated 8-in-1 Adjustable Magnetic Tool with Phillips, Slotted, Square and Nut Driver</t>
  </si>
  <si>
    <t>B08KFNDBRW</t>
  </si>
  <si>
    <t>Klein Tools J20017NE Heavy-Duty Lineman's Pliers, 7-Inch</t>
  </si>
  <si>
    <t>Klein Tools J20017NE Heavy Duty Lineman's Pliers with High leverage Design, Heavy Duty Comfortable Handles and Knurled Jaws, 7-Inch</t>
  </si>
  <si>
    <t>B002LPWQFO</t>
  </si>
  <si>
    <t>81.8</t>
  </si>
  <si>
    <t>7809426784472</t>
  </si>
  <si>
    <t>Klein Tools 32305 Multi-bit Ratcheting Screwdriver, 15-in-1 Tool with Phillips, Slotted, Square, Torx and Combo Bits and 1/4-Inch Nut Driver</t>
  </si>
  <si>
    <t>B08KFMHQCP</t>
  </si>
  <si>
    <t>Klein Tools 56409 Mid-Flex Glow Rod Set, 9-Foot</t>
  </si>
  <si>
    <t>Klein Tools 56409 Mid-Flex Glow Rod Set, 9-Foot, Splinter Guard Coating, Stainless Steel Connectors, Glows in Dark</t>
  </si>
  <si>
    <t>B00CQM3TZ8</t>
  </si>
  <si>
    <t>7569998053592</t>
  </si>
  <si>
    <t>Klein Tools 32800 6-in-1 6-in-1 Multi-Bit Nut Driver, Heavy Duty</t>
  </si>
  <si>
    <t>Klein Tools 32800 Nut Driver, 6-in-1 NutDriver Set, SAE Standard Six Point Hex Sizes with Heavy Duty Hollow Shaft</t>
  </si>
  <si>
    <t>B01I0QVP18</t>
  </si>
  <si>
    <t>42.2</t>
  </si>
  <si>
    <t>1723912519780</t>
  </si>
  <si>
    <t>Klein Tools 63711 Open Jaw Ratcheting Cable Cutter</t>
  </si>
  <si>
    <t>Klein Tools 63711 Wire Cable Cutter with Open Front Loading Jaws Cuts 600 MCM Copper, 750 MCM Aluminum</t>
  </si>
  <si>
    <t>B00GI5GZ8M</t>
  </si>
  <si>
    <t>272.69</t>
  </si>
  <si>
    <t>474.24</t>
  </si>
  <si>
    <t>7829533884632</t>
  </si>
  <si>
    <t>Klein Tools 31868 Carbide Hole Cutter, 2-Inch</t>
  </si>
  <si>
    <t>Klein Tools 31868 Heavy Duty Hole Cutter, 2-Inch Carbide Hole Cutter Cuts Stainless Steel, Mild Steel, Iron, and Copper</t>
  </si>
  <si>
    <t>B00776T3D0</t>
  </si>
  <si>
    <t>90.98</t>
  </si>
  <si>
    <t>7032653938861</t>
  </si>
  <si>
    <t>Klein Tools 66060 2-in-1 Impact Socket Set, 6-Point, 6-Piece</t>
  </si>
  <si>
    <t>344.76</t>
  </si>
  <si>
    <t>7850034561240</t>
  </si>
  <si>
    <t>Klein Tools 66060 2-in-1 Impact Socket Set, 6-Piece Tool Set with 6-Point Deep Sockets with 1/2-Inch Drive, Includes Tool Case</t>
  </si>
  <si>
    <t>B09NDQC58N</t>
  </si>
  <si>
    <t>Klein Tools JTH6E07 7/64-Inch Hex Key, Journeyman T-Handle, 6-Inch</t>
  </si>
  <si>
    <t>B004LS11IM</t>
  </si>
  <si>
    <t>Klein Tools 6884INS Insulated Screwdriver, 1000V #1 Square Tip Screwdriver with 4-Inch Shank, Tip-Ident, Cushion-Grip Handle</t>
  </si>
  <si>
    <t>B0BF7K2YSW</t>
  </si>
  <si>
    <t>Milwaukee 48-22-8488 PACKOUT™ Customizable Work Top</t>
  </si>
  <si>
    <t>Milwaukee 48-22-8488 PACKOUT Customizable Work Top and Mounting Surface</t>
  </si>
  <si>
    <t>B09RYBXY2R</t>
  </si>
  <si>
    <t>7884354519256</t>
  </si>
  <si>
    <t>Klein Tools 6816INS Insulated Screwdriver, 1000V 3/16-Inch Cabinet Tip Screwdriver with 6-Inch Shank, Tip-Ident, Cushion-Grip Handle</t>
  </si>
  <si>
    <t>B0BF7JHR5X</t>
  </si>
  <si>
    <t>Klein Tools AESEB1 Bluetooth® Jobsite Earbuds</t>
  </si>
  <si>
    <t>Klein Tools AESEB1 Bluetooth Jobsite Earbuds, Wireless Hearing Protection Earplugs with 28dB Noise Reduction Rating, 15-Hour Playtime</t>
  </si>
  <si>
    <t>B09NCK1VM2</t>
  </si>
  <si>
    <t>97.98</t>
  </si>
  <si>
    <t>7856541237464</t>
  </si>
  <si>
    <t>Milwaukee 2120-20 M18™ ROCKET™ Dual Pack Tower Light w/ ONE-KEY™</t>
  </si>
  <si>
    <t>Milwaukee 212020 M18 Rocket Dual Pack Tower Light W/One Key</t>
  </si>
  <si>
    <t>B076RYD3WW</t>
  </si>
  <si>
    <t>699.0</t>
  </si>
  <si>
    <t>1152.0</t>
  </si>
  <si>
    <t>7926980673752</t>
  </si>
  <si>
    <t>Milwaukee 2744-21 M18 FUEL™ 21 Degree Framing Nailer Kit</t>
  </si>
  <si>
    <t>Milwauke M18 FUEL 21-Degree Framing Nailer Kit (5 Ah) 2744-21</t>
  </si>
  <si>
    <t>B08VNGJGL1</t>
  </si>
  <si>
    <t>479.0</t>
  </si>
  <si>
    <t>843.0</t>
  </si>
  <si>
    <t>7839544672472</t>
  </si>
  <si>
    <t>Klein Tools BAT20UBL1 Cordless Utility LED Light Kit</t>
  </si>
  <si>
    <t>Klein Tools BAT20UBL1 LED Utility Bucket Work Light Kit, Cordless Utility Light with 2 Lithium-Ion 4 Ah Batteries and Charger</t>
  </si>
  <si>
    <t>B09HW8BM5R</t>
  </si>
  <si>
    <t>492.69</t>
  </si>
  <si>
    <t>821.14</t>
  </si>
  <si>
    <t>7856582099160</t>
  </si>
  <si>
    <t>Klein Tools 6886INS Insulated Screwdriver, 1000V #1 Square Tip Screwdriver with 6-Inch Shank, Tip-Ident, Cushion-Grip Handle</t>
  </si>
  <si>
    <t>B0BF755ZL3</t>
  </si>
  <si>
    <t>Crescent Tools ATWJ2610VS 2 Pc. Wide Jaw Adjustable Wrench Set 6" &amp; 10"</t>
  </si>
  <si>
    <t>Crescent 2 Pc. Wide Jaw Adjustable Wrench Set 6" &amp; 10" - ATWJ2610VS</t>
  </si>
  <si>
    <t>B07NVHYKF1</t>
  </si>
  <si>
    <t>7968993870040</t>
  </si>
  <si>
    <t>Klein Tools 25950 Step Bit Kit, Spiral Double-Fluted, VACO, 4-Piece</t>
  </si>
  <si>
    <t>7901299835096</t>
  </si>
  <si>
    <t>Klein Tools 2288RINS Diagonal Cutting Pliers, Insulated, High Leverage, 8-Inch</t>
  </si>
  <si>
    <t>7871537807576</t>
  </si>
  <si>
    <t>Klein Tools 29610 PowerHub 1</t>
  </si>
  <si>
    <t>Klein Tools 29610 PowerHub, 6 Surge Protected Covered 15A Outlets, 5000 Lumen Work Light, 4 USB Ports, Built-in GFCI, Overcurrent Protection</t>
  </si>
  <si>
    <t>B0BHTLTWCN</t>
  </si>
  <si>
    <t>373.98</t>
  </si>
  <si>
    <t>7872351633624</t>
  </si>
  <si>
    <t>Diablo 8-1/4-Inch 24 Tooth ATB Framing Saw Blade</t>
  </si>
  <si>
    <t>B00008WQ2K</t>
  </si>
  <si>
    <t>Klein Tools 69359 Lead Adapters, Red and Black, 3-Foot</t>
  </si>
  <si>
    <t>Klein Tools 69359 Lead Adapters, Attach to Alligator Clips, Outlet Tabs / Prongs, for all Meters with Banana-Type Connectors, 3-Foot Pair</t>
  </si>
  <si>
    <t>B0BN2HNCLV</t>
  </si>
  <si>
    <t>25.98</t>
  </si>
  <si>
    <t>7931926053080</t>
  </si>
  <si>
    <t>Klein Tools 25951 Step Bit Kit, Spiral Double-Fluted, VACO, 3-Piece</t>
  </si>
  <si>
    <t>7901303341272</t>
  </si>
  <si>
    <t>Klein Tools 56341 Electrical Fish Tape / Wire Puller, Stainless Steel with Double Loop Tip, Optimized Housing and Handle, 1/8-Inch x 240-Foot</t>
  </si>
  <si>
    <t>B081ZTN3MT</t>
  </si>
  <si>
    <t>Klein Tools 5416TCP Tool Bag, Extra Tall Top Closing Bolt Bag, 5 x 12 x 9-Inch</t>
  </si>
  <si>
    <t>Klein Tools 5416TCP Tool Bag, Extra Tall Top Closing Bolt Bag with 3-Inch Drawstring, Heavy-Duty No. 4 Canvas, 5 x 12 x 9-Inch</t>
  </si>
  <si>
    <t>B008IRAM1O</t>
  </si>
  <si>
    <t>26.22</t>
  </si>
  <si>
    <t>45.62</t>
  </si>
  <si>
    <t>6715952791725</t>
  </si>
  <si>
    <t>Klein Tools 57032 Screwdriver Set, Torque, 6-Piece</t>
  </si>
  <si>
    <t>Klein Tools 57032 Screwdriver Set, Torque Screwdriver Kit with Phillips, Slotted, Square Bits, 1/4-Inch Nut Driver, Case Included, 6-Piece</t>
  </si>
  <si>
    <t>B00N0V93OK</t>
  </si>
  <si>
    <t>433.06</t>
  </si>
  <si>
    <t>7937805385944</t>
  </si>
  <si>
    <t>Klein Tools 60156 Intrinsically Safe LED Headlamp</t>
  </si>
  <si>
    <t>Klein Tools 60156 Intrinsically Safe LED IP67 Headlamp for Hazardous Areas, Mounts to Klein Hard Hats and Safety Helmets</t>
  </si>
  <si>
    <t>B095XLB3XW</t>
  </si>
  <si>
    <t>7832053809368</t>
  </si>
  <si>
    <t>Milwaukee 48-22-0325G 25 ft Compact Wide Blade Magnetic Tape Measure (2 pack)</t>
  </si>
  <si>
    <t>7940150919384</t>
  </si>
  <si>
    <t>Klein Tools 50660 Glow in the Dark Fish Tape, 40-Foot</t>
  </si>
  <si>
    <t>89.96</t>
  </si>
  <si>
    <t>7953972527320</t>
  </si>
  <si>
    <t>Jameson Tools RD0058 Ground Rod Driver, 5/8 in.</t>
  </si>
  <si>
    <t>Jameson RD0058 5/8-inch Ground Rod Driver</t>
  </si>
  <si>
    <t>B07HJG2SZ8</t>
  </si>
  <si>
    <t>58.99</t>
  </si>
  <si>
    <t>8036157423832</t>
  </si>
  <si>
    <t>Klein Tools 6986INS Slim-Tip 1000V Insulated Screwdriver, #1 Square, 6-Inch Round Shank</t>
  </si>
  <si>
    <t>7837634461912</t>
  </si>
  <si>
    <t>Klein Tools 69345 Tripod</t>
  </si>
  <si>
    <t>Klein Tools 69345 Tripod, Flexible Tripod with Mount, Lightweight Aluminum, Compatible with Klein Tools Laser Levels and Other Products</t>
  </si>
  <si>
    <t>B09FWG54RR</t>
  </si>
  <si>
    <t>67.5</t>
  </si>
  <si>
    <t>7837653205208</t>
  </si>
  <si>
    <t>Klein Tools 60407RL Hard Hat, Vented, Full Brim with Rechargeable Headlamp, White</t>
  </si>
  <si>
    <t>7849949855960</t>
  </si>
  <si>
    <t>Klein Tools TI290 Rechargeable Pro Thermal Imager</t>
  </si>
  <si>
    <t>Klein Tools TI290 Rechargeable PRO Thermal Imaging Camera, Over 49000 Pixels, Wi-Fi Data Transfer, 3 Palettes, High / Low Temperature Points</t>
  </si>
  <si>
    <t>B0BWC6NNWF</t>
  </si>
  <si>
    <t>499.99</t>
  </si>
  <si>
    <t>778.0</t>
  </si>
  <si>
    <t>7953955717336</t>
  </si>
  <si>
    <t>Klein Tools 450-001 Heavy Duty Staples, 1/4 x 5/16-Inch Insulated Staples for CAT3 and CAT5e Data Cables, for Klein Tools Stapler No. 450-100</t>
  </si>
  <si>
    <t>B085T5GM89</t>
  </si>
  <si>
    <t>Klein Tools 70571 Grip-It® Ball End Hex Set, 5-Key, SAE Sizes</t>
  </si>
  <si>
    <t>7852070764760</t>
  </si>
  <si>
    <t>Klein Tools 11055GLW High-Visibility Klein-Kurve® Wire Stripper / Cutter</t>
  </si>
  <si>
    <t>39.3</t>
  </si>
  <si>
    <t>7837508337880</t>
  </si>
  <si>
    <t>Veto Pro Pac TECH PAC LT Laptop Backpack Tool Bag</t>
  </si>
  <si>
    <t>289.99</t>
  </si>
  <si>
    <t>3558529695844</t>
  </si>
  <si>
    <t>Klein Tools AEPJS3 Bluetooth® Jobsite Speaker with Magnet and Hook</t>
  </si>
  <si>
    <t>Klein Tools AEPJS2 Bluetooth Speaker with Magnetic Strip and Hook &amp; AEPJS1 Bluetooth Speaker, Wireless Portable Jobsite Speaker Plays Audio and Answers Calls Hands Free, IPX5, Worksite Ready</t>
  </si>
  <si>
    <t>B0C3BBLTF7</t>
  </si>
  <si>
    <t>79.97</t>
  </si>
  <si>
    <t>111.94</t>
  </si>
  <si>
    <t>7827292553432</t>
  </si>
  <si>
    <t>Milwaukee 48-11-2425 M12™ REDLITHIUM™ HIGH OUTPUT™ CP2.5 Battery Pack</t>
  </si>
  <si>
    <t>Milwaukee 48-11-2425 12V Lithium-Ion Hight Output CP2.5Ah Battery 2 Pack</t>
  </si>
  <si>
    <t>B0BVC16SGQ</t>
  </si>
  <si>
    <t>7926742319320</t>
  </si>
  <si>
    <t>Klein Tools 44213 Pocket Knife, Folding Stainless Steel Tanto Blade with Bearing Assist Open and Frame Lock, Black</t>
  </si>
  <si>
    <t>B07BXX31Y8</t>
  </si>
  <si>
    <t>Klein Tools 50900R Conduit Lockout Wrench Set, Tighten and Loosen Locknuts in Tight Spaces, 1/2, 3/4 and 1-Inch, Offset Bends, 3-Piece</t>
  </si>
  <si>
    <t>B0C5YSDYN1</t>
  </si>
  <si>
    <t>Freud D0740X ATB Finishing Saw Blade, multi, 7-1/4"""</t>
  </si>
  <si>
    <t>B00008WQ2H</t>
  </si>
  <si>
    <t>Klein Tools 612-4 Screwdriver, Flat Head Terminal Block Screwdriver, 1/8-Inch Cabinet Tip, 4-Inch Round Shank, TB-DIN</t>
  </si>
  <si>
    <t>B0058I6VNE</t>
  </si>
  <si>
    <t>Klein Tools NCVT1XT Voltage Tester, Non-Contact Voltage Detector Pen, 70V to 1000V AC, Durable IP67 Tester is Dustproof and Waterproof, Green,red</t>
  </si>
  <si>
    <t>B0BHLQ5VF1</t>
  </si>
  <si>
    <t>Klein Tools BAT20UBL Cordless Utility LED Light (Tool Only)</t>
  </si>
  <si>
    <t>Klein Tools BAT20UBL LED Utility Bucket Work Light, 20-Volt 2500 Lumens Lithium-Ion Cordless Utility Light ( Tool Only)</t>
  </si>
  <si>
    <t>B09HW9XZLF</t>
  </si>
  <si>
    <t>245.73</t>
  </si>
  <si>
    <t>409.54</t>
  </si>
  <si>
    <t>7856569155800</t>
  </si>
  <si>
    <t>Klein Tools D53010 Plier Wrench, 10-Inch (D530-10)</t>
  </si>
  <si>
    <t>Klein Tools D53010 Plier Wrench, Adjustable Pump Plier and Smooth Parallel Jaws, High Leverage, 10-Inch</t>
  </si>
  <si>
    <t>B0BYPJX3R2</t>
  </si>
  <si>
    <t>69.96</t>
  </si>
  <si>
    <t>7980630114520</t>
  </si>
  <si>
    <t>Diablo Tools DOSCGX 2-3/4 in. Starlock Carbide Grit Oscillating Blade for Grout and Mortar</t>
  </si>
  <si>
    <t>Diablo by Freud DOSCGX 2-3/4 in. Starlock Carbide Grit Oscillating Blade for Grout and Mortar</t>
  </si>
  <si>
    <t>B089KW7QCF</t>
  </si>
  <si>
    <t>34.47</t>
  </si>
  <si>
    <t>6866522341549</t>
  </si>
  <si>
    <t>Reed Mfg R12DN 3/4 R12+ Segmental Dies, 3/4" NPT</t>
  </si>
  <si>
    <t>Reed Tool R12DN 3/4 R12+ Segmental Die, 3/4-Inch NPT</t>
  </si>
  <si>
    <t>B000ZHAICI</t>
  </si>
  <si>
    <t>57.78</t>
  </si>
  <si>
    <t>63.66</t>
  </si>
  <si>
    <t>6698132799661</t>
  </si>
  <si>
    <t>Klein Tools 44002 Lightweight Lockback Knife, 2-3/8-Inch Drop Point Blade, Black Handle</t>
  </si>
  <si>
    <t>Klein Tools 44002 Lightweight Lockback Knife with Nylon Resin Handle, 2-3/8-Inch Drop-Point Blade,Black</t>
  </si>
  <si>
    <t>B00093D5VO</t>
  </si>
  <si>
    <t>51.52</t>
  </si>
  <si>
    <t>7007756976301</t>
  </si>
  <si>
    <t>Milwaukee 48-11-2440 M12™ REDLITHIUM™ XC 4.0 Extended Capacity Battery Pack</t>
  </si>
  <si>
    <t>Milwaukee 48-11-2460 M12 XC 12V 6.0 Ah Extended Capacity Lithium-Ion Battery Pack</t>
  </si>
  <si>
    <t>B07FB8N31X</t>
  </si>
  <si>
    <t>7711273943256</t>
  </si>
  <si>
    <t>Klein Tools D213-9NETT Pliers, High-Leverage Side Cutters, Tether Ring</t>
  </si>
  <si>
    <t>Klein Tools D213-9NETT Pliers, High Leverage Side Cutters with Tether Ring, New England Nose</t>
  </si>
  <si>
    <t>B01K76UXR6</t>
  </si>
  <si>
    <t>60.6</t>
  </si>
  <si>
    <t>7637549416664</t>
  </si>
  <si>
    <t>Milwaukee 2744-20 M18 FUEL™ 21 Degree Framing Nailer (BARE TOOL)</t>
  </si>
  <si>
    <t>LMParts mMilwaukee 2744-20 M18 fuell 21-Degree Framing Nailer (Tool Only) New 274420, 274420 (One Pack)</t>
  </si>
  <si>
    <t>B09MC9RWK3</t>
  </si>
  <si>
    <t>379.0</t>
  </si>
  <si>
    <t>667.0</t>
  </si>
  <si>
    <t>7969715683544</t>
  </si>
  <si>
    <t>Milwaukee 2745-20 M18 FUEL 30 Degree Framing Nailer, Tool Only</t>
  </si>
  <si>
    <t>6147150446765</t>
  </si>
  <si>
    <t>Klein Tools 51612 Conduit Bender 3/4-Inch Angle Setter, For Use With Klein Tools Conduit Benders (Cat Nos. 51607 and 51604)</t>
  </si>
  <si>
    <t>B08L5JZM97</t>
  </si>
  <si>
    <t>Klein Tools 506-15 Adjustable Wrench Standard Capacity, 15-Inch</t>
  </si>
  <si>
    <t>Klein Tools 506-15 Adjustable Wrench, Forged Drive Wrench with High Polish Chrome Finish and Contoured Handle, 15-Inch</t>
  </si>
  <si>
    <t>B00093DZ2I</t>
  </si>
  <si>
    <t>113.6</t>
  </si>
  <si>
    <t>7621620728024</t>
  </si>
  <si>
    <t>B0006M6Y6Q</t>
  </si>
  <si>
    <t>Fluke TLK289 Industrial Master Test Lead Set</t>
  </si>
  <si>
    <t>B002IKE1KU</t>
  </si>
  <si>
    <t>189.99</t>
  </si>
  <si>
    <t>6927938945197</t>
  </si>
  <si>
    <t>Klein Tools JTH4E09 9/64-Inch Hex Key with Journeyman T-Handle, 4-Inch</t>
  </si>
  <si>
    <t>B004ITO3H0</t>
  </si>
  <si>
    <t>Klein Tools 5481 Tool Pouch, Leather Pocket Tool Organizer, 6-Pockets, 5.75x2.5x10-Inch</t>
  </si>
  <si>
    <t>Klein Tools 5481 Tool Pouch, Back Pocket Electrician Tool Pouch made of Double Stitched and Riveted Leather, 6-Pocket, 5.75 x 2.5 x 10-Inch</t>
  </si>
  <si>
    <t>B007V8RY9O</t>
  </si>
  <si>
    <t>69.72</t>
  </si>
  <si>
    <t>6618712506541</t>
  </si>
  <si>
    <t>Klein Tools 66077 Impact Driver Flip Socket, 7/16- and 3/8-Inch Sizes, Use with Klein Tools Compact Impact Wrenches BAT20CW, BAT20CW1</t>
  </si>
  <si>
    <t>B0B34JMDCL</t>
  </si>
  <si>
    <t>Klein Tools 56059 Non-Conductive Fiberglass Fish Tape, 200-Foot Wall Snake is 3/16-Inch Wide Multi-Groove Fish Tape and Pulls to 500-Pound</t>
  </si>
  <si>
    <t>B00N84FXP2</t>
  </si>
  <si>
    <t>Klein Tools 32536 10-Fold Screwdriver/Nut Driver, Torx®</t>
  </si>
  <si>
    <t>Klein Tools 32536 10-Fold Screwdriver / Nut Driver, TORX</t>
  </si>
  <si>
    <t>B0031D252E</t>
  </si>
  <si>
    <t>6777831620781</t>
  </si>
  <si>
    <t>Klein Tools 31852 Carbide Hole Cutter, 7/8-Inch</t>
  </si>
  <si>
    <t>Klein Tools 31852 Heavy Duty Hole Cutter, 7/8-Inch Carbide Hole Cutter Cuts Stainless Steel, Mild Steel, Iron, Copper, Brass</t>
  </si>
  <si>
    <t>B00776T23Q</t>
  </si>
  <si>
    <t>46.18</t>
  </si>
  <si>
    <t>6545927274669</t>
  </si>
  <si>
    <t>Diablo Tools DMAPL4310 1 in. x 16 in. x 18 in. Rebar Demon™ SDS-Plus 4-Cutter Full Carbide Head Hammer Drill Bit</t>
  </si>
  <si>
    <t>57.56</t>
  </si>
  <si>
    <t>6839830479021</t>
  </si>
  <si>
    <t>Klein Tools VDV027-813 LAN Installer Starter Kit, Punchdown</t>
  </si>
  <si>
    <t>B004W7OUH6</t>
  </si>
  <si>
    <t>102.99</t>
  </si>
  <si>
    <t>148.46</t>
  </si>
  <si>
    <t>6120968978605</t>
  </si>
  <si>
    <t>Klein Tools ET130 Digital Light Meter</t>
  </si>
  <si>
    <t>B071WG7PT4</t>
  </si>
  <si>
    <t>84.97</t>
  </si>
  <si>
    <t>107.36</t>
  </si>
  <si>
    <t>4410473349220</t>
  </si>
  <si>
    <t>Klein Tools JTH4E12 7/32-Inch Hex Key, Journeyman™ T-Handle, 4-Inch</t>
  </si>
  <si>
    <t>Klein Tools JTH4E12 7/32-Inch Hex Key with Journeyman T-Handle, 4-Inch</t>
  </si>
  <si>
    <t>B004ITSDTE</t>
  </si>
  <si>
    <t>7780503290072</t>
  </si>
  <si>
    <t>Fluke ST120 Socket Tester with GFCI</t>
  </si>
  <si>
    <t>Fluke ST120 GFCI Socket Tester Without Beeper</t>
  </si>
  <si>
    <t>B0B3VC2W6X</t>
  </si>
  <si>
    <t>7807640961240</t>
  </si>
  <si>
    <t>Fluke ST120+ GFCI Socket Tester with Audible Beeper</t>
  </si>
  <si>
    <t>B0B3VCZ4XK</t>
  </si>
  <si>
    <t>Klein Tools 88912 PVC and Multilayer Tubing Cutter</t>
  </si>
  <si>
    <t>B0778QB69D</t>
  </si>
  <si>
    <t>66.38</t>
  </si>
  <si>
    <t>6711980294317</t>
  </si>
  <si>
    <t>Milwaukee 2863-22R M18 FUEL™ w/ ONE-KEY™ High Torque Impact Wrench 1/2" Friction Ring Kit</t>
  </si>
  <si>
    <t>569.0</t>
  </si>
  <si>
    <t>1066.0</t>
  </si>
  <si>
    <t>7909831213272</t>
  </si>
  <si>
    <t>Klein Tools 635-4 Tool Set, Heavy Duty Magnetic Nut Drivers Hex Sizes 1/4, 5/16, 3/8, 7/16-Inch, Full Hollow Shafts w/Color Coding, 4-Piece</t>
  </si>
  <si>
    <t>B01D6D08UO</t>
  </si>
  <si>
    <t>Klein Tools 56250 Wire Marker Book, 1-48</t>
  </si>
  <si>
    <t>Klein Tools 56250 Wire Marker Book, 1-48, Black Print on White</t>
  </si>
  <si>
    <t>B072SVZKQ5</t>
  </si>
  <si>
    <t>13.97</t>
  </si>
  <si>
    <t>4496624353380</t>
  </si>
  <si>
    <t>Crescent Lufkin L1125B-02 1-3/16" x 25' Shockforce Nite Eye™ G1 Dual Sided Tape Measure</t>
  </si>
  <si>
    <t>32.75</t>
  </si>
  <si>
    <t>59.92</t>
  </si>
  <si>
    <t>7965935501528</t>
  </si>
  <si>
    <t>Klein Tools KTSB01 Step Drill Bit Double-Fluted #1, 1/8 to 1/2-Inch with Easy-to-Read Markings and Targets, 3/8-Inch Hex Shank</t>
  </si>
  <si>
    <t>B014XJGXOA</t>
  </si>
  <si>
    <t>B0785PYVXW</t>
  </si>
  <si>
    <t>Crescent Lufkin 1-3/16 x 25' Command Control Series Yellow Clad Engineers Tape Measure - L1025CD-02</t>
  </si>
  <si>
    <t>B09PGYRHMW</t>
  </si>
  <si>
    <t>Klein Tools 32307 Multi-bit Tamperproof Screwdriver, 27-in-1 Tool with Torx, Hex, Torq and Spanner Bits with 1/4-Inch Nut Driver</t>
  </si>
  <si>
    <t>B08KFL4QD4</t>
  </si>
  <si>
    <t>Klein Tools 66030 2-in-1 Non-Marring Impact Socket, Coated 12-Point Deep Sockets, 3/4- and 9/16-Inch Sizes</t>
  </si>
  <si>
    <t>B09JWM5Y6N</t>
  </si>
  <si>
    <t>Fluke 64 MAX IR Thermometer</t>
  </si>
  <si>
    <t>Fluke 64 Max Infrared Thermometer, Multi-Functional (Not for Human), -22 to 1112 °F Range</t>
  </si>
  <si>
    <t>B071W8PNJ4</t>
  </si>
  <si>
    <t>254.99</t>
  </si>
  <si>
    <t>269.99</t>
  </si>
  <si>
    <t>7880837398744</t>
  </si>
  <si>
    <t>Klein Tools AEPJS3 Bluetooth Jobsite Speaker With Magnet and Hook, 20-Hr Run Time, Charge Devices Via USB A or C Ports, Daisy Chain for Pairing, Hands Free Capable, IP54 Dust and Water Resistant</t>
  </si>
  <si>
    <t>B0961KV8H1</t>
  </si>
  <si>
    <t>Klein Tools 29250 60W Portable Solar Panel</t>
  </si>
  <si>
    <t>Klein Tools 29250 Solar Panel, 60 Watts, Foldable Solar Panel Charges Power Banks, Portable Batteries and Personal Electronics</t>
  </si>
  <si>
    <t>B096WHN6KG</t>
  </si>
  <si>
    <t>299.98</t>
  </si>
  <si>
    <t>7832357306584</t>
  </si>
  <si>
    <t>Klein Tools 56120 Fiberglass Fish Tape Replacement Leaders, 2-Pack</t>
  </si>
  <si>
    <t>B007CU7UFY</t>
  </si>
  <si>
    <t>7857447174360</t>
  </si>
  <si>
    <t>Klein Tools 605-4 1/4-Inch Cabinet Tip Screwdriver Heavy Duty 4-Inch Round Shank</t>
  </si>
  <si>
    <t>B000BQWOO8</t>
  </si>
  <si>
    <t>Klein Tools VDV427-300 Impact Punchdown Tool with 66/110 Blade, Reliable CAT Cable Connections, Adjustable Force, Includes Pick and Spudger</t>
  </si>
  <si>
    <t>B08J2DN6HC</t>
  </si>
  <si>
    <t>Klein Tools JTH4E10 5/32-Inch Hex Key with Journeyman T-Handle, 4-Inch</t>
  </si>
  <si>
    <t>B004ITOH9Y</t>
  </si>
  <si>
    <t>Tajima GP-16BW G-PLUS™ Standard Scale, 16 ft x 1 in. Steel Blade Tape Measure</t>
  </si>
  <si>
    <t>TAJIMA Tape Measure - 16 ft x 1 inch G-Plus Measuring Tape with Armored Case &amp; Acrylic Coated Blade - GP-16BW</t>
  </si>
  <si>
    <t>B001S2QNPA</t>
  </si>
  <si>
    <t>30.59</t>
  </si>
  <si>
    <t>7726164508888</t>
  </si>
  <si>
    <t>Tajima GS-25/7.5MBW GS Lock™ Standard &amp; Metric Scale, 25 ft/ 7.5 m x 1-1/16 in./27mm Steel Blade Tape Measure</t>
  </si>
  <si>
    <t>7726372552920</t>
  </si>
  <si>
    <t>Tajima GP-25BW G-PLUS™ Standard Scale, 25 ft x 1 in. Steel Blade Tape Measure</t>
  </si>
  <si>
    <t>TAJIMA Tape Measure - 25 ft x 1 inch G-Plus Measuring Tape with Armored Case &amp; Acrylic Coated Blade - GP-25BW</t>
  </si>
  <si>
    <t>B001S2QNP0</t>
  </si>
  <si>
    <t>35.19</t>
  </si>
  <si>
    <t>7726167883992</t>
  </si>
  <si>
    <t>Tajima GS-16BW GS Lock™ Standard Scale, 16 ft x 1 in. Steel Blade Tape Measure</t>
  </si>
  <si>
    <t>7726241513688</t>
  </si>
  <si>
    <t>Crescent Wiss WHN1N 8-3/4" Hand Notcher</t>
  </si>
  <si>
    <t>Wiss Crescent Wiss 8-3/4" Hand Notcher - WHN1N</t>
  </si>
  <si>
    <t>B06XCD4DY3</t>
  </si>
  <si>
    <t>47.41</t>
  </si>
  <si>
    <t>85.16</t>
  </si>
  <si>
    <t>7966365810904</t>
  </si>
  <si>
    <t>Freud D0760X Diablo Ultra Finish Saw Blade ATB 7-1/4-Inch by 60t 5/8-Inch Arbor</t>
  </si>
  <si>
    <t>B001CZEU0S</t>
  </si>
  <si>
    <t>Klein Tools Digital Clamp Meter, AC Auto-Ranging 400 Amp CL110</t>
  </si>
  <si>
    <t>B07G7BZTV3</t>
  </si>
  <si>
    <t>Fluke TL220 SureGrip™ Industrial Test Lead Set</t>
  </si>
  <si>
    <t>Fluke TL220 Corporation Industrial Test Lead Kit</t>
  </si>
  <si>
    <t>B000FKBZFO</t>
  </si>
  <si>
    <t>93.99</t>
  </si>
  <si>
    <t>104.99</t>
  </si>
  <si>
    <t>6997259550893</t>
  </si>
  <si>
    <t>Fluke 179 Multimeter with Backlight, Includes Built-In Thermometer to Measure Temperature, Measures True-RMS AC Current and Voltage, Frequency, Capacitance, Resistance, Continuity and Diode</t>
  </si>
  <si>
    <t>B00012Z0V6</t>
  </si>
  <si>
    <t>Milwaukee 2746-20 M18 FUEL™ 18 Gauge Brad Nailer (TOOL ONLY)</t>
  </si>
  <si>
    <t>Milwaukee 2746-20 M18 FUEL 18 Gauge Brad Nailer (Tool Only)</t>
  </si>
  <si>
    <t>B07VYJQ1KP</t>
  </si>
  <si>
    <t>526.0</t>
  </si>
  <si>
    <t>7916440748248</t>
  </si>
  <si>
    <t>Klein Tools ET60 Electronic AC/DC Voltage Tester, 12 to 600V</t>
  </si>
  <si>
    <t>46.76</t>
  </si>
  <si>
    <t>6650286178477</t>
  </si>
  <si>
    <t>Milwaukee 2598-22 M12 FUEL™ 2-Tool Combo Kit: 1/2" Hammer Drill and 1/4" Hex Impact Driver</t>
  </si>
  <si>
    <t>429.0</t>
  </si>
  <si>
    <t>7839840829656</t>
  </si>
  <si>
    <t>ITSPWR Bundle containing Fluke 325 TRMS Clamp Multimeter, for Commercial and Residential Electricians, and ITSPWR High-Density Fiber Cleaning Cloth</t>
  </si>
  <si>
    <t>B0C49MYVDZ</t>
  </si>
  <si>
    <t>Diablo Tools DOU275RCGP 2-3/4 in. Universal Fit Carbide Oscillating Blade for General Purpose Cuts</t>
  </si>
  <si>
    <t>37.28</t>
  </si>
  <si>
    <t>7999583125720</t>
  </si>
  <si>
    <t>Fieldpiece ADK7 Deluxe Silicone Test Lead Kit</t>
  </si>
  <si>
    <t>B0013NH6SM</t>
  </si>
  <si>
    <t>39.1</t>
  </si>
  <si>
    <t>6759850377389</t>
  </si>
  <si>
    <t>Klein Tools 56115 Fiberglass Fish Tape Repair Kit</t>
  </si>
  <si>
    <t>Klein Tools 56115 Fiberglass Fish Tape Repair Kit Black</t>
  </si>
  <si>
    <t>B0061J53S8</t>
  </si>
  <si>
    <t>227.26</t>
  </si>
  <si>
    <t>7857427185880</t>
  </si>
  <si>
    <t>Klein Tools J228-8 Pliers, Diagonal Cutting Pliers with Dual-Material Journeyman Handles, Short Jaws and Beveled Cutting Edges, 8-Inch</t>
  </si>
  <si>
    <t>B0009XCETI</t>
  </si>
  <si>
    <t>Klein Tools 31948 3-Inch Bi-Metal Hole Saw for Steel Cutting, Heavy-Duty Hole Saw with Multiple Leverage, Cuts Iron, Aluminum, Wood, Plastic</t>
  </si>
  <si>
    <t>B0198751L8</t>
  </si>
  <si>
    <t>Fluke TLK287 Electronics Master Test Lead Set</t>
  </si>
  <si>
    <t>B003AHE96G</t>
  </si>
  <si>
    <t>Klein Tools JTH6E06BE 3/32-Inch Ball End Hex Key with Journeyman T-Handle, 6-Inch</t>
  </si>
  <si>
    <t>B004QVX826</t>
  </si>
  <si>
    <t>Klein Tools JTH6E10BE 5/32-Inch Ball Hex Key with Journeyman T-Handle, 6-Inch</t>
  </si>
  <si>
    <t>B004QW4EPK</t>
  </si>
  <si>
    <t>Klein Tools 507-8 Adjustable Wrench, Extra Capacity Jaw Forged Drive Wrench with High Polish Chrome Finish, 8-Inch</t>
  </si>
  <si>
    <t>B0002RI5SA</t>
  </si>
  <si>
    <t>Diablo DAG3020 7/16 in. x 17-1/2 in. Auger Bit</t>
  </si>
  <si>
    <t>B089LGWKFF</t>
  </si>
  <si>
    <t>Diablo Tools DHS0188DG 3/16 in. Diamond Grit Hole Saws</t>
  </si>
  <si>
    <t>JINGLING 5mm 3/16" Diamond Hole Saws Glass Drill Bit Masonry Tools Pack of 20Pcs</t>
  </si>
  <si>
    <t>B08FJBX9PD</t>
  </si>
  <si>
    <t>18.54</t>
  </si>
  <si>
    <t>7897582371032</t>
  </si>
  <si>
    <t>Klein Tools D213-9 Lineman's Square Nose Pliers, High Leverage Electrical Pliers with Induction Hardened Knives, 9-Inch</t>
  </si>
  <si>
    <t>B000LNK3OY</t>
  </si>
  <si>
    <t>Milwaukee 49-56-0233 4-1/2" HOLE DOZER™ Hole Saw Bi-Metal Cup</t>
  </si>
  <si>
    <t>65.7</t>
  </si>
  <si>
    <t>7962111344856</t>
  </si>
  <si>
    <t>Klein Tools D213-9NETH Lineman's Bolt-Thread Holding Pliers, High-Leverage Streamline Design with Rounded Nose and Knurled Jaw, 9-Inch</t>
  </si>
  <si>
    <t>B0002RI9LI</t>
  </si>
  <si>
    <t>Diablo Tools DOU3BS 3 pc Universal Fit Bi-Metal Oscillating Blade Set</t>
  </si>
  <si>
    <t>Diablo by Freud DOU3CS 3 pc Universal Fit Carbide Oscillating Blade Set (3-Piece)</t>
  </si>
  <si>
    <t>B089LLB6C4</t>
  </si>
  <si>
    <t>64.36</t>
  </si>
  <si>
    <t>7999591088344</t>
  </si>
  <si>
    <t>Klein Tools 56014 Fiberglass Fish Tape with Spiral Leader, 200-Foot</t>
  </si>
  <si>
    <t>Klein Tools 56014 Non-Conductive Electrical Fish Tape 200-Foot Long x 3/16-Inch Wide Fiberglass, Flexible for Conduit Measuring as Pull Line</t>
  </si>
  <si>
    <t>B00BEZWIEQ</t>
  </si>
  <si>
    <t>353.0</t>
  </si>
  <si>
    <t>530.26</t>
  </si>
  <si>
    <t>7833833013464</t>
  </si>
  <si>
    <t>Klein Tools 69407 Tradesman Pro™ Carrying Case, Medium</t>
  </si>
  <si>
    <t>Klein Tools 69407 Tradesman Pro Carrying Case, Medium</t>
  </si>
  <si>
    <t>B00FZEO79Q</t>
  </si>
  <si>
    <t>57.58</t>
  </si>
  <si>
    <t>2847118852196</t>
  </si>
  <si>
    <t>Diablo by Freud DMAPL4230 5/8 in. x 10 in. x 12 in. Rebar Demon SDS-Plus 4-Cutter Full Carbide Head Hammer Bit</t>
  </si>
  <si>
    <t>B089LCN234</t>
  </si>
  <si>
    <t>Milwaukee 2729-22 M18 FUEL™ Deep Cut Band Saw Kit</t>
  </si>
  <si>
    <t>Milwaukee 2729-21 M18 Fuel Deep Cut Band Saw 1 Bat Kit</t>
  </si>
  <si>
    <t>B00LBHVG6I</t>
  </si>
  <si>
    <t>729.0</t>
  </si>
  <si>
    <t>1178.0</t>
  </si>
  <si>
    <t>7795892977880</t>
  </si>
  <si>
    <t>Fluke TL223 SureGrip™ Electrical Test Lead Set</t>
  </si>
  <si>
    <t>Fluke TL223 SureGrip Electrical Test Lead Set</t>
  </si>
  <si>
    <t>B0000WU0BC</t>
  </si>
  <si>
    <t>103.79</t>
  </si>
  <si>
    <t>6997274198189</t>
  </si>
  <si>
    <t>Diablo Tools DOU125JBW3 1-1/4 in. Universal Fit Bi-Metal Oscillating Blades for Clean Wood</t>
  </si>
  <si>
    <t>43.53</t>
  </si>
  <si>
    <t>6839865278637</t>
  </si>
  <si>
    <t>Diablo Tools DOU125BF3 1-1/4 in. Universal Fit Bi-Metal Oscillating Blade for Metal (3 pack)</t>
  </si>
  <si>
    <t>7997880729816</t>
  </si>
  <si>
    <t>Freud D0624X Diablo 6-1/2-Inch 24-Tooth ATB Framing Saw Blade with 5/8-Inch Arbor, Multi</t>
  </si>
  <si>
    <t>B00008WQ2P</t>
  </si>
  <si>
    <t>Klein Tools 2288RINS 1000V Insulated Diagonal Cutter Pliers, High Leverage Design, Induction Hardened Knives, 8-Inch</t>
  </si>
  <si>
    <t>B0BG1JPVMM</t>
  </si>
  <si>
    <t>Fluke 177 True-RMS Digital Multimeter</t>
  </si>
  <si>
    <t>B005WFW26S</t>
  </si>
  <si>
    <t>Klein Tools 69358 Lead Adapters, 20-Foot</t>
  </si>
  <si>
    <t>33.34</t>
  </si>
  <si>
    <t>7931924938968</t>
  </si>
  <si>
    <t>Klein Tools 56414 Rechargeable 2-Color LED Headlamp with Adjustable Strap</t>
  </si>
  <si>
    <t>Klein Tools 56414 Rechargeable 2-Color LED Headlamp, Fabric Strap, Spotlight, Floodlight, Red LED, 800 Lumens, USB Cable, Camping, Running</t>
  </si>
  <si>
    <t>B09482MPPZ</t>
  </si>
  <si>
    <t>81.62</t>
  </si>
  <si>
    <t>7827369853144</t>
  </si>
  <si>
    <t>Klein Tools J203-8N Long Nose Side-Cutter Stripping Pliers, Induction Hardened and Heavier For Increased Cutting Power, 8-Inch</t>
  </si>
  <si>
    <t>B0006M6Y9I</t>
  </si>
  <si>
    <t>Klein Tools S10 5/16-Inch Nut Driver with 3-Inch Hollow Shaft and Comfordome Handle</t>
  </si>
  <si>
    <t>B0000302VV</t>
  </si>
  <si>
    <t>CHANNELLOCK GS-1X 2pc SPEEDGRIP Tongue &amp; Groove Pliers Set | Made in USA | Forged High Carbon Steel</t>
  </si>
  <si>
    <t>B07QTLKZZW</t>
  </si>
  <si>
    <t>Tajima SSSF-25BW 25 ft. x 1 in. Standard Steel Sigma Stop Tape Measure with Safety Belt Holder</t>
  </si>
  <si>
    <t>B08J5ML1ZM</t>
  </si>
  <si>
    <t>Klein Tools 56116 Fiberglass Fish Tape Replacement Eyelets, 6-Pack</t>
  </si>
  <si>
    <t>B007CU7SPG</t>
  </si>
  <si>
    <t>7857433706712</t>
  </si>
  <si>
    <t>Tourmate Hard Case Compatible with Fluke ST120+/ST120 GFCI Socket Tester (Case Only)</t>
  </si>
  <si>
    <t>B0BPXRYTQQ</t>
  </si>
  <si>
    <t>FBLFOBELI Hard Travel Carrying Case Compatible with Fluke ST120+ GFCI Socket Tester with Audible Beeper，Shockproof Storage Bag (Case Only)</t>
  </si>
  <si>
    <t>B0BN4XRLXJ</t>
  </si>
  <si>
    <t>Greenlee 1927-SS Stainless Steel 7.5" Wire Stripper/Cutter/Crimper</t>
  </si>
  <si>
    <t>25.3</t>
  </si>
  <si>
    <t>26.1</t>
  </si>
  <si>
    <t>6009496535208</t>
  </si>
  <si>
    <t>Klein Tools J2000-9NECR Lineman's Pliers, Crimping, 9-Inch</t>
  </si>
  <si>
    <t>Klein Tools J2000-9NECR Lineman's Pliers, Crimping, 9-Inch, For Non-Insulated Connectors-Lugs-Terminals, Cuts ACSR, Screws and Nails, High-Leverage, Induction Hardened Knives, Heavy Duty</t>
  </si>
  <si>
    <t>B001D1KZ0A</t>
  </si>
  <si>
    <t>89.38</t>
  </si>
  <si>
    <t>7574858236120</t>
  </si>
  <si>
    <t>Klein Tools 44005C Hawkbill Lockback Knife with Clip, Black</t>
  </si>
  <si>
    <t>B077TJF895</t>
  </si>
  <si>
    <t>Diablo Tools DSC-S24 24 pc Screwdriving Set</t>
  </si>
  <si>
    <t>Diablo DSC-S24 24 pc Screwdriving Set (24-Piece)</t>
  </si>
  <si>
    <t>B089KMKTNT</t>
  </si>
  <si>
    <t>26.13</t>
  </si>
  <si>
    <t>7959429841112</t>
  </si>
  <si>
    <t>Diablo Tools DSF2125 2-1/8" Dia. SPEEDemon™ Self Feed Bit</t>
  </si>
  <si>
    <t>Freud-Diablo DB SELF Feed BIT 2-1/8 in, Multicolor, DSF2125</t>
  </si>
  <si>
    <t>B07YKXNLKK</t>
  </si>
  <si>
    <t>48.97</t>
  </si>
  <si>
    <t>64.44</t>
  </si>
  <si>
    <t>6851749871789</t>
  </si>
  <si>
    <t>Lufkin Crescent Lufkin 1-3/16 x 25' Command Control Series Yellow Clad Tape Measure - L1025C-02</t>
  </si>
  <si>
    <t>B09PGZJR23</t>
  </si>
  <si>
    <t>Klein Tools 450-410 Self-Adhesive Cable Mounting Clips, 3-Slot (10-Pack)</t>
  </si>
  <si>
    <t>Klein Tools 450-410 Cable Clips, Self-Adhesive 3-Slot Cable, Cord Magement Mounting Clips, Optiol Screw for Permanent Mounting, 10-Pack</t>
  </si>
  <si>
    <t>B095N6FDKY</t>
  </si>
  <si>
    <t>7827325649112</t>
  </si>
  <si>
    <t>Milwaukee 2767-20 M18 FUEL™ 1/2" High Torque Impact Wrench with Friction Ring (Tool Only)</t>
  </si>
  <si>
    <t>Milwaukee 2767-20 M18 Fuel High Torque 1/2-Inch Impact Wrench with Friction Ring (Renewed)</t>
  </si>
  <si>
    <t>B07X1N4XHX</t>
  </si>
  <si>
    <t>464.0</t>
  </si>
  <si>
    <t>7884381552856</t>
  </si>
  <si>
    <t>Diablo by Freud DOU125CF 1-1/4 in. Universal Fit Carbide Oscillating Blade for Metal</t>
  </si>
  <si>
    <t>B089LHKRPN</t>
  </si>
  <si>
    <t>Blackfire - Klein Outdoors - Portable Solar Panel FSP60W, 60W Solar Panel for Pac505/1000 as Mobile Solar Generator, Mobile Foldable Solar Charging for Outdoor Use, Camping, Tailgaiting, Travel</t>
  </si>
  <si>
    <t>B0973QVFC4</t>
  </si>
  <si>
    <t>Klein Tools 46037 Cable Splicer's Kit,Black</t>
  </si>
  <si>
    <t>B0006M6Y5W</t>
  </si>
  <si>
    <t>Diablo 5/8"x 16"x18" Rebar Demon™ SDS-Plus 4-Cutter Full Carbide Head Hammer Bit</t>
  </si>
  <si>
    <t>B089LDNZSN</t>
  </si>
  <si>
    <t>Diablo by Freud DOU3BS 3 pc Universal Fit Bi-Metal Oscillating Blade Set (3-Piece)</t>
  </si>
  <si>
    <t>B089LKV4R1</t>
  </si>
  <si>
    <t>Klein Tools JTH6T20 T20 TORX Hex Key, Journeyman T-Handle, 6-Inch</t>
  </si>
  <si>
    <t>B005G3B4A6</t>
  </si>
  <si>
    <t>Klein Tools VDV770-126 Replacement Carrying Case for Scout Pro 3 Series Testers and Locator Remotes, Black</t>
  </si>
  <si>
    <t>B08C4B1VLY</t>
  </si>
  <si>
    <t>DeWalt DG5142 LED Pro Contractor Business Portfolio</t>
  </si>
  <si>
    <t>Custom Leathercraft DEWALT DG5140 Pro Contractor's Business Portfolio Black</t>
  </si>
  <si>
    <t>B004JF51EC</t>
  </si>
  <si>
    <t>6830187741357</t>
  </si>
  <si>
    <t>Klein Tools 44004 Lightweight Lockback Knife with Nylon Resin Handle, 2-3/8-Inch Sheepsfoot Blade, Black</t>
  </si>
  <si>
    <t>B00093GDFO</t>
  </si>
  <si>
    <t>Blackfire - Klein Tools Outdoors - Rechargeable 2-Color LED Weatherproof Flashlight BBM6413, 1000 Lumens, Holster and USB-C Cable Included, RED LED, Spotlight, and Flood Light, for Outdoor Use</t>
  </si>
  <si>
    <t>B0973NX35N</t>
  </si>
  <si>
    <t>Klein Tools 1550-2 Electricians Knife, 2 Blade Pocket Knife, Steel, 2-1/2-Inch Blade,Brown</t>
  </si>
  <si>
    <t>B00176H2DE</t>
  </si>
  <si>
    <t>Klein Tools 630-5MM 5 mm Nut Driver with 3-Inch Hollow Shaft and Cushion Grip Handle</t>
  </si>
  <si>
    <t>B0009OODG4</t>
  </si>
  <si>
    <t>Aenllosi Hard Carrying Case Replacement for Fluke ST120 / ST120+ GFCI Socket Tester</t>
  </si>
  <si>
    <t>B0BD7JLMCB</t>
  </si>
  <si>
    <t>Klein Tools 63215 High-Leverage Compact Cable Cutter</t>
  </si>
  <si>
    <t>Klein Tools 63215 Cable Cutter, High-Leverage 6.5-Inch Compact, Forged From US Made Steel, Ideal for Cutting Aluminum and Copper Cable</t>
  </si>
  <si>
    <t>B088NR2Q2Y</t>
  </si>
  <si>
    <t>32.22</t>
  </si>
  <si>
    <t>6016861569192</t>
  </si>
  <si>
    <t>Klein Tools 44138 Coping Replacement Blades for 44218 3-Pack</t>
  </si>
  <si>
    <t>Klein Tools 44138 Replacement Coping Blades for Klein Tools Folding Utility Knife No. 44218, 3-Pack</t>
  </si>
  <si>
    <t>B07D7RTNZH</t>
  </si>
  <si>
    <t>7355821785304</t>
  </si>
  <si>
    <t>Klein Tools 12098-EINS Combination Pliers, Insulated</t>
  </si>
  <si>
    <t>113.62</t>
  </si>
  <si>
    <t>6745363546285</t>
  </si>
  <si>
    <t>Crescent Wiss WS6N 6" Straight Handle Hand Seamer</t>
  </si>
  <si>
    <t>Wiss 6" Straight Handle Hand Seamer - WS6N</t>
  </si>
  <si>
    <t>B06XC1LGGL</t>
  </si>
  <si>
    <t>62.4</t>
  </si>
  <si>
    <t>112.06</t>
  </si>
  <si>
    <t>7966439309528</t>
  </si>
  <si>
    <t>Klein Tools 50611ML Wire Puller Replacement Leader, Stainless-Steel Leader with Eyelet for Easy Wire and Cable Pulling, Rare Earth Magnet,Orange</t>
  </si>
  <si>
    <t>B09C6RH3Z9</t>
  </si>
  <si>
    <t>Klein Tools 450-002 Heavy Duty Staples, 5/16 x 5/16-Inch Insulated Staples for Coax, CAT3, CAT5e Cables, for Klein Tools Stapler No. 450-100</t>
  </si>
  <si>
    <t>B085TCGCK7</t>
  </si>
  <si>
    <t>B00ITF4U0Y</t>
  </si>
  <si>
    <t>Greenlee 625-2-1/2 Carbide-Tipped Hole Cutter, 2-1/2-Inch</t>
  </si>
  <si>
    <t>B00204CCLO</t>
  </si>
  <si>
    <t>Reed Mfg CW18 18" Chrome Adjustable Wrench</t>
  </si>
  <si>
    <t>Reed Tool CW18 Chrome Finish Adjustable Wrench, 18-Inch</t>
  </si>
  <si>
    <t>B001H4K7BU</t>
  </si>
  <si>
    <t>82.64</t>
  </si>
  <si>
    <t>93.07</t>
  </si>
  <si>
    <t>6696378040493</t>
  </si>
  <si>
    <t>Crescent Wiss WC5LN 10" 5-Blade Hand Crimper</t>
  </si>
  <si>
    <t>Crescent Wiss 10" 5-Blade Hand Crimper - WC5LN</t>
  </si>
  <si>
    <t>B06XCF2KP7</t>
  </si>
  <si>
    <t>56.27</t>
  </si>
  <si>
    <t>7966330192088</t>
  </si>
  <si>
    <t>Klein Tools VDV427-104 Dura-Blade™ 66/110 Cut Punchdown Blade</t>
  </si>
  <si>
    <t>Klein Tools VDV427-104 Dura-Blade 66/110 Cut Punchdown Blade</t>
  </si>
  <si>
    <t>B00J496ACU</t>
  </si>
  <si>
    <t>18.86</t>
  </si>
  <si>
    <t>5963095179432</t>
  </si>
  <si>
    <t>Fluke 902 FC HVAC True-RMS Clamp Meter</t>
  </si>
  <si>
    <t>B01BENTS7M</t>
  </si>
  <si>
    <t>Klein Tools 31940 Bi-Metal Hole Saw for Steel Cutting, Heavy-Duty 2 1/2-Inch Hole Saw</t>
  </si>
  <si>
    <t>B0171X0J7W</t>
  </si>
  <si>
    <t>Milwaukee 2730-20 M18 FUEL™ 6-1/2" Circular Saw (Tool Only)</t>
  </si>
  <si>
    <t>Milwaukee 2730-20 M18 Fuel 6 1/2" Circular Saw , Brushless (Tool Only)</t>
  </si>
  <si>
    <t>B00G0GLZF2</t>
  </si>
  <si>
    <t>364.0</t>
  </si>
  <si>
    <t>7879697891544</t>
  </si>
  <si>
    <t>Klein Tools MM420 Digital Multimeter, Auto-Ranging TRMS Multimeter, 600V AC/DC Voltage, 10A AC/DC Current, 50 MOhms Resistance, Orange/Black</t>
  </si>
  <si>
    <t>B0B57PFFYX</t>
  </si>
  <si>
    <t>Crescent Wiss 9-1/4" Metalmaster Offset Straight and Right Cut Aviation Snips - M7R, Green</t>
  </si>
  <si>
    <t>B00002N5LS</t>
  </si>
  <si>
    <t>Milwaukee 48-11-1850 M18™ REDLITHIUM™ XC5.0 Extended Capacity Battery Pack</t>
  </si>
  <si>
    <t>Milwaukee 48-11-1850R M18 18V 5Ah XC Extended Capacity Resistant Battery 2 Pack, (48-11-1850Rx2)</t>
  </si>
  <si>
    <t>B0B8TDYXBP</t>
  </si>
  <si>
    <t>7721428713688</t>
  </si>
  <si>
    <t>Fluke 80PK-1 Bead Probe</t>
  </si>
  <si>
    <t>Fluke 80PJ-1 Bead Probe</t>
  </si>
  <si>
    <t>B000VRHCL2</t>
  </si>
  <si>
    <t>6995087130797</t>
  </si>
  <si>
    <t>Diablo Tools DOU250JBW3 2-1/2 in. Universal Fit Bi-Metal Oscillating Blade for Clean Wood (3 pk)</t>
  </si>
  <si>
    <t>49.72</t>
  </si>
  <si>
    <t>7999575654616</t>
  </si>
  <si>
    <t>Amprobe TH-3 Relative Humidity Temperature Meter</t>
  </si>
  <si>
    <t>B0029XMTJ6</t>
  </si>
  <si>
    <t>Diablo Tools DOU5S 5 pc Universal Fit General Purpose Oscillating Blade Set</t>
  </si>
  <si>
    <t>Diablo 5 pc Universal Fit General Purpose Oscillating Blade Set (5-Piece)</t>
  </si>
  <si>
    <t>B089LGBDQZ</t>
  </si>
  <si>
    <t>84.72</t>
  </si>
  <si>
    <t>6851676799149</t>
  </si>
  <si>
    <t>Klein Tools 80124 Electrical Tester Kit with Mulitmeter, Clamp Meter, Thermocouple, Test Leads and Pouch, 5-Piece</t>
  </si>
  <si>
    <t>B0BDMTGCD3</t>
  </si>
  <si>
    <t>Klein Tools D213-8NE Pliers, 8-Inch Side Cutters, High Leverage Lineman's Pliers Cut Copper, Aluminum and other Soft Metals</t>
  </si>
  <si>
    <t>B000UQ5QW6</t>
  </si>
  <si>
    <t>Fluke 325 Clamp Multimeter AC-DC TRMS</t>
  </si>
  <si>
    <t>B0091EXB2A</t>
  </si>
  <si>
    <t>Milwaukee 3453-22 12V Fuel 1/4" Cordless Hex Impact Driver Kit with (2) 2.0Ah Lithium Ion Batteries, Charger &amp; Tool Bag</t>
  </si>
  <si>
    <t>B0BLT6PSKS</t>
  </si>
  <si>
    <t>Klein Tools KTSB15 Step Drill Bit #15 Double Fluted 7/8 to 1-3/8-Inch</t>
  </si>
  <si>
    <t>Klein Tools KTSB15 Step Drill Bit #15 Double Fluted 7/8 to 1-3/8-Inch with Easy-to-Read Step Markings and Targets, 3/8-Inch Hex Shank</t>
  </si>
  <si>
    <t>B0171X0S0A</t>
  </si>
  <si>
    <t>81.96</t>
  </si>
  <si>
    <t>6217390424237</t>
  </si>
  <si>
    <t>Klein Tools S12 3/8-Inch Nut Driver with 3-Inch Hollow Shaft and Plastic Grip Handle</t>
  </si>
  <si>
    <t>B00093D5J6</t>
  </si>
  <si>
    <t>Klein Tools S126 3/8-Inch Nut Driver with 6-Inch Hollow Shaft and Comfordome Handle</t>
  </si>
  <si>
    <t>B000936PDY</t>
  </si>
  <si>
    <t>Diablo by Freud DMAMX1040 1/2 in. x 24 in. x 29 in. Rebar Demon™ SDS-Max 4-Cutter Full Carbide Head</t>
  </si>
  <si>
    <t>B089LG76YL</t>
  </si>
  <si>
    <t>B07Y16WCJR</t>
  </si>
  <si>
    <t>Milwaukee 2767-20 M18 Fuel High Torque 1/2-Inch Impact Wrench with Friction Ring</t>
  </si>
  <si>
    <t>B094RDL3QR</t>
  </si>
  <si>
    <t>Tajima JPR-265ST Japan Pull™265 Short, 16 TPI Blade</t>
  </si>
  <si>
    <t>41.6</t>
  </si>
  <si>
    <t>43.79</t>
  </si>
  <si>
    <t>7726159298776</t>
  </si>
  <si>
    <t>Klein Tools J2000-9NETP Lineman's Pliers, Fish Tape Pulling, 9-Inch</t>
  </si>
  <si>
    <t>Klein Tools J213-9NETP Journeyman High Leverage Fish Tape Pulling Side Cutting Pliers, 9-1/2-Inch</t>
  </si>
  <si>
    <t>B000TK970K</t>
  </si>
  <si>
    <t>6883628384429</t>
  </si>
  <si>
    <t>Klein Tools D2000-7 Pliers, Heavy Duty Side Cutters, High Leverage fFor Cutting ACSR, Screws, Nails and Most Wire, 7-Inch</t>
  </si>
  <si>
    <t>B00093DXUW</t>
  </si>
  <si>
    <t>Klein Tools D2000-9NETP Lineman's Fish Tape Pulling Pliers, High Leverage Design with Handle Termpering for comfort when Cutting, 9-Inch</t>
  </si>
  <si>
    <t>B0002RI9G8</t>
  </si>
  <si>
    <t>Milwaukee 2840-20 M18 FUEL™ 2 Gallon Compact Quiet Compressor</t>
  </si>
  <si>
    <t>Milwaukee M18 FUEL 2 Gallon Compact Quiet Compressor</t>
  </si>
  <si>
    <t>B09KP54SJB</t>
  </si>
  <si>
    <t>7962091258072</t>
  </si>
  <si>
    <t>Klein Tools CL120 Digital Clamp Meter, Auto-Ranging 400 Amp AC, AC/DC Voltage, Resistance, Continuity, Non-Contact Voltage Tester Detection</t>
  </si>
  <si>
    <t>B08CP6GL49</t>
  </si>
  <si>
    <t>Klein Tools 69406 Tradesman Pro™ Carrying Case Small</t>
  </si>
  <si>
    <t>Klein Tools 69406 Tradesman Pro Carrying Case Small</t>
  </si>
  <si>
    <t>B00FZEO5V6</t>
  </si>
  <si>
    <t>42.42</t>
  </si>
  <si>
    <t>7997729964248</t>
  </si>
  <si>
    <t>Fluke 393 FC Solar Clamp Meter, CAT III 1500 V, IP54-Rated, DC Power Measurements, Audio Polarity Indicator, Visual Continuity, Fluke Connect Software Enabled,Thin Jaw For Easy Access, Includes iFlex</t>
  </si>
  <si>
    <t>B09BHJNMZK</t>
  </si>
  <si>
    <t>Crescent Wiss 9-3/4" 5-Blade Hand Crimper - WC5SN</t>
  </si>
  <si>
    <t>B071VTSD3W</t>
  </si>
  <si>
    <t>B095JXCRP6</t>
  </si>
  <si>
    <t>Milwaukee 2767-20 M18 FUEL High Torque 1/2" Impact Wrench with Friction Ring</t>
  </si>
  <si>
    <t>B08P4NX77N</t>
  </si>
  <si>
    <t>Klein Tools D507-8 Adjustable Wrench, Extra Capacity Jaw Forged Drive Wrench with High Polish Chrome Finish, 8-Inch</t>
  </si>
  <si>
    <t>B00080FA6G</t>
  </si>
  <si>
    <t>TAJIMA Tape Measure - 16 ft / 5m x 1 inch G-Series Measuring Tape with Dual Metric/Standard Scale &amp; Acrylic Coated Blade - G-16/5MBW</t>
  </si>
  <si>
    <t>B002DML0OI</t>
  </si>
  <si>
    <t>Milwaukee 2550-22 M12™ Rivet Tool Kit</t>
  </si>
  <si>
    <t>MILWAUKEE ELECTRIC TOOLS CORP 2550-22 M12 Rivet Tool Kit (2550-22)</t>
  </si>
  <si>
    <t>B07BWPKWN6</t>
  </si>
  <si>
    <t>815.0</t>
  </si>
  <si>
    <t>7916443107544</t>
  </si>
  <si>
    <t>Milwaukee 48-22-3690 10 Pc. TORQUE LOCK™ LOCKING PLIERS KIT</t>
  </si>
  <si>
    <t>Milwaukee (MLW48223690) 10 Pc. Locking Plier Auto Kit</t>
  </si>
  <si>
    <t>B075GXS7WP</t>
  </si>
  <si>
    <t>159.97</t>
  </si>
  <si>
    <t>228.3</t>
  </si>
  <si>
    <t>7940121755864</t>
  </si>
  <si>
    <t>Klein Tools D2000-28 Pliers, Diagonal Cutting Pliers with Angled Head are Heavy-Duty to Cut ACSR, Screws, Nails, Most Hardened Wire, 8-Inch</t>
  </si>
  <si>
    <t>B0000302WR</t>
  </si>
  <si>
    <t>Rack-A-Tiers 42680 4 1/4" Round Multi-Tool Hole Saw</t>
  </si>
  <si>
    <t>Rack-A-Tiers Round Multi-Tool Hole Saw 4 1/4" Cutting recessed Lights with oscillating Multi-Tool, Round Holes in Drywall (4 1/4) (42680)</t>
  </si>
  <si>
    <t>B0BQP6TY6H</t>
  </si>
  <si>
    <t>7949311148248</t>
  </si>
  <si>
    <t>Klein Tools 31907 Replacement Pilot Bit, 1/4 x 3-1/2-Inch</t>
  </si>
  <si>
    <t>B019874KR4</t>
  </si>
  <si>
    <t>5.6</t>
  </si>
  <si>
    <t>6851948445869</t>
  </si>
  <si>
    <t>Klein Tools 200048EINS Pliers, Insulated Diagonal Cutting Pliers with Angled Head and 1000V Rated Insulated Grips, 8-Inch</t>
  </si>
  <si>
    <t>B00JGG5Q26</t>
  </si>
  <si>
    <t>Klein Tools BD156 5/16-Inch Flat Head Screwdriver, Keystone Tip with 6-Inch Round Shank and Comfordome Handle</t>
  </si>
  <si>
    <t>B000G1QOMQ</t>
  </si>
  <si>
    <t>Diablo by Freud DOU125JBW 1-1/4 in. Universal Fit Bi-Metal Oscillating Blade for Clean Wood</t>
  </si>
  <si>
    <t>B089KV62LL</t>
  </si>
  <si>
    <t>Diablo Tools DOS5S 5 pc Starlock General Purpose Oscillating Blade Set</t>
  </si>
  <si>
    <t>83.06</t>
  </si>
  <si>
    <t>6851812819117</t>
  </si>
  <si>
    <t>Fluke TL223-1 SureGrip Electrical Test Lead Set with SureGrip Insulated Test Probes</t>
  </si>
  <si>
    <t>B007VC2WXS</t>
  </si>
  <si>
    <t>Diablo by Freud D0704DH 7-1/4"x4T PCD Tip TCG Hardie Fiber Cement Saw Bld,5/8 Arbor, Multicolor</t>
  </si>
  <si>
    <t>B00155SPKQ</t>
  </si>
  <si>
    <t>Diablo Tools DOS125BW3 1-1/4 in. Starlock Bi-Metal Oscillating Blades for Nail-Embedded Wood</t>
  </si>
  <si>
    <t>40.25</t>
  </si>
  <si>
    <t>6846091853997</t>
  </si>
  <si>
    <t>UEi DL589COMBO 600A TRMS Clamp Meter w/ DC Amps, Inrush, Magnet with ATTPC4 Pipe Clamps</t>
  </si>
  <si>
    <t>271.96</t>
  </si>
  <si>
    <t>319.95</t>
  </si>
  <si>
    <t>7760553640152</t>
  </si>
  <si>
    <t>Diablo by Freud Diablo DMAPL4190 1/2 in. x 10 in. x 12 in. Rebar Demon SDS-Plus 4-Cutter Full Carbide Head Hammer Bit</t>
  </si>
  <si>
    <t>B089LJZ25M</t>
  </si>
  <si>
    <t>Diablo Tools DOU3CS 3 pc Universal Fit Carbide Oscillating Blade Set</t>
  </si>
  <si>
    <t>76.19</t>
  </si>
  <si>
    <t>7999595217112</t>
  </si>
  <si>
    <t>Milwaukee 0910-20 M18 FUEL™ 6 Gallon Wet/Dry Vacuum</t>
  </si>
  <si>
    <t>249.0</t>
  </si>
  <si>
    <t>428.0</t>
  </si>
  <si>
    <t>7822984904920</t>
  </si>
  <si>
    <t>Milwaukee 2767-22R Fuel High Torque 1/2" Impact Wrench w/ Friction Ring Kit</t>
  </si>
  <si>
    <t>B0BPVF9TX4</t>
  </si>
  <si>
    <t>Klein Tools 44000-BLK Black Lightweight Lockback Knife with Black Aluminum Handle, 2-1/4-Inch Drop-Point Blade</t>
  </si>
  <si>
    <t>B0026TDUMS</t>
  </si>
  <si>
    <t>Sabre Tools 1 Inch x 18 Inch SDS Plus Rotary Hammer Drill Bit, Carbide Tipped for Brick, Stone, and Concrete (1" x 16" x 18")</t>
  </si>
  <si>
    <t>B0BL1LGYZK</t>
  </si>
  <si>
    <t>Crescent Tools CCP8V 2-in-1 Combo Dual Material Linesman's Pliers and Wire Stripper</t>
  </si>
  <si>
    <t>Crescent 2 in 1 Combo Dual Material Linesman's Pliers and Wire Stripper - CCP8V , Black</t>
  </si>
  <si>
    <t>B01CDJEDLW</t>
  </si>
  <si>
    <t>34.19</t>
  </si>
  <si>
    <t>60.2</t>
  </si>
  <si>
    <t>7960786305240</t>
  </si>
  <si>
    <t>Klein Tools NCVT1P Non-Contact Voltage Tester Pen, 50 to 1000V AC</t>
  </si>
  <si>
    <t>7851645075672</t>
  </si>
  <si>
    <t>Crescent Lufkin 1-3/16 x 16' Command Control Series Yellow Clad Tape Measure - L1016C-02</t>
  </si>
  <si>
    <t>B09PGZ5TMN</t>
  </si>
  <si>
    <t>Klein Tools 32303 Multi-Bit Screwdriver / Nut Driver, Impact Rated 14-in-1 Magnetic Screwdriver Set Phillips, Slotted, Square, Combo, Torx</t>
  </si>
  <si>
    <t>B08KFM8833</t>
  </si>
  <si>
    <t>Klein Tools 32328 Precision Screwdriver, 27-in-1 Multi-Bit Screwdriver, Bits for Apple Product Repair, Rare-Earth Magnet</t>
  </si>
  <si>
    <t>B09Z78CPK3</t>
  </si>
  <si>
    <t>Klein Tools 32327 Precision Screwdriver Set, 27-in-1 Multi-Bit Screwdriver with 26 Tamperproof Bits, Onboard Storage, Rare-Earth Magnet</t>
  </si>
  <si>
    <t>B09SVP9NDQ</t>
  </si>
  <si>
    <t>Klein Tools 66077 Flip Impact Socket, 7/16 and 3/8-Inch</t>
  </si>
  <si>
    <t>Klein Tools 32766 Impact Driver, 3-in-1 Impact Flip Socket and Bit Holder, 1 /4-Inch and 5/16-Inch Hex Drivers, 3-Inch Length</t>
  </si>
  <si>
    <t>B09R2L4GFJ</t>
  </si>
  <si>
    <t>10.43</t>
  </si>
  <si>
    <t>14.6</t>
  </si>
  <si>
    <t>7814113165528</t>
  </si>
  <si>
    <t>DEWALT DG5142 Pro Contractor's Business Portfolio with Flex-Light, Built-In Calculator, Full Zipper Enclosure</t>
  </si>
  <si>
    <t>B009QYZP5G</t>
  </si>
  <si>
    <t>Crescent Wiss WS4N 3" Offset Handle Hand Seamer</t>
  </si>
  <si>
    <t>Wiss 3" Offset Handle Hand Seamer - WS4N</t>
  </si>
  <si>
    <t>B06XCD6HMC</t>
  </si>
  <si>
    <t>52.33</t>
  </si>
  <si>
    <t>7966406836440</t>
  </si>
  <si>
    <t>Diablo - DOU125BF 1-1/4 in. Universal Fit Bi-Metal Oscillating Blade for Metal</t>
  </si>
  <si>
    <t>B089KV143Y</t>
  </si>
  <si>
    <t>Milwaukee 2729-20 M18 FUEL™ Deep Cut Band Saw (Tool Only)</t>
  </si>
  <si>
    <t>MILWAUKEE'S 2729-20 M18 Fuel Deep Cut Band Saw Tool Only</t>
  </si>
  <si>
    <t>B00LBHJ688</t>
  </si>
  <si>
    <t>7795873153240</t>
  </si>
  <si>
    <t>Milwaukee 48-22-7318 CHEATER Aluminum Adaptable Pipe Wrench</t>
  </si>
  <si>
    <t>Milwaukee 48-22-7314 CHEATER Adaptable Pipe Wrench</t>
  </si>
  <si>
    <t>B01CRHGIYA</t>
  </si>
  <si>
    <t>124.97</t>
  </si>
  <si>
    <t>181.2</t>
  </si>
  <si>
    <t>7885336772824</t>
  </si>
  <si>
    <t>Milwaukee 2836-20 M18 FUEL™ Oscillating Multi-Tool</t>
  </si>
  <si>
    <t>Milwaukee 2836-20 M18 FUEL Brushless Lithium-Ion Cordless Oscillating Multi-Tool (Tool Only)</t>
  </si>
  <si>
    <t>B09RXZXR4R</t>
  </si>
  <si>
    <t>380.0</t>
  </si>
  <si>
    <t>7926960619736</t>
  </si>
  <si>
    <t>Milwaukee 2953-22 18V Cordless Brushless 1/4" Hex Impact Driver Kit with (2) 5.0Ah Lithium Ion Batteries, Charger &amp; Tool Case</t>
  </si>
  <si>
    <t>B0BB86J415</t>
  </si>
  <si>
    <t>Gorilla Original Gorilla Glue, Waterproof Polyurethane Glue, 2 Ounce Bottle, Brown, (Pack of 1)</t>
  </si>
  <si>
    <t>B0000DD5EN</t>
  </si>
  <si>
    <t>Tajima G-25BW G-Series, Standard Scale, 25 ft x 1 in. Steel Blade, Tape Measure</t>
  </si>
  <si>
    <t>6888357920941</t>
  </si>
  <si>
    <t>Fieldpiece ADLS2 Deluxe Silicone Test Leads</t>
  </si>
  <si>
    <t>B001415IWE</t>
  </si>
  <si>
    <t>Klein Tools J203-6 Needle Nose Pliers, Long Nose Side Cutters, Heavy Duty Journeyman Alligator Pliers with Curved Handles, 6-3/4-Inch</t>
  </si>
  <si>
    <t>B000FH289O</t>
  </si>
  <si>
    <t>Norske Tools NCSBP281 6-1/2 inch 4 Tooth Polycrystalline Diamond (PCD) Hardie Fiber Cement Saw Blade</t>
  </si>
  <si>
    <t>B07DYML1Q5</t>
  </si>
  <si>
    <t>Wiss 9-3/4 Inch MetalMaster Compound Action Snips - Straight, Left and Right Cut - M3R</t>
  </si>
  <si>
    <t>B00002N5KQ</t>
  </si>
  <si>
    <t>Klein Tools D228-8 Pliers, Diagonal Cutting Pliers with Short Jaw and Beveled Knives, High-Leverage Color-Coded Wire Cutters, 8-Inch</t>
  </si>
  <si>
    <t>B0000302VW</t>
  </si>
  <si>
    <t>Fluke ST120+ GFCI Socket Tester with Beeper</t>
  </si>
  <si>
    <t>7807652364504</t>
  </si>
  <si>
    <t>Milwaukee 48-59-1806 M18™ Six Pack Sequential Charger</t>
  </si>
  <si>
    <t>DSANKE 48-59-180618V 6-Port Lithium-Ion Charger Replacement for Six Pack Sequential Charger Compatible with 18V Battery 48-11-1850 48-11-1840 48-11-1815 48-11-1828</t>
  </si>
  <si>
    <t>B0BQ6LKZTW</t>
  </si>
  <si>
    <t>7733088059608</t>
  </si>
  <si>
    <t>Klein Tools 1550-44 Pocket Knife with Stainless Steel 2-5/8-Inch Hawkbill Slitting Blade, Wood Grain</t>
  </si>
  <si>
    <t>B00093DYPQ</t>
  </si>
  <si>
    <t>Xin Tester 90-130V GFCI Outlet Tester, 3 Prong Receptacle Tester, Standard North US Electrical Socket Tester with Voltage Display for Detecting Common Faults of Wiring Problems (US Plug), XT108B</t>
  </si>
  <si>
    <t>B0BZHY3N87</t>
  </si>
  <si>
    <t>Klein Tools A216-4 1/8-Inch Cabinet-Tip Flat Head Screwdriver with 4-Inch Round Shank and Comfordome Handle</t>
  </si>
  <si>
    <t>B00093GC28</t>
  </si>
  <si>
    <t>Freud D0704DH Diablo 7-1/4"x4T PCD Tip TCG Hardie Fiber Cement Saw BLD,5/8 Arbor (Single Pack)</t>
  </si>
  <si>
    <t>B09BQJL4PT</t>
  </si>
  <si>
    <t>Milwaukee 2760-22CT M18 FUEL SURGE 1/4" Hex Hydraulic Driver Kit</t>
  </si>
  <si>
    <t>B07G9HDMFJ</t>
  </si>
  <si>
    <t>Milwaukee 2830-20 M18 FUEL™ Rear Handle 7-1/4" Circular Saw - Tool Only</t>
  </si>
  <si>
    <t>Milwaukee 2830-20 Circular Saw Rear Handle 7-1/4"</t>
  </si>
  <si>
    <t>B07VWKR5YN</t>
  </si>
  <si>
    <t>7937959592152</t>
  </si>
  <si>
    <t>Klein Tools 32525 Tamperproof Bit Set, 32-Piece, Magnetic, TORX, Hex, Spanner, TORQ, Triwing Screwdriver Bits</t>
  </si>
  <si>
    <t>B0015S4JRG</t>
  </si>
  <si>
    <t>Milwaukee 2729-20 M18 FUEL Cordless Lithium-Ion Deep Cut Band Saw (Tool Only)</t>
  </si>
  <si>
    <t>B013P2ZGK8</t>
  </si>
  <si>
    <t>Diablo Tools DOU125CF3 1-1/4" Universal Fit Carbide Oscillating Blades for Metal</t>
  </si>
  <si>
    <t>43.97</t>
  </si>
  <si>
    <t>6846087463085</t>
  </si>
  <si>
    <t>Klein Tools D201-7CST Ironworker Pliers, Spring Loaded Side Cutters, Twists and Cuts Annealed Rebar Tie Wire, Heavy-duty Knurled Jaws, 9-Inch Long</t>
  </si>
  <si>
    <t>B0000302WO</t>
  </si>
  <si>
    <t>Klein Tools D213-9NETP Lineman's Fish Tape Pulling Pliers, High Leverage Design with Handle Termpering for comfort when Cutting, 9-Inch</t>
  </si>
  <si>
    <t>B000BOA2GC</t>
  </si>
  <si>
    <t>Diablo Tools DMANS1050 3/8 in. Tile &amp; Stone Carbide Tipped Drill Bit</t>
  </si>
  <si>
    <t>Diablo 3/8 in. Tile &amp; Stone Carbide Tipped Drill Bit</t>
  </si>
  <si>
    <t>B089KX54KP</t>
  </si>
  <si>
    <t>7639207149784</t>
  </si>
  <si>
    <t>Klein Tools 44005R Pocket Knife, Lightweight Lockback Knife with Stainless Steel Hawkbill Blade and Rounded Tip,Black</t>
  </si>
  <si>
    <t>B007OX52NG</t>
  </si>
  <si>
    <t>Klein Tools 1550-11 Pocket Knife 2-1/4-Inch Steel Coping Blade, Wood Grain</t>
  </si>
  <si>
    <t>B0002RI4Y0</t>
  </si>
  <si>
    <t>Diablo DMAMX1050 9/16 in. x 8 in. x 13 in. Rebar Demon™ SDS-Max 4-Cutter Full Carbide Head Hammer Bit</t>
  </si>
  <si>
    <t>B089LK4F2D</t>
  </si>
  <si>
    <t>64mm 2-1/2 inch Hole Saw,HSS Bi-Metal Hole Cutter with Arbor Mandrel for Cutting Steel,Aluminium,Brass,Copper,Zinc,Tin,Wood</t>
  </si>
  <si>
    <t>B0977DCR5Z</t>
  </si>
  <si>
    <t>Klein Tools 20009NEEINS Heavy Duty Insulated Side-Cutting Pliers, Streamlined Design with Knurled Jaws and 1000 V Rating</t>
  </si>
  <si>
    <t>B00JGG5SAQ</t>
  </si>
  <si>
    <t>Milwaukee 48-11-2411 M12 REDLITHIUM™ Compact Battery Two Pack</t>
  </si>
  <si>
    <t>Milwaukee 48-11-2411 M12 12V 1.5 Ah Lithium-Ion Battery - 2 Pack</t>
  </si>
  <si>
    <t>B0916HCLDW</t>
  </si>
  <si>
    <t>150.0</t>
  </si>
  <si>
    <t>7721456795864</t>
  </si>
  <si>
    <t>Milwaukee 2746-21CT M18 FUEL™ 18 Gauge Brad Nailer Kit</t>
  </si>
  <si>
    <t>702.0</t>
  </si>
  <si>
    <t>7909883773144</t>
  </si>
  <si>
    <t>Tajima SSSF-16BW 16 ft. x 1 in. Standard Steel Sigma Stop Tape Measure with Safety Belt Holder</t>
  </si>
  <si>
    <t>B08J5LNKRM</t>
  </si>
  <si>
    <t>TAJIMA Tape Measure - 25 ft x 1-1/16 inch GS-Lock Measuring Tape with Shock Resistant Case &amp; Acrylic Coated Blade - GS-25BW</t>
  </si>
  <si>
    <t>B07KK41D2P</t>
  </si>
  <si>
    <t>Milwaukee (2-Pack) 48-11-2420 M12 REDLITHIUM 2.0 Compact Battery Packs</t>
  </si>
  <si>
    <t>B00IITE2JU</t>
  </si>
  <si>
    <t>Diablo 3/8 in. x 7-1/2 in. Auger Bit</t>
  </si>
  <si>
    <t>B089KWZ4C4</t>
  </si>
  <si>
    <t>Impact Rated 2-in-1 Black Oxidized Spring-Loaded Socket, 12 Point, Deep Socket - Multi Function 3/4" and 9/16" Lineman Socket</t>
  </si>
  <si>
    <t>B07Y3YB87Z</t>
  </si>
  <si>
    <t>Klein Tools CL120VP Electrical Voltage Test Kit with Clamp Meter, Three Testers, Test Leads, Pouch and Batteries</t>
  </si>
  <si>
    <t>B08N9G3913</t>
  </si>
  <si>
    <t>Crescent Lufkin 1-3/16" x 25' Shockforce Nite Eye G1 Dual Sided Tape Measure</t>
  </si>
  <si>
    <t>B09PGZ6FK2</t>
  </si>
  <si>
    <t>Klein Tools 32907 Impact Driver, 7-in-1 Impact Flip Socket Set, 6 Hex Driver Sizes plus a 1/4-Inch Bit Holder</t>
  </si>
  <si>
    <t>B09NX72765</t>
  </si>
  <si>
    <t>Milwaukee 49-22-4175 HOLE DOZER™ General-Purpose Hole Saw Kit - 15PC</t>
  </si>
  <si>
    <t>Milwaukee 49-22-4175 General Purpose Hole Saw Kit, 15-Piece</t>
  </si>
  <si>
    <t>B0017WOBL4</t>
  </si>
  <si>
    <t>292.7</t>
  </si>
  <si>
    <t>7887697117400</t>
  </si>
  <si>
    <t>Klein Tools D238-8 Pliers, Diagonal Cutting Pliers with Angled Head, Short Jaws and High-Leverage Design, 8-Inch</t>
  </si>
  <si>
    <t>B0002RI9OA</t>
  </si>
  <si>
    <t>TAJIMA Tape Measure - SAE &amp; Metric Scale 25ft/7.5m x 1.1 inch GS-Lock Measuring Tape with Acrylic Coated Blade &amp; Safety Belt Holder - GSSF-25/7.5MBW</t>
  </si>
  <si>
    <t>B08J4HYBXZ</t>
  </si>
  <si>
    <t>Klein Tools 63050-EINS Electricians Cable Cutter, Insulated, High-Leverage</t>
  </si>
  <si>
    <t>Klein Tools 63050-EINS Cable Cutters, Electricians Insulated Cable Cutter, Cuts Aluminum, Soft Copper, Communications Cable</t>
  </si>
  <si>
    <t>B00JGG5U04</t>
  </si>
  <si>
    <t>106.16</t>
  </si>
  <si>
    <t>6135876714669</t>
  </si>
  <si>
    <t>Crescent 2 Piece X6™ 4-in-1 Black Oxide Spline Ratcheting Metric Wrench Set - CX6DBM2</t>
  </si>
  <si>
    <t>B00BRKTB8E</t>
  </si>
  <si>
    <t>Diablo by Freud DAG2010 3/8 in. x 13 in. Auger Bit Multi, One Size</t>
  </si>
  <si>
    <t>B089KW8RBS</t>
  </si>
  <si>
    <t>Milwaukee M18 FUEL Mid-Torque 3/8" Impact Wrench with Friction Ring Kit - (2) 2.0Ah Batteries &amp; Charger</t>
  </si>
  <si>
    <t>B09CKBBZQ5</t>
  </si>
  <si>
    <t>Fluke 971 Temperature Humidity Meter</t>
  </si>
  <si>
    <t>B005T5JW2S</t>
  </si>
  <si>
    <t>429.78</t>
  </si>
  <si>
    <t>470.99</t>
  </si>
  <si>
    <t>6560300728493</t>
  </si>
  <si>
    <t>Diablo Tools DOU16DGX Universal Fit Diamond Grit Oscillating Blade for Grout</t>
  </si>
  <si>
    <t>Diablo by Freud DOU16DGX Universal Fit Diamond Grit Oscillating Blade for Grout</t>
  </si>
  <si>
    <t>B089KWYGHY</t>
  </si>
  <si>
    <t>45.98</t>
  </si>
  <si>
    <t>6846098768045</t>
  </si>
  <si>
    <t>Klein Tools 88978 Wheels and Screw for Mini Tube Cutter</t>
  </si>
  <si>
    <t>B002AH181G</t>
  </si>
  <si>
    <t>TAJIMA Tape Measure - 16 ft / 5m x 1 inch Hi-Lock Measuring Tape with Dual Metric/Standard Scale &amp; Acrylic Coated Blade - HL-16/5MBW</t>
  </si>
  <si>
    <t>B003B43RNY</t>
  </si>
  <si>
    <t>Fluke 62 MAX+ Handheld Infrared Laser Thermometer</t>
  </si>
  <si>
    <t>6918056050861</t>
  </si>
  <si>
    <t>Klein Tools D203-7 Needle Nose Pliers, Long Nose Side Cutters, Heavy Duty Alligator Pliers, 7-Inch</t>
  </si>
  <si>
    <t>B000G67F24</t>
  </si>
  <si>
    <t>RLSOCO Carrying Case for Fluke ST120+/ST120 GFCI Socket Tester（Case Only）</t>
  </si>
  <si>
    <t>B0BJTZ98HX</t>
  </si>
  <si>
    <t>Diablo 5/8 in. x 16 in. x 18 in. SDS-Plus 2-Cutter</t>
  </si>
  <si>
    <t>B089KV7MNH</t>
  </si>
  <si>
    <t>Milwaukee 2553-20 M12 FUEL™ 1/4" Hex Impact Driver (Tool Only)</t>
  </si>
  <si>
    <t>Milwaukee Electric Tools MLW2553-20 M12 Fuel 1/4" Hex Impact Driver (Bare)</t>
  </si>
  <si>
    <t>B077ZYMK1W</t>
  </si>
  <si>
    <t>235.0</t>
  </si>
  <si>
    <t>7884402393304</t>
  </si>
  <si>
    <t>Milwaukee 48-11-2402 M12™ XC High Capacity REDLITHIUM™ Battery</t>
  </si>
  <si>
    <t>Milwaukee M12 XC High Capacity 3.0 AH REDLITHIUM Battery (48-11-2402)</t>
  </si>
  <si>
    <t>B002ZM6R12</t>
  </si>
  <si>
    <t>132.0</t>
  </si>
  <si>
    <t>7711220302040</t>
  </si>
  <si>
    <t>TAJIMA Tape Measure - 25 ft / 7.5 m x 1 inch G-Series Measuring Tape with Dual Metric/Standard Scale &amp; Acrylic Coated Blade - G-25/7.5MBW</t>
  </si>
  <si>
    <t>B000K1I9WU</t>
  </si>
  <si>
    <t>Diablo Tools DHS0375DG 3/8 in. Diamond Grit Hole Saws</t>
  </si>
  <si>
    <t>JINGLING 35mm 1-3/8 inch Diamond Hole Saws Granite Drill Bit Tools for Stone Pack of 2Pcs</t>
  </si>
  <si>
    <t>B07HF7DZH8</t>
  </si>
  <si>
    <t>14.93</t>
  </si>
  <si>
    <t>21.4</t>
  </si>
  <si>
    <t>7897592889560</t>
  </si>
  <si>
    <t>B00011Q5PW</t>
  </si>
  <si>
    <t>Klein Tools CL120KIT Clamp Meter Electrical Test Kit, AC Auto Ranging 400 Amp, Backlit Display, Includes GFCI Tester-Line Splitter-Pouch-Leads-3 x AAA</t>
  </si>
  <si>
    <t>B08DSX4B27</t>
  </si>
  <si>
    <t>Khanka Hard Travel Carrying Case Replacement for Klein Tools 56403 LED Light, Flashlight/Worklight</t>
  </si>
  <si>
    <t>B0986QYX91</t>
  </si>
  <si>
    <t>Jerax tools 1/4 to 1-3/8 Inch Step Drill Bit Straight Grooved Double Fluted, M2 High Speed Steel Drill bits for Hole Drilling in Stainless Steel, Copper, Aluminum, Wood, Plastic</t>
  </si>
  <si>
    <t>B094VN88HK</t>
  </si>
  <si>
    <t>TOMAX 7-1/4-Inch 60 Tooth ATB Fine Finish Saw Blade with 5/8-Inch DMK Arbor</t>
  </si>
  <si>
    <t>B01LYZTVS3</t>
  </si>
  <si>
    <t>Wiss Crescent Wiss 9-3/4" MetalMaster Compound Action Straight and Right Cut Aviation Snips - M2R, Multi, One Size</t>
  </si>
  <si>
    <t>B00002N5KP</t>
  </si>
  <si>
    <t>Crescent Wiss 9-3/4" MetalMaster® Compound Action Straight and Left Aviation Snips - M1R</t>
  </si>
  <si>
    <t>B00002N5KO</t>
  </si>
  <si>
    <t>Klein Tools 450-900 Hook and Loop Tape Dispenser, Versatile Cable Ties, Custom Length</t>
  </si>
  <si>
    <t>Replacement Blade for Hook and Loop Tape Dispenser with Spring Loaded Cutting Mechanism for Custom-Length Cable Ties Klein Tools 450-999</t>
  </si>
  <si>
    <t>B09QHC6P3V</t>
  </si>
  <si>
    <t>50.98</t>
  </si>
  <si>
    <t>7856654975192</t>
  </si>
  <si>
    <t>Klein Tools 44033 Stainless Steel Pocket Knife, 2-1/4-Inch Drop Point Blade</t>
  </si>
  <si>
    <t>Klein Tools 44033 Pocket Knife with 2-1/4-Inch Drop Point Blade</t>
  </si>
  <si>
    <t>B000DLC0HC</t>
  </si>
  <si>
    <t>75.24</t>
  </si>
  <si>
    <t>7662137835736</t>
  </si>
  <si>
    <t>Milwaukee 48-22-2181 9-Key Folding Hex Key Set - SAE</t>
  </si>
  <si>
    <t>SATA 9-Piece SAE Folding Hex Key Set with Alloy Steel Construction and Ergonomic Dual Material Comfort Grip - ST09122SJ</t>
  </si>
  <si>
    <t>B0779MSRZX</t>
  </si>
  <si>
    <t>7969751957720</t>
  </si>
  <si>
    <t>Crescent Tools CAEAD332 eSHOK-GUARD™ Socket Isolator 1/2" x 2-1/2"</t>
  </si>
  <si>
    <t>APEX - Eshok-Guard 1/2" Socket Isolator (CAEAD332)</t>
  </si>
  <si>
    <t>B08SP7FFB4</t>
  </si>
  <si>
    <t>28.19</t>
  </si>
  <si>
    <t>7961092292824</t>
  </si>
  <si>
    <t>Fluke 2AC Non-Contact Voltage Tester, 90 to 1000V</t>
  </si>
  <si>
    <t>Fluke 1AC-A1-II VoltAlert Non-Contact Voltage Tester, Pocket-Sized, Voltage Detection Range 90 V to 1000 V AC, Audible Beeper, Silent Mode, Includes Batteries And 2 Year Warranty, CAT IV 1000 V Rating</t>
  </si>
  <si>
    <t>B000EJ332O</t>
  </si>
  <si>
    <t>6263497982125</t>
  </si>
  <si>
    <t>TAJIMA Pull-Stroke Saw - 265 mm x 16 TPI Japanese Flush Cut Hand Saw with Quick-Release Blade &amp; Non-Slip Elastomer Handle - JPR-265</t>
  </si>
  <si>
    <t>B0042BAH6K</t>
  </si>
  <si>
    <t>Milwaukee 48-11-2440 M12 REDLITHIUM XC 4.0 Extended Capacity Battery Pack</t>
  </si>
  <si>
    <t>B00BYFO1AA</t>
  </si>
  <si>
    <t>Tajima GK-G240 G-Saw™ 240 Folding Pull-Stroke Saw, 9 TPI Blade</t>
  </si>
  <si>
    <t>TAJIMA Pull-Stroke Saw - 240 mm x 9 TPI Japanese Flush Cut Hand Saw with Multi-Position Blade &amp; Elastomer Folding Handle - GK-G240</t>
  </si>
  <si>
    <t>B0008Z7FEG</t>
  </si>
  <si>
    <t>36.29</t>
  </si>
  <si>
    <t>7509499543768</t>
  </si>
  <si>
    <t>Milwaukee 2880-20 M18 FUEL Brushless Lithium-Ion 4-1/2 in. / 5 in. Cordless Small Angle Grinder with No-Lock Paddle Switch (Tool Only)</t>
  </si>
  <si>
    <t>B09RX4R3TR</t>
  </si>
  <si>
    <t>Hard Caser Bundle with Magnetic Hanger Strap Replacement for Klein Tools MM400/MM300/MM200/ET140/MM720 Digital Multimeter by KingSung</t>
  </si>
  <si>
    <t>B0BXCB7PJT</t>
  </si>
  <si>
    <t>Diablo by Freud DMANS1010 1/8 in. Tile &amp; Stone Carbide Tipped Drill Bit</t>
  </si>
  <si>
    <t>B089LHTFX6</t>
  </si>
  <si>
    <t>TOMAX PCDM71404 7-1/4 Inch 4 Tooth Polycrystalline Diamond Tipped (PCD) Hardie Fiber Cement Saw Blade with 5/8-Inch DMK Arbor</t>
  </si>
  <si>
    <t>B0856RR3RR</t>
  </si>
  <si>
    <t>Milwaukee 48-11-1852 M18™ REDLITHIUM™ XC5.0 Extended Capacity Battery 2-Pack</t>
  </si>
  <si>
    <t>Milwaukee 48-11-1852 M18 REDLITHIUM XC 5 Ah Lithium-Ion Extended Capacity Battery (2-Pack)</t>
  </si>
  <si>
    <t>B09NNHN8S8</t>
  </si>
  <si>
    <t>413.0</t>
  </si>
  <si>
    <t>7739700216024</t>
  </si>
  <si>
    <t>Klein Tools 32559 Multi-bit Screwdriver / Nut Driver, Extended Reach 6-in-1 Tool with Nut Driver, Phillips and Slotted Bits</t>
  </si>
  <si>
    <t>B005FQDHDG</t>
  </si>
  <si>
    <t>FLUKE 362 True-rms AC DC Clamp Meter</t>
  </si>
  <si>
    <t>B00L7KZYSA</t>
  </si>
  <si>
    <t>Klein Tools D220-7 Pliers, Diagonal Cutting Pliers with Heavy-Duty Tapered Nose, Induction Hardened Knives, Hot-Riveted Joint , 7-Inch</t>
  </si>
  <si>
    <t>B0002RI9M2</t>
  </si>
  <si>
    <t>Diablo 3/8 in. x 16 in. x 18 in. SDS-Plus 2-Cutter</t>
  </si>
  <si>
    <t>B089KW3B6T</t>
  </si>
  <si>
    <t>Amprobe - 3311871 TH-1 Compact Probe Style Relative Humidity Meter</t>
  </si>
  <si>
    <t>B0029XQB9U</t>
  </si>
  <si>
    <t>TAJIMA Tape Measure - 25 ft / 7.5 m x 1 inch Hi-Lock Measuring Tape with Dual Metric/Standard Scale &amp; Acrylic Coated Blade - HL-25/7.5MBW</t>
  </si>
  <si>
    <t>B0036ZIATE</t>
  </si>
  <si>
    <t>Klein Tools AEPJS2 Bluetooth Speaker With Magnetic Strip and Hook, Rechargeable, Wireless and Aux Capable, Hands Free Capable, Smart Phone Charging, 10 Hr Run Time, IP54 Dust and Water Resistant</t>
  </si>
  <si>
    <t>B084LL5CM8</t>
  </si>
  <si>
    <t>Echo Corner 6-1/2 inch Ultra Fine-Finish Circular Saw Blade for Wood Cutting, Thin-Kerf 60-Tooth Fast Framing Trimming Crosscut Hardwood SoftWood Laminate Veneered Plywood MDF</t>
  </si>
  <si>
    <t>B0BZM6J5V7</t>
  </si>
  <si>
    <t>Klein Tools 56382 Non-Conductive Electrical Fish Tape, Multi-Groove Fiberglass Wire Puller, Optimized Housing and Handle, 50-Foot x 3/16-Inch</t>
  </si>
  <si>
    <t>B081ZTKDLJ</t>
  </si>
  <si>
    <t>Diablo by Freud DMAPL4200 1/2 in. x 16 in. x 18 in. Rebar Demon SDS-Plus 4-Cutter Full Carbide Head Hammer Bit</t>
  </si>
  <si>
    <t>B089KW2QV1</t>
  </si>
  <si>
    <t>Klein Tools 56333 Electrical Fish Tape, Steel Wire Puller with Double Loop Tip, Optimized Housing and Handle, 1/8-Inch x 120-Foot</t>
  </si>
  <si>
    <t>B081TVVJTY</t>
  </si>
  <si>
    <t>FOCMKEAS 3/8-7/16 Inch Reversible Universal Ratcheting Wrench,Imperial Double Offset Box End， Matte Chrome Plated Cr-V Steel， Heavy-Duty，72 Tooth Ratchet Spanner Crooked for Narrow Spaces</t>
  </si>
  <si>
    <t>B0B6JJX8CH</t>
  </si>
  <si>
    <t>Fluke TL221 SureGrip Industrial Test Lead Set</t>
  </si>
  <si>
    <t>B008FM2XPA</t>
  </si>
  <si>
    <t>Klein Tools 69191 11A Replacement Fuse</t>
  </si>
  <si>
    <t>Klein Tools 11A Replacement Fuse</t>
  </si>
  <si>
    <t>B007GSH3W2</t>
  </si>
  <si>
    <t>14.85</t>
  </si>
  <si>
    <t>6679921655981</t>
  </si>
  <si>
    <t>Klein Tools 62805BPTECH Laptop Backpack Tool Bag, Tradesman Pro Extra-Large 28-Pocket Tech Tool Backpack with Molded Bottom, Charging Port</t>
  </si>
  <si>
    <t>B0C7HMWCW6</t>
  </si>
  <si>
    <t>Milwaukee 48-11-2412 M12 REDLITHIUM™ XC Battery Two Pack</t>
  </si>
  <si>
    <t>Simple Plus+ 6.0 Ah 12V Replacement Battery for Milwaukee M12 2Pack 12V Lithium-ion Batteries Compatible with Milwaukee XC 48-11-2440 48-11-2402 48-11-2460 Cordless Power Tools</t>
  </si>
  <si>
    <t>B0CC87H42Z</t>
  </si>
  <si>
    <t>217.0</t>
  </si>
  <si>
    <t>7711224168664</t>
  </si>
  <si>
    <t>Milwaukee 49-22-4025 13-Piece General Purpose Hole Dozer Hole Saw Kit</t>
  </si>
  <si>
    <t>B0045CSOIY</t>
  </si>
  <si>
    <t>TOMAX PCDM61204 6-1/2 Inch 4 Tooth Polycrystalline Diamond Tipped (PCD) Hardie Fiber Cement Saw Blade with 5/8-Inch DMK Arbor</t>
  </si>
  <si>
    <t>B0978VYT2W</t>
  </si>
  <si>
    <t>Yongcell 2-Pack 12V 6.0Ah M12 Battery Replacement for Milwaukee 12-Volt M12 Lithium XC 6.0Ah Extended Capacity Cordless Power Tools Battery 48-11-2460 48-11-2440 48-11-2402 48-11-2411</t>
  </si>
  <si>
    <t>B093L9ZWCS</t>
  </si>
  <si>
    <t>Milwaukee 48-11-2420 M12 12V REDLITHIUM 2.0 Compact Battery Pack for M12 Tools</t>
  </si>
  <si>
    <t>B01ACZQRWM</t>
  </si>
  <si>
    <t>Klein Tools 13113 Replacement Moving Blade Set for 63060 (2017 Edition) Cable Cutter</t>
  </si>
  <si>
    <t>B082PKYVVZ</t>
  </si>
  <si>
    <t>Jerax tools Tungsten Carbide Tipped Hole Cutter, Heavey Duty Hole Saw 7/8inch for Stainless Steel, Mild Steel, Iron, Copper, Brass, Plastic</t>
  </si>
  <si>
    <t>B0BKPRDZ76</t>
  </si>
  <si>
    <t>80BK-A Type K Thermocouple, Temperature Bead Probe, Clamp - Multimeter for Fluke</t>
  </si>
  <si>
    <t>B09Q926Y72</t>
  </si>
  <si>
    <t>80BK-A Type K Thermocouple, Temperature Bead Probe, Clamp - Multimeter Compatible with for Fluke F17B+,F116C,F87-V,F28LL,F179,F287,F289,F189.</t>
  </si>
  <si>
    <t>B07JVYZST8</t>
  </si>
  <si>
    <t>80BK-A Type K Thermocouple, Temperature Bead Probe, Clamp - Multimeter Compatible with for Fluke F17B+,F116C,F87-V,F28LL,F179,F287,F289,F189</t>
  </si>
  <si>
    <t>B09P4ZY2QZ</t>
  </si>
  <si>
    <t>ATcuji 18V 12V Multi Voltage Rapid Charger 48-59-1808 Compatible with Milwaukee M18 18V Battery Charger M12 12V 48-59-1812 48-59-1808 48-59-1810 48-59-2401 48-59-1204 Lithium Ion Battery Fast Charger</t>
  </si>
  <si>
    <t>B0C42MN95K</t>
  </si>
  <si>
    <t>KAIWEETS Voltage Tester/Non-Contact Voltage Tester with Dual Range AC 12V-1000V/48V-1000V, Live/Null Wire Tester, Electrical Tester with LCD Display, Buzzer Alarm, Wire Breakpoint Finder-HT100(Black)</t>
  </si>
  <si>
    <t>B09FX5GC12</t>
  </si>
  <si>
    <t>Milwaukee 2864-20 M18 FUEL™ w/ ONE-KEY™ High Torque Impact Wrench 3/4" Friction Ring Bare Tool</t>
  </si>
  <si>
    <t>Milwaukee 2663-20 M18 1/2" High Torque Impact Wrench with Friction Ring (Bare Tool)</t>
  </si>
  <si>
    <t>B07G9H1FHX</t>
  </si>
  <si>
    <t>349.0</t>
  </si>
  <si>
    <t>583.0</t>
  </si>
  <si>
    <t>7962037321944</t>
  </si>
  <si>
    <t>Thermocouple, Temperature Bead Probe, Clamp - Multimeter for Fluke 80BK-A Type K</t>
  </si>
  <si>
    <t>B09V31L5V4</t>
  </si>
  <si>
    <t>Klein Tools ET920 USB Power Meter, USB-A and USB-C Digital Meter for Voltage, Current, Capacity, Energy and Resistance</t>
  </si>
  <si>
    <t>B07GXZHPVR</t>
  </si>
  <si>
    <t>Amprobe - 3477302 TR200-A Temperature and Relative Humidity Data Logger</t>
  </si>
  <si>
    <t>B004JV21AI</t>
  </si>
  <si>
    <t>khanka Hard Travel Case replacement for Klein Tools RT310 AFCI/GFCI Circuit Outlet Device Tester, Case Only</t>
  </si>
  <si>
    <t>B088BCQT7K</t>
  </si>
  <si>
    <t>co2CREA Hard Travel Case Replacement for Klein Tools ET310 AC Circuit Breaker Finder Integrated GFCI Outlet Tester</t>
  </si>
  <si>
    <t>B087JRTB7S</t>
  </si>
  <si>
    <t>Klein Tools 32581 4-in-1 Electronics Screwdriver Set with Precision Machines Bits: 2 Slotted, 2 Phillips, and Cushion Grip Handles, 4-Piece</t>
  </si>
  <si>
    <t>B01EOY7LTA</t>
  </si>
  <si>
    <t>Echo Corner 6-1/2 Inch Circular Saw Blade for Wood Cutting, Ultra Fine-Finish 60-Tooth Fast Framing Trimming Crosscut Rip Hardwood Softwood Laminate Veneered Plywood MDF, 5/8" Arbor</t>
  </si>
  <si>
    <t>B0BPKXNG29</t>
  </si>
  <si>
    <t>Klein Tools 56350 Non-Conductive Electrical Fish Tape, Fiberglass Wire Puller with Steel Leader, Optimized Housing / Handle, 50-Foot x 3/16-Inch</t>
  </si>
  <si>
    <t>B081ZTJTB5</t>
  </si>
  <si>
    <t>CaseSack case for Klein Tools ET310 AC Circuit Breaker Finder, Integrated GFCI Outlet Tester, RT310 Receptacle and Accessory Kit, 80016</t>
  </si>
  <si>
    <t>B08TPHYW37</t>
  </si>
  <si>
    <t>Klein Tools 32561 Multi-Bit Screwdriver / Nut Driver, 6-in-1 Stubby Screwdriver with 2 Phillips, 2 Slotted Bits, 2 Nut Drivers</t>
  </si>
  <si>
    <t>B005FQDHHC</t>
  </si>
  <si>
    <t>Fluke 59 Mini IR Thermometer Laser Infrared Digital Display High Precision Handheld Tester Temperature Gun</t>
  </si>
  <si>
    <t>B0B82FZVVM</t>
  </si>
  <si>
    <t>Hermitshell Travel Case for Klein Tools VDV500-063 Toner-Pro Tracer Tone Generator + VDV500-123 Cable Tracer Probe-Pro Tracing Probe</t>
  </si>
  <si>
    <t>B0BTVNKJSQ</t>
  </si>
  <si>
    <t>N12 N14 N18 Multi-Voltage Rapid Charger 48-59-1812 Compatible with Milwaukee 12V-18V Lithium Battery M12 M18 M14 48-11-1850 48-11-1852 48-11-1828 48-11-2411 48-11-2460</t>
  </si>
  <si>
    <t>B0BZP3Q17Q</t>
  </si>
  <si>
    <t>FBLFOBELI Hard Storage Case for Klein Tools VDV427-300 Impact Punchdown Tool 66/110 Blade, Shockproof Travel Carrying Case</t>
  </si>
  <si>
    <t>B09Q88VB6C</t>
  </si>
  <si>
    <t>Klein Tools 56002 Electrical Fish Tape, 65-Foot Long x 1/8-Inch Wide Steel for Heavy Duty Wire Pulls, Laser Etched for Conduit Measuring</t>
  </si>
  <si>
    <t>B007KFRMY0</t>
  </si>
  <si>
    <t>Milwaukee 48-59-1812 M12 or M18 18V and 12V Multi Voltage Lithium Ion Battery Charger w/ Onboard Fuel Gauge</t>
  </si>
  <si>
    <t>B007PDBHBG</t>
  </si>
  <si>
    <t>M12 &amp; M18 Multi Voltage Lithium Ion Battery Charger for Milwaukee 48-59-1812 18V&amp;12V Fuel Gauge XC Battery</t>
  </si>
  <si>
    <t>B07FMY32P1</t>
  </si>
  <si>
    <t>BOSCH OSL114C-2 2-Pack 1-1/4 In. Starlock Oscillating Multi Tool Metal &amp; More Carbide Plunge Cut Blades for Cutting Iron Bar, Metal, Wood with Nails, Drywall and Tile</t>
  </si>
  <si>
    <t>B01DDA7QZA</t>
  </si>
  <si>
    <t>Klein Tools 32476 5-In-1 Multi-Bit Screwdriver / Nut Driver with 2 Slotted, 2 Philips, and 1 Nut Driver Tip</t>
  </si>
  <si>
    <t>B000RFPDXC</t>
  </si>
  <si>
    <t>Lilocaja M12 &amp; M18 Multi-Voltage Battery Charger Replacement for Milwaukee M18 Battery Charger 48-59-1812, Compatible with Milwaukee M12 12V and M18 18V Lithium-ion Battery 48-11-2420 48-11-2401</t>
  </si>
  <si>
    <t>B094GWNXTK</t>
  </si>
  <si>
    <t>Milwaukee 48-11-2420 M12 REDLITHIUM 2.0 Compact Battery Pack (1-Pack)</t>
  </si>
  <si>
    <t>B00CHU9ZDE</t>
  </si>
  <si>
    <t>Biswaye M-12 M18 Multi-Voltage Rapid Charger 48-59-1812 Compatible with Milwaukee 12V-18V Lithium Battery M-12 M18 M14 48-11-1850 48-11-1852 48-11-1828 48-11-2411 48-11-2460</t>
  </si>
  <si>
    <t>B078X9YD57</t>
  </si>
  <si>
    <t>YOJOCK USB C Tester Power Meter 4-30V 0-6.5A Digital Multimeter, Type C Voltage and Current Tester Meter, Power Bank Capacity, Working Time Ammeter Voltmeter USB Cable Charger Detector</t>
  </si>
  <si>
    <t>B0B99Z2GJK</t>
  </si>
  <si>
    <t>EICHXO M12 M18 48-59-1812 Multi Voltage Charger Replacement for Milwaukee 12V-18V M12 M14 M18 Lithium Battery 48-11-2412 48-11-2401 48-11-2440 48-11-1862 48-11-1850 48-11-1852</t>
  </si>
  <si>
    <t>B089NGH7NS</t>
  </si>
  <si>
    <t>Biswaye 2-Pack 12V Lithium Battery 6.0Ah Compatible with Milwaukee M-12 12V Lithium XC Extended Battery 48-11-2460 48-11-2440 48-11-2420 48-11-2411 48-11-2401 48-11-2430 48-11-2412</t>
  </si>
  <si>
    <t>B07C7S59HN</t>
  </si>
  <si>
    <t>Tourmate Hard Storage Case Compatible with Klein Tools 935DAGL Digital Level Angle Finder (Only Case) Black</t>
  </si>
  <si>
    <t>B0BMFXM5QG</t>
  </si>
  <si>
    <t>Aenllosi Hard Carrying Case Compatible with Klein Tools 935DAGL Digital Level (for Klein Tools 935DAGL)</t>
  </si>
  <si>
    <t>B092PRLB35</t>
  </si>
  <si>
    <t>Diablo 1/4 in. x 16 in. x 18 in. SDS-Plus 2-Cutter</t>
  </si>
  <si>
    <t>B089LGDL7F</t>
  </si>
  <si>
    <t>Pipe Vise APW14 14" HD Aluminum Pipe Wrench</t>
  </si>
  <si>
    <t>Aluminum Pipe Wrench 14" Heavy Duty Drop Forge Plumbing Tools HD</t>
  </si>
  <si>
    <t>B071DKXWNL</t>
  </si>
  <si>
    <t>70.0</t>
  </si>
  <si>
    <t>7977278406872</t>
  </si>
  <si>
    <t>Diablo Tools DOU125CGP10 1-1/4 in. Universal Fit Carbide Oscillating Blade for General Purpose Cuts (10 pk)</t>
  </si>
  <si>
    <t>166.67</t>
  </si>
  <si>
    <t>7950802452696</t>
  </si>
  <si>
    <t>JINMEI Hard EVA Dedicated Case for Klein Tools 935DAGL Digital Level with Programmable Angles Case. (Black)</t>
  </si>
  <si>
    <t>B0966VF1XW</t>
  </si>
  <si>
    <t>Binval Voltage Tester Non-Contact Voltage Tester with Dual Range AC 12V/48V-1000V Electrical Tester with LCD Display Wire Breakpoint Finder Live Wire Tester with Buzzer Alarm and Flashligh</t>
  </si>
  <si>
    <t>B0B8J45S13</t>
  </si>
  <si>
    <t>Milwaukee 2872-20 M18™ Brushless Threaded Rod Cutter (Tool Only)</t>
  </si>
  <si>
    <t>48-44-2872 1/4", 3/8", 1/2" Replacement Cutting Die Set Fits For Milwaukee 2872-20, 2872-21 M18 Brushless Threaded Rod Cutter, With 4-Sided Rotatable Cutter &amp; Size Markings</t>
  </si>
  <si>
    <t>B0BQNCBGBR</t>
  </si>
  <si>
    <t>349.99</t>
  </si>
  <si>
    <t>651.0</t>
  </si>
  <si>
    <t>7879783842008</t>
  </si>
  <si>
    <t>ASNOMY Tungsten Carbide Tipped Hole Saw Drill Bit for Hard Metal, 1-1/8 Inch T.C.T Hole Saw Cutter with 2pcs Titanium-Plated Pilot Drill bit for Metal, Steel, Iron, Wood, Plastic</t>
  </si>
  <si>
    <t>B096FNS45K</t>
  </si>
  <si>
    <t>Klein Tools 56331 Electrical Fish Tape, Steel Wire Puller with Double Loop Tip, Optimized Housing and Handle, 1/8-Inch x 50-Foot</t>
  </si>
  <si>
    <t>B081TVR4N7</t>
  </si>
  <si>
    <t>Klein Tools VDV999-200 Replacement Remote for LAN Scout Jr. 2 Network Cable Tester/Continuity Tester (Cat. No. VDV526-200) Tests RJ45 Cable</t>
  </si>
  <si>
    <t>B092XBPPXV</t>
  </si>
  <si>
    <t>BOSCH OSL114F-3 3-Pack 1-1/4 In. Starlock Oscillating Multi Tool All Purpose Bi-Metal Plunge Cut Blades for Applications in Wood, Wood with Nails, Drywall, PVC, Metal (Nails and Staples)</t>
  </si>
  <si>
    <t>B01DDA7VU0</t>
  </si>
  <si>
    <t>Klein Tools 66080 2-in-1 Penta/Hex Flip Socket with Adapter</t>
  </si>
  <si>
    <t>84.0</t>
  </si>
  <si>
    <t>7814022594776</t>
  </si>
  <si>
    <t>RLSOCO Hard Case for Klein Tools ET600 Multimeter, Megohmmeter Insulation Tester(Case Only)</t>
  </si>
  <si>
    <t>B0BYH8S16J</t>
  </si>
  <si>
    <t>Klein Tools 69346 Plumber's Kit, Use with Digital Angle Gauges and Levels Cat. Nos. 935DAGL and 935DAG, Contains Metal Plate and 2 Straps</t>
  </si>
  <si>
    <t>B08ZT2R999</t>
  </si>
  <si>
    <t>KINGTIANLE 2 Pack M12 3.0Ah Replacement Battery for Milwaukee 12V M12 Lithium Ion Battery Xc 48-11-2420 48-11-2440 48-11-2402 48-11-2411 48-11-2412 Cordlees Power Tools</t>
  </si>
  <si>
    <t>B08H5F4FDF</t>
  </si>
  <si>
    <t>Klein Tools 56025 Non-conductive Fish Tape Repair Kit</t>
  </si>
  <si>
    <t>B00HAN9204</t>
  </si>
  <si>
    <t>Bi-Metal Hole Saw Kit, SUNGATOR 18-Piece General Purpose 3/4" to 2-1/2" Set with Case. Durable High Speed Steel (HSS). Fast Cut Clean, Smooth and Precise Holes Through Metal, Wood, Plastic, Drywall.</t>
  </si>
  <si>
    <t>B07N1KNR4M</t>
  </si>
  <si>
    <t>Milwaukee 2554-20 M12 FUEL™ 3/8" Stubby Impact Wrench (Tool Only)</t>
  </si>
  <si>
    <t>khanka Hard Storage Case Replacement for Milwaukee 2554-20 M12 Fuel Stubby 3/8" Impact Wrench, Case Only</t>
  </si>
  <si>
    <t>B09Y1XBLTR</t>
  </si>
  <si>
    <t>326.0</t>
  </si>
  <si>
    <t>7909856575704</t>
  </si>
  <si>
    <t>48-44-2872 Brushless Threaded Rod Cutter for Milwaukee 2872-20, 2872-21 M18, With 4-Sided Rotatable Cutter &amp; Size Markings，1/4 Inch - 3/8 Inch -1/2 Inch Mutli-Size Replacement Cutting Die Set</t>
  </si>
  <si>
    <t>B0C1FVXFHM</t>
  </si>
  <si>
    <t>Fortool 48-44-2872 1/4", 3/8", 1/2" Replacement Cutting Die Set Fits For Milwaukee 2872-20, 2872-21 M18 Brushless Threaded Rod Cutter, With 4-Sided Rotatable Cutter &amp; Size Markings</t>
  </si>
  <si>
    <t>B0B15BFYP1</t>
  </si>
  <si>
    <t>48-44-2872 Cutting Die Set Replacement for Milwaukee 2872-20, 2872-21 M18 Brushless Threaded Rod Cutter, Replacement 1/4", 3/8", 1/2" Cutting Die Set With 4-Sided Rotatable Cutter &amp; Size Markings</t>
  </si>
  <si>
    <t>B0C1BLM5YH</t>
  </si>
  <si>
    <t>48-44-2872 1/4", 3/8", 1/2" Replacement Cutting Die Set Compatible With Milwaukee 2872-20, 2872-21 M18 Brushless Threaded Rod Cutter,Includes Upper &amp; Lower Cutting Dies XTPTFABS</t>
  </si>
  <si>
    <t>B0BV6P4JZT</t>
  </si>
  <si>
    <t>Klein Tools 80027 Screwdriver Set, 11-in-1 Multi-bit Screwdriver, 6-in-1 Stubby Screwdriver, Phillips, Slotted, Square, Torx Bits, 2-Piece</t>
  </si>
  <si>
    <t>B0912BW9HP</t>
  </si>
  <si>
    <t>co2CREA Hard Travel Case Replacement for Fluke 971 Temperature Humidity Meter</t>
  </si>
  <si>
    <t>B07PWK6C9S</t>
  </si>
  <si>
    <t>42-38-0017 No Mar Tip Kit For Milwaukee M18 2746-20 Nailer No-Mar Pad Kit, 18 Gauge Brad Nailer Tips Set Of 3 (No Mar Tip Kit（4pack）)</t>
  </si>
  <si>
    <t>B0C9R2W6VB</t>
  </si>
  <si>
    <t>KingSung Infrared Thermometer Hard Carrying Case for Fluke 62 Max/59 Max+/64 MAX/Etekcity 1080/774/800 ThermoPro TP30 /TP450 , Built-in Soft Fleece and EVA Strong Drop-Resistant Shell,Yellow</t>
  </si>
  <si>
    <t>B0BJ1M2PB5</t>
  </si>
  <si>
    <t>LTGEM Case for Fluke 62 Max/Fluke 64/Fluke 59 Max+ Infrared IR Thermometer (Case Only)</t>
  </si>
  <si>
    <t>B06XX5Z4K1</t>
  </si>
  <si>
    <t>Klein Tools 85742 Screwdriver Set, 3/16 Cabinet and 2 Phillips Precision Machined Tips, Cushion-Grip Handles, Round Shank, 2-Piece</t>
  </si>
  <si>
    <t>B0917X34P6</t>
  </si>
  <si>
    <t>TUDIA Hard Carrying Storage Replacement Case Compatible with Fluke 323/324/325 True RMS Clamp Meter [CASE ONLY]</t>
  </si>
  <si>
    <t>B08G59FC1C</t>
  </si>
  <si>
    <t>USA GEAR Neoprene Thermal Imager Carrying Case – Belt Loop and Pocket – Compatible with FLIR One Gen 3, Seek Thermal CompactPro, FLIR C-Series, Seek Thermal RevealPRO, Klein Tools TI250, and More</t>
  </si>
  <si>
    <t>B09P1WGCJG</t>
  </si>
  <si>
    <t>Follde 42-38-0017 No Mar Tip For Milwaukee M18 2746-20 Brad Nailer, 18ga Nailer No-mar Pad Kit For Milwaukee Nailers Bit (Set Of 3)</t>
  </si>
  <si>
    <t>B0BYFTJMYT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</si>
</sst>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2"/>
      <color theme="10"/>
      <name val="Calibri"/>
      <family val="2"/>
      <scheme val="minor"/>
    </font>
  </fonts>
  <fills count="3">
    <fill>
      <patternFill patternType="none"/>
    </fill>
    <fill>
      <patternFill patternType="gray125"/>
    </fill>
    <fill>
      <patternFill patternType="solid">
        <fgColor rgb="FF91BF4D"/>
        <bgColor rgb="FF91BF4D"/>
      </patternFill>
    </fill>
  </fills>
  <borders count="1">
    <border>
      <left/>
      <right/>
      <top/>
      <bottom/>
      <diagonal/>
    </border>
  </borders>
  <cellStyleXfs count="2">
    <xf numFmtId="0" fontId="0" fillId="0" borderId="0"/>
    <xf numFmtId="0" fontId="2" fillId="0" borderId="0"/>
  </cellStyleXfs>
  <cellXfs count="5">
    <xf numFmtId="0" fontId="0" fillId="0" borderId="0" xfId="0"/>
    <xf numFmtId="0" fontId="1" fillId="0" borderId="0" xfId="0" applyFont="1"/>
    <xf numFmtId="0" fontId="1" fillId="2" borderId="0" xfId="0" applyFont="1" applyFill="1"/>
    <xf numFmtId="0" fontId="2" fillId="0" borderId="0" xfId="1"/>
    <xf numFmtId="10" fontId="1" fillId="2" borderId="0" xfId="0" applyNumberFormat="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148"/>
  <sheetViews>
    <sheetView tabSelected="1" workbookViewId="0">
      <selection activeCell="M7" sqref="M7"/>
    </sheetView>
  </sheetViews>
  <sheetFormatPr defaultRowHeight="14.5" x14ac:dyDescent="0.35"/>
  <sheetData>
    <row r="1" spans="1:21" x14ac:dyDescent="0.3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row>
    <row r="2" spans="1:21" ht="15.5" x14ac:dyDescent="0.35">
      <c r="A2" s="3" t="str">
        <f>HYPERLINK("https://ads.midwayusa.com/product/1007073487?pid=363683", "https://ads.midwayusa.com/product/1007073487?pid=363683")</f>
        <v>https://ads.midwayusa.com/product/1007073487?pid=363683</v>
      </c>
      <c r="B2" s="3" t="str">
        <f>HYPERLINK("https://ads.midwayusa.com/product/1007073487", "https://ads.midwayusa.com/product/1007073487")</f>
        <v>https://ads.midwayusa.com/product/1007073487</v>
      </c>
      <c r="C2" t="s">
        <v>21</v>
      </c>
      <c r="D2" t="s">
        <v>22</v>
      </c>
      <c r="E2" s="3" t="str">
        <f>HYPERLINK("https://www.amazon.com/Grace-USA-Gunsmith-Steel-Spring/dp/B06ZYK5KXD/ref=sr_1_6?keywords=Grace+USA+Roll+Pin+Punch+Set+7-Piece+Steel&amp;qid=1695173066&amp;sr=8-6", "https://www.amazon.com/Grace-USA-Gunsmith-Steel-Spring/dp/B06ZYK5KXD/ref=sr_1_6?keywords=Grace+USA+Roll+Pin+Punch+Set+7-Piece+Steel&amp;qid=1695173066&amp;sr=8-6")</f>
        <v>https://www.amazon.com/Grace-USA-Gunsmith-Steel-Spring/dp/B06ZYK5KXD/ref=sr_1_6?keywords=Grace+USA+Roll+Pin+Punch+Set+7-Piece+Steel&amp;qid=1695173066&amp;sr=8-6</v>
      </c>
      <c r="F2" t="s">
        <v>23</v>
      </c>
      <c r="G2" t="e">
        <f ca="1">_xludf.IMAGE("https://media.mwstatic.com/product-images/src/Primary/363/363683.jpg?imwidth=680")</f>
        <v>#NAME?</v>
      </c>
      <c r="H2" t="e">
        <f ca="1">_xludf.IMAGE("https://m.media-amazon.com/images/I/813eqzt-bsL._AC_UL320_.jpg")</f>
        <v>#NAME?</v>
      </c>
      <c r="I2" t="s">
        <v>24</v>
      </c>
      <c r="J2">
        <v>154.99</v>
      </c>
      <c r="K2" s="4">
        <v>50.6633</v>
      </c>
      <c r="L2">
        <v>4.5999999999999996</v>
      </c>
      <c r="M2">
        <v>14</v>
      </c>
      <c r="O2" t="s">
        <v>25</v>
      </c>
      <c r="P2" t="s">
        <v>26</v>
      </c>
      <c r="Q2" t="s">
        <v>27</v>
      </c>
    </row>
    <row r="3" spans="1:21" ht="15.5" x14ac:dyDescent="0.35">
      <c r="A3" s="3" t="str">
        <f>HYPERLINK("https://ads.midwayusa.com/product/1007073487?pid=363683", "https://ads.midwayusa.com/product/1007073487?pid=363683")</f>
        <v>https://ads.midwayusa.com/product/1007073487?pid=363683</v>
      </c>
      <c r="B3" s="3" t="str">
        <f>HYPERLINK("https://ads.midwayusa.com/product/1007073487", "https://ads.midwayusa.com/product/1007073487")</f>
        <v>https://ads.midwayusa.com/product/1007073487</v>
      </c>
      <c r="C3" t="s">
        <v>21</v>
      </c>
      <c r="D3" t="s">
        <v>28</v>
      </c>
      <c r="E3" s="3" t="str">
        <f>HYPERLINK("https://www.amazon.com/Grace-USA-GRRS12-Professional-Accessories/dp/B06ZXZ81RF/ref=sr_1_5?keywords=Grace+USA+Roll+Pin+Punch+Set+7-Piece+Steel&amp;qid=1695173066&amp;sr=8-5", "https://www.amazon.com/Grace-USA-GRRS12-Professional-Accessories/dp/B06ZXZ81RF/ref=sr_1_5?keywords=Grace+USA+Roll+Pin+Punch+Set+7-Piece+Steel&amp;qid=1695173066&amp;sr=8-5")</f>
        <v>https://www.amazon.com/Grace-USA-GRRS12-Professional-Accessories/dp/B06ZXZ81RF/ref=sr_1_5?keywords=Grace+USA+Roll+Pin+Punch+Set+7-Piece+Steel&amp;qid=1695173066&amp;sr=8-5</v>
      </c>
      <c r="F3" t="s">
        <v>29</v>
      </c>
      <c r="G3" t="e">
        <f ca="1">_xludf.IMAGE("https://media.mwstatic.com/product-images/src/Primary/363/363683.jpg?imwidth=680")</f>
        <v>#NAME?</v>
      </c>
      <c r="H3" t="e">
        <f ca="1">_xludf.IMAGE("https://m.media-amazon.com/images/I/81oeZw9AMHL._AC_UL320_.jpg")</f>
        <v>#NAME?</v>
      </c>
      <c r="I3" t="s">
        <v>24</v>
      </c>
      <c r="J3">
        <v>74.47</v>
      </c>
      <c r="K3" s="4">
        <v>23.8233</v>
      </c>
      <c r="L3">
        <v>4.5999999999999996</v>
      </c>
      <c r="M3">
        <v>44</v>
      </c>
      <c r="O3" t="s">
        <v>25</v>
      </c>
      <c r="P3" t="s">
        <v>26</v>
      </c>
      <c r="Q3" t="s">
        <v>27</v>
      </c>
    </row>
    <row r="4" spans="1:21" ht="15.5" x14ac:dyDescent="0.35">
      <c r="A4" s="3" t="str">
        <f>HYPERLINK("https://ads.midwayusa.com/product/1007073487?pid=363683", "https://ads.midwayusa.com/product/1007073487?pid=363683")</f>
        <v>https://ads.midwayusa.com/product/1007073487?pid=363683</v>
      </c>
      <c r="B4" s="3" t="str">
        <f>HYPERLINK("https://ads.midwayusa.com/product/1007073487", "https://ads.midwayusa.com/product/1007073487")</f>
        <v>https://ads.midwayusa.com/product/1007073487</v>
      </c>
      <c r="C4" t="s">
        <v>21</v>
      </c>
      <c r="D4" t="s">
        <v>30</v>
      </c>
      <c r="E4" s="3" t="str">
        <f>HYPERLINK("https://www.amazon.com/Grace-USA-Gunsmithing-Gunsmith-Accessories/dp/B00CAM4YTO/ref=sr_1_10?keywords=Grace+USA+Roll+Pin+Punch+Set+7-Piece+Steel&amp;qid=1695173066&amp;sr=8-10", "https://www.amazon.com/Grace-USA-Gunsmithing-Gunsmith-Accessories/dp/B00CAM4YTO/ref=sr_1_10?keywords=Grace+USA+Roll+Pin+Punch+Set+7-Piece+Steel&amp;qid=1695173066&amp;sr=8-10")</f>
        <v>https://www.amazon.com/Grace-USA-Gunsmithing-Gunsmith-Accessories/dp/B00CAM4YTO/ref=sr_1_10?keywords=Grace+USA+Roll+Pin+Punch+Set+7-Piece+Steel&amp;qid=1695173066&amp;sr=8-10</v>
      </c>
      <c r="F4" t="s">
        <v>31</v>
      </c>
      <c r="G4" t="e">
        <f ca="1">_xludf.IMAGE("https://media.mwstatic.com/product-images/src/Primary/363/363683.jpg?imwidth=680")</f>
        <v>#NAME?</v>
      </c>
      <c r="H4" t="e">
        <f ca="1">_xludf.IMAGE("https://m.media-amazon.com/images/I/816VuBXzB8L._AC_UL320_.jpg")</f>
        <v>#NAME?</v>
      </c>
      <c r="I4" t="s">
        <v>24</v>
      </c>
      <c r="J4">
        <v>37.74</v>
      </c>
      <c r="K4" s="4">
        <v>11.58</v>
      </c>
      <c r="L4">
        <v>4.5999999999999996</v>
      </c>
      <c r="M4">
        <v>92</v>
      </c>
      <c r="O4" t="s">
        <v>25</v>
      </c>
      <c r="P4" t="s">
        <v>26</v>
      </c>
      <c r="Q4" t="s">
        <v>27</v>
      </c>
    </row>
    <row r="5" spans="1:21" ht="15.5" x14ac:dyDescent="0.35">
      <c r="A5" s="3" t="str">
        <f>HYPERLINK("https://ads.midwayusa.com/product/1007073487?pid=363683", "https://ads.midwayusa.com/product/1007073487?pid=363683")</f>
        <v>https://ads.midwayusa.com/product/1007073487?pid=363683</v>
      </c>
      <c r="B5" s="3" t="str">
        <f>HYPERLINK("https://ads.midwayusa.com/product/1007073487", "https://ads.midwayusa.com/product/1007073487")</f>
        <v>https://ads.midwayusa.com/product/1007073487</v>
      </c>
      <c r="C5" t="s">
        <v>21</v>
      </c>
      <c r="D5" t="s">
        <v>32</v>
      </c>
      <c r="E5" s="3" t="str">
        <f>HYPERLINK("https://www.amazon.com/Grace-USA-Steel-Gunsmith-Accessories/dp/B007WADLBQ/ref=sr_1_2?keywords=Grace+USA+Roll+Pin+Punch+Set+7-Piece+Steel&amp;qid=1695173066&amp;sr=8-2", "https://www.amazon.com/Grace-USA-Steel-Gunsmith-Accessories/dp/B007WADLBQ/ref=sr_1_2?keywords=Grace+USA+Roll+Pin+Punch+Set+7-Piece+Steel&amp;qid=1695173066&amp;sr=8-2")</f>
        <v>https://www.amazon.com/Grace-USA-Steel-Gunsmith-Accessories/dp/B007WADLBQ/ref=sr_1_2?keywords=Grace+USA+Roll+Pin+Punch+Set+7-Piece+Steel&amp;qid=1695173066&amp;sr=8-2</v>
      </c>
      <c r="F5" t="s">
        <v>33</v>
      </c>
      <c r="G5" t="e">
        <f ca="1">_xludf.IMAGE("https://media.mwstatic.com/product-images/src/Primary/363/363683.jpg?imwidth=680")</f>
        <v>#NAME?</v>
      </c>
      <c r="H5" t="e">
        <f ca="1">_xludf.IMAGE("https://m.media-amazon.com/images/I/81PQxA9Ct4L._AC_UL320_.jpg")</f>
        <v>#NAME?</v>
      </c>
      <c r="I5" t="s">
        <v>24</v>
      </c>
      <c r="J5">
        <v>34.840000000000003</v>
      </c>
      <c r="K5" s="4">
        <v>10.613300000000001</v>
      </c>
      <c r="L5">
        <v>4.8</v>
      </c>
      <c r="M5">
        <v>149</v>
      </c>
      <c r="O5" t="s">
        <v>25</v>
      </c>
      <c r="P5" t="s">
        <v>26</v>
      </c>
      <c r="Q5" t="s">
        <v>27</v>
      </c>
    </row>
    <row r="6" spans="1:21" ht="15.5" x14ac:dyDescent="0.35">
      <c r="A6" s="3" t="str">
        <f>HYPERLINK("https://ads.midwayusa.com/product/1007073487?pid=363683", "https://ads.midwayusa.com/product/1007073487?pid=363683")</f>
        <v>https://ads.midwayusa.com/product/1007073487?pid=363683</v>
      </c>
      <c r="B6" s="3" t="str">
        <f>HYPERLINK("https://ads.midwayusa.com/product/1007073487", "https://ads.midwayusa.com/product/1007073487")</f>
        <v>https://ads.midwayusa.com/product/1007073487</v>
      </c>
      <c r="C6" t="s">
        <v>21</v>
      </c>
      <c r="D6" t="s">
        <v>34</v>
      </c>
      <c r="E6" s="3" t="str">
        <f>HYPERLINK("https://www.amazon.com/Grace-USA-Gunsmithing-Gunsmith-Accessories/dp/B00H407C1O/ref=sr_1_1?keywords=Grace+USA+Roll+Pin+Punch+Set+7-Piece+Steel&amp;qid=1695173066&amp;sr=8-1", "https://www.amazon.com/Grace-USA-Gunsmithing-Gunsmith-Accessories/dp/B00H407C1O/ref=sr_1_1?keywords=Grace+USA+Roll+Pin+Punch+Set+7-Piece+Steel&amp;qid=1695173066&amp;sr=8-1")</f>
        <v>https://www.amazon.com/Grace-USA-Gunsmithing-Gunsmith-Accessories/dp/B00H407C1O/ref=sr_1_1?keywords=Grace+USA+Roll+Pin+Punch+Set+7-Piece+Steel&amp;qid=1695173066&amp;sr=8-1</v>
      </c>
      <c r="F6" t="s">
        <v>35</v>
      </c>
      <c r="G6" t="e">
        <f ca="1">_xludf.IMAGE("https://media.mwstatic.com/product-images/src/Primary/363/363683.jpg?imwidth=680")</f>
        <v>#NAME?</v>
      </c>
      <c r="H6" t="e">
        <f ca="1">_xludf.IMAGE("https://m.media-amazon.com/images/I/714ALMuKhQL._AC_UL320_.jpg")</f>
        <v>#NAME?</v>
      </c>
      <c r="I6" t="s">
        <v>24</v>
      </c>
      <c r="J6">
        <v>29.97</v>
      </c>
      <c r="K6" s="4">
        <v>8.99</v>
      </c>
      <c r="L6">
        <v>4.7</v>
      </c>
      <c r="M6">
        <v>303</v>
      </c>
      <c r="O6" t="s">
        <v>25</v>
      </c>
      <c r="P6" t="s">
        <v>26</v>
      </c>
      <c r="Q6" t="s">
        <v>27</v>
      </c>
    </row>
    <row r="7" spans="1:21" ht="15.5" x14ac:dyDescent="0.35">
      <c r="A7" s="3" t="str">
        <f>HYPERLINK("https://ads.midwayusa.com/product/1007073487?pid=363683", "https://ads.midwayusa.com/product/1007073487?pid=363683")</f>
        <v>https://ads.midwayusa.com/product/1007073487?pid=363683</v>
      </c>
      <c r="B7" s="3" t="str">
        <f>HYPERLINK("https://ads.midwayusa.com/product/1007073487", "https://ads.midwayusa.com/product/1007073487")</f>
        <v>https://ads.midwayusa.com/product/1007073487</v>
      </c>
      <c r="C7" t="s">
        <v>21</v>
      </c>
      <c r="D7" t="s">
        <v>36</v>
      </c>
      <c r="E7" s="3" t="str">
        <f>HYPERLINK("https://www.amazon.com/Grace-USA-Starter-Gunsmith-Accessories/dp/B06XNNX4SH/ref=sr_1_4?keywords=Grace+USA+Roll+Pin+Punch+Set+7-Piece+Steel&amp;qid=1695173066&amp;sr=8-4", "https://www.amazon.com/Grace-USA-Starter-Gunsmith-Accessories/dp/B06XNNX4SH/ref=sr_1_4?keywords=Grace+USA+Roll+Pin+Punch+Set+7-Piece+Steel&amp;qid=1695173066&amp;sr=8-4")</f>
        <v>https://www.amazon.com/Grace-USA-Starter-Gunsmith-Accessories/dp/B06XNNX4SH/ref=sr_1_4?keywords=Grace+USA+Roll+Pin+Punch+Set+7-Piece+Steel&amp;qid=1695173066&amp;sr=8-4</v>
      </c>
      <c r="F7" t="s">
        <v>37</v>
      </c>
      <c r="G7" t="e">
        <f ca="1">_xludf.IMAGE("https://media.mwstatic.com/product-images/src/Primary/363/363683.jpg?imwidth=680")</f>
        <v>#NAME?</v>
      </c>
      <c r="H7" t="e">
        <f ca="1">_xludf.IMAGE("https://m.media-amazon.com/images/I/81CQ+Bv0RGL._AC_UL320_.jpg")</f>
        <v>#NAME?</v>
      </c>
      <c r="I7" t="s">
        <v>24</v>
      </c>
      <c r="J7">
        <v>24.24</v>
      </c>
      <c r="K7" s="4">
        <v>7.08</v>
      </c>
      <c r="L7">
        <v>4.5999999999999996</v>
      </c>
      <c r="M7">
        <v>107</v>
      </c>
      <c r="O7" t="s">
        <v>25</v>
      </c>
      <c r="P7" t="s">
        <v>26</v>
      </c>
      <c r="Q7" t="s">
        <v>27</v>
      </c>
    </row>
    <row r="8" spans="1:21" ht="15.5" x14ac:dyDescent="0.35">
      <c r="A8" s="3" t="str">
        <f>HYPERLINK("https://ads.midwayusa.com/product/1026334245?pid=718695", "https://ads.midwayusa.com/product/1026334245?pid=718695")</f>
        <v>https://ads.midwayusa.com/product/1026334245?pid=718695</v>
      </c>
      <c r="B8" s="3" t="str">
        <f>HYPERLINK("https://ads.midwayusa.com/product/1026334245", "https://ads.midwayusa.com/product/1026334245")</f>
        <v>https://ads.midwayusa.com/product/1026334245</v>
      </c>
      <c r="C8" t="s">
        <v>38</v>
      </c>
      <c r="D8" t="s">
        <v>39</v>
      </c>
      <c r="E8" s="3" t="str">
        <f>HYPERLINK("https://www.amazon.com/ZEISS-Binoculars-Waterproof-Conditions-Sightseeing/dp/B01N7UD2U0/ref=sr_1_5?keywords=Zeiss+Terra+ED+Binocular+8x+25mm+Refurb&amp;qid=1695173066&amp;sr=8-5", "https://www.amazon.com/ZEISS-Binoculars-Waterproof-Conditions-Sightseeing/dp/B01N7UD2U0/ref=sr_1_5?keywords=Zeiss+Terra+ED+Binocular+8x+25mm+Refurb&amp;qid=1695173066&amp;sr=8-5")</f>
        <v>https://www.amazon.com/ZEISS-Binoculars-Waterproof-Conditions-Sightseeing/dp/B01N7UD2U0/ref=sr_1_5?keywords=Zeiss+Terra+ED+Binocular+8x+25mm+Refurb&amp;qid=1695173066&amp;sr=8-5</v>
      </c>
      <c r="F8" t="s">
        <v>40</v>
      </c>
      <c r="G8" t="e">
        <f ca="1">_xludf.IMAGE("https://media.mwstatic.com/product-images/src/Primary/490/490958.jpg?imwidth=680")</f>
        <v>#NAME?</v>
      </c>
      <c r="H8" t="e">
        <f ca="1">_xludf.IMAGE("https://m.media-amazon.com/images/I/51lf6zN4UfL._AC_UY218_.jpg")</f>
        <v>#NAME?</v>
      </c>
      <c r="I8" t="s">
        <v>41</v>
      </c>
      <c r="J8">
        <v>440</v>
      </c>
      <c r="K8" s="4">
        <v>6.3333000000000004</v>
      </c>
      <c r="L8">
        <v>4.8</v>
      </c>
      <c r="M8">
        <v>50</v>
      </c>
      <c r="O8" t="s">
        <v>25</v>
      </c>
      <c r="P8" t="s">
        <v>42</v>
      </c>
      <c r="Q8" t="s">
        <v>43</v>
      </c>
    </row>
    <row r="9" spans="1:21" ht="15.5" x14ac:dyDescent="0.35">
      <c r="A9" s="3" t="str">
        <f>HYPERLINK("https://ads.midwayusa.com/product/1026334245?pid=718695", "https://ads.midwayusa.com/product/1026334245?pid=718695")</f>
        <v>https://ads.midwayusa.com/product/1026334245?pid=718695</v>
      </c>
      <c r="B9" s="3" t="str">
        <f>HYPERLINK("https://ads.midwayusa.com/product/1026334245", "https://ads.midwayusa.com/product/1026334245")</f>
        <v>https://ads.midwayusa.com/product/1026334245</v>
      </c>
      <c r="C9" t="s">
        <v>38</v>
      </c>
      <c r="D9" t="s">
        <v>44</v>
      </c>
      <c r="E9" s="3" t="str">
        <f>HYPERLINK("https://www.amazon.com/Compact-Pocket-Binoculars-Cleaning-Bundle/dp/B07PYNSSJD/ref=sr_1_1?keywords=Zeiss+Terra+ED+Binocular+8x+25mm+Refurb&amp;qid=1695173066&amp;sr=8-1", "https://www.amazon.com/Compact-Pocket-Binoculars-Cleaning-Bundle/dp/B07PYNSSJD/ref=sr_1_1?keywords=Zeiss+Terra+ED+Binocular+8x+25mm+Refurb&amp;qid=1695173066&amp;sr=8-1")</f>
        <v>https://www.amazon.com/Compact-Pocket-Binoculars-Cleaning-Bundle/dp/B07PYNSSJD/ref=sr_1_1?keywords=Zeiss+Terra+ED+Binocular+8x+25mm+Refurb&amp;qid=1695173066&amp;sr=8-1</v>
      </c>
      <c r="F9" t="s">
        <v>45</v>
      </c>
      <c r="G9" t="e">
        <f ca="1">_xludf.IMAGE("https://media.mwstatic.com/product-images/src/Primary/490/490958.jpg?imwidth=680")</f>
        <v>#NAME?</v>
      </c>
      <c r="H9" t="e">
        <f ca="1">_xludf.IMAGE("https://m.media-amazon.com/images/I/61HFKgQbLlL._AC_UY218_.jpg")</f>
        <v>#NAME?</v>
      </c>
      <c r="I9" t="s">
        <v>41</v>
      </c>
      <c r="J9">
        <v>379.99</v>
      </c>
      <c r="K9" s="4">
        <v>5.3331999999999997</v>
      </c>
      <c r="L9">
        <v>5</v>
      </c>
      <c r="M9">
        <v>4</v>
      </c>
      <c r="O9" t="s">
        <v>25</v>
      </c>
      <c r="P9" t="s">
        <v>42</v>
      </c>
      <c r="Q9" t="s">
        <v>43</v>
      </c>
    </row>
    <row r="10" spans="1:21" ht="15.5" x14ac:dyDescent="0.35">
      <c r="A10" s="3" t="str">
        <f>HYPERLINK("https://ads.midwayusa.com/product/102633417?pid=886482", "https://ads.midwayusa.com/product/102633417?pid=886482")</f>
        <v>https://ads.midwayusa.com/product/102633417?pid=886482</v>
      </c>
      <c r="B10" s="3" t="str">
        <f>HYPERLINK("https://ads.midwayusa.com/product/102633417", "https://ads.midwayusa.com/product/102633417")</f>
        <v>https://ads.midwayusa.com/product/102633417</v>
      </c>
      <c r="C10" t="s">
        <v>46</v>
      </c>
      <c r="D10" t="s">
        <v>44</v>
      </c>
      <c r="E10" s="3" t="str">
        <f>HYPERLINK("https://www.amazon.com/Compact-Pocket-Binoculars-Cleaning-Bundle/dp/B07PYNSSJD/ref=sr_1_1?keywords=Zeiss+Terra+ED+Binocular+8x+25mm+Demo&amp;qid=1695173067&amp;sr=8-1", "https://www.amazon.com/Compact-Pocket-Binoculars-Cleaning-Bundle/dp/B07PYNSSJD/ref=sr_1_1?keywords=Zeiss+Terra+ED+Binocular+8x+25mm+Demo&amp;qid=1695173067&amp;sr=8-1")</f>
        <v>https://www.amazon.com/Compact-Pocket-Binoculars-Cleaning-Bundle/dp/B07PYNSSJD/ref=sr_1_1?keywords=Zeiss+Terra+ED+Binocular+8x+25mm+Demo&amp;qid=1695173067&amp;sr=8-1</v>
      </c>
      <c r="F10" t="s">
        <v>45</v>
      </c>
      <c r="G10" t="e">
        <f ca="1">_xludf.IMAGE("https://media.mwstatic.com/product-images/src/Primary/490/490958.jpg?imwidth=680")</f>
        <v>#NAME?</v>
      </c>
      <c r="H10" t="e">
        <f ca="1">_xludf.IMAGE("https://m.media-amazon.com/images/I/61HFKgQbLlL._AC_UY218_.jpg")</f>
        <v>#NAME?</v>
      </c>
      <c r="I10" t="s">
        <v>41</v>
      </c>
      <c r="J10">
        <v>379.99</v>
      </c>
      <c r="K10" s="4">
        <v>5.3331999999999997</v>
      </c>
      <c r="L10">
        <v>5</v>
      </c>
      <c r="M10">
        <v>4</v>
      </c>
      <c r="O10" t="s">
        <v>25</v>
      </c>
      <c r="P10" t="s">
        <v>42</v>
      </c>
      <c r="Q10" t="s">
        <v>47</v>
      </c>
    </row>
    <row r="11" spans="1:21" ht="15.5" x14ac:dyDescent="0.35">
      <c r="A11" s="3" t="str">
        <f>HYPERLINK("https://ads.midwayusa.com/product/1026334245?pid=718695", "https://ads.midwayusa.com/product/1026334245?pid=718695")</f>
        <v>https://ads.midwayusa.com/product/1026334245?pid=718695</v>
      </c>
      <c r="B11" s="3" t="str">
        <f>HYPERLINK("https://ads.midwayusa.com/product/1026334245", "https://ads.midwayusa.com/product/1026334245")</f>
        <v>https://ads.midwayusa.com/product/1026334245</v>
      </c>
      <c r="C11" t="s">
        <v>38</v>
      </c>
      <c r="D11" t="s">
        <v>48</v>
      </c>
      <c r="E11" s="3" t="str">
        <f>HYPERLINK("https://www.amazon.com/Zeiss-Terra-Black-Orange-Binoculars-524203-9905-000/dp/B09KS3LWT3/ref=sr_1_6?keywords=Zeiss+Terra+ED+Binocular+8x+25mm+Refurb&amp;qid=1695173066&amp;sr=8-6", "https://www.amazon.com/Zeiss-Terra-Black-Orange-Binoculars-524203-9905-000/dp/B09KS3LWT3/ref=sr_1_6?keywords=Zeiss+Terra+ED+Binocular+8x+25mm+Refurb&amp;qid=1695173066&amp;sr=8-6")</f>
        <v>https://www.amazon.com/Zeiss-Terra-Black-Orange-Binoculars-524203-9905-000/dp/B09KS3LWT3/ref=sr_1_6?keywords=Zeiss+Terra+ED+Binocular+8x+25mm+Refurb&amp;qid=1695173066&amp;sr=8-6</v>
      </c>
      <c r="F11" t="s">
        <v>49</v>
      </c>
      <c r="G11" t="e">
        <f ca="1">_xludf.IMAGE("https://media.mwstatic.com/product-images/src/Primary/490/490958.jpg?imwidth=680")</f>
        <v>#NAME?</v>
      </c>
      <c r="H11" t="e">
        <f ca="1">_xludf.IMAGE("https://m.media-amazon.com/images/I/61Kbvf28OrL._AC_UY218_.jpg")</f>
        <v>#NAME?</v>
      </c>
      <c r="I11" t="s">
        <v>41</v>
      </c>
      <c r="J11">
        <v>349.99</v>
      </c>
      <c r="K11" s="4">
        <v>4.8331999999999997</v>
      </c>
      <c r="L11">
        <v>5</v>
      </c>
      <c r="M11">
        <v>5</v>
      </c>
      <c r="O11" t="s">
        <v>25</v>
      </c>
      <c r="P11" t="s">
        <v>42</v>
      </c>
      <c r="Q11" t="s">
        <v>43</v>
      </c>
    </row>
    <row r="12" spans="1:21" ht="15.5" x14ac:dyDescent="0.35">
      <c r="A12" s="3" t="str">
        <f>HYPERLINK("https://ads.midwayusa.com/product/102633417?pid=886482", "https://ads.midwayusa.com/product/102633417?pid=886482")</f>
        <v>https://ads.midwayusa.com/product/102633417?pid=886482</v>
      </c>
      <c r="B12" s="3" t="str">
        <f>HYPERLINK("https://ads.midwayusa.com/product/102633417", "https://ads.midwayusa.com/product/102633417")</f>
        <v>https://ads.midwayusa.com/product/102633417</v>
      </c>
      <c r="C12" t="s">
        <v>46</v>
      </c>
      <c r="D12" t="s">
        <v>48</v>
      </c>
      <c r="E12" s="3" t="str">
        <f>HYPERLINK("https://www.amazon.com/Zeiss-Terra-Black-Orange-Binoculars-524203-9905-000/dp/B09KS3LWT3/ref=sr_1_6?keywords=Zeiss+Terra+ED+Binocular+8x+25mm+Demo&amp;qid=1695173067&amp;sr=8-6", "https://www.amazon.com/Zeiss-Terra-Black-Orange-Binoculars-524203-9905-000/dp/B09KS3LWT3/ref=sr_1_6?keywords=Zeiss+Terra+ED+Binocular+8x+25mm+Demo&amp;qid=1695173067&amp;sr=8-6")</f>
        <v>https://www.amazon.com/Zeiss-Terra-Black-Orange-Binoculars-524203-9905-000/dp/B09KS3LWT3/ref=sr_1_6?keywords=Zeiss+Terra+ED+Binocular+8x+25mm+Demo&amp;qid=1695173067&amp;sr=8-6</v>
      </c>
      <c r="F12" t="s">
        <v>49</v>
      </c>
      <c r="G12" t="e">
        <f ca="1">_xludf.IMAGE("https://media.mwstatic.com/product-images/src/Primary/490/490958.jpg?imwidth=680")</f>
        <v>#NAME?</v>
      </c>
      <c r="H12" t="e">
        <f ca="1">_xludf.IMAGE("https://m.media-amazon.com/images/I/61Kbvf28OrL._AC_UY218_.jpg")</f>
        <v>#NAME?</v>
      </c>
      <c r="I12" t="s">
        <v>41</v>
      </c>
      <c r="J12">
        <v>349.99</v>
      </c>
      <c r="K12" s="4">
        <v>4.8331999999999997</v>
      </c>
      <c r="L12">
        <v>5</v>
      </c>
      <c r="M12">
        <v>5</v>
      </c>
      <c r="O12" t="s">
        <v>25</v>
      </c>
      <c r="P12" t="s">
        <v>42</v>
      </c>
      <c r="Q12" t="s">
        <v>47</v>
      </c>
    </row>
    <row r="13" spans="1:21" ht="15.5" x14ac:dyDescent="0.35">
      <c r="A13" s="3" t="str">
        <f>HYPERLINK("https://ads.midwayusa.com/product/102633417?pid=886482", "https://ads.midwayusa.com/product/102633417?pid=886482")</f>
        <v>https://ads.midwayusa.com/product/102633417?pid=886482</v>
      </c>
      <c r="B13" s="3" t="str">
        <f>HYPERLINK("https://ads.midwayusa.com/product/102633417", "https://ads.midwayusa.com/product/102633417")</f>
        <v>https://ads.midwayusa.com/product/102633417</v>
      </c>
      <c r="C13" t="s">
        <v>46</v>
      </c>
      <c r="D13" t="s">
        <v>50</v>
      </c>
      <c r="E13" s="3" t="str">
        <f>HYPERLINK("https://www.amazon.com/Zeiss-Terra-Black-Green-Binoculars/dp/B06XB45N9K/ref=sr_1_5?keywords=Zeiss+Terra+ED+Binocular+8x+25mm+Demo&amp;qid=1695173067&amp;sr=8-5", "https://www.amazon.com/Zeiss-Terra-Black-Green-Binoculars/dp/B06XB45N9K/ref=sr_1_5?keywords=Zeiss+Terra+ED+Binocular+8x+25mm+Demo&amp;qid=1695173067&amp;sr=8-5")</f>
        <v>https://www.amazon.com/Zeiss-Terra-Black-Green-Binoculars/dp/B06XB45N9K/ref=sr_1_5?keywords=Zeiss+Terra+ED+Binocular+8x+25mm+Demo&amp;qid=1695173067&amp;sr=8-5</v>
      </c>
      <c r="F13" t="s">
        <v>51</v>
      </c>
      <c r="G13" t="e">
        <f ca="1">_xludf.IMAGE("https://media.mwstatic.com/product-images/src/Primary/490/490958.jpg?imwidth=680")</f>
        <v>#NAME?</v>
      </c>
      <c r="H13" t="e">
        <f ca="1">_xludf.IMAGE("https://m.media-amazon.com/images/I/51QOdSfS3zL._AC_UY218_.jpg")</f>
        <v>#NAME?</v>
      </c>
      <c r="I13" t="s">
        <v>41</v>
      </c>
      <c r="J13">
        <v>341.42</v>
      </c>
      <c r="K13" s="4">
        <v>4.6902999999999997</v>
      </c>
      <c r="L13">
        <v>4.7</v>
      </c>
      <c r="M13">
        <v>94</v>
      </c>
      <c r="O13" t="s">
        <v>25</v>
      </c>
      <c r="P13" t="s">
        <v>42</v>
      </c>
      <c r="Q13" t="s">
        <v>47</v>
      </c>
    </row>
    <row r="14" spans="1:21" ht="15.5" x14ac:dyDescent="0.35">
      <c r="A14" s="3" t="str">
        <f>HYPERLINK("https://ads.midwayusa.com/product/1026334245?pid=718695", "https://ads.midwayusa.com/product/1026334245?pid=718695")</f>
        <v>https://ads.midwayusa.com/product/1026334245?pid=718695</v>
      </c>
      <c r="B14" s="3" t="str">
        <f>HYPERLINK("https://ads.midwayusa.com/product/1026334245", "https://ads.midwayusa.com/product/1026334245")</f>
        <v>https://ads.midwayusa.com/product/1026334245</v>
      </c>
      <c r="C14" t="s">
        <v>38</v>
      </c>
      <c r="D14" t="s">
        <v>52</v>
      </c>
      <c r="E14" s="3" t="str">
        <f>HYPERLINK("https://www.amazon.com/ZEISS-Binoculars-Waterproof-Conditions-Sightseeing/dp/B083JD12Z8/ref=sr_1_4?keywords=Zeiss+Terra+ED+Binocular+8x+25mm+Refurb&amp;qid=1695173066&amp;sr=8-4", "https://www.amazon.com/ZEISS-Binoculars-Waterproof-Conditions-Sightseeing/dp/B083JD12Z8/ref=sr_1_4?keywords=Zeiss+Terra+ED+Binocular+8x+25mm+Refurb&amp;qid=1695173066&amp;sr=8-4")</f>
        <v>https://www.amazon.com/ZEISS-Binoculars-Waterproof-Conditions-Sightseeing/dp/B083JD12Z8/ref=sr_1_4?keywords=Zeiss+Terra+ED+Binocular+8x+25mm+Refurb&amp;qid=1695173066&amp;sr=8-4</v>
      </c>
      <c r="F14" t="s">
        <v>53</v>
      </c>
      <c r="G14" t="e">
        <f ca="1">_xludf.IMAGE("https://media.mwstatic.com/product-images/src/Primary/490/490958.jpg?imwidth=680")</f>
        <v>#NAME?</v>
      </c>
      <c r="H14" t="e">
        <f ca="1">_xludf.IMAGE("https://m.media-amazon.com/images/I/51HClP1kdlS._AC_UY218_.jpg")</f>
        <v>#NAME?</v>
      </c>
      <c r="I14" t="s">
        <v>41</v>
      </c>
      <c r="J14">
        <v>340</v>
      </c>
      <c r="K14" s="4">
        <v>4.6666999999999996</v>
      </c>
      <c r="L14">
        <v>4.0999999999999996</v>
      </c>
      <c r="M14">
        <v>7</v>
      </c>
      <c r="O14" t="s">
        <v>25</v>
      </c>
      <c r="P14" t="s">
        <v>42</v>
      </c>
      <c r="Q14" t="s">
        <v>43</v>
      </c>
    </row>
    <row r="15" spans="1:21" ht="15.5" x14ac:dyDescent="0.35">
      <c r="A15" s="3" t="str">
        <f>HYPERLINK("https://ads.midwayusa.com/product/102633417?pid=886482", "https://ads.midwayusa.com/product/102633417?pid=886482")</f>
        <v>https://ads.midwayusa.com/product/102633417?pid=886482</v>
      </c>
      <c r="B15" s="3" t="str">
        <f>HYPERLINK("https://ads.midwayusa.com/product/102633417", "https://ads.midwayusa.com/product/102633417")</f>
        <v>https://ads.midwayusa.com/product/102633417</v>
      </c>
      <c r="C15" t="s">
        <v>46</v>
      </c>
      <c r="D15" t="s">
        <v>52</v>
      </c>
      <c r="E15" s="3" t="str">
        <f>HYPERLINK("https://www.amazon.com/ZEISS-Binoculars-Waterproof-Conditions-Sightseeing/dp/B083JD12Z8/ref=sr_1_4?keywords=Zeiss+Terra+ED+Binocular+8x+25mm+Demo&amp;qid=1695173067&amp;sr=8-4", "https://www.amazon.com/ZEISS-Binoculars-Waterproof-Conditions-Sightseeing/dp/B083JD12Z8/ref=sr_1_4?keywords=Zeiss+Terra+ED+Binocular+8x+25mm+Demo&amp;qid=1695173067&amp;sr=8-4")</f>
        <v>https://www.amazon.com/ZEISS-Binoculars-Waterproof-Conditions-Sightseeing/dp/B083JD12Z8/ref=sr_1_4?keywords=Zeiss+Terra+ED+Binocular+8x+25mm+Demo&amp;qid=1695173067&amp;sr=8-4</v>
      </c>
      <c r="F15" t="s">
        <v>53</v>
      </c>
      <c r="G15" t="e">
        <f ca="1">_xludf.IMAGE("https://media.mwstatic.com/product-images/src/Primary/490/490958.jpg?imwidth=680")</f>
        <v>#NAME?</v>
      </c>
      <c r="H15" t="e">
        <f ca="1">_xludf.IMAGE("https://m.media-amazon.com/images/I/51HClP1kdlS._AC_UY218_.jpg")</f>
        <v>#NAME?</v>
      </c>
      <c r="I15" t="s">
        <v>41</v>
      </c>
      <c r="J15">
        <v>340</v>
      </c>
      <c r="K15" s="4">
        <v>4.6666999999999996</v>
      </c>
      <c r="L15">
        <v>4.0999999999999996</v>
      </c>
      <c r="M15">
        <v>7</v>
      </c>
      <c r="O15" t="s">
        <v>25</v>
      </c>
      <c r="P15" t="s">
        <v>42</v>
      </c>
      <c r="Q15" t="s">
        <v>47</v>
      </c>
    </row>
    <row r="16" spans="1:21" ht="15.5" x14ac:dyDescent="0.35">
      <c r="A16" s="3" t="str">
        <f>HYPERLINK("https://ads.midwayusa.com/product/1017102050?pid=183372", "https://ads.midwayusa.com/product/1017102050?pid=183372")</f>
        <v>https://ads.midwayusa.com/product/1017102050?pid=183372</v>
      </c>
      <c r="B16" s="3" t="str">
        <f>HYPERLINK("https://ads.midwayusa.com/product/1017102050", "https://ads.midwayusa.com/product/1017102050")</f>
        <v>https://ads.midwayusa.com/product/1017102050</v>
      </c>
      <c r="C16" t="s">
        <v>54</v>
      </c>
      <c r="D16" t="s">
        <v>55</v>
      </c>
      <c r="E16" s="3" t="str">
        <f>HYPERLINK("https://www.amazon.com/SOG-PowerLock-EOD-Black-Oxide-Nylon-Sheath-CP/dp/B01DT4WW7C/ref=sr_1_7?keywords=SOG+MacV+Multi-Tool+Black+Steel&amp;qid=1695173084&amp;sr=8-7", "https://www.amazon.com/SOG-PowerLock-EOD-Black-Oxide-Nylon-Sheath-CP/dp/B01DT4WW7C/ref=sr_1_7?keywords=SOG+MacV+Multi-Tool+Black+Steel&amp;qid=1695173084&amp;sr=8-7")</f>
        <v>https://www.amazon.com/SOG-PowerLock-EOD-Black-Oxide-Nylon-Sheath-CP/dp/B01DT4WW7C/ref=sr_1_7?keywords=SOG+MacV+Multi-Tool+Black+Steel&amp;qid=1695173084&amp;sr=8-7</v>
      </c>
      <c r="F16" t="s">
        <v>56</v>
      </c>
      <c r="G16" t="e">
        <f ca="1">_xludf.IMAGE("https://media.mwstatic.com/product-images/src/Primary/183/183372.jpg?imwidth=680")</f>
        <v>#NAME?</v>
      </c>
      <c r="H16" t="e">
        <f ca="1">_xludf.IMAGE("https://m.media-amazon.com/images/I/61Q5PhfdrQL._AC_UL320_.jpg")</f>
        <v>#NAME?</v>
      </c>
      <c r="I16" t="s">
        <v>57</v>
      </c>
      <c r="J16">
        <v>64.88</v>
      </c>
      <c r="K16" s="4">
        <v>4.4705000000000004</v>
      </c>
      <c r="L16">
        <v>4.4000000000000004</v>
      </c>
      <c r="M16">
        <v>6</v>
      </c>
      <c r="O16" t="s">
        <v>25</v>
      </c>
      <c r="P16" t="s">
        <v>58</v>
      </c>
      <c r="Q16" t="s">
        <v>59</v>
      </c>
    </row>
    <row r="17" spans="1:17" ht="15.5" x14ac:dyDescent="0.35">
      <c r="A17" s="3" t="str">
        <f>HYPERLINK("https://ads.midwayusa.com/product/1017102050?pid=183372", "https://ads.midwayusa.com/product/1017102050?pid=183372")</f>
        <v>https://ads.midwayusa.com/product/1017102050?pid=183372</v>
      </c>
      <c r="B17" s="3" t="str">
        <f>HYPERLINK("https://ads.midwayusa.com/product/1017102050", "https://ads.midwayusa.com/product/1017102050")</f>
        <v>https://ads.midwayusa.com/product/1017102050</v>
      </c>
      <c r="C17" t="s">
        <v>54</v>
      </c>
      <c r="D17" t="s">
        <v>60</v>
      </c>
      <c r="E17" s="3" t="str">
        <f>HYPERLINK("https://www.amazon.com/SOG-Multitool-Pliers-Pocket-Tool/dp/B000JD08ZU/ref=sr_1_3?keywords=SOG+MacV+Multi-Tool+Black+Steel&amp;qid=1695173084&amp;sr=8-3", "https://www.amazon.com/SOG-Multitool-Pliers-Pocket-Tool/dp/B000JD08ZU/ref=sr_1_3?keywords=SOG+MacV+Multi-Tool+Black+Steel&amp;qid=1695173084&amp;sr=8-3")</f>
        <v>https://www.amazon.com/SOG-Multitool-Pliers-Pocket-Tool/dp/B000JD08ZU/ref=sr_1_3?keywords=SOG+MacV+Multi-Tool+Black+Steel&amp;qid=1695173084&amp;sr=8-3</v>
      </c>
      <c r="F17" t="s">
        <v>61</v>
      </c>
      <c r="G17" t="e">
        <f ca="1">_xludf.IMAGE("https://media.mwstatic.com/product-images/src/Primary/183/183372.jpg?imwidth=680")</f>
        <v>#NAME?</v>
      </c>
      <c r="H17" t="e">
        <f ca="1">_xludf.IMAGE("https://m.media-amazon.com/images/I/71pJSIRL2VL._AC_UL320_.jpg")</f>
        <v>#NAME?</v>
      </c>
      <c r="I17" t="s">
        <v>57</v>
      </c>
      <c r="J17">
        <v>64.040000000000006</v>
      </c>
      <c r="K17" s="4">
        <v>4.3997000000000002</v>
      </c>
      <c r="L17">
        <v>4.5999999999999996</v>
      </c>
      <c r="M17">
        <v>925</v>
      </c>
      <c r="O17" t="s">
        <v>25</v>
      </c>
      <c r="P17" t="s">
        <v>58</v>
      </c>
      <c r="Q17" t="s">
        <v>59</v>
      </c>
    </row>
    <row r="18" spans="1:17" ht="15.5" x14ac:dyDescent="0.35">
      <c r="A18" s="3" t="str">
        <f>HYPERLINK("https://ads.midwayusa.com/product/1017102050?pid=183372", "https://ads.midwayusa.com/product/1017102050?pid=183372")</f>
        <v>https://ads.midwayusa.com/product/1017102050?pid=183372</v>
      </c>
      <c r="B18" s="3" t="str">
        <f>HYPERLINK("https://ads.midwayusa.com/product/1017102050", "https://ads.midwayusa.com/product/1017102050")</f>
        <v>https://ads.midwayusa.com/product/1017102050</v>
      </c>
      <c r="C18" t="s">
        <v>54</v>
      </c>
      <c r="D18" t="s">
        <v>62</v>
      </c>
      <c r="E18" s="3" t="str">
        <f>HYPERLINK("https://www.amazon.com/SOG-PA1002CP-PowerAccess-Multi-Tool-Black/dp/B08RQVMF92/ref=sr_1_5?keywords=SOG+MacV+Multi-Tool+Black+Steel&amp;qid=1695173084&amp;sr=8-5", "https://www.amazon.com/SOG-PA1002CP-PowerAccess-Multi-Tool-Black/dp/B08RQVMF92/ref=sr_1_5?keywords=SOG+MacV+Multi-Tool+Black+Steel&amp;qid=1695173084&amp;sr=8-5")</f>
        <v>https://www.amazon.com/SOG-PA1002CP-PowerAccess-Multi-Tool-Black/dp/B08RQVMF92/ref=sr_1_5?keywords=SOG+MacV+Multi-Tool+Black+Steel&amp;qid=1695173084&amp;sr=8-5</v>
      </c>
      <c r="F18" t="s">
        <v>63</v>
      </c>
      <c r="G18" t="e">
        <f ca="1">_xludf.IMAGE("https://media.mwstatic.com/product-images/src/Primary/183/183372.jpg?imwidth=680")</f>
        <v>#NAME?</v>
      </c>
      <c r="H18" t="e">
        <f ca="1">_xludf.IMAGE("https://m.media-amazon.com/images/I/615QyPQFcYL._AC_UL320_.jpg")</f>
        <v>#NAME?</v>
      </c>
      <c r="I18" t="s">
        <v>57</v>
      </c>
      <c r="J18">
        <v>51.26</v>
      </c>
      <c r="K18" s="4">
        <v>3.3220999999999998</v>
      </c>
      <c r="L18">
        <v>4.4000000000000004</v>
      </c>
      <c r="M18">
        <v>154</v>
      </c>
      <c r="O18" t="s">
        <v>25</v>
      </c>
      <c r="P18" t="s">
        <v>58</v>
      </c>
      <c r="Q18" t="s">
        <v>59</v>
      </c>
    </row>
    <row r="19" spans="1:17" ht="15.5" x14ac:dyDescent="0.35">
      <c r="A19" s="3" t="str">
        <f>HYPERLINK("https://ads.midwayusa.com/product/1024124655?pid=991337", "https://ads.midwayusa.com/product/1024124655?pid=991337")</f>
        <v>https://ads.midwayusa.com/product/1024124655?pid=991337</v>
      </c>
      <c r="B19" s="3" t="str">
        <f>HYPERLINK("https://ads.midwayusa.com/product/1024124655", "https://ads.midwayusa.com/product/1024124655")</f>
        <v>https://ads.midwayusa.com/product/1024124655</v>
      </c>
      <c r="C19" t="s">
        <v>64</v>
      </c>
      <c r="D19" t="s">
        <v>65</v>
      </c>
      <c r="E19" s="3" t="str">
        <f>HYPERLINK("https://www.amazon.com/SOG-High-Performance-S35VN-Steel-Ambidextrous/dp/B08KH6V61B/ref=sr_1_6?keywords=SOG+Altair+XR+Folding+Knife&amp;qid=1695173066&amp;sr=8-6", "https://www.amazon.com/SOG-High-Performance-S35VN-Steel-Ambidextrous/dp/B08KH6V61B/ref=sr_1_6?keywords=SOG+Altair+XR+Folding+Knife&amp;qid=1695173066&amp;sr=8-6")</f>
        <v>https://www.amazon.com/SOG-High-Performance-S35VN-Steel-Ambidextrous/dp/B08KH6V61B/ref=sr_1_6?keywords=SOG+Altair+XR+Folding+Knife&amp;qid=1695173066&amp;sr=8-6</v>
      </c>
      <c r="F19" t="s">
        <v>66</v>
      </c>
      <c r="G19" t="e">
        <f ca="1">_xludf.IMAGE("https://media.mwstatic.com/product-images/src/Primary/991/991337.jpg?imwidth=680")</f>
        <v>#NAME?</v>
      </c>
      <c r="H19" t="e">
        <f ca="1">_xludf.IMAGE("https://m.media-amazon.com/images/I/41Q3hjdyYWL._AC_UL320_.jpg")</f>
        <v>#NAME?</v>
      </c>
      <c r="I19" t="s">
        <v>67</v>
      </c>
      <c r="J19">
        <v>159.82</v>
      </c>
      <c r="K19" s="4">
        <v>3.2629999999999999</v>
      </c>
      <c r="L19">
        <v>4.7</v>
      </c>
      <c r="M19">
        <v>117</v>
      </c>
      <c r="O19" t="s">
        <v>25</v>
      </c>
      <c r="P19" t="s">
        <v>68</v>
      </c>
      <c r="Q19" t="s">
        <v>69</v>
      </c>
    </row>
    <row r="20" spans="1:17" ht="15.5" x14ac:dyDescent="0.35">
      <c r="A20" s="3" t="str">
        <f>HYPERLINK("https://ads.midwayusa.com/product/1019881370?pid=864198", "https://ads.midwayusa.com/product/1019881370?pid=864198")</f>
        <v>https://ads.midwayusa.com/product/1019881370?pid=864198</v>
      </c>
      <c r="B20" s="3" t="str">
        <f>HYPERLINK("https://ads.midwayusa.com/product/1019881370", "https://ads.midwayusa.com/product/1019881370")</f>
        <v>https://ads.midwayusa.com/product/1019881370</v>
      </c>
      <c r="C20" t="s">
        <v>70</v>
      </c>
      <c r="D20" t="s">
        <v>71</v>
      </c>
      <c r="E20" s="3" t="str">
        <f>HYPERLINK("https://www.amazon.com/Walkers-Bluetooth-Cancelling-Protection-Ear-Muffs/dp/B07JJCD7TM/ref=sr_1_3?keywords=Walkers+Xcel+500+Bluetooth+Electronic+Earmuffs+%28NRR+26dB%29&amp;qid=1695173067&amp;sr=8-3", "https://www.amazon.com/Walkers-Bluetooth-Cancelling-Protection-Ear-Muffs/dp/B07JJCD7TM/ref=sr_1_3?keywords=Walkers+Xcel+500+Bluetooth+Electronic+Earmuffs+%28NRR+26dB%29&amp;qid=1695173067&amp;sr=8-3")</f>
        <v>https://www.amazon.com/Walkers-Bluetooth-Cancelling-Protection-Ear-Muffs/dp/B07JJCD7TM/ref=sr_1_3?keywords=Walkers+Xcel+500+Bluetooth+Electronic+Earmuffs+%28NRR+26dB%29&amp;qid=1695173067&amp;sr=8-3</v>
      </c>
      <c r="F20" t="s">
        <v>72</v>
      </c>
      <c r="G20" t="e">
        <f ca="1">_xludf.IMAGE("https://media.mwstatic.com/product-images/src/Primary/864/864198.jpg?imwidth=680")</f>
        <v>#NAME?</v>
      </c>
      <c r="H20" t="e">
        <f ca="1">_xludf.IMAGE("https://m.media-amazon.com/images/I/71u8ubCtC0L._AC_UL320_.jpg")</f>
        <v>#NAME?</v>
      </c>
      <c r="I20" t="s">
        <v>73</v>
      </c>
      <c r="J20">
        <v>185.99</v>
      </c>
      <c r="K20" s="4">
        <v>3.1331000000000002</v>
      </c>
      <c r="L20">
        <v>4.4000000000000004</v>
      </c>
      <c r="M20">
        <v>82</v>
      </c>
      <c r="O20" t="s">
        <v>25</v>
      </c>
      <c r="P20" t="s">
        <v>74</v>
      </c>
      <c r="Q20" t="s">
        <v>75</v>
      </c>
    </row>
    <row r="21" spans="1:17" ht="15.5" x14ac:dyDescent="0.35">
      <c r="A21" s="3" t="str">
        <f>HYPERLINK("https://ads.midwayusa.com/product/102371904?pid=890690", "https://ads.midwayusa.com/product/102371904?pid=890690")</f>
        <v>https://ads.midwayusa.com/product/102371904?pid=890690</v>
      </c>
      <c r="B21" s="3" t="str">
        <f>HYPERLINK("https://ads.midwayusa.com/product/102371904", "https://ads.midwayusa.com/product/102371904")</f>
        <v>https://ads.midwayusa.com/product/102371904</v>
      </c>
      <c r="C21" t="s">
        <v>76</v>
      </c>
      <c r="D21" t="s">
        <v>77</v>
      </c>
      <c r="E21" s="3" t="str">
        <f>HYPERLINK("https://www.amazon.com/SOG-Outdoor-Ambidextrous-Ergonomic-Spine-Mounted/dp/B09P8WXR9V/ref=sr_1_6?keywords=SOG+Terminus+XR+Folding+Knife+D2+Steel&amp;qid=1695173067&amp;sr=8-6", "https://www.amazon.com/SOG-Outdoor-Ambidextrous-Ergonomic-Spine-Mounted/dp/B09P8WXR9V/ref=sr_1_6?keywords=SOG+Terminus+XR+Folding+Knife+D2+Steel&amp;qid=1695173067&amp;sr=8-6")</f>
        <v>https://www.amazon.com/SOG-Outdoor-Ambidextrous-Ergonomic-Spine-Mounted/dp/B09P8WXR9V/ref=sr_1_6?keywords=SOG+Terminus+XR+Folding+Knife+D2+Steel&amp;qid=1695173067&amp;sr=8-6</v>
      </c>
      <c r="F21" t="s">
        <v>78</v>
      </c>
      <c r="G21" t="e">
        <f ca="1">_xludf.IMAGE("https://media.mwstatic.com/product-images/src/Primary/890/890690.jpg?imwidth=680")</f>
        <v>#NAME?</v>
      </c>
      <c r="H21" t="e">
        <f ca="1">_xludf.IMAGE("https://m.media-amazon.com/images/I/41LfBnXgZKL._AC_UL320_.jpg")</f>
        <v>#NAME?</v>
      </c>
      <c r="I21" t="s">
        <v>79</v>
      </c>
      <c r="J21">
        <v>70</v>
      </c>
      <c r="K21" s="4">
        <v>2.8910999999999998</v>
      </c>
      <c r="L21">
        <v>4.4000000000000004</v>
      </c>
      <c r="M21">
        <v>21</v>
      </c>
      <c r="O21" t="s">
        <v>25</v>
      </c>
      <c r="P21" t="s">
        <v>80</v>
      </c>
      <c r="Q21" t="s">
        <v>81</v>
      </c>
    </row>
    <row r="22" spans="1:17" ht="15.5" x14ac:dyDescent="0.35">
      <c r="A22" s="3" t="str">
        <f>HYPERLINK("https://ads.midwayusa.com/product/102371904?pid=890690", "https://ads.midwayusa.com/product/102371904?pid=890690")</f>
        <v>https://ads.midwayusa.com/product/102371904?pid=890690</v>
      </c>
      <c r="B22" s="3" t="str">
        <f>HYPERLINK("https://ads.midwayusa.com/product/102371904", "https://ads.midwayusa.com/product/102371904")</f>
        <v>https://ads.midwayusa.com/product/102371904</v>
      </c>
      <c r="C22" t="s">
        <v>76</v>
      </c>
      <c r="D22" t="s">
        <v>82</v>
      </c>
      <c r="E22" s="3" t="str">
        <f>HYPERLINK("https://www.amazon.com/SOG-Ambidextrous-Adjustable-Stonewashed-Hardware/dp/B08RQJL1TB/ref=sr_1_2?keywords=SOG+Terminus+XR+Folding+Knife+D2+Steel&amp;qid=1695173067&amp;sr=8-2", "https://www.amazon.com/SOG-Ambidextrous-Adjustable-Stonewashed-Hardware/dp/B08RQJL1TB/ref=sr_1_2?keywords=SOG+Terminus+XR+Folding+Knife+D2+Steel&amp;qid=1695173067&amp;sr=8-2")</f>
        <v>https://www.amazon.com/SOG-Ambidextrous-Adjustable-Stonewashed-Hardware/dp/B08RQJL1TB/ref=sr_1_2?keywords=SOG+Terminus+XR+Folding+Knife+D2+Steel&amp;qid=1695173067&amp;sr=8-2</v>
      </c>
      <c r="F22" t="s">
        <v>83</v>
      </c>
      <c r="G22" t="e">
        <f ca="1">_xludf.IMAGE("https://media.mwstatic.com/product-images/src/Primary/890/890690.jpg?imwidth=680")</f>
        <v>#NAME?</v>
      </c>
      <c r="H22" t="e">
        <f ca="1">_xludf.IMAGE("https://m.media-amazon.com/images/I/516CF3pU4DL._AC_UL320_.jpg")</f>
        <v>#NAME?</v>
      </c>
      <c r="I22" t="s">
        <v>79</v>
      </c>
      <c r="J22">
        <v>49.55</v>
      </c>
      <c r="K22" s="4">
        <v>1.7543</v>
      </c>
      <c r="L22">
        <v>4.3</v>
      </c>
      <c r="M22">
        <v>290</v>
      </c>
      <c r="O22" t="s">
        <v>25</v>
      </c>
      <c r="P22" t="s">
        <v>80</v>
      </c>
      <c r="Q22" t="s">
        <v>81</v>
      </c>
    </row>
    <row r="23" spans="1:17" ht="15.5" x14ac:dyDescent="0.35">
      <c r="A23" s="3" t="str">
        <f>HYPERLINK("https://ads.midwayusa.com/product/102371904?pid=890690", "https://ads.midwayusa.com/product/102371904?pid=890690")</f>
        <v>https://ads.midwayusa.com/product/102371904?pid=890690</v>
      </c>
      <c r="B23" s="3" t="str">
        <f>HYPERLINK("https://ads.midwayusa.com/product/102371904", "https://ads.midwayusa.com/product/102371904")</f>
        <v>https://ads.midwayusa.com/product/102371904</v>
      </c>
      <c r="C23" t="s">
        <v>76</v>
      </c>
      <c r="D23" t="s">
        <v>84</v>
      </c>
      <c r="E23" s="3" t="str">
        <f>HYPERLINK("https://www.amazon.com/SOG-SOGTM1022BX-Terminus-G10-Green/dp/B0817DMXLG/ref=sr_1_1?keywords=SOG+Terminus+XR+Folding+Knife+D2+Steel&amp;qid=1695173067&amp;sr=8-1", "https://www.amazon.com/SOG-SOGTM1022BX-Terminus-G10-Green/dp/B0817DMXLG/ref=sr_1_1?keywords=SOG+Terminus+XR+Folding+Knife+D2+Steel&amp;qid=1695173067&amp;sr=8-1")</f>
        <v>https://www.amazon.com/SOG-SOGTM1022BX-Terminus-G10-Green/dp/B0817DMXLG/ref=sr_1_1?keywords=SOG+Terminus+XR+Folding+Knife+D2+Steel&amp;qid=1695173067&amp;sr=8-1</v>
      </c>
      <c r="F23" t="s">
        <v>85</v>
      </c>
      <c r="G23" t="e">
        <f ca="1">_xludf.IMAGE("https://media.mwstatic.com/product-images/src/Primary/890/890690.jpg?imwidth=680")</f>
        <v>#NAME?</v>
      </c>
      <c r="H23" t="e">
        <f ca="1">_xludf.IMAGE("https://m.media-amazon.com/images/I/41ZGCRPGZvL._AC_UL320_.jpg")</f>
        <v>#NAME?</v>
      </c>
      <c r="I23" t="s">
        <v>79</v>
      </c>
      <c r="J23">
        <v>49.11</v>
      </c>
      <c r="K23" s="4">
        <v>1.7298</v>
      </c>
      <c r="L23">
        <v>4.5</v>
      </c>
      <c r="M23">
        <v>153</v>
      </c>
      <c r="O23" t="s">
        <v>25</v>
      </c>
      <c r="P23" t="s">
        <v>80</v>
      </c>
      <c r="Q23" t="s">
        <v>81</v>
      </c>
    </row>
    <row r="24" spans="1:17" ht="15.5" x14ac:dyDescent="0.35">
      <c r="A24" s="3" t="str">
        <f>HYPERLINK("https://ads.midwayusa.com/product/1024124655?pid=991337", "https://ads.midwayusa.com/product/1024124655?pid=991337")</f>
        <v>https://ads.midwayusa.com/product/1024124655?pid=991337</v>
      </c>
      <c r="B24" s="3" t="str">
        <f>HYPERLINK("https://ads.midwayusa.com/product/1024124655", "https://ads.midwayusa.com/product/1024124655")</f>
        <v>https://ads.midwayusa.com/product/1024124655</v>
      </c>
      <c r="C24" t="s">
        <v>64</v>
      </c>
      <c r="D24" t="s">
        <v>86</v>
      </c>
      <c r="E24" s="3" t="str">
        <f>HYPERLINK("https://www.amazon.com/SOG-Ultra-XR-Carbon-Gold/dp/B08CWZW63X/ref=sr_1_5?keywords=SOG+Altair+XR+Folding+Knife&amp;qid=1695173066&amp;sr=8-5", "https://www.amazon.com/SOG-Ultra-XR-Carbon-Gold/dp/B08CWZW63X/ref=sr_1_5?keywords=SOG+Altair+XR+Folding+Knife&amp;qid=1695173066&amp;sr=8-5")</f>
        <v>https://www.amazon.com/SOG-Ultra-XR-Carbon-Gold/dp/B08CWZW63X/ref=sr_1_5?keywords=SOG+Altair+XR+Folding+Knife&amp;qid=1695173066&amp;sr=8-5</v>
      </c>
      <c r="F24" t="s">
        <v>87</v>
      </c>
      <c r="G24" t="e">
        <f ca="1">_xludf.IMAGE("https://media.mwstatic.com/product-images/src/Primary/991/991337.jpg?imwidth=680")</f>
        <v>#NAME?</v>
      </c>
      <c r="H24" t="e">
        <f ca="1">_xludf.IMAGE("https://m.media-amazon.com/images/I/41vNIvwBkNL._AC_UL320_.jpg")</f>
        <v>#NAME?</v>
      </c>
      <c r="I24" t="s">
        <v>67</v>
      </c>
      <c r="J24">
        <v>90.24</v>
      </c>
      <c r="K24" s="4">
        <v>1.407</v>
      </c>
      <c r="L24">
        <v>4.4000000000000004</v>
      </c>
      <c r="M24">
        <v>52</v>
      </c>
      <c r="O24" t="s">
        <v>25</v>
      </c>
      <c r="P24" t="s">
        <v>68</v>
      </c>
      <c r="Q24" t="s">
        <v>69</v>
      </c>
    </row>
    <row r="25" spans="1:17" ht="15.5" x14ac:dyDescent="0.35">
      <c r="A25" s="3" t="str">
        <f>HYPERLINK("https://ads.midwayusa.com/product/1024683877?pid=340967", "https://ads.midwayusa.com/product/1024683877?pid=340967")</f>
        <v>https://ads.midwayusa.com/product/1024683877?pid=340967</v>
      </c>
      <c r="B25" s="3" t="str">
        <f>HYPERLINK("https://ads.midwayusa.com/product/1024683877", "https://ads.midwayusa.com/product/1024683877")</f>
        <v>https://ads.midwayusa.com/product/1024683877</v>
      </c>
      <c r="C25" t="s">
        <v>88</v>
      </c>
      <c r="D25" t="s">
        <v>89</v>
      </c>
      <c r="E25" s="3"/>
      <c r="F25" t="s">
        <v>90</v>
      </c>
      <c r="G25" t="e">
        <f ca="1">_xludf.IMAGE("https://media.mwstatic.com/product-images/src/Primary/340/340967.jpg?imwidth=680")</f>
        <v>#NAME?</v>
      </c>
      <c r="H25" t="e">
        <f ca="1">_xludf.IMAGE("https://m.media-amazon.com/images/I/61tVOBiujUL._AC_UL320_.jpg")</f>
        <v>#NAME?</v>
      </c>
      <c r="I25" t="s">
        <v>91</v>
      </c>
      <c r="J25">
        <v>61.72</v>
      </c>
      <c r="K25" s="4">
        <v>0.76539999999999997</v>
      </c>
      <c r="L25">
        <v>4.7</v>
      </c>
      <c r="M25">
        <v>694</v>
      </c>
      <c r="O25" t="s">
        <v>25</v>
      </c>
      <c r="P25" t="s">
        <v>92</v>
      </c>
      <c r="Q25" t="s">
        <v>93</v>
      </c>
    </row>
    <row r="26" spans="1:17" ht="15.5" x14ac:dyDescent="0.35">
      <c r="A26" s="3" t="str">
        <f>HYPERLINK("https://ads.midwayusa.com/product/1024683877?pid=340967", "https://ads.midwayusa.com/product/1024683877?pid=340967")</f>
        <v>https://ads.midwayusa.com/product/1024683877?pid=340967</v>
      </c>
      <c r="B26" s="3" t="str">
        <f>HYPERLINK("https://ads.midwayusa.com/product/1024683877", "https://ads.midwayusa.com/product/1024683877")</f>
        <v>https://ads.midwayusa.com/product/1024683877</v>
      </c>
      <c r="C26" t="s">
        <v>88</v>
      </c>
      <c r="D26" t="s">
        <v>94</v>
      </c>
      <c r="E26" s="3" t="str">
        <f>HYPERLINK("https://www.amazon.com/SOG-PA2002-CP-PowerAccess-Deluxe-Multi-Tool/dp/B08RQZ6996/ref=sr_1_7?keywords=SOG+Powerpint+Multi-Tool&amp;qid=1695173066&amp;sr=8-7", "https://www.amazon.com/SOG-PA2002-CP-PowerAccess-Deluxe-Multi-Tool/dp/B08RQZ6996/ref=sr_1_7?keywords=SOG+Powerpint+Multi-Tool&amp;qid=1695173066&amp;sr=8-7")</f>
        <v>https://www.amazon.com/SOG-PA2002-CP-PowerAccess-Deluxe-Multi-Tool/dp/B08RQZ6996/ref=sr_1_7?keywords=SOG+Powerpint+Multi-Tool&amp;qid=1695173066&amp;sr=8-7</v>
      </c>
      <c r="F26" t="s">
        <v>95</v>
      </c>
      <c r="G26" t="e">
        <f ca="1">_xludf.IMAGE("https://media.mwstatic.com/product-images/src/Primary/340/340967.jpg?imwidth=680")</f>
        <v>#NAME?</v>
      </c>
      <c r="H26" t="e">
        <f ca="1">_xludf.IMAGE("https://m.media-amazon.com/images/I/51EJBSDyt8L._AC_UL320_.jpg")</f>
        <v>#NAME?</v>
      </c>
      <c r="I26" t="s">
        <v>91</v>
      </c>
      <c r="J26">
        <v>58.88</v>
      </c>
      <c r="K26" s="4">
        <v>0.68420000000000003</v>
      </c>
      <c r="L26">
        <v>4.3</v>
      </c>
      <c r="M26">
        <v>297</v>
      </c>
      <c r="O26" t="s">
        <v>25</v>
      </c>
      <c r="P26" t="s">
        <v>92</v>
      </c>
      <c r="Q26" t="s">
        <v>93</v>
      </c>
    </row>
    <row r="27" spans="1:17" ht="15.5" x14ac:dyDescent="0.35">
      <c r="A27" s="3" t="str">
        <f>HYPERLINK("https://ads.midwayusa.com/product/1024683877?pid=340967", "https://ads.midwayusa.com/product/1024683877?pid=340967")</f>
        <v>https://ads.midwayusa.com/product/1024683877?pid=340967</v>
      </c>
      <c r="B27" s="3" t="str">
        <f>HYPERLINK("https://ads.midwayusa.com/product/1024683877", "https://ads.midwayusa.com/product/1024683877")</f>
        <v>https://ads.midwayusa.com/product/1024683877</v>
      </c>
      <c r="C27" t="s">
        <v>88</v>
      </c>
      <c r="D27" t="s">
        <v>96</v>
      </c>
      <c r="E27" s="3" t="str">
        <f>HYPERLINK("https://www.amazon.com/SOG-Multitool-Pocket-Tool-PowerLitre/dp/B077LYZ951/ref=sr_1_8?keywords=SOG+Powerpint+Multi-Tool&amp;qid=1695173066&amp;sr=8-8", "https://www.amazon.com/SOG-Multitool-Pocket-Tool-PowerLitre/dp/B077LYZ951/ref=sr_1_8?keywords=SOG+Powerpint+Multi-Tool&amp;qid=1695173066&amp;sr=8-8")</f>
        <v>https://www.amazon.com/SOG-Multitool-Pocket-Tool-PowerLitre/dp/B077LYZ951/ref=sr_1_8?keywords=SOG+Powerpint+Multi-Tool&amp;qid=1695173066&amp;sr=8-8</v>
      </c>
      <c r="F27" t="s">
        <v>97</v>
      </c>
      <c r="G27" t="e">
        <f ca="1">_xludf.IMAGE("https://media.mwstatic.com/product-images/src/Primary/340/340967.jpg?imwidth=680")</f>
        <v>#NAME?</v>
      </c>
      <c r="H27" t="e">
        <f ca="1">_xludf.IMAGE("https://m.media-amazon.com/images/I/51BRIo96BIL._AC_UL320_.jpg")</f>
        <v>#NAME?</v>
      </c>
      <c r="I27" t="s">
        <v>91</v>
      </c>
      <c r="J27">
        <v>52.84</v>
      </c>
      <c r="K27" s="4">
        <v>0.51139999999999997</v>
      </c>
      <c r="L27">
        <v>4.5</v>
      </c>
      <c r="M27">
        <v>139</v>
      </c>
      <c r="O27" t="s">
        <v>25</v>
      </c>
      <c r="P27" t="s">
        <v>92</v>
      </c>
      <c r="Q27" t="s">
        <v>93</v>
      </c>
    </row>
    <row r="28" spans="1:17" ht="15.5" x14ac:dyDescent="0.35">
      <c r="A28" s="3" t="str">
        <f>HYPERLINK("https://ads.midwayusa.com/product/1024683877?pid=340967", "https://ads.midwayusa.com/product/1024683877?pid=340967")</f>
        <v>https://ads.midwayusa.com/product/1024683877?pid=340967</v>
      </c>
      <c r="B28" s="3" t="str">
        <f>HYPERLINK("https://ads.midwayusa.com/product/1024683877", "https://ads.midwayusa.com/product/1024683877")</f>
        <v>https://ads.midwayusa.com/product/1024683877</v>
      </c>
      <c r="C28" t="s">
        <v>88</v>
      </c>
      <c r="D28" t="s">
        <v>96</v>
      </c>
      <c r="E28" s="3"/>
      <c r="F28" t="s">
        <v>97</v>
      </c>
      <c r="G28" t="e">
        <f ca="1">_xludf.IMAGE("https://media.mwstatic.com/product-images/src/Primary/340/340967.jpg?imwidth=680")</f>
        <v>#NAME?</v>
      </c>
      <c r="H28" t="e">
        <f ca="1">_xludf.IMAGE("https://m.media-amazon.com/images/I/51BRIo96BIL._AC_UL320_.jpg")</f>
        <v>#NAME?</v>
      </c>
      <c r="I28" t="s">
        <v>91</v>
      </c>
      <c r="J28">
        <v>52.84</v>
      </c>
      <c r="K28" s="4">
        <v>0.51139999999999997</v>
      </c>
      <c r="L28">
        <v>4.5</v>
      </c>
      <c r="M28">
        <v>139</v>
      </c>
      <c r="O28" t="s">
        <v>25</v>
      </c>
      <c r="P28" t="s">
        <v>92</v>
      </c>
      <c r="Q28" t="s">
        <v>93</v>
      </c>
    </row>
    <row r="29" spans="1:17" ht="15.5" x14ac:dyDescent="0.35">
      <c r="A29" s="3" t="str">
        <f>HYPERLINK("https://ads.midwayusa.com/product/1024683877?pid=340967", "https://ads.midwayusa.com/product/1024683877?pid=340967")</f>
        <v>https://ads.midwayusa.com/product/1024683877?pid=340967</v>
      </c>
      <c r="B29" s="3" t="str">
        <f>HYPERLINK("https://ads.midwayusa.com/product/1024683877", "https://ads.midwayusa.com/product/1024683877")</f>
        <v>https://ads.midwayusa.com/product/1024683877</v>
      </c>
      <c r="C29" t="s">
        <v>88</v>
      </c>
      <c r="D29" t="s">
        <v>98</v>
      </c>
      <c r="E29" s="3" t="str">
        <f>HYPERLINK("https://www.amazon.com/SOG-Multitool-Pliers-Pocket-Tool/dp/B077M3GMJT/ref=sr_1_6?keywords=SOG+Powerpint+Multi-Tool&amp;qid=1695173066&amp;sr=8-6", "https://www.amazon.com/SOG-Multitool-Pliers-Pocket-Tool/dp/B077M3GMJT/ref=sr_1_6?keywords=SOG+Powerpint+Multi-Tool&amp;qid=1695173066&amp;sr=8-6")</f>
        <v>https://www.amazon.com/SOG-Multitool-Pliers-Pocket-Tool/dp/B077M3GMJT/ref=sr_1_6?keywords=SOG+Powerpint+Multi-Tool&amp;qid=1695173066&amp;sr=8-6</v>
      </c>
      <c r="F29" t="s">
        <v>99</v>
      </c>
      <c r="G29" t="e">
        <f ca="1">_xludf.IMAGE("https://media.mwstatic.com/product-images/src/Primary/340/340967.jpg?imwidth=680")</f>
        <v>#NAME?</v>
      </c>
      <c r="H29" t="e">
        <f ca="1">_xludf.IMAGE("https://m.media-amazon.com/images/I/61vfYq4kY3L._AC_UL320_.jpg")</f>
        <v>#NAME?</v>
      </c>
      <c r="I29" t="s">
        <v>91</v>
      </c>
      <c r="J29">
        <v>49.99</v>
      </c>
      <c r="K29" s="4">
        <v>0.4299</v>
      </c>
      <c r="L29">
        <v>4.5999999999999996</v>
      </c>
      <c r="M29">
        <v>447</v>
      </c>
      <c r="O29" t="s">
        <v>25</v>
      </c>
      <c r="P29" t="s">
        <v>92</v>
      </c>
      <c r="Q29" t="s">
        <v>93</v>
      </c>
    </row>
    <row r="30" spans="1:17" ht="15.5" x14ac:dyDescent="0.35">
      <c r="A30" s="3" t="str">
        <f>HYPERLINK("https://ads.midwayusa.com/product/1024683877?pid=340967", "https://ads.midwayusa.com/product/1024683877?pid=340967")</f>
        <v>https://ads.midwayusa.com/product/1024683877?pid=340967</v>
      </c>
      <c r="B30" s="3" t="str">
        <f>HYPERLINK("https://ads.midwayusa.com/product/1024683877", "https://ads.midwayusa.com/product/1024683877")</f>
        <v>https://ads.midwayusa.com/product/1024683877</v>
      </c>
      <c r="C30" t="s">
        <v>88</v>
      </c>
      <c r="D30" t="s">
        <v>100</v>
      </c>
      <c r="E30" s="3" t="str">
        <f>HYPERLINK("https://www.amazon.com/SOG-PowerAccess-Multi-Tool-Construction-PA1001-CP/dp/B01LXP7BA6/ref=sr_1_9?keywords=SOG+Powerpint+Multi-Tool&amp;qid=1695173066&amp;sr=8-9", "https://www.amazon.com/SOG-PowerAccess-Multi-Tool-Construction-PA1001-CP/dp/B01LXP7BA6/ref=sr_1_9?keywords=SOG+Powerpint+Multi-Tool&amp;qid=1695173066&amp;sr=8-9")</f>
        <v>https://www.amazon.com/SOG-PowerAccess-Multi-Tool-Construction-PA1001-CP/dp/B01LXP7BA6/ref=sr_1_9?keywords=SOG+Powerpint+Multi-Tool&amp;qid=1695173066&amp;sr=8-9</v>
      </c>
      <c r="F30" t="s">
        <v>101</v>
      </c>
      <c r="G30" t="e">
        <f ca="1">_xludf.IMAGE("https://media.mwstatic.com/product-images/src/Primary/340/340967.jpg?imwidth=680")</f>
        <v>#NAME?</v>
      </c>
      <c r="H30" t="e">
        <f ca="1">_xludf.IMAGE("https://m.media-amazon.com/images/I/81PbRZFzB3L._AC_UL320_.jpg")</f>
        <v>#NAME?</v>
      </c>
      <c r="I30" t="s">
        <v>91</v>
      </c>
      <c r="J30">
        <v>49.93</v>
      </c>
      <c r="K30" s="4">
        <v>0.42820000000000003</v>
      </c>
      <c r="L30">
        <v>4.4000000000000004</v>
      </c>
      <c r="M30">
        <v>496</v>
      </c>
      <c r="O30" t="s">
        <v>25</v>
      </c>
      <c r="P30" t="s">
        <v>92</v>
      </c>
      <c r="Q30" t="s">
        <v>93</v>
      </c>
    </row>
    <row r="31" spans="1:17" ht="15.5" x14ac:dyDescent="0.35">
      <c r="A31" s="3" t="str">
        <f>HYPERLINK("https://ads.midwayusa.com/product/1024124655?pid=991337", "https://ads.midwayusa.com/product/1024124655?pid=991337")</f>
        <v>https://ads.midwayusa.com/product/1024124655?pid=991337</v>
      </c>
      <c r="B31" s="3" t="str">
        <f>HYPERLINK("https://ads.midwayusa.com/product/1024124655", "https://ads.midwayusa.com/product/1024124655")</f>
        <v>https://ads.midwayusa.com/product/1024124655</v>
      </c>
      <c r="C31" t="s">
        <v>64</v>
      </c>
      <c r="D31" t="s">
        <v>82</v>
      </c>
      <c r="E31" s="3" t="str">
        <f>HYPERLINK("https://www.amazon.com/SOG-Ambidextrous-Adjustable-Stonewashed-Hardware/dp/B08RQJL1TB/ref=sr_1_7?keywords=SOG+Altair+XR+Folding+Knife&amp;qid=1695173066&amp;sr=8-7", "https://www.amazon.com/SOG-Ambidextrous-Adjustable-Stonewashed-Hardware/dp/B08RQJL1TB/ref=sr_1_7?keywords=SOG+Altair+XR+Folding+Knife&amp;qid=1695173066&amp;sr=8-7")</f>
        <v>https://www.amazon.com/SOG-Ambidextrous-Adjustable-Stonewashed-Hardware/dp/B08RQJL1TB/ref=sr_1_7?keywords=SOG+Altair+XR+Folding+Knife&amp;qid=1695173066&amp;sr=8-7</v>
      </c>
      <c r="F31" t="s">
        <v>83</v>
      </c>
      <c r="G31" t="e">
        <f ca="1">_xludf.IMAGE("https://media.mwstatic.com/product-images/src/Primary/991/991337.jpg?imwidth=680")</f>
        <v>#NAME?</v>
      </c>
      <c r="H31" t="e">
        <f ca="1">_xludf.IMAGE("https://m.media-amazon.com/images/I/516CF3pU4DL._AC_UL320_.jpg")</f>
        <v>#NAME?</v>
      </c>
      <c r="I31" t="s">
        <v>67</v>
      </c>
      <c r="J31">
        <v>50.62</v>
      </c>
      <c r="K31" s="4">
        <v>0.35020000000000001</v>
      </c>
      <c r="L31">
        <v>4.3</v>
      </c>
      <c r="M31">
        <v>290</v>
      </c>
      <c r="O31" t="s">
        <v>25</v>
      </c>
      <c r="P31" t="s">
        <v>68</v>
      </c>
      <c r="Q31" t="s">
        <v>69</v>
      </c>
    </row>
    <row r="32" spans="1:17" ht="15.5" x14ac:dyDescent="0.35">
      <c r="A32" s="3" t="str">
        <f>HYPERLINK("https://ads.midwayusa.com/product/1024124655?pid=991337", "https://ads.midwayusa.com/product/1024124655?pid=991337")</f>
        <v>https://ads.midwayusa.com/product/1024124655?pid=991337</v>
      </c>
      <c r="B32" s="3" t="str">
        <f>HYPERLINK("https://ads.midwayusa.com/product/1024124655", "https://ads.midwayusa.com/product/1024124655")</f>
        <v>https://ads.midwayusa.com/product/1024124655</v>
      </c>
      <c r="C32" t="s">
        <v>64</v>
      </c>
      <c r="D32" t="s">
        <v>84</v>
      </c>
      <c r="E32" s="3" t="str">
        <f>HYPERLINK("https://www.amazon.com/SOG-SOGTM1022BX-Terminus-G10-Green/dp/B0817DMXLG/ref=sr_1_4?keywords=SOG+Altair+XR+Folding+Knife&amp;qid=1695173066&amp;sr=8-4", "https://www.amazon.com/SOG-SOGTM1022BX-Terminus-G10-Green/dp/B0817DMXLG/ref=sr_1_4?keywords=SOG+Altair+XR+Folding+Knife&amp;qid=1695173066&amp;sr=8-4")</f>
        <v>https://www.amazon.com/SOG-SOGTM1022BX-Terminus-G10-Green/dp/B0817DMXLG/ref=sr_1_4?keywords=SOG+Altair+XR+Folding+Knife&amp;qid=1695173066&amp;sr=8-4</v>
      </c>
      <c r="F32" t="s">
        <v>85</v>
      </c>
      <c r="G32" t="e">
        <f ca="1">_xludf.IMAGE("https://media.mwstatic.com/product-images/src/Primary/991/991337.jpg?imwidth=680")</f>
        <v>#NAME?</v>
      </c>
      <c r="H32" t="e">
        <f ca="1">_xludf.IMAGE("https://m.media-amazon.com/images/I/41ZGCRPGZvL._AC_UL320_.jpg")</f>
        <v>#NAME?</v>
      </c>
      <c r="I32" t="s">
        <v>67</v>
      </c>
      <c r="J32">
        <v>49.11</v>
      </c>
      <c r="K32" s="4">
        <v>0.30990000000000001</v>
      </c>
      <c r="L32">
        <v>4.5</v>
      </c>
      <c r="M32">
        <v>153</v>
      </c>
      <c r="O32" t="s">
        <v>25</v>
      </c>
      <c r="P32" t="s">
        <v>68</v>
      </c>
      <c r="Q32" t="s">
        <v>69</v>
      </c>
    </row>
    <row r="33" spans="1:17" ht="15.5" x14ac:dyDescent="0.35">
      <c r="A33" s="3" t="str">
        <f>HYPERLINK("https://ads.midwayusa.com/product/1024683877?pid=340967", "https://ads.midwayusa.com/product/1024683877?pid=340967")</f>
        <v>https://ads.midwayusa.com/product/1024683877?pid=340967</v>
      </c>
      <c r="B33" s="3" t="str">
        <f>HYPERLINK("https://ads.midwayusa.com/product/1024683877", "https://ads.midwayusa.com/product/1024683877")</f>
        <v>https://ads.midwayusa.com/product/1024683877</v>
      </c>
      <c r="C33" t="s">
        <v>88</v>
      </c>
      <c r="D33" t="s">
        <v>102</v>
      </c>
      <c r="E33" s="3" t="str">
        <f>HYPERLINK("https://www.amazon.com/SOG-PP1002-CP-PowerPint-Multi-Tool-Black/dp/B08RQJWKP5/ref=sr_1_5?keywords=SOG+Powerpint+Multi-Tool&amp;qid=1695173066&amp;sr=8-5", "https://www.amazon.com/SOG-PP1002-CP-PowerPint-Multi-Tool-Black/dp/B08RQJWKP5/ref=sr_1_5?keywords=SOG+Powerpint+Multi-Tool&amp;qid=1695173066&amp;sr=8-5")</f>
        <v>https://www.amazon.com/SOG-PP1002-CP-PowerPint-Multi-Tool-Black/dp/B08RQJWKP5/ref=sr_1_5?keywords=SOG+Powerpint+Multi-Tool&amp;qid=1695173066&amp;sr=8-5</v>
      </c>
      <c r="F33" t="s">
        <v>103</v>
      </c>
      <c r="G33" t="e">
        <f ca="1">_xludf.IMAGE("https://media.mwstatic.com/product-images/src/Primary/340/340967.jpg?imwidth=680")</f>
        <v>#NAME?</v>
      </c>
      <c r="H33" t="e">
        <f ca="1">_xludf.IMAGE("https://m.media-amazon.com/images/I/6164KVLGM+L._AC_UL320_.jpg")</f>
        <v>#NAME?</v>
      </c>
      <c r="I33" t="s">
        <v>91</v>
      </c>
      <c r="J33">
        <v>44.55</v>
      </c>
      <c r="K33" s="4">
        <v>0.27429999999999999</v>
      </c>
      <c r="L33">
        <v>4.5</v>
      </c>
      <c r="M33">
        <v>328</v>
      </c>
      <c r="O33" t="s">
        <v>25</v>
      </c>
      <c r="P33" t="s">
        <v>92</v>
      </c>
      <c r="Q33" t="s">
        <v>93</v>
      </c>
    </row>
    <row r="34" spans="1:17" ht="15.5" x14ac:dyDescent="0.35">
      <c r="A34" s="3" t="str">
        <f>HYPERLINK("https://ads.midwayusa.com/product/1024683877?pid=340967", "https://ads.midwayusa.com/product/1024683877?pid=340967")</f>
        <v>https://ads.midwayusa.com/product/1024683877?pid=340967</v>
      </c>
      <c r="B34" s="3" t="str">
        <f>HYPERLINK("https://ads.midwayusa.com/product/1024683877", "https://ads.midwayusa.com/product/1024683877")</f>
        <v>https://ads.midwayusa.com/product/1024683877</v>
      </c>
      <c r="C34" t="s">
        <v>88</v>
      </c>
      <c r="D34" t="s">
        <v>104</v>
      </c>
      <c r="E34" s="3" t="str">
        <f>HYPERLINK("https://www.amazon.com/SOG-Multitool-Pliers-Pocket-Knife/dp/B077LYXB6B/ref=sr_1_4?keywords=SOG+Powerpint+Multi-Tool&amp;qid=1695173066&amp;sr=8-4", "https://www.amazon.com/SOG-Multitool-Pliers-Pocket-Knife/dp/B077LYXB6B/ref=sr_1_4?keywords=SOG+Powerpint+Multi-Tool&amp;qid=1695173066&amp;sr=8-4")</f>
        <v>https://www.amazon.com/SOG-Multitool-Pliers-Pocket-Knife/dp/B077LYXB6B/ref=sr_1_4?keywords=SOG+Powerpint+Multi-Tool&amp;qid=1695173066&amp;sr=8-4</v>
      </c>
      <c r="F34" t="s">
        <v>105</v>
      </c>
      <c r="G34" t="e">
        <f ca="1">_xludf.IMAGE("https://media.mwstatic.com/product-images/src/Primary/340/340967.jpg?imwidth=680")</f>
        <v>#NAME?</v>
      </c>
      <c r="H34" t="e">
        <f ca="1">_xludf.IMAGE("https://m.media-amazon.com/images/I/61BROJKRJCL._AC_UL320_.jpg")</f>
        <v>#NAME?</v>
      </c>
      <c r="I34" t="s">
        <v>91</v>
      </c>
      <c r="J34">
        <v>42.95</v>
      </c>
      <c r="K34" s="4">
        <v>0.22850000000000001</v>
      </c>
      <c r="L34">
        <v>4.5</v>
      </c>
      <c r="M34">
        <v>1003</v>
      </c>
      <c r="O34" t="s">
        <v>25</v>
      </c>
      <c r="P34" t="s">
        <v>92</v>
      </c>
      <c r="Q34" t="s">
        <v>93</v>
      </c>
    </row>
    <row r="35" spans="1:17" ht="15.5" x14ac:dyDescent="0.35">
      <c r="A35" s="3" t="str">
        <f>HYPERLINK("https://ads.midwayusa.com/product/102521607?pid=725423", "https://ads.midwayusa.com/product/102521607?pid=725423")</f>
        <v>https://ads.midwayusa.com/product/102521607?pid=725423</v>
      </c>
      <c r="B35" s="3" t="str">
        <f>HYPERLINK("https://ads.midwayusa.com/product/102521607", "https://ads.midwayusa.com/product/102521607")</f>
        <v>https://ads.midwayusa.com/product/102521607</v>
      </c>
      <c r="C35" t="s">
        <v>106</v>
      </c>
      <c r="D35" t="s">
        <v>107</v>
      </c>
      <c r="E35" s="3" t="str">
        <f>HYPERLINK("https://www.amazon.com/SOG-Stainless-Lanyard-EZ1-CP-Polished/dp/B015QYHML4/ref=sr_1_1?keywords=SOG+Cash+Card+Folding+Knife&amp;qid=1695173067&amp;sr=8-1", "https://www.amazon.com/SOG-Stainless-Lanyard-EZ1-CP-Polished/dp/B015QYHML4/ref=sr_1_1?keywords=SOG+Cash+Card+Folding+Knife&amp;qid=1695173067&amp;sr=8-1")</f>
        <v>https://www.amazon.com/SOG-Stainless-Lanyard-EZ1-CP-Polished/dp/B015QYHML4/ref=sr_1_1?keywords=SOG+Cash+Card+Folding+Knife&amp;qid=1695173067&amp;sr=8-1</v>
      </c>
      <c r="F35" t="s">
        <v>108</v>
      </c>
      <c r="G35" t="e">
        <f ca="1">_xludf.IMAGE("https://media.mwstatic.com/product-images/src/Primary/725/725423.jpg?imwidth=680")</f>
        <v>#NAME?</v>
      </c>
      <c r="H35" t="e">
        <f ca="1">_xludf.IMAGE("https://m.media-amazon.com/images/I/814cTXk0MPL._AC_UL320_.jpg")</f>
        <v>#NAME?</v>
      </c>
      <c r="I35" t="s">
        <v>109</v>
      </c>
      <c r="J35">
        <v>27.54</v>
      </c>
      <c r="K35" s="4">
        <v>0.12590000000000001</v>
      </c>
      <c r="L35">
        <v>4.7</v>
      </c>
      <c r="M35">
        <v>1097</v>
      </c>
      <c r="O35" t="s">
        <v>25</v>
      </c>
      <c r="P35" t="s">
        <v>110</v>
      </c>
      <c r="Q35" t="s">
        <v>111</v>
      </c>
    </row>
    <row r="36" spans="1:17" ht="15.5" x14ac:dyDescent="0.35">
      <c r="A36" s="3" t="str">
        <f>HYPERLINK("https://ads.midwayusa.com/product/101924174?pid=889627", "https://ads.midwayusa.com/product/101924174?pid=889627")</f>
        <v>https://ads.midwayusa.com/product/101924174?pid=889627</v>
      </c>
      <c r="B36" s="3" t="str">
        <f>HYPERLINK("https://ads.midwayusa.com/product/101924174", "https://ads.midwayusa.com/product/101924174")</f>
        <v>https://ads.midwayusa.com/product/101924174</v>
      </c>
      <c r="C36" t="s">
        <v>112</v>
      </c>
      <c r="D36" t="s">
        <v>113</v>
      </c>
      <c r="E36" s="3" t="str">
        <f>HYPERLINK("https://www.amazon.com/Browning-Rambler-20-Degree-Sleeping/dp/B09RC3XH41/ref=sr_1_2?keywords=Browning+Endeavor+-20+Degree+Sleeping+Bag&amp;qid=1695173072&amp;sr=8-2", "https://www.amazon.com/Browning-Rambler-20-Degree-Sleeping/dp/B09RC3XH41/ref=sr_1_2?keywords=Browning+Endeavor+-20+Degree+Sleeping+Bag&amp;qid=1695173072&amp;sr=8-2")</f>
        <v>https://www.amazon.com/Browning-Rambler-20-Degree-Sleeping/dp/B09RC3XH41/ref=sr_1_2?keywords=Browning+Endeavor+-20+Degree+Sleeping+Bag&amp;qid=1695173072&amp;sr=8-2</v>
      </c>
      <c r="F36" t="s">
        <v>114</v>
      </c>
      <c r="G36" t="e">
        <f ca="1">_xludf.IMAGE("https://media.mwstatic.com/product-images/src/Primary/889/889627.jpg?imwidth=680")</f>
        <v>#NAME?</v>
      </c>
      <c r="H36" t="e">
        <f ca="1">_xludf.IMAGE("https://m.media-amazon.com/images/I/71wrkXv6+fL._AC_UY218_.jpg")</f>
        <v>#NAME?</v>
      </c>
      <c r="I36" t="s">
        <v>115</v>
      </c>
      <c r="J36">
        <v>129.99</v>
      </c>
      <c r="K36" s="4">
        <v>-0.18759999999999999</v>
      </c>
      <c r="L36">
        <v>5</v>
      </c>
      <c r="M36">
        <v>1</v>
      </c>
      <c r="O36" t="s">
        <v>25</v>
      </c>
      <c r="P36" t="s">
        <v>116</v>
      </c>
      <c r="Q36" t="s">
        <v>117</v>
      </c>
    </row>
    <row r="37" spans="1:17" ht="15.5" x14ac:dyDescent="0.35">
      <c r="A37" s="3" t="str">
        <f>HYPERLINK("https://ads.midwayusa.com/product/1015495620?pid=186697", "https://ads.midwayusa.com/product/1015495620?pid=186697")</f>
        <v>https://ads.midwayusa.com/product/1015495620?pid=186697</v>
      </c>
      <c r="B37" s="3" t="str">
        <f>HYPERLINK("https://ads.midwayusa.com/product/1015495620", "https://ads.midwayusa.com/product/1015495620")</f>
        <v>https://ads.midwayusa.com/product/1015495620</v>
      </c>
      <c r="C37" t="s">
        <v>118</v>
      </c>
      <c r="D37" t="s">
        <v>119</v>
      </c>
      <c r="E37" s="3" t="str">
        <f>HYPERLINK("https://www.amazon.com/ZENHOSIT-Survival-Portable-Flashlight-Entrenching/dp/B09NQGLVBZ/ref=sr_1_9?keywords=SOG+Entrenching+Tool+High+Carbon+Steel+Black&amp;qid=1695173066&amp;sr=8-9", "https://www.amazon.com/ZENHOSIT-Survival-Portable-Flashlight-Entrenching/dp/B09NQGLVBZ/ref=sr_1_9?keywords=SOG+Entrenching+Tool+High+Carbon+Steel+Black&amp;qid=1695173066&amp;sr=8-9")</f>
        <v>https://www.amazon.com/ZENHOSIT-Survival-Portable-Flashlight-Entrenching/dp/B09NQGLVBZ/ref=sr_1_9?keywords=SOG+Entrenching+Tool+High+Carbon+Steel+Black&amp;qid=1695173066&amp;sr=8-9</v>
      </c>
      <c r="F37" t="s">
        <v>120</v>
      </c>
      <c r="G37" t="e">
        <f ca="1">_xludf.IMAGE("https://media.mwstatic.com/product-images/src/Primary/186/186697.jpg?imwidth=680")</f>
        <v>#NAME?</v>
      </c>
      <c r="H37" t="e">
        <f ca="1">_xludf.IMAGE("https://m.media-amazon.com/images/I/719CI87kQwL._AC_UL320_.jpg")</f>
        <v>#NAME?</v>
      </c>
      <c r="I37" t="s">
        <v>121</v>
      </c>
      <c r="J37">
        <v>20.99</v>
      </c>
      <c r="K37" s="4">
        <v>-0.29920000000000002</v>
      </c>
      <c r="L37">
        <v>4.4000000000000004</v>
      </c>
      <c r="M37">
        <v>75</v>
      </c>
      <c r="O37" t="s">
        <v>25</v>
      </c>
      <c r="P37" t="s">
        <v>122</v>
      </c>
      <c r="Q37" t="s">
        <v>123</v>
      </c>
    </row>
    <row r="38" spans="1:17" ht="15.5" x14ac:dyDescent="0.35">
      <c r="A38" s="3" t="str">
        <f>HYPERLINK("https://ads.midwayusa.com/product/1015495620?pid=186697", "https://ads.midwayusa.com/product/1015495620?pid=186697")</f>
        <v>https://ads.midwayusa.com/product/1015495620?pid=186697</v>
      </c>
      <c r="B38" s="3" t="str">
        <f>HYPERLINK("https://ads.midwayusa.com/product/1015495620", "https://ads.midwayusa.com/product/1015495620")</f>
        <v>https://ads.midwayusa.com/product/1015495620</v>
      </c>
      <c r="C38" t="s">
        <v>118</v>
      </c>
      <c r="D38" t="s">
        <v>124</v>
      </c>
      <c r="E38" s="3" t="str">
        <f>HYPERLINK("https://www.amazon.com/Gold-Armour-Military-Survival-Entrenching/dp/B08XBB755D/ref=sr_1_5?keywords=SOG+Entrenching+Tool+High+Carbon+Steel+Black&amp;qid=1695173066&amp;sr=8-5", "https://www.amazon.com/Gold-Armour-Military-Survival-Entrenching/dp/B08XBB755D/ref=sr_1_5?keywords=SOG+Entrenching+Tool+High+Carbon+Steel+Black&amp;qid=1695173066&amp;sr=8-5")</f>
        <v>https://www.amazon.com/Gold-Armour-Military-Survival-Entrenching/dp/B08XBB755D/ref=sr_1_5?keywords=SOG+Entrenching+Tool+High+Carbon+Steel+Black&amp;qid=1695173066&amp;sr=8-5</v>
      </c>
      <c r="F38" t="s">
        <v>125</v>
      </c>
      <c r="G38" t="e">
        <f ca="1">_xludf.IMAGE("https://media.mwstatic.com/product-images/src/Primary/186/186697.jpg?imwidth=680")</f>
        <v>#NAME?</v>
      </c>
      <c r="H38" t="e">
        <f ca="1">_xludf.IMAGE("https://m.media-amazon.com/images/I/51s+vkeAD2S._AC_UL320_.jpg")</f>
        <v>#NAME?</v>
      </c>
      <c r="I38" t="s">
        <v>121</v>
      </c>
      <c r="J38">
        <v>17.989999999999998</v>
      </c>
      <c r="K38" s="4">
        <v>-0.39929999999999999</v>
      </c>
      <c r="L38">
        <v>4.5</v>
      </c>
      <c r="M38">
        <v>44</v>
      </c>
      <c r="O38" t="s">
        <v>25</v>
      </c>
      <c r="P38" t="s">
        <v>122</v>
      </c>
      <c r="Q38" t="s">
        <v>123</v>
      </c>
    </row>
    <row r="39" spans="1:17" ht="15.5" x14ac:dyDescent="0.35">
      <c r="A39" s="3" t="str">
        <f>HYPERLINK("https://ads.midwayusa.com/product/1015495620?pid=186697", "https://ads.midwayusa.com/product/1015495620?pid=186697")</f>
        <v>https://ads.midwayusa.com/product/1015495620?pid=186697</v>
      </c>
      <c r="B39" s="3" t="str">
        <f>HYPERLINK("https://ads.midwayusa.com/product/1015495620", "https://ads.midwayusa.com/product/1015495620")</f>
        <v>https://ads.midwayusa.com/product/1015495620</v>
      </c>
      <c r="C39" t="s">
        <v>118</v>
      </c>
      <c r="D39" t="s">
        <v>126</v>
      </c>
      <c r="E39" s="3" t="str">
        <f>HYPERLINK("https://www.amazon.com/REDCAMP-Military-Shovel%EF%BC%8CHigh-Entrenching-Tri-fold/dp/B0814VBNGK/ref=sr_1_2?keywords=SOG+Entrenching+Tool+High+Carbon+Steel+Black&amp;qid=1695173066&amp;sr=8-2", "https://www.amazon.com/REDCAMP-Military-Shovel%EF%BC%8CHigh-Entrenching-Tri-fold/dp/B0814VBNGK/ref=sr_1_2?keywords=SOG+Entrenching+Tool+High+Carbon+Steel+Black&amp;qid=1695173066&amp;sr=8-2")</f>
        <v>https://www.amazon.com/REDCAMP-Military-Shovel%EF%BC%8CHigh-Entrenching-Tri-fold/dp/B0814VBNGK/ref=sr_1_2?keywords=SOG+Entrenching+Tool+High+Carbon+Steel+Black&amp;qid=1695173066&amp;sr=8-2</v>
      </c>
      <c r="F39" t="s">
        <v>127</v>
      </c>
      <c r="G39" t="e">
        <f ca="1">_xludf.IMAGE("https://media.mwstatic.com/product-images/src/Primary/186/186697.jpg?imwidth=680")</f>
        <v>#NAME?</v>
      </c>
      <c r="H39" t="e">
        <f ca="1">_xludf.IMAGE("https://m.media-amazon.com/images/I/61N6SmkBMRL._AC_UL320_.jpg")</f>
        <v>#NAME?</v>
      </c>
      <c r="I39" t="s">
        <v>121</v>
      </c>
      <c r="J39">
        <v>17.989999999999998</v>
      </c>
      <c r="K39" s="4">
        <v>-0.39929999999999999</v>
      </c>
      <c r="L39">
        <v>4.5999999999999996</v>
      </c>
      <c r="M39">
        <v>5885</v>
      </c>
      <c r="O39" t="s">
        <v>25</v>
      </c>
      <c r="P39" t="s">
        <v>122</v>
      </c>
      <c r="Q39" t="s">
        <v>123</v>
      </c>
    </row>
    <row r="40" spans="1:17" ht="15.5" x14ac:dyDescent="0.35">
      <c r="A40" s="3" t="str">
        <f>HYPERLINK("https://ads.midwayusa.com/product/1015495620?pid=186697", "https://ads.midwayusa.com/product/1015495620?pid=186697")</f>
        <v>https://ads.midwayusa.com/product/1015495620?pid=186697</v>
      </c>
      <c r="B40" s="3" t="str">
        <f>HYPERLINK("https://ads.midwayusa.com/product/1015495620", "https://ads.midwayusa.com/product/1015495620")</f>
        <v>https://ads.midwayusa.com/product/1015495620</v>
      </c>
      <c r="C40" t="s">
        <v>118</v>
      </c>
      <c r="D40" t="s">
        <v>128</v>
      </c>
      <c r="E40" s="3" t="str">
        <f>HYPERLINK("https://www.amazon.com/MTB-Military-Folding-Entrenching-Tactical/dp/B08K77WV99/ref=sr_1_1?keywords=SOG+Entrenching+Tool+High+Carbon+Steel+Black&amp;qid=1695173066&amp;sr=8-1", "https://www.amazon.com/MTB-Military-Folding-Entrenching-Tactical/dp/B08K77WV99/ref=sr_1_1?keywords=SOG+Entrenching+Tool+High+Carbon+Steel+Black&amp;qid=1695173066&amp;sr=8-1")</f>
        <v>https://www.amazon.com/MTB-Military-Folding-Entrenching-Tactical/dp/B08K77WV99/ref=sr_1_1?keywords=SOG+Entrenching+Tool+High+Carbon+Steel+Black&amp;qid=1695173066&amp;sr=8-1</v>
      </c>
      <c r="F40" t="s">
        <v>129</v>
      </c>
      <c r="G40" t="e">
        <f ca="1">_xludf.IMAGE("https://media.mwstatic.com/product-images/src/Primary/186/186697.jpg?imwidth=680")</f>
        <v>#NAME?</v>
      </c>
      <c r="H40" t="e">
        <f ca="1">_xludf.IMAGE("https://m.media-amazon.com/images/I/619ySpLQ3RL._AC_UL320_.jpg")</f>
        <v>#NAME?</v>
      </c>
      <c r="I40" t="s">
        <v>121</v>
      </c>
      <c r="J40">
        <v>17.989999999999998</v>
      </c>
      <c r="K40" s="4">
        <v>-0.39929999999999999</v>
      </c>
      <c r="L40">
        <v>4.3</v>
      </c>
      <c r="M40">
        <v>179</v>
      </c>
      <c r="O40" t="s">
        <v>25</v>
      </c>
      <c r="P40" t="s">
        <v>122</v>
      </c>
      <c r="Q40" t="s">
        <v>123</v>
      </c>
    </row>
    <row r="41" spans="1:17" ht="15.5" x14ac:dyDescent="0.35">
      <c r="A41" s="3" t="str">
        <f>HYPERLINK("https://ads.midwayusa.com/product/1015495620?pid=186697", "https://ads.midwayusa.com/product/1015495620?pid=186697")</f>
        <v>https://ads.midwayusa.com/product/1015495620?pid=186697</v>
      </c>
      <c r="B41" s="3" t="str">
        <f>HYPERLINK("https://ads.midwayusa.com/product/1015495620", "https://ads.midwayusa.com/product/1015495620")</f>
        <v>https://ads.midwayusa.com/product/1015495620</v>
      </c>
      <c r="C41" t="s">
        <v>118</v>
      </c>
      <c r="D41" t="s">
        <v>130</v>
      </c>
      <c r="E41" s="3" t="str">
        <f>HYPERLINK("https://www.amazon.com/CO-Z-Portable-Lightweight-Backpacking-Emergency/dp/B075WV7FBK/ref=sr_1_7?keywords=SOG+Entrenching+Tool+High+Carbon+Steel+Black&amp;qid=1695173066&amp;sr=8-7", "https://www.amazon.com/CO-Z-Portable-Lightweight-Backpacking-Emergency/dp/B075WV7FBK/ref=sr_1_7?keywords=SOG+Entrenching+Tool+High+Carbon+Steel+Black&amp;qid=1695173066&amp;sr=8-7")</f>
        <v>https://www.amazon.com/CO-Z-Portable-Lightweight-Backpacking-Emergency/dp/B075WV7FBK/ref=sr_1_7?keywords=SOG+Entrenching+Tool+High+Carbon+Steel+Black&amp;qid=1695173066&amp;sr=8-7</v>
      </c>
      <c r="F41" t="s">
        <v>131</v>
      </c>
      <c r="G41" t="e">
        <f ca="1">_xludf.IMAGE("https://media.mwstatic.com/product-images/src/Primary/186/186697.jpg?imwidth=680")</f>
        <v>#NAME?</v>
      </c>
      <c r="H41" t="e">
        <f ca="1">_xludf.IMAGE("https://m.media-amazon.com/images/I/71YWmqwJXaL._AC_UL320_.jpg")</f>
        <v>#NAME?</v>
      </c>
      <c r="I41" t="s">
        <v>121</v>
      </c>
      <c r="J41">
        <v>15.99</v>
      </c>
      <c r="K41" s="4">
        <v>-0.46610000000000001</v>
      </c>
      <c r="L41">
        <v>4.4000000000000004</v>
      </c>
      <c r="M41">
        <v>2053</v>
      </c>
      <c r="O41" t="s">
        <v>25</v>
      </c>
      <c r="P41" t="s">
        <v>122</v>
      </c>
      <c r="Q41" t="s">
        <v>123</v>
      </c>
    </row>
    <row r="42" spans="1:17" ht="15.5" x14ac:dyDescent="0.35">
      <c r="A42" s="3" t="str">
        <f>HYPERLINK("https://ads.midwayusa.com/product/1015495620?pid=186697", "https://ads.midwayusa.com/product/1015495620?pid=186697")</f>
        <v>https://ads.midwayusa.com/product/1015495620?pid=186697</v>
      </c>
      <c r="B42" s="3" t="str">
        <f>HYPERLINK("https://ads.midwayusa.com/product/1015495620", "https://ads.midwayusa.com/product/1015495620")</f>
        <v>https://ads.midwayusa.com/product/1015495620</v>
      </c>
      <c r="C42" t="s">
        <v>118</v>
      </c>
      <c r="D42" t="s">
        <v>132</v>
      </c>
      <c r="E42" s="3" t="str">
        <f>HYPERLINK("https://www.amazon.com/Yeacool-Trenching-Shovel%EF%BC%8CFoldable-Detecting%EF%BC%8CBackpacking-Emergency/dp/B08BN8LJ1W/ref=sr_1_10?keywords=SOG+Entrenching+Tool+High+Carbon+Steel+Black&amp;qid=1695173066&amp;sr=8-10", "https://www.amazon.com/Yeacool-Trenching-Shovel%EF%BC%8CFoldable-Detecting%EF%BC%8CBackpacking-Emergency/dp/B08BN8LJ1W/ref=sr_1_10?keywords=SOG+Entrenching+Tool+High+Carbon+Steel+Black&amp;qid=1695173066&amp;sr=8-10")</f>
        <v>https://www.amazon.com/Yeacool-Trenching-Shovel%EF%BC%8CFoldable-Detecting%EF%BC%8CBackpacking-Emergency/dp/B08BN8LJ1W/ref=sr_1_10?keywords=SOG+Entrenching+Tool+High+Carbon+Steel+Black&amp;qid=1695173066&amp;sr=8-10</v>
      </c>
      <c r="F42" t="s">
        <v>133</v>
      </c>
      <c r="G42" t="e">
        <f ca="1">_xludf.IMAGE("https://media.mwstatic.com/product-images/src/Primary/186/186697.jpg?imwidth=680")</f>
        <v>#NAME?</v>
      </c>
      <c r="H42" t="e">
        <f ca="1">_xludf.IMAGE("https://m.media-amazon.com/images/I/71-NUV+poJL._AC_UL320_.jpg")</f>
        <v>#NAME?</v>
      </c>
      <c r="I42" t="s">
        <v>121</v>
      </c>
      <c r="J42">
        <v>15.59</v>
      </c>
      <c r="K42" s="4">
        <v>-0.47949999999999998</v>
      </c>
      <c r="L42">
        <v>4.5</v>
      </c>
      <c r="M42">
        <v>167</v>
      </c>
      <c r="O42" t="s">
        <v>25</v>
      </c>
      <c r="P42" t="s">
        <v>122</v>
      </c>
      <c r="Q42" t="s">
        <v>123</v>
      </c>
    </row>
    <row r="43" spans="1:17" ht="15.5" x14ac:dyDescent="0.35">
      <c r="A43" s="3" t="str">
        <f>HYPERLINK("https://edmondsonsupply.com/collections/hand-tools/products/malco-mshc-2-inch-c-rhex-cleanable-reversible-magnetic-hex-driver-1-4-5-16", "https://edmondsonsupply.com/collections/hand-tools/products/malco-mshc-2-inch-c-rhex-cleanable-reversible-magnetic-hex-driver-1-4-5-16")</f>
        <v>https://edmondsonsupply.com/collections/hand-tools/products/malco-mshc-2-inch-c-rhex-cleanable-reversible-magnetic-hex-driver-1-4-5-16</v>
      </c>
      <c r="B43"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43" t="s">
        <v>134</v>
      </c>
      <c r="D43" t="s">
        <v>135</v>
      </c>
      <c r="E43" s="3" t="str">
        <f>HYPERLINK("https://www.amazon.com/Malco-MALCOMBO1-Cleanable-Reversible-Magnetic/dp/B0BGJ5RWTL/ref=sr_1_5?keywords=Malco+Tools+MSHC+2-Inch+C-Rhex+Cleanable%2C+Reversible+Magnetic+Hex+Driver%2C+1%2F4%22+%26+5%2F16%22&amp;qid=1695173098&amp;sr=8-5", "https://www.amazon.com/Malco-MALCOMBO1-Cleanable-Reversible-Magnetic/dp/B0BGJ5RWTL/ref=sr_1_5?keywords=Malco+Tools+MSHC+2-Inch+C-Rhex+Cleanable%2C+Reversible+Magnetic+Hex+Driver%2C+1%2F4%22+%26+5%2F16%22&amp;qid=1695173098&amp;sr=8-5")</f>
        <v>https://www.amazon.com/Malco-MALCOMBO1-Cleanable-Reversible-Magnetic/dp/B0BGJ5RWTL/ref=sr_1_5?keywords=Malco+Tools+MSHC+2-Inch+C-Rhex+Cleanable%2C+Reversible+Magnetic+Hex+Driver%2C+1%2F4%22+%26+5%2F16%22&amp;qid=1695173098&amp;sr=8-5</v>
      </c>
      <c r="F43" t="s">
        <v>136</v>
      </c>
      <c r="G43" t="e">
        <f ca="1">_xludf.IMAGE("https://edmondsonsupply.com/cdn/shop/products/Malco-MSHC-CRHEX-Slim-Design.jpg?v=1646614493")</f>
        <v>#NAME?</v>
      </c>
      <c r="H43" t="e">
        <f ca="1">_xludf.IMAGE("https://m.media-amazon.com/images/I/41hd4MZQBGL._AC_UL320_.jpg")</f>
        <v>#NAME?</v>
      </c>
      <c r="I43" t="s">
        <v>137</v>
      </c>
      <c r="J43">
        <v>38.76</v>
      </c>
      <c r="K43" s="4">
        <v>5.5805999999999996</v>
      </c>
      <c r="L43">
        <v>4.7</v>
      </c>
      <c r="M43">
        <v>516</v>
      </c>
      <c r="O43" t="s">
        <v>25</v>
      </c>
      <c r="P43" t="s">
        <v>138</v>
      </c>
      <c r="Q43" t="s">
        <v>139</v>
      </c>
    </row>
    <row r="44" spans="1:17" ht="15.5" x14ac:dyDescent="0.35">
      <c r="A44" s="3" t="str">
        <f>HYPERLINK("https://edmondsonsupply.com/collections/hand-tools/products/klein-tools-65200-electricians-mini-ratchet-set-5-piece", "https://edmondsonsupply.com/collections/hand-tools/products/klein-tools-65200-electricians-mini-ratchet-set-5-piece")</f>
        <v>https://edmondsonsupply.com/collections/hand-tools/products/klein-tools-65200-electricians-mini-ratchet-set-5-piece</v>
      </c>
      <c r="B44" s="3" t="str">
        <f>HYPERLINK("https://edmondsonsupply.com/products/klein-tools-65200-electricians-mini-ratchet-set-5-piece", "https://edmondsonsupply.com/products/klein-tools-65200-electricians-mini-ratchet-set-5-piece")</f>
        <v>https://edmondsonsupply.com/products/klein-tools-65200-electricians-mini-ratchet-set-5-piece</v>
      </c>
      <c r="C44" t="s">
        <v>140</v>
      </c>
      <c r="D44" t="s">
        <v>141</v>
      </c>
      <c r="E44" s="3" t="str">
        <f>HYPERLINK("https://www.amazon.com/KNIPEX-Tools-9K0080121US-Ratchet-Phillips/dp/B0C9ZYJDDN/ref=sr_1_8?keywords=Klein+Tools+65200+Slim-Profile+Mini+Ratchet+Set%2C+5-Piece&amp;qid=1695173095&amp;sr=8-8", "https://www.amazon.com/KNIPEX-Tools-9K0080121US-Ratchet-Phillips/dp/B0C9ZYJDDN/ref=sr_1_8?keywords=Klein+Tools+65200+Slim-Profile+Mini+Ratchet+Set%2C+5-Piece&amp;qid=1695173095&amp;sr=8-8")</f>
        <v>https://www.amazon.com/KNIPEX-Tools-9K0080121US-Ratchet-Phillips/dp/B0C9ZYJDDN/ref=sr_1_8?keywords=Klein+Tools+65200+Slim-Profile+Mini+Ratchet+Set%2C+5-Piece&amp;qid=1695173095&amp;sr=8-8</v>
      </c>
      <c r="F44" t="s">
        <v>142</v>
      </c>
      <c r="G44" t="e">
        <f ca="1">_xludf.IMAGE("https://edmondsonsupply.com/cdn/shop/products/65200.jpg?v=1633030630")</f>
        <v>#NAME?</v>
      </c>
      <c r="H44" t="e">
        <f ca="1">_xludf.IMAGE("https://m.media-amazon.com/images/I/516RxJHqDiL._AC_UL320_.jpg")</f>
        <v>#NAME?</v>
      </c>
      <c r="I44" t="s">
        <v>143</v>
      </c>
      <c r="J44">
        <v>100.02</v>
      </c>
      <c r="K44" s="4">
        <v>5.2629999999999999</v>
      </c>
      <c r="L44">
        <v>4.8</v>
      </c>
      <c r="M44">
        <v>1148</v>
      </c>
      <c r="O44" t="s">
        <v>25</v>
      </c>
      <c r="P44" t="s">
        <v>144</v>
      </c>
      <c r="Q44" t="s">
        <v>145</v>
      </c>
    </row>
    <row r="45" spans="1:17" ht="15.5" x14ac:dyDescent="0.35">
      <c r="A45" s="3" t="str">
        <f>HYPERLINK("https://edmondsonsupply.com/collections/hand-tools/products/hilmor-1839046", "https://edmondsonsupply.com/collections/hand-tools/products/hilmor-1839046")</f>
        <v>https://edmondsonsupply.com/collections/hand-tools/products/hilmor-1839046</v>
      </c>
      <c r="B45" s="3" t="str">
        <f>HYPERLINK("https://edmondsonsupply.com/products/hilmor-1839046", "https://edmondsonsupply.com/products/hilmor-1839046")</f>
        <v>https://edmondsonsupply.com/products/hilmor-1839046</v>
      </c>
      <c r="C45" t="s">
        <v>146</v>
      </c>
      <c r="D45" t="s">
        <v>147</v>
      </c>
      <c r="E45" s="3" t="str">
        <f>HYPERLINK("https://www.amazon.com/Replacement-Yellow-Jacket-60609-Service/dp/B010GBZZPW/ref=sr_1_8?keywords=Hilmor+1839046+Service+Wrench+Hex+Key+Adapter&amp;qid=1695173090&amp;sr=8-8", "https://www.amazon.com/Replacement-Yellow-Jacket-60609-Service/dp/B010GBZZPW/ref=sr_1_8?keywords=Hilmor+1839046+Service+Wrench+Hex+Key+Adapter&amp;qid=1695173090&amp;sr=8-8")</f>
        <v>https://www.amazon.com/Replacement-Yellow-Jacket-60609-Service/dp/B010GBZZPW/ref=sr_1_8?keywords=Hilmor+1839046+Service+Wrench+Hex+Key+Adapter&amp;qid=1695173090&amp;sr=8-8</v>
      </c>
      <c r="F45" t="s">
        <v>148</v>
      </c>
      <c r="G45" t="e">
        <f ca="1">_xludf.IMAGE("https://edmondsonsupply.com/cdn/shop/products/s-l500.jpg?v=1633030254")</f>
        <v>#NAME?</v>
      </c>
      <c r="H45" t="e">
        <f ca="1">_xludf.IMAGE("https://m.media-amazon.com/images/I/21OyKJYsZmL._AC_UL320_.jpg")</f>
        <v>#NAME?</v>
      </c>
      <c r="I45" t="s">
        <v>149</v>
      </c>
      <c r="J45">
        <v>16.68</v>
      </c>
      <c r="K45" s="4">
        <v>4.1801000000000004</v>
      </c>
      <c r="L45">
        <v>4.5</v>
      </c>
      <c r="M45">
        <v>53</v>
      </c>
      <c r="O45" t="s">
        <v>25</v>
      </c>
      <c r="P45" t="s">
        <v>138</v>
      </c>
      <c r="Q45" t="s">
        <v>150</v>
      </c>
    </row>
    <row r="46" spans="1:17" ht="15.5" x14ac:dyDescent="0.35">
      <c r="A46" s="3" t="str">
        <f>HYPERLINK("https://edmondsonsupply.com/collections/hand-tools/products/hilmor-1839046", "https://edmondsonsupply.com/collections/hand-tools/products/hilmor-1839046")</f>
        <v>https://edmondsonsupply.com/collections/hand-tools/products/hilmor-1839046</v>
      </c>
      <c r="B46" s="3" t="str">
        <f>HYPERLINK("https://edmondsonsupply.com/products/hilmor-1839046", "https://edmondsonsupply.com/products/hilmor-1839046")</f>
        <v>https://edmondsonsupply.com/products/hilmor-1839046</v>
      </c>
      <c r="C46" t="s">
        <v>146</v>
      </c>
      <c r="D46" t="s">
        <v>151</v>
      </c>
      <c r="E46" s="3" t="str">
        <f>HYPERLINK("https://www.amazon.com/Uniweld-DHW316/dp/B00ECC6DR6/ref=sr_1_4?keywords=Hilmor+1839046+Service+Wrench+Hex+Key+Adapter&amp;qid=1695173090&amp;sr=8-4", "https://www.amazon.com/Uniweld-DHW316/dp/B00ECC6DR6/ref=sr_1_4?keywords=Hilmor+1839046+Service+Wrench+Hex+Key+Adapter&amp;qid=1695173090&amp;sr=8-4")</f>
        <v>https://www.amazon.com/Uniweld-DHW316/dp/B00ECC6DR6/ref=sr_1_4?keywords=Hilmor+1839046+Service+Wrench+Hex+Key+Adapter&amp;qid=1695173090&amp;sr=8-4</v>
      </c>
      <c r="F46" t="s">
        <v>152</v>
      </c>
      <c r="G46" t="e">
        <f ca="1">_xludf.IMAGE("https://edmondsonsupply.com/cdn/shop/products/s-l500.jpg?v=1633030254")</f>
        <v>#NAME?</v>
      </c>
      <c r="H46" t="e">
        <f ca="1">_xludf.IMAGE("https://m.media-amazon.com/images/I/61AUWm45d4L._AC_UL320_.jpg")</f>
        <v>#NAME?</v>
      </c>
      <c r="I46" t="s">
        <v>149</v>
      </c>
      <c r="J46">
        <v>14.19</v>
      </c>
      <c r="K46" s="4">
        <v>3.4068000000000001</v>
      </c>
      <c r="L46">
        <v>3.9</v>
      </c>
      <c r="M46">
        <v>26</v>
      </c>
      <c r="O46" t="s">
        <v>25</v>
      </c>
      <c r="P46" t="s">
        <v>138</v>
      </c>
      <c r="Q46" t="s">
        <v>150</v>
      </c>
    </row>
    <row r="47" spans="1:17" ht="15.5" x14ac:dyDescent="0.35">
      <c r="A47" s="3" t="str">
        <f>HYPERLINK("https://edmondsonsupply.com/collections/hand-tools/products/malco-mshc-2-inch-c-rhex-cleanable-reversible-magnetic-hex-driver-1-4-5-16", "https://edmondsonsupply.com/collections/hand-tools/products/malco-mshc-2-inch-c-rhex-cleanable-reversible-magnetic-hex-driver-1-4-5-16")</f>
        <v>https://edmondsonsupply.com/collections/hand-tools/products/malco-mshc-2-inch-c-rhex-cleanable-reversible-magnetic-hex-driver-1-4-5-16</v>
      </c>
      <c r="B47"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47" t="s">
        <v>134</v>
      </c>
      <c r="D47" t="s">
        <v>153</v>
      </c>
      <c r="E47" s="3" t="str">
        <f>HYPERLINK("https://www.amazon.com/Malco-MSH2XLC2-Construction-Cleanable-Reversible/dp/B0BX79N2BV/ref=sr_1_2?keywords=Malco+Tools+MSHC+2-Inch+C-Rhex+Cleanable%2C+Reversible+Magnetic+Hex+Driver%2C+1%2F4%22+%26+5%2F16%22&amp;qid=1695173098&amp;sr=8-2", "https://www.amazon.com/Malco-MSH2XLC2-Construction-Cleanable-Reversible/dp/B0BX79N2BV/ref=sr_1_2?keywords=Malco+Tools+MSHC+2-Inch+C-Rhex+Cleanable%2C+Reversible+Magnetic+Hex+Driver%2C+1%2F4%22+%26+5%2F16%22&amp;qid=1695173098&amp;sr=8-2")</f>
        <v>https://www.amazon.com/Malco-MSH2XLC2-Construction-Cleanable-Reversible/dp/B0BX79N2BV/ref=sr_1_2?keywords=Malco+Tools+MSHC+2-Inch+C-Rhex+Cleanable%2C+Reversible+Magnetic+Hex+Driver%2C+1%2F4%22+%26+5%2F16%22&amp;qid=1695173098&amp;sr=8-2</v>
      </c>
      <c r="F47" t="s">
        <v>154</v>
      </c>
      <c r="G47" t="e">
        <f ca="1">_xludf.IMAGE("https://edmondsonsupply.com/cdn/shop/products/Malco-MSHC-CRHEX-Slim-Design.jpg?v=1646614493")</f>
        <v>#NAME?</v>
      </c>
      <c r="H47" t="e">
        <f ca="1">_xludf.IMAGE("https://m.media-amazon.com/images/I/31odlSGS4kL._AC_UL320_.jpg")</f>
        <v>#NAME?</v>
      </c>
      <c r="I47" t="s">
        <v>137</v>
      </c>
      <c r="J47">
        <v>22.86</v>
      </c>
      <c r="K47" s="4">
        <v>2.8812000000000002</v>
      </c>
      <c r="L47">
        <v>5</v>
      </c>
      <c r="M47">
        <v>1</v>
      </c>
      <c r="O47" t="s">
        <v>25</v>
      </c>
      <c r="P47" t="s">
        <v>138</v>
      </c>
      <c r="Q47" t="s">
        <v>139</v>
      </c>
    </row>
    <row r="48" spans="1:17" ht="15.5" x14ac:dyDescent="0.35">
      <c r="A48" s="3" t="str">
        <f>HYPERLINK("https://edmondsonsupply.com/collections/hand-tools/products/hilmor-1839046", "https://edmondsonsupply.com/collections/hand-tools/products/hilmor-1839046")</f>
        <v>https://edmondsonsupply.com/collections/hand-tools/products/hilmor-1839046</v>
      </c>
      <c r="B48" s="3" t="str">
        <f>HYPERLINK("https://edmondsonsupply.com/products/hilmor-1839046", "https://edmondsonsupply.com/products/hilmor-1839046")</f>
        <v>https://edmondsonsupply.com/products/hilmor-1839046</v>
      </c>
      <c r="C48" t="s">
        <v>146</v>
      </c>
      <c r="D48" t="s">
        <v>155</v>
      </c>
      <c r="E48" s="3" t="str">
        <f>HYPERLINK("https://www.amazon.com/Service-Adapter-Straight-Ratcheting-Wrench/dp/B09V7TNW1R/ref=sr_1_5?keywords=Hilmor+1839046+Service+Wrench+Hex+Key+Adapter&amp;qid=1695173090&amp;sr=8-5", "https://www.amazon.com/Service-Adapter-Straight-Ratcheting-Wrench/dp/B09V7TNW1R/ref=sr_1_5?keywords=Hilmor+1839046+Service+Wrench+Hex+Key+Adapter&amp;qid=1695173090&amp;sr=8-5")</f>
        <v>https://www.amazon.com/Service-Adapter-Straight-Ratcheting-Wrench/dp/B09V7TNW1R/ref=sr_1_5?keywords=Hilmor+1839046+Service+Wrench+Hex+Key+Adapter&amp;qid=1695173090&amp;sr=8-5</v>
      </c>
      <c r="F48" t="s">
        <v>156</v>
      </c>
      <c r="G48" t="e">
        <f ca="1">_xludf.IMAGE("https://edmondsonsupply.com/cdn/shop/products/s-l500.jpg?v=1633030254")</f>
        <v>#NAME?</v>
      </c>
      <c r="H48" t="e">
        <f ca="1">_xludf.IMAGE("https://m.media-amazon.com/images/I/41EVMXmEkgL._AC_UL320_.jpg")</f>
        <v>#NAME?</v>
      </c>
      <c r="I48" t="s">
        <v>149</v>
      </c>
      <c r="J48">
        <v>9.99</v>
      </c>
      <c r="K48" s="4">
        <v>2.1025</v>
      </c>
      <c r="L48">
        <v>4</v>
      </c>
      <c r="M48">
        <v>6</v>
      </c>
      <c r="O48" t="s">
        <v>25</v>
      </c>
      <c r="P48" t="s">
        <v>138</v>
      </c>
      <c r="Q48" t="s">
        <v>150</v>
      </c>
    </row>
    <row r="49" spans="1:17" ht="15.5" x14ac:dyDescent="0.35">
      <c r="A49" s="3" t="str">
        <f>HYPERLINK("https://edmondsonsupply.com/collections/hand-tools/products/midwest-mwt-6510ro-right-cutting-offset-aviation-snip-blackout-series", "https://edmondsonsupply.com/collections/hand-tools/products/midwest-mwt-6510ro-right-cutting-offset-aviation-snip-blackout-series")</f>
        <v>https://edmondsonsupply.com/collections/hand-tools/products/midwest-mwt-6510ro-right-cutting-offset-aviation-snip-blackout-series</v>
      </c>
      <c r="B49" s="3" t="str">
        <f>HYPERLINK("https://edmondsonsupply.com/products/midwest-mwt-6510ro-right-cutting-offset-aviation-snip-blackout-series", "https://edmondsonsupply.com/products/midwest-mwt-6510ro-right-cutting-offset-aviation-snip-blackout-series")</f>
        <v>https://edmondsonsupply.com/products/midwest-mwt-6510ro-right-cutting-offset-aviation-snip-blackout-series</v>
      </c>
      <c r="C49" t="s">
        <v>157</v>
      </c>
      <c r="D49" t="s">
        <v>158</v>
      </c>
      <c r="E49" s="3" t="str">
        <f>HYPERLINK("https://www.amazon.com/MIDWEST-Aviation-Snip-Set-KUSHN-POWER/dp/B07RC7ZBK9/ref=sr_1_3?keywords=Midwest+MWT-6510RO+Right-Cutting+Offset+Aviation+Snip+-+Blackout+Series&amp;qid=1695173092&amp;sr=8-3", "https://www.amazon.com/MIDWEST-Aviation-Snip-Set-KUSHN-POWER/dp/B07RC7ZBK9/ref=sr_1_3?keywords=Midwest+MWT-6510RO+Right-Cutting+Offset+Aviation+Snip+-+Blackout+Series&amp;qid=1695173092&amp;sr=8-3")</f>
        <v>https://www.amazon.com/MIDWEST-Aviation-Snip-Set-KUSHN-POWER/dp/B07RC7ZBK9/ref=sr_1_3?keywords=Midwest+MWT-6510RO+Right-Cutting+Offset+Aviation+Snip+-+Blackout+Series&amp;qid=1695173092&amp;sr=8-3</v>
      </c>
      <c r="F49" t="s">
        <v>159</v>
      </c>
      <c r="G49" t="e">
        <f ca="1">_xludf.IMAGE("https://edmondsonsupply.com/cdn/shop/products/6510ro.jpg?v=1587142626")</f>
        <v>#NAME?</v>
      </c>
      <c r="H49" t="e">
        <f ca="1">_xludf.IMAGE("https://m.media-amazon.com/images/I/71438hbSyHL._AC_UL320_.jpg")</f>
        <v>#NAME?</v>
      </c>
      <c r="I49" t="s">
        <v>160</v>
      </c>
      <c r="J49">
        <v>87.99</v>
      </c>
      <c r="K49" s="4">
        <v>1.903</v>
      </c>
      <c r="L49">
        <v>4.4000000000000004</v>
      </c>
      <c r="M49">
        <v>1137</v>
      </c>
      <c r="O49" t="s">
        <v>25</v>
      </c>
      <c r="P49" t="s">
        <v>161</v>
      </c>
      <c r="Q49" t="s">
        <v>162</v>
      </c>
    </row>
    <row r="50" spans="1:17" ht="15.5" x14ac:dyDescent="0.35">
      <c r="A50" s="3" t="str">
        <f>HYPERLINK("https://edmondsonsupply.com/collections/hand-tools/products/klein-tools-65200-electricians-mini-ratchet-set-5-piece", "https://edmondsonsupply.com/collections/hand-tools/products/klein-tools-65200-electricians-mini-ratchet-set-5-piece")</f>
        <v>https://edmondsonsupply.com/collections/hand-tools/products/klein-tools-65200-electricians-mini-ratchet-set-5-piece</v>
      </c>
      <c r="B50" s="3" t="str">
        <f>HYPERLINK("https://edmondsonsupply.com/products/klein-tools-65200-electricians-mini-ratchet-set-5-piece", "https://edmondsonsupply.com/products/klein-tools-65200-electricians-mini-ratchet-set-5-piece")</f>
        <v>https://edmondsonsupply.com/products/klein-tools-65200-electricians-mini-ratchet-set-5-piece</v>
      </c>
      <c r="C50" t="s">
        <v>140</v>
      </c>
      <c r="D50" t="s">
        <v>163</v>
      </c>
      <c r="E50" s="3" t="str">
        <f>HYPERLINK("https://www.amazon.com/Klein-Tools-Precision-Screwdriver-Phillips/dp/B0BK4M6YR9/ref=sr_1_5?keywords=Klein+Tools+65200+Slim-Profile+Mini+Ratchet+Set%2C+5-Piece&amp;qid=1695173095&amp;sr=8-5", "https://www.amazon.com/Klein-Tools-Precision-Screwdriver-Phillips/dp/B0BK4M6YR9/ref=sr_1_5?keywords=Klein+Tools+65200+Slim-Profile+Mini+Ratchet+Set%2C+5-Piece&amp;qid=1695173095&amp;sr=8-5")</f>
        <v>https://www.amazon.com/Klein-Tools-Precision-Screwdriver-Phillips/dp/B0BK4M6YR9/ref=sr_1_5?keywords=Klein+Tools+65200+Slim-Profile+Mini+Ratchet+Set%2C+5-Piece&amp;qid=1695173095&amp;sr=8-5</v>
      </c>
      <c r="F50" t="s">
        <v>164</v>
      </c>
      <c r="G50" t="e">
        <f ca="1">_xludf.IMAGE("https://edmondsonsupply.com/cdn/shop/products/65200.jpg?v=1633030630")</f>
        <v>#NAME?</v>
      </c>
      <c r="H50" t="e">
        <f ca="1">_xludf.IMAGE("https://m.media-amazon.com/images/I/51dEfrYf+TL._AC_UL320_.jpg")</f>
        <v>#NAME?</v>
      </c>
      <c r="I50" t="s">
        <v>143</v>
      </c>
      <c r="J50">
        <v>45.93</v>
      </c>
      <c r="K50" s="4">
        <v>1.8759999999999999</v>
      </c>
      <c r="L50">
        <v>5</v>
      </c>
      <c r="M50">
        <v>5</v>
      </c>
      <c r="O50" t="s">
        <v>25</v>
      </c>
      <c r="P50" t="s">
        <v>144</v>
      </c>
      <c r="Q50" t="s">
        <v>145</v>
      </c>
    </row>
    <row r="51" spans="1:17" ht="15.5" x14ac:dyDescent="0.35">
      <c r="A51" s="3" t="str">
        <f>HYPERLINK("https://edmondsonsupply.com/collections/hand-tools/products/hilmor-1839046", "https://edmondsonsupply.com/collections/hand-tools/products/hilmor-1839046")</f>
        <v>https://edmondsonsupply.com/collections/hand-tools/products/hilmor-1839046</v>
      </c>
      <c r="B51" s="3" t="str">
        <f>HYPERLINK("https://edmondsonsupply.com/products/hilmor-1839046", "https://edmondsonsupply.com/products/hilmor-1839046")</f>
        <v>https://edmondsonsupply.com/products/hilmor-1839046</v>
      </c>
      <c r="C51" t="s">
        <v>146</v>
      </c>
      <c r="D51" t="s">
        <v>165</v>
      </c>
      <c r="E51" s="3" t="str">
        <f>HYPERLINK("https://www.amazon.com/ANCIRS-Service-Conditioning-Refrigeration-Equipment/dp/B096K2D4JD/ref=sr_1_3?keywords=Hilmor+1839046+Service+Wrench+Hex+Key+Adapter&amp;qid=1695173090&amp;sr=8-3", "https://www.amazon.com/ANCIRS-Service-Conditioning-Refrigeration-Equipment/dp/B096K2D4JD/ref=sr_1_3?keywords=Hilmor+1839046+Service+Wrench+Hex+Key+Adapter&amp;qid=1695173090&amp;sr=8-3")</f>
        <v>https://www.amazon.com/ANCIRS-Service-Conditioning-Refrigeration-Equipment/dp/B096K2D4JD/ref=sr_1_3?keywords=Hilmor+1839046+Service+Wrench+Hex+Key+Adapter&amp;qid=1695173090&amp;sr=8-3</v>
      </c>
      <c r="F51" t="s">
        <v>166</v>
      </c>
      <c r="G51" t="e">
        <f ca="1">_xludf.IMAGE("https://edmondsonsupply.com/cdn/shop/products/s-l500.jpg?v=1633030254")</f>
        <v>#NAME?</v>
      </c>
      <c r="H51" t="e">
        <f ca="1">_xludf.IMAGE("https://m.media-amazon.com/images/I/51sBCijVjbS._AC_UL320_.jpg")</f>
        <v>#NAME?</v>
      </c>
      <c r="I51" t="s">
        <v>149</v>
      </c>
      <c r="J51">
        <v>8.99</v>
      </c>
      <c r="K51" s="4">
        <v>1.7919</v>
      </c>
      <c r="L51">
        <v>4.2</v>
      </c>
      <c r="M51">
        <v>159</v>
      </c>
      <c r="O51" t="s">
        <v>25</v>
      </c>
      <c r="P51" t="s">
        <v>138</v>
      </c>
      <c r="Q51" t="s">
        <v>150</v>
      </c>
    </row>
    <row r="52" spans="1:17" ht="15.5" x14ac:dyDescent="0.35">
      <c r="A52" s="3" t="str">
        <f>HYPERLINK("https://edmondsonsupply.com/collections/hand-tools/products/hilmor-1839046", "https://edmondsonsupply.com/collections/hand-tools/products/hilmor-1839046")</f>
        <v>https://edmondsonsupply.com/collections/hand-tools/products/hilmor-1839046</v>
      </c>
      <c r="B52" s="3" t="str">
        <f>HYPERLINK("https://edmondsonsupply.com/products/hilmor-1839046", "https://edmondsonsupply.com/products/hilmor-1839046")</f>
        <v>https://edmondsonsupply.com/products/hilmor-1839046</v>
      </c>
      <c r="C52" t="s">
        <v>146</v>
      </c>
      <c r="D52" t="s">
        <v>167</v>
      </c>
      <c r="E52" s="3" t="str">
        <f>HYPERLINK("https://www.amazon.com/Service-Adapter-Straight-Conditioning-Refrigeration/dp/B098B2QD5X/ref=sr_1_9?keywords=Hilmor+1839046+Service+Wrench+Hex+Key+Adapter&amp;qid=1695173090&amp;sr=8-9", "https://www.amazon.com/Service-Adapter-Straight-Conditioning-Refrigeration/dp/B098B2QD5X/ref=sr_1_9?keywords=Hilmor+1839046+Service+Wrench+Hex+Key+Adapter&amp;qid=1695173090&amp;sr=8-9")</f>
        <v>https://www.amazon.com/Service-Adapter-Straight-Conditioning-Refrigeration/dp/B098B2QD5X/ref=sr_1_9?keywords=Hilmor+1839046+Service+Wrench+Hex+Key+Adapter&amp;qid=1695173090&amp;sr=8-9</v>
      </c>
      <c r="F52" t="s">
        <v>168</v>
      </c>
      <c r="G52" t="e">
        <f ca="1">_xludf.IMAGE("https://edmondsonsupply.com/cdn/shop/products/s-l500.jpg?v=1633030254")</f>
        <v>#NAME?</v>
      </c>
      <c r="H52" t="e">
        <f ca="1">_xludf.IMAGE("https://m.media-amazon.com/images/I/61EFKZaECxL._AC_UL320_.jpg")</f>
        <v>#NAME?</v>
      </c>
      <c r="I52" t="s">
        <v>149</v>
      </c>
      <c r="J52">
        <v>8.99</v>
      </c>
      <c r="K52" s="4">
        <v>1.7919</v>
      </c>
      <c r="L52">
        <v>4.2</v>
      </c>
      <c r="M52">
        <v>32</v>
      </c>
      <c r="O52" t="s">
        <v>25</v>
      </c>
      <c r="P52" t="s">
        <v>138</v>
      </c>
      <c r="Q52" t="s">
        <v>150</v>
      </c>
    </row>
    <row r="53" spans="1:17" ht="15.5" x14ac:dyDescent="0.35">
      <c r="A53" s="3" t="str">
        <f>HYPERLINK("https://edmondsonsupply.com/collections/hand-tools/products/midwest-mwt-ss6510l-special-hardness-offset-aviation-snip-left-cutting", "https://edmondsonsupply.com/collections/hand-tools/products/midwest-mwt-ss6510l-special-hardness-offset-aviation-snip-left-cutting")</f>
        <v>https://edmondsonsupply.com/collections/hand-tools/products/midwest-mwt-ss6510l-special-hardness-offset-aviation-snip-left-cutting</v>
      </c>
      <c r="B53"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53" t="s">
        <v>169</v>
      </c>
      <c r="D53" t="s">
        <v>158</v>
      </c>
      <c r="E53" s="3" t="str">
        <f>HYPERLINK("https://www.amazon.com/MIDWEST-Aviation-Snip-Set-KUSHN-POWER/dp/B07RC7ZBK9/ref=sr_1_1?keywords=Midwest+MWT-SS6510L+Special+Hardness+Offset+Aviation+Snip+-+Left-Cutting&amp;qid=1695173094&amp;sr=8-1", "https://www.amazon.com/MIDWEST-Aviation-Snip-Set-KUSHN-POWER/dp/B07RC7ZBK9/ref=sr_1_1?keywords=Midwest+MWT-SS6510L+Special+Hardness+Offset+Aviation+Snip+-+Left-Cutting&amp;qid=1695173094&amp;sr=8-1")</f>
        <v>https://www.amazon.com/MIDWEST-Aviation-Snip-Set-KUSHN-POWER/dp/B07RC7ZBK9/ref=sr_1_1?keywords=Midwest+MWT-SS6510L+Special+Hardness+Offset+Aviation+Snip+-+Left-Cutting&amp;qid=1695173094&amp;sr=8-1</v>
      </c>
      <c r="F53" t="s">
        <v>159</v>
      </c>
      <c r="G53" t="e">
        <f ca="1">_xludf.IMAGE("https://edmondsonsupply.com/cdn/shop/products/MWT-SS6510L.png?v=1587150385")</f>
        <v>#NAME?</v>
      </c>
      <c r="H53" t="e">
        <f ca="1">_xludf.IMAGE("https://m.media-amazon.com/images/I/71438hbSyHL._AC_UL320_.jpg")</f>
        <v>#NAME?</v>
      </c>
      <c r="I53" t="s">
        <v>170</v>
      </c>
      <c r="J53">
        <v>87.99</v>
      </c>
      <c r="K53" s="4">
        <v>1.7369000000000001</v>
      </c>
      <c r="L53">
        <v>4.4000000000000004</v>
      </c>
      <c r="M53">
        <v>1137</v>
      </c>
      <c r="O53" t="s">
        <v>171</v>
      </c>
      <c r="P53" t="s">
        <v>172</v>
      </c>
      <c r="Q53" t="s">
        <v>173</v>
      </c>
    </row>
    <row r="54" spans="1:17" ht="15.5" x14ac:dyDescent="0.35">
      <c r="A54" s="3" t="str">
        <f>HYPERLINK("https://edmondsonsupply.com/collections/hand-tools/products/hilmor-1839046", "https://edmondsonsupply.com/collections/hand-tools/products/hilmor-1839046")</f>
        <v>https://edmondsonsupply.com/collections/hand-tools/products/hilmor-1839046</v>
      </c>
      <c r="B54" s="3" t="str">
        <f>HYPERLINK("https://edmondsonsupply.com/products/hilmor-1839046", "https://edmondsonsupply.com/products/hilmor-1839046")</f>
        <v>https://edmondsonsupply.com/products/hilmor-1839046</v>
      </c>
      <c r="C54" t="s">
        <v>146</v>
      </c>
      <c r="D54" t="s">
        <v>174</v>
      </c>
      <c r="E54" s="3" t="str">
        <f>HYPERLINK("https://www.amazon.com/hilmor-1839046-Service-Hex-Adapter/dp/B00X9BP99O/ref=sr_1_1?keywords=Hilmor+1839046+Service+Wrench+Hex+Key+Adapter&amp;qid=1695173090&amp;sr=8-1", "https://www.amazon.com/hilmor-1839046-Service-Hex-Adapter/dp/B00X9BP99O/ref=sr_1_1?keywords=Hilmor+1839046+Service+Wrench+Hex+Key+Adapter&amp;qid=1695173090&amp;sr=8-1")</f>
        <v>https://www.amazon.com/hilmor-1839046-Service-Hex-Adapter/dp/B00X9BP99O/ref=sr_1_1?keywords=Hilmor+1839046+Service+Wrench+Hex+Key+Adapter&amp;qid=1695173090&amp;sr=8-1</v>
      </c>
      <c r="F54" t="s">
        <v>175</v>
      </c>
      <c r="G54" t="e">
        <f ca="1">_xludf.IMAGE("https://edmondsonsupply.com/cdn/shop/products/s-l500.jpg?v=1633030254")</f>
        <v>#NAME?</v>
      </c>
      <c r="H54" t="e">
        <f ca="1">_xludf.IMAGE("https://m.media-amazon.com/images/I/51+6ggpNF6L._AC_UL320_.jpg")</f>
        <v>#NAME?</v>
      </c>
      <c r="I54" t="s">
        <v>149</v>
      </c>
      <c r="J54">
        <v>8.6300000000000008</v>
      </c>
      <c r="K54" s="4">
        <v>1.6800999999999999</v>
      </c>
      <c r="L54">
        <v>4.5999999999999996</v>
      </c>
      <c r="M54">
        <v>1249</v>
      </c>
      <c r="O54" t="s">
        <v>25</v>
      </c>
      <c r="P54" t="s">
        <v>138</v>
      </c>
      <c r="Q54" t="s">
        <v>150</v>
      </c>
    </row>
    <row r="55" spans="1:17" ht="15.5" x14ac:dyDescent="0.35">
      <c r="A55" s="3" t="str">
        <f>HYPERLINK("https://edmondsonsupply.com/collections/hand-tools/products/hilmor-1839046", "https://edmondsonsupply.com/collections/hand-tools/products/hilmor-1839046")</f>
        <v>https://edmondsonsupply.com/collections/hand-tools/products/hilmor-1839046</v>
      </c>
      <c r="B55" s="3" t="str">
        <f>HYPERLINK("https://edmondsonsupply.com/products/hilmor-1839046", "https://edmondsonsupply.com/products/hilmor-1839046")</f>
        <v>https://edmondsonsupply.com/products/hilmor-1839046</v>
      </c>
      <c r="C55" t="s">
        <v>146</v>
      </c>
      <c r="D55" t="s">
        <v>176</v>
      </c>
      <c r="E55" s="3" t="str">
        <f>HYPERLINK("https://www.amazon.com/Adapter-Service-Ratcheting-Compressor-Rotalock/dp/B09F39WSSM/ref=sr_1_2?keywords=Hilmor+1839046+Service+Wrench+Hex+Key+Adapter&amp;qid=1695173090&amp;sr=8-2", "https://www.amazon.com/Adapter-Service-Ratcheting-Compressor-Rotalock/dp/B09F39WSSM/ref=sr_1_2?keywords=Hilmor+1839046+Service+Wrench+Hex+Key+Adapter&amp;qid=1695173090&amp;sr=8-2")</f>
        <v>https://www.amazon.com/Adapter-Service-Ratcheting-Compressor-Rotalock/dp/B09F39WSSM/ref=sr_1_2?keywords=Hilmor+1839046+Service+Wrench+Hex+Key+Adapter&amp;qid=1695173090&amp;sr=8-2</v>
      </c>
      <c r="F55" t="s">
        <v>177</v>
      </c>
      <c r="G55" t="e">
        <f ca="1">_xludf.IMAGE("https://edmondsonsupply.com/cdn/shop/products/s-l500.jpg?v=1633030254")</f>
        <v>#NAME?</v>
      </c>
      <c r="H55" t="e">
        <f ca="1">_xludf.IMAGE("https://m.media-amazon.com/images/I/61JzbGQt8cL._AC_UL320_.jpg")</f>
        <v>#NAME?</v>
      </c>
      <c r="I55" t="s">
        <v>149</v>
      </c>
      <c r="J55">
        <v>7.99</v>
      </c>
      <c r="K55" s="4">
        <v>1.4814000000000001</v>
      </c>
      <c r="L55">
        <v>4.3</v>
      </c>
      <c r="M55">
        <v>105</v>
      </c>
      <c r="O55" t="s">
        <v>25</v>
      </c>
      <c r="P55" t="s">
        <v>138</v>
      </c>
      <c r="Q55" t="s">
        <v>150</v>
      </c>
    </row>
    <row r="56" spans="1:17" ht="15.5" x14ac:dyDescent="0.35">
      <c r="A56" s="3" t="str">
        <f>HYPERLINK("https://edmondsonsupply.com/collections/hand-tools/products/malco-mshc-2-inch-c-rhex-cleanable-reversible-magnetic-hex-driver-1-4-5-16", "https://edmondsonsupply.com/collections/hand-tools/products/malco-mshc-2-inch-c-rhex-cleanable-reversible-magnetic-hex-driver-1-4-5-16")</f>
        <v>https://edmondsonsupply.com/collections/hand-tools/products/malco-mshc-2-inch-c-rhex-cleanable-reversible-magnetic-hex-driver-1-4-5-16</v>
      </c>
      <c r="B56"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56" t="s">
        <v>134</v>
      </c>
      <c r="D56" t="s">
        <v>178</v>
      </c>
      <c r="E56" s="3" t="str">
        <f>HYPERLINK("https://www.amazon.com/Malco-MSHMLC2-Construction-Cleanable-Reversible/dp/B0BX77PFCY/ref=sr_1_3?keywords=Malco+Tools+MSHC+2-Inch+C-Rhex+Cleanable%2C+Reversible+Magnetic+Hex+Driver%2C+1%2F4%22+%26+5%2F16%22&amp;qid=1695173098&amp;sr=8-3", "https://www.amazon.com/Malco-MSHMLC2-Construction-Cleanable-Reversible/dp/B0BX77PFCY/ref=sr_1_3?keywords=Malco+Tools+MSHC+2-Inch+C-Rhex+Cleanable%2C+Reversible+Magnetic+Hex+Driver%2C+1%2F4%22+%26+5%2F16%22&amp;qid=1695173098&amp;sr=8-3")</f>
        <v>https://www.amazon.com/Malco-MSHMLC2-Construction-Cleanable-Reversible/dp/B0BX77PFCY/ref=sr_1_3?keywords=Malco+Tools+MSHC+2-Inch+C-Rhex+Cleanable%2C+Reversible+Magnetic+Hex+Driver%2C+1%2F4%22+%26+5%2F16%22&amp;qid=1695173098&amp;sr=8-3</v>
      </c>
      <c r="F56" t="s">
        <v>179</v>
      </c>
      <c r="G56" t="e">
        <f ca="1">_xludf.IMAGE("https://edmondsonsupply.com/cdn/shop/products/Malco-MSHC-CRHEX-Slim-Design.jpg?v=1646614493")</f>
        <v>#NAME?</v>
      </c>
      <c r="H56" t="e">
        <f ca="1">_xludf.IMAGE("https://m.media-amazon.com/images/I/61SpFpw6GjL._AC_UL320_.jpg")</f>
        <v>#NAME?</v>
      </c>
      <c r="I56" t="s">
        <v>137</v>
      </c>
      <c r="J56">
        <v>13.91</v>
      </c>
      <c r="K56" s="4">
        <v>1.3615999999999999</v>
      </c>
      <c r="L56">
        <v>3</v>
      </c>
      <c r="M56">
        <v>4</v>
      </c>
      <c r="O56" t="s">
        <v>25</v>
      </c>
      <c r="P56" t="s">
        <v>138</v>
      </c>
      <c r="Q56" t="s">
        <v>139</v>
      </c>
    </row>
    <row r="57" spans="1:17" ht="15.5" x14ac:dyDescent="0.35">
      <c r="A57" s="3" t="str">
        <f>HYPERLINK("https://edmondsonsupply.com/collections/hand-tools/products/klein-tools-65200-electricians-mini-ratchet-set-5-piece", "https://edmondsonsupply.com/collections/hand-tools/products/klein-tools-65200-electricians-mini-ratchet-set-5-piece")</f>
        <v>https://edmondsonsupply.com/collections/hand-tools/products/klein-tools-65200-electricians-mini-ratchet-set-5-piece</v>
      </c>
      <c r="B57" s="3" t="str">
        <f>HYPERLINK("https://edmondsonsupply.com/products/klein-tools-65200-electricians-mini-ratchet-set-5-piece", "https://edmondsonsupply.com/products/klein-tools-65200-electricians-mini-ratchet-set-5-piece")</f>
        <v>https://edmondsonsupply.com/products/klein-tools-65200-electricians-mini-ratchet-set-5-piece</v>
      </c>
      <c r="C57" t="s">
        <v>140</v>
      </c>
      <c r="D57" t="s">
        <v>180</v>
      </c>
      <c r="E57" s="3" t="str">
        <f>HYPERLINK("https://www.amazon.com/Klein-Tools-Ratchet-5-Piece-Impact/dp/B0BNL31N8K/ref=sr_1_2?keywords=Klein+Tools+65200+Slim-Profile+Mini+Ratchet+Set%2C+5-Piece&amp;qid=1695173095&amp;sr=8-2", "https://www.amazon.com/Klein-Tools-Ratchet-5-Piece-Impact/dp/B0BNL31N8K/ref=sr_1_2?keywords=Klein+Tools+65200+Slim-Profile+Mini+Ratchet+Set%2C+5-Piece&amp;qid=1695173095&amp;sr=8-2")</f>
        <v>https://www.amazon.com/Klein-Tools-Ratchet-5-Piece-Impact/dp/B0BNL31N8K/ref=sr_1_2?keywords=Klein+Tools+65200+Slim-Profile+Mini+Ratchet+Set%2C+5-Piece&amp;qid=1695173095&amp;sr=8-2</v>
      </c>
      <c r="F57" t="s">
        <v>181</v>
      </c>
      <c r="G57" t="e">
        <f ca="1">_xludf.IMAGE("https://edmondsonsupply.com/cdn/shop/products/65200.jpg?v=1633030630")</f>
        <v>#NAME?</v>
      </c>
      <c r="H57" t="e">
        <f ca="1">_xludf.IMAGE("https://m.media-amazon.com/images/I/41JD1cfUw6L._AC_UL320_.jpg")</f>
        <v>#NAME?</v>
      </c>
      <c r="I57" t="s">
        <v>143</v>
      </c>
      <c r="J57">
        <v>35.950000000000003</v>
      </c>
      <c r="K57" s="4">
        <v>1.2511000000000001</v>
      </c>
      <c r="L57">
        <v>4.9000000000000004</v>
      </c>
      <c r="M57">
        <v>10</v>
      </c>
      <c r="O57" t="s">
        <v>25</v>
      </c>
      <c r="P57" t="s">
        <v>144</v>
      </c>
      <c r="Q57" t="s">
        <v>145</v>
      </c>
    </row>
    <row r="58" spans="1:17" ht="15.5" x14ac:dyDescent="0.35">
      <c r="A58" s="3" t="str">
        <f>HYPERLINK("https://edmondsonsupply.com/collections/hand-tools/products/midwest-mwt-6510lo-left-cutting-offset-aviation-snip-blackout-series", "https://edmondsonsupply.com/collections/hand-tools/products/midwest-mwt-6510lo-left-cutting-offset-aviation-snip-blackout-series")</f>
        <v>https://edmondsonsupply.com/collections/hand-tools/products/midwest-mwt-6510lo-left-cutting-offset-aviation-snip-blackout-series</v>
      </c>
      <c r="B58" s="3" t="str">
        <f>HYPERLINK("https://edmondsonsupply.com/products/midwest-mwt-6510lo-left-cutting-offset-aviation-snip-blackout-series", "https://edmondsonsupply.com/products/midwest-mwt-6510lo-left-cutting-offset-aviation-snip-blackout-series")</f>
        <v>https://edmondsonsupply.com/products/midwest-mwt-6510lo-left-cutting-offset-aviation-snip-blackout-series</v>
      </c>
      <c r="C58" t="s">
        <v>182</v>
      </c>
      <c r="D58" t="s">
        <v>158</v>
      </c>
      <c r="E58" s="3" t="str">
        <f>HYPERLINK("https://www.amazon.com/MIDWEST-Aviation-Snip-Set-KUSHN-POWER/dp/B07RC7ZBK9/ref=sr_1_4?keywords=Midwest+MWT-6510LO+Left-Cutting+Offset+Aviation+Snip+-+Blackout+Series&amp;qid=1695173093&amp;sr=8-4", "https://www.amazon.com/MIDWEST-Aviation-Snip-Set-KUSHN-POWER/dp/B07RC7ZBK9/ref=sr_1_4?keywords=Midwest+MWT-6510LO+Left-Cutting+Offset+Aviation+Snip+-+Blackout+Series&amp;qid=1695173093&amp;sr=8-4")</f>
        <v>https://www.amazon.com/MIDWEST-Aviation-Snip-Set-KUSHN-POWER/dp/B07RC7ZBK9/ref=sr_1_4?keywords=Midwest+MWT-6510LO+Left-Cutting+Offset+Aviation+Snip+-+Blackout+Series&amp;qid=1695173093&amp;sr=8-4</v>
      </c>
      <c r="F58" t="s">
        <v>159</v>
      </c>
      <c r="G58" t="e">
        <f ca="1">_xludf.IMAGE("https://edmondsonsupply.com/cdn/shop/products/mwt-6510lo.jpg?v=1587147580")</f>
        <v>#NAME?</v>
      </c>
      <c r="H58" t="e">
        <f ca="1">_xludf.IMAGE("https://m.media-amazon.com/images/I/71438hbSyHL._AC_UL320_.jpg")</f>
        <v>#NAME?</v>
      </c>
      <c r="I58" t="s">
        <v>183</v>
      </c>
      <c r="J58">
        <v>87.99</v>
      </c>
      <c r="K58" s="4">
        <v>1.208</v>
      </c>
      <c r="L58">
        <v>4.4000000000000004</v>
      </c>
      <c r="M58">
        <v>1137</v>
      </c>
      <c r="O58" t="s">
        <v>171</v>
      </c>
      <c r="P58" t="s">
        <v>183</v>
      </c>
      <c r="Q58" t="s">
        <v>184</v>
      </c>
    </row>
    <row r="59" spans="1:17" ht="15.5" x14ac:dyDescent="0.35">
      <c r="A59" s="3" t="str">
        <f>HYPERLINK("https://edmondsonsupply.com/collections/hand-tools/products/hilmor-1839046", "https://edmondsonsupply.com/collections/hand-tools/products/hilmor-1839046")</f>
        <v>https://edmondsonsupply.com/collections/hand-tools/products/hilmor-1839046</v>
      </c>
      <c r="B59" s="3" t="str">
        <f>HYPERLINK("https://edmondsonsupply.com/products/hilmor-1839046", "https://edmondsonsupply.com/products/hilmor-1839046")</f>
        <v>https://edmondsonsupply.com/products/hilmor-1839046</v>
      </c>
      <c r="C59" t="s">
        <v>146</v>
      </c>
      <c r="D59" t="s">
        <v>185</v>
      </c>
      <c r="E59" s="3" t="str">
        <f>HYPERLINK("https://www.amazon.com/service-Adapter-conditioning-Conditioning-Equipment/dp/B09F2QDV9L/ref=sr_1_6?keywords=Hilmor+1839046+Service+Wrench+Hex+Key+Adapter&amp;qid=1695173090&amp;sr=8-6", "https://www.amazon.com/service-Adapter-conditioning-Conditioning-Equipment/dp/B09F2QDV9L/ref=sr_1_6?keywords=Hilmor+1839046+Service+Wrench+Hex+Key+Adapter&amp;qid=1695173090&amp;sr=8-6")</f>
        <v>https://www.amazon.com/service-Adapter-conditioning-Conditioning-Equipment/dp/B09F2QDV9L/ref=sr_1_6?keywords=Hilmor+1839046+Service+Wrench+Hex+Key+Adapter&amp;qid=1695173090&amp;sr=8-6</v>
      </c>
      <c r="F59" t="s">
        <v>186</v>
      </c>
      <c r="G59" t="e">
        <f ca="1">_xludf.IMAGE("https://edmondsonsupply.com/cdn/shop/products/s-l500.jpg?v=1633030254")</f>
        <v>#NAME?</v>
      </c>
      <c r="H59" t="e">
        <f ca="1">_xludf.IMAGE("https://m.media-amazon.com/images/I/51yUeB2BhJL._AC_UL320_.jpg")</f>
        <v>#NAME?</v>
      </c>
      <c r="I59" t="s">
        <v>149</v>
      </c>
      <c r="J59">
        <v>6.99</v>
      </c>
      <c r="K59" s="4">
        <v>1.1708000000000001</v>
      </c>
      <c r="L59">
        <v>4.5</v>
      </c>
      <c r="M59">
        <v>64</v>
      </c>
      <c r="O59" t="s">
        <v>25</v>
      </c>
      <c r="P59" t="s">
        <v>138</v>
      </c>
      <c r="Q59" t="s">
        <v>150</v>
      </c>
    </row>
    <row r="60" spans="1:17" ht="15.5" x14ac:dyDescent="0.35">
      <c r="A60" s="3" t="str">
        <f>HYPERLINK("https://edmondsonsupply.com/collections/hand-tools/products/hilmor-1839046", "https://edmondsonsupply.com/collections/hand-tools/products/hilmor-1839046")</f>
        <v>https://edmondsonsupply.com/collections/hand-tools/products/hilmor-1839046</v>
      </c>
      <c r="B60" s="3" t="str">
        <f>HYPERLINK("https://edmondsonsupply.com/products/hilmor-1839046", "https://edmondsonsupply.com/products/hilmor-1839046")</f>
        <v>https://edmondsonsupply.com/products/hilmor-1839046</v>
      </c>
      <c r="C60" t="s">
        <v>146</v>
      </c>
      <c r="D60" t="s">
        <v>187</v>
      </c>
      <c r="E60" s="3" t="str">
        <f>HYPERLINK("https://www.amazon.com/Wisepick-Adapter-Ratchet-Wrench-Service/dp/B08L4GNB3D/ref=sr_1_7?keywords=Hilmor+1839046+Service+Wrench+Hex+Key+Adapter&amp;qid=1695173090&amp;sr=8-7", "https://www.amazon.com/Wisepick-Adapter-Ratchet-Wrench-Service/dp/B08L4GNB3D/ref=sr_1_7?keywords=Hilmor+1839046+Service+Wrench+Hex+Key+Adapter&amp;qid=1695173090&amp;sr=8-7")</f>
        <v>https://www.amazon.com/Wisepick-Adapter-Ratchet-Wrench-Service/dp/B08L4GNB3D/ref=sr_1_7?keywords=Hilmor+1839046+Service+Wrench+Hex+Key+Adapter&amp;qid=1695173090&amp;sr=8-7</v>
      </c>
      <c r="F60" t="s">
        <v>188</v>
      </c>
      <c r="G60" t="e">
        <f ca="1">_xludf.IMAGE("https://edmondsonsupply.com/cdn/shop/products/s-l500.jpg?v=1633030254")</f>
        <v>#NAME?</v>
      </c>
      <c r="H60" t="e">
        <f ca="1">_xludf.IMAGE("https://m.media-amazon.com/images/I/61BlofhajEL._AC_UL320_.jpg")</f>
        <v>#NAME?</v>
      </c>
      <c r="I60" t="s">
        <v>149</v>
      </c>
      <c r="J60">
        <v>6.98</v>
      </c>
      <c r="K60" s="4">
        <v>1.1677</v>
      </c>
      <c r="L60">
        <v>4.5</v>
      </c>
      <c r="M60">
        <v>50</v>
      </c>
      <c r="O60" t="s">
        <v>25</v>
      </c>
      <c r="P60" t="s">
        <v>138</v>
      </c>
      <c r="Q60" t="s">
        <v>150</v>
      </c>
    </row>
    <row r="61" spans="1:17" ht="15.5" x14ac:dyDescent="0.35">
      <c r="A61" s="3" t="str">
        <f>HYPERLINK("https://edmondsonsupply.com/collections/hand-tools/products/klein-tools-65200-electricians-mini-ratchet-set-5-piece", "https://edmondsonsupply.com/collections/hand-tools/products/klein-tools-65200-electricians-mini-ratchet-set-5-piece")</f>
        <v>https://edmondsonsupply.com/collections/hand-tools/products/klein-tools-65200-electricians-mini-ratchet-set-5-piece</v>
      </c>
      <c r="B61" s="3" t="str">
        <f>HYPERLINK("https://edmondsonsupply.com/products/klein-tools-65200-electricians-mini-ratchet-set-5-piece", "https://edmondsonsupply.com/products/klein-tools-65200-electricians-mini-ratchet-set-5-piece")</f>
        <v>https://edmondsonsupply.com/products/klein-tools-65200-electricians-mini-ratchet-set-5-piece</v>
      </c>
      <c r="C61" t="s">
        <v>140</v>
      </c>
      <c r="D61" t="s">
        <v>189</v>
      </c>
      <c r="E61" s="3" t="str">
        <f>HYPERLINK("https://www.amazon.com/Klein-Tools-Multi-bit-Screwdriver-Adjustable/dp/B0BCT97D2B/ref=sr_1_3?keywords=Klein+Tools+65200+Slim-Profile+Mini+Ratchet+Set%2C+5-Piece&amp;qid=1695173095&amp;sr=8-3", "https://www.amazon.com/Klein-Tools-Multi-bit-Screwdriver-Adjustable/dp/B0BCT97D2B/ref=sr_1_3?keywords=Klein+Tools+65200+Slim-Profile+Mini+Ratchet+Set%2C+5-Piece&amp;qid=1695173095&amp;sr=8-3")</f>
        <v>https://www.amazon.com/Klein-Tools-Multi-bit-Screwdriver-Adjustable/dp/B0BCT97D2B/ref=sr_1_3?keywords=Klein+Tools+65200+Slim-Profile+Mini+Ratchet+Set%2C+5-Piece&amp;qid=1695173095&amp;sr=8-3</v>
      </c>
      <c r="F61" t="s">
        <v>190</v>
      </c>
      <c r="G61" t="e">
        <f ca="1">_xludf.IMAGE("https://edmondsonsupply.com/cdn/shop/products/65200.jpg?v=1633030630")</f>
        <v>#NAME?</v>
      </c>
      <c r="H61" t="e">
        <f ca="1">_xludf.IMAGE("https://m.media-amazon.com/images/I/51FhukkqNXL._AC_UL320_.jpg")</f>
        <v>#NAME?</v>
      </c>
      <c r="I61" t="s">
        <v>143</v>
      </c>
      <c r="J61">
        <v>32.93</v>
      </c>
      <c r="K61" s="4">
        <v>1.0620000000000001</v>
      </c>
      <c r="L61">
        <v>5</v>
      </c>
      <c r="M61">
        <v>7</v>
      </c>
      <c r="O61" t="s">
        <v>25</v>
      </c>
      <c r="P61" t="s">
        <v>144</v>
      </c>
      <c r="Q61" t="s">
        <v>145</v>
      </c>
    </row>
    <row r="62" spans="1:17" ht="15.5" x14ac:dyDescent="0.35">
      <c r="A62" s="3" t="str">
        <f>HYPERLINK("https://edmondsonsupply.com/collections/hand-tools/products/midwest-mwt-ss6510l-special-hardness-offset-aviation-snip-left-cutting", "https://edmondsonsupply.com/collections/hand-tools/products/midwest-mwt-ss6510l-special-hardness-offset-aviation-snip-left-cutting")</f>
        <v>https://edmondsonsupply.com/collections/hand-tools/products/midwest-mwt-ss6510l-special-hardness-offset-aviation-snip-left-cutting</v>
      </c>
      <c r="B62"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62" t="s">
        <v>169</v>
      </c>
      <c r="D62" t="s">
        <v>191</v>
      </c>
      <c r="E62" s="3" t="str">
        <f>HYPERLINK("https://www.amazon.com/Midwest-Tools-Cutlery-MWT-SS6510R-Stainless/dp/B01J7IOB64/ref=sr_1_4?keywords=Midwest+MWT-SS6510L+Special+Hardness+Offset+Aviation+Snip+-+Left-Cutting&amp;qid=1695173094&amp;sr=8-4", "https://www.amazon.com/Midwest-Tools-Cutlery-MWT-SS6510R-Stainless/dp/B01J7IOB64/ref=sr_1_4?keywords=Midwest+MWT-SS6510L+Special+Hardness+Offset+Aviation+Snip+-+Left-Cutting&amp;qid=1695173094&amp;sr=8-4")</f>
        <v>https://www.amazon.com/Midwest-Tools-Cutlery-MWT-SS6510R-Stainless/dp/B01J7IOB64/ref=sr_1_4?keywords=Midwest+MWT-SS6510L+Special+Hardness+Offset+Aviation+Snip+-+Left-Cutting&amp;qid=1695173094&amp;sr=8-4</v>
      </c>
      <c r="F62" t="s">
        <v>192</v>
      </c>
      <c r="G62" t="e">
        <f ca="1">_xludf.IMAGE("https://edmondsonsupply.com/cdn/shop/products/MWT-SS6510L.png?v=1587150385")</f>
        <v>#NAME?</v>
      </c>
      <c r="H62" t="e">
        <f ca="1">_xludf.IMAGE("https://m.media-amazon.com/images/I/61rvvPEnRIL._AC_UL320_.jpg")</f>
        <v>#NAME?</v>
      </c>
      <c r="I62" t="s">
        <v>170</v>
      </c>
      <c r="J62">
        <v>63.44</v>
      </c>
      <c r="K62" s="4">
        <v>0.97330000000000005</v>
      </c>
      <c r="L62">
        <v>4.4000000000000004</v>
      </c>
      <c r="M62">
        <v>28</v>
      </c>
      <c r="O62" t="s">
        <v>171</v>
      </c>
      <c r="P62" t="s">
        <v>172</v>
      </c>
      <c r="Q62" t="s">
        <v>173</v>
      </c>
    </row>
    <row r="63" spans="1:17" ht="15.5" x14ac:dyDescent="0.35">
      <c r="A63" s="3" t="str">
        <f>HYPERLINK("https://edmondsonsupply.com/collections/hand-tools/products/midwest-mwt-ss6510l-special-hardness-offset-aviation-snip-left-cutting", "https://edmondsonsupply.com/collections/hand-tools/products/midwest-mwt-ss6510l-special-hardness-offset-aviation-snip-left-cutting")</f>
        <v>https://edmondsonsupply.com/collections/hand-tools/products/midwest-mwt-ss6510l-special-hardness-offset-aviation-snip-left-cutting</v>
      </c>
      <c r="B63"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63" t="s">
        <v>169</v>
      </c>
      <c r="D63" t="s">
        <v>193</v>
      </c>
      <c r="E63" s="3" t="str">
        <f>HYPERLINK("https://www.amazon.com/MIDWEST-Blackout-Aviation-Snip-KUSHN-POWER/dp/B00TJQL91U/ref=sr_1_3?keywords=Midwest+MWT-SS6510L+Special+Hardness+Offset+Aviation+Snip+-+Left-Cutting&amp;qid=1695173094&amp;sr=8-3", "https://www.amazon.com/MIDWEST-Blackout-Aviation-Snip-KUSHN-POWER/dp/B00TJQL91U/ref=sr_1_3?keywords=Midwest+MWT-SS6510L+Special+Hardness+Offset+Aviation+Snip+-+Left-Cutting&amp;qid=1695173094&amp;sr=8-3")</f>
        <v>https://www.amazon.com/MIDWEST-Blackout-Aviation-Snip-KUSHN-POWER/dp/B00TJQL91U/ref=sr_1_3?keywords=Midwest+MWT-SS6510L+Special+Hardness+Offset+Aviation+Snip+-+Left-Cutting&amp;qid=1695173094&amp;sr=8-3</v>
      </c>
      <c r="F63" t="s">
        <v>194</v>
      </c>
      <c r="G63" t="e">
        <f ca="1">_xludf.IMAGE("https://edmondsonsupply.com/cdn/shop/products/MWT-SS6510L.png?v=1587150385")</f>
        <v>#NAME?</v>
      </c>
      <c r="H63" t="e">
        <f ca="1">_xludf.IMAGE("https://m.media-amazon.com/images/I/51OW3TahYsL._AC_UL320_.jpg")</f>
        <v>#NAME?</v>
      </c>
      <c r="I63" t="s">
        <v>170</v>
      </c>
      <c r="J63">
        <v>58.88</v>
      </c>
      <c r="K63" s="4">
        <v>0.83140000000000003</v>
      </c>
      <c r="L63">
        <v>4.7</v>
      </c>
      <c r="M63">
        <v>1400</v>
      </c>
      <c r="O63" t="s">
        <v>171</v>
      </c>
      <c r="P63" t="s">
        <v>172</v>
      </c>
      <c r="Q63" t="s">
        <v>173</v>
      </c>
    </row>
    <row r="64" spans="1:17" ht="15.5" x14ac:dyDescent="0.35">
      <c r="A64" s="3" t="str">
        <f>HYPERLINK("https://edmondsonsupply.com/collections/hand-tools/products/klein-tools-94155-american-legacy-lineman-pliers-and-klein-kurve%C2%AE-wire-stripper-cutter", "https://edmondsonsupply.com/collections/hand-tools/products/klein-tools-94155-american-legacy-lineman-pliers-and-klein-kurve%C2%AE-wire-stripper-cutter")</f>
        <v>https://edmondsonsupply.com/collections/hand-tools/products/klein-tools-94155-american-legacy-lineman-pliers-and-klein-kurve%C2%AE-wire-stripper-cutter</v>
      </c>
      <c r="B64"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64" t="s">
        <v>195</v>
      </c>
      <c r="D64" t="s">
        <v>196</v>
      </c>
      <c r="E64" s="3" t="str">
        <f>HYPERLINK("https://www.amazon.com/Linemans-Side-Cutting-Klein-Tools-80043/dp/B0977RM5G5/ref=sr_1_3?keywords=Klein+Tools+94155+American+Legacy+Lineman+Pliers+and+Klein-Kurve%C2%AE+Wire+Stripper+%2F+Cutter&amp;qid=1695173090&amp;sr=8-3", "https://www.amazon.com/Linemans-Side-Cutting-Klein-Tools-80043/dp/B0977RM5G5/ref=sr_1_3?keywords=Klein+Tools+94155+American+Legacy+Lineman+Pliers+and+Klein-Kurve%C2%AE+Wire+Stripper+%2F+Cutter&amp;qid=1695173090&amp;sr=8-3")</f>
        <v>https://www.amazon.com/Linemans-Side-Cutting-Klein-Tools-80043/dp/B0977RM5G5/ref=sr_1_3?keywords=Klein+Tools+94155+American+Legacy+Lineman+Pliers+and+Klein-Kurve%C2%AE+Wire+Stripper+%2F+Cutter&amp;qid=1695173090&amp;sr=8-3</v>
      </c>
      <c r="F64" t="s">
        <v>197</v>
      </c>
      <c r="G64" t="e">
        <f ca="1">_xludf.IMAGE("https://edmondsonsupply.com/cdn/shop/products/94155.jpg?v=1674141590")</f>
        <v>#NAME?</v>
      </c>
      <c r="H64" t="e">
        <f ca="1">_xludf.IMAGE("https://m.media-amazon.com/images/I/51t8JGB+SAS._AC_UL320_.jpg")</f>
        <v>#NAME?</v>
      </c>
      <c r="I64" t="s">
        <v>198</v>
      </c>
      <c r="J64">
        <v>69.989999999999995</v>
      </c>
      <c r="K64" s="4">
        <v>0.75019999999999998</v>
      </c>
      <c r="L64">
        <v>4.8</v>
      </c>
      <c r="M64">
        <v>1451</v>
      </c>
      <c r="O64" t="s">
        <v>25</v>
      </c>
      <c r="P64" t="s">
        <v>199</v>
      </c>
      <c r="Q64" t="s">
        <v>200</v>
      </c>
    </row>
    <row r="65" spans="1:17" ht="15.5" x14ac:dyDescent="0.35">
      <c r="A65" s="3" t="str">
        <f>HYPERLINK("https://edmondsonsupply.com/collections/hand-tools/products/klein-tools-94155-american-legacy-lineman-pliers-and-klein-kurve%C2%AE-wire-stripper-cutter", "https://edmondsonsupply.com/collections/hand-tools/products/klein-tools-94155-american-legacy-lineman-pliers-and-klein-kurve%C2%AE-wire-stripper-cutter")</f>
        <v>https://edmondsonsupply.com/collections/hand-tools/products/klein-tools-94155-american-legacy-lineman-pliers-and-klein-kurve%C2%AE-wire-stripper-cutter</v>
      </c>
      <c r="B65"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65" t="s">
        <v>195</v>
      </c>
      <c r="D65" t="s">
        <v>201</v>
      </c>
      <c r="E65" s="3" t="str">
        <f>HYPERLINK("https://www.amazon.com/Klein-Tools-80121-Stripper-Strippers/dp/B0BMN726NC/ref=sr_1_2?keywords=Klein+Tools+94155+American+Legacy+Lineman+Pliers+and+Klein-Kurve%C2%AE+Wire+Stripper+%2F+Cutter&amp;qid=1695173090&amp;sr=8-2", "https://www.amazon.com/Klein-Tools-80121-Stripper-Strippers/dp/B0BMN726NC/ref=sr_1_2?keywords=Klein+Tools+94155+American+Legacy+Lineman+Pliers+and+Klein-Kurve%C2%AE+Wire+Stripper+%2F+Cutter&amp;qid=1695173090&amp;sr=8-2")</f>
        <v>https://www.amazon.com/Klein-Tools-80121-Stripper-Strippers/dp/B0BMN726NC/ref=sr_1_2?keywords=Klein+Tools+94155+American+Legacy+Lineman+Pliers+and+Klein-Kurve%C2%AE+Wire+Stripper+%2F+Cutter&amp;qid=1695173090&amp;sr=8-2</v>
      </c>
      <c r="F65" t="s">
        <v>202</v>
      </c>
      <c r="G65" t="e">
        <f ca="1">_xludf.IMAGE("https://edmondsonsupply.com/cdn/shop/products/94155.jpg?v=1674141590")</f>
        <v>#NAME?</v>
      </c>
      <c r="H65" t="e">
        <f ca="1">_xludf.IMAGE("https://m.media-amazon.com/images/I/51BBSMLtwZL._AC_UL320_.jpg")</f>
        <v>#NAME?</v>
      </c>
      <c r="I65" t="s">
        <v>198</v>
      </c>
      <c r="J65">
        <v>64.989999999999995</v>
      </c>
      <c r="K65" s="4">
        <v>0.62519999999999998</v>
      </c>
      <c r="L65">
        <v>5</v>
      </c>
      <c r="M65">
        <v>8</v>
      </c>
      <c r="O65" t="s">
        <v>25</v>
      </c>
      <c r="P65" t="s">
        <v>199</v>
      </c>
      <c r="Q65" t="s">
        <v>200</v>
      </c>
    </row>
    <row r="66" spans="1:17" ht="15.5" x14ac:dyDescent="0.35">
      <c r="A66" s="3" t="str">
        <f>HYPERLINK("https://edmondsonsupply.com/collections/hand-tools/products/klein-tools-94156-american-legacy-diagonal-plier-and-klein-kurve%C2%AE-wire-stripper-cutter", "https://edmondsonsupply.com/collections/hand-tools/products/klein-tools-94156-american-legacy-diagonal-plier-and-klein-kurve%C2%AE-wire-stripper-cutter")</f>
        <v>https://edmondsonsupply.com/collections/hand-tools/products/klein-tools-94156-american-legacy-diagonal-plier-and-klein-kurve%C2%AE-wire-stripper-cutter</v>
      </c>
      <c r="B66" s="3" t="str">
        <f>HYPERLINK("https://edmondsonsupply.com/products/klein-tools-94156-american-legacy-diagonal-plier-and-klein-kurve%c2%ae-wire-stripper-cutter", "https://edmondsonsupply.com/products/klein-tools-94156-american-legacy-diagonal-plier-and-klein-kurve%c2%ae-wire-stripper-cutter")</f>
        <v>https://edmondsonsupply.com/products/klein-tools-94156-american-legacy-diagonal-plier-and-klein-kurve%c2%ae-wire-stripper-cutter</v>
      </c>
      <c r="C66" t="s">
        <v>203</v>
      </c>
      <c r="D66" t="s">
        <v>201</v>
      </c>
      <c r="E66" s="3" t="str">
        <f>HYPERLINK("https://www.amazon.com/Klein-Tools-80121-Stripper-Strippers/dp/B0BMN726NC/ref=sr_1_4?keywords=Klein+Tools+94156+American+Legacy+Diagonal+Plier+and+Klein-Kurve%C2%AE+Wire+Stripper+%2F+Cutter&amp;qid=1695173150&amp;sr=8-4", "https://www.amazon.com/Klein-Tools-80121-Stripper-Strippers/dp/B0BMN726NC/ref=sr_1_4?keywords=Klein+Tools+94156+American+Legacy+Diagonal+Plier+and+Klein-Kurve%C2%AE+Wire+Stripper+%2F+Cutter&amp;qid=1695173150&amp;sr=8-4")</f>
        <v>https://www.amazon.com/Klein-Tools-80121-Stripper-Strippers/dp/B0BMN726NC/ref=sr_1_4?keywords=Klein+Tools+94156+American+Legacy+Diagonal+Plier+and+Klein-Kurve%C2%AE+Wire+Stripper+%2F+Cutter&amp;qid=1695173150&amp;sr=8-4</v>
      </c>
      <c r="F66" t="s">
        <v>202</v>
      </c>
      <c r="G66" t="e">
        <f ca="1">_xludf.IMAGE("https://edmondsonsupply.com/cdn/shop/products/94156.jpg?v=1674142114")</f>
        <v>#NAME?</v>
      </c>
      <c r="H66" t="e">
        <f ca="1">_xludf.IMAGE("https://m.media-amazon.com/images/I/51BBSMLtwZL._AC_UL320_.jpg")</f>
        <v>#NAME?</v>
      </c>
      <c r="I66" t="s">
        <v>198</v>
      </c>
      <c r="J66">
        <v>64.989999999999995</v>
      </c>
      <c r="K66" s="4">
        <v>0.62519999999999998</v>
      </c>
      <c r="L66">
        <v>5</v>
      </c>
      <c r="M66">
        <v>8</v>
      </c>
      <c r="O66" t="s">
        <v>25</v>
      </c>
      <c r="P66" t="s">
        <v>199</v>
      </c>
      <c r="Q66" t="s">
        <v>204</v>
      </c>
    </row>
    <row r="67" spans="1:17" ht="15.5" x14ac:dyDescent="0.35">
      <c r="A67" s="3" t="str">
        <f>HYPERLINK("https://edmondsonsupply.com/collections/hand-tools/products/klein-tools-65200-electricians-mini-ratchet-set-5-piece", "https://edmondsonsupply.com/collections/hand-tools/products/klein-tools-65200-electricians-mini-ratchet-set-5-piece")</f>
        <v>https://edmondsonsupply.com/collections/hand-tools/products/klein-tools-65200-electricians-mini-ratchet-set-5-piece</v>
      </c>
      <c r="B67" s="3" t="str">
        <f>HYPERLINK("https://edmondsonsupply.com/products/klein-tools-65200-electricians-mini-ratchet-set-5-piece", "https://edmondsonsupply.com/products/klein-tools-65200-electricians-mini-ratchet-set-5-piece")</f>
        <v>https://edmondsonsupply.com/products/klein-tools-65200-electricians-mini-ratchet-set-5-piece</v>
      </c>
      <c r="C67" t="s">
        <v>140</v>
      </c>
      <c r="D67" t="s">
        <v>205</v>
      </c>
      <c r="E67" s="3" t="str">
        <f>HYPERLINK("https://www.amazon.com/Klein-Tools-Demagnetizer-Magnetizer-Screwdriver/dp/B09Z917XB6/ref=sr_1_4?keywords=Klein+Tools+65200+Slim-Profile+Mini+Ratchet+Set%2C+5-Piece&amp;qid=1695173095&amp;sr=8-4", "https://www.amazon.com/Klein-Tools-Demagnetizer-Magnetizer-Screwdriver/dp/B09Z917XB6/ref=sr_1_4?keywords=Klein+Tools+65200+Slim-Profile+Mini+Ratchet+Set%2C+5-Piece&amp;qid=1695173095&amp;sr=8-4")</f>
        <v>https://www.amazon.com/Klein-Tools-Demagnetizer-Magnetizer-Screwdriver/dp/B09Z917XB6/ref=sr_1_4?keywords=Klein+Tools+65200+Slim-Profile+Mini+Ratchet+Set%2C+5-Piece&amp;qid=1695173095&amp;sr=8-4</v>
      </c>
      <c r="F67" t="s">
        <v>206</v>
      </c>
      <c r="G67" t="e">
        <f ca="1">_xludf.IMAGE("https://edmondsonsupply.com/cdn/shop/products/65200.jpg?v=1633030630")</f>
        <v>#NAME?</v>
      </c>
      <c r="H67" t="e">
        <f ca="1">_xludf.IMAGE("https://m.media-amazon.com/images/I/41yfZTQhEVL._AC_UL320_.jpg")</f>
        <v>#NAME?</v>
      </c>
      <c r="I67" t="s">
        <v>143</v>
      </c>
      <c r="J67">
        <v>25.93</v>
      </c>
      <c r="K67" s="4">
        <v>0.62370000000000003</v>
      </c>
      <c r="L67">
        <v>4.9000000000000004</v>
      </c>
      <c r="M67">
        <v>17</v>
      </c>
      <c r="O67" t="s">
        <v>25</v>
      </c>
      <c r="P67" t="s">
        <v>144</v>
      </c>
      <c r="Q67" t="s">
        <v>145</v>
      </c>
    </row>
    <row r="68" spans="1:17" ht="15.5" x14ac:dyDescent="0.35">
      <c r="A68" s="3" t="str">
        <f>HYPERLINK("https://edmondsonsupply.com/collections/hand-tools/products/midwest-mwt-6510lo-left-cutting-offset-aviation-snip-blackout-series", "https://edmondsonsupply.com/collections/hand-tools/products/midwest-mwt-6510lo-left-cutting-offset-aviation-snip-blackout-series")</f>
        <v>https://edmondsonsupply.com/collections/hand-tools/products/midwest-mwt-6510lo-left-cutting-offset-aviation-snip-blackout-series</v>
      </c>
      <c r="B68" s="3" t="str">
        <f>HYPERLINK("https://edmondsonsupply.com/products/midwest-mwt-6510lo-left-cutting-offset-aviation-snip-blackout-series", "https://edmondsonsupply.com/products/midwest-mwt-6510lo-left-cutting-offset-aviation-snip-blackout-series")</f>
        <v>https://edmondsonsupply.com/products/midwest-mwt-6510lo-left-cutting-offset-aviation-snip-blackout-series</v>
      </c>
      <c r="C68" t="s">
        <v>182</v>
      </c>
      <c r="D68" t="s">
        <v>193</v>
      </c>
      <c r="E68" s="3" t="str">
        <f>HYPERLINK("https://www.amazon.com/MIDWEST-Blackout-Aviation-Snip-KUSHN-POWER/dp/B00TJQL91U/ref=sr_1_1?keywords=Midwest+MWT-6510LO+Left-Cutting+Offset+Aviation+Snip+-+Blackout+Series&amp;qid=1695173093&amp;sr=8-1", "https://www.amazon.com/MIDWEST-Blackout-Aviation-Snip-KUSHN-POWER/dp/B00TJQL91U/ref=sr_1_1?keywords=Midwest+MWT-6510LO+Left-Cutting+Offset+Aviation+Snip+-+Blackout+Series&amp;qid=1695173093&amp;sr=8-1")</f>
        <v>https://www.amazon.com/MIDWEST-Blackout-Aviation-Snip-KUSHN-POWER/dp/B00TJQL91U/ref=sr_1_1?keywords=Midwest+MWT-6510LO+Left-Cutting+Offset+Aviation+Snip+-+Blackout+Series&amp;qid=1695173093&amp;sr=8-1</v>
      </c>
      <c r="F68" t="s">
        <v>194</v>
      </c>
      <c r="G68" t="e">
        <f ca="1">_xludf.IMAGE("https://edmondsonsupply.com/cdn/shop/products/mwt-6510lo.jpg?v=1587147580")</f>
        <v>#NAME?</v>
      </c>
      <c r="H68" t="e">
        <f ca="1">_xludf.IMAGE("https://m.media-amazon.com/images/I/51OW3TahYsL._AC_UL320_.jpg")</f>
        <v>#NAME?</v>
      </c>
      <c r="I68" t="s">
        <v>183</v>
      </c>
      <c r="J68">
        <v>58.88</v>
      </c>
      <c r="K68" s="4">
        <v>0.47749999999999998</v>
      </c>
      <c r="L68">
        <v>4.7</v>
      </c>
      <c r="M68">
        <v>1400</v>
      </c>
      <c r="O68" t="s">
        <v>171</v>
      </c>
      <c r="P68" t="s">
        <v>183</v>
      </c>
      <c r="Q68" t="s">
        <v>184</v>
      </c>
    </row>
    <row r="69" spans="1:17" ht="15.5" x14ac:dyDescent="0.35">
      <c r="A69" s="3" t="str">
        <f>HYPERLINK("https://edmondsonsupply.com/collections/hand-tools/products/jb-industries-shld-multi-the-shield", "https://edmondsonsupply.com/collections/hand-tools/products/jb-industries-shld-multi-the-shield")</f>
        <v>https://edmondsonsupply.com/collections/hand-tools/products/jb-industries-shld-multi-the-shield</v>
      </c>
      <c r="B69" s="3" t="str">
        <f>HYPERLINK("https://edmondsonsupply.com/products/jb-industries-shld-multi-the-shield", "https://edmondsonsupply.com/products/jb-industries-shld-multi-the-shield")</f>
        <v>https://edmondsonsupply.com/products/jb-industries-shld-multi-the-shield</v>
      </c>
      <c r="C69" t="s">
        <v>207</v>
      </c>
      <c r="D69" t="s">
        <v>208</v>
      </c>
      <c r="E69" s="3" t="str">
        <f>HYPERLINK("https://www.amazon.com/Industries-SHLD-Multi-Locking-Replacement-Multi-Key/dp/B07GRNN1DK/ref=sr_1_2?keywords=JB+Industries+SHLD-MULTI+The+Shield%E2%84%A2+Universal+Locking+Cap+Multi-Tool&amp;qid=1695173108&amp;sr=8-2", "https://www.amazon.com/Industries-SHLD-Multi-Locking-Replacement-Multi-Key/dp/B07GRNN1DK/ref=sr_1_2?keywords=JB+Industries+SHLD-MULTI+The+Shield%E2%84%A2+Universal+Locking+Cap+Multi-Tool&amp;qid=1695173108&amp;sr=8-2")</f>
        <v>https://www.amazon.com/Industries-SHLD-Multi-Locking-Replacement-Multi-Key/dp/B07GRNN1DK/ref=sr_1_2?keywords=JB+Industries+SHLD-MULTI+The+Shield%E2%84%A2+Universal+Locking+Cap+Multi-Tool&amp;qid=1695173108&amp;sr=8-2</v>
      </c>
      <c r="F69" t="s">
        <v>209</v>
      </c>
      <c r="G69" t="e">
        <f ca="1">_xludf.IMAGE("https://edmondsonsupply.com/cdn/shop/products/SHLD-MULTI-JB-Shield-Locking-Cap-Multi-Tool-Access-Valves-1024x1024-1.png?v=1650331009")</f>
        <v>#NAME?</v>
      </c>
      <c r="H69" t="e">
        <f ca="1">_xludf.IMAGE("https://m.media-amazon.com/images/I/41RP3bxn3ZL._AC_UL320_.jpg")</f>
        <v>#NAME?</v>
      </c>
      <c r="I69" t="s">
        <v>210</v>
      </c>
      <c r="J69">
        <v>41.18</v>
      </c>
      <c r="K69" s="4">
        <v>0.33400000000000002</v>
      </c>
      <c r="L69">
        <v>4.4000000000000004</v>
      </c>
      <c r="M69">
        <v>162</v>
      </c>
      <c r="O69" t="s">
        <v>25</v>
      </c>
      <c r="P69" t="s">
        <v>211</v>
      </c>
      <c r="Q69" t="s">
        <v>212</v>
      </c>
    </row>
    <row r="70" spans="1:17" ht="15.5" x14ac:dyDescent="0.35">
      <c r="A70" s="3" t="str">
        <f>HYPERLINK("https://edmondsonsupply.com/collections/hand-tools/products/malco-mshc-2-inch-c-rhex-cleanable-reversible-magnetic-hex-driver-1-4-5-16", "https://edmondsonsupply.com/collections/hand-tools/products/malco-mshc-2-inch-c-rhex-cleanable-reversible-magnetic-hex-driver-1-4-5-16")</f>
        <v>https://edmondsonsupply.com/collections/hand-tools/products/malco-mshc-2-inch-c-rhex-cleanable-reversible-magnetic-hex-driver-1-4-5-16</v>
      </c>
      <c r="B70"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70" t="s">
        <v>134</v>
      </c>
      <c r="D70" t="s">
        <v>213</v>
      </c>
      <c r="E70" s="3" t="str">
        <f>HYPERLINK("https://www.amazon.com/Malco-MSHC2-Construction-Cleanable-Reversible/dp/B0BX779Y8S/ref=sr_1_1?keywords=Malco+Tools+MSHC+2-Inch+C-Rhex+Cleanable%2C+Reversible+Magnetic+Hex+Driver%2C+1%2F4%22+%26+5%2F16%22&amp;qid=1695173098&amp;sr=8-1", "https://www.amazon.com/Malco-MSHC2-Construction-Cleanable-Reversible/dp/B0BX779Y8S/ref=sr_1_1?keywords=Malco+Tools+MSHC+2-Inch+C-Rhex+Cleanable%2C+Reversible+Magnetic+Hex+Driver%2C+1%2F4%22+%26+5%2F16%22&amp;qid=1695173098&amp;sr=8-1")</f>
        <v>https://www.amazon.com/Malco-MSHC2-Construction-Cleanable-Reversible/dp/B0BX779Y8S/ref=sr_1_1?keywords=Malco+Tools+MSHC+2-Inch+C-Rhex+Cleanable%2C+Reversible+Magnetic+Hex+Driver%2C+1%2F4%22+%26+5%2F16%22&amp;qid=1695173098&amp;sr=8-1</v>
      </c>
      <c r="F70" t="s">
        <v>214</v>
      </c>
      <c r="G70" t="e">
        <f ca="1">_xludf.IMAGE("https://edmondsonsupply.com/cdn/shop/products/Malco-MSHC-CRHEX-Slim-Design.jpg?v=1646614493")</f>
        <v>#NAME?</v>
      </c>
      <c r="H70" t="e">
        <f ca="1">_xludf.IMAGE("https://m.media-amazon.com/images/I/61Iwy5K7S5L._AC_UL320_.jpg")</f>
        <v>#NAME?</v>
      </c>
      <c r="I70" t="s">
        <v>137</v>
      </c>
      <c r="J70">
        <v>7.05</v>
      </c>
      <c r="K70" s="4">
        <v>0.19689999999999999</v>
      </c>
      <c r="L70">
        <v>4.5999999999999996</v>
      </c>
      <c r="M70">
        <v>45</v>
      </c>
      <c r="O70" t="s">
        <v>25</v>
      </c>
      <c r="P70" t="s">
        <v>138</v>
      </c>
      <c r="Q70" t="s">
        <v>139</v>
      </c>
    </row>
    <row r="71" spans="1:17" ht="15.5" x14ac:dyDescent="0.35">
      <c r="A71" s="3" t="str">
        <f>HYPERLINK("https://edmondsonsupply.com/collections/hand-tools/products/midwest-mwt-6510ro-right-cutting-offset-aviation-snip-blackout-series", "https://edmondsonsupply.com/collections/hand-tools/products/midwest-mwt-6510ro-right-cutting-offset-aviation-snip-blackout-series")</f>
        <v>https://edmondsonsupply.com/collections/hand-tools/products/midwest-mwt-6510ro-right-cutting-offset-aviation-snip-blackout-series</v>
      </c>
      <c r="B71" s="3" t="str">
        <f>HYPERLINK("https://edmondsonsupply.com/products/midwest-mwt-6510ro-right-cutting-offset-aviation-snip-blackout-series", "https://edmondsonsupply.com/products/midwest-mwt-6510ro-right-cutting-offset-aviation-snip-blackout-series")</f>
        <v>https://edmondsonsupply.com/products/midwest-mwt-6510ro-right-cutting-offset-aviation-snip-blackout-series</v>
      </c>
      <c r="C71" t="s">
        <v>157</v>
      </c>
      <c r="D71" t="s">
        <v>215</v>
      </c>
      <c r="E71" s="3" t="str">
        <f>HYPERLINK("https://www.amazon.com/MIDWEST-Aviation-Snip-KUSHN-POWER-MWT-SS6510R/dp/B00OMSVOZ6/ref=sr_1_2?keywords=Midwest+MWT-6510RO+Right-Cutting+Offset+Aviation+Snip+-+Blackout+Series&amp;qid=1695173092&amp;sr=8-2", "https://www.amazon.com/MIDWEST-Aviation-Snip-KUSHN-POWER-MWT-SS6510R/dp/B00OMSVOZ6/ref=sr_1_2?keywords=Midwest+MWT-6510RO+Right-Cutting+Offset+Aviation+Snip+-+Blackout+Series&amp;qid=1695173092&amp;sr=8-2")</f>
        <v>https://www.amazon.com/MIDWEST-Aviation-Snip-KUSHN-POWER-MWT-SS6510R/dp/B00OMSVOZ6/ref=sr_1_2?keywords=Midwest+MWT-6510RO+Right-Cutting+Offset+Aviation+Snip+-+Blackout+Series&amp;qid=1695173092&amp;sr=8-2</v>
      </c>
      <c r="F71" t="s">
        <v>216</v>
      </c>
      <c r="G71" t="e">
        <f ca="1">_xludf.IMAGE("https://edmondsonsupply.com/cdn/shop/products/6510ro.jpg?v=1587142626")</f>
        <v>#NAME?</v>
      </c>
      <c r="H71" t="e">
        <f ca="1">_xludf.IMAGE("https://m.media-amazon.com/images/I/6111Xzz5-TL._AC_UL320_.jpg")</f>
        <v>#NAME?</v>
      </c>
      <c r="I71" t="s">
        <v>160</v>
      </c>
      <c r="J71">
        <v>35.99</v>
      </c>
      <c r="K71" s="4">
        <v>0.18740000000000001</v>
      </c>
      <c r="L71">
        <v>4.3</v>
      </c>
      <c r="M71">
        <v>99</v>
      </c>
      <c r="O71" t="s">
        <v>25</v>
      </c>
      <c r="P71" t="s">
        <v>161</v>
      </c>
      <c r="Q71" t="s">
        <v>162</v>
      </c>
    </row>
    <row r="72" spans="1:17" ht="15.5" x14ac:dyDescent="0.35">
      <c r="A72" s="3" t="str">
        <f>HYPERLINK("https://edmondsonsupply.com/collections/hand-tools/products/midwest-mwt-ss6510l-special-hardness-offset-aviation-snip-left-cutting", "https://edmondsonsupply.com/collections/hand-tools/products/midwest-mwt-ss6510l-special-hardness-offset-aviation-snip-left-cutting")</f>
        <v>https://edmondsonsupply.com/collections/hand-tools/products/midwest-mwt-ss6510l-special-hardness-offset-aviation-snip-left-cutting</v>
      </c>
      <c r="B72"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72" t="s">
        <v>169</v>
      </c>
      <c r="D72" t="s">
        <v>217</v>
      </c>
      <c r="E72" s="3" t="str">
        <f>HYPERLINK("https://www.amazon.com/MIDWEST-Aviation-Snip-KUSHN-POWER-MWT-6510L/dp/B00OCGQFP2/ref=sr_1_2?keywords=Midwest+MWT-SS6510L+Special+Hardness+Offset+Aviation+Snip+-+Left-Cutting&amp;qid=1695173094&amp;sr=8-2", "https://www.amazon.com/MIDWEST-Aviation-Snip-KUSHN-POWER-MWT-6510L/dp/B00OCGQFP2/ref=sr_1_2?keywords=Midwest+MWT-SS6510L+Special+Hardness+Offset+Aviation+Snip+-+Left-Cutting&amp;qid=1695173094&amp;sr=8-2")</f>
        <v>https://www.amazon.com/MIDWEST-Aviation-Snip-KUSHN-POWER-MWT-6510L/dp/B00OCGQFP2/ref=sr_1_2?keywords=Midwest+MWT-SS6510L+Special+Hardness+Offset+Aviation+Snip+-+Left-Cutting&amp;qid=1695173094&amp;sr=8-2</v>
      </c>
      <c r="F72" t="s">
        <v>218</v>
      </c>
      <c r="G72" t="e">
        <f ca="1">_xludf.IMAGE("https://edmondsonsupply.com/cdn/shop/products/MWT-SS6510L.png?v=1587150385")</f>
        <v>#NAME?</v>
      </c>
      <c r="H72" t="e">
        <f ca="1">_xludf.IMAGE("https://m.media-amazon.com/images/I/71WhwcyI50L._AC_UL320_.jpg")</f>
        <v>#NAME?</v>
      </c>
      <c r="I72" t="s">
        <v>170</v>
      </c>
      <c r="J72">
        <v>36.49</v>
      </c>
      <c r="K72" s="4">
        <v>0.13500000000000001</v>
      </c>
      <c r="L72">
        <v>4.7</v>
      </c>
      <c r="M72">
        <v>3425</v>
      </c>
      <c r="O72" t="s">
        <v>171</v>
      </c>
      <c r="P72" t="s">
        <v>172</v>
      </c>
      <c r="Q72" t="s">
        <v>173</v>
      </c>
    </row>
    <row r="73" spans="1:17" ht="15.5" x14ac:dyDescent="0.35">
      <c r="A73" s="3" t="str">
        <f>HYPERLINK("https://edmondsonsupply.com/collections/hand-tools/products/jb-industries-shld-multi-the-shield", "https://edmondsonsupply.com/collections/hand-tools/products/jb-industries-shld-multi-the-shield")</f>
        <v>https://edmondsonsupply.com/collections/hand-tools/products/jb-industries-shld-multi-the-shield</v>
      </c>
      <c r="B73" s="3" t="str">
        <f>HYPERLINK("https://edmondsonsupply.com/products/jb-industries-shld-multi-the-shield", "https://edmondsonsupply.com/products/jb-industries-shld-multi-the-shield")</f>
        <v>https://edmondsonsupply.com/products/jb-industries-shld-multi-the-shield</v>
      </c>
      <c r="C73" t="s">
        <v>207</v>
      </c>
      <c r="D73" t="s">
        <v>219</v>
      </c>
      <c r="E73" s="3" t="str">
        <f>HYPERLINK("https://www.amazon.com/JB-Industries-SHLD-Multi-Locking-Multi-Key/dp/B015UA7GUQ/ref=sr_1_1?keywords=JB+Industries+SHLD-MULTI+The+Shield%E2%84%A2+Universal+Locking+Cap+Multi-Tool&amp;qid=1695173108&amp;sr=8-1", "https://www.amazon.com/JB-Industries-SHLD-Multi-Locking-Multi-Key/dp/B015UA7GUQ/ref=sr_1_1?keywords=JB+Industries+SHLD-MULTI+The+Shield%E2%84%A2+Universal+Locking+Cap+Multi-Tool&amp;qid=1695173108&amp;sr=8-1")</f>
        <v>https://www.amazon.com/JB-Industries-SHLD-Multi-Locking-Multi-Key/dp/B015UA7GUQ/ref=sr_1_1?keywords=JB+Industries+SHLD-MULTI+The+Shield%E2%84%A2+Universal+Locking+Cap+Multi-Tool&amp;qid=1695173108&amp;sr=8-1</v>
      </c>
      <c r="F73" t="s">
        <v>220</v>
      </c>
      <c r="G73" t="e">
        <f ca="1">_xludf.IMAGE("https://edmondsonsupply.com/cdn/shop/products/SHLD-MULTI-JB-Shield-Locking-Cap-Multi-Tool-Access-Valves-1024x1024-1.png?v=1650331009")</f>
        <v>#NAME?</v>
      </c>
      <c r="H73" t="e">
        <f ca="1">_xludf.IMAGE("https://m.media-amazon.com/images/I/81lphpRAUNL._AC_UL320_.jpg")</f>
        <v>#NAME?</v>
      </c>
      <c r="I73" t="s">
        <v>210</v>
      </c>
      <c r="J73">
        <v>35</v>
      </c>
      <c r="K73" s="4">
        <v>0.1338</v>
      </c>
      <c r="L73">
        <v>4.4000000000000004</v>
      </c>
      <c r="M73">
        <v>110</v>
      </c>
      <c r="O73" t="s">
        <v>25</v>
      </c>
      <c r="P73" t="s">
        <v>211</v>
      </c>
      <c r="Q73" t="s">
        <v>212</v>
      </c>
    </row>
    <row r="74" spans="1:17" ht="15.5" x14ac:dyDescent="0.35">
      <c r="A74" s="3" t="str">
        <f>HYPERLINK("https://edmondsonsupply.com/collections/hand-tools/products/klein-tools-65200-electricians-mini-ratchet-set-5-piece", "https://edmondsonsupply.com/collections/hand-tools/products/klein-tools-65200-electricians-mini-ratchet-set-5-piece")</f>
        <v>https://edmondsonsupply.com/collections/hand-tools/products/klein-tools-65200-electricians-mini-ratchet-set-5-piece</v>
      </c>
      <c r="B74" s="3" t="str">
        <f>HYPERLINK("https://edmondsonsupply.com/products/klein-tools-65200-electricians-mini-ratchet-set-5-piece", "https://edmondsonsupply.com/products/klein-tools-65200-electricians-mini-ratchet-set-5-piece")</f>
        <v>https://edmondsonsupply.com/products/klein-tools-65200-electricians-mini-ratchet-set-5-piece</v>
      </c>
      <c r="C74" t="s">
        <v>140</v>
      </c>
      <c r="D74" t="s">
        <v>221</v>
      </c>
      <c r="E74" s="3" t="str">
        <f>HYPERLINK("https://www.amazon.com/Klein-Tools-65200-Ratchet-Phillips/dp/B08D6YDQNH/ref=sr_1_1?keywords=Klein+Tools+65200+Slim-Profile+Mini+Ratchet+Set%2C+5-Piece&amp;qid=1695173095&amp;sr=8-1", "https://www.amazon.com/Klein-Tools-65200-Ratchet-Phillips/dp/B08D6YDQNH/ref=sr_1_1?keywords=Klein+Tools+65200+Slim-Profile+Mini+Ratchet+Set%2C+5-Piece&amp;qid=1695173095&amp;sr=8-1")</f>
        <v>https://www.amazon.com/Klein-Tools-65200-Ratchet-Phillips/dp/B08D6YDQNH/ref=sr_1_1?keywords=Klein+Tools+65200+Slim-Profile+Mini+Ratchet+Set%2C+5-Piece&amp;qid=1695173095&amp;sr=8-1</v>
      </c>
      <c r="F74" t="s">
        <v>222</v>
      </c>
      <c r="G74" t="e">
        <f ca="1">_xludf.IMAGE("https://edmondsonsupply.com/cdn/shop/products/65200.jpg?v=1633030630")</f>
        <v>#NAME?</v>
      </c>
      <c r="H74" t="e">
        <f ca="1">_xludf.IMAGE("https://m.media-amazon.com/images/I/61p7iM+Yn8L._AC_UL320_.jpg")</f>
        <v>#NAME?</v>
      </c>
      <c r="I74" t="s">
        <v>143</v>
      </c>
      <c r="J74">
        <v>15.96</v>
      </c>
      <c r="K74" s="4">
        <v>-5.9999999999999995E-4</v>
      </c>
      <c r="L74">
        <v>4.7</v>
      </c>
      <c r="M74">
        <v>3970</v>
      </c>
      <c r="O74" t="s">
        <v>25</v>
      </c>
      <c r="P74" t="s">
        <v>144</v>
      </c>
      <c r="Q74" t="s">
        <v>145</v>
      </c>
    </row>
    <row r="75" spans="1:17" ht="15.5" x14ac:dyDescent="0.35">
      <c r="A75" s="3" t="str">
        <f>HYPERLINK("https://edmondsonsupply.com/collections/hand-tools/products/midwest-mwt-6510lo-left-cutting-offset-aviation-snip-blackout-series", "https://edmondsonsupply.com/collections/hand-tools/products/midwest-mwt-6510lo-left-cutting-offset-aviation-snip-blackout-series")</f>
        <v>https://edmondsonsupply.com/collections/hand-tools/products/midwest-mwt-6510lo-left-cutting-offset-aviation-snip-blackout-series</v>
      </c>
      <c r="B75" s="3" t="str">
        <f>HYPERLINK("https://edmondsonsupply.com/products/midwest-mwt-6510lo-left-cutting-offset-aviation-snip-blackout-series", "https://edmondsonsupply.com/products/midwest-mwt-6510lo-left-cutting-offset-aviation-snip-blackout-series")</f>
        <v>https://edmondsonsupply.com/products/midwest-mwt-6510lo-left-cutting-offset-aviation-snip-blackout-series</v>
      </c>
      <c r="C75" t="s">
        <v>182</v>
      </c>
      <c r="D75" t="s">
        <v>217</v>
      </c>
      <c r="E75" s="3" t="str">
        <f>HYPERLINK("https://www.amazon.com/MIDWEST-Aviation-Snip-KUSHN-POWER-MWT-6510L/dp/B00OCGQFP2/ref=sr_1_2?keywords=Midwest+MWT-6510LO+Left-Cutting+Offset+Aviation+Snip+-+Blackout+Series&amp;qid=1695173093&amp;sr=8-2", "https://www.amazon.com/MIDWEST-Aviation-Snip-KUSHN-POWER-MWT-6510L/dp/B00OCGQFP2/ref=sr_1_2?keywords=Midwest+MWT-6510LO+Left-Cutting+Offset+Aviation+Snip+-+Blackout+Series&amp;qid=1695173093&amp;sr=8-2")</f>
        <v>https://www.amazon.com/MIDWEST-Aviation-Snip-KUSHN-POWER-MWT-6510L/dp/B00OCGQFP2/ref=sr_1_2?keywords=Midwest+MWT-6510LO+Left-Cutting+Offset+Aviation+Snip+-+Blackout+Series&amp;qid=1695173093&amp;sr=8-2</v>
      </c>
      <c r="F75" t="s">
        <v>218</v>
      </c>
      <c r="G75" t="e">
        <f ca="1">_xludf.IMAGE("https://edmondsonsupply.com/cdn/shop/products/mwt-6510lo.jpg?v=1587147580")</f>
        <v>#NAME?</v>
      </c>
      <c r="H75" t="e">
        <f ca="1">_xludf.IMAGE("https://m.media-amazon.com/images/I/71WhwcyI50L._AC_UL320_.jpg")</f>
        <v>#NAME?</v>
      </c>
      <c r="I75" t="s">
        <v>183</v>
      </c>
      <c r="J75">
        <v>36.520000000000003</v>
      </c>
      <c r="K75" s="4">
        <v>-8.3599999999999994E-2</v>
      </c>
      <c r="L75">
        <v>4.7</v>
      </c>
      <c r="M75">
        <v>3425</v>
      </c>
      <c r="O75" t="s">
        <v>171</v>
      </c>
      <c r="P75" t="s">
        <v>183</v>
      </c>
      <c r="Q75" t="s">
        <v>184</v>
      </c>
    </row>
    <row r="76" spans="1:17" ht="15.5" x14ac:dyDescent="0.35">
      <c r="A76" s="3" t="str">
        <f>HYPERLINK("https://edmondsonsupply.com/collections/hand-tools/products/malco-tools-lp7wc-eagle-grip-7-curved-jaw-locking-pliers-w-wire-cutters", "https://edmondsonsupply.com/collections/hand-tools/products/malco-tools-lp7wc-eagle-grip-7-curved-jaw-locking-pliers-w-wire-cutters")</f>
        <v>https://edmondsonsupply.com/collections/hand-tools/products/malco-tools-lp7wc-eagle-grip-7-curved-jaw-locking-pliers-w-wire-cutters</v>
      </c>
      <c r="B76" s="3" t="str">
        <f>HYPERLINK("https://edmondsonsupply.com/products/malco-tools-lp7wc-eagle-grip-7-curved-jaw-locking-pliers-w-wire-cutters", "https://edmondsonsupply.com/products/malco-tools-lp7wc-eagle-grip-7-curved-jaw-locking-pliers-w-wire-cutters")</f>
        <v>https://edmondsonsupply.com/products/malco-tools-lp7wc-eagle-grip-7-curved-jaw-locking-pliers-w-wire-cutters</v>
      </c>
      <c r="C76" t="s">
        <v>223</v>
      </c>
      <c r="D76" t="s">
        <v>224</v>
      </c>
      <c r="E76" s="3" t="str">
        <f>HYPERLINK("https://www.amazon.com/Malco-LP7WC-Curved-Locking-Pliers/dp/B0924QSHLF/ref=sr_1_1?keywords=Malco+Tools+LP7WC+Eagle+Grip+7%E2%80%B3+Curved+Jaw+Locking+Pliers+W%2FWire+Cutters&amp;qid=1695173099&amp;sr=8-1", "https://www.amazon.com/Malco-LP7WC-Curved-Locking-Pliers/dp/B0924QSHLF/ref=sr_1_1?keywords=Malco+Tools+LP7WC+Eagle+Grip+7%E2%80%B3+Curved+Jaw+Locking+Pliers+W%2FWire+Cutters&amp;qid=1695173099&amp;sr=8-1")</f>
        <v>https://www.amazon.com/Malco-LP7WC-Curved-Locking-Pliers/dp/B0924QSHLF/ref=sr_1_1?keywords=Malco+Tools+LP7WC+Eagle+Grip+7%E2%80%B3+Curved+Jaw+Locking+Pliers+W%2FWire+Cutters&amp;qid=1695173099&amp;sr=8-1</v>
      </c>
      <c r="F76" t="s">
        <v>225</v>
      </c>
      <c r="G76" t="e">
        <f ca="1">_xludf.IMAGE("https://edmondsonsupply.com/cdn/shop/products/LP7WC-7-Inch-eagle-grip-locking-pliers-in-hand.jpg?v=1657306992")</f>
        <v>#NAME?</v>
      </c>
      <c r="H76" t="e">
        <f ca="1">_xludf.IMAGE("https://m.media-amazon.com/images/I/61fd64mFDpS._AC_UL320_.jpg")</f>
        <v>#NAME?</v>
      </c>
      <c r="I76" t="s">
        <v>226</v>
      </c>
      <c r="J76">
        <v>41.49</v>
      </c>
      <c r="K76" s="4">
        <v>-0.15310000000000001</v>
      </c>
      <c r="L76">
        <v>4.9000000000000004</v>
      </c>
      <c r="M76">
        <v>426</v>
      </c>
      <c r="O76" t="s">
        <v>25</v>
      </c>
      <c r="P76" t="s">
        <v>227</v>
      </c>
      <c r="Q76" t="s">
        <v>228</v>
      </c>
    </row>
    <row r="77" spans="1:17" ht="15.5" x14ac:dyDescent="0.35">
      <c r="A77" s="3" t="str">
        <f>HYPERLINK("https://edmondsonsupply.com/collections/hand-tools/products/midwest-mwt-6510ro-right-cutting-offset-aviation-snip-blackout-series", "https://edmondsonsupply.com/collections/hand-tools/products/midwest-mwt-6510ro-right-cutting-offset-aviation-snip-blackout-series")</f>
        <v>https://edmondsonsupply.com/collections/hand-tools/products/midwest-mwt-6510ro-right-cutting-offset-aviation-snip-blackout-series</v>
      </c>
      <c r="B77" s="3" t="str">
        <f>HYPERLINK("https://edmondsonsupply.com/products/midwest-mwt-6510ro-right-cutting-offset-aviation-snip-blackout-series", "https://edmondsonsupply.com/products/midwest-mwt-6510ro-right-cutting-offset-aviation-snip-blackout-series")</f>
        <v>https://edmondsonsupply.com/products/midwest-mwt-6510ro-right-cutting-offset-aviation-snip-blackout-series</v>
      </c>
      <c r="C77" t="s">
        <v>157</v>
      </c>
      <c r="D77" t="s">
        <v>229</v>
      </c>
      <c r="E77" s="3" t="str">
        <f>HYPERLINK("https://www.amazon.com/MIDWEST-Blackout-Aviation-Snip-KUSHN-POWER/dp/B00TJQL8FW/ref=sr_1_4?keywords=Midwest+MWT-6510RO+Right-Cutting+Offset+Aviation+Snip+-+Blackout+Series&amp;qid=1695173092&amp;sr=8-4", "https://www.amazon.com/MIDWEST-Blackout-Aviation-Snip-KUSHN-POWER/dp/B00TJQL8FW/ref=sr_1_4?keywords=Midwest+MWT-6510RO+Right-Cutting+Offset+Aviation+Snip+-+Blackout+Series&amp;qid=1695173092&amp;sr=8-4")</f>
        <v>https://www.amazon.com/MIDWEST-Blackout-Aviation-Snip-KUSHN-POWER/dp/B00TJQL8FW/ref=sr_1_4?keywords=Midwest+MWT-6510RO+Right-Cutting+Offset+Aviation+Snip+-+Blackout+Series&amp;qid=1695173092&amp;sr=8-4</v>
      </c>
      <c r="F77" t="s">
        <v>230</v>
      </c>
      <c r="G77" t="e">
        <f ca="1">_xludf.IMAGE("https://edmondsonsupply.com/cdn/shop/products/6510ro.jpg?v=1587142626")</f>
        <v>#NAME?</v>
      </c>
      <c r="H77" t="e">
        <f ca="1">_xludf.IMAGE("https://m.media-amazon.com/images/I/61B4vp7eTTL._AC_UL320_.jpg")</f>
        <v>#NAME?</v>
      </c>
      <c r="I77" t="s">
        <v>160</v>
      </c>
      <c r="J77">
        <v>21.47</v>
      </c>
      <c r="K77" s="4">
        <v>-0.29170000000000001</v>
      </c>
      <c r="L77">
        <v>4</v>
      </c>
      <c r="M77">
        <v>52</v>
      </c>
      <c r="O77" t="s">
        <v>25</v>
      </c>
      <c r="P77" t="s">
        <v>161</v>
      </c>
      <c r="Q77" t="s">
        <v>162</v>
      </c>
    </row>
    <row r="78" spans="1:17" ht="15.5" x14ac:dyDescent="0.35">
      <c r="A78" s="3" t="str">
        <f>HYPERLINK("https://edmondsonsupply.com/collections/storage-organization/products/clc-1100-3", "https://edmondsonsupply.com/collections/storage-organization/products/clc-1100-3")</f>
        <v>https://edmondsonsupply.com/collections/storage-organization/products/clc-1100-3</v>
      </c>
      <c r="B78" s="3" t="str">
        <f>HYPERLINK("https://edmondsonsupply.com/products/clc-1100-3", "https://edmondsonsupply.com/products/clc-1100-3")</f>
        <v>https://edmondsonsupply.com/products/clc-1100-3</v>
      </c>
      <c r="C78" t="s">
        <v>231</v>
      </c>
      <c r="D78" t="s">
        <v>232</v>
      </c>
      <c r="E78" s="3" t="str">
        <f>HYPERLINK("https://www.amazon.com/Custom-Leathercraft-Lighted-Multi-Purpose-Zippered/dp/B0B3DXHXHS/ref=sr_1_4?keywords=CLC+1100+3+Multi-Purpose%2C+Clip-on%2C+Zippered+Bags&amp;qid=1695173161&amp;sr=8-4", "https://www.amazon.com/Custom-Leathercraft-Lighted-Multi-Purpose-Zippered/dp/B0B3DXHXHS/ref=sr_1_4?keywords=CLC+1100+3+Multi-Purpose%2C+Clip-on%2C+Zippered+Bags&amp;qid=1695173161&amp;sr=8-4")</f>
        <v>https://www.amazon.com/Custom-Leathercraft-Lighted-Multi-Purpose-Zippered/dp/B0B3DXHXHS/ref=sr_1_4?keywords=CLC+1100+3+Multi-Purpose%2C+Clip-on%2C+Zippered+Bags&amp;qid=1695173161&amp;sr=8-4</v>
      </c>
      <c r="F78" t="s">
        <v>233</v>
      </c>
      <c r="G78" t="e">
        <f ca="1">_xludf.IMAGE("https://edmondsonsupply.com/cdn/shop/products/1100_REV17_2.jpg?v=1633030333")</f>
        <v>#NAME?</v>
      </c>
      <c r="H78" t="e">
        <f ca="1">_xludf.IMAGE("https://m.media-amazon.com/images/I/51Q1Ss7kq9L._AC_UL320_.jpg")</f>
        <v>#NAME?</v>
      </c>
      <c r="I78" t="s">
        <v>234</v>
      </c>
      <c r="J78">
        <v>128.99</v>
      </c>
      <c r="K78" s="4">
        <v>9.9779</v>
      </c>
      <c r="L78">
        <v>4.5</v>
      </c>
      <c r="M78">
        <v>1372</v>
      </c>
      <c r="O78" t="s">
        <v>25</v>
      </c>
      <c r="P78" t="s">
        <v>235</v>
      </c>
      <c r="Q78" t="s">
        <v>236</v>
      </c>
    </row>
    <row r="79" spans="1:17" ht="15.5" x14ac:dyDescent="0.35">
      <c r="A79" s="3" t="str">
        <f>HYPERLINK("https://edmondsonsupply.com/collections/storage-organization/products/clc-1100-3", "https://edmondsonsupply.com/collections/storage-organization/products/clc-1100-3")</f>
        <v>https://edmondsonsupply.com/collections/storage-organization/products/clc-1100-3</v>
      </c>
      <c r="B79" s="3" t="str">
        <f>HYPERLINK("https://edmondsonsupply.com/products/clc-1100-3", "https://edmondsonsupply.com/products/clc-1100-3")</f>
        <v>https://edmondsonsupply.com/products/clc-1100-3</v>
      </c>
      <c r="C79" t="s">
        <v>231</v>
      </c>
      <c r="D79" t="s">
        <v>237</v>
      </c>
      <c r="E79" s="3" t="str">
        <f>HYPERLINK("https://www.amazon.com/PB1133-Pocket-Backpack-Multi-Purpose-Zippered/dp/B09Z92LJFF/ref=sr_1_8?keywords=CLC+1100+3+Multi-Purpose%2C+Clip-on%2C+Zippered+Bags&amp;qid=1695173161&amp;sr=8-8", "https://www.amazon.com/PB1133-Pocket-Backpack-Multi-Purpose-Zippered/dp/B09Z92LJFF/ref=sr_1_8?keywords=CLC+1100+3+Multi-Purpose%2C+Clip-on%2C+Zippered+Bags&amp;qid=1695173161&amp;sr=8-8")</f>
        <v>https://www.amazon.com/PB1133-Pocket-Backpack-Multi-Purpose-Zippered/dp/B09Z92LJFF/ref=sr_1_8?keywords=CLC+1100+3+Multi-Purpose%2C+Clip-on%2C+Zippered+Bags&amp;qid=1695173161&amp;sr=8-8</v>
      </c>
      <c r="F79" t="s">
        <v>238</v>
      </c>
      <c r="G79" t="e">
        <f ca="1">_xludf.IMAGE("https://edmondsonsupply.com/cdn/shop/products/1100_REV17_2.jpg?v=1633030333")</f>
        <v>#NAME?</v>
      </c>
      <c r="H79" t="e">
        <f ca="1">_xludf.IMAGE("https://m.media-amazon.com/images/I/510j+91N6EL._AC_UL320_.jpg")</f>
        <v>#NAME?</v>
      </c>
      <c r="I79" t="s">
        <v>234</v>
      </c>
      <c r="J79">
        <v>128.97999999999999</v>
      </c>
      <c r="K79" s="4">
        <v>9.9770000000000003</v>
      </c>
      <c r="L79">
        <v>4.2</v>
      </c>
      <c r="M79">
        <v>4</v>
      </c>
      <c r="O79" t="s">
        <v>25</v>
      </c>
      <c r="P79" t="s">
        <v>235</v>
      </c>
      <c r="Q79" t="s">
        <v>236</v>
      </c>
    </row>
    <row r="80" spans="1:17" ht="15.5" x14ac:dyDescent="0.35">
      <c r="A80" s="3" t="str">
        <f>HYPERLINK("https://edmondsonsupply.com/collections/storage-organization/products/clc-1100-3", "https://edmondsonsupply.com/collections/storage-organization/products/clc-1100-3")</f>
        <v>https://edmondsonsupply.com/collections/storage-organization/products/clc-1100-3</v>
      </c>
      <c r="B80" s="3" t="str">
        <f>HYPERLINK("https://edmondsonsupply.com/products/clc-1100-3", "https://edmondsonsupply.com/products/clc-1100-3")</f>
        <v>https://edmondsonsupply.com/products/clc-1100-3</v>
      </c>
      <c r="C80" t="s">
        <v>231</v>
      </c>
      <c r="D80" t="s">
        <v>239</v>
      </c>
      <c r="E80" s="3" t="str">
        <f>HYPERLINK("https://www.amazon.com/Pockets-Custom-Leathercraft-Multi-Purpose-Zippered/dp/B09Z931QC2/ref=sr_1_7?keywords=CLC+1100+3+Multi-Purpose%2C+Clip-on%2C+Zippered+Bags&amp;qid=1695173161&amp;sr=8-7", "https://www.amazon.com/Pockets-Custom-Leathercraft-Multi-Purpose-Zippered/dp/B09Z931QC2/ref=sr_1_7?keywords=CLC+1100+3+Multi-Purpose%2C+Clip-on%2C+Zippered+Bags&amp;qid=1695173161&amp;sr=8-7")</f>
        <v>https://www.amazon.com/Pockets-Custom-Leathercraft-Multi-Purpose-Zippered/dp/B09Z931QC2/ref=sr_1_7?keywords=CLC+1100+3+Multi-Purpose%2C+Clip-on%2C+Zippered+Bags&amp;qid=1695173161&amp;sr=8-7</v>
      </c>
      <c r="F80" t="s">
        <v>240</v>
      </c>
      <c r="G80" t="e">
        <f ca="1">_xludf.IMAGE("https://edmondsonsupply.com/cdn/shop/products/1100_REV17_2.jpg?v=1633030333")</f>
        <v>#NAME?</v>
      </c>
      <c r="H80" t="e">
        <f ca="1">_xludf.IMAGE("https://m.media-amazon.com/images/I/41tNKTffzhL._AC_UL320_.jpg")</f>
        <v>#NAME?</v>
      </c>
      <c r="I80" t="s">
        <v>234</v>
      </c>
      <c r="J80">
        <v>102.06</v>
      </c>
      <c r="K80" s="4">
        <v>7.6859999999999999</v>
      </c>
      <c r="L80">
        <v>4.8</v>
      </c>
      <c r="M80">
        <v>10</v>
      </c>
      <c r="O80" t="s">
        <v>25</v>
      </c>
      <c r="P80" t="s">
        <v>235</v>
      </c>
      <c r="Q80" t="s">
        <v>236</v>
      </c>
    </row>
    <row r="81" spans="1:17" ht="15.5" x14ac:dyDescent="0.35">
      <c r="A81" s="3" t="str">
        <f>HYPERLINK("https://edmondsonsupply.com/collections/storage-organization/products/clc-1100-3", "https://edmondsonsupply.com/collections/storage-organization/products/clc-1100-3")</f>
        <v>https://edmondsonsupply.com/collections/storage-organization/products/clc-1100-3</v>
      </c>
      <c r="B81" s="3" t="str">
        <f>HYPERLINK("https://edmondsonsupply.com/products/clc-1100-3", "https://edmondsonsupply.com/products/clc-1100-3")</f>
        <v>https://edmondsonsupply.com/products/clc-1100-3</v>
      </c>
      <c r="C81" t="s">
        <v>231</v>
      </c>
      <c r="D81" t="s">
        <v>241</v>
      </c>
      <c r="E81" s="3" t="str">
        <f>HYPERLINK("https://www.amazon.com/Custom-LeatherCraft-Multi-Compartment-Leathercraft-Multi-Purpose/dp/B093Q4S183/ref=sr_1_6?keywords=CLC+1100+3+Multi-Purpose%2C+Clip-on%2C+Zippered+Bags&amp;qid=1695173161&amp;sr=8-6", "https://www.amazon.com/Custom-LeatherCraft-Multi-Compartment-Leathercraft-Multi-Purpose/dp/B093Q4S183/ref=sr_1_6?keywords=CLC+1100+3+Multi-Purpose%2C+Clip-on%2C+Zippered+Bags&amp;qid=1695173161&amp;sr=8-6")</f>
        <v>https://www.amazon.com/Custom-LeatherCraft-Multi-Compartment-Leathercraft-Multi-Purpose/dp/B093Q4S183/ref=sr_1_6?keywords=CLC+1100+3+Multi-Purpose%2C+Clip-on%2C+Zippered+Bags&amp;qid=1695173161&amp;sr=8-6</v>
      </c>
      <c r="F81" t="s">
        <v>242</v>
      </c>
      <c r="G81" t="e">
        <f ca="1">_xludf.IMAGE("https://edmondsonsupply.com/cdn/shop/products/1100_REV17_2.jpg?v=1633030333")</f>
        <v>#NAME?</v>
      </c>
      <c r="H81" t="e">
        <f ca="1">_xludf.IMAGE("https://m.media-amazon.com/images/I/41hBhRQDbtS._AC_UL320_.jpg")</f>
        <v>#NAME?</v>
      </c>
      <c r="I81" t="s">
        <v>234</v>
      </c>
      <c r="J81">
        <v>99.94</v>
      </c>
      <c r="K81" s="4">
        <v>7.5054999999999996</v>
      </c>
      <c r="L81">
        <v>4.7</v>
      </c>
      <c r="M81">
        <v>2571</v>
      </c>
      <c r="O81" t="s">
        <v>25</v>
      </c>
      <c r="P81" t="s">
        <v>235</v>
      </c>
      <c r="Q81" t="s">
        <v>236</v>
      </c>
    </row>
    <row r="82" spans="1:17" ht="15.5" x14ac:dyDescent="0.35">
      <c r="A82"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82" s="3" t="str">
        <f>HYPERLINK("https://edmondsonsupply.com/products/klein-tools-5141-canvas-bag-4-pk-brown-black-gray-red", "https://edmondsonsupply.com/products/klein-tools-5141-canvas-bag-4-pk-brown-black-gray-red")</f>
        <v>https://edmondsonsupply.com/products/klein-tools-5141-canvas-bag-4-pk-brown-black-gray-red</v>
      </c>
      <c r="C82" t="s">
        <v>243</v>
      </c>
      <c r="D82" t="s">
        <v>244</v>
      </c>
      <c r="E82" s="3" t="str">
        <f>HYPERLINK("https://www.amazon.com/Klein-Tools-55473RTB-Rolling-Utility/dp/B0BC868BJY/ref=sr_1_8?keywords=Klein+Tools+5141+Zipper+Bags%2C+Canvas+Tool+Pouches+Brown%2FBlack%2FGray%2FRed%2C+4-Pack&amp;qid=1695173170&amp;sr=8-8", "https://www.amazon.com/Klein-Tools-55473RTB-Rolling-Utility/dp/B0BC868BJY/ref=sr_1_8?keywords=Klein+Tools+5141+Zipper+Bags%2C+Canvas+Tool+Pouches+Brown%2FBlack%2FGray%2FRed%2C+4-Pack&amp;qid=1695173170&amp;sr=8-8")</f>
        <v>https://www.amazon.com/Klein-Tools-55473RTB-Rolling-Utility/dp/B0BC868BJY/ref=sr_1_8?keywords=Klein+Tools+5141+Zipper+Bags%2C+Canvas+Tool+Pouches+Brown%2FBlack%2FGray%2FRed%2C+4-Pack&amp;qid=1695173170&amp;sr=8-8</v>
      </c>
      <c r="F82" t="s">
        <v>245</v>
      </c>
      <c r="G82" t="e">
        <f ca="1">_xludf.IMAGE("https://edmondsonsupply.com/cdn/shop/products/5141.jpg?v=1633030517")</f>
        <v>#NAME?</v>
      </c>
      <c r="H82" t="e">
        <f ca="1">_xludf.IMAGE("https://m.media-amazon.com/images/I/5136Of2hQEL._AC_UL320_.jpg")</f>
        <v>#NAME?</v>
      </c>
      <c r="I82" t="s">
        <v>246</v>
      </c>
      <c r="J82">
        <v>298</v>
      </c>
      <c r="K82" s="4">
        <v>6.4555999999999996</v>
      </c>
      <c r="L82">
        <v>5</v>
      </c>
      <c r="M82">
        <v>1</v>
      </c>
      <c r="O82" t="s">
        <v>25</v>
      </c>
      <c r="P82" t="s">
        <v>247</v>
      </c>
      <c r="Q82" t="s">
        <v>248</v>
      </c>
    </row>
    <row r="83" spans="1:17" ht="15.5" x14ac:dyDescent="0.35">
      <c r="A83" s="3" t="str">
        <f>HYPERLINK("https://edmondsonsupply.com/collections/storage-organization/products/klein-tools-58889", "https://edmondsonsupply.com/collections/storage-organization/products/klein-tools-58889")</f>
        <v>https://edmondsonsupply.com/collections/storage-organization/products/klein-tools-58889</v>
      </c>
      <c r="B83" s="3" t="str">
        <f>HYPERLINK("https://edmondsonsupply.com/products/klein-tools-58889", "https://edmondsonsupply.com/products/klein-tools-58889")</f>
        <v>https://edmondsonsupply.com/products/klein-tools-58889</v>
      </c>
      <c r="C83" t="s">
        <v>249</v>
      </c>
      <c r="D83" t="s">
        <v>250</v>
      </c>
      <c r="E83" s="3" t="str">
        <f>HYPERLINK("https://www.amazon.com/Shoulder-Handles-Klein-Tools-55431/dp/B00MJNWO82/ref=sr_1_9?keywords=Klein+Tools+58889+Padded+Adjustable+Shoulder+Strap&amp;qid=1695173177&amp;sr=8-9", "https://www.amazon.com/Shoulder-Handles-Klein-Tools-55431/dp/B00MJNWO82/ref=sr_1_9?keywords=Klein+Tools+58889+Padded+Adjustable+Shoulder+Strap&amp;qid=1695173177&amp;sr=8-9")</f>
        <v>https://www.amazon.com/Shoulder-Handles-Klein-Tools-55431/dp/B00MJNWO82/ref=sr_1_9?keywords=Klein+Tools+58889+Padded+Adjustable+Shoulder+Strap&amp;qid=1695173177&amp;sr=8-9</v>
      </c>
      <c r="F83" t="s">
        <v>251</v>
      </c>
      <c r="G83" t="e">
        <f ca="1">_xludf.IMAGE("https://edmondsonsupply.com/cdn/shop/products/58889.jpg?v=1665591140")</f>
        <v>#NAME?</v>
      </c>
      <c r="H83" t="e">
        <f ca="1">_xludf.IMAGE("https://m.media-amazon.com/images/I/71tbNRyKA9L._AC_UL320_.jpg")</f>
        <v>#NAME?</v>
      </c>
      <c r="I83" t="s">
        <v>252</v>
      </c>
      <c r="J83">
        <v>104.8</v>
      </c>
      <c r="K83" s="4">
        <v>5.5541</v>
      </c>
      <c r="L83">
        <v>4.5999999999999996</v>
      </c>
      <c r="M83">
        <v>447</v>
      </c>
      <c r="O83" t="s">
        <v>25</v>
      </c>
      <c r="P83" t="s">
        <v>253</v>
      </c>
      <c r="Q83" t="s">
        <v>254</v>
      </c>
    </row>
    <row r="84" spans="1:17" ht="15.5" x14ac:dyDescent="0.35">
      <c r="A84"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84" s="3" t="str">
        <f>HYPERLINK("https://edmondsonsupply.com/products/klein-tools-5141-canvas-bag-4-pk-brown-black-gray-red", "https://edmondsonsupply.com/products/klein-tools-5141-canvas-bag-4-pk-brown-black-gray-red")</f>
        <v>https://edmondsonsupply.com/products/klein-tools-5141-canvas-bag-4-pk-brown-black-gray-red</v>
      </c>
      <c r="C84" t="s">
        <v>243</v>
      </c>
      <c r="D84" t="s">
        <v>255</v>
      </c>
      <c r="E84" s="3" t="str">
        <f>HYPERLINK("https://www.amazon.com/Klein-Tools-Backpack-Durable-Electrician/dp/B0BVGCG8DM/ref=sr_1_5?keywords=Klein+Tools+5141+Zipper+Bags%2C+Canvas+Tool+Pouches+Brown%2FBlack%2FGray%2FRed%2C+4-Pack&amp;qid=1695173170&amp;sr=8-5", "https://www.amazon.com/Klein-Tools-Backpack-Durable-Electrician/dp/B0BVGCG8DM/ref=sr_1_5?keywords=Klein+Tools+5141+Zipper+Bags%2C+Canvas+Tool+Pouches+Brown%2FBlack%2FGray%2FRed%2C+4-Pack&amp;qid=1695173170&amp;sr=8-5")</f>
        <v>https://www.amazon.com/Klein-Tools-Backpack-Durable-Electrician/dp/B0BVGCG8DM/ref=sr_1_5?keywords=Klein+Tools+5141+Zipper+Bags%2C+Canvas+Tool+Pouches+Brown%2FBlack%2FGray%2FRed%2C+4-Pack&amp;qid=1695173170&amp;sr=8-5</v>
      </c>
      <c r="F84" t="s">
        <v>256</v>
      </c>
      <c r="G84" t="e">
        <f ca="1">_xludf.IMAGE("https://edmondsonsupply.com/cdn/shop/products/5141.jpg?v=1633030517")</f>
        <v>#NAME?</v>
      </c>
      <c r="H84" t="e">
        <f ca="1">_xludf.IMAGE("https://m.media-amazon.com/images/I/516y6qytWIL._AC_UL320_.jpg")</f>
        <v>#NAME?</v>
      </c>
      <c r="I84" t="s">
        <v>246</v>
      </c>
      <c r="J84">
        <v>238</v>
      </c>
      <c r="K84" s="4">
        <v>4.9545000000000003</v>
      </c>
      <c r="L84">
        <v>5</v>
      </c>
      <c r="M84">
        <v>3</v>
      </c>
      <c r="O84" t="s">
        <v>25</v>
      </c>
      <c r="P84" t="s">
        <v>247</v>
      </c>
      <c r="Q84" t="s">
        <v>248</v>
      </c>
    </row>
    <row r="85" spans="1:17" ht="15.5" x14ac:dyDescent="0.35">
      <c r="A85" s="3" t="str">
        <f>HYPERLINK("https://edmondsonsupply.com/collections/storage-organization/products/rack-a-tiers-65300-ladder-mate", "https://edmondsonsupply.com/collections/storage-organization/products/rack-a-tiers-65300-ladder-mate")</f>
        <v>https://edmondsonsupply.com/collections/storage-organization/products/rack-a-tiers-65300-ladder-mate</v>
      </c>
      <c r="B85" s="3" t="str">
        <f>HYPERLINK("https://edmondsonsupply.com/products/rack-a-tiers-65300-ladder-mate", "https://edmondsonsupply.com/products/rack-a-tiers-65300-ladder-mate")</f>
        <v>https://edmondsonsupply.com/products/rack-a-tiers-65300-ladder-mate</v>
      </c>
      <c r="C85" t="s">
        <v>257</v>
      </c>
      <c r="D85" t="s">
        <v>258</v>
      </c>
      <c r="E85" s="3" t="str">
        <f>HYPERLINK("https://www.amazon.com/Rack-Tiers-Ladder-Mate-Robust/dp/B09XLRBG8D/ref=sr_1_3?keywords=Rack-A-Tiers+65300+Ladder+Mate&amp;qid=1695173163&amp;sr=8-3", "https://www.amazon.com/Rack-Tiers-Ladder-Mate-Robust/dp/B09XLRBG8D/ref=sr_1_3?keywords=Rack-A-Tiers+65300+Ladder+Mate&amp;qid=1695173163&amp;sr=8-3")</f>
        <v>https://www.amazon.com/Rack-Tiers-Ladder-Mate-Robust/dp/B09XLRBG8D/ref=sr_1_3?keywords=Rack-A-Tiers+65300+Ladder+Mate&amp;qid=1695173163&amp;sr=8-3</v>
      </c>
      <c r="F85" t="s">
        <v>259</v>
      </c>
      <c r="G85" t="e">
        <f ca="1">_xludf.IMAGE("https://edmondsonsupply.com/cdn/shop/products/65300-Ladder-Mate.png?v=1633031066")</f>
        <v>#NAME?</v>
      </c>
      <c r="H85" t="e">
        <f ca="1">_xludf.IMAGE("https://m.media-amazon.com/images/I/41fRbR1BozL._AC_UL320_.jpg")</f>
        <v>#NAME?</v>
      </c>
      <c r="I85" t="s">
        <v>260</v>
      </c>
      <c r="J85">
        <v>160.35</v>
      </c>
      <c r="K85" s="4">
        <v>3.7879999999999998</v>
      </c>
      <c r="L85">
        <v>5</v>
      </c>
      <c r="M85">
        <v>2</v>
      </c>
      <c r="O85" t="s">
        <v>25</v>
      </c>
      <c r="P85" t="s">
        <v>261</v>
      </c>
      <c r="Q85" t="s">
        <v>262</v>
      </c>
    </row>
    <row r="86" spans="1:17" ht="15.5" x14ac:dyDescent="0.35">
      <c r="A86" s="3" t="str">
        <f>HYPERLINK("https://edmondsonsupply.com/collections/storage-organization/products/clc-1100-3", "https://edmondsonsupply.com/collections/storage-organization/products/clc-1100-3")</f>
        <v>https://edmondsonsupply.com/collections/storage-organization/products/clc-1100-3</v>
      </c>
      <c r="B86" s="3" t="str">
        <f>HYPERLINK("https://edmondsonsupply.com/products/clc-1100-3", "https://edmondsonsupply.com/products/clc-1100-3")</f>
        <v>https://edmondsonsupply.com/products/clc-1100-3</v>
      </c>
      <c r="C86" t="s">
        <v>231</v>
      </c>
      <c r="D86" t="s">
        <v>263</v>
      </c>
      <c r="E86" s="3" t="str">
        <f>HYPERLINK("https://www.amazon.com/Custom-LeatherCraft-Center-Multi-Purpose-Zippered/dp/B0B3DYQ35F/ref=sr_1_2?keywords=CLC+1100+3+Multi-Purpose%2C+Clip-on%2C+Zippered+Bags&amp;qid=1695173161&amp;sr=8-2", "https://www.amazon.com/Custom-LeatherCraft-Center-Multi-Purpose-Zippered/dp/B0B3DYQ35F/ref=sr_1_2?keywords=CLC+1100+3+Multi-Purpose%2C+Clip-on%2C+Zippered+Bags&amp;qid=1695173161&amp;sr=8-2")</f>
        <v>https://www.amazon.com/Custom-LeatherCraft-Center-Multi-Purpose-Zippered/dp/B0B3DYQ35F/ref=sr_1_2?keywords=CLC+1100+3+Multi-Purpose%2C+Clip-on%2C+Zippered+Bags&amp;qid=1695173161&amp;sr=8-2</v>
      </c>
      <c r="F86" t="s">
        <v>264</v>
      </c>
      <c r="G86" t="e">
        <f ca="1">_xludf.IMAGE("https://edmondsonsupply.com/cdn/shop/products/1100_REV17_2.jpg?v=1633030333")</f>
        <v>#NAME?</v>
      </c>
      <c r="H86" t="e">
        <f ca="1">_xludf.IMAGE("https://m.media-amazon.com/images/I/41GPP4FSVAL._AC_UL320_.jpg")</f>
        <v>#NAME?</v>
      </c>
      <c r="I86" t="s">
        <v>234</v>
      </c>
      <c r="J86">
        <v>49.99</v>
      </c>
      <c r="K86" s="4">
        <v>3.2545000000000002</v>
      </c>
      <c r="L86">
        <v>4.5</v>
      </c>
      <c r="M86">
        <v>1803</v>
      </c>
      <c r="O86" t="s">
        <v>25</v>
      </c>
      <c r="P86" t="s">
        <v>235</v>
      </c>
      <c r="Q86" t="s">
        <v>236</v>
      </c>
    </row>
    <row r="87" spans="1:17" ht="15.5" x14ac:dyDescent="0.35">
      <c r="A87" s="3" t="str">
        <f>HYPERLINK("https://edmondsonsupply.com/collections/storage-organization/products/fluke-c60-soft-carrying-case", "https://edmondsonsupply.com/collections/storage-organization/products/fluke-c60-soft-carrying-case")</f>
        <v>https://edmondsonsupply.com/collections/storage-organization/products/fluke-c60-soft-carrying-case</v>
      </c>
      <c r="B87" s="3" t="str">
        <f>HYPERLINK("https://edmondsonsupply.com/products/fluke-c60-soft-carrying-case", "https://edmondsonsupply.com/products/fluke-c60-soft-carrying-case")</f>
        <v>https://edmondsonsupply.com/products/fluke-c60-soft-carrying-case</v>
      </c>
      <c r="C87" t="s">
        <v>265</v>
      </c>
      <c r="D87" t="s">
        <v>266</v>
      </c>
      <c r="E87" s="3" t="str">
        <f>HYPERLINK("https://www.amazon.com/Fluke-C195-Polyester-Soft-Carrying/dp/B00011Q5S4/ref=sr_1_1?keywords=Fluke+C60+Soft+Carrying+Case&amp;qid=1695173198&amp;sr=8-1", "https://www.amazon.com/Fluke-C195-Polyester-Soft-Carrying/dp/B00011Q5S4/ref=sr_1_1?keywords=Fluke+C60+Soft+Carrying+Case&amp;qid=1695173198&amp;sr=8-1")</f>
        <v>https://www.amazon.com/Fluke-C195-Polyester-Soft-Carrying/dp/B00011Q5S4/ref=sr_1_1?keywords=Fluke+C60+Soft+Carrying+Case&amp;qid=1695173198&amp;sr=8-1</v>
      </c>
      <c r="F87" t="s">
        <v>267</v>
      </c>
      <c r="G87" t="e">
        <f ca="1">_xludf.IMAGE("https://edmondsonsupply.com/cdn/shop/products/c60.png?v=1633030926")</f>
        <v>#NAME?</v>
      </c>
      <c r="H87" t="e">
        <f ca="1">_xludf.IMAGE("https://m.media-amazon.com/images/I/51og3g7z-eL._AC_UL320_.jpg")</f>
        <v>#NAME?</v>
      </c>
      <c r="I87" t="s">
        <v>268</v>
      </c>
      <c r="J87">
        <v>202.39</v>
      </c>
      <c r="K87" s="4">
        <v>3.0895000000000001</v>
      </c>
      <c r="L87">
        <v>3</v>
      </c>
      <c r="M87">
        <v>2</v>
      </c>
      <c r="O87" t="s">
        <v>25</v>
      </c>
      <c r="P87" t="s">
        <v>269</v>
      </c>
      <c r="Q87" t="s">
        <v>270</v>
      </c>
    </row>
    <row r="88" spans="1:17" ht="15.5" x14ac:dyDescent="0.35">
      <c r="A88" s="3" t="str">
        <f>HYPERLINK("https://edmondsonsupply.com/collections/storage-organization/products/clc-1100-3", "https://edmondsonsupply.com/collections/storage-organization/products/clc-1100-3")</f>
        <v>https://edmondsonsupply.com/collections/storage-organization/products/clc-1100-3</v>
      </c>
      <c r="B88" s="3" t="str">
        <f>HYPERLINK("https://edmondsonsupply.com/products/clc-1100-3", "https://edmondsonsupply.com/products/clc-1100-3")</f>
        <v>https://edmondsonsupply.com/products/clc-1100-3</v>
      </c>
      <c r="C88" t="s">
        <v>231</v>
      </c>
      <c r="D88" t="s">
        <v>271</v>
      </c>
      <c r="E88" s="3" t="str">
        <f>HYPERLINK("https://www.amazon.com/Custom-Leathercraft-BigMouth-Multi-Purpose-Zippered/dp/B0BFXQMPC7/ref=sr_1_3?keywords=CLC+1100+3+Multi-Purpose%2C+Clip-on%2C+Zippered+Bags&amp;qid=1695173161&amp;sr=8-3", "https://www.amazon.com/Custom-Leathercraft-BigMouth-Multi-Purpose-Zippered/dp/B0BFXQMPC7/ref=sr_1_3?keywords=CLC+1100+3+Multi-Purpose%2C+Clip-on%2C+Zippered+Bags&amp;qid=1695173161&amp;sr=8-3")</f>
        <v>https://www.amazon.com/Custom-Leathercraft-BigMouth-Multi-Purpose-Zippered/dp/B0BFXQMPC7/ref=sr_1_3?keywords=CLC+1100+3+Multi-Purpose%2C+Clip-on%2C+Zippered+Bags&amp;qid=1695173161&amp;sr=8-3</v>
      </c>
      <c r="F88" t="s">
        <v>272</v>
      </c>
      <c r="G88" t="e">
        <f ca="1">_xludf.IMAGE("https://edmondsonsupply.com/cdn/shop/products/1100_REV17_2.jpg?v=1633030333")</f>
        <v>#NAME?</v>
      </c>
      <c r="H88" t="e">
        <f ca="1">_xludf.IMAGE("https://m.media-amazon.com/images/I/41lqDxz+4NL._AC_UL320_.jpg")</f>
        <v>#NAME?</v>
      </c>
      <c r="I88" t="s">
        <v>234</v>
      </c>
      <c r="J88">
        <v>44.94</v>
      </c>
      <c r="K88" s="4">
        <v>2.8247</v>
      </c>
      <c r="L88">
        <v>4.7</v>
      </c>
      <c r="M88">
        <v>1488</v>
      </c>
      <c r="O88" t="s">
        <v>25</v>
      </c>
      <c r="P88" t="s">
        <v>235</v>
      </c>
      <c r="Q88" t="s">
        <v>236</v>
      </c>
    </row>
    <row r="89" spans="1:17" ht="15.5" x14ac:dyDescent="0.35">
      <c r="A89" s="3" t="str">
        <f>HYPERLINK("https://edmondsonsupply.com/collections/storage-organization/products/klein-tools-55559-stand-up-zipper-bags-7-inch-and-14-inch-2-pack", "https://edmondsonsupply.com/collections/storage-organization/products/klein-tools-55559-stand-up-zipper-bags-7-inch-and-14-inch-2-pack")</f>
        <v>https://edmondsonsupply.com/collections/storage-organization/products/klein-tools-55559-stand-up-zipper-bags-7-inch-and-14-inch-2-pack</v>
      </c>
      <c r="B89" s="3" t="str">
        <f>HYPERLINK("https://edmondsonsupply.com/products/klein-tools-55559-stand-up-zipper-bags-7-inch-and-14-inch-2-pack", "https://edmondsonsupply.com/products/klein-tools-55559-stand-up-zipper-bags-7-inch-and-14-inch-2-pack")</f>
        <v>https://edmondsonsupply.com/products/klein-tools-55559-stand-up-zipper-bags-7-inch-and-14-inch-2-pack</v>
      </c>
      <c r="C89" t="s">
        <v>273</v>
      </c>
      <c r="D89" t="s">
        <v>274</v>
      </c>
      <c r="E89" s="3" t="str">
        <f>HYPERLINK("https://www.amazon.com/Klein-Tools-Stand-Up-Carabiners-14-Inch/dp/B0BKQ9CM13/ref=sr_1_3?keywords=Klein+Tools+55559+Stand-up+Zipper+Bags%2C+7-Inch+and+14-Inch%2C+2-Pack&amp;qid=1695173170&amp;sr=8-3", "https://www.amazon.com/Klein-Tools-Stand-Up-Carabiners-14-Inch/dp/B0BKQ9CM13/ref=sr_1_3?keywords=Klein+Tools+55559+Stand-up+Zipper+Bags%2C+7-Inch+and+14-Inch%2C+2-Pack&amp;qid=1695173170&amp;sr=8-3")</f>
        <v>https://www.amazon.com/Klein-Tools-Stand-Up-Carabiners-14-Inch/dp/B0BKQ9CM13/ref=sr_1_3?keywords=Klein+Tools+55559+Stand-up+Zipper+Bags%2C+7-Inch+and+14-Inch%2C+2-Pack&amp;qid=1695173170&amp;sr=8-3</v>
      </c>
      <c r="F89" t="s">
        <v>275</v>
      </c>
      <c r="G89" t="e">
        <f ca="1">_xludf.IMAGE("https://edmondsonsupply.com/cdn/shop/products/55559.jpg?v=1666900727")</f>
        <v>#NAME?</v>
      </c>
      <c r="H89" t="e">
        <f ca="1">_xludf.IMAGE("https://m.media-amazon.com/images/I/416u4HXmGJL._AC_UL320_.jpg")</f>
        <v>#NAME?</v>
      </c>
      <c r="I89" t="s">
        <v>276</v>
      </c>
      <c r="J89">
        <v>53.99</v>
      </c>
      <c r="K89" s="4">
        <v>2.6017000000000001</v>
      </c>
      <c r="L89">
        <v>4.5</v>
      </c>
      <c r="M89">
        <v>2</v>
      </c>
      <c r="O89" t="s">
        <v>25</v>
      </c>
      <c r="P89" t="s">
        <v>277</v>
      </c>
      <c r="Q89" t="s">
        <v>278</v>
      </c>
    </row>
    <row r="90" spans="1:17" ht="15.5" x14ac:dyDescent="0.35">
      <c r="A90" s="3" t="str">
        <f>HYPERLINK("https://edmondsonsupply.com/collections/storage-organization/products/milwaukee-48-22-8426-packout%E2%84%A2-rolling-tool-box", "https://edmondsonsupply.com/collections/storage-organization/products/milwaukee-48-22-8426-packout%E2%84%A2-rolling-tool-box")</f>
        <v>https://edmondsonsupply.com/collections/storage-organization/products/milwaukee-48-22-8426-packout%E2%84%A2-rolling-tool-box</v>
      </c>
      <c r="B90" s="3" t="str">
        <f>HYPERLINK("https://edmondsonsupply.com/products/milwaukee-48-22-8426-packout%e2%84%a2-rolling-tool-box", "https://edmondsonsupply.com/products/milwaukee-48-22-8426-packout%e2%84%a2-rolling-tool-box")</f>
        <v>https://edmondsonsupply.com/products/milwaukee-48-22-8426-packout%e2%84%a2-rolling-tool-box</v>
      </c>
      <c r="C90" t="s">
        <v>279</v>
      </c>
      <c r="D90" t="s">
        <v>280</v>
      </c>
      <c r="E90" s="3" t="str">
        <f>HYPERLINK("https://www.amazon.com/Rolling-Tool-Box-48-22-8426-48-22-8425/dp/B0BXWMBNC3/ref=sr_1_4?keywords=Milwaukee+48-22-8426+PACKOUT%E2%84%A2+Rolling+Tool+Box&amp;qid=1695173174&amp;sr=8-4", "https://www.amazon.com/Rolling-Tool-Box-48-22-8426-48-22-8425/dp/B0BXWMBNC3/ref=sr_1_4?keywords=Milwaukee+48-22-8426+PACKOUT%E2%84%A2+Rolling+Tool+Box&amp;qid=1695173174&amp;sr=8-4")</f>
        <v>https://www.amazon.com/Rolling-Tool-Box-48-22-8426-48-22-8425/dp/B0BXWMBNC3/ref=sr_1_4?keywords=Milwaukee+48-22-8426+PACKOUT%E2%84%A2+Rolling+Tool+Box&amp;qid=1695173174&amp;sr=8-4</v>
      </c>
      <c r="F90" t="s">
        <v>281</v>
      </c>
      <c r="G90" t="e">
        <f ca="1">_xludf.IMAGE("https://edmondsonsupply.com/cdn/shop/products/48-22-8426_2.webp?v=1674148076")</f>
        <v>#NAME?</v>
      </c>
      <c r="H90" t="e">
        <f ca="1">_xludf.IMAGE("https://m.media-amazon.com/images/I/514-SWxuCsL._AC_UL320_.jpg")</f>
        <v>#NAME?</v>
      </c>
      <c r="I90" t="s">
        <v>282</v>
      </c>
      <c r="J90">
        <v>475</v>
      </c>
      <c r="K90" s="4">
        <v>2.4173</v>
      </c>
      <c r="L90">
        <v>5</v>
      </c>
      <c r="M90">
        <v>1</v>
      </c>
      <c r="O90" t="s">
        <v>171</v>
      </c>
      <c r="P90" t="s">
        <v>283</v>
      </c>
      <c r="Q90" t="s">
        <v>284</v>
      </c>
    </row>
    <row r="91" spans="1:17" ht="15.5" x14ac:dyDescent="0.35">
      <c r="A91" s="3" t="str">
        <f>HYPERLINK("https://edmondsonsupply.com/collections/storage-organization/products/klein-tools-5539yel-canvas-zipper-bag-consumables-yellow", "https://edmondsonsupply.com/collections/storage-organization/products/klein-tools-5539yel-canvas-zipper-bag-consumables-yellow")</f>
        <v>https://edmondsonsupply.com/collections/storage-organization/products/klein-tools-5539yel-canvas-zipper-bag-consumables-yellow</v>
      </c>
      <c r="B91" s="3" t="str">
        <f>HYPERLINK("https://edmondsonsupply.com/products/klein-tools-5539yel-canvas-zipper-bag-consumables-yellow", "https://edmondsonsupply.com/products/klein-tools-5539yel-canvas-zipper-bag-consumables-yellow")</f>
        <v>https://edmondsonsupply.com/products/klein-tools-5539yel-canvas-zipper-bag-consumables-yellow</v>
      </c>
      <c r="C91" t="s">
        <v>285</v>
      </c>
      <c r="D91" t="s">
        <v>286</v>
      </c>
      <c r="E91" s="3" t="str">
        <f>HYPERLINK("https://www.amazon.com/Utility-12-5-Inch-Klein-Tools-5140/dp/B000MKDUKU/ref=sr_1_7?keywords=Klein+Tools+5539YEL+Zipper+Bag%2C+Canvas+Tool+Pouch%2C+10-Inch%2C+Yellow&amp;qid=1695173187&amp;sr=8-7", "https://www.amazon.com/Utility-12-5-Inch-Klein-Tools-5140/dp/B000MKDUKU/ref=sr_1_7?keywords=Klein+Tools+5539YEL+Zipper+Bag%2C+Canvas+Tool+Pouch%2C+10-Inch%2C+Yellow&amp;qid=1695173187&amp;sr=8-7")</f>
        <v>https://www.amazon.com/Utility-12-5-Inch-Klein-Tools-5140/dp/B000MKDUKU/ref=sr_1_7?keywords=Klein+Tools+5539YEL+Zipper+Bag%2C+Canvas+Tool+Pouch%2C+10-Inch%2C+Yellow&amp;qid=1695173187&amp;sr=8-7</v>
      </c>
      <c r="F91" t="s">
        <v>287</v>
      </c>
      <c r="G91" t="e">
        <f ca="1">_xludf.IMAGE("https://edmondsonsupply.com/cdn/shop/products/5539yel.jpg?v=1633030465")</f>
        <v>#NAME?</v>
      </c>
      <c r="H91" t="e">
        <f ca="1">_xludf.IMAGE("https://m.media-amazon.com/images/I/61ktyABBHQL._AC_UL320_.jpg")</f>
        <v>#NAME?</v>
      </c>
      <c r="I91" t="s">
        <v>288</v>
      </c>
      <c r="J91">
        <v>39.97</v>
      </c>
      <c r="K91" s="4">
        <v>1.857</v>
      </c>
      <c r="L91">
        <v>4.8</v>
      </c>
      <c r="M91">
        <v>4463</v>
      </c>
      <c r="O91" t="s">
        <v>25</v>
      </c>
      <c r="P91" t="s">
        <v>289</v>
      </c>
      <c r="Q91" t="s">
        <v>290</v>
      </c>
    </row>
    <row r="92" spans="1:17" ht="15.5" x14ac:dyDescent="0.35">
      <c r="A92" s="3" t="str">
        <f>HYPERLINK("https://edmondsonsupply.com/collections/storage-organization/products/klein-tools-5539blu-canvas-zipper-bag-consumables-blue", "https://edmondsonsupply.com/collections/storage-organization/products/klein-tools-5539blu-canvas-zipper-bag-consumables-blue")</f>
        <v>https://edmondsonsupply.com/collections/storage-organization/products/klein-tools-5539blu-canvas-zipper-bag-consumables-blue</v>
      </c>
      <c r="B92" s="3" t="str">
        <f>HYPERLINK("https://edmondsonsupply.com/products/klein-tools-5539blu-canvas-zipper-bag-consumables-blue", "https://edmondsonsupply.com/products/klein-tools-5539blu-canvas-zipper-bag-consumables-blue")</f>
        <v>https://edmondsonsupply.com/products/klein-tools-5539blu-canvas-zipper-bag-consumables-blue</v>
      </c>
      <c r="C92" t="s">
        <v>291</v>
      </c>
      <c r="D92" t="s">
        <v>286</v>
      </c>
      <c r="E92" s="3" t="str">
        <f>HYPERLINK("https://www.amazon.com/Utility-12-5-Inch-Klein-Tools-5140/dp/B000MKDUKU/ref=sr_1_6?keywords=Klein+Tools+5539BLU+Zipper+Bag%2C+Canvas+Consumables+Tool+Pouch%2C+Blue&amp;qid=1695173180&amp;sr=8-6", "https://www.amazon.com/Utility-12-5-Inch-Klein-Tools-5140/dp/B000MKDUKU/ref=sr_1_6?keywords=Klein+Tools+5539BLU+Zipper+Bag%2C+Canvas+Consumables+Tool+Pouch%2C+Blue&amp;qid=1695173180&amp;sr=8-6")</f>
        <v>https://www.amazon.com/Utility-12-5-Inch-Klein-Tools-5140/dp/B000MKDUKU/ref=sr_1_6?keywords=Klein+Tools+5539BLU+Zipper+Bag%2C+Canvas+Consumables+Tool+Pouch%2C+Blue&amp;qid=1695173180&amp;sr=8-6</v>
      </c>
      <c r="F92" t="s">
        <v>287</v>
      </c>
      <c r="G92" t="e">
        <f ca="1">_xludf.IMAGE("https://edmondsonsupply.com/cdn/shop/products/5539blu.jpg?v=1633030461")</f>
        <v>#NAME?</v>
      </c>
      <c r="H92" t="e">
        <f ca="1">_xludf.IMAGE("https://m.media-amazon.com/images/I/61ktyABBHQL._AC_UL320_.jpg")</f>
        <v>#NAME?</v>
      </c>
      <c r="I92" t="s">
        <v>288</v>
      </c>
      <c r="J92">
        <v>39.97</v>
      </c>
      <c r="K92" s="4">
        <v>1.857</v>
      </c>
      <c r="L92">
        <v>4.8</v>
      </c>
      <c r="M92">
        <v>4463</v>
      </c>
      <c r="O92" t="s">
        <v>25</v>
      </c>
      <c r="P92" t="s">
        <v>289</v>
      </c>
      <c r="Q92" t="s">
        <v>292</v>
      </c>
    </row>
    <row r="93" spans="1:17" ht="15.5" x14ac:dyDescent="0.35">
      <c r="A93" s="3" t="str">
        <f>HYPERLINK("https://edmondsonsupply.com/collections/storage-organization/products/klein-tools-5539red-canvas-zipper-bag-consumables-red", "https://edmondsonsupply.com/collections/storage-organization/products/klein-tools-5539red-canvas-zipper-bag-consumables-red")</f>
        <v>https://edmondsonsupply.com/collections/storage-organization/products/klein-tools-5539red-canvas-zipper-bag-consumables-red</v>
      </c>
      <c r="B93" s="3" t="str">
        <f>HYPERLINK("https://edmondsonsupply.com/products/klein-tools-5539red-canvas-zipper-bag-consumables-red", "https://edmondsonsupply.com/products/klein-tools-5539red-canvas-zipper-bag-consumables-red")</f>
        <v>https://edmondsonsupply.com/products/klein-tools-5539red-canvas-zipper-bag-consumables-red</v>
      </c>
      <c r="C93" t="s">
        <v>293</v>
      </c>
      <c r="D93" t="s">
        <v>294</v>
      </c>
      <c r="E93" s="3" t="str">
        <f>HYPERLINK("https://www.amazon.com/Utility-Zipper-12-5-Inch-Klein-Tools/dp/B007V8RXVI/ref=sr_1_4?keywords=Klein+Tools+5539RED+Zipper+Bag%2C+Canvas+Tool+Pouch%2C+10-Inch%2C+Red&amp;qid=1695173191&amp;sr=8-4", "https://www.amazon.com/Utility-Zipper-12-5-Inch-Klein-Tools/dp/B007V8RXVI/ref=sr_1_4?keywords=Klein+Tools+5539RED+Zipper+Bag%2C+Canvas+Tool+Pouch%2C+10-Inch%2C+Red&amp;qid=1695173191&amp;sr=8-4")</f>
        <v>https://www.amazon.com/Utility-Zipper-12-5-Inch-Klein-Tools/dp/B007V8RXVI/ref=sr_1_4?keywords=Klein+Tools+5539RED+Zipper+Bag%2C+Canvas+Tool+Pouch%2C+10-Inch%2C+Red&amp;qid=1695173191&amp;sr=8-4</v>
      </c>
      <c r="F93" t="s">
        <v>295</v>
      </c>
      <c r="G93" t="e">
        <f ca="1">_xludf.IMAGE("https://edmondsonsupply.com/cdn/shop/products/5539red.jpg?v=1633030465")</f>
        <v>#NAME?</v>
      </c>
      <c r="H93" t="e">
        <f ca="1">_xludf.IMAGE("https://m.media-amazon.com/images/I/61K2xaMr+oL._AC_UL320_.jpg")</f>
        <v>#NAME?</v>
      </c>
      <c r="I93" t="s">
        <v>288</v>
      </c>
      <c r="J93">
        <v>39</v>
      </c>
      <c r="K93" s="4">
        <v>1.7877000000000001</v>
      </c>
      <c r="L93">
        <v>4.8</v>
      </c>
      <c r="M93">
        <v>4463</v>
      </c>
      <c r="O93" t="s">
        <v>25</v>
      </c>
      <c r="P93" t="s">
        <v>289</v>
      </c>
      <c r="Q93" t="s">
        <v>296</v>
      </c>
    </row>
    <row r="94" spans="1:17" ht="15.5" x14ac:dyDescent="0.35">
      <c r="A94" s="3" t="str">
        <f>HYPERLINK("https://edmondsonsupply.com/collections/storage-organization/products/veto-pro-pac-mb2-blackout", "https://edmondsonsupply.com/collections/storage-organization/products/veto-pro-pac-mb2-blackout")</f>
        <v>https://edmondsonsupply.com/collections/storage-organization/products/veto-pro-pac-mb2-blackout</v>
      </c>
      <c r="B94" s="3" t="str">
        <f>HYPERLINK("https://edmondsonsupply.com/products/veto-pro-pac-mb2-blackout", "https://edmondsonsupply.com/products/veto-pro-pac-mb2-blackout")</f>
        <v>https://edmondsonsupply.com/products/veto-pro-pac-mb2-blackout</v>
      </c>
      <c r="C94" t="s">
        <v>297</v>
      </c>
      <c r="D94" t="s">
        <v>298</v>
      </c>
      <c r="E94" s="3" t="str">
        <f>HYPERLINK("https://www.amazon.com/Veto-Pro-Pac-TP-XD-BLACKOUT/dp/B0B2YBQXNP/ref=sr_1_3?keywords=Veto+Pro+Pac+MB2+Blackout&amp;qid=1695173165&amp;sr=8-3", "https://www.amazon.com/Veto-Pro-Pac-TP-XD-BLACKOUT/dp/B0B2YBQXNP/ref=sr_1_3?keywords=Veto+Pro+Pac+MB2+Blackout&amp;qid=1695173165&amp;sr=8-3")</f>
        <v>https://www.amazon.com/Veto-Pro-Pac-TP-XD-BLACKOUT/dp/B0B2YBQXNP/ref=sr_1_3?keywords=Veto+Pro+Pac+MB2+Blackout&amp;qid=1695173165&amp;sr=8-3</v>
      </c>
      <c r="F94" t="s">
        <v>299</v>
      </c>
      <c r="G94" t="e">
        <f ca="1">_xludf.IMAGE("https://edmondsonsupply.com/cdn/shop/products/mb2_398b8401-a942-46dd-b2fe-64feff432106.jpg?v=1633031045")</f>
        <v>#NAME?</v>
      </c>
      <c r="H94" t="e">
        <f ca="1">_xludf.IMAGE("https://m.media-amazon.com/images/I/51vvq1zbgwL._AC_UL320_.jpg")</f>
        <v>#NAME?</v>
      </c>
      <c r="I94" t="s">
        <v>300</v>
      </c>
      <c r="J94">
        <v>209.95</v>
      </c>
      <c r="K94" s="4">
        <v>1.6247</v>
      </c>
      <c r="L94">
        <v>4.5</v>
      </c>
      <c r="M94">
        <v>24</v>
      </c>
      <c r="O94" t="s">
        <v>25</v>
      </c>
      <c r="P94" t="s">
        <v>138</v>
      </c>
      <c r="Q94" t="s">
        <v>301</v>
      </c>
    </row>
    <row r="95" spans="1:17" ht="15.5" x14ac:dyDescent="0.35">
      <c r="A95" s="3" t="str">
        <f>HYPERLINK("https://edmondsonsupply.com/collections/storage-organization/products/milwaukee-48-22-8432-packout%E2%84%A2-deep-organizer", "https://edmondsonsupply.com/collections/storage-organization/products/milwaukee-48-22-8432-packout%E2%84%A2-deep-organizer")</f>
        <v>https://edmondsonsupply.com/collections/storage-organization/products/milwaukee-48-22-8432-packout%E2%84%A2-deep-organizer</v>
      </c>
      <c r="B95" s="3" t="str">
        <f>HYPERLINK("https://edmondsonsupply.com/products/milwaukee-48-22-8432-packout%e2%84%a2-deep-organizer", "https://edmondsonsupply.com/products/milwaukee-48-22-8432-packout%e2%84%a2-deep-organizer")</f>
        <v>https://edmondsonsupply.com/products/milwaukee-48-22-8432-packout%e2%84%a2-deep-organizer</v>
      </c>
      <c r="C95" t="s">
        <v>302</v>
      </c>
      <c r="D95" t="s">
        <v>303</v>
      </c>
      <c r="E95" s="3" t="str">
        <f>HYPERLINK("https://www.amazon.com/48-22-8432-Milwaukee-Organizer-protection-Reinforced/dp/B0BRN4YDFR/ref=sr_1_6?keywords=Milwaukee+48-22-8432+PACKOUT%E2%84%A2+Deep+Organizer&amp;qid=1695173168&amp;sr=8-6", "https://www.amazon.com/48-22-8432-Milwaukee-Organizer-protection-Reinforced/dp/B0BRN4YDFR/ref=sr_1_6?keywords=Milwaukee+48-22-8432+PACKOUT%E2%84%A2+Deep+Organizer&amp;qid=1695173168&amp;sr=8-6")</f>
        <v>https://www.amazon.com/48-22-8432-Milwaukee-Organizer-protection-Reinforced/dp/B0BRN4YDFR/ref=sr_1_6?keywords=Milwaukee+48-22-8432+PACKOUT%E2%84%A2+Deep+Organizer&amp;qid=1695173168&amp;sr=8-6</v>
      </c>
      <c r="F95" t="s">
        <v>304</v>
      </c>
      <c r="G95" t="e">
        <f ca="1">_xludf.IMAGE("https://edmondsonsupply.com/cdn/shop/files/48-22-8432_1.webp?v=1686667970")</f>
        <v>#NAME?</v>
      </c>
      <c r="H95" t="e">
        <f ca="1">_xludf.IMAGE("https://m.media-amazon.com/images/I/71mouQmhBZL._AC_UL320_.jpg")</f>
        <v>#NAME?</v>
      </c>
      <c r="I95" t="s">
        <v>305</v>
      </c>
      <c r="J95">
        <v>154.99</v>
      </c>
      <c r="K95" s="4">
        <v>1.3855999999999999</v>
      </c>
      <c r="L95">
        <v>5</v>
      </c>
      <c r="M95">
        <v>5</v>
      </c>
      <c r="O95" t="s">
        <v>171</v>
      </c>
      <c r="P95" t="s">
        <v>306</v>
      </c>
      <c r="Q95" t="s">
        <v>307</v>
      </c>
    </row>
    <row r="96" spans="1:17" ht="15.5" x14ac:dyDescent="0.35">
      <c r="A96" s="3" t="str">
        <f>HYPERLINK("https://edmondsonsupply.com/collections/storage-organization/products/malco-tools-tb1-soft-sided-tool-bag", "https://edmondsonsupply.com/collections/storage-organization/products/malco-tools-tb1-soft-sided-tool-bag")</f>
        <v>https://edmondsonsupply.com/collections/storage-organization/products/malco-tools-tb1-soft-sided-tool-bag</v>
      </c>
      <c r="B96" s="3" t="str">
        <f>HYPERLINK("https://edmondsonsupply.com/products/malco-tools-tb1-soft-sided-tool-bag", "https://edmondsonsupply.com/products/malco-tools-tb1-soft-sided-tool-bag")</f>
        <v>https://edmondsonsupply.com/products/malco-tools-tb1-soft-sided-tool-bag</v>
      </c>
      <c r="C96" t="s">
        <v>308</v>
      </c>
      <c r="D96" t="s">
        <v>309</v>
      </c>
      <c r="E96" s="3" t="str">
        <f>HYPERLINK("https://www.amazon.com/Malco-Soft-Sided-Tool-Pocket/dp/B0943Y3HYS/ref=sr_1_1?keywords=Malco+Tools+TB1+Soft+Sided+Tool+Bag&amp;qid=1695173174&amp;sr=8-1", "https://www.amazon.com/Malco-Soft-Sided-Tool-Pocket/dp/B0943Y3HYS/ref=sr_1_1?keywords=Malco+Tools+TB1+Soft+Sided+Tool+Bag&amp;qid=1695173174&amp;sr=8-1")</f>
        <v>https://www.amazon.com/Malco-Soft-Sided-Tool-Pocket/dp/B0943Y3HYS/ref=sr_1_1?keywords=Malco+Tools+TB1+Soft+Sided+Tool+Bag&amp;qid=1695173174&amp;sr=8-1</v>
      </c>
      <c r="F96" t="s">
        <v>310</v>
      </c>
      <c r="G96" t="e">
        <f ca="1">_xludf.IMAGE("https://edmondsonsupply.com/cdn/shop/products/TB1-catalog-2-440x440.jpg?v=1668089126")</f>
        <v>#NAME?</v>
      </c>
      <c r="H96" t="e">
        <f ca="1">_xludf.IMAGE("https://m.media-amazon.com/images/I/31LWmbOibWS._AC_UL320_.jpg")</f>
        <v>#NAME?</v>
      </c>
      <c r="I96" t="s">
        <v>311</v>
      </c>
      <c r="J96">
        <v>170.5</v>
      </c>
      <c r="K96" s="4">
        <v>1.3684000000000001</v>
      </c>
      <c r="L96">
        <v>1</v>
      </c>
      <c r="M96">
        <v>1</v>
      </c>
      <c r="O96" t="s">
        <v>25</v>
      </c>
      <c r="P96" t="s">
        <v>312</v>
      </c>
      <c r="Q96" t="s">
        <v>313</v>
      </c>
    </row>
    <row r="97" spans="1:17" ht="15.5" x14ac:dyDescent="0.35">
      <c r="A97" s="3" t="str">
        <f>HYPERLINK("https://edmondsonsupply.com/collections/storage-organization/products/veto-pro-pac-tp4b-blackout", "https://edmondsonsupply.com/collections/storage-organization/products/veto-pro-pac-tp4b-blackout")</f>
        <v>https://edmondsonsupply.com/collections/storage-organization/products/veto-pro-pac-tp4b-blackout</v>
      </c>
      <c r="B97" s="3" t="str">
        <f>HYPERLINK("https://edmondsonsupply.com/products/veto-pro-pac-tp4b-blackout", "https://edmondsonsupply.com/products/veto-pro-pac-tp4b-blackout")</f>
        <v>https://edmondsonsupply.com/products/veto-pro-pac-tp4b-blackout</v>
      </c>
      <c r="C97" t="s">
        <v>314</v>
      </c>
      <c r="D97" t="s">
        <v>298</v>
      </c>
      <c r="E97" s="3" t="str">
        <f>HYPERLINK("https://www.amazon.com/Veto-Pro-Pac-TP-XD-BLACKOUT/dp/B0B2YBQXNP/ref=sr_1_5?keywords=Veto+Pro+Pac+TP4B+BLACKOUT&amp;qid=1695173173&amp;sr=8-5", "https://www.amazon.com/Veto-Pro-Pac-TP-XD-BLACKOUT/dp/B0B2YBQXNP/ref=sr_1_5?keywords=Veto+Pro+Pac+TP4B+BLACKOUT&amp;qid=1695173173&amp;sr=8-5")</f>
        <v>https://www.amazon.com/Veto-Pro-Pac-TP-XD-BLACKOUT/dp/B0B2YBQXNP/ref=sr_1_5?keywords=Veto+Pro+Pac+TP4B+BLACKOUT&amp;qid=1695173173&amp;sr=8-5</v>
      </c>
      <c r="F97" t="s">
        <v>299</v>
      </c>
      <c r="G97" t="e">
        <f ca="1">_xludf.IMAGE("https://edmondsonsupply.com/cdn/shop/products/tpb4.jpg?v=1648946186")</f>
        <v>#NAME?</v>
      </c>
      <c r="H97" t="e">
        <f ca="1">_xludf.IMAGE("https://m.media-amazon.com/images/I/51vvq1zbgwL._AC_UL320_.jpg")</f>
        <v>#NAME?</v>
      </c>
      <c r="I97" t="s">
        <v>315</v>
      </c>
      <c r="J97">
        <v>209.95</v>
      </c>
      <c r="K97" s="4">
        <v>1.333</v>
      </c>
      <c r="L97">
        <v>4.5</v>
      </c>
      <c r="M97">
        <v>24</v>
      </c>
      <c r="O97" t="s">
        <v>25</v>
      </c>
      <c r="P97" t="s">
        <v>138</v>
      </c>
      <c r="Q97" t="s">
        <v>316</v>
      </c>
    </row>
    <row r="98" spans="1:17" ht="15.5" x14ac:dyDescent="0.35">
      <c r="A98" s="3" t="str">
        <f>HYPERLINK("https://edmondsonsupply.com/collections/storage-organization/products/veto-pro-pac-tp3-b-tool-bag", "https://edmondsonsupply.com/collections/storage-organization/products/veto-pro-pac-tp3-b-tool-bag")</f>
        <v>https://edmondsonsupply.com/collections/storage-organization/products/veto-pro-pac-tp3-b-tool-bag</v>
      </c>
      <c r="B98" s="3" t="str">
        <f>HYPERLINK("https://edmondsonsupply.com/products/veto-pro-pac-tp3-b-tool-bag", "https://edmondsonsupply.com/products/veto-pro-pac-tp3-b-tool-bag")</f>
        <v>https://edmondsonsupply.com/products/veto-pro-pac-tp3-b-tool-bag</v>
      </c>
      <c r="C98" t="s">
        <v>317</v>
      </c>
      <c r="D98" t="s">
        <v>318</v>
      </c>
      <c r="E98" s="3" t="str">
        <f>HYPERLINK("https://www.amazon.com/Veto-TP-XL-Extra-Large-Pouch/dp/B07WDL7SD3/ref=sr_1_9?keywords=Veto+Pro+Pac+TP3B+Tool+Pouch&amp;qid=1695173175&amp;sr=8-9", "https://www.amazon.com/Veto-TP-XL-Extra-Large-Pouch/dp/B07WDL7SD3/ref=sr_1_9?keywords=Veto+Pro+Pac+TP3B+Tool+Pouch&amp;qid=1695173175&amp;sr=8-9")</f>
        <v>https://www.amazon.com/Veto-TP-XL-Extra-Large-Pouch/dp/B07WDL7SD3/ref=sr_1_9?keywords=Veto+Pro+Pac+TP3B+Tool+Pouch&amp;qid=1695173175&amp;sr=8-9</v>
      </c>
      <c r="F98" t="s">
        <v>319</v>
      </c>
      <c r="G98" t="e">
        <f ca="1">_xludf.IMAGE("https://edmondsonsupply.com/cdn/shop/products/tp3b.png?v=1633031041")</f>
        <v>#NAME?</v>
      </c>
      <c r="H98" t="e">
        <f ca="1">_xludf.IMAGE("https://m.media-amazon.com/images/I/91dIbPcb4XL._AC_UL320_.jpg")</f>
        <v>#NAME?</v>
      </c>
      <c r="I98" t="s">
        <v>320</v>
      </c>
      <c r="J98">
        <v>169.95</v>
      </c>
      <c r="K98" s="4">
        <v>1.2663</v>
      </c>
      <c r="L98">
        <v>4.9000000000000004</v>
      </c>
      <c r="M98">
        <v>1132</v>
      </c>
      <c r="O98" t="s">
        <v>25</v>
      </c>
      <c r="P98" t="s">
        <v>138</v>
      </c>
      <c r="Q98" t="s">
        <v>321</v>
      </c>
    </row>
    <row r="99" spans="1:17" ht="15.5" x14ac:dyDescent="0.35">
      <c r="A99" s="3" t="str">
        <f>HYPERLINK("https://edmondsonsupply.com/collections/storage-organization/products/milwaukee-48-22-8045-packout%E2%84%A2-tool-tray", "https://edmondsonsupply.com/collections/storage-organization/products/milwaukee-48-22-8045-packout%E2%84%A2-tool-tray")</f>
        <v>https://edmondsonsupply.com/collections/storage-organization/products/milwaukee-48-22-8045-packout%E2%84%A2-tool-tray</v>
      </c>
      <c r="B99" s="3" t="str">
        <f>HYPERLINK("https://edmondsonsupply.com/products/milwaukee-48-22-8045-packout%e2%84%a2-tool-tray", "https://edmondsonsupply.com/products/milwaukee-48-22-8045-packout%e2%84%a2-tool-tray")</f>
        <v>https://edmondsonsupply.com/products/milwaukee-48-22-8045-packout%e2%84%a2-tool-tray</v>
      </c>
      <c r="C99" t="s">
        <v>322</v>
      </c>
      <c r="D99" t="s">
        <v>323</v>
      </c>
      <c r="E99" s="3" t="str">
        <f>HYPERLINK("https://www.amazon.com/Compatible-48-22-8045-Quick-Adjust-Compartments-Dimensions/dp/B0BKGBDJMW/ref=sr_1_2?keywords=Milwaukee+48-22-8045+PACKOUT%E2%84%A2+Tool+Tray&amp;qid=1695173163&amp;sr=8-2", "https://www.amazon.com/Compatible-48-22-8045-Quick-Adjust-Compartments-Dimensions/dp/B0BKGBDJMW/ref=sr_1_2?keywords=Milwaukee+48-22-8045+PACKOUT%E2%84%A2+Tool+Tray&amp;qid=1695173163&amp;sr=8-2")</f>
        <v>https://www.amazon.com/Compatible-48-22-8045-Quick-Adjust-Compartments-Dimensions/dp/B0BKGBDJMW/ref=sr_1_2?keywords=Milwaukee+48-22-8045+PACKOUT%E2%84%A2+Tool+Tray&amp;qid=1695173163&amp;sr=8-2</v>
      </c>
      <c r="F99" t="s">
        <v>324</v>
      </c>
      <c r="G99" t="e">
        <f ca="1">_xludf.IMAGE("https://edmondsonsupply.com/cdn/shop/files/48-22-8045_4.webp?v=1686230573")</f>
        <v>#NAME?</v>
      </c>
      <c r="H99" t="e">
        <f ca="1">_xludf.IMAGE("https://m.media-amazon.com/images/I/51JDkp3VI+L._AC_UL320_.jpg")</f>
        <v>#NAME?</v>
      </c>
      <c r="I99" t="s">
        <v>246</v>
      </c>
      <c r="J99">
        <v>88.47</v>
      </c>
      <c r="K99" s="4">
        <v>1.2134</v>
      </c>
      <c r="L99">
        <v>3</v>
      </c>
      <c r="M99">
        <v>1</v>
      </c>
      <c r="O99" t="s">
        <v>25</v>
      </c>
      <c r="P99" t="s">
        <v>325</v>
      </c>
      <c r="Q99" t="s">
        <v>326</v>
      </c>
    </row>
    <row r="100" spans="1:17" ht="15.5" x14ac:dyDescent="0.35">
      <c r="A100"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100" s="3" t="str">
        <f>HYPERLINK("https://edmondsonsupply.com/products/klein-tools-5141-canvas-bag-4-pk-brown-black-gray-red", "https://edmondsonsupply.com/products/klein-tools-5141-canvas-bag-4-pk-brown-black-gray-red")</f>
        <v>https://edmondsonsupply.com/products/klein-tools-5141-canvas-bag-4-pk-brown-black-gray-red</v>
      </c>
      <c r="C100" t="s">
        <v>243</v>
      </c>
      <c r="D100" t="s">
        <v>327</v>
      </c>
      <c r="E100" s="3" t="str">
        <f>HYPERLINK("https://www.amazon.com/Klein-Tools-Utility-Deposit-5539LCPAK/dp/B0BD3WW5HW/ref=sr_1_4?keywords=Klein+Tools+5141+Zipper+Bags%2C+Canvas+Tool+Pouches+Brown%2FBlack%2FGray%2FRed%2C+4-Pack&amp;qid=1695173170&amp;sr=8-4", "https://www.amazon.com/Klein-Tools-Utility-Deposit-5539LCPAK/dp/B0BD3WW5HW/ref=sr_1_4?keywords=Klein+Tools+5141+Zipper+Bags%2C+Canvas+Tool+Pouches+Brown%2FBlack%2FGray%2FRed%2C+4-Pack&amp;qid=1695173170&amp;sr=8-4")</f>
        <v>https://www.amazon.com/Klein-Tools-Utility-Deposit-5539LCPAK/dp/B0BD3WW5HW/ref=sr_1_4?keywords=Klein+Tools+5141+Zipper+Bags%2C+Canvas+Tool+Pouches+Brown%2FBlack%2FGray%2FRed%2C+4-Pack&amp;qid=1695173170&amp;sr=8-4</v>
      </c>
      <c r="F100" t="s">
        <v>328</v>
      </c>
      <c r="G100" t="e">
        <f ca="1">_xludf.IMAGE("https://edmondsonsupply.com/cdn/shop/products/5141.jpg?v=1633030517")</f>
        <v>#NAME?</v>
      </c>
      <c r="H100" t="e">
        <f ca="1">_xludf.IMAGE("https://m.media-amazon.com/images/I/413RtvEllSL._AC_UL320_.jpg")</f>
        <v>#NAME?</v>
      </c>
      <c r="I100" t="s">
        <v>246</v>
      </c>
      <c r="J100">
        <v>88</v>
      </c>
      <c r="K100" s="4">
        <v>1.2017</v>
      </c>
      <c r="L100">
        <v>5</v>
      </c>
      <c r="M100">
        <v>1</v>
      </c>
      <c r="O100" t="s">
        <v>25</v>
      </c>
      <c r="P100" t="s">
        <v>247</v>
      </c>
      <c r="Q100" t="s">
        <v>248</v>
      </c>
    </row>
    <row r="101" spans="1:17" ht="15.5" x14ac:dyDescent="0.35">
      <c r="A101" s="3" t="str">
        <f>HYPERLINK("https://edmondsonsupply.com/collections/storage-organization/products/klein-tools-5416octo-tool-bag-bull-pin-and-bolt-pouch-loop-connect-5-x-5-x-9-inch", "https://edmondsonsupply.com/collections/storage-organization/products/klein-tools-5416octo-tool-bag-bull-pin-and-bolt-pouch-loop-connect-5-x-5-x-9-inch")</f>
        <v>https://edmondsonsupply.com/collections/storage-organization/products/klein-tools-5416octo-tool-bag-bull-pin-and-bolt-pouch-loop-connect-5-x-5-x-9-inch</v>
      </c>
      <c r="B101" s="3" t="str">
        <f>HYPERLINK("https://edmondsonsupply.com/products/klein-tools-5416octo-tool-bag-bull-pin-and-bolt-pouch-loop-connect-5-x-5-x-9-inch", "https://edmondsonsupply.com/products/klein-tools-5416octo-tool-bag-bull-pin-and-bolt-pouch-loop-connect-5-x-5-x-9-inch")</f>
        <v>https://edmondsonsupply.com/products/klein-tools-5416octo-tool-bag-bull-pin-and-bolt-pouch-loop-connect-5-x-5-x-9-inch</v>
      </c>
      <c r="C101" t="s">
        <v>329</v>
      </c>
      <c r="D101" t="s">
        <v>330</v>
      </c>
      <c r="E101" s="3" t="str">
        <f>HYPERLINK("https://www.amazon.com/Klein-Tools-Resistant-Corrosion-Mushrooming/dp/B093PYTVK3/ref=sr_1_10?keywords=Klein+Tools+5416OCTO+Tool+Bag%2C+Bull-Pin+and+Bolt+Pouch%2C+Loop+Connect%2C+5+x+5+x+9-Inch&amp;qid=1695173180&amp;sr=8-10", "https://www.amazon.com/Klein-Tools-Resistant-Corrosion-Mushrooming/dp/B093PYTVK3/ref=sr_1_10?keywords=Klein+Tools+5416OCTO+Tool+Bag%2C+Bull-Pin+and+Bolt+Pouch%2C+Loop+Connect%2C+5+x+5+x+9-Inch&amp;qid=1695173180&amp;sr=8-10")</f>
        <v>https://www.amazon.com/Klein-Tools-Resistant-Corrosion-Mushrooming/dp/B093PYTVK3/ref=sr_1_10?keywords=Klein+Tools+5416OCTO+Tool+Bag%2C+Bull-Pin+and+Bolt+Pouch%2C+Loop+Connect%2C+5+x+5+x+9-Inch&amp;qid=1695173180&amp;sr=8-10</v>
      </c>
      <c r="F101" t="s">
        <v>331</v>
      </c>
      <c r="G101" t="e">
        <f ca="1">_xludf.IMAGE("https://edmondsonsupply.com/cdn/shop/products/5416octo.jpg?v=1633030457")</f>
        <v>#NAME?</v>
      </c>
      <c r="H101" t="e">
        <f ca="1">_xludf.IMAGE("https://m.media-amazon.com/images/I/51QTKZXYEJS._AC_UL320_.jpg")</f>
        <v>#NAME?</v>
      </c>
      <c r="I101" t="s">
        <v>332</v>
      </c>
      <c r="J101">
        <v>47.98</v>
      </c>
      <c r="K101" s="4">
        <v>1.1789000000000001</v>
      </c>
      <c r="L101">
        <v>4.4000000000000004</v>
      </c>
      <c r="M101">
        <v>58</v>
      </c>
      <c r="O101" t="s">
        <v>25</v>
      </c>
      <c r="P101" t="s">
        <v>333</v>
      </c>
      <c r="Q101" t="s">
        <v>334</v>
      </c>
    </row>
    <row r="102" spans="1:17" ht="15.5" x14ac:dyDescent="0.35">
      <c r="A102" s="3" t="str">
        <f>HYPERLINK("https://edmondsonsupply.com/collections/storage-organization/products/klein-tools-5539blu-canvas-zipper-bag-consumables-blue", "https://edmondsonsupply.com/collections/storage-organization/products/klein-tools-5539blu-canvas-zipper-bag-consumables-blue")</f>
        <v>https://edmondsonsupply.com/collections/storage-organization/products/klein-tools-5539blu-canvas-zipper-bag-consumables-blue</v>
      </c>
      <c r="B102" s="3" t="str">
        <f>HYPERLINK("https://edmondsonsupply.com/products/klein-tools-5539blu-canvas-zipper-bag-consumables-blue", "https://edmondsonsupply.com/products/klein-tools-5539blu-canvas-zipper-bag-consumables-blue")</f>
        <v>https://edmondsonsupply.com/products/klein-tools-5539blu-canvas-zipper-bag-consumables-blue</v>
      </c>
      <c r="C102" t="s">
        <v>291</v>
      </c>
      <c r="D102" t="s">
        <v>335</v>
      </c>
      <c r="E102" s="3" t="str">
        <f>HYPERLINK("https://www.amazon.com/Klein-Tools-Stand-Up-14-Inch-Utility/dp/B0BNL5LYJJ/ref=sr_1_7?keywords=Klein+Tools+5539BLU+Zipper+Bag%2C+Canvas+Consumables+Tool+Pouch%2C+Blue&amp;qid=1695173180&amp;sr=8-7", "https://www.amazon.com/Klein-Tools-Stand-Up-14-Inch-Utility/dp/B0BNL5LYJJ/ref=sr_1_7?keywords=Klein+Tools+5539BLU+Zipper+Bag%2C+Canvas+Consumables+Tool+Pouch%2C+Blue&amp;qid=1695173180&amp;sr=8-7")</f>
        <v>https://www.amazon.com/Klein-Tools-Stand-Up-14-Inch-Utility/dp/B0BNL5LYJJ/ref=sr_1_7?keywords=Klein+Tools+5539BLU+Zipper+Bag%2C+Canvas+Consumables+Tool+Pouch%2C+Blue&amp;qid=1695173180&amp;sr=8-7</v>
      </c>
      <c r="F102" t="s">
        <v>336</v>
      </c>
      <c r="G102" t="e">
        <f ca="1">_xludf.IMAGE("https://edmondsonsupply.com/cdn/shop/products/5539blu.jpg?v=1633030461")</f>
        <v>#NAME?</v>
      </c>
      <c r="H102" t="e">
        <f ca="1">_xludf.IMAGE("https://m.media-amazon.com/images/I/51YFgCm7c5L._AC_UL320_.jpg")</f>
        <v>#NAME?</v>
      </c>
      <c r="I102" t="s">
        <v>288</v>
      </c>
      <c r="J102">
        <v>29.98</v>
      </c>
      <c r="K102" s="4">
        <v>1.143</v>
      </c>
      <c r="L102">
        <v>4.5</v>
      </c>
      <c r="M102">
        <v>2</v>
      </c>
      <c r="O102" t="s">
        <v>25</v>
      </c>
      <c r="P102" t="s">
        <v>289</v>
      </c>
      <c r="Q102" t="s">
        <v>292</v>
      </c>
    </row>
    <row r="103" spans="1:17" ht="15.5" x14ac:dyDescent="0.35">
      <c r="A103" s="3" t="str">
        <f>HYPERLINK("https://edmondsonsupply.com/collections/storage-organization/products/milwaukee-48-22-8435-packout%E2%84%A2-compact-organizer", "https://edmondsonsupply.com/collections/storage-organization/products/milwaukee-48-22-8435-packout%E2%84%A2-compact-organizer")</f>
        <v>https://edmondsonsupply.com/collections/storage-organization/products/milwaukee-48-22-8435-packout%E2%84%A2-compact-organizer</v>
      </c>
      <c r="B103" s="3" t="str">
        <f>HYPERLINK("https://edmondsonsupply.com/products/milwaukee-48-22-8435-packout%e2%84%a2-compact-organizer", "https://edmondsonsupply.com/products/milwaukee-48-22-8435-packout%e2%84%a2-compact-organizer")</f>
        <v>https://edmondsonsupply.com/products/milwaukee-48-22-8435-packout%e2%84%a2-compact-organizer</v>
      </c>
      <c r="C103" t="s">
        <v>337</v>
      </c>
      <c r="D103" t="s">
        <v>338</v>
      </c>
      <c r="E103" s="3" t="str">
        <f>HYPERLINK("https://www.amazon.com/MFWNYVN-Milwaukee-48-22-8435-Organizer-5-Compartments/dp/B0BZM6RSV5/ref=sr_1_2?keywords=Milwaukee+48-22-8435+PACKOUT%E2%84%A2+Compact+Organizer&amp;qid=1695173186&amp;sr=8-2", "https://www.amazon.com/MFWNYVN-Milwaukee-48-22-8435-Organizer-5-Compartments/dp/B0BZM6RSV5/ref=sr_1_2?keywords=Milwaukee+48-22-8435+PACKOUT%E2%84%A2+Compact+Organizer&amp;qid=1695173186&amp;sr=8-2")</f>
        <v>https://www.amazon.com/MFWNYVN-Milwaukee-48-22-8435-Organizer-5-Compartments/dp/B0BZM6RSV5/ref=sr_1_2?keywords=Milwaukee+48-22-8435+PACKOUT%E2%84%A2+Compact+Organizer&amp;qid=1695173186&amp;sr=8-2</v>
      </c>
      <c r="F103" t="s">
        <v>339</v>
      </c>
      <c r="G103" t="e">
        <f ca="1">_xludf.IMAGE("https://edmondsonsupply.com/cdn/shop/products/48-22-8435_1.png?v=1671723464")</f>
        <v>#NAME?</v>
      </c>
      <c r="H103" t="e">
        <f ca="1">_xludf.IMAGE("https://m.media-amazon.com/images/I/31NQWGp+VWL._AC_UL320_.jpg")</f>
        <v>#NAME?</v>
      </c>
      <c r="I103" t="s">
        <v>340</v>
      </c>
      <c r="J103">
        <v>70</v>
      </c>
      <c r="K103" s="4">
        <v>1.0017</v>
      </c>
      <c r="L103">
        <v>5</v>
      </c>
      <c r="M103">
        <v>3</v>
      </c>
      <c r="O103" t="s">
        <v>25</v>
      </c>
      <c r="P103" t="s">
        <v>341</v>
      </c>
      <c r="Q103" t="s">
        <v>342</v>
      </c>
    </row>
    <row r="104" spans="1:17" ht="15.5" x14ac:dyDescent="0.35">
      <c r="A104" s="3" t="str">
        <f>HYPERLINK("https://edmondsonsupply.com/collections/storage-organization/products/klein-tools-55559-stand-up-zipper-bags-7-inch-and-14-inch-2-pack", "https://edmondsonsupply.com/collections/storage-organization/products/klein-tools-55559-stand-up-zipper-bags-7-inch-and-14-inch-2-pack")</f>
        <v>https://edmondsonsupply.com/collections/storage-organization/products/klein-tools-55559-stand-up-zipper-bags-7-inch-and-14-inch-2-pack</v>
      </c>
      <c r="B104" s="3" t="str">
        <f>HYPERLINK("https://edmondsonsupply.com/products/klein-tools-55559-stand-up-zipper-bags-7-inch-and-14-inch-2-pack", "https://edmondsonsupply.com/products/klein-tools-55559-stand-up-zipper-bags-7-inch-and-14-inch-2-pack")</f>
        <v>https://edmondsonsupply.com/products/klein-tools-55559-stand-up-zipper-bags-7-inch-and-14-inch-2-pack</v>
      </c>
      <c r="C104" t="s">
        <v>273</v>
      </c>
      <c r="D104" t="s">
        <v>335</v>
      </c>
      <c r="E104" s="3" t="str">
        <f>HYPERLINK("https://www.amazon.com/Klein-Tools-Stand-Up-14-Inch-Utility/dp/B0BNL5LYJJ/ref=sr_1_2?keywords=Klein+Tools+55559+Stand-up+Zipper+Bags%2C+7-Inch+and+14-Inch%2C+2-Pack&amp;qid=1695173170&amp;sr=8-2", "https://www.amazon.com/Klein-Tools-Stand-Up-14-Inch-Utility/dp/B0BNL5LYJJ/ref=sr_1_2?keywords=Klein+Tools+55559+Stand-up+Zipper+Bags%2C+7-Inch+and+14-Inch%2C+2-Pack&amp;qid=1695173170&amp;sr=8-2")</f>
        <v>https://www.amazon.com/Klein-Tools-Stand-Up-14-Inch-Utility/dp/B0BNL5LYJJ/ref=sr_1_2?keywords=Klein+Tools+55559+Stand-up+Zipper+Bags%2C+7-Inch+and+14-Inch%2C+2-Pack&amp;qid=1695173170&amp;sr=8-2</v>
      </c>
      <c r="F104" t="s">
        <v>336</v>
      </c>
      <c r="G104" t="e">
        <f ca="1">_xludf.IMAGE("https://edmondsonsupply.com/cdn/shop/products/55559.jpg?v=1666900727")</f>
        <v>#NAME?</v>
      </c>
      <c r="H104" t="e">
        <f ca="1">_xludf.IMAGE("https://m.media-amazon.com/images/I/51YFgCm7c5L._AC_UL320_.jpg")</f>
        <v>#NAME?</v>
      </c>
      <c r="I104" t="s">
        <v>276</v>
      </c>
      <c r="J104">
        <v>29.98</v>
      </c>
      <c r="K104" s="4">
        <v>1</v>
      </c>
      <c r="L104">
        <v>4.5</v>
      </c>
      <c r="M104">
        <v>2</v>
      </c>
      <c r="O104" t="s">
        <v>25</v>
      </c>
      <c r="P104" t="s">
        <v>277</v>
      </c>
      <c r="Q104" t="s">
        <v>278</v>
      </c>
    </row>
    <row r="105" spans="1:17" ht="15.5" x14ac:dyDescent="0.35">
      <c r="A105" s="3" t="str">
        <f>HYPERLINK("https://edmondsonsupply.com/collections/storage-organization/products/fluke-c11xt-protective-eva-hard-tool-case", "https://edmondsonsupply.com/collections/storage-organization/products/fluke-c11xt-protective-eva-hard-tool-case")</f>
        <v>https://edmondsonsupply.com/collections/storage-organization/products/fluke-c11xt-protective-eva-hard-tool-case</v>
      </c>
      <c r="B105" s="3" t="str">
        <f>HYPERLINK("https://edmondsonsupply.com/products/fluke-c11xt-protective-eva-hard-tool-case", "https://edmondsonsupply.com/products/fluke-c11xt-protective-eva-hard-tool-case")</f>
        <v>https://edmondsonsupply.com/products/fluke-c11xt-protective-eva-hard-tool-case</v>
      </c>
      <c r="C105" t="s">
        <v>343</v>
      </c>
      <c r="D105" t="s">
        <v>344</v>
      </c>
      <c r="E105" s="3" t="str">
        <f>HYPERLINK("https://www.amazon.com/Fluke-C37XT-Protective-Carrying-378FC/dp/B09TG79CRT/ref=sr_1_2?keywords=Fluke+C11XT+Protective+EVA+Hard+Tool+Case&amp;qid=1695173156&amp;sr=8-2", "https://www.amazon.com/Fluke-C37XT-Protective-Carrying-378FC/dp/B09TG79CRT/ref=sr_1_2?keywords=Fluke+C11XT+Protective+EVA+Hard+Tool+Case&amp;qid=1695173156&amp;sr=8-2")</f>
        <v>https://www.amazon.com/Fluke-C37XT-Protective-Carrying-378FC/dp/B09TG79CRT/ref=sr_1_2?keywords=Fluke+C11XT+Protective+EVA+Hard+Tool+Case&amp;qid=1695173156&amp;sr=8-2</v>
      </c>
      <c r="F105" t="s">
        <v>345</v>
      </c>
      <c r="G105" t="e">
        <f ca="1">_xludf.IMAGE("https://edmondsonsupply.com/cdn/shop/products/F-c11xt_04a_w.jpg?v=1663190833")</f>
        <v>#NAME?</v>
      </c>
      <c r="H105" t="e">
        <f ca="1">_xludf.IMAGE("https://m.media-amazon.com/images/I/71d44jrMhPL._AC_UL320_.jpg")</f>
        <v>#NAME?</v>
      </c>
      <c r="I105" t="s">
        <v>261</v>
      </c>
      <c r="J105">
        <v>71.87</v>
      </c>
      <c r="K105" s="4">
        <v>0.99690000000000001</v>
      </c>
      <c r="L105">
        <v>4.4000000000000004</v>
      </c>
      <c r="M105">
        <v>67</v>
      </c>
      <c r="O105" t="s">
        <v>171</v>
      </c>
      <c r="P105" t="s">
        <v>198</v>
      </c>
      <c r="Q105" t="s">
        <v>346</v>
      </c>
    </row>
    <row r="106" spans="1:17" ht="15.5" x14ac:dyDescent="0.35">
      <c r="A106" s="3" t="str">
        <f>HYPERLINK("https://edmondsonsupply.com/collections/storage-organization/products/fieldpiece-anc4-medium-single-meter-case", "https://edmondsonsupply.com/collections/storage-organization/products/fieldpiece-anc4-medium-single-meter-case")</f>
        <v>https://edmondsonsupply.com/collections/storage-organization/products/fieldpiece-anc4-medium-single-meter-case</v>
      </c>
      <c r="B106" s="3" t="str">
        <f>HYPERLINK("https://edmondsonsupply.com/products/fieldpiece-anc4-medium-single-meter-case", "https://edmondsonsupply.com/products/fieldpiece-anc4-medium-single-meter-case")</f>
        <v>https://edmondsonsupply.com/products/fieldpiece-anc4-medium-single-meter-case</v>
      </c>
      <c r="C106" t="s">
        <v>347</v>
      </c>
      <c r="D106" t="s">
        <v>348</v>
      </c>
      <c r="E106" s="3" t="str">
        <f>HYPERLINK("https://www.amazon.com/Fieldpiece-ANC7-Large-Single-Meter/dp/B0195UTHTK/ref=sr_1_2?keywords=Fieldpiece+ANC4+-+Medium+Single+Meter+Case&amp;qid=1695173161&amp;sr=8-2", "https://www.amazon.com/Fieldpiece-ANC7-Large-Single-Meter/dp/B0195UTHTK/ref=sr_1_2?keywords=Fieldpiece+ANC4+-+Medium+Single+Meter+Case&amp;qid=1695173161&amp;sr=8-2")</f>
        <v>https://www.amazon.com/Fieldpiece-ANC7-Large-Single-Meter/dp/B0195UTHTK/ref=sr_1_2?keywords=Fieldpiece+ANC4+-+Medium+Single+Meter+Case&amp;qid=1695173161&amp;sr=8-2</v>
      </c>
      <c r="F106" t="s">
        <v>349</v>
      </c>
      <c r="G106" t="e">
        <f ca="1">_xludf.IMAGE("https://edmondsonsupply.com/cdn/shop/products/ANC4-SRC-product-300dpi.jpg?v=1633030970")</f>
        <v>#NAME?</v>
      </c>
      <c r="H106" t="e">
        <f ca="1">_xludf.IMAGE("https://m.media-amazon.com/images/I/71jB9zXLBtL._AC_UL320_.jpg")</f>
        <v>#NAME?</v>
      </c>
      <c r="I106" t="s">
        <v>350</v>
      </c>
      <c r="J106">
        <v>19.75</v>
      </c>
      <c r="K106" s="4">
        <v>0.93630000000000002</v>
      </c>
      <c r="L106">
        <v>4.7</v>
      </c>
      <c r="M106">
        <v>223</v>
      </c>
      <c r="O106" t="s">
        <v>25</v>
      </c>
      <c r="P106" t="s">
        <v>351</v>
      </c>
      <c r="Q106" t="s">
        <v>352</v>
      </c>
    </row>
    <row r="107" spans="1:17" ht="15.5" x14ac:dyDescent="0.35">
      <c r="A107" s="3" t="str">
        <f>HYPERLINK("https://edmondsonsupply.com/collections/storage-organization/products/milwaukee-48-22-8422-packout%E2%84%A2-compact-tool-box", "https://edmondsonsupply.com/collections/storage-organization/products/milwaukee-48-22-8422-packout%E2%84%A2-compact-tool-box")</f>
        <v>https://edmondsonsupply.com/collections/storage-organization/products/milwaukee-48-22-8422-packout%E2%84%A2-compact-tool-box</v>
      </c>
      <c r="B107" s="3" t="str">
        <f>HYPERLINK("https://edmondsonsupply.com/products/milwaukee-48-22-8422-packout%e2%84%a2-compact-tool-box", "https://edmondsonsupply.com/products/milwaukee-48-22-8422-packout%e2%84%a2-compact-tool-box")</f>
        <v>https://edmondsonsupply.com/products/milwaukee-48-22-8422-packout%e2%84%a2-compact-tool-box</v>
      </c>
      <c r="C107" t="s">
        <v>353</v>
      </c>
      <c r="D107" t="s">
        <v>354</v>
      </c>
      <c r="E107" s="3" t="str">
        <f>HYPERLINK("https://www.amazon.com/MFWNYVN-Milwaukee-48-22-8422-PACKOUT-Compact/dp/B0BZMF2J37/ref=sr_1_2?keywords=Milwaukee+48-22-8422+PACKOUT%E2%84%A2+Compact+Tool+Box&amp;qid=1695173172&amp;sr=8-2", "https://www.amazon.com/MFWNYVN-Milwaukee-48-22-8422-PACKOUT-Compact/dp/B0BZMF2J37/ref=sr_1_2?keywords=Milwaukee+48-22-8422+PACKOUT%E2%84%A2+Compact+Tool+Box&amp;qid=1695173172&amp;sr=8-2")</f>
        <v>https://www.amazon.com/MFWNYVN-Milwaukee-48-22-8422-PACKOUT-Compact/dp/B0BZMF2J37/ref=sr_1_2?keywords=Milwaukee+48-22-8422+PACKOUT%E2%84%A2+Compact+Tool+Box&amp;qid=1695173172&amp;sr=8-2</v>
      </c>
      <c r="F107" t="s">
        <v>355</v>
      </c>
      <c r="G107" t="e">
        <f ca="1">_xludf.IMAGE("https://edmondsonsupply.com/cdn/shop/files/48-22-8422_1.png?v=1694613197")</f>
        <v>#NAME?</v>
      </c>
      <c r="H107" t="e">
        <f ca="1">_xludf.IMAGE("https://m.media-amazon.com/images/I/514-hY-ldbL._AC_UL320_.jpg")</f>
        <v>#NAME?</v>
      </c>
      <c r="I107" t="s">
        <v>356</v>
      </c>
      <c r="J107">
        <v>132</v>
      </c>
      <c r="K107" s="4">
        <v>0.88649999999999995</v>
      </c>
      <c r="L107">
        <v>5</v>
      </c>
      <c r="M107">
        <v>1</v>
      </c>
      <c r="O107" t="s">
        <v>25</v>
      </c>
      <c r="P107" t="s">
        <v>357</v>
      </c>
      <c r="Q107" t="s">
        <v>358</v>
      </c>
    </row>
    <row r="108" spans="1:17" ht="15.5" x14ac:dyDescent="0.35">
      <c r="A108" s="3" t="str">
        <f>HYPERLINK("https://edmondsonsupply.com/collections/storage-organization/products/klein-tools-5183-tradesman-pro%E2%84%A2-drill-pouch", "https://edmondsonsupply.com/collections/storage-organization/products/klein-tools-5183-tradesman-pro%E2%84%A2-drill-pouch")</f>
        <v>https://edmondsonsupply.com/collections/storage-organization/products/klein-tools-5183-tradesman-pro%E2%84%A2-drill-pouch</v>
      </c>
      <c r="B108" s="3" t="str">
        <f>HYPERLINK("https://edmondsonsupply.com/products/klein-tools-5183-tradesman-pro%e2%84%a2-drill-pouch", "https://edmondsonsupply.com/products/klein-tools-5183-tradesman-pro%e2%84%a2-drill-pouch")</f>
        <v>https://edmondsonsupply.com/products/klein-tools-5183-tradesman-pro%e2%84%a2-drill-pouch</v>
      </c>
      <c r="C108" t="s">
        <v>359</v>
      </c>
      <c r="D108" t="s">
        <v>360</v>
      </c>
      <c r="E108" s="3" t="str">
        <f>HYPERLINK("https://www.amazon.com/Klein-Tools-Tradesman-Ballistic-Holster/dp/B0BHVQDH94/ref=sr_1_2?keywords=Klein+Tools+5183+Tool+Bag%2C+Tradesman+Pro%E2%84%A2+Drill+Pouch&amp;qid=1695173160&amp;sr=8-2", "https://www.amazon.com/Klein-Tools-Tradesman-Ballistic-Holster/dp/B0BHVQDH94/ref=sr_1_2?keywords=Klein+Tools+5183+Tool+Bag%2C+Tradesman+Pro%E2%84%A2+Drill+Pouch&amp;qid=1695173160&amp;sr=8-2")</f>
        <v>https://www.amazon.com/Klein-Tools-Tradesman-Ballistic-Holster/dp/B0BHVQDH94/ref=sr_1_2?keywords=Klein+Tools+5183+Tool+Bag%2C+Tradesman+Pro%E2%84%A2+Drill+Pouch&amp;qid=1695173160&amp;sr=8-2</v>
      </c>
      <c r="F108" t="s">
        <v>361</v>
      </c>
      <c r="G108" t="e">
        <f ca="1">_xludf.IMAGE("https://edmondsonsupply.com/cdn/shop/products/5183.jpg?v=1587145505")</f>
        <v>#NAME?</v>
      </c>
      <c r="H108" t="e">
        <f ca="1">_xludf.IMAGE("https://m.media-amazon.com/images/I/41StAVR6AeL._AC_UL320_.jpg")</f>
        <v>#NAME?</v>
      </c>
      <c r="I108" t="s">
        <v>362</v>
      </c>
      <c r="J108">
        <v>47.98</v>
      </c>
      <c r="K108" s="4">
        <v>0.84609999999999996</v>
      </c>
      <c r="L108">
        <v>3</v>
      </c>
      <c r="M108">
        <v>1</v>
      </c>
      <c r="O108" t="s">
        <v>25</v>
      </c>
      <c r="P108" t="s">
        <v>363</v>
      </c>
      <c r="Q108" t="s">
        <v>364</v>
      </c>
    </row>
    <row r="109" spans="1:17" ht="15.5" x14ac:dyDescent="0.35">
      <c r="A109" s="3" t="str">
        <f>HYPERLINK("https://edmondsonsupply.com/collections/storage-organization/products/clc-ecp135", "https://edmondsonsupply.com/collections/storage-organization/products/clc-ecp135")</f>
        <v>https://edmondsonsupply.com/collections/storage-organization/products/clc-ecp135</v>
      </c>
      <c r="B109" s="3" t="str">
        <f>HYPERLINK("https://edmondsonsupply.com/products/clc-ecp135", "https://edmondsonsupply.com/products/clc-ecp135")</f>
        <v>https://edmondsonsupply.com/products/clc-ecp135</v>
      </c>
      <c r="C109" t="s">
        <v>365</v>
      </c>
      <c r="D109" t="s">
        <v>366</v>
      </c>
      <c r="E109" s="3" t="str">
        <f>HYPERLINK("https://www.amazon.com/Custom-Leathercraft-ECPL38-Charging-36-Pocket/dp/B01N4WKW6C/ref=sr_1_1?keywords=CLC+ECP135+E-Charge+USB+Charging+Tool+Backpack&amp;qid=1695173182&amp;sr=8-1", "https://www.amazon.com/Custom-Leathercraft-ECPL38-Charging-36-Pocket/dp/B01N4WKW6C/ref=sr_1_1?keywords=CLC+ECP135+E-Charge+USB+Charging+Tool+Backpack&amp;qid=1695173182&amp;sr=8-1")</f>
        <v>https://www.amazon.com/Custom-Leathercraft-ECPL38-Charging-36-Pocket/dp/B01N4WKW6C/ref=sr_1_1?keywords=CLC+ECP135+E-Charge+USB+Charging+Tool+Backpack&amp;qid=1695173182&amp;sr=8-1</v>
      </c>
      <c r="F109" t="s">
        <v>367</v>
      </c>
      <c r="G109" t="e">
        <f ca="1">_xludf.IMAGE("https://edmondsonsupply.com/cdn/shop/products/ECP135_lg.jpg?v=1609787871")</f>
        <v>#NAME?</v>
      </c>
      <c r="H109" t="e">
        <f ca="1">_xludf.IMAGE("https://m.media-amazon.com/images/I/71fWlkgW1-L._AC_UL320_.jpg")</f>
        <v>#NAME?</v>
      </c>
      <c r="I109" t="s">
        <v>368</v>
      </c>
      <c r="J109">
        <v>164.43</v>
      </c>
      <c r="K109" s="4">
        <v>0.82799999999999996</v>
      </c>
      <c r="L109">
        <v>4.4000000000000004</v>
      </c>
      <c r="M109">
        <v>299</v>
      </c>
      <c r="O109" t="s">
        <v>25</v>
      </c>
      <c r="P109" t="s">
        <v>369</v>
      </c>
      <c r="Q109" t="s">
        <v>370</v>
      </c>
    </row>
    <row r="110" spans="1:17" ht="15.5" x14ac:dyDescent="0.35">
      <c r="A110" s="3" t="str">
        <f>HYPERLINK("https://edmondsonsupply.com/collections/storage-organization/products/veto-pro-pac-tp3-b-tool-bag", "https://edmondsonsupply.com/collections/storage-organization/products/veto-pro-pac-tp3-b-tool-bag")</f>
        <v>https://edmondsonsupply.com/collections/storage-organization/products/veto-pro-pac-tp3-b-tool-bag</v>
      </c>
      <c r="B110" s="3" t="str">
        <f>HYPERLINK("https://edmondsonsupply.com/products/veto-pro-pac-tp3-b-tool-bag", "https://edmondsonsupply.com/products/veto-pro-pac-tp3-b-tool-bag")</f>
        <v>https://edmondsonsupply.com/products/veto-pro-pac-tp3-b-tool-bag</v>
      </c>
      <c r="C110" t="s">
        <v>317</v>
      </c>
      <c r="D110" t="s">
        <v>371</v>
      </c>
      <c r="E110" s="3" t="str">
        <f>HYPERLINK("https://www.amazon.com/Veto-TP-LC-Compact-Zippered-Service/dp/B09TPZKBDP/ref=sr_1_4?keywords=Veto+Pro+Pac+TP3B+Tool+Pouch&amp;qid=1695173175&amp;sr=8-4", "https://www.amazon.com/Veto-TP-LC-Compact-Zippered-Service/dp/B09TPZKBDP/ref=sr_1_4?keywords=Veto+Pro+Pac+TP3B+Tool+Pouch&amp;qid=1695173175&amp;sr=8-4")</f>
        <v>https://www.amazon.com/Veto-TP-LC-Compact-Zippered-Service/dp/B09TPZKBDP/ref=sr_1_4?keywords=Veto+Pro+Pac+TP3B+Tool+Pouch&amp;qid=1695173175&amp;sr=8-4</v>
      </c>
      <c r="F110" t="s">
        <v>372</v>
      </c>
      <c r="G110" t="e">
        <f ca="1">_xludf.IMAGE("https://edmondsonsupply.com/cdn/shop/products/tp3b.png?v=1633031041")</f>
        <v>#NAME?</v>
      </c>
      <c r="H110" t="e">
        <f ca="1">_xludf.IMAGE("https://m.media-amazon.com/images/I/51b1SiebzcL._AC_UL320_.jpg")</f>
        <v>#NAME?</v>
      </c>
      <c r="I110" t="s">
        <v>320</v>
      </c>
      <c r="J110">
        <v>134.94999999999999</v>
      </c>
      <c r="K110" s="4">
        <v>0.79959999999999998</v>
      </c>
      <c r="L110">
        <v>4.8</v>
      </c>
      <c r="M110">
        <v>281</v>
      </c>
      <c r="O110" t="s">
        <v>25</v>
      </c>
      <c r="P110" t="s">
        <v>138</v>
      </c>
      <c r="Q110" t="s">
        <v>321</v>
      </c>
    </row>
    <row r="111" spans="1:17" ht="15.5" x14ac:dyDescent="0.35">
      <c r="A111" s="3" t="str">
        <f>HYPERLINK("https://edmondsonsupply.com/collections/storage-organization/products/fieldpiece-anc4-medium-single-meter-case", "https://edmondsonsupply.com/collections/storage-organization/products/fieldpiece-anc4-medium-single-meter-case")</f>
        <v>https://edmondsonsupply.com/collections/storage-organization/products/fieldpiece-anc4-medium-single-meter-case</v>
      </c>
      <c r="B111" s="3" t="str">
        <f>HYPERLINK("https://edmondsonsupply.com/products/fieldpiece-anc4-medium-single-meter-case", "https://edmondsonsupply.com/products/fieldpiece-anc4-medium-single-meter-case")</f>
        <v>https://edmondsonsupply.com/products/fieldpiece-anc4-medium-single-meter-case</v>
      </c>
      <c r="C111" t="s">
        <v>347</v>
      </c>
      <c r="D111" t="s">
        <v>373</v>
      </c>
      <c r="E111" s="3" t="str">
        <f>HYPERLINK("https://www.amazon.com/Fieldpiece-ANC4-Medium-Single-Meter/dp/B000TJX68U/ref=sr_1_1?keywords=Fieldpiece+ANC4+-+Medium+Single+Meter+Case&amp;qid=1695173161&amp;sr=8-1", "https://www.amazon.com/Fieldpiece-ANC4-Medium-Single-Meter/dp/B000TJX68U/ref=sr_1_1?keywords=Fieldpiece+ANC4+-+Medium+Single+Meter+Case&amp;qid=1695173161&amp;sr=8-1")</f>
        <v>https://www.amazon.com/Fieldpiece-ANC4-Medium-Single-Meter/dp/B000TJX68U/ref=sr_1_1?keywords=Fieldpiece+ANC4+-+Medium+Single+Meter+Case&amp;qid=1695173161&amp;sr=8-1</v>
      </c>
      <c r="F111" t="s">
        <v>374</v>
      </c>
      <c r="G111" t="e">
        <f ca="1">_xludf.IMAGE("https://edmondsonsupply.com/cdn/shop/products/ANC4-SRC-product-300dpi.jpg?v=1633030970")</f>
        <v>#NAME?</v>
      </c>
      <c r="H111" t="e">
        <f ca="1">_xludf.IMAGE("https://m.media-amazon.com/images/I/41zQTaZ+QEL._AC_UL320_.jpg")</f>
        <v>#NAME?</v>
      </c>
      <c r="I111" t="s">
        <v>350</v>
      </c>
      <c r="J111">
        <v>18.29</v>
      </c>
      <c r="K111" s="4">
        <v>0.79310000000000003</v>
      </c>
      <c r="L111">
        <v>4.4000000000000004</v>
      </c>
      <c r="M111">
        <v>45</v>
      </c>
      <c r="O111" t="s">
        <v>25</v>
      </c>
      <c r="P111" t="s">
        <v>351</v>
      </c>
      <c r="Q111" t="s">
        <v>352</v>
      </c>
    </row>
    <row r="112" spans="1:17" ht="15.5" x14ac:dyDescent="0.35">
      <c r="A112" s="3" t="str">
        <f>HYPERLINK("https://edmondsonsupply.com/collections/storage-organization/products/klein-tools-5539blu-canvas-zipper-bag-consumables-blue", "https://edmondsonsupply.com/collections/storage-organization/products/klein-tools-5539blu-canvas-zipper-bag-consumables-blue")</f>
        <v>https://edmondsonsupply.com/collections/storage-organization/products/klein-tools-5539blu-canvas-zipper-bag-consumables-blue</v>
      </c>
      <c r="B112" s="3" t="str">
        <f>HYPERLINK("https://edmondsonsupply.com/products/klein-tools-5539blu-canvas-zipper-bag-consumables-blue", "https://edmondsonsupply.com/products/klein-tools-5539blu-canvas-zipper-bag-consumables-blue")</f>
        <v>https://edmondsonsupply.com/products/klein-tools-5539blu-canvas-zipper-bag-consumables-blue</v>
      </c>
      <c r="C112" t="s">
        <v>291</v>
      </c>
      <c r="D112" t="s">
        <v>375</v>
      </c>
      <c r="E112" s="3" t="str">
        <f>HYPERLINK("https://www.amazon.com/Klein-Tools-Stand-Up-4-25-Inch-Natural/dp/B0BR25QG1Q/ref=sr_1_3?keywords=Klein+Tools+5539BLU+Zipper+Bag%2C+Canvas+Consumables+Tool+Pouch%2C+Blue&amp;qid=1695173180&amp;sr=8-3", "https://www.amazon.com/Klein-Tools-Stand-Up-4-25-Inch-Natural/dp/B0BR25QG1Q/ref=sr_1_3?keywords=Klein+Tools+5539BLU+Zipper+Bag%2C+Canvas+Consumables+Tool+Pouch%2C+Blue&amp;qid=1695173180&amp;sr=8-3")</f>
        <v>https://www.amazon.com/Klein-Tools-Stand-Up-4-25-Inch-Natural/dp/B0BR25QG1Q/ref=sr_1_3?keywords=Klein+Tools+5539BLU+Zipper+Bag%2C+Canvas+Consumables+Tool+Pouch%2C+Blue&amp;qid=1695173180&amp;sr=8-3</v>
      </c>
      <c r="F112" t="s">
        <v>376</v>
      </c>
      <c r="G112" t="e">
        <f ca="1">_xludf.IMAGE("https://edmondsonsupply.com/cdn/shop/products/5539blu.jpg?v=1633030461")</f>
        <v>#NAME?</v>
      </c>
      <c r="H112" t="e">
        <f ca="1">_xludf.IMAGE("https://m.media-amazon.com/images/I/51j3cDVxrVL._AC_UL320_.jpg")</f>
        <v>#NAME?</v>
      </c>
      <c r="I112" t="s">
        <v>288</v>
      </c>
      <c r="J112">
        <v>24.99</v>
      </c>
      <c r="K112" s="4">
        <v>0.7863</v>
      </c>
      <c r="L112">
        <v>5</v>
      </c>
      <c r="M112">
        <v>2</v>
      </c>
      <c r="O112" t="s">
        <v>25</v>
      </c>
      <c r="P112" t="s">
        <v>289</v>
      </c>
      <c r="Q112" t="s">
        <v>292</v>
      </c>
    </row>
    <row r="113" spans="1:17" ht="15.5" x14ac:dyDescent="0.35">
      <c r="A113" s="3" t="str">
        <f>HYPERLINK("https://edmondsonsupply.com/collections/storage-organization/products/milwaukee-48-22-8430-packout%E2%84%A2-organizer", "https://edmondsonsupply.com/collections/storage-organization/products/milwaukee-48-22-8430-packout%E2%84%A2-organizer")</f>
        <v>https://edmondsonsupply.com/collections/storage-organization/products/milwaukee-48-22-8430-packout%E2%84%A2-organizer</v>
      </c>
      <c r="B113" s="3" t="str">
        <f>HYPERLINK("https://edmondsonsupply.com/products/milwaukee-48-22-8430-packout%e2%84%a2-organizer", "https://edmondsonsupply.com/products/milwaukee-48-22-8430-packout%e2%84%a2-organizer")</f>
        <v>https://edmondsonsupply.com/products/milwaukee-48-22-8430-packout%e2%84%a2-organizer</v>
      </c>
      <c r="C113" t="s">
        <v>377</v>
      </c>
      <c r="D113" t="s">
        <v>378</v>
      </c>
      <c r="E113" s="3" t="str">
        <f>HYPERLINK("https://www.amazon.com/48-22-8430-Milwaukee-Tool-Packout-Organizer/dp/B0C16HMS14/ref=sr_1_3?keywords=Milwaukee+48-22-8430+PACKOUT%E2%84%A2+Organizer&amp;qid=1695173162&amp;sr=8-3", "https://www.amazon.com/48-22-8430-Milwaukee-Tool-Packout-Organizer/dp/B0C16HMS14/ref=sr_1_3?keywords=Milwaukee+48-22-8430+PACKOUT%E2%84%A2+Organizer&amp;qid=1695173162&amp;sr=8-3")</f>
        <v>https://www.amazon.com/48-22-8430-Milwaukee-Tool-Packout-Organizer/dp/B0C16HMS14/ref=sr_1_3?keywords=Milwaukee+48-22-8430+PACKOUT%E2%84%A2+Organizer&amp;qid=1695173162&amp;sr=8-3</v>
      </c>
      <c r="F113" t="s">
        <v>379</v>
      </c>
      <c r="G113" t="e">
        <f ca="1">_xludf.IMAGE("https://edmondsonsupply.com/cdn/shop/files/48-22-8430_1.png?v=1686667521")</f>
        <v>#NAME?</v>
      </c>
      <c r="H113" t="e">
        <f ca="1">_xludf.IMAGE("https://m.media-amazon.com/images/I/31E7ZbWtMqL._AC_UL320_.jpg")</f>
        <v>#NAME?</v>
      </c>
      <c r="I113" t="s">
        <v>380</v>
      </c>
      <c r="J113">
        <v>87.99</v>
      </c>
      <c r="K113" s="4">
        <v>0.76090000000000002</v>
      </c>
      <c r="L113">
        <v>3.7</v>
      </c>
      <c r="M113">
        <v>4</v>
      </c>
      <c r="O113" t="s">
        <v>171</v>
      </c>
      <c r="P113" t="s">
        <v>381</v>
      </c>
      <c r="Q113" t="s">
        <v>382</v>
      </c>
    </row>
    <row r="114" spans="1:17" ht="15.5" x14ac:dyDescent="0.35">
      <c r="A114" s="3" t="str">
        <f>HYPERLINK("https://edmondsonsupply.com/collections/storage-organization/products/fieldpiece-anc11-sman-soft-case-black", "https://edmondsonsupply.com/collections/storage-organization/products/fieldpiece-anc11-sman-soft-case-black")</f>
        <v>https://edmondsonsupply.com/collections/storage-organization/products/fieldpiece-anc11-sman-soft-case-black</v>
      </c>
      <c r="B114" s="3" t="str">
        <f>HYPERLINK("https://edmondsonsupply.com/products/fieldpiece-anc11-sman-soft-case-black", "https://edmondsonsupply.com/products/fieldpiece-anc11-sman-soft-case-black")</f>
        <v>https://edmondsonsupply.com/products/fieldpiece-anc11-sman-soft-case-black</v>
      </c>
      <c r="C114" t="s">
        <v>383</v>
      </c>
      <c r="D114" t="s">
        <v>384</v>
      </c>
      <c r="E114" s="3" t="str">
        <f>HYPERLINK("https://www.amazon.com/Fieldpiece-ANC11-Padded-Drawstring-Case/dp/B08CMWRQ8V/ref=sr_1_1?keywords=Fieldpiece+ANC11+Manifold+Case&amp;qid=1695173157&amp;sr=8-1", "https://www.amazon.com/Fieldpiece-ANC11-Padded-Drawstring-Case/dp/B08CMWRQ8V/ref=sr_1_1?keywords=Fieldpiece+ANC11+Manifold+Case&amp;qid=1695173157&amp;sr=8-1")</f>
        <v>https://www.amazon.com/Fieldpiece-ANC11-Padded-Drawstring-Case/dp/B08CMWRQ8V/ref=sr_1_1?keywords=Fieldpiece+ANC11+Manifold+Case&amp;qid=1695173157&amp;sr=8-1</v>
      </c>
      <c r="F114" t="s">
        <v>385</v>
      </c>
      <c r="G114" t="e">
        <f ca="1">_xludf.IMAGE("https://edmondsonsupply.com/cdn/shop/products/ANC11-SRC-Product-300dpi.jpg?v=1633030204")</f>
        <v>#NAME?</v>
      </c>
      <c r="H114" t="e">
        <f ca="1">_xludf.IMAGE("https://m.media-amazon.com/images/I/41cwlO2JZFL._AC_UL320_.jpg")</f>
        <v>#NAME?</v>
      </c>
      <c r="I114" t="s">
        <v>386</v>
      </c>
      <c r="J114">
        <v>54.99</v>
      </c>
      <c r="K114" s="4">
        <v>0.74850000000000005</v>
      </c>
      <c r="L114">
        <v>4.7</v>
      </c>
      <c r="M114">
        <v>48</v>
      </c>
      <c r="O114" t="s">
        <v>25</v>
      </c>
      <c r="P114" t="s">
        <v>387</v>
      </c>
      <c r="Q114" t="s">
        <v>388</v>
      </c>
    </row>
    <row r="115" spans="1:17" ht="15.5" x14ac:dyDescent="0.35">
      <c r="A115" s="3" t="str">
        <f>HYPERLINK("https://edmondsonsupply.com/collections/storage-organization/products/clc-1528-11", "https://edmondsonsupply.com/collections/storage-organization/products/clc-1528-11")</f>
        <v>https://edmondsonsupply.com/collections/storage-organization/products/clc-1528-11</v>
      </c>
      <c r="B115" s="3" t="str">
        <f>HYPERLINK("https://edmondsonsupply.com/products/clc-1528-11", "https://edmondsonsupply.com/products/clc-1528-11")</f>
        <v>https://edmondsonsupply.com/products/clc-1528-11</v>
      </c>
      <c r="C115" t="s">
        <v>389</v>
      </c>
      <c r="D115" t="s">
        <v>390</v>
      </c>
      <c r="E115" s="3" t="str">
        <f>HYPERLINK("https://www.amazon.com/Electrical-Maintenance-Carrier-Custom-LeatherCraft/dp/B0BFXQS1YT/ref=sr_1_3?keywords=CLC+1528+11%22+Electrical+%26+Maintenance+Tool+Carrier&amp;qid=1695173195&amp;sr=8-3", "https://www.amazon.com/Electrical-Maintenance-Carrier-Custom-LeatherCraft/dp/B0BFXQS1YT/ref=sr_1_3?keywords=CLC+1528+11%22+Electrical+%26+Maintenance+Tool+Carrier&amp;qid=1695173195&amp;sr=8-3")</f>
        <v>https://www.amazon.com/Electrical-Maintenance-Carrier-Custom-LeatherCraft/dp/B0BFXQS1YT/ref=sr_1_3?keywords=CLC+1528+11%22+Electrical+%26+Maintenance+Tool+Carrier&amp;qid=1695173195&amp;sr=8-3</v>
      </c>
      <c r="F115" t="s">
        <v>391</v>
      </c>
      <c r="G115" t="e">
        <f ca="1">_xludf.IMAGE("https://edmondsonsupply.com/cdn/shop/products/clc-1528__1_321x_3x.progressive_bf390c4e-ab2d-4119-a706-a1ca10a9b643.jpg?v=1609778372")</f>
        <v>#NAME?</v>
      </c>
      <c r="H115" t="e">
        <f ca="1">_xludf.IMAGE("https://m.media-amazon.com/images/I/51Ev+6BezpL._AC_UL320_.jpg")</f>
        <v>#NAME?</v>
      </c>
      <c r="I115" t="s">
        <v>392</v>
      </c>
      <c r="J115">
        <v>121.75</v>
      </c>
      <c r="K115" s="4">
        <v>0.74050000000000005</v>
      </c>
      <c r="L115">
        <v>4.7</v>
      </c>
      <c r="M115">
        <v>1781</v>
      </c>
      <c r="O115" t="s">
        <v>25</v>
      </c>
      <c r="P115" t="s">
        <v>393</v>
      </c>
      <c r="Q115" t="s">
        <v>394</v>
      </c>
    </row>
    <row r="116" spans="1:17" ht="15.5" x14ac:dyDescent="0.35">
      <c r="A116" s="3" t="str">
        <f>HYPERLINK("https://edmondsonsupply.com/collections/storage-organization/products/klein-tools-5183-tradesman-pro%E2%84%A2-drill-pouch", "https://edmondsonsupply.com/collections/storage-organization/products/klein-tools-5183-tradesman-pro%E2%84%A2-drill-pouch")</f>
        <v>https://edmondsonsupply.com/collections/storage-organization/products/klein-tools-5183-tradesman-pro%E2%84%A2-drill-pouch</v>
      </c>
      <c r="B116" s="3" t="str">
        <f>HYPERLINK("https://edmondsonsupply.com/products/klein-tools-5183-tradesman-pro%e2%84%a2-drill-pouch", "https://edmondsonsupply.com/products/klein-tools-5183-tradesman-pro%e2%84%a2-drill-pouch")</f>
        <v>https://edmondsonsupply.com/products/klein-tools-5183-tradesman-pro%e2%84%a2-drill-pouch</v>
      </c>
      <c r="C116" t="s">
        <v>359</v>
      </c>
      <c r="D116" t="s">
        <v>395</v>
      </c>
      <c r="E116" s="3" t="str">
        <f>HYPERLINK("https://www.amazon.com/Klein-Tools-Tradesman-Maintenance-Ballistic/dp/B0BGJ64ZZV/ref=sr_1_3?keywords=Klein+Tools+5183+Tool+Bag%2C+Tradesman+Pro%E2%84%A2+Drill+Pouch&amp;qid=1695173160&amp;sr=8-3", "https://www.amazon.com/Klein-Tools-Tradesman-Maintenance-Ballistic/dp/B0BGJ64ZZV/ref=sr_1_3?keywords=Klein+Tools+5183+Tool+Bag%2C+Tradesman+Pro%E2%84%A2+Drill+Pouch&amp;qid=1695173160&amp;sr=8-3")</f>
        <v>https://www.amazon.com/Klein-Tools-Tradesman-Maintenance-Ballistic/dp/B0BGJ64ZZV/ref=sr_1_3?keywords=Klein+Tools+5183+Tool+Bag%2C+Tradesman+Pro%E2%84%A2+Drill+Pouch&amp;qid=1695173160&amp;sr=8-3</v>
      </c>
      <c r="F116" t="s">
        <v>396</v>
      </c>
      <c r="G116" t="e">
        <f ca="1">_xludf.IMAGE("https://edmondsonsupply.com/cdn/shop/products/5183.jpg?v=1587145505")</f>
        <v>#NAME?</v>
      </c>
      <c r="H116" t="e">
        <f ca="1">_xludf.IMAGE("https://m.media-amazon.com/images/I/51MhFcPcwgL._AC_UL320_.jpg")</f>
        <v>#NAME?</v>
      </c>
      <c r="I116" t="s">
        <v>362</v>
      </c>
      <c r="J116">
        <v>44.99</v>
      </c>
      <c r="K116" s="4">
        <v>0.73109999999999997</v>
      </c>
      <c r="L116">
        <v>4.5999999999999996</v>
      </c>
      <c r="M116">
        <v>3</v>
      </c>
      <c r="O116" t="s">
        <v>25</v>
      </c>
      <c r="P116" t="s">
        <v>363</v>
      </c>
      <c r="Q116" t="s">
        <v>364</v>
      </c>
    </row>
    <row r="117" spans="1:17" ht="15.5" x14ac:dyDescent="0.35">
      <c r="A117" s="3" t="str">
        <f>HYPERLINK("https://edmondsonsupply.com/collections/storage-organization/products/veto-pro-pac-wrencher-mc", "https://edmondsonsupply.com/collections/storage-organization/products/veto-pro-pac-wrencher-mc")</f>
        <v>https://edmondsonsupply.com/collections/storage-organization/products/veto-pro-pac-wrencher-mc</v>
      </c>
      <c r="B117" s="3" t="str">
        <f>HYPERLINK("https://edmondsonsupply.com/products/veto-pro-pac-wrencher-mc", "https://edmondsonsupply.com/products/veto-pro-pac-wrencher-mc")</f>
        <v>https://edmondsonsupply.com/products/veto-pro-pac-wrencher-mc</v>
      </c>
      <c r="C117" t="s">
        <v>397</v>
      </c>
      <c r="D117" t="s">
        <v>398</v>
      </c>
      <c r="E117" s="3" t="str">
        <f>HYPERLINK("https://www.amazon.com/Veto-Pro-Pac-Wrencher-LC-Open-Top/dp/B0BBPFQ447/ref=sr_1_4?keywords=Veto+Pro+Pac+Wrencher+MC&amp;qid=1695173176&amp;sr=8-4", "https://www.amazon.com/Veto-Pro-Pac-Wrencher-LC-Open-Top/dp/B0BBPFQ447/ref=sr_1_4?keywords=Veto+Pro+Pac+Wrencher+MC&amp;qid=1695173176&amp;sr=8-4")</f>
        <v>https://www.amazon.com/Veto-Pro-Pac-Wrencher-LC-Open-Top/dp/B0BBPFQ447/ref=sr_1_4?keywords=Veto+Pro+Pac+Wrencher+MC&amp;qid=1695173176&amp;sr=8-4</v>
      </c>
      <c r="F117" t="s">
        <v>399</v>
      </c>
      <c r="G117" t="e">
        <f ca="1">_xludf.IMAGE("https://edmondsonsupply.com/cdn/shop/products/0001_WRENCHER-MC_32.jpg?v=1675795195")</f>
        <v>#NAME?</v>
      </c>
      <c r="H117" t="e">
        <f ca="1">_xludf.IMAGE("https://m.media-amazon.com/images/I/61iZfeBF47L._AC_UL320_.jpg")</f>
        <v>#NAME?</v>
      </c>
      <c r="I117" t="s">
        <v>400</v>
      </c>
      <c r="J117">
        <v>339.95</v>
      </c>
      <c r="K117" s="4">
        <v>0.69979999999999998</v>
      </c>
      <c r="L117">
        <v>5</v>
      </c>
      <c r="M117">
        <v>1</v>
      </c>
      <c r="O117" t="s">
        <v>25</v>
      </c>
      <c r="P117" t="s">
        <v>138</v>
      </c>
      <c r="Q117" t="s">
        <v>401</v>
      </c>
    </row>
    <row r="118" spans="1:17" ht="15.5" x14ac:dyDescent="0.35">
      <c r="A118" s="3" t="str">
        <f>HYPERLINK("https://edmondsonsupply.com/collections/storage-organization/products/klein-tools-55559-stand-up-zipper-bags-7-inch-and-14-inch-2-pack", "https://edmondsonsupply.com/collections/storage-organization/products/klein-tools-55559-stand-up-zipper-bags-7-inch-and-14-inch-2-pack")</f>
        <v>https://edmondsonsupply.com/collections/storage-organization/products/klein-tools-55559-stand-up-zipper-bags-7-inch-and-14-inch-2-pack</v>
      </c>
      <c r="B118" s="3" t="str">
        <f>HYPERLINK("https://edmondsonsupply.com/products/klein-tools-55559-stand-up-zipper-bags-7-inch-and-14-inch-2-pack", "https://edmondsonsupply.com/products/klein-tools-55559-stand-up-zipper-bags-7-inch-and-14-inch-2-pack")</f>
        <v>https://edmondsonsupply.com/products/klein-tools-55559-stand-up-zipper-bags-7-inch-and-14-inch-2-pack</v>
      </c>
      <c r="C118" t="s">
        <v>273</v>
      </c>
      <c r="D118" t="s">
        <v>375</v>
      </c>
      <c r="E118" s="3" t="str">
        <f>HYPERLINK("https://www.amazon.com/Klein-Tools-Stand-Up-4-25-Inch-Natural/dp/B0BR25QG1Q/ref=sr_1_4?keywords=Klein+Tools+55559+Stand-up+Zipper+Bags%2C+7-Inch+and+14-Inch%2C+2-Pack&amp;qid=1695173170&amp;sr=8-4", "https://www.amazon.com/Klein-Tools-Stand-Up-4-25-Inch-Natural/dp/B0BR25QG1Q/ref=sr_1_4?keywords=Klein+Tools+55559+Stand-up+Zipper+Bags%2C+7-Inch+and+14-Inch%2C+2-Pack&amp;qid=1695173170&amp;sr=8-4")</f>
        <v>https://www.amazon.com/Klein-Tools-Stand-Up-4-25-Inch-Natural/dp/B0BR25QG1Q/ref=sr_1_4?keywords=Klein+Tools+55559+Stand-up+Zipper+Bags%2C+7-Inch+and+14-Inch%2C+2-Pack&amp;qid=1695173170&amp;sr=8-4</v>
      </c>
      <c r="F118" t="s">
        <v>376</v>
      </c>
      <c r="G118" t="e">
        <f ca="1">_xludf.IMAGE("https://edmondsonsupply.com/cdn/shop/products/55559.jpg?v=1666900727")</f>
        <v>#NAME?</v>
      </c>
      <c r="H118" t="e">
        <f ca="1">_xludf.IMAGE("https://m.media-amazon.com/images/I/51j3cDVxrVL._AC_UL320_.jpg")</f>
        <v>#NAME?</v>
      </c>
      <c r="I118" t="s">
        <v>276</v>
      </c>
      <c r="J118">
        <v>24.99</v>
      </c>
      <c r="K118" s="4">
        <v>0.66710000000000003</v>
      </c>
      <c r="L118">
        <v>5</v>
      </c>
      <c r="M118">
        <v>2</v>
      </c>
      <c r="O118" t="s">
        <v>25</v>
      </c>
      <c r="P118" t="s">
        <v>277</v>
      </c>
      <c r="Q118" t="s">
        <v>278</v>
      </c>
    </row>
    <row r="119" spans="1:17" ht="15.5" x14ac:dyDescent="0.35">
      <c r="A119" s="3" t="str">
        <f>HYPERLINK("https://edmondsonsupply.com/collections/storage-organization/products/klein-tools-5416octo-tool-bag-bull-pin-and-bolt-pouch-loop-connect-5-x-5-x-9-inch", "https://edmondsonsupply.com/collections/storage-organization/products/klein-tools-5416octo-tool-bag-bull-pin-and-bolt-pouch-loop-connect-5-x-5-x-9-inch")</f>
        <v>https://edmondsonsupply.com/collections/storage-organization/products/klein-tools-5416octo-tool-bag-bull-pin-and-bolt-pouch-loop-connect-5-x-5-x-9-inch</v>
      </c>
      <c r="B119" s="3" t="str">
        <f>HYPERLINK("https://edmondsonsupply.com/products/klein-tools-5416octo-tool-bag-bull-pin-and-bolt-pouch-loop-connect-5-x-5-x-9-inch", "https://edmondsonsupply.com/products/klein-tools-5416octo-tool-bag-bull-pin-and-bolt-pouch-loop-connect-5-x-5-x-9-inch")</f>
        <v>https://edmondsonsupply.com/products/klein-tools-5416octo-tool-bag-bull-pin-and-bolt-pouch-loop-connect-5-x-5-x-9-inch</v>
      </c>
      <c r="C119" t="s">
        <v>329</v>
      </c>
      <c r="D119" t="s">
        <v>402</v>
      </c>
      <c r="E119" s="3" t="str">
        <f>HYPERLINK("https://www.amazon.com/Klein-Tools-Bull-Pin-Canvas-Connection/dp/B0BFXN41G3/ref=sr_1_5?keywords=Klein+Tools+5416OCTO+Tool+Bag%2C+Bull-Pin+and+Bolt+Pouch%2C+Loop+Connect%2C+5+x+5+x+9-Inch&amp;qid=1695173180&amp;sr=8-5", "https://www.amazon.com/Klein-Tools-Bull-Pin-Canvas-Connection/dp/B0BFXN41G3/ref=sr_1_5?keywords=Klein+Tools+5416OCTO+Tool+Bag%2C+Bull-Pin+and+Bolt+Pouch%2C+Loop+Connect%2C+5+x+5+x+9-Inch&amp;qid=1695173180&amp;sr=8-5")</f>
        <v>https://www.amazon.com/Klein-Tools-Bull-Pin-Canvas-Connection/dp/B0BFXN41G3/ref=sr_1_5?keywords=Klein+Tools+5416OCTO+Tool+Bag%2C+Bull-Pin+and+Bolt+Pouch%2C+Loop+Connect%2C+5+x+5+x+9-Inch&amp;qid=1695173180&amp;sr=8-5</v>
      </c>
      <c r="F119" t="s">
        <v>403</v>
      </c>
      <c r="G119" t="e">
        <f ca="1">_xludf.IMAGE("https://edmondsonsupply.com/cdn/shop/products/5416octo.jpg?v=1633030457")</f>
        <v>#NAME?</v>
      </c>
      <c r="H119" t="e">
        <f ca="1">_xludf.IMAGE("https://m.media-amazon.com/images/I/51SvuMGkytL._AC_UL320_.jpg")</f>
        <v>#NAME?</v>
      </c>
      <c r="I119" t="s">
        <v>332</v>
      </c>
      <c r="J119">
        <v>36.29</v>
      </c>
      <c r="K119" s="4">
        <v>0.64800000000000002</v>
      </c>
      <c r="L119">
        <v>4.8</v>
      </c>
      <c r="M119">
        <v>6</v>
      </c>
      <c r="O119" t="s">
        <v>25</v>
      </c>
      <c r="P119" t="s">
        <v>333</v>
      </c>
      <c r="Q119" t="s">
        <v>334</v>
      </c>
    </row>
    <row r="120" spans="1:17" ht="15.5" x14ac:dyDescent="0.35">
      <c r="A120" s="3" t="str">
        <f>HYPERLINK("https://edmondsonsupply.com/collections/storage-organization/products/milwaukee-48-22-8432-packout%E2%84%A2-deep-organizer", "https://edmondsonsupply.com/collections/storage-organization/products/milwaukee-48-22-8432-packout%E2%84%A2-deep-organizer")</f>
        <v>https://edmondsonsupply.com/collections/storage-organization/products/milwaukee-48-22-8432-packout%E2%84%A2-deep-organizer</v>
      </c>
      <c r="B120" s="3" t="str">
        <f>HYPERLINK("https://edmondsonsupply.com/products/milwaukee-48-22-8432-packout%e2%84%a2-deep-organizer", "https://edmondsonsupply.com/products/milwaukee-48-22-8432-packout%e2%84%a2-deep-organizer")</f>
        <v>https://edmondsonsupply.com/products/milwaukee-48-22-8432-packout%e2%84%a2-deep-organizer</v>
      </c>
      <c r="C120" t="s">
        <v>302</v>
      </c>
      <c r="D120" t="s">
        <v>404</v>
      </c>
      <c r="E120" s="3" t="str">
        <f>HYPERLINK("https://www.amazon.com/48-22-8432-Milwaukee-Organizer-dividers-Capacity/dp/B0BPM74GMX/ref=sr_1_5?keywords=Milwaukee+48-22-8432+PACKOUT%E2%84%A2+Deep+Organizer&amp;qid=1695173168&amp;sr=8-5", "https://www.amazon.com/48-22-8432-Milwaukee-Organizer-dividers-Capacity/dp/B0BPM74GMX/ref=sr_1_5?keywords=Milwaukee+48-22-8432+PACKOUT%E2%84%A2+Deep+Organizer&amp;qid=1695173168&amp;sr=8-5")</f>
        <v>https://www.amazon.com/48-22-8432-Milwaukee-Organizer-dividers-Capacity/dp/B0BPM74GMX/ref=sr_1_5?keywords=Milwaukee+48-22-8432+PACKOUT%E2%84%A2+Deep+Organizer&amp;qid=1695173168&amp;sr=8-5</v>
      </c>
      <c r="F120" t="s">
        <v>405</v>
      </c>
      <c r="G120" t="e">
        <f ca="1">_xludf.IMAGE("https://edmondsonsupply.com/cdn/shop/files/48-22-8432_1.webp?v=1686667970")</f>
        <v>#NAME?</v>
      </c>
      <c r="H120" t="e">
        <f ca="1">_xludf.IMAGE("https://m.media-amazon.com/images/I/51sPfn8O1uL._AC_UL320_.jpg")</f>
        <v>#NAME?</v>
      </c>
      <c r="I120" t="s">
        <v>305</v>
      </c>
      <c r="J120">
        <v>106.99</v>
      </c>
      <c r="K120" s="4">
        <v>0.64680000000000004</v>
      </c>
      <c r="L120">
        <v>3.8</v>
      </c>
      <c r="M120">
        <v>3</v>
      </c>
      <c r="O120" t="s">
        <v>171</v>
      </c>
      <c r="P120" t="s">
        <v>306</v>
      </c>
      <c r="Q120" t="s">
        <v>307</v>
      </c>
    </row>
    <row r="121" spans="1:17" ht="15.5" x14ac:dyDescent="0.35">
      <c r="A121" s="3" t="str">
        <f>HYPERLINK("https://edmondsonsupply.com/collections/storage-organization/products/milwaukee-48-22-8432-packout%E2%84%A2-deep-organizer", "https://edmondsonsupply.com/collections/storage-organization/products/milwaukee-48-22-8432-packout%E2%84%A2-deep-organizer")</f>
        <v>https://edmondsonsupply.com/collections/storage-organization/products/milwaukee-48-22-8432-packout%E2%84%A2-deep-organizer</v>
      </c>
      <c r="B121" s="3" t="str">
        <f>HYPERLINK("https://edmondsonsupply.com/products/milwaukee-48-22-8432-packout%e2%84%a2-deep-organizer", "https://edmondsonsupply.com/products/milwaukee-48-22-8432-packout%e2%84%a2-deep-organizer")</f>
        <v>https://edmondsonsupply.com/products/milwaukee-48-22-8432-packout%e2%84%a2-deep-organizer</v>
      </c>
      <c r="C121" t="s">
        <v>302</v>
      </c>
      <c r="D121" t="s">
        <v>406</v>
      </c>
      <c r="E121" s="3" t="str">
        <f>HYPERLINK("https://www.amazon.com/48-22-8432-Milwaukee-PACKOUT-Organizer-Capacity/dp/B0BXS63FLD/ref=sr_1_4?keywords=Milwaukee+48-22-8432+PACKOUT%E2%84%A2+Deep+Organizer&amp;qid=1695173168&amp;sr=8-4", "https://www.amazon.com/48-22-8432-Milwaukee-PACKOUT-Organizer-Capacity/dp/B0BXS63FLD/ref=sr_1_4?keywords=Milwaukee+48-22-8432+PACKOUT%E2%84%A2+Deep+Organizer&amp;qid=1695173168&amp;sr=8-4")</f>
        <v>https://www.amazon.com/48-22-8432-Milwaukee-PACKOUT-Organizer-Capacity/dp/B0BXS63FLD/ref=sr_1_4?keywords=Milwaukee+48-22-8432+PACKOUT%E2%84%A2+Deep+Organizer&amp;qid=1695173168&amp;sr=8-4</v>
      </c>
      <c r="F121" t="s">
        <v>407</v>
      </c>
      <c r="G121" t="e">
        <f ca="1">_xludf.IMAGE("https://edmondsonsupply.com/cdn/shop/files/48-22-8432_1.webp?v=1686667970")</f>
        <v>#NAME?</v>
      </c>
      <c r="H121" t="e">
        <f ca="1">_xludf.IMAGE("https://m.media-amazon.com/images/I/51kqo5VoH0L._AC_UL320_.jpg")</f>
        <v>#NAME?</v>
      </c>
      <c r="I121" t="s">
        <v>305</v>
      </c>
      <c r="J121">
        <v>106.99</v>
      </c>
      <c r="K121" s="4">
        <v>0.64680000000000004</v>
      </c>
      <c r="L121">
        <v>5</v>
      </c>
      <c r="M121">
        <v>1</v>
      </c>
      <c r="O121" t="s">
        <v>171</v>
      </c>
      <c r="P121" t="s">
        <v>306</v>
      </c>
      <c r="Q121" t="s">
        <v>307</v>
      </c>
    </row>
    <row r="122" spans="1:17" ht="15.5" x14ac:dyDescent="0.35">
      <c r="A122" s="3" t="str">
        <f>HYPERLINK("https://edmondsonsupply.com/collections/storage-organization/products/milwaukee-48-22-8432-packout%E2%84%A2-deep-organizer", "https://edmondsonsupply.com/collections/storage-organization/products/milwaukee-48-22-8432-packout%E2%84%A2-deep-organizer")</f>
        <v>https://edmondsonsupply.com/collections/storage-organization/products/milwaukee-48-22-8432-packout%E2%84%A2-deep-organizer</v>
      </c>
      <c r="B122" s="3" t="str">
        <f>HYPERLINK("https://edmondsonsupply.com/products/milwaukee-48-22-8432-packout%e2%84%a2-deep-organizer", "https://edmondsonsupply.com/products/milwaukee-48-22-8432-packout%e2%84%a2-deep-organizer")</f>
        <v>https://edmondsonsupply.com/products/milwaukee-48-22-8432-packout%e2%84%a2-deep-organizer</v>
      </c>
      <c r="C122" t="s">
        <v>302</v>
      </c>
      <c r="D122" t="s">
        <v>408</v>
      </c>
      <c r="E122" s="3" t="str">
        <f>HYPERLINK("https://www.amazon.com/Milwaukee-48-22-8432-PACKOUT-Organizer-Compartments/dp/B0C5T4G43M/ref=sr_1_1?keywords=Milwaukee+48-22-8432+PACKOUT%E2%84%A2+Deep+Organizer&amp;qid=1695173168&amp;sr=8-1", "https://www.amazon.com/Milwaukee-48-22-8432-PACKOUT-Organizer-Compartments/dp/B0C5T4G43M/ref=sr_1_1?keywords=Milwaukee+48-22-8432+PACKOUT%E2%84%A2+Deep+Organizer&amp;qid=1695173168&amp;sr=8-1")</f>
        <v>https://www.amazon.com/Milwaukee-48-22-8432-PACKOUT-Organizer-Compartments/dp/B0C5T4G43M/ref=sr_1_1?keywords=Milwaukee+48-22-8432+PACKOUT%E2%84%A2+Deep+Organizer&amp;qid=1695173168&amp;sr=8-1</v>
      </c>
      <c r="F122" t="s">
        <v>409</v>
      </c>
      <c r="G122" t="e">
        <f ca="1">_xludf.IMAGE("https://edmondsonsupply.com/cdn/shop/files/48-22-8432_1.webp?v=1686667970")</f>
        <v>#NAME?</v>
      </c>
      <c r="H122" t="e">
        <f ca="1">_xludf.IMAGE("https://m.media-amazon.com/images/I/51LWDwYHz-L._AC_UL320_.jpg")</f>
        <v>#NAME?</v>
      </c>
      <c r="I122" t="s">
        <v>305</v>
      </c>
      <c r="J122">
        <v>105.99</v>
      </c>
      <c r="K122" s="4">
        <v>0.63139999999999996</v>
      </c>
      <c r="L122">
        <v>5</v>
      </c>
      <c r="M122">
        <v>1</v>
      </c>
      <c r="O122" t="s">
        <v>171</v>
      </c>
      <c r="P122" t="s">
        <v>306</v>
      </c>
      <c r="Q122" t="s">
        <v>307</v>
      </c>
    </row>
    <row r="123" spans="1:17" ht="15.5" x14ac:dyDescent="0.35">
      <c r="A123"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123" s="3" t="str">
        <f>HYPERLINK("https://edmondsonsupply.com/products/veto-pro-pac-tech-lc-tool-bag", "https://edmondsonsupply.com/products/veto-pro-pac-tech-lc-tool-bag")</f>
        <v>https://edmondsonsupply.com/products/veto-pro-pac-tech-lc-tool-bag</v>
      </c>
      <c r="C123" t="s">
        <v>410</v>
      </c>
      <c r="D123" t="s">
        <v>411</v>
      </c>
      <c r="E123" s="3" t="str">
        <f>HYPERLINK("https://www.amazon.com/Veto-Pac-Tech-Hi-Viz-Orange/dp/B09WZDTXF8/ref=sr_1_2?keywords=Veto+Pro+Pac+TECH+MC+Compact+Tool+Bag&amp;qid=1695173172&amp;sr=8-2", "https://www.amazon.com/Veto-Pac-Tech-Hi-Viz-Orange/dp/B09WZDTXF8/ref=sr_1_2?keywords=Veto+Pro+Pac+TECH+MC+Compact+Tool+Bag&amp;qid=1695173172&amp;sr=8-2")</f>
        <v>https://www.amazon.com/Veto-Pac-Tech-Hi-Viz-Orange/dp/B09WZDTXF8/ref=sr_1_2?keywords=Veto+Pro+Pac+TECH+MC+Compact+Tool+Bag&amp;qid=1695173172&amp;sr=8-2</v>
      </c>
      <c r="F123" t="s">
        <v>412</v>
      </c>
      <c r="G123" t="e">
        <f ca="1">_xludf.IMAGE("https://edmondsonsupply.com/cdn/shop/products/MC1_87e0d14c-0e4f-4e1a-b23d-f796a6e88a52.jpg?v=1587147172")</f>
        <v>#NAME?</v>
      </c>
      <c r="H123" t="e">
        <f ca="1">_xludf.IMAGE("https://m.media-amazon.com/images/I/61IGjfTxIRL._AC_UL320_.jpg")</f>
        <v>#NAME?</v>
      </c>
      <c r="I123" t="s">
        <v>413</v>
      </c>
      <c r="J123">
        <v>274.95</v>
      </c>
      <c r="K123" s="4">
        <v>0.61739999999999995</v>
      </c>
      <c r="L123">
        <v>4.8</v>
      </c>
      <c r="M123">
        <v>363</v>
      </c>
      <c r="O123" t="s">
        <v>25</v>
      </c>
      <c r="P123" t="s">
        <v>138</v>
      </c>
      <c r="Q123" t="s">
        <v>414</v>
      </c>
    </row>
    <row r="124" spans="1:17" ht="15.5" x14ac:dyDescent="0.35">
      <c r="A124" s="3" t="str">
        <f>HYPERLINK("https://edmondsonsupply.com/collections/storage-organization/products/milwaukee-48-22-8301", "https://edmondsonsupply.com/collections/storage-organization/products/milwaukee-48-22-8301")</f>
        <v>https://edmondsonsupply.com/collections/storage-organization/products/milwaukee-48-22-8301</v>
      </c>
      <c r="B124" s="3" t="str">
        <f>HYPERLINK("https://edmondsonsupply.com/products/milwaukee-48-22-8301", "https://edmondsonsupply.com/products/milwaukee-48-22-8301")</f>
        <v>https://edmondsonsupply.com/products/milwaukee-48-22-8301</v>
      </c>
      <c r="C124" t="s">
        <v>415</v>
      </c>
      <c r="D124" t="s">
        <v>416</v>
      </c>
      <c r="E124" s="3" t="str">
        <f>HYPERLINK("https://www.amazon.com/48-22-8301-PACKOUT-Backpack-Milwaukee-Tear-Resistant/dp/B0BXNRZLWR/ref=sr_1_1?keywords=Milwaukee+48-22-8301+PACKOUT%E2%84%A2+Backpack&amp;qid=1695173159&amp;sr=8-1", "https://www.amazon.com/48-22-8301-PACKOUT-Backpack-Milwaukee-Tear-Resistant/dp/B0BXNRZLWR/ref=sr_1_1?keywords=Milwaukee+48-22-8301+PACKOUT%E2%84%A2+Backpack&amp;qid=1695173159&amp;sr=8-1")</f>
        <v>https://www.amazon.com/48-22-8301-PACKOUT-Backpack-Milwaukee-Tear-Resistant/dp/B0BXNRZLWR/ref=sr_1_1?keywords=Milwaukee+48-22-8301+PACKOUT%E2%84%A2+Backpack&amp;qid=1695173159&amp;sr=8-1</v>
      </c>
      <c r="F124" t="s">
        <v>417</v>
      </c>
      <c r="G124" t="e">
        <f ca="1">_xludf.IMAGE("https://edmondsonsupply.com/cdn/shop/products/48-22-8301_1.png?v=1587150030")</f>
        <v>#NAME?</v>
      </c>
      <c r="H124" t="e">
        <f ca="1">_xludf.IMAGE("https://m.media-amazon.com/images/I/71YLu+AwebL._AC_UL320_.jpg")</f>
        <v>#NAME?</v>
      </c>
      <c r="I124" t="s">
        <v>418</v>
      </c>
      <c r="J124">
        <v>198</v>
      </c>
      <c r="K124" s="4">
        <v>0.52339999999999998</v>
      </c>
      <c r="L124">
        <v>5</v>
      </c>
      <c r="M124">
        <v>1</v>
      </c>
      <c r="O124" t="s">
        <v>25</v>
      </c>
      <c r="P124" t="s">
        <v>419</v>
      </c>
      <c r="Q124" t="s">
        <v>420</v>
      </c>
    </row>
    <row r="125" spans="1:17" ht="15.5" x14ac:dyDescent="0.35">
      <c r="A125" s="3" t="str">
        <f>HYPERLINK("https://edmondsonsupply.com/collections/storage-organization/products/veto-pro-pac-wrencher-xxl", "https://edmondsonsupply.com/collections/storage-organization/products/veto-pro-pac-wrencher-xxl")</f>
        <v>https://edmondsonsupply.com/collections/storage-organization/products/veto-pro-pac-wrencher-xxl</v>
      </c>
      <c r="B125" s="3" t="str">
        <f>HYPERLINK("https://edmondsonsupply.com/products/veto-pro-pac-wrencher-xxl", "https://edmondsonsupply.com/products/veto-pro-pac-wrencher-xxl")</f>
        <v>https://edmondsonsupply.com/products/veto-pro-pac-wrencher-xxl</v>
      </c>
      <c r="C125" t="s">
        <v>421</v>
      </c>
      <c r="D125" t="s">
        <v>398</v>
      </c>
      <c r="E125" s="3" t="str">
        <f>HYPERLINK("https://www.amazon.com/Veto-Pro-Pac-Wrencher-LC-Open-Top/dp/B0BBPFQ447/ref=sr_1_6?keywords=Veto+Pro+Pac+Wrencher+XXL&amp;qid=1695173172&amp;sr=8-6", "https://www.amazon.com/Veto-Pro-Pac-Wrencher-LC-Open-Top/dp/B0BBPFQ447/ref=sr_1_6?keywords=Veto+Pro+Pac+Wrencher+XXL&amp;qid=1695173172&amp;sr=8-6")</f>
        <v>https://www.amazon.com/Veto-Pro-Pac-Wrencher-LC-Open-Top/dp/B0BBPFQ447/ref=sr_1_6?keywords=Veto+Pro+Pac+Wrencher+XXL&amp;qid=1695173172&amp;sr=8-6</v>
      </c>
      <c r="F125" t="s">
        <v>399</v>
      </c>
      <c r="G125" t="e">
        <f ca="1">_xludf.IMAGE("https://edmondsonsupply.com/cdn/shop/files/0003_WRENCHER-XXL_36.jpg?v=1684440775")</f>
        <v>#NAME?</v>
      </c>
      <c r="H125" t="e">
        <f ca="1">_xludf.IMAGE("https://m.media-amazon.com/images/I/61iZfeBF47L._AC_UL320_.jpg")</f>
        <v>#NAME?</v>
      </c>
      <c r="I125" t="s">
        <v>422</v>
      </c>
      <c r="J125">
        <v>339.95</v>
      </c>
      <c r="K125" s="4">
        <v>0.47839999999999999</v>
      </c>
      <c r="L125">
        <v>5</v>
      </c>
      <c r="M125">
        <v>1</v>
      </c>
      <c r="O125" t="s">
        <v>25</v>
      </c>
      <c r="P125" t="s">
        <v>138</v>
      </c>
      <c r="Q125" t="s">
        <v>423</v>
      </c>
    </row>
    <row r="126" spans="1:17" ht="15.5" x14ac:dyDescent="0.35">
      <c r="A126" s="3" t="str">
        <f>HYPERLINK("https://edmondsonsupply.com/collections/storage-organization/products/fluke-c11xt-protective-eva-hard-tool-case", "https://edmondsonsupply.com/collections/storage-organization/products/fluke-c11xt-protective-eva-hard-tool-case")</f>
        <v>https://edmondsonsupply.com/collections/storage-organization/products/fluke-c11xt-protective-eva-hard-tool-case</v>
      </c>
      <c r="B126" s="3" t="str">
        <f>HYPERLINK("https://edmondsonsupply.com/products/fluke-c11xt-protective-eva-hard-tool-case", "https://edmondsonsupply.com/products/fluke-c11xt-protective-eva-hard-tool-case")</f>
        <v>https://edmondsonsupply.com/products/fluke-c11xt-protective-eva-hard-tool-case</v>
      </c>
      <c r="C126" t="s">
        <v>343</v>
      </c>
      <c r="D126" t="s">
        <v>424</v>
      </c>
      <c r="E126" s="3" t="str">
        <f>HYPERLINK("https://www.amazon.com/Fluke-C11XT-Protective-Hard-Carrying/dp/B09TG9VDVH/ref=sr_1_1?keywords=Fluke+C11XT+Protective+EVA+Hard+Tool+Case&amp;qid=1695173156&amp;sr=8-1", "https://www.amazon.com/Fluke-C11XT-Protective-Hard-Carrying/dp/B09TG9VDVH/ref=sr_1_1?keywords=Fluke+C11XT+Protective+EVA+Hard+Tool+Case&amp;qid=1695173156&amp;sr=8-1")</f>
        <v>https://www.amazon.com/Fluke-C11XT-Protective-Hard-Carrying/dp/B09TG9VDVH/ref=sr_1_1?keywords=Fluke+C11XT+Protective+EVA+Hard+Tool+Case&amp;qid=1695173156&amp;sr=8-1</v>
      </c>
      <c r="F126" t="s">
        <v>425</v>
      </c>
      <c r="G126" t="e">
        <f ca="1">_xludf.IMAGE("https://edmondsonsupply.com/cdn/shop/products/F-c11xt_04a_w.jpg?v=1663190833")</f>
        <v>#NAME?</v>
      </c>
      <c r="H126" t="e">
        <f ca="1">_xludf.IMAGE("https://m.media-amazon.com/images/I/61mhFNHDU+L._AC_UL320_.jpg")</f>
        <v>#NAME?</v>
      </c>
      <c r="I126" t="s">
        <v>261</v>
      </c>
      <c r="J126">
        <v>52.53</v>
      </c>
      <c r="K126" s="4">
        <v>0.45960000000000001</v>
      </c>
      <c r="L126">
        <v>4.8</v>
      </c>
      <c r="M126">
        <v>80</v>
      </c>
      <c r="O126" t="s">
        <v>171</v>
      </c>
      <c r="P126" t="s">
        <v>198</v>
      </c>
      <c r="Q126" t="s">
        <v>346</v>
      </c>
    </row>
    <row r="127" spans="1:17" ht="15.5" x14ac:dyDescent="0.35">
      <c r="A127" s="3" t="str">
        <f>HYPERLINK("https://edmondsonsupply.com/collections/storage-organization/products/rack-a-tiers-65300-ladder-mate", "https://edmondsonsupply.com/collections/storage-organization/products/rack-a-tiers-65300-ladder-mate")</f>
        <v>https://edmondsonsupply.com/collections/storage-organization/products/rack-a-tiers-65300-ladder-mate</v>
      </c>
      <c r="B127" s="3" t="str">
        <f>HYPERLINK("https://edmondsonsupply.com/products/rack-a-tiers-65300-ladder-mate", "https://edmondsonsupply.com/products/rack-a-tiers-65300-ladder-mate")</f>
        <v>https://edmondsonsupply.com/products/rack-a-tiers-65300-ladder-mate</v>
      </c>
      <c r="C127" t="s">
        <v>257</v>
      </c>
      <c r="D127" t="s">
        <v>257</v>
      </c>
      <c r="E127" s="3" t="str">
        <f>HYPERLINK("https://www.amazon.com/Rack-A-Tiers-CECOMINOD071287-65300-Ladder-Mate/dp/B00ZVDLDZ2/ref=sr_1_1?keywords=Rack-A-Tiers+65300+Ladder+Mate&amp;qid=1695173163&amp;sr=8-1", "https://www.amazon.com/Rack-A-Tiers-CECOMINOD071287-65300-Ladder-Mate/dp/B00ZVDLDZ2/ref=sr_1_1?keywords=Rack-A-Tiers+65300+Ladder+Mate&amp;qid=1695173163&amp;sr=8-1")</f>
        <v>https://www.amazon.com/Rack-A-Tiers-CECOMINOD071287-65300-Ladder-Mate/dp/B00ZVDLDZ2/ref=sr_1_1?keywords=Rack-A-Tiers+65300+Ladder+Mate&amp;qid=1695173163&amp;sr=8-1</v>
      </c>
      <c r="F127" t="s">
        <v>426</v>
      </c>
      <c r="G127" t="e">
        <f ca="1">_xludf.IMAGE("https://edmondsonsupply.com/cdn/shop/products/65300-Ladder-Mate.png?v=1633031066")</f>
        <v>#NAME?</v>
      </c>
      <c r="H127" t="e">
        <f ca="1">_xludf.IMAGE("https://m.media-amazon.com/images/I/41fRbR1BozL._AC_UL320_.jpg")</f>
        <v>#NAME?</v>
      </c>
      <c r="I127" t="s">
        <v>260</v>
      </c>
      <c r="J127">
        <v>47.49</v>
      </c>
      <c r="K127" s="4">
        <v>0.41799999999999998</v>
      </c>
      <c r="L127">
        <v>4.8</v>
      </c>
      <c r="M127">
        <v>145</v>
      </c>
      <c r="O127" t="s">
        <v>25</v>
      </c>
      <c r="P127" t="s">
        <v>261</v>
      </c>
      <c r="Q127" t="s">
        <v>262</v>
      </c>
    </row>
    <row r="128" spans="1:17" ht="15.5" x14ac:dyDescent="0.35">
      <c r="A128" s="3" t="str">
        <f>HYPERLINK("https://edmondsonsupply.com/collections/storage-organization/products/veto-pro-pac-wrencher-mc", "https://edmondsonsupply.com/collections/storage-organization/products/veto-pro-pac-wrencher-mc")</f>
        <v>https://edmondsonsupply.com/collections/storage-organization/products/veto-pro-pac-wrencher-mc</v>
      </c>
      <c r="B128" s="3" t="str">
        <f>HYPERLINK("https://edmondsonsupply.com/products/veto-pro-pac-wrencher-mc", "https://edmondsonsupply.com/products/veto-pro-pac-wrencher-mc")</f>
        <v>https://edmondsonsupply.com/products/veto-pro-pac-wrencher-mc</v>
      </c>
      <c r="C128" t="s">
        <v>397</v>
      </c>
      <c r="D128" t="s">
        <v>411</v>
      </c>
      <c r="E128" s="3" t="str">
        <f>HYPERLINK("https://www.amazon.com/Veto-Tech-Pac-MC-Compact/dp/B07NDMH2Q2/ref=sr_1_7?keywords=Veto+Pro+Pac+Wrencher+MC&amp;qid=1695173176&amp;sr=8-7", "https://www.amazon.com/Veto-Tech-Pac-MC-Compact/dp/B07NDMH2Q2/ref=sr_1_7?keywords=Veto+Pro+Pac+Wrencher+MC&amp;qid=1695173176&amp;sr=8-7")</f>
        <v>https://www.amazon.com/Veto-Tech-Pac-MC-Compact/dp/B07NDMH2Q2/ref=sr_1_7?keywords=Veto+Pro+Pac+Wrencher+MC&amp;qid=1695173176&amp;sr=8-7</v>
      </c>
      <c r="F128" t="s">
        <v>427</v>
      </c>
      <c r="G128" t="e">
        <f ca="1">_xludf.IMAGE("https://edmondsonsupply.com/cdn/shop/products/0001_WRENCHER-MC_32.jpg?v=1675795195")</f>
        <v>#NAME?</v>
      </c>
      <c r="H128" t="e">
        <f ca="1">_xludf.IMAGE("https://m.media-amazon.com/images/I/91toHmYP6AL._AC_UL320_.jpg")</f>
        <v>#NAME?</v>
      </c>
      <c r="I128" t="s">
        <v>400</v>
      </c>
      <c r="J128">
        <v>274.95</v>
      </c>
      <c r="K128" s="4">
        <v>0.37480000000000002</v>
      </c>
      <c r="L128">
        <v>4.8</v>
      </c>
      <c r="M128">
        <v>363</v>
      </c>
      <c r="O128" t="s">
        <v>25</v>
      </c>
      <c r="P128" t="s">
        <v>138</v>
      </c>
      <c r="Q128" t="s">
        <v>401</v>
      </c>
    </row>
    <row r="129" spans="1:17" ht="15.5" x14ac:dyDescent="0.35">
      <c r="A129" s="3" t="str">
        <f>HYPERLINK("https://edmondsonsupply.com/collections/storage-organization/products/clc-l255", "https://edmondsonsupply.com/collections/storage-organization/products/clc-l255")</f>
        <v>https://edmondsonsupply.com/collections/storage-organization/products/clc-l255</v>
      </c>
      <c r="B129" s="3" t="str">
        <f>HYPERLINK("https://edmondsonsupply.com/products/clc-l255", "https://edmondsonsupply.com/products/clc-l255")</f>
        <v>https://edmondsonsupply.com/products/clc-l255</v>
      </c>
      <c r="C129" t="s">
        <v>428</v>
      </c>
      <c r="D129" t="s">
        <v>429</v>
      </c>
      <c r="E129" s="3" t="str">
        <f>HYPERLINK("https://www.amazon.com/CLC-Custom-Leather-Craft-Compartments/dp/B01KWILK76/ref=sr_1_2?keywords=CLC+L255+TECH+GEAR+53+Pocket+-+Lighted+Backpack&amp;qid=1695173180&amp;sr=8-2", "https://www.amazon.com/CLC-Custom-Leather-Craft-Compartments/dp/B01KWILK76/ref=sr_1_2?keywords=CLC+L255+TECH+GEAR+53+Pocket+-+Lighted+Backpack&amp;qid=1695173180&amp;sr=8-2")</f>
        <v>https://www.amazon.com/CLC-Custom-Leather-Craft-Compartments/dp/B01KWILK76/ref=sr_1_2?keywords=CLC+L255+TECH+GEAR+53+Pocket+-+Lighted+Backpack&amp;qid=1695173180&amp;sr=8-2</v>
      </c>
      <c r="F129" t="s">
        <v>430</v>
      </c>
      <c r="G129" t="e">
        <f ca="1">_xludf.IMAGE("https://edmondsonsupply.com/cdn/shop/products/L255.jpg?v=1609788641")</f>
        <v>#NAME?</v>
      </c>
      <c r="H129" t="e">
        <f ca="1">_xludf.IMAGE("https://m.media-amazon.com/images/I/614l79WAhZL._AC_UL320_.jpg")</f>
        <v>#NAME?</v>
      </c>
      <c r="I129" t="s">
        <v>369</v>
      </c>
      <c r="J129">
        <v>162.26</v>
      </c>
      <c r="K129" s="4">
        <v>0.36349999999999999</v>
      </c>
      <c r="L129">
        <v>5</v>
      </c>
      <c r="M129">
        <v>1</v>
      </c>
      <c r="O129" t="s">
        <v>25</v>
      </c>
      <c r="P129" t="s">
        <v>431</v>
      </c>
      <c r="Q129" t="s">
        <v>432</v>
      </c>
    </row>
    <row r="130" spans="1:17" ht="15.5" x14ac:dyDescent="0.35">
      <c r="A130" s="3" t="str">
        <f>HYPERLINK("https://edmondsonsupply.com/collections/storage-organization/products/veto-pro-pac-wrencher-xl", "https://edmondsonsupply.com/collections/storage-organization/products/veto-pro-pac-wrencher-xl")</f>
        <v>https://edmondsonsupply.com/collections/storage-organization/products/veto-pro-pac-wrencher-xl</v>
      </c>
      <c r="B130" s="3" t="str">
        <f>HYPERLINK("https://edmondsonsupply.com/products/veto-pro-pac-wrencher-xl", "https://edmondsonsupply.com/products/veto-pro-pac-wrencher-xl")</f>
        <v>https://edmondsonsupply.com/products/veto-pro-pac-wrencher-xl</v>
      </c>
      <c r="C130" t="s">
        <v>433</v>
      </c>
      <c r="D130" t="s">
        <v>434</v>
      </c>
      <c r="E130" s="3" t="str">
        <f>HYPERLINK("https://www.amazon.com/Veto-Pro-Pac-TECH-XL-WHEELER/dp/B09ZCB7L65/ref=sr_1_6?keywords=Veto+Pro+Pac+Wrencher+XL&amp;qid=1695173167&amp;sr=8-6", "https://www.amazon.com/Veto-Pro-Pac-TECH-XL-WHEELER/dp/B09ZCB7L65/ref=sr_1_6?keywords=Veto+Pro+Pac+Wrencher+XL&amp;qid=1695173167&amp;sr=8-6")</f>
        <v>https://www.amazon.com/Veto-Pro-Pac-TECH-XL-WHEELER/dp/B09ZCB7L65/ref=sr_1_6?keywords=Veto+Pro+Pac+Wrencher+XL&amp;qid=1695173167&amp;sr=8-6</v>
      </c>
      <c r="F130" t="s">
        <v>435</v>
      </c>
      <c r="G130" t="e">
        <f ca="1">_xludf.IMAGE("https://edmondsonsupply.com/cdn/shop/products/0006_WRENCHER-XL_11.jpg?v=1675796410")</f>
        <v>#NAME?</v>
      </c>
      <c r="H130" t="e">
        <f ca="1">_xludf.IMAGE("https://m.media-amazon.com/images/I/511rkEcpV0L._AC_UL320_.jpg")</f>
        <v>#NAME?</v>
      </c>
      <c r="I130" t="s">
        <v>436</v>
      </c>
      <c r="J130">
        <v>489.95</v>
      </c>
      <c r="K130" s="4">
        <v>0.36099999999999999</v>
      </c>
      <c r="L130">
        <v>4.5999999999999996</v>
      </c>
      <c r="M130">
        <v>17</v>
      </c>
      <c r="O130" t="s">
        <v>25</v>
      </c>
      <c r="P130" t="s">
        <v>138</v>
      </c>
      <c r="Q130" t="s">
        <v>437</v>
      </c>
    </row>
    <row r="131" spans="1:17" ht="15.5" x14ac:dyDescent="0.35">
      <c r="A131"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131" s="3" t="str">
        <f>HYPERLINK("https://edmondsonsupply.com/products/klein-tools-5141-canvas-bag-4-pk-brown-black-gray-red", "https://edmondsonsupply.com/products/klein-tools-5141-canvas-bag-4-pk-brown-black-gray-red")</f>
        <v>https://edmondsonsupply.com/products/klein-tools-5141-canvas-bag-4-pk-brown-black-gray-red</v>
      </c>
      <c r="C131" t="s">
        <v>243</v>
      </c>
      <c r="D131" t="s">
        <v>274</v>
      </c>
      <c r="E131" s="3" t="str">
        <f>HYPERLINK("https://www.amazon.com/Klein-Tools-Stand-Up-Carabiners-14-Inch/dp/B0BKQ9CM13/ref=sr_1_3?keywords=Klein+Tools+5141+Zipper+Bags%2C+Canvas+Tool+Pouches+Brown%2FBlack%2FGray%2FRed%2C+4-Pack&amp;qid=1695173170&amp;sr=8-3", "https://www.amazon.com/Klein-Tools-Stand-Up-Carabiners-14-Inch/dp/B0BKQ9CM13/ref=sr_1_3?keywords=Klein+Tools+5141+Zipper+Bags%2C+Canvas+Tool+Pouches+Brown%2FBlack%2FGray%2FRed%2C+4-Pack&amp;qid=1695173170&amp;sr=8-3")</f>
        <v>https://www.amazon.com/Klein-Tools-Stand-Up-Carabiners-14-Inch/dp/B0BKQ9CM13/ref=sr_1_3?keywords=Klein+Tools+5141+Zipper+Bags%2C+Canvas+Tool+Pouches+Brown%2FBlack%2FGray%2FRed%2C+4-Pack&amp;qid=1695173170&amp;sr=8-3</v>
      </c>
      <c r="F131" t="s">
        <v>275</v>
      </c>
      <c r="G131" t="e">
        <f ca="1">_xludf.IMAGE("https://edmondsonsupply.com/cdn/shop/products/5141.jpg?v=1633030517")</f>
        <v>#NAME?</v>
      </c>
      <c r="H131" t="e">
        <f ca="1">_xludf.IMAGE("https://m.media-amazon.com/images/I/416u4HXmGJL._AC_UL320_.jpg")</f>
        <v>#NAME?</v>
      </c>
      <c r="I131" t="s">
        <v>246</v>
      </c>
      <c r="J131">
        <v>53.99</v>
      </c>
      <c r="K131" s="4">
        <v>0.3508</v>
      </c>
      <c r="L131">
        <v>4.5</v>
      </c>
      <c r="M131">
        <v>2</v>
      </c>
      <c r="O131" t="s">
        <v>25</v>
      </c>
      <c r="P131" t="s">
        <v>247</v>
      </c>
      <c r="Q131" t="s">
        <v>248</v>
      </c>
    </row>
    <row r="132" spans="1:17" ht="15.5" x14ac:dyDescent="0.35">
      <c r="A132"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132" s="3" t="str">
        <f>HYPERLINK("https://edmondsonsupply.com/products/klein-tools-5141-canvas-bag-4-pk-brown-black-gray-red", "https://edmondsonsupply.com/products/klein-tools-5141-canvas-bag-4-pk-brown-black-gray-red")</f>
        <v>https://edmondsonsupply.com/products/klein-tools-5141-canvas-bag-4-pk-brown-black-gray-red</v>
      </c>
      <c r="C132" t="s">
        <v>243</v>
      </c>
      <c r="D132" t="s">
        <v>438</v>
      </c>
      <c r="E132" s="3" t="str">
        <f>HYPERLINK("https://www.amazon.com/Klein-Tools-Canvas-Utility-Stand-Up/dp/B0BD3XVWR6/ref=sr_1_6?keywords=Klein+Tools+5141+Zipper+Bags%2C+Canvas+Tool+Pouches+Brown%2FBlack%2FGray%2FRed%2C+4-Pack&amp;qid=1695173170&amp;sr=8-6", "https://www.amazon.com/Klein-Tools-Canvas-Utility-Stand-Up/dp/B0BD3XVWR6/ref=sr_1_6?keywords=Klein+Tools+5141+Zipper+Bags%2C+Canvas+Tool+Pouches+Brown%2FBlack%2FGray%2FRed%2C+4-Pack&amp;qid=1695173170&amp;sr=8-6")</f>
        <v>https://www.amazon.com/Klein-Tools-Canvas-Utility-Stand-Up/dp/B0BD3XVWR6/ref=sr_1_6?keywords=Klein+Tools+5141+Zipper+Bags%2C+Canvas+Tool+Pouches+Brown%2FBlack%2FGray%2FRed%2C+4-Pack&amp;qid=1695173170&amp;sr=8-6</v>
      </c>
      <c r="F132" t="s">
        <v>439</v>
      </c>
      <c r="G132" t="e">
        <f ca="1">_xludf.IMAGE("https://edmondsonsupply.com/cdn/shop/products/5141.jpg?v=1633030517")</f>
        <v>#NAME?</v>
      </c>
      <c r="H132" t="e">
        <f ca="1">_xludf.IMAGE("https://m.media-amazon.com/images/I/51n7dZuAc6L._AC_UL320_.jpg")</f>
        <v>#NAME?</v>
      </c>
      <c r="I132" t="s">
        <v>246</v>
      </c>
      <c r="J132">
        <v>53.99</v>
      </c>
      <c r="K132" s="4">
        <v>0.3508</v>
      </c>
      <c r="L132">
        <v>5</v>
      </c>
      <c r="M132">
        <v>2</v>
      </c>
      <c r="O132" t="s">
        <v>25</v>
      </c>
      <c r="P132" t="s">
        <v>247</v>
      </c>
      <c r="Q132" t="s">
        <v>248</v>
      </c>
    </row>
    <row r="133" spans="1:17" ht="15.5" x14ac:dyDescent="0.35">
      <c r="A133" s="3" t="str">
        <f>HYPERLINK("https://edmondsonsupply.com/collections/storage-organization/products/fluke-c60-soft-carrying-case", "https://edmondsonsupply.com/collections/storage-organization/products/fluke-c60-soft-carrying-case")</f>
        <v>https://edmondsonsupply.com/collections/storage-organization/products/fluke-c60-soft-carrying-case</v>
      </c>
      <c r="B133" s="3" t="str">
        <f>HYPERLINK("https://edmondsonsupply.com/products/fluke-c60-soft-carrying-case", "https://edmondsonsupply.com/products/fluke-c60-soft-carrying-case")</f>
        <v>https://edmondsonsupply.com/products/fluke-c60-soft-carrying-case</v>
      </c>
      <c r="C133" t="s">
        <v>265</v>
      </c>
      <c r="D133" t="s">
        <v>440</v>
      </c>
      <c r="E133" s="3" t="str">
        <f>HYPERLINK("https://www.amazon.com/Fluke-C23-Vinyl-Soft-Carrying/dp/B000Q8SDUA/ref=sr_1_2?keywords=Fluke+C60+Soft+Carrying+Case&amp;qid=1695173198&amp;sr=8-2", "https://www.amazon.com/Fluke-C23-Vinyl-Soft-Carrying/dp/B000Q8SDUA/ref=sr_1_2?keywords=Fluke+C60+Soft+Carrying+Case&amp;qid=1695173198&amp;sr=8-2")</f>
        <v>https://www.amazon.com/Fluke-C23-Vinyl-Soft-Carrying/dp/B000Q8SDUA/ref=sr_1_2?keywords=Fluke+C60+Soft+Carrying+Case&amp;qid=1695173198&amp;sr=8-2</v>
      </c>
      <c r="F133" t="s">
        <v>441</v>
      </c>
      <c r="G133" t="e">
        <f ca="1">_xludf.IMAGE("https://edmondsonsupply.com/cdn/shop/products/c60.png?v=1633030926")</f>
        <v>#NAME?</v>
      </c>
      <c r="H133" t="e">
        <f ca="1">_xludf.IMAGE("https://m.media-amazon.com/images/I/619hfrCzniL._AC_UL320_.jpg")</f>
        <v>#NAME?</v>
      </c>
      <c r="I133" t="s">
        <v>268</v>
      </c>
      <c r="J133">
        <v>66.489999999999995</v>
      </c>
      <c r="K133" s="4">
        <v>0.34350000000000003</v>
      </c>
      <c r="L133">
        <v>4.5</v>
      </c>
      <c r="M133">
        <v>19</v>
      </c>
      <c r="O133" t="s">
        <v>25</v>
      </c>
      <c r="P133" t="s">
        <v>269</v>
      </c>
      <c r="Q133" t="s">
        <v>270</v>
      </c>
    </row>
    <row r="134" spans="1:17" ht="15.5" x14ac:dyDescent="0.35">
      <c r="A134" s="3" t="str">
        <f>HYPERLINK("https://edmondsonsupply.com/collections/storage-organization/products/fluke-c37xt-protective-eva-hard-tool-case", "https://edmondsonsupply.com/collections/storage-organization/products/fluke-c37xt-protective-eva-hard-tool-case")</f>
        <v>https://edmondsonsupply.com/collections/storage-organization/products/fluke-c37xt-protective-eva-hard-tool-case</v>
      </c>
      <c r="B134" s="3" t="str">
        <f>HYPERLINK("https://edmondsonsupply.com/products/fluke-c37xt-protective-eva-hard-tool-case", "https://edmondsonsupply.com/products/fluke-c37xt-protective-eva-hard-tool-case")</f>
        <v>https://edmondsonsupply.com/products/fluke-c37xt-protective-eva-hard-tool-case</v>
      </c>
      <c r="C134" t="s">
        <v>442</v>
      </c>
      <c r="D134" t="s">
        <v>344</v>
      </c>
      <c r="E134" s="3" t="str">
        <f>HYPERLINK("https://www.amazon.com/Fluke-C37XT-Protective-Carrying-378FC/dp/B09TG79CRT/ref=sr_1_1?keywords=Fluke+C37XT+Protective+EVA+Hard+Tool+Case&amp;qid=1695173167&amp;sr=8-1", "https://www.amazon.com/Fluke-C37XT-Protective-Carrying-378FC/dp/B09TG79CRT/ref=sr_1_1?keywords=Fluke+C37XT+Protective+EVA+Hard+Tool+Case&amp;qid=1695173167&amp;sr=8-1")</f>
        <v>https://www.amazon.com/Fluke-C37XT-Protective-Carrying-378FC/dp/B09TG79CRT/ref=sr_1_1?keywords=Fluke+C37XT+Protective+EVA+Hard+Tool+Case&amp;qid=1695173167&amp;sr=8-1</v>
      </c>
      <c r="F134" t="s">
        <v>345</v>
      </c>
      <c r="G134" t="e">
        <f ca="1">_xludf.IMAGE("https://edmondsonsupply.com/cdn/shop/products/F-c37xt_06a_w.webp?v=1665405653")</f>
        <v>#NAME?</v>
      </c>
      <c r="H134" t="e">
        <f ca="1">_xludf.IMAGE("https://m.media-amazon.com/images/I/71d44jrMhPL._AC_UL320_.jpg")</f>
        <v>#NAME?</v>
      </c>
      <c r="I134" t="s">
        <v>443</v>
      </c>
      <c r="J134">
        <v>71.87</v>
      </c>
      <c r="K134" s="4">
        <v>0.33610000000000001</v>
      </c>
      <c r="L134">
        <v>4.4000000000000004</v>
      </c>
      <c r="M134">
        <v>67</v>
      </c>
      <c r="O134" t="s">
        <v>25</v>
      </c>
      <c r="P134" t="s">
        <v>269</v>
      </c>
      <c r="Q134" t="s">
        <v>444</v>
      </c>
    </row>
    <row r="135" spans="1:17" ht="15.5" x14ac:dyDescent="0.35">
      <c r="A135" s="3" t="str">
        <f>HYPERLINK("https://edmondsonsupply.com/collections/storage-organization/products/klein-tools-58888-12-pocket-tool-tote-with-shoulder-strap", "https://edmondsonsupply.com/collections/storage-organization/products/klein-tools-58888-12-pocket-tool-tote-with-shoulder-strap")</f>
        <v>https://edmondsonsupply.com/collections/storage-organization/products/klein-tools-58888-12-pocket-tool-tote-with-shoulder-strap</v>
      </c>
      <c r="B135" s="3" t="str">
        <f>HYPERLINK("https://edmondsonsupply.com/products/klein-tools-58888-12-pocket-tool-tote-with-shoulder-strap", "https://edmondsonsupply.com/products/klein-tools-58888-12-pocket-tool-tote-with-shoulder-strap")</f>
        <v>https://edmondsonsupply.com/products/klein-tools-58888-12-pocket-tool-tote-with-shoulder-strap</v>
      </c>
      <c r="C135" t="s">
        <v>445</v>
      </c>
      <c r="D135" t="s">
        <v>446</v>
      </c>
      <c r="E135" s="3" t="str">
        <f>HYPERLINK("https://www.amazon.com/Tradesman-High-Visibility-Klein-Tools-55598/dp/B01NCB4ZTN/ref=sr_1_9?keywords=Klein+Tools+58888+12+Pocket+Tool+Tote+with+Shoulder+Strap&amp;qid=1695173168&amp;sr=8-9", "https://www.amazon.com/Tradesman-High-Visibility-Klein-Tools-55598/dp/B01NCB4ZTN/ref=sr_1_9?keywords=Klein+Tools+58888+12+Pocket+Tool+Tote+with+Shoulder+Strap&amp;qid=1695173168&amp;sr=8-9")</f>
        <v>https://www.amazon.com/Tradesman-High-Visibility-Klein-Tools-55598/dp/B01NCB4ZTN/ref=sr_1_9?keywords=Klein+Tools+58888+12+Pocket+Tool+Tote+with+Shoulder+Strap&amp;qid=1695173168&amp;sr=8-9</v>
      </c>
      <c r="F135" t="s">
        <v>447</v>
      </c>
      <c r="G135" t="e">
        <f ca="1">_xludf.IMAGE("https://edmondsonsupply.com/cdn/shop/products/58888.jpg?v=1660004615")</f>
        <v>#NAME?</v>
      </c>
      <c r="H135" t="e">
        <f ca="1">_xludf.IMAGE("https://m.media-amazon.com/images/I/71VOyZPFAxL._AC_UL320_.jpg")</f>
        <v>#NAME?</v>
      </c>
      <c r="I135" t="s">
        <v>448</v>
      </c>
      <c r="J135">
        <v>109.99</v>
      </c>
      <c r="K135" s="4">
        <v>0.32529999999999998</v>
      </c>
      <c r="L135">
        <v>4.3</v>
      </c>
      <c r="M135">
        <v>72</v>
      </c>
      <c r="O135" t="s">
        <v>25</v>
      </c>
      <c r="P135" t="s">
        <v>449</v>
      </c>
      <c r="Q135" t="s">
        <v>450</v>
      </c>
    </row>
    <row r="136" spans="1:17" ht="15.5" x14ac:dyDescent="0.35">
      <c r="A136" s="3" t="str">
        <f>HYPERLINK("https://edmondsonsupply.com/collections/storage-organization/products/veto-pro-pac-tp-xxl-tool-pouch", "https://edmondsonsupply.com/collections/storage-organization/products/veto-pro-pac-tp-xxl-tool-pouch")</f>
        <v>https://edmondsonsupply.com/collections/storage-organization/products/veto-pro-pac-tp-xxl-tool-pouch</v>
      </c>
      <c r="B136" s="3" t="str">
        <f>HYPERLINK("https://edmondsonsupply.com/products/veto-pro-pac-tp-xxl-tool-pouch", "https://edmondsonsupply.com/products/veto-pro-pac-tp-xxl-tool-pouch")</f>
        <v>https://edmondsonsupply.com/products/veto-pro-pac-tp-xxl-tool-pouch</v>
      </c>
      <c r="C136" t="s">
        <v>451</v>
      </c>
      <c r="D136" t="s">
        <v>452</v>
      </c>
      <c r="E136" s="3" t="str">
        <f>HYPERLINK("https://www.amazon.com/VETO-PRO-PAC-Model-XXL-F/dp/B0002HC2CK/ref=sr_1_3?keywords=Veto+Pro+Pac+TP-XXL+Tool+Pouch&amp;qid=1695173161&amp;sr=8-3", "https://www.amazon.com/VETO-PRO-PAC-Model-XXL-F/dp/B0002HC2CK/ref=sr_1_3?keywords=Veto+Pro+Pac+TP-XXL+Tool+Pouch&amp;qid=1695173161&amp;sr=8-3")</f>
        <v>https://www.amazon.com/VETO-PRO-PAC-Model-XXL-F/dp/B0002HC2CK/ref=sr_1_3?keywords=Veto+Pro+Pac+TP-XXL+Tool+Pouch&amp;qid=1695173161&amp;sr=8-3</v>
      </c>
      <c r="F136" t="s">
        <v>453</v>
      </c>
      <c r="G136" t="e">
        <f ca="1">_xludf.IMAGE("https://edmondsonsupply.com/cdn/shop/products/01_TP-XXL.jpg?v=1633031173")</f>
        <v>#NAME?</v>
      </c>
      <c r="H136" t="e">
        <f ca="1">_xludf.IMAGE("https://m.media-amazon.com/images/I/61tR0YjGMkL._AC_UL320_.jpg")</f>
        <v>#NAME?</v>
      </c>
      <c r="I136" t="s">
        <v>454</v>
      </c>
      <c r="J136">
        <v>269.95</v>
      </c>
      <c r="K136" s="4">
        <v>0.28549999999999998</v>
      </c>
      <c r="L136">
        <v>4.5</v>
      </c>
      <c r="M136">
        <v>262</v>
      </c>
      <c r="O136" t="s">
        <v>25</v>
      </c>
      <c r="P136" t="s">
        <v>138</v>
      </c>
      <c r="Q136" t="s">
        <v>455</v>
      </c>
    </row>
    <row r="137" spans="1:17" ht="15.5" x14ac:dyDescent="0.35">
      <c r="A137" s="3" t="str">
        <f>HYPERLINK("https://edmondsonsupply.com/collections/storage-organization/products/klein-tools-58888-12-pocket-tool-tote-with-shoulder-strap", "https://edmondsonsupply.com/collections/storage-organization/products/klein-tools-58888-12-pocket-tool-tote-with-shoulder-strap")</f>
        <v>https://edmondsonsupply.com/collections/storage-organization/products/klein-tools-58888-12-pocket-tool-tote-with-shoulder-strap</v>
      </c>
      <c r="B137" s="3" t="str">
        <f>HYPERLINK("https://edmondsonsupply.com/products/klein-tools-58888-12-pocket-tool-tote-with-shoulder-strap", "https://edmondsonsupply.com/products/klein-tools-58888-12-pocket-tool-tote-with-shoulder-strap")</f>
        <v>https://edmondsonsupply.com/products/klein-tools-58888-12-pocket-tool-tote-with-shoulder-strap</v>
      </c>
      <c r="C137" t="s">
        <v>445</v>
      </c>
      <c r="D137" t="s">
        <v>250</v>
      </c>
      <c r="E137" s="3" t="str">
        <f>HYPERLINK("https://www.amazon.com/Shoulder-Handles-Klein-Tools-55431/dp/B00MJNWO82/ref=sr_1_4?keywords=Klein+Tools+58888+12+Pocket+Tool+Tote+with+Shoulder+Strap&amp;qid=1695173168&amp;sr=8-4", "https://www.amazon.com/Shoulder-Handles-Klein-Tools-55431/dp/B00MJNWO82/ref=sr_1_4?keywords=Klein+Tools+58888+12+Pocket+Tool+Tote+with+Shoulder+Strap&amp;qid=1695173168&amp;sr=8-4")</f>
        <v>https://www.amazon.com/Shoulder-Handles-Klein-Tools-55431/dp/B00MJNWO82/ref=sr_1_4?keywords=Klein+Tools+58888+12+Pocket+Tool+Tote+with+Shoulder+Strap&amp;qid=1695173168&amp;sr=8-4</v>
      </c>
      <c r="F137" t="s">
        <v>251</v>
      </c>
      <c r="G137" t="e">
        <f ca="1">_xludf.IMAGE("https://edmondsonsupply.com/cdn/shop/products/58888.jpg?v=1660004615")</f>
        <v>#NAME?</v>
      </c>
      <c r="H137" t="e">
        <f ca="1">_xludf.IMAGE("https://m.media-amazon.com/images/I/71tbNRyKA9L._AC_UL320_.jpg")</f>
        <v>#NAME?</v>
      </c>
      <c r="I137" t="s">
        <v>448</v>
      </c>
      <c r="J137">
        <v>104.8</v>
      </c>
      <c r="K137" s="4">
        <v>0.26279999999999998</v>
      </c>
      <c r="L137">
        <v>4.5999999999999996</v>
      </c>
      <c r="M137">
        <v>447</v>
      </c>
      <c r="O137" t="s">
        <v>25</v>
      </c>
      <c r="P137" t="s">
        <v>449</v>
      </c>
      <c r="Q137" t="s">
        <v>450</v>
      </c>
    </row>
    <row r="138" spans="1:17" ht="15.5" x14ac:dyDescent="0.35">
      <c r="A138" s="3" t="str">
        <f>HYPERLINK("https://edmondsonsupply.com/collections/storage-organization/products/veto-pro-pac-ot-xl-extra-large-open-top-tool-bag", "https://edmondsonsupply.com/collections/storage-organization/products/veto-pro-pac-ot-xl-extra-large-open-top-tool-bag")</f>
        <v>https://edmondsonsupply.com/collections/storage-organization/products/veto-pro-pac-ot-xl-extra-large-open-top-tool-bag</v>
      </c>
      <c r="B138" s="3" t="str">
        <f>HYPERLINK("https://edmondsonsupply.com/products/veto-pro-pac-ot-xl-extra-large-open-top-tool-bag", "https://edmondsonsupply.com/products/veto-pro-pac-ot-xl-extra-large-open-top-tool-bag")</f>
        <v>https://edmondsonsupply.com/products/veto-pro-pac-ot-xl-extra-large-open-top-tool-bag</v>
      </c>
      <c r="C138" t="s">
        <v>456</v>
      </c>
      <c r="D138" t="s">
        <v>398</v>
      </c>
      <c r="E138" s="3" t="str">
        <f>HYPERLINK("https://www.amazon.com/Veto-Pro-Pac-Wrencher-LC-Open-Top/dp/B0BBPFQ447/ref=sr_1_9?keywords=Veto+Pro+Pac+OT-XL+Extra+Large+Open+Top+Tool+Bag&amp;qid=1695173164&amp;sr=8-9", "https://www.amazon.com/Veto-Pro-Pac-Wrencher-LC-Open-Top/dp/B0BBPFQ447/ref=sr_1_9?keywords=Veto+Pro+Pac+OT-XL+Extra+Large+Open+Top+Tool+Bag&amp;qid=1695173164&amp;sr=8-9")</f>
        <v>https://www.amazon.com/Veto-Pro-Pac-Wrencher-LC-Open-Top/dp/B0BBPFQ447/ref=sr_1_9?keywords=Veto+Pro+Pac+OT-XL+Extra+Large+Open+Top+Tool+Bag&amp;qid=1695173164&amp;sr=8-9</v>
      </c>
      <c r="F138" t="s">
        <v>399</v>
      </c>
      <c r="G138" t="e">
        <f ca="1">_xludf.IMAGE("https://edmondsonsupply.com/cdn/shop/products/OTXL_600x830_0000_OT-XL_1.jpg?v=1649028209")</f>
        <v>#NAME?</v>
      </c>
      <c r="H138" t="e">
        <f ca="1">_xludf.IMAGE("https://m.media-amazon.com/images/I/61iZfeBF47L._AC_UL320_.jpg")</f>
        <v>#NAME?</v>
      </c>
      <c r="I138" t="s">
        <v>457</v>
      </c>
      <c r="J138">
        <v>339.95</v>
      </c>
      <c r="K138" s="4">
        <v>0.25929999999999997</v>
      </c>
      <c r="L138">
        <v>5</v>
      </c>
      <c r="M138">
        <v>1</v>
      </c>
      <c r="O138" t="s">
        <v>25</v>
      </c>
      <c r="P138" t="s">
        <v>138</v>
      </c>
      <c r="Q138" t="s">
        <v>458</v>
      </c>
    </row>
    <row r="139" spans="1:17" ht="15.5" x14ac:dyDescent="0.35">
      <c r="A139" s="3" t="str">
        <f>HYPERLINK("https://edmondsonsupply.com/collections/storage-organization/products/veto-pro-pac-tp-lc-tool-pouch", "https://edmondsonsupply.com/collections/storage-organization/products/veto-pro-pac-tp-lc-tool-pouch")</f>
        <v>https://edmondsonsupply.com/collections/storage-organization/products/veto-pro-pac-tp-lc-tool-pouch</v>
      </c>
      <c r="B139" s="3" t="str">
        <f>HYPERLINK("https://edmondsonsupply.com/products/veto-pro-pac-tp-lc-tool-pouch", "https://edmondsonsupply.com/products/veto-pro-pac-tp-lc-tool-pouch")</f>
        <v>https://edmondsonsupply.com/products/veto-pro-pac-tp-lc-tool-pouch</v>
      </c>
      <c r="C139" t="s">
        <v>459</v>
      </c>
      <c r="D139" t="s">
        <v>318</v>
      </c>
      <c r="E139" s="3" t="str">
        <f>HYPERLINK("https://www.amazon.com/Veto-TP-XL-Extra-Large-Pouch/dp/B07WDL7SD3/ref=sr_1_3?keywords=Veto+Pro+Pac+TP-LC+Tool+Pouch&amp;qid=1695173187&amp;sr=8-3", "https://www.amazon.com/Veto-TP-XL-Extra-Large-Pouch/dp/B07WDL7SD3/ref=sr_1_3?keywords=Veto+Pro+Pac+TP-LC+Tool+Pouch&amp;qid=1695173187&amp;sr=8-3")</f>
        <v>https://www.amazon.com/Veto-TP-XL-Extra-Large-Pouch/dp/B07WDL7SD3/ref=sr_1_3?keywords=Veto+Pro+Pac+TP-LC+Tool+Pouch&amp;qid=1695173187&amp;sr=8-3</v>
      </c>
      <c r="F139" t="s">
        <v>319</v>
      </c>
      <c r="G139" t="e">
        <f ca="1">_xludf.IMAGE("https://edmondsonsupply.com/cdn/shop/products/TPLC.jpg?v=1648948141")</f>
        <v>#NAME?</v>
      </c>
      <c r="H139" t="e">
        <f ca="1">_xludf.IMAGE("https://m.media-amazon.com/images/I/91dIbPcb4XL._AC_UL320_.jpg")</f>
        <v>#NAME?</v>
      </c>
      <c r="I139" t="s">
        <v>460</v>
      </c>
      <c r="J139">
        <v>169.95</v>
      </c>
      <c r="K139" s="4">
        <v>0.25900000000000001</v>
      </c>
      <c r="L139">
        <v>4.9000000000000004</v>
      </c>
      <c r="M139">
        <v>1132</v>
      </c>
      <c r="O139" t="s">
        <v>25</v>
      </c>
      <c r="P139" t="s">
        <v>138</v>
      </c>
      <c r="Q139" t="s">
        <v>461</v>
      </c>
    </row>
    <row r="140" spans="1:17" ht="15.5" x14ac:dyDescent="0.35">
      <c r="A140" s="3" t="str">
        <f>HYPERLINK("https://edmondsonsupply.com/collections/storage-organization/products/fieldpiece-anc9-scale-case", "https://edmondsonsupply.com/collections/storage-organization/products/fieldpiece-anc9-scale-case")</f>
        <v>https://edmondsonsupply.com/collections/storage-organization/products/fieldpiece-anc9-scale-case</v>
      </c>
      <c r="B140" s="3" t="str">
        <f>HYPERLINK("https://edmondsonsupply.com/products/fieldpiece-anc9-scale-case", "https://edmondsonsupply.com/products/fieldpiece-anc9-scale-case")</f>
        <v>https://edmondsonsupply.com/products/fieldpiece-anc9-scale-case</v>
      </c>
      <c r="C140" t="s">
        <v>462</v>
      </c>
      <c r="D140" t="s">
        <v>463</v>
      </c>
      <c r="E140" s="3" t="str">
        <f>HYPERLINK("https://www.amazon.com/Fieldpiece-ANC9-Scale-Case/dp/B003U86VQG/ref=sr_1_1?keywords=Fieldpiece+ANC9+-+Padded+Scale+Case&amp;qid=1695173156&amp;sr=8-1", "https://www.amazon.com/Fieldpiece-ANC9-Scale-Case/dp/B003U86VQG/ref=sr_1_1?keywords=Fieldpiece+ANC9+-+Padded+Scale+Case&amp;qid=1695173156&amp;sr=8-1")</f>
        <v>https://www.amazon.com/Fieldpiece-ANC9-Scale-Case/dp/B003U86VQG/ref=sr_1_1?keywords=Fieldpiece+ANC9+-+Padded+Scale+Case&amp;qid=1695173156&amp;sr=8-1</v>
      </c>
      <c r="F140" t="s">
        <v>464</v>
      </c>
      <c r="G140" t="e">
        <f ca="1">_xludf.IMAGE("https://edmondsonsupply.com/cdn/shop/products/ANC9.png?v=1587149904")</f>
        <v>#NAME?</v>
      </c>
      <c r="H140" t="e">
        <f ca="1">_xludf.IMAGE("https://m.media-amazon.com/images/I/21sYP-pDbhL._AC_UY218_.jpg")</f>
        <v>#NAME?</v>
      </c>
      <c r="I140" t="s">
        <v>465</v>
      </c>
      <c r="J140">
        <v>30.64</v>
      </c>
      <c r="K140" s="4">
        <v>0.24299999999999999</v>
      </c>
      <c r="L140">
        <v>4.9000000000000004</v>
      </c>
      <c r="M140">
        <v>66</v>
      </c>
      <c r="O140" t="s">
        <v>25</v>
      </c>
      <c r="P140" t="s">
        <v>466</v>
      </c>
      <c r="Q140" t="s">
        <v>467</v>
      </c>
    </row>
    <row r="141" spans="1:17" ht="15.5" x14ac:dyDescent="0.35">
      <c r="A141"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141" s="3" t="str">
        <f>HYPERLINK("https://edmondsonsupply.com/products/veto-pro-pac-tech-lc-tool-bag", "https://edmondsonsupply.com/products/veto-pro-pac-tech-lc-tool-bag")</f>
        <v>https://edmondsonsupply.com/products/veto-pro-pac-tech-lc-tool-bag</v>
      </c>
      <c r="C141" t="s">
        <v>410</v>
      </c>
      <c r="D141" t="s">
        <v>468</v>
      </c>
      <c r="E141" s="3" t="str">
        <f>HYPERLINK("https://www.amazon.com/TECHOT-MC-Veto-COMPACT-Open-Tool/dp/B07146M3QW/ref=sr_1_6?keywords=Veto+Pro+Pac+TECH+MC+Compact+Tool+Bag&amp;qid=1695173172&amp;sr=8-6", "https://www.amazon.com/TECHOT-MC-Veto-COMPACT-Open-Tool/dp/B07146M3QW/ref=sr_1_6?keywords=Veto+Pro+Pac+TECH+MC+Compact+Tool+Bag&amp;qid=1695173172&amp;sr=8-6")</f>
        <v>https://www.amazon.com/TECHOT-MC-Veto-COMPACT-Open-Tool/dp/B07146M3QW/ref=sr_1_6?keywords=Veto+Pro+Pac+TECH+MC+Compact+Tool+Bag&amp;qid=1695173172&amp;sr=8-6</v>
      </c>
      <c r="F141" t="s">
        <v>469</v>
      </c>
      <c r="G141" t="e">
        <f ca="1">_xludf.IMAGE("https://edmondsonsupply.com/cdn/shop/products/MC1_87e0d14c-0e4f-4e1a-b23d-f796a6e88a52.jpg?v=1587147172")</f>
        <v>#NAME?</v>
      </c>
      <c r="H141" t="e">
        <f ca="1">_xludf.IMAGE("https://m.media-amazon.com/images/I/7164ViSBjML._AC_UL320_.jpg")</f>
        <v>#NAME?</v>
      </c>
      <c r="I141" t="s">
        <v>413</v>
      </c>
      <c r="J141">
        <v>209.95</v>
      </c>
      <c r="K141" s="4">
        <v>0.2351</v>
      </c>
      <c r="L141">
        <v>4.8</v>
      </c>
      <c r="M141">
        <v>702</v>
      </c>
      <c r="O141" t="s">
        <v>25</v>
      </c>
      <c r="P141" t="s">
        <v>138</v>
      </c>
      <c r="Q141" t="s">
        <v>414</v>
      </c>
    </row>
    <row r="142" spans="1:17" ht="15.5" x14ac:dyDescent="0.35">
      <c r="A142" s="3" t="str">
        <f>HYPERLINK("https://edmondsonsupply.com/collections/storage-organization/products/klein-tools-55560-camo-zipper-bags-2-pack", "https://edmondsonsupply.com/collections/storage-organization/products/klein-tools-55560-camo-zipper-bags-2-pack")</f>
        <v>https://edmondsonsupply.com/collections/storage-organization/products/klein-tools-55560-camo-zipper-bags-2-pack</v>
      </c>
      <c r="B142" s="3" t="str">
        <f>HYPERLINK("https://edmondsonsupply.com/products/klein-tools-55560-camo-zipper-bags-2-pack", "https://edmondsonsupply.com/products/klein-tools-55560-camo-zipper-bags-2-pack")</f>
        <v>https://edmondsonsupply.com/products/klein-tools-55560-camo-zipper-bags-2-pack</v>
      </c>
      <c r="C142" t="s">
        <v>470</v>
      </c>
      <c r="D142" t="s">
        <v>335</v>
      </c>
      <c r="E142" s="3" t="str">
        <f>HYPERLINK("https://www.amazon.com/Klein-Tools-Stand-Up-14-Inch-Utility/dp/B0BNL5LYJJ/ref=sr_1_9?keywords=Klein+Tools+55560+Zipper+Bags%2C+Camo+Tool+Pouches%2C+2-Pack&amp;qid=1695173184&amp;sr=8-9", "https://www.amazon.com/Klein-Tools-Stand-Up-14-Inch-Utility/dp/B0BNL5LYJJ/ref=sr_1_9?keywords=Klein+Tools+55560+Zipper+Bags%2C+Camo+Tool+Pouches%2C+2-Pack&amp;qid=1695173184&amp;sr=8-9")</f>
        <v>https://www.amazon.com/Klein-Tools-Stand-Up-14-Inch-Utility/dp/B0BNL5LYJJ/ref=sr_1_9?keywords=Klein+Tools+55560+Zipper+Bags%2C+Camo+Tool+Pouches%2C+2-Pack&amp;qid=1695173184&amp;sr=8-9</v>
      </c>
      <c r="F142" t="s">
        <v>336</v>
      </c>
      <c r="G142" t="e">
        <f ca="1">_xludf.IMAGE("https://edmondsonsupply.com/cdn/shop/products/55560.jpg?v=1633030628")</f>
        <v>#NAME?</v>
      </c>
      <c r="H142" t="e">
        <f ca="1">_xludf.IMAGE("https://m.media-amazon.com/images/I/51YFgCm7c5L._AC_UL320_.jpg")</f>
        <v>#NAME?</v>
      </c>
      <c r="I142" t="s">
        <v>471</v>
      </c>
      <c r="J142">
        <v>29.98</v>
      </c>
      <c r="K142" s="4">
        <v>0.19969999999999999</v>
      </c>
      <c r="L142">
        <v>4.5</v>
      </c>
      <c r="M142">
        <v>2</v>
      </c>
      <c r="O142" t="s">
        <v>25</v>
      </c>
      <c r="P142" t="s">
        <v>472</v>
      </c>
      <c r="Q142" t="s">
        <v>473</v>
      </c>
    </row>
    <row r="143" spans="1:17" ht="15.5" x14ac:dyDescent="0.35">
      <c r="A143" s="3" t="str">
        <f>HYPERLINK("https://edmondsonsupply.com/collections/storage-organization/products/klein-tools-58888-12-pocket-tool-tote-with-shoulder-strap", "https://edmondsonsupply.com/collections/storage-organization/products/klein-tools-58888-12-pocket-tool-tote-with-shoulder-strap")</f>
        <v>https://edmondsonsupply.com/collections/storage-organization/products/klein-tools-58888-12-pocket-tool-tote-with-shoulder-strap</v>
      </c>
      <c r="B143" s="3" t="str">
        <f>HYPERLINK("https://edmondsonsupply.com/products/klein-tools-58888-12-pocket-tool-tote-with-shoulder-strap", "https://edmondsonsupply.com/products/klein-tools-58888-12-pocket-tool-tote-with-shoulder-strap")</f>
        <v>https://edmondsonsupply.com/products/klein-tools-58888-12-pocket-tool-tote-with-shoulder-strap</v>
      </c>
      <c r="C143" t="s">
        <v>445</v>
      </c>
      <c r="D143" t="s">
        <v>474</v>
      </c>
      <c r="E143" s="3" t="str">
        <f>HYPERLINK("https://www.amazon.com/Klein-Tools-Deluxe-Canvas-18-Inch/dp/B07VB168TG/ref=sr_1_7?keywords=Klein+Tools+58888+12+Pocket+Tool+Tote+with+Shoulder+Strap&amp;qid=1695173168&amp;sr=8-7", "https://www.amazon.com/Klein-Tools-Deluxe-Canvas-18-Inch/dp/B07VB168TG/ref=sr_1_7?keywords=Klein+Tools+58888+12+Pocket+Tool+Tote+with+Shoulder+Strap&amp;qid=1695173168&amp;sr=8-7")</f>
        <v>https://www.amazon.com/Klein-Tools-Deluxe-Canvas-18-Inch/dp/B07VB168TG/ref=sr_1_7?keywords=Klein+Tools+58888+12+Pocket+Tool+Tote+with+Shoulder+Strap&amp;qid=1695173168&amp;sr=8-7</v>
      </c>
      <c r="F143" t="s">
        <v>475</v>
      </c>
      <c r="G143" t="e">
        <f ca="1">_xludf.IMAGE("https://edmondsonsupply.com/cdn/shop/products/58888.jpg?v=1660004615")</f>
        <v>#NAME?</v>
      </c>
      <c r="H143" t="e">
        <f ca="1">_xludf.IMAGE("https://m.media-amazon.com/images/I/71FluabrW6L._AC_UL320_.jpg")</f>
        <v>#NAME?</v>
      </c>
      <c r="I143" t="s">
        <v>448</v>
      </c>
      <c r="J143">
        <v>99</v>
      </c>
      <c r="K143" s="4">
        <v>0.19289999999999999</v>
      </c>
      <c r="L143">
        <v>4.7</v>
      </c>
      <c r="M143">
        <v>657</v>
      </c>
      <c r="O143" t="s">
        <v>25</v>
      </c>
      <c r="P143" t="s">
        <v>449</v>
      </c>
      <c r="Q143" t="s">
        <v>450</v>
      </c>
    </row>
    <row r="144" spans="1:17" ht="15.5" x14ac:dyDescent="0.35">
      <c r="A144" s="3" t="str">
        <f>HYPERLINK("https://edmondsonsupply.com/collections/storage-organization/products/fluke-c60-soft-carrying-case", "https://edmondsonsupply.com/collections/storage-organization/products/fluke-c60-soft-carrying-case")</f>
        <v>https://edmondsonsupply.com/collections/storage-organization/products/fluke-c60-soft-carrying-case</v>
      </c>
      <c r="B144" s="3" t="str">
        <f>HYPERLINK("https://edmondsonsupply.com/products/fluke-c60-soft-carrying-case", "https://edmondsonsupply.com/products/fluke-c60-soft-carrying-case")</f>
        <v>https://edmondsonsupply.com/products/fluke-c60-soft-carrying-case</v>
      </c>
      <c r="C144" t="s">
        <v>265</v>
      </c>
      <c r="D144" t="s">
        <v>476</v>
      </c>
      <c r="E144" s="3" t="str">
        <f>HYPERLINK("https://www.amazon.com/Fluke-C116-Polyester-Soft-Carrying/dp/B0012WRD96/ref=sr_1_10?keywords=Fluke+C60+Soft+Carrying+Case&amp;qid=1695173198&amp;sr=8-10", "https://www.amazon.com/Fluke-C116-Polyester-Soft-Carrying/dp/B0012WRD96/ref=sr_1_10?keywords=Fluke+C60+Soft+Carrying+Case&amp;qid=1695173198&amp;sr=8-10")</f>
        <v>https://www.amazon.com/Fluke-C116-Polyester-Soft-Carrying/dp/B0012WRD96/ref=sr_1_10?keywords=Fluke+C60+Soft+Carrying+Case&amp;qid=1695173198&amp;sr=8-10</v>
      </c>
      <c r="F144" t="s">
        <v>477</v>
      </c>
      <c r="G144" t="e">
        <f ca="1">_xludf.IMAGE("https://edmondsonsupply.com/cdn/shop/products/c60.png?v=1633030926")</f>
        <v>#NAME?</v>
      </c>
      <c r="H144" t="e">
        <f ca="1">_xludf.IMAGE("https://m.media-amazon.com/images/I/7135NJiG3XL._AC_UL320_.jpg")</f>
        <v>#NAME?</v>
      </c>
      <c r="I144" t="s">
        <v>268</v>
      </c>
      <c r="J144">
        <v>58.7</v>
      </c>
      <c r="K144" s="4">
        <v>0.18609999999999999</v>
      </c>
      <c r="L144">
        <v>4.2</v>
      </c>
      <c r="M144">
        <v>30</v>
      </c>
      <c r="O144" t="s">
        <v>25</v>
      </c>
      <c r="P144" t="s">
        <v>269</v>
      </c>
      <c r="Q144" t="s">
        <v>270</v>
      </c>
    </row>
    <row r="145" spans="1:17" ht="15.5" x14ac:dyDescent="0.35">
      <c r="A145" s="3" t="str">
        <f>HYPERLINK("https://edmondsonsupply.com/collections/storage-organization/products/copy-of-klein-tools-5539blu-canvas-zipper-bag-consumables-blue", "https://edmondsonsupply.com/collections/storage-organization/products/copy-of-klein-tools-5539blu-canvas-zipper-bag-consumables-blue")</f>
        <v>https://edmondsonsupply.com/collections/storage-organization/products/copy-of-klein-tools-5539blu-canvas-zipper-bag-consumables-blue</v>
      </c>
      <c r="B145" s="3" t="str">
        <f>HYPERLINK("https://edmondsonsupply.com/products/copy-of-klein-tools-5539blu-canvas-zipper-bag-consumables-blue", "https://edmondsonsupply.com/products/copy-of-klein-tools-5539blu-canvas-zipper-bag-consumables-blue")</f>
        <v>https://edmondsonsupply.com/products/copy-of-klein-tools-5539blu-canvas-zipper-bag-consumables-blue</v>
      </c>
      <c r="C145" t="s">
        <v>478</v>
      </c>
      <c r="D145" t="s">
        <v>375</v>
      </c>
      <c r="E145" s="3" t="str">
        <f>HYPERLINK("https://www.amazon.com/Klein-Tools-Stand-Up-4-25-Inch-Natural/dp/B0BR25QG1Q/ref=sr_1_6?keywords=Klein+Tools+5539NAT+Zipper+Bag%2C+Canvas+Tool+Pouch%2C+10-Inch%2C+Natural&amp;qid=1695173186&amp;sr=8-6", "https://www.amazon.com/Klein-Tools-Stand-Up-4-25-Inch-Natural/dp/B0BR25QG1Q/ref=sr_1_6?keywords=Klein+Tools+5539NAT+Zipper+Bag%2C+Canvas+Tool+Pouch%2C+10-Inch%2C+Natural&amp;qid=1695173186&amp;sr=8-6")</f>
        <v>https://www.amazon.com/Klein-Tools-Stand-Up-4-25-Inch-Natural/dp/B0BR25QG1Q/ref=sr_1_6?keywords=Klein+Tools+5539NAT+Zipper+Bag%2C+Canvas+Tool+Pouch%2C+10-Inch%2C+Natural&amp;qid=1695173186&amp;sr=8-6</v>
      </c>
      <c r="F145" t="s">
        <v>376</v>
      </c>
      <c r="G145" t="e">
        <f ca="1">_xludf.IMAGE("https://edmondsonsupply.com/cdn/shop/products/5539nat.jpg?v=1633030464")</f>
        <v>#NAME?</v>
      </c>
      <c r="H145" t="e">
        <f ca="1">_xludf.IMAGE("https://m.media-amazon.com/images/I/51j3cDVxrVL._AC_UL320_.jpg")</f>
        <v>#NAME?</v>
      </c>
      <c r="I145" t="s">
        <v>289</v>
      </c>
      <c r="J145">
        <v>24.99</v>
      </c>
      <c r="K145" s="4">
        <v>0.1799</v>
      </c>
      <c r="L145">
        <v>5</v>
      </c>
      <c r="M145">
        <v>2</v>
      </c>
      <c r="O145" t="s">
        <v>171</v>
      </c>
      <c r="P145" t="s">
        <v>138</v>
      </c>
      <c r="Q145" t="s">
        <v>479</v>
      </c>
    </row>
    <row r="146" spans="1:17" ht="15.5" x14ac:dyDescent="0.35">
      <c r="A146"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146" s="3" t="str">
        <f>HYPERLINK("https://edmondsonsupply.com/products/veto-pro-pac-tech-lc-tool-bag", "https://edmondsonsupply.com/products/veto-pro-pac-tech-lc-tool-bag")</f>
        <v>https://edmondsonsupply.com/products/veto-pro-pac-tech-lc-tool-bag</v>
      </c>
      <c r="C146" t="s">
        <v>410</v>
      </c>
      <c r="D146" t="s">
        <v>480</v>
      </c>
      <c r="E146" s="3" t="str">
        <f>HYPERLINK("https://www.amazon.com/Veto-Wrencher-MC-Medium-Compact-Open-Top/dp/B0BBQ3R11H/ref=sr_1_10?keywords=Veto+Pro+Pac+TECH+MC+Compact+Tool+Bag&amp;qid=1695173172&amp;sr=8-10", "https://www.amazon.com/Veto-Wrencher-MC-Medium-Compact-Open-Top/dp/B0BBQ3R11H/ref=sr_1_10?keywords=Veto+Pro+Pac+TECH+MC+Compact+Tool+Bag&amp;qid=1695173172&amp;sr=8-10")</f>
        <v>https://www.amazon.com/Veto-Wrencher-MC-Medium-Compact-Open-Top/dp/B0BBQ3R11H/ref=sr_1_10?keywords=Veto+Pro+Pac+TECH+MC+Compact+Tool+Bag&amp;qid=1695173172&amp;sr=8-10</v>
      </c>
      <c r="F146" t="s">
        <v>481</v>
      </c>
      <c r="G146" t="e">
        <f ca="1">_xludf.IMAGE("https://edmondsonsupply.com/cdn/shop/products/MC1_87e0d14c-0e4f-4e1a-b23d-f796a6e88a52.jpg?v=1587147172")</f>
        <v>#NAME?</v>
      </c>
      <c r="H146" t="e">
        <f ca="1">_xludf.IMAGE("https://m.media-amazon.com/images/I/51xcXNSndtL._AC_UL320_.jpg")</f>
        <v>#NAME?</v>
      </c>
      <c r="I146" t="s">
        <v>413</v>
      </c>
      <c r="J146">
        <v>199.95</v>
      </c>
      <c r="K146" s="4">
        <v>0.1762</v>
      </c>
      <c r="L146">
        <v>5</v>
      </c>
      <c r="M146">
        <v>7</v>
      </c>
      <c r="O146" t="s">
        <v>25</v>
      </c>
      <c r="P146" t="s">
        <v>138</v>
      </c>
      <c r="Q146" t="s">
        <v>414</v>
      </c>
    </row>
    <row r="147" spans="1:17" ht="15.5" x14ac:dyDescent="0.35">
      <c r="A147" s="3" t="str">
        <f>HYPERLINK("https://edmondsonsupply.com/collections/storage-organization/products/veto-pro-pac-wrencher-xxl", "https://edmondsonsupply.com/collections/storage-organization/products/veto-pro-pac-wrencher-xxl")</f>
        <v>https://edmondsonsupply.com/collections/storage-organization/products/veto-pro-pac-wrencher-xxl</v>
      </c>
      <c r="B147" s="3" t="str">
        <f>HYPERLINK("https://edmondsonsupply.com/products/veto-pro-pac-wrencher-xxl", "https://edmondsonsupply.com/products/veto-pro-pac-wrencher-xxl")</f>
        <v>https://edmondsonsupply.com/products/veto-pro-pac-wrencher-xxl</v>
      </c>
      <c r="C147" t="s">
        <v>421</v>
      </c>
      <c r="D147" t="s">
        <v>452</v>
      </c>
      <c r="E147" s="3" t="str">
        <f>HYPERLINK("https://www.amazon.com/VETO-PRO-PAC-Model-XXL-F/dp/B0002HC2CK/ref=sr_1_5?keywords=Veto+Pro+Pac+Wrencher+XXL&amp;qid=1695173172&amp;sr=8-5", "https://www.amazon.com/VETO-PRO-PAC-Model-XXL-F/dp/B0002HC2CK/ref=sr_1_5?keywords=Veto+Pro+Pac+Wrencher+XXL&amp;qid=1695173172&amp;sr=8-5")</f>
        <v>https://www.amazon.com/VETO-PRO-PAC-Model-XXL-F/dp/B0002HC2CK/ref=sr_1_5?keywords=Veto+Pro+Pac+Wrencher+XXL&amp;qid=1695173172&amp;sr=8-5</v>
      </c>
      <c r="F147" t="s">
        <v>453</v>
      </c>
      <c r="G147" t="e">
        <f ca="1">_xludf.IMAGE("https://edmondsonsupply.com/cdn/shop/files/0003_WRENCHER-XXL_36.jpg?v=1684440775")</f>
        <v>#NAME?</v>
      </c>
      <c r="H147" t="e">
        <f ca="1">_xludf.IMAGE("https://m.media-amazon.com/images/I/61tR0YjGMkL._AC_UL320_.jpg")</f>
        <v>#NAME?</v>
      </c>
      <c r="I147" t="s">
        <v>422</v>
      </c>
      <c r="J147">
        <v>269.95</v>
      </c>
      <c r="K147" s="4">
        <v>0.17399999999999999</v>
      </c>
      <c r="L147">
        <v>4.5</v>
      </c>
      <c r="M147">
        <v>262</v>
      </c>
      <c r="O147" t="s">
        <v>25</v>
      </c>
      <c r="P147" t="s">
        <v>138</v>
      </c>
      <c r="Q147" t="s">
        <v>423</v>
      </c>
    </row>
    <row r="148" spans="1:17" ht="15.5" x14ac:dyDescent="0.35">
      <c r="A148" s="3" t="str">
        <f>HYPERLINK("https://edmondsonsupply.com/collections/storage-organization/products/veto-pro-pac-tech-ot-sc-open-top-electrician-tool-bag", "https://edmondsonsupply.com/collections/storage-organization/products/veto-pro-pac-tech-ot-sc-open-top-electrician-tool-bag")</f>
        <v>https://edmondsonsupply.com/collections/storage-organization/products/veto-pro-pac-tech-ot-sc-open-top-electrician-tool-bag</v>
      </c>
      <c r="B148" s="3" t="str">
        <f>HYPERLINK("https://edmondsonsupply.com/products/veto-pro-pac-tech-ot-sc-open-top-electrician-tool-bag", "https://edmondsonsupply.com/products/veto-pro-pac-tech-ot-sc-open-top-electrician-tool-bag")</f>
        <v>https://edmondsonsupply.com/products/veto-pro-pac-tech-ot-sc-open-top-electrician-tool-bag</v>
      </c>
      <c r="C148" t="s">
        <v>482</v>
      </c>
      <c r="D148" t="s">
        <v>468</v>
      </c>
      <c r="E148" s="3" t="str">
        <f>HYPERLINK("https://www.amazon.com/TECHOT-MC-Veto-COMPACT-Open-Tool/dp/B07146M3QW/ref=sr_1_4?keywords=Veto+Pro+Pac+Tech+OT-SC+Open+Top+Electrician+Tool+Bag&amp;qid=1695173163&amp;sr=8-4", "https://www.amazon.com/TECHOT-MC-Veto-COMPACT-Open-Tool/dp/B07146M3QW/ref=sr_1_4?keywords=Veto+Pro+Pac+Tech+OT-SC+Open+Top+Electrician+Tool+Bag&amp;qid=1695173163&amp;sr=8-4")</f>
        <v>https://www.amazon.com/TECHOT-MC-Veto-COMPACT-Open-Tool/dp/B07146M3QW/ref=sr_1_4?keywords=Veto+Pro+Pac+Tech+OT-SC+Open+Top+Electrician+Tool+Bag&amp;qid=1695173163&amp;sr=8-4</v>
      </c>
      <c r="F148" t="s">
        <v>469</v>
      </c>
      <c r="G148" t="e">
        <f ca="1">_xludf.IMAGE("https://edmondsonsupply.com/cdn/shop/products/0_707ca9f3-2e27-41c1-883d-1aec36a4e25a.jpg?v=1674835772")</f>
        <v>#NAME?</v>
      </c>
      <c r="H148" t="e">
        <f ca="1">_xludf.IMAGE("https://m.media-amazon.com/images/I/7164ViSBjML._AC_UL320_.jpg")</f>
        <v>#NAME?</v>
      </c>
      <c r="I148" t="s">
        <v>483</v>
      </c>
      <c r="J148">
        <v>209.95</v>
      </c>
      <c r="K148" s="4">
        <v>0.16650000000000001</v>
      </c>
      <c r="L148">
        <v>4.8</v>
      </c>
      <c r="M148">
        <v>702</v>
      </c>
      <c r="O148" t="s">
        <v>25</v>
      </c>
      <c r="P148" t="s">
        <v>138</v>
      </c>
      <c r="Q148" t="s">
        <v>484</v>
      </c>
    </row>
    <row r="149" spans="1:17" ht="15.5" x14ac:dyDescent="0.35">
      <c r="A149" s="3" t="str">
        <f>HYPERLINK("https://edmondsonsupply.com/collections/storage-organization/products/clc-1523-21-small-zip-top-utility-pouch", "https://edmondsonsupply.com/collections/storage-organization/products/clc-1523-21-small-zip-top-utility-pouch")</f>
        <v>https://edmondsonsupply.com/collections/storage-organization/products/clc-1523-21-small-zip-top-utility-pouch</v>
      </c>
      <c r="B149" s="3" t="str">
        <f>HYPERLINK("https://edmondsonsupply.com/products/clc-1523-21-small-zip-top-utility-pouch", "https://edmondsonsupply.com/products/clc-1523-21-small-zip-top-utility-pouch")</f>
        <v>https://edmondsonsupply.com/products/clc-1523-21-small-zip-top-utility-pouch</v>
      </c>
      <c r="C149" t="s">
        <v>485</v>
      </c>
      <c r="D149" t="s">
        <v>486</v>
      </c>
      <c r="E149" s="3" t="str">
        <f>HYPERLINK("https://www.amazon.com/Custom-Leathercraft-1523-Ziptop-Utility/dp/B0047O3TYE/ref=sr_1_2?keywords=CLC+1523+21+Small+Ziptop%E2%84%A2+Utility+Pouch&amp;qid=1695173184&amp;sr=8-2", "https://www.amazon.com/Custom-Leathercraft-1523-Ziptop-Utility/dp/B0047O3TYE/ref=sr_1_2?keywords=CLC+1523+21+Small+Ziptop%E2%84%A2+Utility+Pouch&amp;qid=1695173184&amp;sr=8-2")</f>
        <v>https://www.amazon.com/Custom-Leathercraft-1523-Ziptop-Utility/dp/B0047O3TYE/ref=sr_1_2?keywords=CLC+1523+21+Small+Ziptop%E2%84%A2+Utility+Pouch&amp;qid=1695173184&amp;sr=8-2</v>
      </c>
      <c r="F149" t="s">
        <v>487</v>
      </c>
      <c r="G149" t="e">
        <f ca="1">_xludf.IMAGE("https://edmondsonsupply.com/cdn/shop/products/1523.jpg?v=1633030333")</f>
        <v>#NAME?</v>
      </c>
      <c r="H149" t="e">
        <f ca="1">_xludf.IMAGE("https://m.media-amazon.com/images/I/81gcgjndIzL._AC_UL320_.jpg")</f>
        <v>#NAME?</v>
      </c>
      <c r="I149" t="s">
        <v>488</v>
      </c>
      <c r="J149">
        <v>22.99</v>
      </c>
      <c r="K149" s="4">
        <v>0.15240000000000001</v>
      </c>
      <c r="L149">
        <v>4.5</v>
      </c>
      <c r="M149">
        <v>1006</v>
      </c>
      <c r="O149" t="s">
        <v>25</v>
      </c>
      <c r="P149" t="s">
        <v>122</v>
      </c>
      <c r="Q149" t="s">
        <v>489</v>
      </c>
    </row>
    <row r="150" spans="1:17" ht="15.5" x14ac:dyDescent="0.35">
      <c r="A150" s="3" t="str">
        <f>HYPERLINK("https://edmondsonsupply.com/collections/storage-organization/products/veto-pro-pac-ot-xl-extra-large-open-top-tool-bag", "https://edmondsonsupply.com/collections/storage-organization/products/veto-pro-pac-ot-xl-extra-large-open-top-tool-bag")</f>
        <v>https://edmondsonsupply.com/collections/storage-organization/products/veto-pro-pac-ot-xl-extra-large-open-top-tool-bag</v>
      </c>
      <c r="B150" s="3" t="str">
        <f>HYPERLINK("https://edmondsonsupply.com/products/veto-pro-pac-ot-xl-extra-large-open-top-tool-bag", "https://edmondsonsupply.com/products/veto-pro-pac-ot-xl-extra-large-open-top-tool-bag")</f>
        <v>https://edmondsonsupply.com/products/veto-pro-pac-ot-xl-extra-large-open-top-tool-bag</v>
      </c>
      <c r="C150" t="s">
        <v>456</v>
      </c>
      <c r="D150" t="s">
        <v>490</v>
      </c>
      <c r="E150" s="3" t="str">
        <f>HYPERLINK("https://www.amazon.com/Veto-OT-XXL-Extra-Large-Contractors/dp/B09D23MY9J/ref=sr_1_7?keywords=Veto+Pro+Pac+OT-XL+Extra+Large+Open+Top+Tool+Bag&amp;qid=1695173164&amp;sr=8-7", "https://www.amazon.com/Veto-OT-XXL-Extra-Large-Contractors/dp/B09D23MY9J/ref=sr_1_7?keywords=Veto+Pro+Pac+OT-XL+Extra+Large+Open+Top+Tool+Bag&amp;qid=1695173164&amp;sr=8-7")</f>
        <v>https://www.amazon.com/Veto-OT-XXL-Extra-Large-Contractors/dp/B09D23MY9J/ref=sr_1_7?keywords=Veto+Pro+Pac+OT-XL+Extra+Large+Open+Top+Tool+Bag&amp;qid=1695173164&amp;sr=8-7</v>
      </c>
      <c r="F150" t="s">
        <v>491</v>
      </c>
      <c r="G150" t="e">
        <f ca="1">_xludf.IMAGE("https://edmondsonsupply.com/cdn/shop/products/OTXL_600x830_0000_OT-XL_1.jpg?v=1649028209")</f>
        <v>#NAME?</v>
      </c>
      <c r="H150" t="e">
        <f ca="1">_xludf.IMAGE("https://m.media-amazon.com/images/I/512D3qm30wL._AC_UL320_.jpg")</f>
        <v>#NAME?</v>
      </c>
      <c r="I150" t="s">
        <v>457</v>
      </c>
      <c r="J150">
        <v>309.95</v>
      </c>
      <c r="K150" s="4">
        <v>0.1482</v>
      </c>
      <c r="L150">
        <v>4.9000000000000004</v>
      </c>
      <c r="M150">
        <v>20</v>
      </c>
      <c r="O150" t="s">
        <v>25</v>
      </c>
      <c r="P150" t="s">
        <v>138</v>
      </c>
      <c r="Q150" t="s">
        <v>458</v>
      </c>
    </row>
    <row r="151" spans="1:17" ht="15.5" x14ac:dyDescent="0.35">
      <c r="A151" s="3" t="str">
        <f>HYPERLINK("https://edmondsonsupply.com/collections/storage-organization/products/klein-tools-5141p-tool-bag-canvas-utility-bag-loop-connection-10-x-5-x-12-inch", "https://edmondsonsupply.com/collections/storage-organization/products/klein-tools-5141p-tool-bag-canvas-utility-bag-loop-connection-10-x-5-x-12-inch")</f>
        <v>https://edmondsonsupply.com/collections/storage-organization/products/klein-tools-5141p-tool-bag-canvas-utility-bag-loop-connection-10-x-5-x-12-inch</v>
      </c>
      <c r="B151" s="3" t="str">
        <f>HYPERLINK("https://edmondsonsupply.com/products/klein-tools-5141p-tool-bag-canvas-utility-bag-loop-connection-10-x-5-x-12-inch", "https://edmondsonsupply.com/products/klein-tools-5141p-tool-bag-canvas-utility-bag-loop-connection-10-x-5-x-12-inch")</f>
        <v>https://edmondsonsupply.com/products/klein-tools-5141p-tool-bag-canvas-utility-bag-loop-connection-10-x-5-x-12-inch</v>
      </c>
      <c r="C151" t="s">
        <v>492</v>
      </c>
      <c r="D151" t="s">
        <v>294</v>
      </c>
      <c r="E151" s="3" t="str">
        <f>HYPERLINK("https://www.amazon.com/Utility-Zipper-12-5-Inch-Klein-Tools/dp/B007V8RXVI/ref=sr_1_8?keywords=Klein+Tools+5141P+Tool+Bag%2C+Canvas+Utility+Bag%2C+Loop+Connection%2C+10+x+5+x+12-Inch&amp;qid=1695173180&amp;sr=8-8", "https://www.amazon.com/Utility-Zipper-12-5-Inch-Klein-Tools/dp/B007V8RXVI/ref=sr_1_8?keywords=Klein+Tools+5141P+Tool+Bag%2C+Canvas+Utility+Bag%2C+Loop+Connection%2C+10+x+5+x+12-Inch&amp;qid=1695173180&amp;sr=8-8")</f>
        <v>https://www.amazon.com/Utility-Zipper-12-5-Inch-Klein-Tools/dp/B007V8RXVI/ref=sr_1_8?keywords=Klein+Tools+5141P+Tool+Bag%2C+Canvas+Utility+Bag%2C+Loop+Connection%2C+10+x+5+x+12-Inch&amp;qid=1695173180&amp;sr=8-8</v>
      </c>
      <c r="F151" t="s">
        <v>295</v>
      </c>
      <c r="G151" t="e">
        <f ca="1">_xludf.IMAGE("https://edmondsonsupply.com/cdn/shop/products/5141-p.jpg?v=1633031061")</f>
        <v>#NAME?</v>
      </c>
      <c r="H151" t="e">
        <f ca="1">_xludf.IMAGE("https://m.media-amazon.com/images/I/61K2xaMr+oL._AC_UL320_.jpg")</f>
        <v>#NAME?</v>
      </c>
      <c r="I151" t="s">
        <v>493</v>
      </c>
      <c r="J151">
        <v>39</v>
      </c>
      <c r="K151" s="4">
        <v>0.1255</v>
      </c>
      <c r="L151">
        <v>4.8</v>
      </c>
      <c r="M151">
        <v>4463</v>
      </c>
      <c r="O151" t="s">
        <v>25</v>
      </c>
      <c r="P151" t="s">
        <v>494</v>
      </c>
      <c r="Q151" t="s">
        <v>495</v>
      </c>
    </row>
    <row r="152" spans="1:17" ht="15.5" x14ac:dyDescent="0.35">
      <c r="A152"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152" s="3" t="str">
        <f>HYPERLINK("https://edmondsonsupply.com/products/veto-pro-pac-tech-pac-mc-blackout", "https://edmondsonsupply.com/products/veto-pro-pac-tech-pac-mc-blackout")</f>
        <v>https://edmondsonsupply.com/products/veto-pro-pac-tech-pac-mc-blackout</v>
      </c>
      <c r="C152" t="s">
        <v>496</v>
      </c>
      <c r="D152" t="s">
        <v>497</v>
      </c>
      <c r="E152" s="3" t="str">
        <f>HYPERLINK("https://www.amazon.com/Veto-Pro-Pac-TECH-Black/dp/B085FQLM4N/ref=sr_1_2?keywords=Veto+Pro+Pac+TECH+PAC+MC+Blackout&amp;qid=1695173175&amp;sr=8-2", "https://www.amazon.com/Veto-Pro-Pac-TECH-Black/dp/B085FQLM4N/ref=sr_1_2?keywords=Veto+Pro+Pac+TECH+PAC+MC+Blackout&amp;qid=1695173175&amp;sr=8-2")</f>
        <v>https://www.amazon.com/Veto-Pro-Pac-TECH-Black/dp/B085FQLM4N/ref=sr_1_2?keywords=Veto+Pro+Pac+TECH+PAC+MC+Blackout&amp;qid=1695173175&amp;sr=8-2</v>
      </c>
      <c r="F152" t="s">
        <v>498</v>
      </c>
      <c r="G152" t="e">
        <f ca="1">_xludf.IMAGE("https://edmondsonsupply.com/cdn/shop/products/tech1.png?v=1633031062")</f>
        <v>#NAME?</v>
      </c>
      <c r="H152" t="e">
        <f ca="1">_xludf.IMAGE("https://m.media-amazon.com/images/I/91WcrOnbw2L._AC_UL320_.jpg")</f>
        <v>#NAME?</v>
      </c>
      <c r="I152" t="s">
        <v>499</v>
      </c>
      <c r="J152">
        <v>329.95</v>
      </c>
      <c r="K152" s="4">
        <v>0.11849999999999999</v>
      </c>
      <c r="L152">
        <v>4.8</v>
      </c>
      <c r="M152">
        <v>2266</v>
      </c>
      <c r="O152" t="s">
        <v>25</v>
      </c>
      <c r="P152" t="s">
        <v>138</v>
      </c>
      <c r="Q152" t="s">
        <v>500</v>
      </c>
    </row>
    <row r="153" spans="1:17" ht="15.5" x14ac:dyDescent="0.35">
      <c r="A153"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153" s="3" t="str">
        <f>HYPERLINK("https://edmondsonsupply.com/products/veto-pro-pac-tech-lc-tool-bag", "https://edmondsonsupply.com/products/veto-pro-pac-tech-lc-tool-bag")</f>
        <v>https://edmondsonsupply.com/products/veto-pro-pac-tech-lc-tool-bag</v>
      </c>
      <c r="C153" t="s">
        <v>410</v>
      </c>
      <c r="D153" t="s">
        <v>501</v>
      </c>
      <c r="E153" s="3" t="str">
        <f>HYPERLINK("https://www.amazon.com/VETO-PRO-PAC-TECH-MCT-Tool/dp/B01CENNFYS/ref=sr_1_4?keywords=Veto+Pro+Pac+TECH+MC+Compact+Tool+Bag&amp;qid=1695173172&amp;sr=8-4", "https://www.amazon.com/VETO-PRO-PAC-TECH-MCT-Tool/dp/B01CENNFYS/ref=sr_1_4?keywords=Veto+Pro+Pac+TECH+MC+Compact+Tool+Bag&amp;qid=1695173172&amp;sr=8-4")</f>
        <v>https://www.amazon.com/VETO-PRO-PAC-TECH-MCT-Tool/dp/B01CENNFYS/ref=sr_1_4?keywords=Veto+Pro+Pac+TECH+MC+Compact+Tool+Bag&amp;qid=1695173172&amp;sr=8-4</v>
      </c>
      <c r="F153" t="s">
        <v>502</v>
      </c>
      <c r="G153" t="e">
        <f ca="1">_xludf.IMAGE("https://edmondsonsupply.com/cdn/shop/products/MC1_87e0d14c-0e4f-4e1a-b23d-f796a6e88a52.jpg?v=1587147172")</f>
        <v>#NAME?</v>
      </c>
      <c r="H153" t="e">
        <f ca="1">_xludf.IMAGE("https://m.media-amazon.com/images/I/61GanfvVX6L._AC_UL320_.jpg")</f>
        <v>#NAME?</v>
      </c>
      <c r="I153" t="s">
        <v>413</v>
      </c>
      <c r="J153">
        <v>189.95</v>
      </c>
      <c r="K153" s="4">
        <v>0.1174</v>
      </c>
      <c r="L153">
        <v>4.8</v>
      </c>
      <c r="M153">
        <v>2083</v>
      </c>
      <c r="O153" t="s">
        <v>25</v>
      </c>
      <c r="P153" t="s">
        <v>138</v>
      </c>
      <c r="Q153" t="s">
        <v>414</v>
      </c>
    </row>
    <row r="154" spans="1:17" ht="15.5" x14ac:dyDescent="0.35">
      <c r="A154" s="3" t="str">
        <f>HYPERLINK("https://edmondsonsupply.com/collections/storage-organization/products/fluke-c60-soft-carrying-case", "https://edmondsonsupply.com/collections/storage-organization/products/fluke-c60-soft-carrying-case")</f>
        <v>https://edmondsonsupply.com/collections/storage-organization/products/fluke-c60-soft-carrying-case</v>
      </c>
      <c r="B154" s="3" t="str">
        <f>HYPERLINK("https://edmondsonsupply.com/products/fluke-c60-soft-carrying-case", "https://edmondsonsupply.com/products/fluke-c60-soft-carrying-case")</f>
        <v>https://edmondsonsupply.com/products/fluke-c60-soft-carrying-case</v>
      </c>
      <c r="C154" t="s">
        <v>265</v>
      </c>
      <c r="D154" t="s">
        <v>503</v>
      </c>
      <c r="E154" s="3" t="str">
        <f>HYPERLINK("https://www.amazon.com/Fluke-C150-Zippered-Carrying-T5-1000/dp/B01C3ECK5S/ref=sr_1_7?keywords=Fluke+C60+Soft+Carrying+Case&amp;qid=1695173198&amp;sr=8-7", "https://www.amazon.com/Fluke-C150-Zippered-Carrying-T5-1000/dp/B01C3ECK5S/ref=sr_1_7?keywords=Fluke+C60+Soft+Carrying+Case&amp;qid=1695173198&amp;sr=8-7")</f>
        <v>https://www.amazon.com/Fluke-C150-Zippered-Carrying-T5-1000/dp/B01C3ECK5S/ref=sr_1_7?keywords=Fluke+C60+Soft+Carrying+Case&amp;qid=1695173198&amp;sr=8-7</v>
      </c>
      <c r="F154" t="s">
        <v>504</v>
      </c>
      <c r="G154" t="e">
        <f ca="1">_xludf.IMAGE("https://edmondsonsupply.com/cdn/shop/products/c60.png?v=1633030926")</f>
        <v>#NAME?</v>
      </c>
      <c r="H154" t="e">
        <f ca="1">_xludf.IMAGE("https://m.media-amazon.com/images/I/61l4A5eTrxL._AC_UL320_.jpg")</f>
        <v>#NAME?</v>
      </c>
      <c r="I154" t="s">
        <v>268</v>
      </c>
      <c r="J154">
        <v>54.59</v>
      </c>
      <c r="K154" s="4">
        <v>0.1031</v>
      </c>
      <c r="L154">
        <v>4.5999999999999996</v>
      </c>
      <c r="M154">
        <v>300</v>
      </c>
      <c r="O154" t="s">
        <v>25</v>
      </c>
      <c r="P154" t="s">
        <v>269</v>
      </c>
      <c r="Q154" t="s">
        <v>270</v>
      </c>
    </row>
    <row r="155" spans="1:17" ht="15.5" x14ac:dyDescent="0.35">
      <c r="A155" s="3" t="str">
        <f>HYPERLINK("https://edmondsonsupply.com/collections/storage-organization/products/klein-tools-58888-12-pocket-tool-tote-with-shoulder-strap", "https://edmondsonsupply.com/collections/storage-organization/products/klein-tools-58888-12-pocket-tool-tote-with-shoulder-strap")</f>
        <v>https://edmondsonsupply.com/collections/storage-organization/products/klein-tools-58888-12-pocket-tool-tote-with-shoulder-strap</v>
      </c>
      <c r="B155" s="3" t="str">
        <f>HYPERLINK("https://edmondsonsupply.com/products/klein-tools-58888-12-pocket-tool-tote-with-shoulder-strap", "https://edmondsonsupply.com/products/klein-tools-58888-12-pocket-tool-tote-with-shoulder-strap")</f>
        <v>https://edmondsonsupply.com/products/klein-tools-58888-12-pocket-tool-tote-with-shoulder-strap</v>
      </c>
      <c r="C155" t="s">
        <v>445</v>
      </c>
      <c r="D155" t="s">
        <v>505</v>
      </c>
      <c r="E155" s="3" t="str">
        <f>HYPERLINK("https://www.amazon.com/Shoulder-Interior-Klein-Tools-5541610-14/dp/B00MS16CU6/ref=sr_1_3?keywords=Klein+Tools+58888+12+Pocket+Tool+Tote+with+Shoulder+Strap&amp;qid=1695173168&amp;sr=8-3", "https://www.amazon.com/Shoulder-Interior-Klein-Tools-5541610-14/dp/B00MS16CU6/ref=sr_1_3?keywords=Klein+Tools+58888+12+Pocket+Tool+Tote+with+Shoulder+Strap&amp;qid=1695173168&amp;sr=8-3")</f>
        <v>https://www.amazon.com/Shoulder-Interior-Klein-Tools-5541610-14/dp/B00MS16CU6/ref=sr_1_3?keywords=Klein+Tools+58888+12+Pocket+Tool+Tote+with+Shoulder+Strap&amp;qid=1695173168&amp;sr=8-3</v>
      </c>
      <c r="F155" t="s">
        <v>506</v>
      </c>
      <c r="G155" t="e">
        <f ca="1">_xludf.IMAGE("https://edmondsonsupply.com/cdn/shop/products/58888.jpg?v=1660004615")</f>
        <v>#NAME?</v>
      </c>
      <c r="H155" t="e">
        <f ca="1">_xludf.IMAGE("https://m.media-amazon.com/images/I/61ach47aWeL._AC_UL320_.jpg")</f>
        <v>#NAME?</v>
      </c>
      <c r="I155" t="s">
        <v>448</v>
      </c>
      <c r="J155">
        <v>90.15</v>
      </c>
      <c r="K155" s="4">
        <v>8.6300000000000002E-2</v>
      </c>
      <c r="L155">
        <v>4.8</v>
      </c>
      <c r="M155">
        <v>2932</v>
      </c>
      <c r="O155" t="s">
        <v>25</v>
      </c>
      <c r="P155" t="s">
        <v>449</v>
      </c>
      <c r="Q155" t="s">
        <v>450</v>
      </c>
    </row>
    <row r="156" spans="1:17" ht="15.5" x14ac:dyDescent="0.35">
      <c r="A156" s="3" t="str">
        <f>HYPERLINK("https://edmondsonsupply.com/collections/storage-organization/products/clc-pb1133-molded-rubber-bottom-tool-backpack", "https://edmondsonsupply.com/collections/storage-organization/products/clc-pb1133-molded-rubber-bottom-tool-backpack")</f>
        <v>https://edmondsonsupply.com/collections/storage-organization/products/clc-pb1133-molded-rubber-bottom-tool-backpack</v>
      </c>
      <c r="B156" s="3" t="str">
        <f>HYPERLINK("https://edmondsonsupply.com/products/clc-pb1133-molded-rubber-bottom-tool-backpack", "https://edmondsonsupply.com/products/clc-pb1133-molded-rubber-bottom-tool-backpack")</f>
        <v>https://edmondsonsupply.com/products/clc-pb1133-molded-rubber-bottom-tool-backpack</v>
      </c>
      <c r="C156" t="s">
        <v>507</v>
      </c>
      <c r="D156" t="s">
        <v>237</v>
      </c>
      <c r="E156" s="3" t="str">
        <f>HYPERLINK("https://www.amazon.com/PB1133-Pocket-Backpack-Multi-Purpose-Zippered/dp/B09Z92LJFF/ref=sr_1_1?keywords=CLC+PB1133+Molded+Rubber+Bottom+Tool+Backpack&amp;qid=1695173175&amp;sr=8-1", "https://www.amazon.com/PB1133-Pocket-Backpack-Multi-Purpose-Zippered/dp/B09Z92LJFF/ref=sr_1_1?keywords=CLC+PB1133+Molded+Rubber+Bottom+Tool+Backpack&amp;qid=1695173175&amp;sr=8-1")</f>
        <v>https://www.amazon.com/PB1133-Pocket-Backpack-Multi-Purpose-Zippered/dp/B09Z92LJFF/ref=sr_1_1?keywords=CLC+PB1133+Molded+Rubber+Bottom+Tool+Backpack&amp;qid=1695173175&amp;sr=8-1</v>
      </c>
      <c r="F156" t="s">
        <v>238</v>
      </c>
      <c r="G156" t="e">
        <f ca="1">_xludf.IMAGE("https://edmondsonsupply.com/cdn/shop/products/PB1133.png?v=1633031051")</f>
        <v>#NAME?</v>
      </c>
      <c r="H156" t="e">
        <f ca="1">_xludf.IMAGE("https://m.media-amazon.com/images/I/510j+91N6EL._AC_UL320_.jpg")</f>
        <v>#NAME?</v>
      </c>
      <c r="I156" t="s">
        <v>369</v>
      </c>
      <c r="J156">
        <v>128.97999999999999</v>
      </c>
      <c r="K156" s="4">
        <v>8.3900000000000002E-2</v>
      </c>
      <c r="L156">
        <v>4.2</v>
      </c>
      <c r="M156">
        <v>4</v>
      </c>
      <c r="O156" t="s">
        <v>25</v>
      </c>
      <c r="P156" t="s">
        <v>282</v>
      </c>
      <c r="Q156" t="s">
        <v>508</v>
      </c>
    </row>
    <row r="157" spans="1:17" ht="15.5" x14ac:dyDescent="0.35">
      <c r="A157"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157" s="3" t="str">
        <f>HYPERLINK("https://edmondsonsupply.com/products/veto-pro-pac-tech-lc-tool-bag", "https://edmondsonsupply.com/products/veto-pro-pac-tech-lc-tool-bag")</f>
        <v>https://edmondsonsupply.com/products/veto-pro-pac-tech-lc-tool-bag</v>
      </c>
      <c r="C157" t="s">
        <v>410</v>
      </c>
      <c r="D157" t="s">
        <v>509</v>
      </c>
      <c r="E157" s="3" t="str">
        <f>HYPERLINK("https://www.amazon.com/Veto-TECH-OT-SC-Sub-Compact-Electrician/dp/B09ZC63KFK/ref=sr_1_7?keywords=Veto+Pro+Pac+TECH+MC+Compact+Tool+Bag&amp;qid=1695173172&amp;sr=8-7", "https://www.amazon.com/Veto-TECH-OT-SC-Sub-Compact-Electrician/dp/B09ZC63KFK/ref=sr_1_7?keywords=Veto+Pro+Pac+TECH+MC+Compact+Tool+Bag&amp;qid=1695173172&amp;sr=8-7")</f>
        <v>https://www.amazon.com/Veto-TECH-OT-SC-Sub-Compact-Electrician/dp/B09ZC63KFK/ref=sr_1_7?keywords=Veto+Pro+Pac+TECH+MC+Compact+Tool+Bag&amp;qid=1695173172&amp;sr=8-7</v>
      </c>
      <c r="F157" t="s">
        <v>510</v>
      </c>
      <c r="G157" t="e">
        <f ca="1">_xludf.IMAGE("https://edmondsonsupply.com/cdn/shop/products/MC1_87e0d14c-0e4f-4e1a-b23d-f796a6e88a52.jpg?v=1587147172")</f>
        <v>#NAME?</v>
      </c>
      <c r="H157" t="e">
        <f ca="1">_xludf.IMAGE("https://m.media-amazon.com/images/I/51LTwfYG5eL._AC_UL320_.jpg")</f>
        <v>#NAME?</v>
      </c>
      <c r="I157" t="s">
        <v>413</v>
      </c>
      <c r="J157">
        <v>179.95</v>
      </c>
      <c r="K157" s="4">
        <v>5.8599999999999999E-2</v>
      </c>
      <c r="L157">
        <v>4.7</v>
      </c>
      <c r="M157">
        <v>21</v>
      </c>
      <c r="O157" t="s">
        <v>25</v>
      </c>
      <c r="P157" t="s">
        <v>138</v>
      </c>
      <c r="Q157" t="s">
        <v>414</v>
      </c>
    </row>
    <row r="158" spans="1:17" ht="15.5" x14ac:dyDescent="0.35">
      <c r="A158" s="3" t="str">
        <f>HYPERLINK("https://edmondsonsupply.com/collections/storage-organization/products/veto-pro-pac-tech-pac-backpack-tool-bag-3", "https://edmondsonsupply.com/collections/storage-organization/products/veto-pro-pac-tech-pac-backpack-tool-bag-3")</f>
        <v>https://edmondsonsupply.com/collections/storage-organization/products/veto-pro-pac-tech-pac-backpack-tool-bag-3</v>
      </c>
      <c r="B158" s="3" t="str">
        <f>HYPERLINK("https://edmondsonsupply.com/products/veto-pro-pac-tech-pac-backpack-tool-bag-3", "https://edmondsonsupply.com/products/veto-pro-pac-tech-pac-backpack-tool-bag-3")</f>
        <v>https://edmondsonsupply.com/products/veto-pro-pac-tech-pac-backpack-tool-bag-3</v>
      </c>
      <c r="C158" t="s">
        <v>511</v>
      </c>
      <c r="D158" t="s">
        <v>512</v>
      </c>
      <c r="E158" s="3" t="str">
        <f>HYPERLINK("https://www.amazon.com/VETO-PRO-PAC-Tech-Pac/dp/B00WZLTCHO/ref=sr_1_5?keywords=Veto+Pro+Pac+TECH+PAC+MC+Backpack+Tool+Bag&amp;qid=1695173160&amp;sr=8-5", "https://www.amazon.com/VETO-PRO-PAC-Tech-Pac/dp/B00WZLTCHO/ref=sr_1_5?keywords=Veto+Pro+Pac+TECH+PAC+MC+Backpack+Tool+Bag&amp;qid=1695173160&amp;sr=8-5")</f>
        <v>https://www.amazon.com/VETO-PRO-PAC-Tech-Pac/dp/B00WZLTCHO/ref=sr_1_5?keywords=Veto+Pro+Pac+TECH+PAC+MC+Backpack+Tool+Bag&amp;qid=1695173160&amp;sr=8-5</v>
      </c>
      <c r="F158" t="s">
        <v>513</v>
      </c>
      <c r="G158" t="e">
        <f ca="1">_xludf.IMAGE("https://edmondsonsupply.com/cdn/shop/products/MC2.jpg?v=1642553730")</f>
        <v>#NAME?</v>
      </c>
      <c r="H158" t="e">
        <f ca="1">_xludf.IMAGE("https://m.media-amazon.com/images/I/61uz-pihn8L._AC_UL320_.jpg")</f>
        <v>#NAME?</v>
      </c>
      <c r="I158" t="s">
        <v>514</v>
      </c>
      <c r="J158">
        <v>289.95</v>
      </c>
      <c r="K158" s="4">
        <v>5.4399999999999997E-2</v>
      </c>
      <c r="L158">
        <v>4.7</v>
      </c>
      <c r="M158">
        <v>285</v>
      </c>
      <c r="O158" t="s">
        <v>25</v>
      </c>
      <c r="P158" t="s">
        <v>138</v>
      </c>
      <c r="Q158" t="s">
        <v>515</v>
      </c>
    </row>
    <row r="159" spans="1:17" ht="15.5" x14ac:dyDescent="0.35">
      <c r="A159" s="3" t="str">
        <f>HYPERLINK("https://edmondsonsupply.com/collections/storage-organization/products/hilmor-1891628-hvac-r-refrigerant-tank-utility-backpack", "https://edmondsonsupply.com/collections/storage-organization/products/hilmor-1891628-hvac-r-refrigerant-tank-utility-backpack")</f>
        <v>https://edmondsonsupply.com/collections/storage-organization/products/hilmor-1891628-hvac-r-refrigerant-tank-utility-backpack</v>
      </c>
      <c r="B159" s="3" t="str">
        <f>HYPERLINK("https://edmondsonsupply.com/products/hilmor-1891628-hvac-r-refrigerant-tank-utility-backpack", "https://edmondsonsupply.com/products/hilmor-1891628-hvac-r-refrigerant-tank-utility-backpack")</f>
        <v>https://edmondsonsupply.com/products/hilmor-1891628-hvac-r-refrigerant-tank-utility-backpack</v>
      </c>
      <c r="C159" t="s">
        <v>516</v>
      </c>
      <c r="D159" t="s">
        <v>517</v>
      </c>
      <c r="E159" s="3" t="str">
        <f>HYPERLINK("https://www.amazon.com/hilmor-1891628-Refrigerant-Utility-Backpack/dp/B00SWBG814/ref=sr_1_fkmr0_1?keywords=Hilmor+1891628+HVAC%2FR+Refrigerant+Tank&amp;qid=1695173178&amp;sr=8-1-fkmr0", "https://www.amazon.com/hilmor-1891628-Refrigerant-Utility-Backpack/dp/B00SWBG814/ref=sr_1_fkmr0_1?keywords=Hilmor+1891628+HVAC%2FR+Refrigerant+Tank&amp;qid=1695173178&amp;sr=8-1-fkmr0")</f>
        <v>https://www.amazon.com/hilmor-1891628-Refrigerant-Utility-Backpack/dp/B00SWBG814/ref=sr_1_fkmr0_1?keywords=Hilmor+1891628+HVAC%2FR+Refrigerant+Tank&amp;qid=1695173178&amp;sr=8-1-fkmr0</v>
      </c>
      <c r="F159" t="s">
        <v>518</v>
      </c>
      <c r="G159" t="e">
        <f ca="1">_xludf.IMAGE("https://edmondsonsupply.com/cdn/shop/products/1891628-735x480.jpg?v=1633030788")</f>
        <v>#NAME?</v>
      </c>
      <c r="H159" t="e">
        <f ca="1">_xludf.IMAGE("https://m.media-amazon.com/images/I/918YcWoZWzL._AC_UL320_.jpg")</f>
        <v>#NAME?</v>
      </c>
      <c r="I159" t="s">
        <v>519</v>
      </c>
      <c r="J159">
        <v>71.989999999999995</v>
      </c>
      <c r="K159" s="4">
        <v>5.4199999999999998E-2</v>
      </c>
      <c r="L159">
        <v>4.5999999999999996</v>
      </c>
      <c r="M159">
        <v>15</v>
      </c>
      <c r="O159" t="s">
        <v>25</v>
      </c>
      <c r="P159" t="s">
        <v>520</v>
      </c>
      <c r="Q159" t="s">
        <v>521</v>
      </c>
    </row>
    <row r="160" spans="1:17" ht="15.5" x14ac:dyDescent="0.35">
      <c r="A160" s="3" t="str">
        <f>HYPERLINK("https://edmondsonsupply.com/collections/storage-organization/products/klein-tools-5114dsc-canvas-bucket-with-drawstring-close-17-inch", "https://edmondsonsupply.com/collections/storage-organization/products/klein-tools-5114dsc-canvas-bucket-with-drawstring-close-17-inch")</f>
        <v>https://edmondsonsupply.com/collections/storage-organization/products/klein-tools-5114dsc-canvas-bucket-with-drawstring-close-17-inch</v>
      </c>
      <c r="B160" s="3" t="str">
        <f>HYPERLINK("https://edmondsonsupply.com/products/klein-tools-5114dsc-canvas-bucket-with-drawstring-close-17-inch", "https://edmondsonsupply.com/products/klein-tools-5114dsc-canvas-bucket-with-drawstring-close-17-inch")</f>
        <v>https://edmondsonsupply.com/products/klein-tools-5114dsc-canvas-bucket-with-drawstring-close-17-inch</v>
      </c>
      <c r="C160" t="s">
        <v>522</v>
      </c>
      <c r="D160" t="s">
        <v>523</v>
      </c>
      <c r="E160" s="3" t="str">
        <f>HYPERLINK("https://www.amazon.com/Klein-Tools-5114DSC-Drawstring-Reinforced/dp/B08BQ27XQB/ref=sr_1_1?keywords=Klein+Tools+5114DSC+Canvas+Bucket+with+Drawstring+Close%2C+17-Inch&amp;qid=1695173181&amp;sr=8-1", "https://www.amazon.com/Klein-Tools-5114DSC-Drawstring-Reinforced/dp/B08BQ27XQB/ref=sr_1_1?keywords=Klein+Tools+5114DSC+Canvas+Bucket+with+Drawstring+Close%2C+17-Inch&amp;qid=1695173181&amp;sr=8-1")</f>
        <v>https://www.amazon.com/Klein-Tools-5114DSC-Drawstring-Reinforced/dp/B08BQ27XQB/ref=sr_1_1?keywords=Klein+Tools+5114DSC+Canvas+Bucket+with+Drawstring+Close%2C+17-Inch&amp;qid=1695173181&amp;sr=8-1</v>
      </c>
      <c r="F160" t="s">
        <v>524</v>
      </c>
      <c r="G160" t="e">
        <f ca="1">_xludf.IMAGE("https://edmondsonsupply.com/cdn/shop/products/5114dsc.jpg?v=1633030814")</f>
        <v>#NAME?</v>
      </c>
      <c r="H160" t="e">
        <f ca="1">_xludf.IMAGE("https://m.media-amazon.com/images/I/51v3kR-RRnL._AC_UL320_.jpg")</f>
        <v>#NAME?</v>
      </c>
      <c r="I160" t="s">
        <v>525</v>
      </c>
      <c r="J160">
        <v>113.45</v>
      </c>
      <c r="K160" s="4">
        <v>5.0599999999999999E-2</v>
      </c>
      <c r="L160">
        <v>4</v>
      </c>
      <c r="M160">
        <v>5</v>
      </c>
      <c r="O160" t="s">
        <v>25</v>
      </c>
      <c r="P160" t="s">
        <v>526</v>
      </c>
      <c r="Q160" t="s">
        <v>527</v>
      </c>
    </row>
    <row r="161" spans="1:17" ht="15.5" x14ac:dyDescent="0.35">
      <c r="A161" s="3" t="str">
        <f>HYPERLINK("https://edmondsonsupply.com/collections/storage-organization/products/veto-pro-pac-tech-ot-mc-tool-tote", "https://edmondsonsupply.com/collections/storage-organization/products/veto-pro-pac-tech-ot-mc-tool-tote")</f>
        <v>https://edmondsonsupply.com/collections/storage-organization/products/veto-pro-pac-tech-ot-mc-tool-tote</v>
      </c>
      <c r="B161" s="3" t="str">
        <f>HYPERLINK("https://edmondsonsupply.com/products/veto-pro-pac-tech-ot-mc-tool-tote", "https://edmondsonsupply.com/products/veto-pro-pac-tech-ot-mc-tool-tote")</f>
        <v>https://edmondsonsupply.com/products/veto-pro-pac-tech-ot-mc-tool-tote</v>
      </c>
      <c r="C161" t="s">
        <v>528</v>
      </c>
      <c r="D161" t="s">
        <v>529</v>
      </c>
      <c r="E161" s="3" t="str">
        <f>HYPERLINK("https://www.amazon.com/Veto-Pro-Tech-TT-Tool-Tote/dp/B0BKTVB3NT/ref=sr_1_5?keywords=Veto+Pro+Pac+Tech+OT-MC+Tool+Tote&amp;qid=1695173157&amp;sr=8-5", "https://www.amazon.com/Veto-Pro-Tech-TT-Tool-Tote/dp/B0BKTVB3NT/ref=sr_1_5?keywords=Veto+Pro+Pac+Tech+OT-MC+Tool+Tote&amp;qid=1695173157&amp;sr=8-5")</f>
        <v>https://www.amazon.com/Veto-Pro-Tech-TT-Tool-Tote/dp/B0BKTVB3NT/ref=sr_1_5?keywords=Veto+Pro+Pac+Tech+OT-MC+Tool+Tote&amp;qid=1695173157&amp;sr=8-5</v>
      </c>
      <c r="F161" t="s">
        <v>530</v>
      </c>
      <c r="G161" t="e">
        <f ca="1">_xludf.IMAGE("https://edmondsonsupply.com/cdn/shop/products/otmc1_048af870-c580-47c1-b832-021ca8939d35.jpg?v=1587146037")</f>
        <v>#NAME?</v>
      </c>
      <c r="H161" t="e">
        <f ca="1">_xludf.IMAGE("https://m.media-amazon.com/images/I/51f43DVmcFL._AC_UL320_.jpg")</f>
        <v>#NAME?</v>
      </c>
      <c r="I161" t="s">
        <v>454</v>
      </c>
      <c r="J161">
        <v>219.95</v>
      </c>
      <c r="K161" s="4">
        <v>4.7399999999999998E-2</v>
      </c>
      <c r="L161">
        <v>5</v>
      </c>
      <c r="M161">
        <v>7</v>
      </c>
      <c r="O161" t="s">
        <v>25</v>
      </c>
      <c r="P161" t="s">
        <v>138</v>
      </c>
      <c r="Q161" t="s">
        <v>531</v>
      </c>
    </row>
    <row r="162" spans="1:17" ht="15.5" x14ac:dyDescent="0.35">
      <c r="A162" s="3" t="str">
        <f>HYPERLINK("https://edmondsonsupply.com/collections/storage-organization/products/veto-pro-pac-tf-xxl-extra-large-open-top-contractor-s-tool-bag", "https://edmondsonsupply.com/collections/storage-organization/products/veto-pro-pac-tf-xxl-extra-large-open-top-contractor-s-tool-bag")</f>
        <v>https://edmondsonsupply.com/collections/storage-organization/products/veto-pro-pac-tf-xxl-extra-large-open-top-contractor-s-tool-bag</v>
      </c>
      <c r="B162" s="3" t="str">
        <f>HYPERLINK("https://edmondsonsupply.com/products/veto-pro-pac-tf-xxl-extra-large-open-top-contractor-s-tool-bag", "https://edmondsonsupply.com/products/veto-pro-pac-tf-xxl-extra-large-open-top-contractor-s-tool-bag")</f>
        <v>https://edmondsonsupply.com/products/veto-pro-pac-tf-xxl-extra-large-open-top-contractor-s-tool-bag</v>
      </c>
      <c r="C162" t="s">
        <v>532</v>
      </c>
      <c r="D162" t="s">
        <v>490</v>
      </c>
      <c r="E162" s="3" t="str">
        <f>HYPERLINK("https://www.amazon.com/Veto-OT-XXL-Extra-Large-Contractors/dp/B09D23MY9J/ref=sr_1_1?keywords=Veto+Pro+Pac+TF-XXL+Extra+Large+Open+Top+Contractor%E2%80%99s+Tool+Bag&amp;qid=1695173165&amp;sr=8-1", "https://www.amazon.com/Veto-OT-XXL-Extra-Large-Contractors/dp/B09D23MY9J/ref=sr_1_1?keywords=Veto+Pro+Pac+TF-XXL+Extra+Large+Open+Top+Contractor%E2%80%99s+Tool+Bag&amp;qid=1695173165&amp;sr=8-1")</f>
        <v>https://www.amazon.com/Veto-OT-XXL-Extra-Large-Contractors/dp/B09D23MY9J/ref=sr_1_1?keywords=Veto+Pro+Pac+TF-XXL+Extra+Large+Open+Top+Contractor%E2%80%99s+Tool+Bag&amp;qid=1695173165&amp;sr=8-1</v>
      </c>
      <c r="F162" t="s">
        <v>491</v>
      </c>
      <c r="G162" t="e">
        <f ca="1">_xludf.IMAGE("https://edmondsonsupply.com/cdn/shop/files/1_TF-XXL-2.jpg?v=1694608683")</f>
        <v>#NAME?</v>
      </c>
      <c r="H162" t="e">
        <f ca="1">_xludf.IMAGE("https://m.media-amazon.com/images/I/512D3qm30wL._AC_UL320_.jpg")</f>
        <v>#NAME?</v>
      </c>
      <c r="I162" t="s">
        <v>533</v>
      </c>
      <c r="J162">
        <v>309.95</v>
      </c>
      <c r="K162" s="4">
        <v>3.32E-2</v>
      </c>
      <c r="L162">
        <v>4.9000000000000004</v>
      </c>
      <c r="M162">
        <v>20</v>
      </c>
      <c r="O162" t="s">
        <v>25</v>
      </c>
      <c r="P162" t="s">
        <v>138</v>
      </c>
      <c r="Q162" t="s">
        <v>534</v>
      </c>
    </row>
    <row r="163" spans="1:17" ht="15.5" x14ac:dyDescent="0.35">
      <c r="A163" s="3" t="str">
        <f>HYPERLINK("https://edmondsonsupply.com/collections/storage-organization/products/klein-tools-5539red-canvas-zipper-bag-consumables-red", "https://edmondsonsupply.com/collections/storage-organization/products/klein-tools-5539red-canvas-zipper-bag-consumables-red")</f>
        <v>https://edmondsonsupply.com/collections/storage-organization/products/klein-tools-5539red-canvas-zipper-bag-consumables-red</v>
      </c>
      <c r="B163" s="3" t="str">
        <f>HYPERLINK("https://edmondsonsupply.com/products/klein-tools-5539red-canvas-zipper-bag-consumables-red", "https://edmondsonsupply.com/products/klein-tools-5539red-canvas-zipper-bag-consumables-red")</f>
        <v>https://edmondsonsupply.com/products/klein-tools-5539red-canvas-zipper-bag-consumables-red</v>
      </c>
      <c r="C163" t="s">
        <v>293</v>
      </c>
      <c r="D163" t="s">
        <v>535</v>
      </c>
      <c r="E163" s="3" t="str">
        <f>HYPERLINK("https://www.amazon.com/Canvas-Consumables-Klein-Tools-5539RED/dp/B0069KD084/ref=sr_1_1?keywords=Klein+Tools+5539RED+Zipper+Bag%2C+Canvas+Tool+Pouch%2C+10-Inch%2C+Red&amp;qid=1695173191&amp;sr=8-1", "https://www.amazon.com/Canvas-Consumables-Klein-Tools-5539RED/dp/B0069KD084/ref=sr_1_1?keywords=Klein+Tools+5539RED+Zipper+Bag%2C+Canvas+Tool+Pouch%2C+10-Inch%2C+Red&amp;qid=1695173191&amp;sr=8-1")</f>
        <v>https://www.amazon.com/Canvas-Consumables-Klein-Tools-5539RED/dp/B0069KD084/ref=sr_1_1?keywords=Klein+Tools+5539RED+Zipper+Bag%2C+Canvas+Tool+Pouch%2C+10-Inch%2C+Red&amp;qid=1695173191&amp;sr=8-1</v>
      </c>
      <c r="F163" t="s">
        <v>536</v>
      </c>
      <c r="G163" t="e">
        <f ca="1">_xludf.IMAGE("https://edmondsonsupply.com/cdn/shop/products/5539red.jpg?v=1633030465")</f>
        <v>#NAME?</v>
      </c>
      <c r="H163" t="e">
        <f ca="1">_xludf.IMAGE("https://m.media-amazon.com/images/I/71PEUQfmrVL._AC_UL320_.jpg")</f>
        <v>#NAME?</v>
      </c>
      <c r="I163" t="s">
        <v>288</v>
      </c>
      <c r="J163">
        <v>14.06</v>
      </c>
      <c r="K163" s="4">
        <v>5.0000000000000001E-3</v>
      </c>
      <c r="L163">
        <v>4.7</v>
      </c>
      <c r="M163">
        <v>832</v>
      </c>
      <c r="O163" t="s">
        <v>25</v>
      </c>
      <c r="P163" t="s">
        <v>289</v>
      </c>
      <c r="Q163" t="s">
        <v>296</v>
      </c>
    </row>
    <row r="164" spans="1:17" ht="15.5" x14ac:dyDescent="0.35">
      <c r="A164" s="3" t="str">
        <f>HYPERLINK("https://edmondsonsupply.com/collections/storage-organization/products/clc-1509-21-pocket-zippered-professional-electricians-tool-pouch", "https://edmondsonsupply.com/collections/storage-organization/products/clc-1509-21-pocket-zippered-professional-electricians-tool-pouch")</f>
        <v>https://edmondsonsupply.com/collections/storage-organization/products/clc-1509-21-pocket-zippered-professional-electricians-tool-pouch</v>
      </c>
      <c r="B164" s="3" t="str">
        <f>HYPERLINK("https://edmondsonsupply.com/products/clc-1509-21-pocket-zippered-professional-electricians-tool-pouch", "https://edmondsonsupply.com/products/clc-1509-21-pocket-zippered-professional-electricians-tool-pouch")</f>
        <v>https://edmondsonsupply.com/products/clc-1509-21-pocket-zippered-professional-electricians-tool-pouch</v>
      </c>
      <c r="C164" t="s">
        <v>537</v>
      </c>
      <c r="D164" t="s">
        <v>538</v>
      </c>
      <c r="E164" s="3" t="str">
        <f>HYPERLINK("https://www.amazon.com/Custom-Leathercraft-1509-Professional-Electricians/dp/B0001ZI524/ref=sr_1_1?keywords=CLC+1509+21+Pocket+Zippered+Professional+Electrician%27s+Tool+Pouch&amp;qid=1695173202&amp;sr=8-1", "https://www.amazon.com/Custom-Leathercraft-1509-Professional-Electricians/dp/B0001ZI524/ref=sr_1_1?keywords=CLC+1509+21+Pocket+Zippered+Professional+Electrician%27s+Tool+Pouch&amp;qid=1695173202&amp;sr=8-1")</f>
        <v>https://www.amazon.com/Custom-Leathercraft-1509-Professional-Electricians/dp/B0001ZI524/ref=sr_1_1?keywords=CLC+1509+21+Pocket+Zippered+Professional+Electrician%27s+Tool+Pouch&amp;qid=1695173202&amp;sr=8-1</v>
      </c>
      <c r="F164" t="s">
        <v>539</v>
      </c>
      <c r="G164" t="e">
        <f ca="1">_xludf.IMAGE("https://edmondsonsupply.com/cdn/shop/products/1509_REV17.jpg?v=1633030331")</f>
        <v>#NAME?</v>
      </c>
      <c r="H164" t="e">
        <f ca="1">_xludf.IMAGE("https://m.media-amazon.com/images/I/81VBCQX1UxL._AC_UL320_.jpg")</f>
        <v>#NAME?</v>
      </c>
      <c r="I164" t="s">
        <v>540</v>
      </c>
      <c r="J164">
        <v>49.95</v>
      </c>
      <c r="K164" s="4">
        <v>0</v>
      </c>
      <c r="L164">
        <v>4.5999999999999996</v>
      </c>
      <c r="M164">
        <v>1843</v>
      </c>
      <c r="O164" t="s">
        <v>25</v>
      </c>
      <c r="P164" t="s">
        <v>392</v>
      </c>
      <c r="Q164" t="s">
        <v>541</v>
      </c>
    </row>
    <row r="165" spans="1:17" ht="15.5" x14ac:dyDescent="0.35">
      <c r="A165" s="3" t="str">
        <f>HYPERLINK("https://edmondsonsupply.com/collections/storage-organization/products/klein-tools-55421bp-14-tradesman-pro%E2%84%A2-tool-bag-backpack-39-pockets-black-14-inch", "https://edmondsonsupply.com/collections/storage-organization/products/klein-tools-55421bp-14-tradesman-pro%E2%84%A2-tool-bag-backpack-39-pockets-black-14-inch")</f>
        <v>https://edmondsonsupply.com/collections/storage-organization/products/klein-tools-55421bp-14-tradesman-pro%E2%84%A2-tool-bag-backpack-39-pockets-black-14-inch</v>
      </c>
      <c r="B165"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165" t="s">
        <v>542</v>
      </c>
      <c r="D165" t="s">
        <v>543</v>
      </c>
      <c r="E165" s="3" t="str">
        <f>HYPERLINK("https://www.amazon.com/Electrician-Tradesman-Klein-Tools-55421BP-14/dp/B00MK9UY0A/ref=sr_1_1?keywords=Klein+Tools+55421BP-14+Tradesman+Pro%E2%84%A2+Tool+Bag+Backpack%2C+39+Pockets%2C+Black%2C+14-Inch&amp;qid=1695173172&amp;sr=8-1", "https://www.amazon.com/Electrician-Tradesman-Klein-Tools-55421BP-14/dp/B00MK9UY0A/ref=sr_1_1?keywords=Klein+Tools+55421BP-14+Tradesman+Pro%E2%84%A2+Tool+Bag+Backpack%2C+39+Pockets%2C+Black%2C+14-Inch&amp;qid=1695173172&amp;sr=8-1")</f>
        <v>https://www.amazon.com/Electrician-Tradesman-Klein-Tools-55421BP-14/dp/B00MK9UY0A/ref=sr_1_1?keywords=Klein+Tools+55421BP-14+Tradesman+Pro%E2%84%A2+Tool+Bag+Backpack%2C+39+Pockets%2C+Black%2C+14-Inch&amp;qid=1695173172&amp;sr=8-1</v>
      </c>
      <c r="F165" t="s">
        <v>544</v>
      </c>
      <c r="G165" t="e">
        <f ca="1">_xludf.IMAGE("https://edmondsonsupply.com/cdn/shop/products/55421bp-14_photo.jpg?v=1660827337")</f>
        <v>#NAME?</v>
      </c>
      <c r="H165" t="e">
        <f ca="1">_xludf.IMAGE("https://m.media-amazon.com/images/I/611s5jIgqGL._AC_UL320_.jpg")</f>
        <v>#NAME?</v>
      </c>
      <c r="I165" t="s">
        <v>545</v>
      </c>
      <c r="J165">
        <v>99.97</v>
      </c>
      <c r="K165" s="4">
        <v>0</v>
      </c>
      <c r="L165">
        <v>4.7</v>
      </c>
      <c r="M165">
        <v>4986</v>
      </c>
      <c r="O165" t="s">
        <v>25</v>
      </c>
      <c r="P165" t="s">
        <v>546</v>
      </c>
      <c r="Q165" t="s">
        <v>547</v>
      </c>
    </row>
    <row r="166" spans="1:17" ht="15.5" x14ac:dyDescent="0.35">
      <c r="A166" s="3" t="str">
        <f>HYPERLINK("https://edmondsonsupply.com/collections/storage-organization/products/dewalt-dgl573-41-pocket-lighted-technician-s-tool-bag", "https://edmondsonsupply.com/collections/storage-organization/products/dewalt-dgl573-41-pocket-lighted-technician-s-tool-bag")</f>
        <v>https://edmondsonsupply.com/collections/storage-organization/products/dewalt-dgl573-41-pocket-lighted-technician-s-tool-bag</v>
      </c>
      <c r="B166" s="3" t="str">
        <f>HYPERLINK("https://edmondsonsupply.com/products/dewalt-dgl573-41-pocket-lighted-technician-s-tool-bag", "https://edmondsonsupply.com/products/dewalt-dgl573-41-pocket-lighted-technician-s-tool-bag")</f>
        <v>https://edmondsonsupply.com/products/dewalt-dgl573-41-pocket-lighted-technician-s-tool-bag</v>
      </c>
      <c r="C166" t="s">
        <v>548</v>
      </c>
      <c r="D166" t="s">
        <v>549</v>
      </c>
      <c r="E166" s="3" t="str">
        <f>HYPERLINK("https://www.amazon.com/DEWALT-DGL573-Lighted-Technicians-Tool/dp/B00QNTVV6Y/ref=sr_1_1?keywords=CLC+DeWALT+DGL573+41-Pocket+Lighted+Technician%E2%80%99s+Tool+Bag&amp;qid=1695173166&amp;sr=8-1", "https://www.amazon.com/DEWALT-DGL573-Lighted-Technicians-Tool/dp/B00QNTVV6Y/ref=sr_1_1?keywords=CLC+DeWALT+DGL573+41-Pocket+Lighted+Technician%E2%80%99s+Tool+Bag&amp;qid=1695173166&amp;sr=8-1")</f>
        <v>https://www.amazon.com/DEWALT-DGL573-Lighted-Technicians-Tool/dp/B00QNTVV6Y/ref=sr_1_1?keywords=CLC+DeWALT+DGL573+41-Pocket+Lighted+Technician%E2%80%99s+Tool+Bag&amp;qid=1695173166&amp;sr=8-1</v>
      </c>
      <c r="F166" t="s">
        <v>550</v>
      </c>
      <c r="G166" t="e">
        <f ca="1">_xludf.IMAGE("https://edmondsonsupply.com/cdn/shop/products/DGL573-1.png?v=1609787804")</f>
        <v>#NAME?</v>
      </c>
      <c r="H166" t="e">
        <f ca="1">_xludf.IMAGE("https://m.media-amazon.com/images/I/A1ffPzA9uNL._AC_UL320_.jpg")</f>
        <v>#NAME?</v>
      </c>
      <c r="I166" t="s">
        <v>551</v>
      </c>
      <c r="J166">
        <v>84.95</v>
      </c>
      <c r="K166" s="4">
        <v>0</v>
      </c>
      <c r="L166">
        <v>4.7</v>
      </c>
      <c r="M166">
        <v>2827</v>
      </c>
      <c r="O166" t="s">
        <v>25</v>
      </c>
      <c r="P166" t="s">
        <v>369</v>
      </c>
      <c r="Q166" t="s">
        <v>552</v>
      </c>
    </row>
    <row r="167" spans="1:17" ht="15.5" x14ac:dyDescent="0.35">
      <c r="A167" s="3" t="str">
        <f>HYPERLINK("https://edmondsonsupply.com/collections/storage-organization/products/clc-pb1531-molded-plastic-bottom-electrical-hvac-tool-carrier", "https://edmondsonsupply.com/collections/storage-organization/products/clc-pb1531-molded-plastic-bottom-electrical-hvac-tool-carrier")</f>
        <v>https://edmondsonsupply.com/collections/storage-organization/products/clc-pb1531-molded-plastic-bottom-electrical-hvac-tool-carrier</v>
      </c>
      <c r="B167" s="3" t="str">
        <f>HYPERLINK("https://edmondsonsupply.com/products/clc-pb1531-molded-plastic-bottom-electrical-hvac-tool-carrier", "https://edmondsonsupply.com/products/clc-pb1531-molded-plastic-bottom-electrical-hvac-tool-carrier")</f>
        <v>https://edmondsonsupply.com/products/clc-pb1531-molded-plastic-bottom-electrical-hvac-tool-carrier</v>
      </c>
      <c r="C167" t="s">
        <v>553</v>
      </c>
      <c r="D167" t="s">
        <v>554</v>
      </c>
      <c r="E167" s="3" t="str">
        <f>HYPERLINK("https://www.amazon.com/Work-PB1531-Molded-Electrical-Carrier/dp/B099JPPB5S/ref=sr_1_1?keywords=CLC+PB1531+Molded+Plastic+Bottom+Electrical%2FHVAC+Tool+Carrier&amp;qid=1695173172&amp;sr=8-1", "https://www.amazon.com/Work-PB1531-Molded-Electrical-Carrier/dp/B099JPPB5S/ref=sr_1_1?keywords=CLC+PB1531+Molded+Plastic+Bottom+Electrical%2FHVAC+Tool+Carrier&amp;qid=1695173172&amp;sr=8-1")</f>
        <v>https://www.amazon.com/Work-PB1531-Molded-Electrical-Carrier/dp/B099JPPB5S/ref=sr_1_1?keywords=CLC+PB1531+Molded+Plastic+Bottom+Electrical%2FHVAC+Tool+Carrier&amp;qid=1695173172&amp;sr=8-1</v>
      </c>
      <c r="F167" t="s">
        <v>555</v>
      </c>
      <c r="G167" t="e">
        <f ca="1">_xludf.IMAGE("https://edmondsonsupply.com/cdn/shop/products/PB1531.png?v=1633031052")</f>
        <v>#NAME?</v>
      </c>
      <c r="H167" t="e">
        <f ca="1">_xludf.IMAGE("https://m.media-amazon.com/images/I/81bFPHq3MXS._AC_UL320_.jpg")</f>
        <v>#NAME?</v>
      </c>
      <c r="I167" t="s">
        <v>368</v>
      </c>
      <c r="J167">
        <v>89.95</v>
      </c>
      <c r="K167" s="4">
        <v>0</v>
      </c>
      <c r="L167">
        <v>4.4000000000000004</v>
      </c>
      <c r="M167">
        <v>18</v>
      </c>
      <c r="O167" t="s">
        <v>25</v>
      </c>
      <c r="P167" t="s">
        <v>369</v>
      </c>
      <c r="Q167" t="s">
        <v>556</v>
      </c>
    </row>
    <row r="168" spans="1:17" ht="15.5" x14ac:dyDescent="0.35">
      <c r="A168" s="3" t="str">
        <f>HYPERLINK("https://edmondsonsupply.com/collections/storage-organization/products/klein-tools-55559-stand-up-zipper-bags-7-inch-and-14-inch-2-pack", "https://edmondsonsupply.com/collections/storage-organization/products/klein-tools-55559-stand-up-zipper-bags-7-inch-and-14-inch-2-pack")</f>
        <v>https://edmondsonsupply.com/collections/storage-organization/products/klein-tools-55559-stand-up-zipper-bags-7-inch-and-14-inch-2-pack</v>
      </c>
      <c r="B168" s="3" t="str">
        <f>HYPERLINK("https://edmondsonsupply.com/products/klein-tools-55559-stand-up-zipper-bags-7-inch-and-14-inch-2-pack", "https://edmondsonsupply.com/products/klein-tools-55559-stand-up-zipper-bags-7-inch-and-14-inch-2-pack")</f>
        <v>https://edmondsonsupply.com/products/klein-tools-55559-stand-up-zipper-bags-7-inch-and-14-inch-2-pack</v>
      </c>
      <c r="C168" t="s">
        <v>273</v>
      </c>
      <c r="D168" t="s">
        <v>557</v>
      </c>
      <c r="E168" s="3" t="str">
        <f>HYPERLINK("https://www.amazon.com/Klein-Tools-55559-Carabiners-Reinforced/dp/B0B11LN6SM/ref=sr_1_1?keywords=Klein+Tools+55559+Stand-up+Zipper+Bags%2C+7-Inch+and+14-Inch%2C+2-Pack&amp;qid=1695173170&amp;sr=8-1", "https://www.amazon.com/Klein-Tools-55559-Carabiners-Reinforced/dp/B0B11LN6SM/ref=sr_1_1?keywords=Klein+Tools+55559+Stand-up+Zipper+Bags%2C+7-Inch+and+14-Inch%2C+2-Pack&amp;qid=1695173170&amp;sr=8-1")</f>
        <v>https://www.amazon.com/Klein-Tools-55559-Carabiners-Reinforced/dp/B0B11LN6SM/ref=sr_1_1?keywords=Klein+Tools+55559+Stand-up+Zipper+Bags%2C+7-Inch+and+14-Inch%2C+2-Pack&amp;qid=1695173170&amp;sr=8-1</v>
      </c>
      <c r="F168" t="s">
        <v>558</v>
      </c>
      <c r="G168" t="e">
        <f ca="1">_xludf.IMAGE("https://edmondsonsupply.com/cdn/shop/products/55559.jpg?v=1666900727")</f>
        <v>#NAME?</v>
      </c>
      <c r="H168" t="e">
        <f ca="1">_xludf.IMAGE("https://m.media-amazon.com/images/I/51wgn+HFuyL._AC_UL320_.jpg")</f>
        <v>#NAME?</v>
      </c>
      <c r="I168" t="s">
        <v>276</v>
      </c>
      <c r="J168">
        <v>14.99</v>
      </c>
      <c r="K168" s="4">
        <v>0</v>
      </c>
      <c r="L168">
        <v>4.8</v>
      </c>
      <c r="M168">
        <v>632</v>
      </c>
      <c r="O168" t="s">
        <v>25</v>
      </c>
      <c r="P168" t="s">
        <v>277</v>
      </c>
      <c r="Q168" t="s">
        <v>278</v>
      </c>
    </row>
    <row r="169" spans="1:17" ht="15.5" x14ac:dyDescent="0.35">
      <c r="A169" s="3" t="str">
        <f>HYPERLINK("https://edmondsonsupply.com/collections/storage-organization/products/klein-tools-55914-tradesman-pro%E2%84%A2-modular-trimming-pouch-with-belt-clip", "https://edmondsonsupply.com/collections/storage-organization/products/klein-tools-55914-tradesman-pro%E2%84%A2-modular-trimming-pouch-with-belt-clip")</f>
        <v>https://edmondsonsupply.com/collections/storage-organization/products/klein-tools-55914-tradesman-pro%E2%84%A2-modular-trimming-pouch-with-belt-clip</v>
      </c>
      <c r="B169" s="3" t="str">
        <f>HYPERLINK("https://edmondsonsupply.com/products/klein-tools-55914-tradesman-pro%e2%84%a2-modular-trimming-pouch-with-belt-clip", "https://edmondsonsupply.com/products/klein-tools-55914-tradesman-pro%e2%84%a2-modular-trimming-pouch-with-belt-clip")</f>
        <v>https://edmondsonsupply.com/products/klein-tools-55914-tradesman-pro%e2%84%a2-modular-trimming-pouch-with-belt-clip</v>
      </c>
      <c r="C169" t="s">
        <v>559</v>
      </c>
      <c r="D169" t="s">
        <v>560</v>
      </c>
      <c r="E169" s="3" t="str">
        <f>HYPERLINK("https://www.amazon.com/Klein-Tools-55914-Tradesman-Trimming/dp/B084WXF7WF/ref=sr_1_2?keywords=Klein+Tools+55914+Tradesman+Pro%E2%84%A2+Modular+Trimming+Pouch+with+Belt+Clip&amp;qid=1695173159&amp;sr=8-2", "https://www.amazon.com/Klein-Tools-55914-Tradesman-Trimming/dp/B084WXF7WF/ref=sr_1_2?keywords=Klein+Tools+55914+Tradesman+Pro%E2%84%A2+Modular+Trimming+Pouch+with+Belt+Clip&amp;qid=1695173159&amp;sr=8-2")</f>
        <v>https://www.amazon.com/Klein-Tools-55914-Tradesman-Trimming/dp/B084WXF7WF/ref=sr_1_2?keywords=Klein+Tools+55914+Tradesman+Pro%E2%84%A2+Modular+Trimming+Pouch+with+Belt+Clip&amp;qid=1695173159&amp;sr=8-2</v>
      </c>
      <c r="F169" t="s">
        <v>561</v>
      </c>
      <c r="G169" t="e">
        <f ca="1">_xludf.IMAGE("https://edmondsonsupply.com/cdn/shop/products/55914.jpg?v=1587145266")</f>
        <v>#NAME?</v>
      </c>
      <c r="H169" t="e">
        <f ca="1">_xludf.IMAGE("https://m.media-amazon.com/images/I/61gt9rhfciL._AC_UL320_.jpg")</f>
        <v>#NAME?</v>
      </c>
      <c r="I169" t="s">
        <v>26</v>
      </c>
      <c r="J169">
        <v>29.99</v>
      </c>
      <c r="K169" s="4">
        <v>0</v>
      </c>
      <c r="L169">
        <v>4.4000000000000004</v>
      </c>
      <c r="M169">
        <v>636</v>
      </c>
      <c r="O169" t="s">
        <v>25</v>
      </c>
      <c r="P169" t="s">
        <v>562</v>
      </c>
      <c r="Q169" t="s">
        <v>563</v>
      </c>
    </row>
    <row r="170" spans="1:17" ht="15.5" x14ac:dyDescent="0.35">
      <c r="A170" s="3" t="str">
        <f>HYPERLINK("https://edmondsonsupply.com/collections/storage-organization/products/klein-tools-55560-camo-zipper-bags-2-pack", "https://edmondsonsupply.com/collections/storage-organization/products/klein-tools-55560-camo-zipper-bags-2-pack")</f>
        <v>https://edmondsonsupply.com/collections/storage-organization/products/klein-tools-55560-camo-zipper-bags-2-pack</v>
      </c>
      <c r="B170" s="3" t="str">
        <f>HYPERLINK("https://edmondsonsupply.com/products/klein-tools-55560-camo-zipper-bags-2-pack", "https://edmondsonsupply.com/products/klein-tools-55560-camo-zipper-bags-2-pack")</f>
        <v>https://edmondsonsupply.com/products/klein-tools-55560-camo-zipper-bags-2-pack</v>
      </c>
      <c r="C170" t="s">
        <v>470</v>
      </c>
      <c r="D170" t="s">
        <v>564</v>
      </c>
      <c r="E170" s="3" t="str">
        <f>HYPERLINK("https://www.amazon.com/Ballistic-Camouflage-Klein-Tools-55560/dp/B0163SGPC4/ref=sr_1_1?keywords=Klein+Tools+55560+Zipper+Bags%2C+Camo+Tool+Pouches%2C+2-Pack&amp;qid=1695173184&amp;sr=8-1", "https://www.amazon.com/Ballistic-Camouflage-Klein-Tools-55560/dp/B0163SGPC4/ref=sr_1_1?keywords=Klein+Tools+55560+Zipper+Bags%2C+Camo+Tool+Pouches%2C+2-Pack&amp;qid=1695173184&amp;sr=8-1")</f>
        <v>https://www.amazon.com/Ballistic-Camouflage-Klein-Tools-55560/dp/B0163SGPC4/ref=sr_1_1?keywords=Klein+Tools+55560+Zipper+Bags%2C+Camo+Tool+Pouches%2C+2-Pack&amp;qid=1695173184&amp;sr=8-1</v>
      </c>
      <c r="F170" t="s">
        <v>565</v>
      </c>
      <c r="G170" t="e">
        <f ca="1">_xludf.IMAGE("https://edmondsonsupply.com/cdn/shop/products/55560.jpg?v=1633030628")</f>
        <v>#NAME?</v>
      </c>
      <c r="H170" t="e">
        <f ca="1">_xludf.IMAGE("https://m.media-amazon.com/images/I/71cW9mP8LiL._AC_UL320_.jpg")</f>
        <v>#NAME?</v>
      </c>
      <c r="I170" t="s">
        <v>471</v>
      </c>
      <c r="J170">
        <v>24.99</v>
      </c>
      <c r="K170" s="4">
        <v>0</v>
      </c>
      <c r="L170">
        <v>4.9000000000000004</v>
      </c>
      <c r="M170">
        <v>497</v>
      </c>
      <c r="O170" t="s">
        <v>25</v>
      </c>
      <c r="P170" t="s">
        <v>472</v>
      </c>
      <c r="Q170" t="s">
        <v>473</v>
      </c>
    </row>
    <row r="171" spans="1:17" ht="15.5" x14ac:dyDescent="0.35">
      <c r="A171" s="3" t="str">
        <f>HYPERLINK("https://edmondsonsupply.com/collections/storage-organization/products/klein-tools-55559-stand-up-zipper-bags-7-inch-and-14-inch-2-pack", "https://edmondsonsupply.com/collections/storage-organization/products/klein-tools-55559-stand-up-zipper-bags-7-inch-and-14-inch-2-pack")</f>
        <v>https://edmondsonsupply.com/collections/storage-organization/products/klein-tools-55559-stand-up-zipper-bags-7-inch-and-14-inch-2-pack</v>
      </c>
      <c r="B171" s="3" t="str">
        <f>HYPERLINK("https://edmondsonsupply.com/products/klein-tools-55559-stand-up-zipper-bags-7-inch-and-14-inch-2-pack", "https://edmondsonsupply.com/products/klein-tools-55559-stand-up-zipper-bags-7-inch-and-14-inch-2-pack")</f>
        <v>https://edmondsonsupply.com/products/klein-tools-55559-stand-up-zipper-bags-7-inch-and-14-inch-2-pack</v>
      </c>
      <c r="C171" t="s">
        <v>273</v>
      </c>
      <c r="D171" t="s">
        <v>566</v>
      </c>
      <c r="E171" s="3" t="str">
        <f>HYPERLINK("https://www.amazon.com/Utility-12-5-Inch-Klein-Tools-55470/dp/B075ZYW694/ref=sr_1_9?keywords=Klein+Tools+55559+Stand-up+Zipper+Bags%2C+7-Inch+and+14-Inch%2C+2-Pack&amp;qid=1695173170&amp;sr=8-9", "https://www.amazon.com/Utility-12-5-Inch-Klein-Tools-55470/dp/B075ZYW694/ref=sr_1_9?keywords=Klein+Tools+55559+Stand-up+Zipper+Bags%2C+7-Inch+and+14-Inch%2C+2-Pack&amp;qid=1695173170&amp;sr=8-9")</f>
        <v>https://www.amazon.com/Utility-12-5-Inch-Klein-Tools-55470/dp/B075ZYW694/ref=sr_1_9?keywords=Klein+Tools+55559+Stand-up+Zipper+Bags%2C+7-Inch+and+14-Inch%2C+2-Pack&amp;qid=1695173170&amp;sr=8-9</v>
      </c>
      <c r="F171" t="s">
        <v>567</v>
      </c>
      <c r="G171" t="e">
        <f ca="1">_xludf.IMAGE("https://edmondsonsupply.com/cdn/shop/products/55559.jpg?v=1666900727")</f>
        <v>#NAME?</v>
      </c>
      <c r="H171" t="e">
        <f ca="1">_xludf.IMAGE("https://m.media-amazon.com/images/I/81mbAy3U-rL._AC_UL320_.jpg")</f>
        <v>#NAME?</v>
      </c>
      <c r="I171" t="s">
        <v>276</v>
      </c>
      <c r="J171">
        <v>14.99</v>
      </c>
      <c r="K171" s="4">
        <v>0</v>
      </c>
      <c r="L171">
        <v>4.7</v>
      </c>
      <c r="M171">
        <v>3482</v>
      </c>
      <c r="O171" t="s">
        <v>25</v>
      </c>
      <c r="P171" t="s">
        <v>277</v>
      </c>
      <c r="Q171" t="s">
        <v>278</v>
      </c>
    </row>
    <row r="172" spans="1:17" ht="15.5" x14ac:dyDescent="0.35">
      <c r="A172" s="3" t="str">
        <f>HYPERLINK("https://edmondsonsupply.com/collections/storage-organization/products/klein-tools-55917-tradesman-pro%E2%84%A2-modular-drill-pouch-with-belt-clip", "https://edmondsonsupply.com/collections/storage-organization/products/klein-tools-55917-tradesman-pro%E2%84%A2-modular-drill-pouch-with-belt-clip")</f>
        <v>https://edmondsonsupply.com/collections/storage-organization/products/klein-tools-55917-tradesman-pro%E2%84%A2-modular-drill-pouch-with-belt-clip</v>
      </c>
      <c r="B172" s="3" t="str">
        <f>HYPERLINK("https://edmondsonsupply.com/products/klein-tools-55917-tradesman-pro%e2%84%a2-modular-drill-pouch-with-belt-clip", "https://edmondsonsupply.com/products/klein-tools-55917-tradesman-pro%e2%84%a2-modular-drill-pouch-with-belt-clip")</f>
        <v>https://edmondsonsupply.com/products/klein-tools-55917-tradesman-pro%e2%84%a2-modular-drill-pouch-with-belt-clip</v>
      </c>
      <c r="C172" t="s">
        <v>568</v>
      </c>
      <c r="D172" t="s">
        <v>569</v>
      </c>
      <c r="E172" s="3" t="str">
        <f>HYPERLINK("https://www.amazon.com/Klein-Tools-55917-Tradesman-Modular/dp/B084X5633G/ref=sr_1_1?keywords=Klein+Tools+55917+Tradesman+Pro%E2%84%A2+Modular+Drill+Pouch+with+Belt+Clip&amp;qid=1695173176&amp;sr=8-1", "https://www.amazon.com/Klein-Tools-55917-Tradesman-Modular/dp/B084X5633G/ref=sr_1_1?keywords=Klein+Tools+55917+Tradesman+Pro%E2%84%A2+Modular+Drill+Pouch+with+Belt+Clip&amp;qid=1695173176&amp;sr=8-1")</f>
        <v>https://www.amazon.com/Klein-Tools-55917-Tradesman-Modular/dp/B084X5633G/ref=sr_1_1?keywords=Klein+Tools+55917+Tradesman+Pro%E2%84%A2+Modular+Drill+Pouch+with+Belt+Clip&amp;qid=1695173176&amp;sr=8-1</v>
      </c>
      <c r="F172" t="s">
        <v>570</v>
      </c>
      <c r="G172" t="e">
        <f ca="1">_xludf.IMAGE("https://edmondsonsupply.com/cdn/shop/products/55917.jpg?v=1587143420")</f>
        <v>#NAME?</v>
      </c>
      <c r="H172" t="e">
        <f ca="1">_xludf.IMAGE("https://m.media-amazon.com/images/I/61kAia47weL._AC_UL320_.jpg")</f>
        <v>#NAME?</v>
      </c>
      <c r="I172" t="s">
        <v>571</v>
      </c>
      <c r="J172">
        <v>34.99</v>
      </c>
      <c r="K172" s="4">
        <v>0</v>
      </c>
      <c r="L172">
        <v>4.4000000000000004</v>
      </c>
      <c r="M172">
        <v>636</v>
      </c>
      <c r="O172" t="s">
        <v>25</v>
      </c>
      <c r="P172" t="s">
        <v>572</v>
      </c>
      <c r="Q172" t="s">
        <v>573</v>
      </c>
    </row>
    <row r="173" spans="1:17" ht="15.5" x14ac:dyDescent="0.35">
      <c r="A173" s="3" t="str">
        <f>HYPERLINK("https://edmondsonsupply.com/collections/storage-organization/products/klein-tools-5539lyel-canvas-bag-with-zipper-large-yellow", "https://edmondsonsupply.com/collections/storage-organization/products/klein-tools-5539lyel-canvas-bag-with-zipper-large-yellow")</f>
        <v>https://edmondsonsupply.com/collections/storage-organization/products/klein-tools-5539lyel-canvas-bag-with-zipper-large-yellow</v>
      </c>
      <c r="B173" s="3" t="str">
        <f>HYPERLINK("https://edmondsonsupply.com/products/klein-tools-5539lyel-canvas-bag-with-zipper-large-yellow", "https://edmondsonsupply.com/products/klein-tools-5539lyel-canvas-bag-with-zipper-large-yellow")</f>
        <v>https://edmondsonsupply.com/products/klein-tools-5539lyel-canvas-bag-with-zipper-large-yellow</v>
      </c>
      <c r="C173" t="s">
        <v>574</v>
      </c>
      <c r="D173" t="s">
        <v>575</v>
      </c>
      <c r="E173" s="3" t="str">
        <f>HYPERLINK("https://www.amazon.com/Klein-Tools-5539LYEL-16-Inch-Organizer/dp/B07RDSFV7H/ref=sr_1_1?keywords=Klein+Tools+5539LYEL+Zipper+Bag%2C+Large+Canvas+Tool+Pouch%2C+18-Inch%2C+Yellow&amp;qid=1695173166&amp;sr=8-1", "https://www.amazon.com/Klein-Tools-5539LYEL-16-Inch-Organizer/dp/B07RDSFV7H/ref=sr_1_1?keywords=Klein+Tools+5539LYEL+Zipper+Bag%2C+Large+Canvas+Tool+Pouch%2C+18-Inch%2C+Yellow&amp;qid=1695173166&amp;sr=8-1")</f>
        <v>https://www.amazon.com/Klein-Tools-5539LYEL-16-Inch-Organizer/dp/B07RDSFV7H/ref=sr_1_1?keywords=Klein+Tools+5539LYEL+Zipper+Bag%2C+Large+Canvas+Tool+Pouch%2C+18-Inch%2C+Yellow&amp;qid=1695173166&amp;sr=8-1</v>
      </c>
      <c r="F173" t="s">
        <v>576</v>
      </c>
      <c r="G173" t="e">
        <f ca="1">_xludf.IMAGE("https://edmondsonsupply.com/cdn/shop/products/5539lyel.jpg?v=1587143705")</f>
        <v>#NAME?</v>
      </c>
      <c r="H173" t="e">
        <f ca="1">_xludf.IMAGE("https://m.media-amazon.com/images/I/51WhSCLJ4EL._AC_UL320_.jpg")</f>
        <v>#NAME?</v>
      </c>
      <c r="I173" t="s">
        <v>577</v>
      </c>
      <c r="J173">
        <v>19.989999999999998</v>
      </c>
      <c r="K173" s="4">
        <v>0</v>
      </c>
      <c r="L173">
        <v>4.7</v>
      </c>
      <c r="M173">
        <v>597</v>
      </c>
      <c r="O173" t="s">
        <v>25</v>
      </c>
      <c r="P173" t="s">
        <v>578</v>
      </c>
      <c r="Q173" t="s">
        <v>579</v>
      </c>
    </row>
    <row r="174" spans="1:17" ht="15.5" x14ac:dyDescent="0.35">
      <c r="A174" s="3" t="str">
        <f>HYPERLINK("https://edmondsonsupply.com/collections/storage-organization/products/klein-tools-55604-rolling-tool-backpack", "https://edmondsonsupply.com/collections/storage-organization/products/klein-tools-55604-rolling-tool-backpack")</f>
        <v>https://edmondsonsupply.com/collections/storage-organization/products/klein-tools-55604-rolling-tool-backpack</v>
      </c>
      <c r="B174" s="3" t="str">
        <f>HYPERLINK("https://edmondsonsupply.com/products/klein-tools-55604-rolling-tool-backpack", "https://edmondsonsupply.com/products/klein-tools-55604-rolling-tool-backpack")</f>
        <v>https://edmondsonsupply.com/products/klein-tools-55604-rolling-tool-backpack</v>
      </c>
      <c r="C174" t="s">
        <v>580</v>
      </c>
      <c r="D174" t="s">
        <v>581</v>
      </c>
      <c r="E174" s="3" t="str">
        <f>HYPERLINK("https://www.amazon.com/Klein-Tools-55604-Backpack-Retractable/dp/B0BL1QZ9ZC/ref=sr_1_1?keywords=Klein+Tools+55604+Rolling+Tool+Backpack&amp;qid=1695173168&amp;sr=8-1", "https://www.amazon.com/Klein-Tools-55604-Backpack-Retractable/dp/B0BL1QZ9ZC/ref=sr_1_1?keywords=Klein+Tools+55604+Rolling+Tool+Backpack&amp;qid=1695173168&amp;sr=8-1")</f>
        <v>https://www.amazon.com/Klein-Tools-55604-Backpack-Retractable/dp/B0BL1QZ9ZC/ref=sr_1_1?keywords=Klein+Tools+55604+Rolling+Tool+Backpack&amp;qid=1695173168&amp;sr=8-1</v>
      </c>
      <c r="F174" t="s">
        <v>582</v>
      </c>
      <c r="G174" t="e">
        <f ca="1">_xludf.IMAGE("https://edmondsonsupply.com/cdn/shop/products/55604.jpg?v=1670945315")</f>
        <v>#NAME?</v>
      </c>
      <c r="H174" t="e">
        <f ca="1">_xludf.IMAGE("https://m.media-amazon.com/images/I/716S-Ncj30L._AC_UL320_.jpg")</f>
        <v>#NAME?</v>
      </c>
      <c r="I174" t="s">
        <v>400</v>
      </c>
      <c r="J174">
        <v>199.99</v>
      </c>
      <c r="K174" s="4">
        <v>0</v>
      </c>
      <c r="L174">
        <v>4.5999999999999996</v>
      </c>
      <c r="M174">
        <v>46</v>
      </c>
      <c r="O174" t="s">
        <v>25</v>
      </c>
      <c r="P174" t="s">
        <v>583</v>
      </c>
      <c r="Q174" t="s">
        <v>584</v>
      </c>
    </row>
    <row r="175" spans="1:17" ht="15.5" x14ac:dyDescent="0.35">
      <c r="A175" s="3" t="str">
        <f>HYPERLINK("https://edmondsonsupply.com/collections/storage-organization/products/klein-tools-510212blk-tool-bag-black-canvas-12-inch", "https://edmondsonsupply.com/collections/storage-organization/products/klein-tools-510212blk-tool-bag-black-canvas-12-inch")</f>
        <v>https://edmondsonsupply.com/collections/storage-organization/products/klein-tools-510212blk-tool-bag-black-canvas-12-inch</v>
      </c>
      <c r="B175" s="3" t="str">
        <f>HYPERLINK("https://edmondsonsupply.com/products/klein-tools-510212blk-tool-bag-black-canvas-12-inch", "https://edmondsonsupply.com/products/klein-tools-510212blk-tool-bag-black-canvas-12-inch")</f>
        <v>https://edmondsonsupply.com/products/klein-tools-510212blk-tool-bag-black-canvas-12-inch</v>
      </c>
      <c r="C175" t="s">
        <v>585</v>
      </c>
      <c r="D175" t="s">
        <v>586</v>
      </c>
      <c r="E175" s="3" t="str">
        <f>HYPERLINK("https://www.amazon.com/Klein-Tools-5102-12-Natural-Multi-Purpose/dp/B09Q72FFBP/ref=sr_1_1?keywords=Klein+Tools+510212BLK+Tool+Bag%2C+Black+Canvas%2C+12-Inch&amp;qid=1695173168&amp;sr=8-1", "https://www.amazon.com/Klein-Tools-5102-12-Natural-Multi-Purpose/dp/B09Q72FFBP/ref=sr_1_1?keywords=Klein+Tools+510212BLK+Tool+Bag%2C+Black+Canvas%2C+12-Inch&amp;qid=1695173168&amp;sr=8-1")</f>
        <v>https://www.amazon.com/Klein-Tools-5102-12-Natural-Multi-Purpose/dp/B09Q72FFBP/ref=sr_1_1?keywords=Klein+Tools+510212BLK+Tool+Bag%2C+Black+Canvas%2C+12-Inch&amp;qid=1695173168&amp;sr=8-1</v>
      </c>
      <c r="F175" t="s">
        <v>587</v>
      </c>
      <c r="G175" t="e">
        <f ca="1">_xludf.IMAGE("https://edmondsonsupply.com/cdn/shop/products/510212blk.jpg?v=1666026613")</f>
        <v>#NAME?</v>
      </c>
      <c r="H175" t="e">
        <f ca="1">_xludf.IMAGE("https://m.media-amazon.com/images/I/61UTjwgtB-L._AC_UL320_.jpg")</f>
        <v>#NAME?</v>
      </c>
      <c r="I175" t="s">
        <v>588</v>
      </c>
      <c r="J175">
        <v>69.989999999999995</v>
      </c>
      <c r="K175" s="4">
        <v>0</v>
      </c>
      <c r="L175">
        <v>4.8</v>
      </c>
      <c r="M175">
        <v>29</v>
      </c>
      <c r="O175" t="s">
        <v>25</v>
      </c>
      <c r="P175" t="s">
        <v>589</v>
      </c>
      <c r="Q175" t="s">
        <v>590</v>
      </c>
    </row>
    <row r="176" spans="1:17" ht="15.5" x14ac:dyDescent="0.35">
      <c r="A176" s="3" t="str">
        <f>HYPERLINK("https://edmondsonsupply.com/collections/storage-organization/products/milwaukee-48-22-8045-packout%E2%84%A2-tool-tray", "https://edmondsonsupply.com/collections/storage-organization/products/milwaukee-48-22-8045-packout%E2%84%A2-tool-tray")</f>
        <v>https://edmondsonsupply.com/collections/storage-organization/products/milwaukee-48-22-8045-packout%E2%84%A2-tool-tray</v>
      </c>
      <c r="B176" s="3" t="str">
        <f>HYPERLINK("https://edmondsonsupply.com/products/milwaukee-48-22-8045-packout%e2%84%a2-tool-tray", "https://edmondsonsupply.com/products/milwaukee-48-22-8045-packout%e2%84%a2-tool-tray")</f>
        <v>https://edmondsonsupply.com/products/milwaukee-48-22-8045-packout%e2%84%a2-tool-tray</v>
      </c>
      <c r="C176" t="s">
        <v>322</v>
      </c>
      <c r="D176" t="s">
        <v>591</v>
      </c>
      <c r="E176" s="3" t="str">
        <f>HYPERLINK("https://www.amazon.com/Milwaukee-48-22-8045-PACKOUT-Tool-Tray/dp/B0BL868CRC/ref=sr_1_8?keywords=Milwaukee+48-22-8045+PACKOUT%E2%84%A2+Tool+Tray&amp;qid=1695173163&amp;sr=8-8", "https://www.amazon.com/Milwaukee-48-22-8045-PACKOUT-Tool-Tray/dp/B0BL868CRC/ref=sr_1_8?keywords=Milwaukee+48-22-8045+PACKOUT%E2%84%A2+Tool+Tray&amp;qid=1695173163&amp;sr=8-8")</f>
        <v>https://www.amazon.com/Milwaukee-48-22-8045-PACKOUT-Tool-Tray/dp/B0BL868CRC/ref=sr_1_8?keywords=Milwaukee+48-22-8045+PACKOUT%E2%84%A2+Tool+Tray&amp;qid=1695173163&amp;sr=8-8</v>
      </c>
      <c r="F176" t="s">
        <v>592</v>
      </c>
      <c r="G176" t="e">
        <f ca="1">_xludf.IMAGE("https://edmondsonsupply.com/cdn/shop/files/48-22-8045_4.webp?v=1686230573")</f>
        <v>#NAME?</v>
      </c>
      <c r="H176" t="e">
        <f ca="1">_xludf.IMAGE("https://m.media-amazon.com/images/I/61YqlKZZwJL._AC_UL320_.jpg")</f>
        <v>#NAME?</v>
      </c>
      <c r="I176" t="s">
        <v>246</v>
      </c>
      <c r="J176">
        <v>39.97</v>
      </c>
      <c r="K176" s="4">
        <v>0</v>
      </c>
      <c r="L176">
        <v>4.4000000000000004</v>
      </c>
      <c r="M176">
        <v>9</v>
      </c>
      <c r="O176" t="s">
        <v>25</v>
      </c>
      <c r="P176" t="s">
        <v>325</v>
      </c>
      <c r="Q176" t="s">
        <v>326</v>
      </c>
    </row>
    <row r="177" spans="1:17" ht="15.5" x14ac:dyDescent="0.35">
      <c r="A177" s="3" t="str">
        <f>HYPERLINK("https://edmondsonsupply.com/collections/storage-organization/products/klein-tools-5539lcblu-canvas-bag-with-zipper-large-blue", "https://edmondsonsupply.com/collections/storage-organization/products/klein-tools-5539lcblu-canvas-bag-with-zipper-large-blue")</f>
        <v>https://edmondsonsupply.com/collections/storage-organization/products/klein-tools-5539lcblu-canvas-bag-with-zipper-large-blue</v>
      </c>
      <c r="B177" s="3" t="str">
        <f>HYPERLINK("https://edmondsonsupply.com/products/klein-tools-5539lcblu-canvas-bag-with-zipper-large-blue", "https://edmondsonsupply.com/products/klein-tools-5539lcblu-canvas-bag-with-zipper-large-blue")</f>
        <v>https://edmondsonsupply.com/products/klein-tools-5539lcblu-canvas-bag-with-zipper-large-blue</v>
      </c>
      <c r="C177" t="s">
        <v>593</v>
      </c>
      <c r="D177" t="s">
        <v>594</v>
      </c>
      <c r="E177" s="3" t="str">
        <f>HYPERLINK("https://www.amazon.com/Klein-Tools-5539LBLU-16-Inch-Organizer/dp/B07R95F119/ref=sr_1_3?keywords=Klein+Tools+5539LBLU+Zipper+Bag%2C+Large+Canvas+Tool+Pouch%2C+18-Inch%2C+Blue&amp;qid=1695173162&amp;sr=8-3", "https://www.amazon.com/Klein-Tools-5539LBLU-16-Inch-Organizer/dp/B07R95F119/ref=sr_1_3?keywords=Klein+Tools+5539LBLU+Zipper+Bag%2C+Large+Canvas+Tool+Pouch%2C+18-Inch%2C+Blue&amp;qid=1695173162&amp;sr=8-3")</f>
        <v>https://www.amazon.com/Klein-Tools-5539LBLU-16-Inch-Organizer/dp/B07R95F119/ref=sr_1_3?keywords=Klein+Tools+5539LBLU+Zipper+Bag%2C+Large+Canvas+Tool+Pouch%2C+18-Inch%2C+Blue&amp;qid=1695173162&amp;sr=8-3</v>
      </c>
      <c r="F177" t="s">
        <v>595</v>
      </c>
      <c r="G177" t="e">
        <f ca="1">_xludf.IMAGE("https://edmondsonsupply.com/cdn/shop/products/5539lblu.jpg?v=1587150873")</f>
        <v>#NAME?</v>
      </c>
      <c r="H177" t="e">
        <f ca="1">_xludf.IMAGE("https://m.media-amazon.com/images/I/51VTqMM6V5L._AC_UL320_.jpg")</f>
        <v>#NAME?</v>
      </c>
      <c r="I177" t="s">
        <v>577</v>
      </c>
      <c r="J177">
        <v>19.989999999999998</v>
      </c>
      <c r="K177" s="4">
        <v>0</v>
      </c>
      <c r="L177">
        <v>4.7</v>
      </c>
      <c r="M177">
        <v>597</v>
      </c>
      <c r="O177" t="s">
        <v>25</v>
      </c>
      <c r="P177" t="s">
        <v>578</v>
      </c>
      <c r="Q177" t="s">
        <v>596</v>
      </c>
    </row>
    <row r="178" spans="1:17" ht="15.5" x14ac:dyDescent="0.35">
      <c r="A178" s="3" t="str">
        <f>HYPERLINK("https://edmondsonsupply.com/collections/storage-organization/products/klein-tools-5183-tradesman-pro%E2%84%A2-drill-pouch", "https://edmondsonsupply.com/collections/storage-organization/products/klein-tools-5183-tradesman-pro%E2%84%A2-drill-pouch")</f>
        <v>https://edmondsonsupply.com/collections/storage-organization/products/klein-tools-5183-tradesman-pro%E2%84%A2-drill-pouch</v>
      </c>
      <c r="B178" s="3" t="str">
        <f>HYPERLINK("https://edmondsonsupply.com/products/klein-tools-5183-tradesman-pro%e2%84%a2-drill-pouch", "https://edmondsonsupply.com/products/klein-tools-5183-tradesman-pro%e2%84%a2-drill-pouch")</f>
        <v>https://edmondsonsupply.com/products/klein-tools-5183-tradesman-pro%e2%84%a2-drill-pouch</v>
      </c>
      <c r="C178" t="s">
        <v>359</v>
      </c>
      <c r="D178" t="s">
        <v>597</v>
      </c>
      <c r="E178" s="3" t="str">
        <f>HYPERLINK("https://www.amazon.com/Tradesman-Drill-Klein-Tools-5183/dp/B00MJNFYRU/ref=sr_1_1?keywords=Klein+Tools+5183+Tool+Bag%2C+Tradesman+Pro%E2%84%A2+Drill+Pouch&amp;qid=1695173160&amp;sr=8-1", "https://www.amazon.com/Tradesman-Drill-Klein-Tools-5183/dp/B00MJNFYRU/ref=sr_1_1?keywords=Klein+Tools+5183+Tool+Bag%2C+Tradesman+Pro%E2%84%A2+Drill+Pouch&amp;qid=1695173160&amp;sr=8-1")</f>
        <v>https://www.amazon.com/Tradesman-Drill-Klein-Tools-5183/dp/B00MJNFYRU/ref=sr_1_1?keywords=Klein+Tools+5183+Tool+Bag%2C+Tradesman+Pro%E2%84%A2+Drill+Pouch&amp;qid=1695173160&amp;sr=8-1</v>
      </c>
      <c r="F178" t="s">
        <v>598</v>
      </c>
      <c r="G178" t="e">
        <f ca="1">_xludf.IMAGE("https://edmondsonsupply.com/cdn/shop/products/5183.jpg?v=1587145505")</f>
        <v>#NAME?</v>
      </c>
      <c r="H178" t="e">
        <f ca="1">_xludf.IMAGE("https://m.media-amazon.com/images/I/519CZFYpgDL._AC_UL320_.jpg")</f>
        <v>#NAME?</v>
      </c>
      <c r="I178" t="s">
        <v>362</v>
      </c>
      <c r="J178">
        <v>25.99</v>
      </c>
      <c r="K178" s="4">
        <v>0</v>
      </c>
      <c r="L178">
        <v>4.5999999999999996</v>
      </c>
      <c r="M178">
        <v>831</v>
      </c>
      <c r="O178" t="s">
        <v>25</v>
      </c>
      <c r="P178" t="s">
        <v>363</v>
      </c>
      <c r="Q178" t="s">
        <v>364</v>
      </c>
    </row>
    <row r="179" spans="1:17" ht="15.5" x14ac:dyDescent="0.35">
      <c r="A179" s="3" t="str">
        <f>HYPERLINK("https://edmondsonsupply.com/collections/storage-organization/products/klein-tools-55663-welding-helmet-replacement-pocket", "https://edmondsonsupply.com/collections/storage-organization/products/klein-tools-55663-welding-helmet-replacement-pocket")</f>
        <v>https://edmondsonsupply.com/collections/storage-organization/products/klein-tools-55663-welding-helmet-replacement-pocket</v>
      </c>
      <c r="B179" s="3" t="str">
        <f>HYPERLINK("https://edmondsonsupply.com/products/klein-tools-55663-welding-helmet-replacement-pocket", "https://edmondsonsupply.com/products/klein-tools-55663-welding-helmet-replacement-pocket")</f>
        <v>https://edmondsonsupply.com/products/klein-tools-55663-welding-helmet-replacement-pocket</v>
      </c>
      <c r="C179" t="s">
        <v>599</v>
      </c>
      <c r="D179" t="s">
        <v>600</v>
      </c>
      <c r="E179" s="3" t="str">
        <f>HYPERLINK("https://www.amazon.com/Klein-Tools-55663-Replacement-Ironworker/dp/B0BN4K6F2J/ref=sr_1_1?keywords=Klein+Tools+55663+Welding+Helmet+Replacement+Pocket&amp;qid=1695173167&amp;sr=8-1", "https://www.amazon.com/Klein-Tools-55663-Replacement-Ironworker/dp/B0BN4K6F2J/ref=sr_1_1?keywords=Klein+Tools+55663+Welding+Helmet+Replacement+Pocket&amp;qid=1695173167&amp;sr=8-1")</f>
        <v>https://www.amazon.com/Klein-Tools-55663-Replacement-Ironworker/dp/B0BN4K6F2J/ref=sr_1_1?keywords=Klein+Tools+55663+Welding+Helmet+Replacement+Pocket&amp;qid=1695173167&amp;sr=8-1</v>
      </c>
      <c r="F179" t="s">
        <v>601</v>
      </c>
      <c r="G179" t="e">
        <f ca="1">_xludf.IMAGE("https://edmondsonsupply.com/cdn/shop/products/55663.jpg?v=1674484517")</f>
        <v>#NAME?</v>
      </c>
      <c r="H179" t="e">
        <f ca="1">_xludf.IMAGE("https://m.media-amazon.com/images/I/71C2gpYNAIL._AC_UL320_.jpg")</f>
        <v>#NAME?</v>
      </c>
      <c r="I179" t="s">
        <v>471</v>
      </c>
      <c r="J179">
        <v>24.99</v>
      </c>
      <c r="K179" s="4">
        <v>0</v>
      </c>
      <c r="L179">
        <v>5</v>
      </c>
      <c r="M179">
        <v>1</v>
      </c>
      <c r="O179" t="s">
        <v>25</v>
      </c>
      <c r="P179" t="s">
        <v>602</v>
      </c>
      <c r="Q179" t="s">
        <v>603</v>
      </c>
    </row>
    <row r="180" spans="1:17" ht="15.5" x14ac:dyDescent="0.35">
      <c r="A180" s="3" t="str">
        <f>HYPERLINK("https://edmondsonsupply.com/collections/storage-organization/products/clc-l255", "https://edmondsonsupply.com/collections/storage-organization/products/clc-l255")</f>
        <v>https://edmondsonsupply.com/collections/storage-organization/products/clc-l255</v>
      </c>
      <c r="B180" s="3" t="str">
        <f>HYPERLINK("https://edmondsonsupply.com/products/clc-l255", "https://edmondsonsupply.com/products/clc-l255")</f>
        <v>https://edmondsonsupply.com/products/clc-l255</v>
      </c>
      <c r="C180" t="s">
        <v>428</v>
      </c>
      <c r="D180" t="s">
        <v>604</v>
      </c>
      <c r="E180" s="3" t="str">
        <f>HYPERLINK("https://www.amazon.com/Custom-Leathercraft-L255-Pocket-Lighted/dp/B00JCCHVRC/ref=sr_1_1?keywords=CLC+L255+TECH+GEAR+53+Pocket+-+Lighted+Backpack&amp;qid=1695173180&amp;sr=8-1", "https://www.amazon.com/Custom-Leathercraft-L255-Pocket-Lighted/dp/B00JCCHVRC/ref=sr_1_1?keywords=CLC+L255+TECH+GEAR+53+Pocket+-+Lighted+Backpack&amp;qid=1695173180&amp;sr=8-1")</f>
        <v>https://www.amazon.com/Custom-Leathercraft-L255-Pocket-Lighted/dp/B00JCCHVRC/ref=sr_1_1?keywords=CLC+L255+TECH+GEAR+53+Pocket+-+Lighted+Backpack&amp;qid=1695173180&amp;sr=8-1</v>
      </c>
      <c r="F180" t="s">
        <v>605</v>
      </c>
      <c r="G180" t="e">
        <f ca="1">_xludf.IMAGE("https://edmondsonsupply.com/cdn/shop/products/L255.jpg?v=1609788641")</f>
        <v>#NAME?</v>
      </c>
      <c r="H180" t="e">
        <f ca="1">_xludf.IMAGE("https://m.media-amazon.com/images/I/81bEnXcf7eL._AC_UL320_.jpg")</f>
        <v>#NAME?</v>
      </c>
      <c r="I180" t="s">
        <v>369</v>
      </c>
      <c r="J180">
        <v>119</v>
      </c>
      <c r="K180" s="4">
        <v>0</v>
      </c>
      <c r="L180">
        <v>4.5</v>
      </c>
      <c r="M180">
        <v>1372</v>
      </c>
      <c r="O180" t="s">
        <v>25</v>
      </c>
      <c r="P180" t="s">
        <v>431</v>
      </c>
      <c r="Q180" t="s">
        <v>432</v>
      </c>
    </row>
    <row r="181" spans="1:17" ht="15.5" x14ac:dyDescent="0.35">
      <c r="A181" s="3" t="str">
        <f>HYPERLINK("https://edmondsonsupply.com/collections/storage-organization/products/clc-pb1133-molded-rubber-bottom-tool-backpack", "https://edmondsonsupply.com/collections/storage-organization/products/clc-pb1133-molded-rubber-bottom-tool-backpack")</f>
        <v>https://edmondsonsupply.com/collections/storage-organization/products/clc-pb1133-molded-rubber-bottom-tool-backpack</v>
      </c>
      <c r="B181" s="3" t="str">
        <f>HYPERLINK("https://edmondsonsupply.com/products/clc-pb1133-molded-rubber-bottom-tool-backpack", "https://edmondsonsupply.com/products/clc-pb1133-molded-rubber-bottom-tool-backpack")</f>
        <v>https://edmondsonsupply.com/products/clc-pb1133-molded-rubber-bottom-tool-backpack</v>
      </c>
      <c r="C181" t="s">
        <v>507</v>
      </c>
      <c r="D181" t="s">
        <v>606</v>
      </c>
      <c r="E181" s="3" t="str">
        <f>HYPERLINK("https://www.amazon.com/Work-PB1133-Pocket-Molded-Backpack/dp/B099J4QQQ8/ref=sr_1_2?keywords=CLC+PB1133+Molded+Rubber+Bottom+Tool+Backpack&amp;qid=1695173175&amp;sr=8-2", "https://www.amazon.com/Work-PB1133-Pocket-Molded-Backpack/dp/B099J4QQQ8/ref=sr_1_2?keywords=CLC+PB1133+Molded+Rubber+Bottom+Tool+Backpack&amp;qid=1695173175&amp;sr=8-2")</f>
        <v>https://www.amazon.com/Work-PB1133-Pocket-Molded-Backpack/dp/B099J4QQQ8/ref=sr_1_2?keywords=CLC+PB1133+Molded+Rubber+Bottom+Tool+Backpack&amp;qid=1695173175&amp;sr=8-2</v>
      </c>
      <c r="F181" t="s">
        <v>607</v>
      </c>
      <c r="G181" t="e">
        <f ca="1">_xludf.IMAGE("https://edmondsonsupply.com/cdn/shop/products/PB1133.png?v=1633031051")</f>
        <v>#NAME?</v>
      </c>
      <c r="H181" t="e">
        <f ca="1">_xludf.IMAGE("https://m.media-amazon.com/images/I/81em+t5wPbS._AC_UL320_.jpg")</f>
        <v>#NAME?</v>
      </c>
      <c r="I181" t="s">
        <v>369</v>
      </c>
      <c r="J181">
        <v>118.99</v>
      </c>
      <c r="K181" s="4">
        <v>-1E-4</v>
      </c>
      <c r="L181">
        <v>4.5999999999999996</v>
      </c>
      <c r="M181">
        <v>312</v>
      </c>
      <c r="O181" t="s">
        <v>25</v>
      </c>
      <c r="P181" t="s">
        <v>282</v>
      </c>
      <c r="Q181" t="s">
        <v>508</v>
      </c>
    </row>
    <row r="182" spans="1:17" ht="15.5" x14ac:dyDescent="0.35">
      <c r="A182" s="3" t="str">
        <f>HYPERLINK("https://edmondsonsupply.com/collections/storage-organization/products/veto-pro-pac-wrencher-lc", "https://edmondsonsupply.com/collections/storage-organization/products/veto-pro-pac-wrencher-lc")</f>
        <v>https://edmondsonsupply.com/collections/storage-organization/products/veto-pro-pac-wrencher-lc</v>
      </c>
      <c r="B182" s="3" t="str">
        <f>HYPERLINK("https://edmondsonsupply.com/products/veto-pro-pac-wrencher-lc", "https://edmondsonsupply.com/products/veto-pro-pac-wrencher-lc")</f>
        <v>https://edmondsonsupply.com/products/veto-pro-pac-wrencher-lc</v>
      </c>
      <c r="C182" t="s">
        <v>608</v>
      </c>
      <c r="D182" t="s">
        <v>398</v>
      </c>
      <c r="E182" s="3" t="str">
        <f>HYPERLINK("https://www.amazon.com/Veto-Pro-Pac-Wrencher-LC-Open-Top/dp/B0BBPFQ447/ref=sr_1_1?keywords=Veto+Pro+Pac+Wrencher+LC&amp;qid=1695173164&amp;sr=8-1", "https://www.amazon.com/Veto-Pro-Pac-Wrencher-LC-Open-Top/dp/B0BBPFQ447/ref=sr_1_1?keywords=Veto+Pro+Pac+Wrencher+LC&amp;qid=1695173164&amp;sr=8-1")</f>
        <v>https://www.amazon.com/Veto-Pro-Pac-Wrencher-LC-Open-Top/dp/B0BBPFQ447/ref=sr_1_1?keywords=Veto+Pro+Pac+Wrencher+LC&amp;qid=1695173164&amp;sr=8-1</v>
      </c>
      <c r="F182" t="s">
        <v>399</v>
      </c>
      <c r="G182" t="e">
        <f ca="1">_xludf.IMAGE("https://edmondsonsupply.com/cdn/shop/products/0004_WRENCHER-LC_16-1.jpg?v=1675796113")</f>
        <v>#NAME?</v>
      </c>
      <c r="H182" t="e">
        <f ca="1">_xludf.IMAGE("https://m.media-amazon.com/images/I/61iZfeBF47L._AC_UL320_.jpg")</f>
        <v>#NAME?</v>
      </c>
      <c r="I182" t="s">
        <v>609</v>
      </c>
      <c r="J182">
        <v>339.95</v>
      </c>
      <c r="K182" s="4">
        <v>-1E-4</v>
      </c>
      <c r="L182">
        <v>5</v>
      </c>
      <c r="M182">
        <v>1</v>
      </c>
      <c r="O182" t="s">
        <v>25</v>
      </c>
      <c r="P182" t="s">
        <v>138</v>
      </c>
      <c r="Q182" t="s">
        <v>610</v>
      </c>
    </row>
    <row r="183" spans="1:17" ht="15.5" x14ac:dyDescent="0.35">
      <c r="A183"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183" s="3" t="str">
        <f>HYPERLINK("https://edmondsonsupply.com/products/veto-pro-pac-tech-pac-blackout-backpack", "https://edmondsonsupply.com/products/veto-pro-pac-tech-pac-blackout-backpack")</f>
        <v>https://edmondsonsupply.com/products/veto-pro-pac-tech-pac-blackout-backpack</v>
      </c>
      <c r="C183" t="s">
        <v>611</v>
      </c>
      <c r="D183" t="s">
        <v>497</v>
      </c>
      <c r="E183" s="3" t="str">
        <f>HYPERLINK("https://www.amazon.com/Veto-Pro-Pac-TECH-Black/dp/B085FQLM4N/ref=sr_1_1?keywords=Veto+Pro+Pac+TECH+PAC+Blackout+Backpack&amp;qid=1695173158&amp;sr=8-1", "https://www.amazon.com/Veto-Pro-Pac-TECH-Black/dp/B085FQLM4N/ref=sr_1_1?keywords=Veto+Pro+Pac+TECH+PAC+Blackout+Backpack&amp;qid=1695173158&amp;sr=8-1")</f>
        <v>https://www.amazon.com/Veto-Pro-Pac-TECH-Black/dp/B085FQLM4N/ref=sr_1_1?keywords=Veto+Pro+Pac+TECH+PAC+Blackout+Backpack&amp;qid=1695173158&amp;sr=8-1</v>
      </c>
      <c r="F183" t="s">
        <v>498</v>
      </c>
      <c r="G183" t="e">
        <f ca="1">_xludf.IMAGE("https://edmondsonsupply.com/cdn/shop/products/tech1.jpg?v=1633031041")</f>
        <v>#NAME?</v>
      </c>
      <c r="H183" t="e">
        <f ca="1">_xludf.IMAGE("https://m.media-amazon.com/images/I/91WcrOnbw2L._AC_UL320_.jpg")</f>
        <v>#NAME?</v>
      </c>
      <c r="I183" t="s">
        <v>612</v>
      </c>
      <c r="J183">
        <v>329.95</v>
      </c>
      <c r="K183" s="4">
        <v>-1E-4</v>
      </c>
      <c r="L183">
        <v>4.8</v>
      </c>
      <c r="M183">
        <v>2266</v>
      </c>
      <c r="O183" t="s">
        <v>25</v>
      </c>
      <c r="P183" t="s">
        <v>138</v>
      </c>
      <c r="Q183" t="s">
        <v>613</v>
      </c>
    </row>
    <row r="184" spans="1:17" ht="15.5" x14ac:dyDescent="0.35">
      <c r="A184"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184" s="3" t="str">
        <f>HYPERLINK("https://edmondsonsupply.com/products/veto-pro-pac-tech-pac-mc-blackout", "https://edmondsonsupply.com/products/veto-pro-pac-tech-pac-mc-blackout")</f>
        <v>https://edmondsonsupply.com/products/veto-pro-pac-tech-pac-mc-blackout</v>
      </c>
      <c r="C184" t="s">
        <v>496</v>
      </c>
      <c r="D184" t="s">
        <v>411</v>
      </c>
      <c r="E184" s="3" t="str">
        <f>HYPERLINK("https://www.amazon.com/Veto-Pro-Tech-Compact-Blackout/dp/B0931VCBYM/ref=sr_1_1?keywords=Veto+Pro+Pac+TECH+PAC+MC+Blackout&amp;qid=1695173175&amp;sr=8-1", "https://www.amazon.com/Veto-Pro-Tech-Compact-Blackout/dp/B0931VCBYM/ref=sr_1_1?keywords=Veto+Pro+Pac+TECH+PAC+MC+Blackout&amp;qid=1695173175&amp;sr=8-1")</f>
        <v>https://www.amazon.com/Veto-Pro-Tech-Compact-Blackout/dp/B0931VCBYM/ref=sr_1_1?keywords=Veto+Pro+Pac+TECH+PAC+MC+Blackout&amp;qid=1695173175&amp;sr=8-1</v>
      </c>
      <c r="F184" t="s">
        <v>614</v>
      </c>
      <c r="G184" t="e">
        <f ca="1">_xludf.IMAGE("https://edmondsonsupply.com/cdn/shop/products/tech1.png?v=1633031062")</f>
        <v>#NAME?</v>
      </c>
      <c r="H184" t="e">
        <f ca="1">_xludf.IMAGE("https://m.media-amazon.com/images/I/51BIH+NmbOL._AC_UL320_.jpg")</f>
        <v>#NAME?</v>
      </c>
      <c r="I184" t="s">
        <v>499</v>
      </c>
      <c r="J184">
        <v>294.95</v>
      </c>
      <c r="K184" s="4">
        <v>-1E-4</v>
      </c>
      <c r="L184">
        <v>4.8</v>
      </c>
      <c r="M184">
        <v>363</v>
      </c>
      <c r="O184" t="s">
        <v>25</v>
      </c>
      <c r="P184" t="s">
        <v>138</v>
      </c>
      <c r="Q184" t="s">
        <v>500</v>
      </c>
    </row>
    <row r="185" spans="1:17" ht="15.5" x14ac:dyDescent="0.35">
      <c r="A185" s="3" t="str">
        <f>HYPERLINK("https://edmondsonsupply.com/collections/storage-organization/products/clc-pb1563-16-molded-plastic-bottom-bigmouth-tote-tool-bag", "https://edmondsonsupply.com/collections/storage-organization/products/clc-pb1563-16-molded-plastic-bottom-bigmouth-tote-tool-bag")</f>
        <v>https://edmondsonsupply.com/collections/storage-organization/products/clc-pb1563-16-molded-plastic-bottom-bigmouth-tote-tool-bag</v>
      </c>
      <c r="B185" s="3" t="str">
        <f>HYPERLINK("https://edmondsonsupply.com/products/clc-pb1563-16-molded-plastic-bottom-bigmouth-tote-tool-bag", "https://edmondsonsupply.com/products/clc-pb1563-16-molded-plastic-bottom-bigmouth-tote-tool-bag")</f>
        <v>https://edmondsonsupply.com/products/clc-pb1563-16-molded-plastic-bottom-bigmouth-tote-tool-bag</v>
      </c>
      <c r="C185" t="s">
        <v>615</v>
      </c>
      <c r="D185" t="s">
        <v>616</v>
      </c>
      <c r="E185" s="3" t="str">
        <f>HYPERLINK("https://www.amazon.com/Work-Gear-PB1563-Molded-Bigmouth/dp/B099J8XP46/ref=sr_1_1?keywords=CLC+PB1563+16%E2%80%9D+Molded+Plastic+Bottom+Bigmouth+Tote+Tool+Bag&amp;qid=1695173185&amp;sr=8-1", "https://www.amazon.com/Work-Gear-PB1563-Molded-Bigmouth/dp/B099J8XP46/ref=sr_1_1?keywords=CLC+PB1563+16%E2%80%9D+Molded+Plastic+Bottom+Bigmouth+Tote+Tool+Bag&amp;qid=1695173185&amp;sr=8-1")</f>
        <v>https://www.amazon.com/Work-Gear-PB1563-Molded-Bigmouth/dp/B099J8XP46/ref=sr_1_1?keywords=CLC+PB1563+16%E2%80%9D+Molded+Plastic+Bottom+Bigmouth+Tote+Tool+Bag&amp;qid=1695173185&amp;sr=8-1</v>
      </c>
      <c r="F185" t="s">
        <v>617</v>
      </c>
      <c r="G185" t="e">
        <f ca="1">_xludf.IMAGE("https://edmondsonsupply.com/cdn/shop/products/PB1563.jpg?v=1633031054")</f>
        <v>#NAME?</v>
      </c>
      <c r="H185" t="e">
        <f ca="1">_xludf.IMAGE("https://m.media-amazon.com/images/I/81yEesBuRLS._AC_UL320_.jpg")</f>
        <v>#NAME?</v>
      </c>
      <c r="I185" t="s">
        <v>618</v>
      </c>
      <c r="J185">
        <v>59.94</v>
      </c>
      <c r="K185" s="4">
        <v>-2.0000000000000001E-4</v>
      </c>
      <c r="L185">
        <v>4.5999999999999996</v>
      </c>
      <c r="M185">
        <v>26</v>
      </c>
      <c r="O185" t="s">
        <v>25</v>
      </c>
      <c r="P185" t="s">
        <v>392</v>
      </c>
      <c r="Q185" t="s">
        <v>619</v>
      </c>
    </row>
    <row r="186" spans="1:17" ht="15.5" x14ac:dyDescent="0.35">
      <c r="A186" s="3" t="str">
        <f>HYPERLINK("https://edmondsonsupply.com/collections/storage-organization/products/veto-pro-pac-tech-ot-mc-tool-tote", "https://edmondsonsupply.com/collections/storage-organization/products/veto-pro-pac-tech-ot-mc-tool-tote")</f>
        <v>https://edmondsonsupply.com/collections/storage-organization/products/veto-pro-pac-tech-ot-mc-tool-tote</v>
      </c>
      <c r="B186" s="3" t="str">
        <f>HYPERLINK("https://edmondsonsupply.com/products/veto-pro-pac-tech-ot-mc-tool-tote", "https://edmondsonsupply.com/products/veto-pro-pac-tech-ot-mc-tool-tote")</f>
        <v>https://edmondsonsupply.com/products/veto-pro-pac-tech-ot-mc-tool-tote</v>
      </c>
      <c r="C186" t="s">
        <v>528</v>
      </c>
      <c r="D186" t="s">
        <v>468</v>
      </c>
      <c r="E186" s="3" t="str">
        <f>HYPERLINK("https://www.amazon.com/TECHOT-MC-Veto-COMPACT-Open-Tool/dp/B07146M3QW/ref=sr_1_1?keywords=Veto+Pro+Pac+Tech+OT-MC+Tool+Tote&amp;qid=1695173157&amp;sr=8-1", "https://www.amazon.com/TECHOT-MC-Veto-COMPACT-Open-Tool/dp/B07146M3QW/ref=sr_1_1?keywords=Veto+Pro+Pac+Tech+OT-MC+Tool+Tote&amp;qid=1695173157&amp;sr=8-1")</f>
        <v>https://www.amazon.com/TECHOT-MC-Veto-COMPACT-Open-Tool/dp/B07146M3QW/ref=sr_1_1?keywords=Veto+Pro+Pac+Tech+OT-MC+Tool+Tote&amp;qid=1695173157&amp;sr=8-1</v>
      </c>
      <c r="F186" t="s">
        <v>469</v>
      </c>
      <c r="G186" t="e">
        <f ca="1">_xludf.IMAGE("https://edmondsonsupply.com/cdn/shop/products/otmc1_048af870-c580-47c1-b832-021ca8939d35.jpg?v=1587146037")</f>
        <v>#NAME?</v>
      </c>
      <c r="H186" t="e">
        <f ca="1">_xludf.IMAGE("https://m.media-amazon.com/images/I/7164ViSBjML._AC_UL320_.jpg")</f>
        <v>#NAME?</v>
      </c>
      <c r="I186" t="s">
        <v>454</v>
      </c>
      <c r="J186">
        <v>209.95</v>
      </c>
      <c r="K186" s="4">
        <v>-2.0000000000000001E-4</v>
      </c>
      <c r="L186">
        <v>4.8</v>
      </c>
      <c r="M186">
        <v>702</v>
      </c>
      <c r="O186" t="s">
        <v>25</v>
      </c>
      <c r="P186" t="s">
        <v>138</v>
      </c>
      <c r="Q186" t="s">
        <v>531</v>
      </c>
    </row>
    <row r="187" spans="1:17" ht="15.5" x14ac:dyDescent="0.35">
      <c r="A187" s="3" t="str">
        <f>HYPERLINK("https://edmondsonsupply.com/collections/storage-organization/products/veto-pro-pac-tp-xd-blackout", "https://edmondsonsupply.com/collections/storage-organization/products/veto-pro-pac-tp-xd-blackout")</f>
        <v>https://edmondsonsupply.com/collections/storage-organization/products/veto-pro-pac-tp-xd-blackout</v>
      </c>
      <c r="B187" s="3" t="str">
        <f>HYPERLINK("https://edmondsonsupply.com/products/veto-pro-pac-tp-xd-blackout", "https://edmondsonsupply.com/products/veto-pro-pac-tp-xd-blackout")</f>
        <v>https://edmondsonsupply.com/products/veto-pro-pac-tp-xd-blackout</v>
      </c>
      <c r="C187" t="s">
        <v>298</v>
      </c>
      <c r="D187" t="s">
        <v>298</v>
      </c>
      <c r="E187" s="3" t="str">
        <f>HYPERLINK("https://www.amazon.com/Veto-Pro-Pac-TP-XD-BLACKOUT/dp/B0B2YBQXNP/ref=sr_1_1?keywords=Veto+Pro+Pac+TP-XD+BLACKOUT&amp;qid=1695173164&amp;sr=8-1", "https://www.amazon.com/Veto-Pro-Pac-TP-XD-BLACKOUT/dp/B0B2YBQXNP/ref=sr_1_1?keywords=Veto+Pro+Pac+TP-XD+BLACKOUT&amp;qid=1695173164&amp;sr=8-1")</f>
        <v>https://www.amazon.com/Veto-Pro-Pac-TP-XD-BLACKOUT/dp/B0B2YBQXNP/ref=sr_1_1?keywords=Veto+Pro+Pac+TP-XD+BLACKOUT&amp;qid=1695173164&amp;sr=8-1</v>
      </c>
      <c r="F187" t="s">
        <v>299</v>
      </c>
      <c r="G187" t="e">
        <f ca="1">_xludf.IMAGE("https://edmondsonsupply.com/cdn/shop/products/TPXD-600x830_0015_TP-XD_Blackout_3.jpg?v=1675796760")</f>
        <v>#NAME?</v>
      </c>
      <c r="H187" t="e">
        <f ca="1">_xludf.IMAGE("https://m.media-amazon.com/images/I/51vvq1zbgwL._AC_UL320_.jpg")</f>
        <v>#NAME?</v>
      </c>
      <c r="I187" t="s">
        <v>454</v>
      </c>
      <c r="J187">
        <v>209.95</v>
      </c>
      <c r="K187" s="4">
        <v>-2.0000000000000001E-4</v>
      </c>
      <c r="L187">
        <v>4.5</v>
      </c>
      <c r="M187">
        <v>24</v>
      </c>
      <c r="O187" t="s">
        <v>25</v>
      </c>
      <c r="P187" t="s">
        <v>138</v>
      </c>
      <c r="Q187" t="s">
        <v>620</v>
      </c>
    </row>
    <row r="188" spans="1:17" ht="15.5" x14ac:dyDescent="0.35">
      <c r="A188" s="3" t="str">
        <f>HYPERLINK("https://edmondsonsupply.com/collections/storage-organization/products/veto-pro-pac-tp-xxl-tool-pouch", "https://edmondsonsupply.com/collections/storage-organization/products/veto-pro-pac-tp-xxl-tool-pouch")</f>
        <v>https://edmondsonsupply.com/collections/storage-organization/products/veto-pro-pac-tp-xxl-tool-pouch</v>
      </c>
      <c r="B188" s="3" t="str">
        <f>HYPERLINK("https://edmondsonsupply.com/products/veto-pro-pac-tp-xxl-tool-pouch", "https://edmondsonsupply.com/products/veto-pro-pac-tp-xxl-tool-pouch")</f>
        <v>https://edmondsonsupply.com/products/veto-pro-pac-tp-xxl-tool-pouch</v>
      </c>
      <c r="C188" t="s">
        <v>451</v>
      </c>
      <c r="D188" t="s">
        <v>621</v>
      </c>
      <c r="E188" s="3" t="str">
        <f>HYPERLINK("https://www.amazon.com/Veto-Pro-Pac-TP-XXL-Zippered/dp/B09Q4YNX94/ref=sr_1_1?keywords=Veto+Pro+Pac+TP-XXL+Tool+Pouch&amp;qid=1695173161&amp;sr=8-1", "https://www.amazon.com/Veto-Pro-Pac-TP-XXL-Zippered/dp/B09Q4YNX94/ref=sr_1_1?keywords=Veto+Pro+Pac+TP-XXL+Tool+Pouch&amp;qid=1695173161&amp;sr=8-1")</f>
        <v>https://www.amazon.com/Veto-Pro-Pac-TP-XXL-Zippered/dp/B09Q4YNX94/ref=sr_1_1?keywords=Veto+Pro+Pac+TP-XXL+Tool+Pouch&amp;qid=1695173161&amp;sr=8-1</v>
      </c>
      <c r="F188" t="s">
        <v>622</v>
      </c>
      <c r="G188" t="e">
        <f ca="1">_xludf.IMAGE("https://edmondsonsupply.com/cdn/shop/products/01_TP-XXL.jpg?v=1633031173")</f>
        <v>#NAME?</v>
      </c>
      <c r="H188" t="e">
        <f ca="1">_xludf.IMAGE("https://m.media-amazon.com/images/I/61c5N3ud9xL._AC_UL320_.jpg")</f>
        <v>#NAME?</v>
      </c>
      <c r="I188" t="s">
        <v>454</v>
      </c>
      <c r="J188">
        <v>209.95</v>
      </c>
      <c r="K188" s="4">
        <v>-2.0000000000000001E-4</v>
      </c>
      <c r="L188">
        <v>4.8</v>
      </c>
      <c r="M188">
        <v>478</v>
      </c>
      <c r="O188" t="s">
        <v>25</v>
      </c>
      <c r="P188" t="s">
        <v>138</v>
      </c>
      <c r="Q188" t="s">
        <v>455</v>
      </c>
    </row>
    <row r="189" spans="1:17" ht="15.5" x14ac:dyDescent="0.35">
      <c r="A189" s="3" t="str">
        <f>HYPERLINK("https://edmondsonsupply.com/collections/storage-organization/products/veto-pro-pac-wrencher-mc", "https://edmondsonsupply.com/collections/storage-organization/products/veto-pro-pac-wrencher-mc")</f>
        <v>https://edmondsonsupply.com/collections/storage-organization/products/veto-pro-pac-wrencher-mc</v>
      </c>
      <c r="B189" s="3" t="str">
        <f>HYPERLINK("https://edmondsonsupply.com/products/veto-pro-pac-wrencher-mc", "https://edmondsonsupply.com/products/veto-pro-pac-wrencher-mc")</f>
        <v>https://edmondsonsupply.com/products/veto-pro-pac-wrencher-mc</v>
      </c>
      <c r="C189" t="s">
        <v>397</v>
      </c>
      <c r="D189" t="s">
        <v>480</v>
      </c>
      <c r="E189" s="3" t="str">
        <f>HYPERLINK("https://www.amazon.com/Veto-Wrencher-MC-Medium-Compact-Open-Top/dp/B0BBQ3R11H/ref=sr_1_1?keywords=Veto+Pro+Pac+Wrencher+MC&amp;qid=1695173176&amp;sr=8-1", "https://www.amazon.com/Veto-Wrencher-MC-Medium-Compact-Open-Top/dp/B0BBQ3R11H/ref=sr_1_1?keywords=Veto+Pro+Pac+Wrencher+MC&amp;qid=1695173176&amp;sr=8-1")</f>
        <v>https://www.amazon.com/Veto-Wrencher-MC-Medium-Compact-Open-Top/dp/B0BBQ3R11H/ref=sr_1_1?keywords=Veto+Pro+Pac+Wrencher+MC&amp;qid=1695173176&amp;sr=8-1</v>
      </c>
      <c r="F189" t="s">
        <v>481</v>
      </c>
      <c r="G189" t="e">
        <f ca="1">_xludf.IMAGE("https://edmondsonsupply.com/cdn/shop/products/0001_WRENCHER-MC_32.jpg?v=1675795195")</f>
        <v>#NAME?</v>
      </c>
      <c r="H189" t="e">
        <f ca="1">_xludf.IMAGE("https://m.media-amazon.com/images/I/51xcXNSndtL._AC_UL320_.jpg")</f>
        <v>#NAME?</v>
      </c>
      <c r="I189" t="s">
        <v>400</v>
      </c>
      <c r="J189">
        <v>199.95</v>
      </c>
      <c r="K189" s="4">
        <v>-2.0000000000000001E-4</v>
      </c>
      <c r="L189">
        <v>5</v>
      </c>
      <c r="M189">
        <v>7</v>
      </c>
      <c r="O189" t="s">
        <v>25</v>
      </c>
      <c r="P189" t="s">
        <v>138</v>
      </c>
      <c r="Q189" t="s">
        <v>401</v>
      </c>
    </row>
    <row r="190" spans="1:17" ht="15.5" x14ac:dyDescent="0.35">
      <c r="A190" s="3" t="str">
        <f>HYPERLINK("https://edmondsonsupply.com/collections/storage-organization/products/veto-pro-pac-tech-ot-sc-open-top-electrician-tool-bag", "https://edmondsonsupply.com/collections/storage-organization/products/veto-pro-pac-tech-ot-sc-open-top-electrician-tool-bag")</f>
        <v>https://edmondsonsupply.com/collections/storage-organization/products/veto-pro-pac-tech-ot-sc-open-top-electrician-tool-bag</v>
      </c>
      <c r="B190" s="3" t="str">
        <f>HYPERLINK("https://edmondsonsupply.com/products/veto-pro-pac-tech-ot-sc-open-top-electrician-tool-bag", "https://edmondsonsupply.com/products/veto-pro-pac-tech-ot-sc-open-top-electrician-tool-bag")</f>
        <v>https://edmondsonsupply.com/products/veto-pro-pac-tech-ot-sc-open-top-electrician-tool-bag</v>
      </c>
      <c r="C190" t="s">
        <v>482</v>
      </c>
      <c r="D190" t="s">
        <v>509</v>
      </c>
      <c r="E190" s="3" t="str">
        <f>HYPERLINK("https://www.amazon.com/Veto-TECH-OT-SC-Sub-Compact-Electrician/dp/B09ZC63KFK/ref=sr_1_1?keywords=Veto+Pro+Pac+Tech+OT-SC+Open+Top+Electrician+Tool+Bag&amp;qid=1695173163&amp;sr=8-1", "https://www.amazon.com/Veto-TECH-OT-SC-Sub-Compact-Electrician/dp/B09ZC63KFK/ref=sr_1_1?keywords=Veto+Pro+Pac+Tech+OT-SC+Open+Top+Electrician+Tool+Bag&amp;qid=1695173163&amp;sr=8-1")</f>
        <v>https://www.amazon.com/Veto-TECH-OT-SC-Sub-Compact-Electrician/dp/B09ZC63KFK/ref=sr_1_1?keywords=Veto+Pro+Pac+Tech+OT-SC+Open+Top+Electrician+Tool+Bag&amp;qid=1695173163&amp;sr=8-1</v>
      </c>
      <c r="F190" t="s">
        <v>510</v>
      </c>
      <c r="G190" t="e">
        <f ca="1">_xludf.IMAGE("https://edmondsonsupply.com/cdn/shop/products/0_707ca9f3-2e27-41c1-883d-1aec36a4e25a.jpg?v=1674835772")</f>
        <v>#NAME?</v>
      </c>
      <c r="H190" t="e">
        <f ca="1">_xludf.IMAGE("https://m.media-amazon.com/images/I/51LTwfYG5eL._AC_UL320_.jpg")</f>
        <v>#NAME?</v>
      </c>
      <c r="I190" t="s">
        <v>483</v>
      </c>
      <c r="J190">
        <v>179.95</v>
      </c>
      <c r="K190" s="4">
        <v>-2.0000000000000001E-4</v>
      </c>
      <c r="L190">
        <v>4.7</v>
      </c>
      <c r="M190">
        <v>21</v>
      </c>
      <c r="O190" t="s">
        <v>25</v>
      </c>
      <c r="P190" t="s">
        <v>138</v>
      </c>
      <c r="Q190" t="s">
        <v>484</v>
      </c>
    </row>
    <row r="191" spans="1:17" ht="15.5" x14ac:dyDescent="0.35">
      <c r="A191" s="3" t="str">
        <f>HYPERLINK("https://edmondsonsupply.com/collections/storage-organization/products/veto-pro-pac-tp-lc-tool-pouch", "https://edmondsonsupply.com/collections/storage-organization/products/veto-pro-pac-tp-lc-tool-pouch")</f>
        <v>https://edmondsonsupply.com/collections/storage-organization/products/veto-pro-pac-tp-lc-tool-pouch</v>
      </c>
      <c r="B191" s="3" t="str">
        <f>HYPERLINK("https://edmondsonsupply.com/products/veto-pro-pac-tp-lc-tool-pouch", "https://edmondsonsupply.com/products/veto-pro-pac-tp-lc-tool-pouch")</f>
        <v>https://edmondsonsupply.com/products/veto-pro-pac-tp-lc-tool-pouch</v>
      </c>
      <c r="C191" t="s">
        <v>459</v>
      </c>
      <c r="D191" t="s">
        <v>371</v>
      </c>
      <c r="E191" s="3" t="str">
        <f>HYPERLINK("https://www.amazon.com/Veto-TP-LC-Compact-Zippered-Service/dp/B09TPZKBDP/ref=sr_1_1?keywords=Veto+Pro+Pac+TP-LC+Tool+Pouch&amp;qid=1695173187&amp;sr=8-1", "https://www.amazon.com/Veto-TP-LC-Compact-Zippered-Service/dp/B09TPZKBDP/ref=sr_1_1?keywords=Veto+Pro+Pac+TP-LC+Tool+Pouch&amp;qid=1695173187&amp;sr=8-1")</f>
        <v>https://www.amazon.com/Veto-TP-LC-Compact-Zippered-Service/dp/B09TPZKBDP/ref=sr_1_1?keywords=Veto+Pro+Pac+TP-LC+Tool+Pouch&amp;qid=1695173187&amp;sr=8-1</v>
      </c>
      <c r="F191" t="s">
        <v>372</v>
      </c>
      <c r="G191" t="e">
        <f ca="1">_xludf.IMAGE("https://edmondsonsupply.com/cdn/shop/products/TPLC.jpg?v=1648948141")</f>
        <v>#NAME?</v>
      </c>
      <c r="H191" t="e">
        <f ca="1">_xludf.IMAGE("https://m.media-amazon.com/images/I/51b1SiebzcL._AC_UL320_.jpg")</f>
        <v>#NAME?</v>
      </c>
      <c r="I191" t="s">
        <v>460</v>
      </c>
      <c r="J191">
        <v>134.94999999999999</v>
      </c>
      <c r="K191" s="4">
        <v>-2.9999999999999997E-4</v>
      </c>
      <c r="L191">
        <v>4.8</v>
      </c>
      <c r="M191">
        <v>281</v>
      </c>
      <c r="O191" t="s">
        <v>25</v>
      </c>
      <c r="P191" t="s">
        <v>138</v>
      </c>
      <c r="Q191" t="s">
        <v>461</v>
      </c>
    </row>
    <row r="192" spans="1:17" ht="15.5" x14ac:dyDescent="0.35">
      <c r="A192" s="3" t="str">
        <f>HYPERLINK("https://edmondsonsupply.com/collections/storage-organization/products/veto-pro-pac-tp5b-clip-on-service-tool-pouch", "https://edmondsonsupply.com/collections/storage-organization/products/veto-pro-pac-tp5b-clip-on-service-tool-pouch")</f>
        <v>https://edmondsonsupply.com/collections/storage-organization/products/veto-pro-pac-tp5b-clip-on-service-tool-pouch</v>
      </c>
      <c r="B192" s="3" t="str">
        <f>HYPERLINK("https://edmondsonsupply.com/products/veto-pro-pac-tp5b-clip-on-service-tool-pouch", "https://edmondsonsupply.com/products/veto-pro-pac-tp5b-clip-on-service-tool-pouch")</f>
        <v>https://edmondsonsupply.com/products/veto-pro-pac-tp5b-clip-on-service-tool-pouch</v>
      </c>
      <c r="C192" t="s">
        <v>623</v>
      </c>
      <c r="D192" t="s">
        <v>624</v>
      </c>
      <c r="E192" s="3" t="str">
        <f>HYPERLINK("https://www.amazon.com/Veto-TP5B-Clip-Service-Pouch/dp/B086DWWVHW/ref=sr_1_1?keywords=Veto+Pro+Pac+TP5B+Clip-on+Service+Tool+Pouch&amp;qid=1695173158&amp;sr=8-1", "https://www.amazon.com/Veto-TP5B-Clip-Service-Pouch/dp/B086DWWVHW/ref=sr_1_1?keywords=Veto+Pro+Pac+TP5B+Clip-on+Service+Tool+Pouch&amp;qid=1695173158&amp;sr=8-1")</f>
        <v>https://www.amazon.com/Veto-TP5B-Clip-Service-Pouch/dp/B086DWWVHW/ref=sr_1_1?keywords=Veto+Pro+Pac+TP5B+Clip-on+Service+Tool+Pouch&amp;qid=1695173158&amp;sr=8-1</v>
      </c>
      <c r="F192" t="s">
        <v>625</v>
      </c>
      <c r="G192" t="e">
        <f ca="1">_xludf.IMAGE("https://edmondsonsupply.com/cdn/shop/products/TP5B.png?v=1633031040")</f>
        <v>#NAME?</v>
      </c>
      <c r="H192" t="e">
        <f ca="1">_xludf.IMAGE("https://m.media-amazon.com/images/I/81NLFUJPtPL._AC_UL320_.jpg")</f>
        <v>#NAME?</v>
      </c>
      <c r="I192" t="s">
        <v>626</v>
      </c>
      <c r="J192">
        <v>94.95</v>
      </c>
      <c r="K192" s="4">
        <v>-4.0000000000000002E-4</v>
      </c>
      <c r="L192">
        <v>4.8</v>
      </c>
      <c r="M192">
        <v>751</v>
      </c>
      <c r="O192" t="s">
        <v>25</v>
      </c>
      <c r="P192" t="s">
        <v>138</v>
      </c>
      <c r="Q192" t="s">
        <v>627</v>
      </c>
    </row>
    <row r="193" spans="1:17" ht="15.5" x14ac:dyDescent="0.35">
      <c r="A193" s="3" t="str">
        <f>HYPERLINK("https://edmondsonsupply.com/collections/storage-organization/products/veto-pro-pac-tp3-b-tool-bag", "https://edmondsonsupply.com/collections/storage-organization/products/veto-pro-pac-tp3-b-tool-bag")</f>
        <v>https://edmondsonsupply.com/collections/storage-organization/products/veto-pro-pac-tp3-b-tool-bag</v>
      </c>
      <c r="B193" s="3" t="str">
        <f>HYPERLINK("https://edmondsonsupply.com/products/veto-pro-pac-tp3-b-tool-bag", "https://edmondsonsupply.com/products/veto-pro-pac-tp3-b-tool-bag")</f>
        <v>https://edmondsonsupply.com/products/veto-pro-pac-tp3-b-tool-bag</v>
      </c>
      <c r="C193" t="s">
        <v>317</v>
      </c>
      <c r="D193" t="s">
        <v>628</v>
      </c>
      <c r="E193" s="3" t="str">
        <f>HYPERLINK("https://www.amazon.com/VETO-TP4-Technician-Tool-Pouch/dp/B00EY8DZ42/ref=sr_1_3?keywords=Veto+Pro+Pac+TP3B+Tool+Pouch&amp;qid=1695173175&amp;sr=8-3", "https://www.amazon.com/VETO-TP4-Technician-Tool-Pouch/dp/B00EY8DZ42/ref=sr_1_3?keywords=Veto+Pro+Pac+TP3B+Tool+Pouch&amp;qid=1695173175&amp;sr=8-3")</f>
        <v>https://www.amazon.com/VETO-TP4-Technician-Tool-Pouch/dp/B00EY8DZ42/ref=sr_1_3?keywords=Veto+Pro+Pac+TP3B+Tool+Pouch&amp;qid=1695173175&amp;sr=8-3</v>
      </c>
      <c r="F193" t="s">
        <v>629</v>
      </c>
      <c r="G193" t="e">
        <f ca="1">_xludf.IMAGE("https://edmondsonsupply.com/cdn/shop/products/tp3b.png?v=1633031041")</f>
        <v>#NAME?</v>
      </c>
      <c r="H193" t="e">
        <f ca="1">_xludf.IMAGE("https://m.media-amazon.com/images/I/61ppYqUQVHL._AC_UL320_.jpg")</f>
        <v>#NAME?</v>
      </c>
      <c r="I193" t="s">
        <v>320</v>
      </c>
      <c r="J193">
        <v>74.95</v>
      </c>
      <c r="K193" s="4">
        <v>-5.0000000000000001E-4</v>
      </c>
      <c r="L193">
        <v>4.7</v>
      </c>
      <c r="M193">
        <v>458</v>
      </c>
      <c r="O193" t="s">
        <v>25</v>
      </c>
      <c r="P193" t="s">
        <v>138</v>
      </c>
      <c r="Q193" t="s">
        <v>321</v>
      </c>
    </row>
    <row r="194" spans="1:17" ht="15.5" x14ac:dyDescent="0.35">
      <c r="A194" s="3" t="str">
        <f>HYPERLINK("https://edmondsonsupply.com/collections/storage-organization/products/klein-tools-55452rtb-tool-bag-tradesman-pro%E2%84%A2-rolling-tool-bag-24-pockets-19-inch", "https://edmondsonsupply.com/collections/storage-organization/products/klein-tools-55452rtb-tool-bag-tradesman-pro%E2%84%A2-rolling-tool-bag-24-pockets-19-inch")</f>
        <v>https://edmondsonsupply.com/collections/storage-organization/products/klein-tools-55452rtb-tool-bag-tradesman-pro%E2%84%A2-rolling-tool-bag-24-pockets-19-inch</v>
      </c>
      <c r="B194" s="3" t="str">
        <f>HYPERLINK("https://edmondsonsupply.com/products/klein-tools-55452rtb-tool-bag-tradesman-pro%e2%84%a2-rolling-tool-bag-24-pockets-19-inch", "https://edmondsonsupply.com/products/klein-tools-55452rtb-tool-bag-tradesman-pro%e2%84%a2-rolling-tool-bag-24-pockets-19-inch")</f>
        <v>https://edmondsonsupply.com/products/klein-tools-55452rtb-tool-bag-tradesman-pro%e2%84%a2-rolling-tool-bag-24-pockets-19-inch</v>
      </c>
      <c r="C194" t="s">
        <v>630</v>
      </c>
      <c r="D194" t="s">
        <v>631</v>
      </c>
      <c r="E194" s="3" t="str">
        <f>HYPERLINK("https://www.amazon.com/Klein-Tools-55452RTB-Rollling-Tradesman/dp/B00BZXA35I/ref=sr_1_1?keywords=Klein+Tools+55452RTB+Tool+Bag%2C+Tradesman+Pro%E2%84%A2+Rolling+Tool+Bag%2C+24+Pockets%2C+19-Inch&amp;qid=1695173172&amp;sr=8-1", "https://www.amazon.com/Klein-Tools-55452RTB-Rollling-Tradesman/dp/B00BZXA35I/ref=sr_1_1?keywords=Klein+Tools+55452RTB+Tool+Bag%2C+Tradesman+Pro%E2%84%A2+Rolling+Tool+Bag%2C+24+Pockets%2C+19-Inch&amp;qid=1695173172&amp;sr=8-1")</f>
        <v>https://www.amazon.com/Klein-Tools-55452RTB-Rollling-Tradesman/dp/B00BZXA35I/ref=sr_1_1?keywords=Klein+Tools+55452RTB+Tool+Bag%2C+Tradesman+Pro%E2%84%A2+Rolling+Tool+Bag%2C+24+Pockets%2C+19-Inch&amp;qid=1695173172&amp;sr=8-1</v>
      </c>
      <c r="F194" t="s">
        <v>632</v>
      </c>
      <c r="G194" t="e">
        <f ca="1">_xludf.IMAGE("https://edmondsonsupply.com/cdn/shop/files/55452rtb.jpg?v=1685713046")</f>
        <v>#NAME?</v>
      </c>
      <c r="H194" t="e">
        <f ca="1">_xludf.IMAGE("https://m.media-amazon.com/images/I/71VvMaXepmL._AC_UL320_.jpg")</f>
        <v>#NAME?</v>
      </c>
      <c r="I194" t="s">
        <v>633</v>
      </c>
      <c r="J194">
        <v>199</v>
      </c>
      <c r="K194" s="4">
        <v>-4.8999999999999998E-3</v>
      </c>
      <c r="L194">
        <v>4.5</v>
      </c>
      <c r="M194">
        <v>900</v>
      </c>
      <c r="O194" t="s">
        <v>25</v>
      </c>
      <c r="P194" t="s">
        <v>634</v>
      </c>
      <c r="Q194" t="s">
        <v>635</v>
      </c>
    </row>
    <row r="195" spans="1:17" ht="15.5" x14ac:dyDescent="0.35">
      <c r="A195" s="3" t="str">
        <f>HYPERLINK("https://edmondsonsupply.com/collections/storage-organization/products/klein-tools-55429-tradesman-pro%E2%84%A2-electricians-tool-belt-xl", "https://edmondsonsupply.com/collections/storage-organization/products/klein-tools-55429-tradesman-pro%E2%84%A2-electricians-tool-belt-xl")</f>
        <v>https://edmondsonsupply.com/collections/storage-organization/products/klein-tools-55429-tradesman-pro%E2%84%A2-electricians-tool-belt-xl</v>
      </c>
      <c r="B195" s="3" t="str">
        <f>HYPERLINK("https://edmondsonsupply.com/products/klein-tools-55429-tradesman-pro%e2%84%a2-electricians-tool-belt-xl", "https://edmondsonsupply.com/products/klein-tools-55429-tradesman-pro%e2%84%a2-electricians-tool-belt-xl")</f>
        <v>https://edmondsonsupply.com/products/klein-tools-55429-tradesman-pro%e2%84%a2-electricians-tool-belt-xl</v>
      </c>
      <c r="C195" t="s">
        <v>636</v>
      </c>
      <c r="D195" t="s">
        <v>637</v>
      </c>
      <c r="E195" s="3" t="str">
        <f>HYPERLINK("https://www.amazon.com/Tradesman-Electricians-Klein-Tools-55429/dp/B00BZXA3GC/ref=sr_1_1?keywords=Klein+Tools+55429+Tradesman+Pro%E2%84%A2+Electrician%27s+Tool+Belt%2C+XL&amp;qid=1695173174&amp;sr=8-1", "https://www.amazon.com/Tradesman-Electricians-Klein-Tools-55429/dp/B00BZXA3GC/ref=sr_1_1?keywords=Klein+Tools+55429+Tradesman+Pro%E2%84%A2+Electrician%27s+Tool+Belt%2C+XL&amp;qid=1695173174&amp;sr=8-1")</f>
        <v>https://www.amazon.com/Tradesman-Electricians-Klein-Tools-55429/dp/B00BZXA3GC/ref=sr_1_1?keywords=Klein+Tools+55429+Tradesman+Pro%E2%84%A2+Electrician%27s+Tool+Belt%2C+XL&amp;qid=1695173174&amp;sr=8-1</v>
      </c>
      <c r="F195" t="s">
        <v>638</v>
      </c>
      <c r="G195" t="e">
        <f ca="1">_xludf.IMAGE("https://edmondsonsupply.com/cdn/shop/products/55429_b.jpg?v=1679415357")</f>
        <v>#NAME?</v>
      </c>
      <c r="H195" t="e">
        <f ca="1">_xludf.IMAGE("https://m.media-amazon.com/images/I/61hBX21HbTL._AC_UL320_.jpg")</f>
        <v>#NAME?</v>
      </c>
      <c r="I195" t="s">
        <v>639</v>
      </c>
      <c r="J195">
        <v>115</v>
      </c>
      <c r="K195" s="4">
        <v>-8.5000000000000006E-3</v>
      </c>
      <c r="L195">
        <v>4.3</v>
      </c>
      <c r="M195">
        <v>529</v>
      </c>
      <c r="O195" t="s">
        <v>25</v>
      </c>
      <c r="P195" t="s">
        <v>640</v>
      </c>
      <c r="Q195" t="s">
        <v>641</v>
      </c>
    </row>
    <row r="196" spans="1:17" ht="15.5" x14ac:dyDescent="0.35">
      <c r="A196" s="3" t="str">
        <f>HYPERLINK("https://edmondsonsupply.com/collections/storage-organization/products/klein-tools-58886-tool-tote-polyester-7-pocket-with-drain-holes", "https://edmondsonsupply.com/collections/storage-organization/products/klein-tools-58886-tool-tote-polyester-7-pocket-with-drain-holes")</f>
        <v>https://edmondsonsupply.com/collections/storage-organization/products/klein-tools-58886-tool-tote-polyester-7-pocket-with-drain-holes</v>
      </c>
      <c r="B196" s="3" t="str">
        <f>HYPERLINK("https://edmondsonsupply.com/products/klein-tools-58886-tool-tote-polyester-7-pocket-with-drain-holes", "https://edmondsonsupply.com/products/klein-tools-58886-tool-tote-polyester-7-pocket-with-drain-holes")</f>
        <v>https://edmondsonsupply.com/products/klein-tools-58886-tool-tote-polyester-7-pocket-with-drain-holes</v>
      </c>
      <c r="C196" t="s">
        <v>642</v>
      </c>
      <c r="D196" t="s">
        <v>643</v>
      </c>
      <c r="E196" s="3" t="str">
        <f>HYPERLINK("https://www.amazon.com/Polyester-7-Pocket-Klein-Tools-58886/dp/B000MKKBDY/ref=sr_1_1?keywords=Klein+Tools+58886+Tool+Tote%2C+Polyester%2C+7-Pocket+with+Drain+Holes&amp;qid=1695173174&amp;sr=8-1", "https://www.amazon.com/Polyester-7-Pocket-Klein-Tools-58886/dp/B000MKKBDY/ref=sr_1_1?keywords=Klein+Tools+58886+Tool+Tote%2C+Polyester%2C+7-Pocket+with+Drain+Holes&amp;qid=1695173174&amp;sr=8-1")</f>
        <v>https://www.amazon.com/Polyester-7-Pocket-Klein-Tools-58886/dp/B000MKKBDY/ref=sr_1_1?keywords=Klein+Tools+58886+Tool+Tote%2C+Polyester%2C+7-Pocket+with+Drain+Holes&amp;qid=1695173174&amp;sr=8-1</v>
      </c>
      <c r="F196" t="s">
        <v>644</v>
      </c>
      <c r="G196" t="e">
        <f ca="1">_xludf.IMAGE("https://edmondsonsupply.com/cdn/shop/products/58886.jpg?v=1652145349")</f>
        <v>#NAME?</v>
      </c>
      <c r="H196" t="e">
        <f ca="1">_xludf.IMAGE("https://m.media-amazon.com/images/I/71R79CI0igL._AC_UL320_.jpg")</f>
        <v>#NAME?</v>
      </c>
      <c r="I196" t="s">
        <v>645</v>
      </c>
      <c r="J196">
        <v>72</v>
      </c>
      <c r="K196" s="4">
        <v>-1.3599999999999999E-2</v>
      </c>
      <c r="L196">
        <v>4.5</v>
      </c>
      <c r="M196">
        <v>64</v>
      </c>
      <c r="O196" t="s">
        <v>25</v>
      </c>
      <c r="P196" t="s">
        <v>646</v>
      </c>
      <c r="Q196" t="s">
        <v>647</v>
      </c>
    </row>
    <row r="197" spans="1:17" ht="15.5" x14ac:dyDescent="0.35">
      <c r="A197"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197" s="3" t="str">
        <f>HYPERLINK("https://edmondsonsupply.com/products/veto-pro-pac-tech-pac-mc-blackout", "https://edmondsonsupply.com/products/veto-pro-pac-tech-pac-mc-blackout")</f>
        <v>https://edmondsonsupply.com/products/veto-pro-pac-tech-pac-mc-blackout</v>
      </c>
      <c r="C197" t="s">
        <v>496</v>
      </c>
      <c r="D197" t="s">
        <v>512</v>
      </c>
      <c r="E197" s="3" t="str">
        <f>HYPERLINK("https://www.amazon.com/VETO-PRO-PAC-Tech-Pac/dp/B00WZLTCHO/ref=sr_1_9?keywords=Veto+Pro+Pac+TECH+PAC+MC+Blackout&amp;qid=1695173175&amp;sr=8-9", "https://www.amazon.com/VETO-PRO-PAC-Tech-Pac/dp/B00WZLTCHO/ref=sr_1_9?keywords=Veto+Pro+Pac+TECH+PAC+MC+Blackout&amp;qid=1695173175&amp;sr=8-9")</f>
        <v>https://www.amazon.com/VETO-PRO-PAC-Tech-Pac/dp/B00WZLTCHO/ref=sr_1_9?keywords=Veto+Pro+Pac+TECH+PAC+MC+Blackout&amp;qid=1695173175&amp;sr=8-9</v>
      </c>
      <c r="F197" t="s">
        <v>513</v>
      </c>
      <c r="G197" t="e">
        <f ca="1">_xludf.IMAGE("https://edmondsonsupply.com/cdn/shop/products/tech1.png?v=1633031062")</f>
        <v>#NAME?</v>
      </c>
      <c r="H197" t="e">
        <f ca="1">_xludf.IMAGE("https://m.media-amazon.com/images/I/61uz-pihn8L._AC_UL320_.jpg")</f>
        <v>#NAME?</v>
      </c>
      <c r="I197" t="s">
        <v>499</v>
      </c>
      <c r="J197">
        <v>289.95</v>
      </c>
      <c r="K197" s="4">
        <v>-1.7100000000000001E-2</v>
      </c>
      <c r="L197">
        <v>4.7</v>
      </c>
      <c r="M197">
        <v>285</v>
      </c>
      <c r="O197" t="s">
        <v>25</v>
      </c>
      <c r="P197" t="s">
        <v>138</v>
      </c>
      <c r="Q197" t="s">
        <v>500</v>
      </c>
    </row>
    <row r="198" spans="1:17" ht="15.5" x14ac:dyDescent="0.35">
      <c r="A198" s="3" t="str">
        <f>HYPERLINK("https://edmondsonsupply.com/collections/storage-organization/products/klein-tools-5142p-tool-bag-canvas-utility-bag-interior-pocket-9-x-8-x-10-inch", "https://edmondsonsupply.com/collections/storage-organization/products/klein-tools-5142p-tool-bag-canvas-utility-bag-interior-pocket-9-x-8-x-10-inch")</f>
        <v>https://edmondsonsupply.com/collections/storage-organization/products/klein-tools-5142p-tool-bag-canvas-utility-bag-interior-pocket-9-x-8-x-10-inch</v>
      </c>
      <c r="B198" s="3" t="str">
        <f>HYPERLINK("https://edmondsonsupply.com/products/klein-tools-5142p-tool-bag-canvas-utility-bag-interior-pocket-9-x-8-x-10-inch", "https://edmondsonsupply.com/products/klein-tools-5142p-tool-bag-canvas-utility-bag-interior-pocket-9-x-8-x-10-inch")</f>
        <v>https://edmondsonsupply.com/products/klein-tools-5142p-tool-bag-canvas-utility-bag-interior-pocket-9-x-8-x-10-inch</v>
      </c>
      <c r="C198" t="s">
        <v>648</v>
      </c>
      <c r="D198" t="s">
        <v>649</v>
      </c>
      <c r="E198" s="3" t="str">
        <f>HYPERLINK("https://www.amazon.com/Klein-Tools-5142P-Utility-Interior/dp/B000936Q4W/ref=sr_1_1?keywords=Klein+Tools+5142P+Tool+Bag%2C+Canvas+Utility+Bag%2C+Interior+Pocket%2C+9+x+8+x+10-Inch&amp;qid=1695173186&amp;sr=8-1", "https://www.amazon.com/Klein-Tools-5142P-Utility-Interior/dp/B000936Q4W/ref=sr_1_1?keywords=Klein+Tools+5142P+Tool+Bag%2C+Canvas+Utility+Bag%2C+Interior+Pocket%2C+9+x+8+x+10-Inch&amp;qid=1695173186&amp;sr=8-1")</f>
        <v>https://www.amazon.com/Klein-Tools-5142P-Utility-Interior/dp/B000936Q4W/ref=sr_1_1?keywords=Klein+Tools+5142P+Tool+Bag%2C+Canvas+Utility+Bag%2C+Interior+Pocket%2C+9+x+8+x+10-Inch&amp;qid=1695173186&amp;sr=8-1</v>
      </c>
      <c r="F198" t="s">
        <v>650</v>
      </c>
      <c r="G198" t="e">
        <f ca="1">_xludf.IMAGE("https://edmondsonsupply.com/cdn/shop/products/5142.jpg?v=1633030666")</f>
        <v>#NAME?</v>
      </c>
      <c r="H198" t="e">
        <f ca="1">_xludf.IMAGE("https://m.media-amazon.com/images/I/61y29EFLXIL._AC_UL320_.jpg")</f>
        <v>#NAME?</v>
      </c>
      <c r="I198" t="s">
        <v>651</v>
      </c>
      <c r="J198">
        <v>32.270000000000003</v>
      </c>
      <c r="K198" s="4">
        <v>-2.0299999999999999E-2</v>
      </c>
      <c r="L198">
        <v>4.8</v>
      </c>
      <c r="M198">
        <v>119</v>
      </c>
      <c r="O198" t="s">
        <v>25</v>
      </c>
      <c r="P198" t="s">
        <v>652</v>
      </c>
      <c r="Q198" t="s">
        <v>653</v>
      </c>
    </row>
    <row r="199" spans="1:17" ht="15.5" x14ac:dyDescent="0.35">
      <c r="A199" s="3" t="str">
        <f>HYPERLINK("https://edmondsonsupply.com/collections/storage-organization/products/fluke-c37xt-protective-eva-hard-tool-case", "https://edmondsonsupply.com/collections/storage-organization/products/fluke-c37xt-protective-eva-hard-tool-case")</f>
        <v>https://edmondsonsupply.com/collections/storage-organization/products/fluke-c37xt-protective-eva-hard-tool-case</v>
      </c>
      <c r="B199" s="3" t="str">
        <f>HYPERLINK("https://edmondsonsupply.com/products/fluke-c37xt-protective-eva-hard-tool-case", "https://edmondsonsupply.com/products/fluke-c37xt-protective-eva-hard-tool-case")</f>
        <v>https://edmondsonsupply.com/products/fluke-c37xt-protective-eva-hard-tool-case</v>
      </c>
      <c r="C199" t="s">
        <v>442</v>
      </c>
      <c r="D199" t="s">
        <v>424</v>
      </c>
      <c r="E199" s="3" t="str">
        <f>HYPERLINK("https://www.amazon.com/Fluke-C11XT-Protective-Hard-Carrying/dp/B09TG9VDVH/ref=sr_1_2?keywords=Fluke+C37XT+Protective+EVA+Hard+Tool+Case&amp;qid=1695173167&amp;sr=8-2", "https://www.amazon.com/Fluke-C11XT-Protective-Hard-Carrying/dp/B09TG9VDVH/ref=sr_1_2?keywords=Fluke+C37XT+Protective+EVA+Hard+Tool+Case&amp;qid=1695173167&amp;sr=8-2")</f>
        <v>https://www.amazon.com/Fluke-C11XT-Protective-Hard-Carrying/dp/B09TG9VDVH/ref=sr_1_2?keywords=Fluke+C37XT+Protective+EVA+Hard+Tool+Case&amp;qid=1695173167&amp;sr=8-2</v>
      </c>
      <c r="F199" t="s">
        <v>425</v>
      </c>
      <c r="G199" t="e">
        <f ca="1">_xludf.IMAGE("https://edmondsonsupply.com/cdn/shop/products/F-c37xt_06a_w.webp?v=1665405653")</f>
        <v>#NAME?</v>
      </c>
      <c r="H199" t="e">
        <f ca="1">_xludf.IMAGE("https://m.media-amazon.com/images/I/61mhFNHDU+L._AC_UL320_.jpg")</f>
        <v>#NAME?</v>
      </c>
      <c r="I199" t="s">
        <v>443</v>
      </c>
      <c r="J199">
        <v>52.53</v>
      </c>
      <c r="K199" s="4">
        <v>-2.3400000000000001E-2</v>
      </c>
      <c r="L199">
        <v>4.8</v>
      </c>
      <c r="M199">
        <v>80</v>
      </c>
      <c r="O199" t="s">
        <v>25</v>
      </c>
      <c r="P199" t="s">
        <v>269</v>
      </c>
      <c r="Q199" t="s">
        <v>444</v>
      </c>
    </row>
    <row r="200" spans="1:17" ht="15.5" x14ac:dyDescent="0.35">
      <c r="A200"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200" s="3" t="str">
        <f>HYPERLINK("https://edmondsonsupply.com/products/klein-tools-5141-canvas-bag-4-pk-brown-black-gray-red", "https://edmondsonsupply.com/products/klein-tools-5141-canvas-bag-4-pk-brown-black-gray-red")</f>
        <v>https://edmondsonsupply.com/products/klein-tools-5141-canvas-bag-4-pk-brown-black-gray-red</v>
      </c>
      <c r="C200" t="s">
        <v>243</v>
      </c>
      <c r="D200" t="s">
        <v>654</v>
      </c>
      <c r="E200" s="3" t="str">
        <f>HYPERLINK("https://www.amazon.com/Klein-Tools-Canvas-Zipper-4-25-Inch/dp/B09Z91GLFK/ref=sr_1_2?keywords=Klein+Tools+5141+Zipper+Bags%2C+Canvas+Tool+Pouches+Brown%2FBlack%2FGray%2FRed%2C+4-Pack&amp;qid=1695173170&amp;sr=8-2", "https://www.amazon.com/Klein-Tools-Canvas-Zipper-4-25-Inch/dp/B09Z91GLFK/ref=sr_1_2?keywords=Klein+Tools+5141+Zipper+Bags%2C+Canvas+Tool+Pouches+Brown%2FBlack%2FGray%2FRed%2C+4-Pack&amp;qid=1695173170&amp;sr=8-2")</f>
        <v>https://www.amazon.com/Klein-Tools-Canvas-Zipper-4-25-Inch/dp/B09Z91GLFK/ref=sr_1_2?keywords=Klein+Tools+5141+Zipper+Bags%2C+Canvas+Tool+Pouches+Brown%2FBlack%2FGray%2FRed%2C+4-Pack&amp;qid=1695173170&amp;sr=8-2</v>
      </c>
      <c r="F200" t="s">
        <v>655</v>
      </c>
      <c r="G200" t="e">
        <f ca="1">_xludf.IMAGE("https://edmondsonsupply.com/cdn/shop/products/5141.jpg?v=1633030517")</f>
        <v>#NAME?</v>
      </c>
      <c r="H200" t="e">
        <f ca="1">_xludf.IMAGE("https://m.media-amazon.com/images/I/51OmVOlxWvL._AC_UL320_.jpg")</f>
        <v>#NAME?</v>
      </c>
      <c r="I200" t="s">
        <v>246</v>
      </c>
      <c r="J200">
        <v>39</v>
      </c>
      <c r="K200" s="4">
        <v>-2.4299999999999999E-2</v>
      </c>
      <c r="L200">
        <v>4.9000000000000004</v>
      </c>
      <c r="M200">
        <v>15</v>
      </c>
      <c r="O200" t="s">
        <v>25</v>
      </c>
      <c r="P200" t="s">
        <v>247</v>
      </c>
      <c r="Q200" t="s">
        <v>248</v>
      </c>
    </row>
    <row r="201" spans="1:17" ht="15.5" x14ac:dyDescent="0.35">
      <c r="A201" s="3" t="str">
        <f>HYPERLINK("https://edmondsonsupply.com/collections/storage-organization/products/klein-tools-5141-canvas-bag-4-pk-brown-black-gray-red", "https://edmondsonsupply.com/collections/storage-organization/products/klein-tools-5141-canvas-bag-4-pk-brown-black-gray-red")</f>
        <v>https://edmondsonsupply.com/collections/storage-organization/products/klein-tools-5141-canvas-bag-4-pk-brown-black-gray-red</v>
      </c>
      <c r="B201" s="3" t="str">
        <f>HYPERLINK("https://edmondsonsupply.com/products/klein-tools-5141-canvas-bag-4-pk-brown-black-gray-red", "https://edmondsonsupply.com/products/klein-tools-5141-canvas-bag-4-pk-brown-black-gray-red")</f>
        <v>https://edmondsonsupply.com/products/klein-tools-5141-canvas-bag-4-pk-brown-black-gray-red</v>
      </c>
      <c r="C201" t="s">
        <v>243</v>
      </c>
      <c r="D201" t="s">
        <v>294</v>
      </c>
      <c r="E201" s="3" t="str">
        <f>HYPERLINK("https://www.amazon.com/Utility-Zipper-12-5-Inch-Klein-Tools/dp/B007V8RXVI/ref=sr_1_1?keywords=Klein+Tools+5141+Zipper+Bags%2C+Canvas+Tool+Pouches+Brown%2FBlack%2FGray%2FRed%2C+4-Pack&amp;qid=1695173170&amp;sr=8-1", "https://www.amazon.com/Utility-Zipper-12-5-Inch-Klein-Tools/dp/B007V8RXVI/ref=sr_1_1?keywords=Klein+Tools+5141+Zipper+Bags%2C+Canvas+Tool+Pouches+Brown%2FBlack%2FGray%2FRed%2C+4-Pack&amp;qid=1695173170&amp;sr=8-1")</f>
        <v>https://www.amazon.com/Utility-Zipper-12-5-Inch-Klein-Tools/dp/B007V8RXVI/ref=sr_1_1?keywords=Klein+Tools+5141+Zipper+Bags%2C+Canvas+Tool+Pouches+Brown%2FBlack%2FGray%2FRed%2C+4-Pack&amp;qid=1695173170&amp;sr=8-1</v>
      </c>
      <c r="F201" t="s">
        <v>295</v>
      </c>
      <c r="G201" t="e">
        <f ca="1">_xludf.IMAGE("https://edmondsonsupply.com/cdn/shop/products/5141.jpg?v=1633030517")</f>
        <v>#NAME?</v>
      </c>
      <c r="H201" t="e">
        <f ca="1">_xludf.IMAGE("https://m.media-amazon.com/images/I/61K2xaMr+oL._AC_UL320_.jpg")</f>
        <v>#NAME?</v>
      </c>
      <c r="I201" t="s">
        <v>246</v>
      </c>
      <c r="J201">
        <v>39</v>
      </c>
      <c r="K201" s="4">
        <v>-2.4299999999999999E-2</v>
      </c>
      <c r="L201">
        <v>4.8</v>
      </c>
      <c r="M201">
        <v>4463</v>
      </c>
      <c r="O201" t="s">
        <v>25</v>
      </c>
      <c r="P201" t="s">
        <v>247</v>
      </c>
      <c r="Q201" t="s">
        <v>248</v>
      </c>
    </row>
    <row r="202" spans="1:17" ht="15.5" x14ac:dyDescent="0.35">
      <c r="A202" s="3" t="str">
        <f>HYPERLINK("https://edmondsonsupply.com/collections/storage-organization/products/klein-tools-58889", "https://edmondsonsupply.com/collections/storage-organization/products/klein-tools-58889")</f>
        <v>https://edmondsonsupply.com/collections/storage-organization/products/klein-tools-58889</v>
      </c>
      <c r="B202" s="3" t="str">
        <f>HYPERLINK("https://edmondsonsupply.com/products/klein-tools-58889", "https://edmondsonsupply.com/products/klein-tools-58889")</f>
        <v>https://edmondsonsupply.com/products/klein-tools-58889</v>
      </c>
      <c r="C202" t="s">
        <v>249</v>
      </c>
      <c r="D202" t="s">
        <v>656</v>
      </c>
      <c r="E202" s="3" t="str">
        <f>HYPERLINK("https://www.amazon.com/Adjustable-Shoulder-Klein-Tools-58889/dp/B0002RI6Y8/ref=sr_1_1?keywords=Klein+Tools+58889+Padded+Adjustable+Shoulder+Strap&amp;qid=1695173177&amp;sr=8-1", "https://www.amazon.com/Adjustable-Shoulder-Klein-Tools-58889/dp/B0002RI6Y8/ref=sr_1_1?keywords=Klein+Tools+58889+Padded+Adjustable+Shoulder+Strap&amp;qid=1695173177&amp;sr=8-1")</f>
        <v>https://www.amazon.com/Adjustable-Shoulder-Klein-Tools-58889/dp/B0002RI6Y8/ref=sr_1_1?keywords=Klein+Tools+58889+Padded+Adjustable+Shoulder+Strap&amp;qid=1695173177&amp;sr=8-1</v>
      </c>
      <c r="F202" t="s">
        <v>657</v>
      </c>
      <c r="G202" t="e">
        <f ca="1">_xludf.IMAGE("https://edmondsonsupply.com/cdn/shop/products/58889.jpg?v=1665591140")</f>
        <v>#NAME?</v>
      </c>
      <c r="H202" t="e">
        <f ca="1">_xludf.IMAGE("https://m.media-amazon.com/images/I/51FKcOazH2L._AC_UL320_.jpg")</f>
        <v>#NAME?</v>
      </c>
      <c r="I202" t="s">
        <v>252</v>
      </c>
      <c r="J202">
        <v>15.51</v>
      </c>
      <c r="K202" s="4">
        <v>-0.03</v>
      </c>
      <c r="L202">
        <v>4.7</v>
      </c>
      <c r="M202">
        <v>866</v>
      </c>
      <c r="O202" t="s">
        <v>25</v>
      </c>
      <c r="P202" t="s">
        <v>253</v>
      </c>
      <c r="Q202" t="s">
        <v>254</v>
      </c>
    </row>
    <row r="203" spans="1:17" ht="15.5" x14ac:dyDescent="0.35">
      <c r="A203" s="3" t="str">
        <f>HYPERLINK("https://edmondsonsupply.com/collections/storage-organization/products/veto-pro-pac-tech-pac-backpack-tool-bag", "https://edmondsonsupply.com/collections/storage-organization/products/veto-pro-pac-tech-pac-backpack-tool-bag")</f>
        <v>https://edmondsonsupply.com/collections/storage-organization/products/veto-pro-pac-tech-pac-backpack-tool-bag</v>
      </c>
      <c r="B203" s="3" t="str">
        <f>HYPERLINK("https://edmondsonsupply.com/products/veto-pro-pac-tech-pac-backpack-tool-bag", "https://edmondsonsupply.com/products/veto-pro-pac-tech-pac-backpack-tool-bag")</f>
        <v>https://edmondsonsupply.com/products/veto-pro-pac-tech-pac-backpack-tool-bag</v>
      </c>
      <c r="C203" t="s">
        <v>658</v>
      </c>
      <c r="D203" t="s">
        <v>512</v>
      </c>
      <c r="E203" s="3" t="str">
        <f>HYPERLINK("https://www.amazon.com/VETO-PRO-PAC-Tech-Pac/dp/B00WZLTCHO/ref=sr_1_3?keywords=Veto+Pro+Pac+TECH+PAC+Backpack+Tool+Bag&amp;qid=1695173170&amp;sr=8-3", "https://www.amazon.com/VETO-PRO-PAC-Tech-Pac/dp/B00WZLTCHO/ref=sr_1_3?keywords=Veto+Pro+Pac+TECH+PAC+Backpack+Tool+Bag&amp;qid=1695173170&amp;sr=8-3")</f>
        <v>https://www.amazon.com/VETO-PRO-PAC-Tech-Pac/dp/B00WZLTCHO/ref=sr_1_3?keywords=Veto+Pro+Pac+TECH+PAC+Backpack+Tool+Bag&amp;qid=1695173170&amp;sr=8-3</v>
      </c>
      <c r="F203" t="s">
        <v>513</v>
      </c>
      <c r="G203" t="e">
        <f ca="1">_xludf.IMAGE("https://edmondsonsupply.com/cdn/shop/products/Veto_Tech_Pac.jpg?v=1587149981")</f>
        <v>#NAME?</v>
      </c>
      <c r="H203" t="e">
        <f ca="1">_xludf.IMAGE("https://m.media-amazon.com/images/I/61uz-pihn8L._AC_UL320_.jpg")</f>
        <v>#NAME?</v>
      </c>
      <c r="I203" t="s">
        <v>533</v>
      </c>
      <c r="J203">
        <v>289.95</v>
      </c>
      <c r="K203" s="4">
        <v>-3.3500000000000002E-2</v>
      </c>
      <c r="L203">
        <v>4.7</v>
      </c>
      <c r="M203">
        <v>285</v>
      </c>
      <c r="O203" t="s">
        <v>25</v>
      </c>
      <c r="P203" t="s">
        <v>138</v>
      </c>
      <c r="Q203" t="s">
        <v>659</v>
      </c>
    </row>
    <row r="204" spans="1:17" ht="15.5" x14ac:dyDescent="0.35">
      <c r="A204" s="3" t="str">
        <f>HYPERLINK("https://edmondsonsupply.com/collections/storage-organization/products/klein-tools-5416octo-tool-bag-bull-pin-and-bolt-pouch-loop-connect-5-x-5-x-9-inch", "https://edmondsonsupply.com/collections/storage-organization/products/klein-tools-5416octo-tool-bag-bull-pin-and-bolt-pouch-loop-connect-5-x-5-x-9-inch")</f>
        <v>https://edmondsonsupply.com/collections/storage-organization/products/klein-tools-5416octo-tool-bag-bull-pin-and-bolt-pouch-loop-connect-5-x-5-x-9-inch</v>
      </c>
      <c r="B204" s="3" t="str">
        <f>HYPERLINK("https://edmondsonsupply.com/products/klein-tools-5416octo-tool-bag-bull-pin-and-bolt-pouch-loop-connect-5-x-5-x-9-inch", "https://edmondsonsupply.com/products/klein-tools-5416octo-tool-bag-bull-pin-and-bolt-pouch-loop-connect-5-x-5-x-9-inch")</f>
        <v>https://edmondsonsupply.com/products/klein-tools-5416octo-tool-bag-bull-pin-and-bolt-pouch-loop-connect-5-x-5-x-9-inch</v>
      </c>
      <c r="C204" t="s">
        <v>329</v>
      </c>
      <c r="D204" t="s">
        <v>660</v>
      </c>
      <c r="E204" s="3" t="str">
        <f>HYPERLINK("https://www.amazon.com/Bull-Pin-Connection-Klein-Tools-5416OCTO/dp/B00Y6WMEZW/ref=sr_1_2?keywords=Klein+Tools+5416OCTO+Tool+Bag%2C+Bull-Pin+and+Bolt+Pouch%2C+Loop+Connect%2C+5+x+5+x+9-Inch&amp;qid=1695173180&amp;sr=8-2", "https://www.amazon.com/Bull-Pin-Connection-Klein-Tools-5416OCTO/dp/B00Y6WMEZW/ref=sr_1_2?keywords=Klein+Tools+5416OCTO+Tool+Bag%2C+Bull-Pin+and+Bolt+Pouch%2C+Loop+Connect%2C+5+x+5+x+9-Inch&amp;qid=1695173180&amp;sr=8-2")</f>
        <v>https://www.amazon.com/Bull-Pin-Connection-Klein-Tools-5416OCTO/dp/B00Y6WMEZW/ref=sr_1_2?keywords=Klein+Tools+5416OCTO+Tool+Bag%2C+Bull-Pin+and+Bolt+Pouch%2C+Loop+Connect%2C+5+x+5+x+9-Inch&amp;qid=1695173180&amp;sr=8-2</v>
      </c>
      <c r="F204" t="s">
        <v>661</v>
      </c>
      <c r="G204" t="e">
        <f ca="1">_xludf.IMAGE("https://edmondsonsupply.com/cdn/shop/products/5416octo.jpg?v=1633030457")</f>
        <v>#NAME?</v>
      </c>
      <c r="H204" t="e">
        <f ca="1">_xludf.IMAGE("https://m.media-amazon.com/images/I/61SKfGzjXGL._AC_UL320_.jpg")</f>
        <v>#NAME?</v>
      </c>
      <c r="I204" t="s">
        <v>332</v>
      </c>
      <c r="J204">
        <v>21</v>
      </c>
      <c r="K204" s="4">
        <v>-4.6300000000000001E-2</v>
      </c>
      <c r="L204">
        <v>4.8</v>
      </c>
      <c r="M204">
        <v>513</v>
      </c>
      <c r="O204" t="s">
        <v>25</v>
      </c>
      <c r="P204" t="s">
        <v>333</v>
      </c>
      <c r="Q204" t="s">
        <v>334</v>
      </c>
    </row>
    <row r="205" spans="1:17" ht="15.5" x14ac:dyDescent="0.35">
      <c r="A205" s="3" t="str">
        <f>HYPERLINK("https://edmondsonsupply.com/collections/storage-organization/products/klein-tools-554158-14-tool-bag-tradesman-pro%E2%84%A2-tool-tote-20-pockets-8-inch", "https://edmondsonsupply.com/collections/storage-organization/products/klein-tools-554158-14-tool-bag-tradesman-pro%E2%84%A2-tool-tote-20-pockets-8-inch")</f>
        <v>https://edmondsonsupply.com/collections/storage-organization/products/klein-tools-554158-14-tool-bag-tradesman-pro%E2%84%A2-tool-tote-20-pockets-8-inch</v>
      </c>
      <c r="B205" s="3" t="str">
        <f>HYPERLINK("https://edmondsonsupply.com/products/klein-tools-554158-14-tool-bag-tradesman-pro%e2%84%a2-tool-tote-20-pockets-8-inch", "https://edmondsonsupply.com/products/klein-tools-554158-14-tool-bag-tradesman-pro%e2%84%a2-tool-tote-20-pockets-8-inch")</f>
        <v>https://edmondsonsupply.com/products/klein-tools-554158-14-tool-bag-tradesman-pro%e2%84%a2-tool-tote-20-pockets-8-inch</v>
      </c>
      <c r="C205" t="s">
        <v>662</v>
      </c>
      <c r="D205" t="s">
        <v>663</v>
      </c>
      <c r="E205" s="3" t="str">
        <f>HYPERLINK("https://www.amazon.com/Tradesman-8-Inch-Klein-Tools-554158-14/dp/B00MVRGYC8/ref=sr_1_1?keywords=Klein+Tools+554158-14+Tool+Bag%2C+Tradesman+Pro%E2%84%A2+Tool+Tote%2C+20+Pockets%2C+8-Inch&amp;qid=1695173202&amp;sr=8-1", "https://www.amazon.com/Tradesman-8-Inch-Klein-Tools-554158-14/dp/B00MVRGYC8/ref=sr_1_1?keywords=Klein+Tools+554158-14+Tool+Bag%2C+Tradesman+Pro%E2%84%A2+Tool+Tote%2C+20+Pockets%2C+8-Inch&amp;qid=1695173202&amp;sr=8-1")</f>
        <v>https://www.amazon.com/Tradesman-8-Inch-Klein-Tools-554158-14/dp/B00MVRGYC8/ref=sr_1_1?keywords=Klein+Tools+554158-14+Tool+Bag%2C+Tradesman+Pro%E2%84%A2+Tool+Tote%2C+20+Pockets%2C+8-Inch&amp;qid=1695173202&amp;sr=8-1</v>
      </c>
      <c r="F205" t="s">
        <v>664</v>
      </c>
      <c r="G205" t="e">
        <f ca="1">_xludf.IMAGE("https://edmondsonsupply.com/cdn/shop/products/554158-14.jpg?v=1681746976")</f>
        <v>#NAME?</v>
      </c>
      <c r="H205" t="e">
        <f ca="1">_xludf.IMAGE("https://m.media-amazon.com/images/I/61d4kiOTLVL._AC_UL320_.jpg")</f>
        <v>#NAME?</v>
      </c>
      <c r="I205" t="s">
        <v>665</v>
      </c>
      <c r="J205">
        <v>72.989999999999995</v>
      </c>
      <c r="K205" s="4">
        <v>-4.6800000000000001E-2</v>
      </c>
      <c r="L205">
        <v>4.8</v>
      </c>
      <c r="M205">
        <v>441</v>
      </c>
      <c r="O205" t="s">
        <v>25</v>
      </c>
      <c r="P205" t="s">
        <v>666</v>
      </c>
      <c r="Q205" t="s">
        <v>667</v>
      </c>
    </row>
    <row r="206" spans="1:17" ht="15.5" x14ac:dyDescent="0.35">
      <c r="A206" s="3" t="str">
        <f>HYPERLINK("https://edmondsonsupply.com/collections/storage-organization/products/veto-pro-pac-wrencher-mc", "https://edmondsonsupply.com/collections/storage-organization/products/veto-pro-pac-wrencher-mc")</f>
        <v>https://edmondsonsupply.com/collections/storage-organization/products/veto-pro-pac-wrencher-mc</v>
      </c>
      <c r="B206" s="3" t="str">
        <f>HYPERLINK("https://edmondsonsupply.com/products/veto-pro-pac-wrencher-mc", "https://edmondsonsupply.com/products/veto-pro-pac-wrencher-mc")</f>
        <v>https://edmondsonsupply.com/products/veto-pro-pac-wrencher-mc</v>
      </c>
      <c r="C206" t="s">
        <v>397</v>
      </c>
      <c r="D206" t="s">
        <v>501</v>
      </c>
      <c r="E206" s="3" t="str">
        <f>HYPERLINK("https://www.amazon.com/VETO-PRO-PAC-TECH-MCT-Tool/dp/B01CENNFYS/ref=sr_1_10?keywords=Veto+Pro+Pac+Wrencher+MC&amp;qid=1695173176&amp;sr=8-10", "https://www.amazon.com/VETO-PRO-PAC-TECH-MCT-Tool/dp/B01CENNFYS/ref=sr_1_10?keywords=Veto+Pro+Pac+Wrencher+MC&amp;qid=1695173176&amp;sr=8-10")</f>
        <v>https://www.amazon.com/VETO-PRO-PAC-TECH-MCT-Tool/dp/B01CENNFYS/ref=sr_1_10?keywords=Veto+Pro+Pac+Wrencher+MC&amp;qid=1695173176&amp;sr=8-10</v>
      </c>
      <c r="F206" t="s">
        <v>502</v>
      </c>
      <c r="G206" t="e">
        <f ca="1">_xludf.IMAGE("https://edmondsonsupply.com/cdn/shop/products/0001_WRENCHER-MC_32.jpg?v=1675795195")</f>
        <v>#NAME?</v>
      </c>
      <c r="H206" t="e">
        <f ca="1">_xludf.IMAGE("https://m.media-amazon.com/images/I/61GanfvVX6L._AC_UL320_.jpg")</f>
        <v>#NAME?</v>
      </c>
      <c r="I206" t="s">
        <v>400</v>
      </c>
      <c r="J206">
        <v>189.95</v>
      </c>
      <c r="K206" s="4">
        <v>-5.0200000000000002E-2</v>
      </c>
      <c r="L206">
        <v>4.8</v>
      </c>
      <c r="M206">
        <v>2083</v>
      </c>
      <c r="O206" t="s">
        <v>25</v>
      </c>
      <c r="P206" t="s">
        <v>138</v>
      </c>
      <c r="Q206" t="s">
        <v>401</v>
      </c>
    </row>
    <row r="207" spans="1:17" ht="15.5" x14ac:dyDescent="0.35">
      <c r="A207" s="3" t="str">
        <f>HYPERLINK("https://edmondsonsupply.com/collections/storage-organization/products/veto-pro-pac-wrencher-xl", "https://edmondsonsupply.com/collections/storage-organization/products/veto-pro-pac-wrencher-xl")</f>
        <v>https://edmondsonsupply.com/collections/storage-organization/products/veto-pro-pac-wrencher-xl</v>
      </c>
      <c r="B207" s="3" t="str">
        <f>HYPERLINK("https://edmondsonsupply.com/products/veto-pro-pac-wrencher-xl", "https://edmondsonsupply.com/products/veto-pro-pac-wrencher-xl")</f>
        <v>https://edmondsonsupply.com/products/veto-pro-pac-wrencher-xl</v>
      </c>
      <c r="C207" t="s">
        <v>433</v>
      </c>
      <c r="D207" t="s">
        <v>398</v>
      </c>
      <c r="E207" s="3" t="str">
        <f>HYPERLINK("https://www.amazon.com/Veto-Pro-Pac-Wrencher-LC-Open-Top/dp/B0BBPFQ447/ref=sr_1_2?keywords=Veto+Pro+Pac+Wrencher+XL&amp;qid=1695173167&amp;sr=8-2", "https://www.amazon.com/Veto-Pro-Pac-Wrencher-LC-Open-Top/dp/B0BBPFQ447/ref=sr_1_2?keywords=Veto+Pro+Pac+Wrencher+XL&amp;qid=1695173167&amp;sr=8-2")</f>
        <v>https://www.amazon.com/Veto-Pro-Pac-Wrencher-LC-Open-Top/dp/B0BBPFQ447/ref=sr_1_2?keywords=Veto+Pro+Pac+Wrencher+XL&amp;qid=1695173167&amp;sr=8-2</v>
      </c>
      <c r="F207" t="s">
        <v>399</v>
      </c>
      <c r="G207" t="e">
        <f ca="1">_xludf.IMAGE("https://edmondsonsupply.com/cdn/shop/products/0006_WRENCHER-XL_11.jpg?v=1675796410")</f>
        <v>#NAME?</v>
      </c>
      <c r="H207" t="e">
        <f ca="1">_xludf.IMAGE("https://m.media-amazon.com/images/I/61iZfeBF47L._AC_UL320_.jpg")</f>
        <v>#NAME?</v>
      </c>
      <c r="I207" t="s">
        <v>436</v>
      </c>
      <c r="J207">
        <v>339.95</v>
      </c>
      <c r="K207" s="4">
        <v>-5.57E-2</v>
      </c>
      <c r="L207">
        <v>5</v>
      </c>
      <c r="M207">
        <v>1</v>
      </c>
      <c r="O207" t="s">
        <v>25</v>
      </c>
      <c r="P207" t="s">
        <v>138</v>
      </c>
      <c r="Q207" t="s">
        <v>437</v>
      </c>
    </row>
    <row r="208" spans="1:17" ht="15.5" x14ac:dyDescent="0.35">
      <c r="A208" s="3" t="str">
        <f>HYPERLINK("https://edmondsonsupply.com/collections/storage-organization/products/veto-pro-pac-mb2-blackout", "https://edmondsonsupply.com/collections/storage-organization/products/veto-pro-pac-mb2-blackout")</f>
        <v>https://edmondsonsupply.com/collections/storage-organization/products/veto-pro-pac-mb2-blackout</v>
      </c>
      <c r="B208" s="3" t="str">
        <f>HYPERLINK("https://edmondsonsupply.com/products/veto-pro-pac-mb2-blackout", "https://edmondsonsupply.com/products/veto-pro-pac-mb2-blackout")</f>
        <v>https://edmondsonsupply.com/products/veto-pro-pac-mb2-blackout</v>
      </c>
      <c r="C208" t="s">
        <v>297</v>
      </c>
      <c r="D208" t="s">
        <v>668</v>
      </c>
      <c r="E208" s="3" t="str">
        <f>HYPERLINK("https://www.amazon.com/VETO-MB2-Blackout/dp/B0933KCZ5K/ref=sr_1_1?keywords=Veto+Pro+Pac+MB2+Blackout&amp;qid=1695173165&amp;sr=8-1", "https://www.amazon.com/VETO-MB2-Blackout/dp/B0933KCZ5K/ref=sr_1_1?keywords=Veto+Pro+Pac+MB2+Blackout&amp;qid=1695173165&amp;sr=8-1")</f>
        <v>https://www.amazon.com/VETO-MB2-Blackout/dp/B0933KCZ5K/ref=sr_1_1?keywords=Veto+Pro+Pac+MB2+Blackout&amp;qid=1695173165&amp;sr=8-1</v>
      </c>
      <c r="F208" t="s">
        <v>669</v>
      </c>
      <c r="G208" t="e">
        <f ca="1">_xludf.IMAGE("https://edmondsonsupply.com/cdn/shop/products/mb2_398b8401-a942-46dd-b2fe-64feff432106.jpg?v=1633031045")</f>
        <v>#NAME?</v>
      </c>
      <c r="H208" t="e">
        <f ca="1">_xludf.IMAGE("https://m.media-amazon.com/images/I/71BlioavBwL._AC_UL320_.jpg")</f>
        <v>#NAME?</v>
      </c>
      <c r="I208" t="s">
        <v>300</v>
      </c>
      <c r="J208">
        <v>74.95</v>
      </c>
      <c r="K208" s="4">
        <v>-6.3E-2</v>
      </c>
      <c r="L208">
        <v>4.8</v>
      </c>
      <c r="M208">
        <v>1468</v>
      </c>
      <c r="O208" t="s">
        <v>25</v>
      </c>
      <c r="P208" t="s">
        <v>138</v>
      </c>
      <c r="Q208" t="s">
        <v>301</v>
      </c>
    </row>
    <row r="209" spans="1:17" ht="15.5" x14ac:dyDescent="0.35">
      <c r="A209" s="3" t="str">
        <f>HYPERLINK("https://edmondsonsupply.com/collections/storage-organization/products/klein-tools-58888-12-pocket-tool-tote-with-shoulder-strap", "https://edmondsonsupply.com/collections/storage-organization/products/klein-tools-58888-12-pocket-tool-tote-with-shoulder-strap")</f>
        <v>https://edmondsonsupply.com/collections/storage-organization/products/klein-tools-58888-12-pocket-tool-tote-with-shoulder-strap</v>
      </c>
      <c r="B209" s="3" t="str">
        <f>HYPERLINK("https://edmondsonsupply.com/products/klein-tools-58888-12-pocket-tool-tote-with-shoulder-strap", "https://edmondsonsupply.com/products/klein-tools-58888-12-pocket-tool-tote-with-shoulder-strap")</f>
        <v>https://edmondsonsupply.com/products/klein-tools-58888-12-pocket-tool-tote-with-shoulder-strap</v>
      </c>
      <c r="C209" t="s">
        <v>445</v>
      </c>
      <c r="D209" t="s">
        <v>670</v>
      </c>
      <c r="E209" s="3" t="str">
        <f>HYPERLINK("https://www.amazon.com/Detachable-Shoulder-Klein-Tools-5102-14SP/dp/B007V8ZIG0/ref=sr_1_6?keywords=Klein+Tools+58888+12+Pocket+Tool+Tote+with+Shoulder+Strap&amp;qid=1695173168&amp;sr=8-6", "https://www.amazon.com/Detachable-Shoulder-Klein-Tools-5102-14SP/dp/B007V8ZIG0/ref=sr_1_6?keywords=Klein+Tools+58888+12+Pocket+Tool+Tote+with+Shoulder+Strap&amp;qid=1695173168&amp;sr=8-6")</f>
        <v>https://www.amazon.com/Detachable-Shoulder-Klein-Tools-5102-14SP/dp/B007V8ZIG0/ref=sr_1_6?keywords=Klein+Tools+58888+12+Pocket+Tool+Tote+with+Shoulder+Strap&amp;qid=1695173168&amp;sr=8-6</v>
      </c>
      <c r="F209" t="s">
        <v>671</v>
      </c>
      <c r="G209" t="e">
        <f ca="1">_xludf.IMAGE("https://edmondsonsupply.com/cdn/shop/products/58888.jpg?v=1660004615")</f>
        <v>#NAME?</v>
      </c>
      <c r="H209" t="e">
        <f ca="1">_xludf.IMAGE("https://m.media-amazon.com/images/I/61IEFOdxt7L._AC_UL320_.jpg")</f>
        <v>#NAME?</v>
      </c>
      <c r="I209" t="s">
        <v>448</v>
      </c>
      <c r="J209">
        <v>76.989999999999995</v>
      </c>
      <c r="K209" s="4">
        <v>-7.2300000000000003E-2</v>
      </c>
      <c r="L209">
        <v>4.7</v>
      </c>
      <c r="M209">
        <v>642</v>
      </c>
      <c r="O209" t="s">
        <v>25</v>
      </c>
      <c r="P209" t="s">
        <v>449</v>
      </c>
      <c r="Q209" t="s">
        <v>450</v>
      </c>
    </row>
    <row r="210" spans="1:17" ht="15.5" x14ac:dyDescent="0.35">
      <c r="A210" s="3" t="str">
        <f>HYPERLINK("https://edmondsonsupply.com/collections/storage-organization/products/klein-tools-55599-high-visibility-zipper-bags-2-pack", "https://edmondsonsupply.com/collections/storage-organization/products/klein-tools-55599-high-visibility-zipper-bags-2-pack")</f>
        <v>https://edmondsonsupply.com/collections/storage-organization/products/klein-tools-55599-high-visibility-zipper-bags-2-pack</v>
      </c>
      <c r="B210" s="3" t="str">
        <f>HYPERLINK("https://edmondsonsupply.com/products/klein-tools-55599-high-visibility-zipper-bags-2-pack", "https://edmondsonsupply.com/products/klein-tools-55599-high-visibility-zipper-bags-2-pack")</f>
        <v>https://edmondsonsupply.com/products/klein-tools-55599-high-visibility-zipper-bags-2-pack</v>
      </c>
      <c r="C210" t="s">
        <v>672</v>
      </c>
      <c r="D210" t="s">
        <v>673</v>
      </c>
      <c r="E210" s="3" t="str">
        <f>HYPERLINK("https://www.amazon.com/Visibility-Zipper-Klein-Tools-55599/dp/B01N674AXT/ref=sr_1_1?keywords=Klein+Tools+55599+Zipper+Bags%2C+High+Visibility+Tool+Pouches%2C+2-Pack&amp;qid=1695173156&amp;sr=8-1", "https://www.amazon.com/Visibility-Zipper-Klein-Tools-55599/dp/B01N674AXT/ref=sr_1_1?keywords=Klein+Tools+55599+Zipper+Bags%2C+High+Visibility+Tool+Pouches%2C+2-Pack&amp;qid=1695173156&amp;sr=8-1")</f>
        <v>https://www.amazon.com/Visibility-Zipper-Klein-Tools-55599/dp/B01N674AXT/ref=sr_1_1?keywords=Klein+Tools+55599+Zipper+Bags%2C+High+Visibility+Tool+Pouches%2C+2-Pack&amp;qid=1695173156&amp;sr=8-1</v>
      </c>
      <c r="F210" t="s">
        <v>674</v>
      </c>
      <c r="G210" t="e">
        <f ca="1">_xludf.IMAGE("https://edmondsonsupply.com/cdn/shop/products/55599.jpg?v=1587143455")</f>
        <v>#NAME?</v>
      </c>
      <c r="H210" t="e">
        <f ca="1">_xludf.IMAGE("https://m.media-amazon.com/images/I/71DB02D9dUL._AC_UL320_.jpg")</f>
        <v>#NAME?</v>
      </c>
      <c r="I210" t="s">
        <v>471</v>
      </c>
      <c r="J210">
        <v>23</v>
      </c>
      <c r="K210" s="4">
        <v>-7.9600000000000004E-2</v>
      </c>
      <c r="L210">
        <v>4.8</v>
      </c>
      <c r="M210">
        <v>386</v>
      </c>
      <c r="O210" t="s">
        <v>25</v>
      </c>
      <c r="P210" t="s">
        <v>675</v>
      </c>
      <c r="Q210" t="s">
        <v>676</v>
      </c>
    </row>
    <row r="211" spans="1:17" ht="15.5" x14ac:dyDescent="0.35">
      <c r="A211" s="3" t="str">
        <f>HYPERLINK("https://edmondsonsupply.com/collections/storage-organization/products/klein-tools-55560-camo-zipper-bags-2-pack", "https://edmondsonsupply.com/collections/storage-organization/products/klein-tools-55560-camo-zipper-bags-2-pack")</f>
        <v>https://edmondsonsupply.com/collections/storage-organization/products/klein-tools-55560-camo-zipper-bags-2-pack</v>
      </c>
      <c r="B211" s="3" t="str">
        <f>HYPERLINK("https://edmondsonsupply.com/products/klein-tools-55560-camo-zipper-bags-2-pack", "https://edmondsonsupply.com/products/klein-tools-55560-camo-zipper-bags-2-pack")</f>
        <v>https://edmondsonsupply.com/products/klein-tools-55560-camo-zipper-bags-2-pack</v>
      </c>
      <c r="C211" t="s">
        <v>470</v>
      </c>
      <c r="D211" t="s">
        <v>673</v>
      </c>
      <c r="E211" s="3" t="str">
        <f>HYPERLINK("https://www.amazon.com/Visibility-Zipper-Klein-Tools-55599/dp/B01N674AXT/ref=sr_1_3?keywords=Klein+Tools+55560+Zipper+Bags%2C+Camo+Tool+Pouches%2C+2-Pack&amp;qid=1695173184&amp;sr=8-3", "https://www.amazon.com/Visibility-Zipper-Klein-Tools-55599/dp/B01N674AXT/ref=sr_1_3?keywords=Klein+Tools+55560+Zipper+Bags%2C+Camo+Tool+Pouches%2C+2-Pack&amp;qid=1695173184&amp;sr=8-3")</f>
        <v>https://www.amazon.com/Visibility-Zipper-Klein-Tools-55599/dp/B01N674AXT/ref=sr_1_3?keywords=Klein+Tools+55560+Zipper+Bags%2C+Camo+Tool+Pouches%2C+2-Pack&amp;qid=1695173184&amp;sr=8-3</v>
      </c>
      <c r="F211" t="s">
        <v>674</v>
      </c>
      <c r="G211" t="e">
        <f ca="1">_xludf.IMAGE("https://edmondsonsupply.com/cdn/shop/products/55560.jpg?v=1633030628")</f>
        <v>#NAME?</v>
      </c>
      <c r="H211" t="e">
        <f ca="1">_xludf.IMAGE("https://m.media-amazon.com/images/I/71DB02D9dUL._AC_UL320_.jpg")</f>
        <v>#NAME?</v>
      </c>
      <c r="I211" t="s">
        <v>471</v>
      </c>
      <c r="J211">
        <v>23</v>
      </c>
      <c r="K211" s="4">
        <v>-7.9600000000000004E-2</v>
      </c>
      <c r="L211">
        <v>4.8</v>
      </c>
      <c r="M211">
        <v>386</v>
      </c>
      <c r="O211" t="s">
        <v>25</v>
      </c>
      <c r="P211" t="s">
        <v>472</v>
      </c>
      <c r="Q211" t="s">
        <v>473</v>
      </c>
    </row>
    <row r="212" spans="1:17" ht="15.5" x14ac:dyDescent="0.35">
      <c r="A212" s="3" t="str">
        <f>HYPERLINK("https://edmondsonsupply.com/collections/storage-organization/products/klein-tools-69408-tradesman-pro%E2%84%A2-carrying-case-large", "https://edmondsonsupply.com/collections/storage-organization/products/klein-tools-69408-tradesman-pro%E2%84%A2-carrying-case-large")</f>
        <v>https://edmondsonsupply.com/collections/storage-organization/products/klein-tools-69408-tradesman-pro%E2%84%A2-carrying-case-large</v>
      </c>
      <c r="B212" s="3" t="str">
        <f>HYPERLINK("https://edmondsonsupply.com/products/klein-tools-69408-tradesman-pro%e2%84%a2-carrying-case-large", "https://edmondsonsupply.com/products/klein-tools-69408-tradesman-pro%e2%84%a2-carrying-case-large")</f>
        <v>https://edmondsonsupply.com/products/klein-tools-69408-tradesman-pro%e2%84%a2-carrying-case-large</v>
      </c>
      <c r="C212" t="s">
        <v>677</v>
      </c>
      <c r="D212" t="s">
        <v>678</v>
      </c>
      <c r="E212" s="3" t="str">
        <f>HYPERLINK("https://www.amazon.com/Tradesman-Carrying-Klein-Tools-69408/dp/B00FZEO8EK/ref=sr_1_3?keywords=Klein+Tools+69408+Tradesman+Pro%E2%84%A2+Carrying+Case%2C+Large&amp;qid=1695173200&amp;sr=8-3", "https://www.amazon.com/Tradesman-Carrying-Klein-Tools-69408/dp/B00FZEO8EK/ref=sr_1_3?keywords=Klein+Tools+69408+Tradesman+Pro%E2%84%A2+Carrying+Case%2C+Large&amp;qid=1695173200&amp;sr=8-3")</f>
        <v>https://www.amazon.com/Tradesman-Carrying-Klein-Tools-69408/dp/B00FZEO8EK/ref=sr_1_3?keywords=Klein+Tools+69408+Tradesman+Pro%E2%84%A2+Carrying+Case%2C+Large&amp;qid=1695173200&amp;sr=8-3</v>
      </c>
      <c r="F212" t="s">
        <v>679</v>
      </c>
      <c r="G212" t="e">
        <f ca="1">_xludf.IMAGE("https://edmondsonsupply.com/cdn/shop/products/69408.jpg?v=1633030545")</f>
        <v>#NAME?</v>
      </c>
      <c r="H212" t="e">
        <f ca="1">_xludf.IMAGE("https://m.media-amazon.com/images/I/61e7dtjqz2L._AC_UL320_.jpg")</f>
        <v>#NAME?</v>
      </c>
      <c r="I212" t="s">
        <v>198</v>
      </c>
      <c r="J212">
        <v>36.79</v>
      </c>
      <c r="K212" s="4">
        <v>-0.08</v>
      </c>
      <c r="L212">
        <v>4.7</v>
      </c>
      <c r="M212">
        <v>191</v>
      </c>
      <c r="O212" t="s">
        <v>25</v>
      </c>
      <c r="P212" t="s">
        <v>680</v>
      </c>
      <c r="Q212" t="s">
        <v>681</v>
      </c>
    </row>
    <row r="213" spans="1:17" ht="15.5" x14ac:dyDescent="0.35">
      <c r="A213" s="3" t="str">
        <f>HYPERLINK("https://edmondsonsupply.com/collections/storage-organization/products/klein-tools-5539yel-canvas-zipper-bag-consumables-yellow", "https://edmondsonsupply.com/collections/storage-organization/products/klein-tools-5539yel-canvas-zipper-bag-consumables-yellow")</f>
        <v>https://edmondsonsupply.com/collections/storage-organization/products/klein-tools-5539yel-canvas-zipper-bag-consumables-yellow</v>
      </c>
      <c r="B213" s="3" t="str">
        <f>HYPERLINK("https://edmondsonsupply.com/products/klein-tools-5539yel-canvas-zipper-bag-consumables-yellow", "https://edmondsonsupply.com/products/klein-tools-5539yel-canvas-zipper-bag-consumables-yellow")</f>
        <v>https://edmondsonsupply.com/products/klein-tools-5539yel-canvas-zipper-bag-consumables-yellow</v>
      </c>
      <c r="C213" t="s">
        <v>285</v>
      </c>
      <c r="D213" t="s">
        <v>682</v>
      </c>
      <c r="E213" s="3" t="str">
        <f>HYPERLINK("https://www.amazon.com/Canvas-Consumables-Klein-Tools-5539YEL/dp/B002G7ZU0U/ref=sr_1_1?keywords=Klein+Tools+5539YEL+Zipper+Bag%2C+Canvas+Tool+Pouch%2C+10-Inch%2C+Yellow&amp;qid=1695173187&amp;sr=8-1", "https://www.amazon.com/Canvas-Consumables-Klein-Tools-5539YEL/dp/B002G7ZU0U/ref=sr_1_1?keywords=Klein+Tools+5539YEL+Zipper+Bag%2C+Canvas+Tool+Pouch%2C+10-Inch%2C+Yellow&amp;qid=1695173187&amp;sr=8-1")</f>
        <v>https://www.amazon.com/Canvas-Consumables-Klein-Tools-5539YEL/dp/B002G7ZU0U/ref=sr_1_1?keywords=Klein+Tools+5539YEL+Zipper+Bag%2C+Canvas+Tool+Pouch%2C+10-Inch%2C+Yellow&amp;qid=1695173187&amp;sr=8-1</v>
      </c>
      <c r="F213" t="s">
        <v>683</v>
      </c>
      <c r="G213" t="e">
        <f ca="1">_xludf.IMAGE("https://edmondsonsupply.com/cdn/shop/products/5539yel.jpg?v=1633030465")</f>
        <v>#NAME?</v>
      </c>
      <c r="H213" t="e">
        <f ca="1">_xludf.IMAGE("https://m.media-amazon.com/images/I/61YytMTLunL._AC_UL320_.jpg")</f>
        <v>#NAME?</v>
      </c>
      <c r="I213" t="s">
        <v>288</v>
      </c>
      <c r="J213">
        <v>12.79</v>
      </c>
      <c r="K213" s="4">
        <v>-8.5800000000000001E-2</v>
      </c>
      <c r="L213">
        <v>4.7</v>
      </c>
      <c r="M213">
        <v>832</v>
      </c>
      <c r="O213" t="s">
        <v>25</v>
      </c>
      <c r="P213" t="s">
        <v>289</v>
      </c>
      <c r="Q213" t="s">
        <v>290</v>
      </c>
    </row>
    <row r="214" spans="1:17" ht="15.5" x14ac:dyDescent="0.35">
      <c r="A214" s="3" t="str">
        <f>HYPERLINK("https://edmondsonsupply.com/collections/storage-organization/products/veto-pro-pac-wrencher-xxl", "https://edmondsonsupply.com/collections/storage-organization/products/veto-pro-pac-wrencher-xxl")</f>
        <v>https://edmondsonsupply.com/collections/storage-organization/products/veto-pro-pac-wrencher-xxl</v>
      </c>
      <c r="B214" s="3" t="str">
        <f>HYPERLINK("https://edmondsonsupply.com/products/veto-pro-pac-wrencher-xxl", "https://edmondsonsupply.com/products/veto-pro-pac-wrencher-xxl")</f>
        <v>https://edmondsonsupply.com/products/veto-pro-pac-wrencher-xxl</v>
      </c>
      <c r="C214" t="s">
        <v>421</v>
      </c>
      <c r="D214" t="s">
        <v>621</v>
      </c>
      <c r="E214" s="3" t="str">
        <f>HYPERLINK("https://www.amazon.com/Veto-Pro-Pac-TP-XXL-Zippered/dp/B09Q4YNX94/ref=sr_1_2?keywords=Veto+Pro+Pac+Wrencher+XXL&amp;qid=1695173172&amp;sr=8-2", "https://www.amazon.com/Veto-Pro-Pac-TP-XXL-Zippered/dp/B09Q4YNX94/ref=sr_1_2?keywords=Veto+Pro+Pac+Wrencher+XXL&amp;qid=1695173172&amp;sr=8-2")</f>
        <v>https://www.amazon.com/Veto-Pro-Pac-TP-XXL-Zippered/dp/B09Q4YNX94/ref=sr_1_2?keywords=Veto+Pro+Pac+Wrencher+XXL&amp;qid=1695173172&amp;sr=8-2</v>
      </c>
      <c r="F214" t="s">
        <v>622</v>
      </c>
      <c r="G214" t="e">
        <f ca="1">_xludf.IMAGE("https://edmondsonsupply.com/cdn/shop/files/0003_WRENCHER-XXL_36.jpg?v=1684440775")</f>
        <v>#NAME?</v>
      </c>
      <c r="H214" t="e">
        <f ca="1">_xludf.IMAGE("https://m.media-amazon.com/images/I/61c5N3ud9xL._AC_UL320_.jpg")</f>
        <v>#NAME?</v>
      </c>
      <c r="I214" t="s">
        <v>422</v>
      </c>
      <c r="J214">
        <v>209.95</v>
      </c>
      <c r="K214" s="4">
        <v>-8.6999999999999994E-2</v>
      </c>
      <c r="L214">
        <v>4.8</v>
      </c>
      <c r="M214">
        <v>478</v>
      </c>
      <c r="O214" t="s">
        <v>25</v>
      </c>
      <c r="P214" t="s">
        <v>138</v>
      </c>
      <c r="Q214" t="s">
        <v>423</v>
      </c>
    </row>
    <row r="215" spans="1:17" ht="15.5" x14ac:dyDescent="0.35">
      <c r="A215" s="3" t="str">
        <f>HYPERLINK("https://edmondsonsupply.com/collections/storage-organization/products/veto-pro-pac-tech-pac-backpack-tool-bag-3", "https://edmondsonsupply.com/collections/storage-organization/products/veto-pro-pac-tech-pac-backpack-tool-bag-3")</f>
        <v>https://edmondsonsupply.com/collections/storage-organization/products/veto-pro-pac-tech-pac-backpack-tool-bag-3</v>
      </c>
      <c r="B215" s="3" t="str">
        <f>HYPERLINK("https://edmondsonsupply.com/products/veto-pro-pac-tech-pac-backpack-tool-bag-3", "https://edmondsonsupply.com/products/veto-pro-pac-tech-pac-backpack-tool-bag-3")</f>
        <v>https://edmondsonsupply.com/products/veto-pro-pac-tech-pac-backpack-tool-bag-3</v>
      </c>
      <c r="C215" t="s">
        <v>511</v>
      </c>
      <c r="D215" t="s">
        <v>684</v>
      </c>
      <c r="E215" s="3" t="str">
        <f>HYPERLINK("https://www.amazon.com/Veto-Tech-XL-Tool-1-Pack/dp/B00DYRFEJI/ref=sr_1_7?keywords=Veto+Pro+Pac+TECH+PAC+MC+Backpack+Tool+Bag&amp;qid=1695173160&amp;sr=8-7", "https://www.amazon.com/Veto-Tech-XL-Tool-1-Pack/dp/B00DYRFEJI/ref=sr_1_7?keywords=Veto+Pro+Pac+TECH+PAC+MC+Backpack+Tool+Bag&amp;qid=1695173160&amp;sr=8-7")</f>
        <v>https://www.amazon.com/Veto-Tech-XL-Tool-1-Pack/dp/B00DYRFEJI/ref=sr_1_7?keywords=Veto+Pro+Pac+TECH+PAC+MC+Backpack+Tool+Bag&amp;qid=1695173160&amp;sr=8-7</v>
      </c>
      <c r="F215" t="s">
        <v>685</v>
      </c>
      <c r="G215" t="e">
        <f ca="1">_xludf.IMAGE("https://edmondsonsupply.com/cdn/shop/products/MC2.jpg?v=1642553730")</f>
        <v>#NAME?</v>
      </c>
      <c r="H215" t="e">
        <f ca="1">_xludf.IMAGE("https://m.media-amazon.com/images/I/71suRnmtVZL._AC_UL320_.jpg")</f>
        <v>#NAME?</v>
      </c>
      <c r="I215" t="s">
        <v>514</v>
      </c>
      <c r="J215">
        <v>249.95</v>
      </c>
      <c r="K215" s="4">
        <v>-9.11E-2</v>
      </c>
      <c r="L215">
        <v>4.8</v>
      </c>
      <c r="M215">
        <v>763</v>
      </c>
      <c r="O215" t="s">
        <v>25</v>
      </c>
      <c r="P215" t="s">
        <v>138</v>
      </c>
      <c r="Q215" t="s">
        <v>515</v>
      </c>
    </row>
    <row r="216" spans="1:17" ht="15.5" x14ac:dyDescent="0.35">
      <c r="A216" s="3" t="str">
        <f>HYPERLINK("https://edmondsonsupply.com/collections/storage-organization/products/klein-tools-5416octo-tool-bag-bull-pin-and-bolt-pouch-loop-connect-5-x-5-x-9-inch", "https://edmondsonsupply.com/collections/storage-organization/products/klein-tools-5416octo-tool-bag-bull-pin-and-bolt-pouch-loop-connect-5-x-5-x-9-inch")</f>
        <v>https://edmondsonsupply.com/collections/storage-organization/products/klein-tools-5416octo-tool-bag-bull-pin-and-bolt-pouch-loop-connect-5-x-5-x-9-inch</v>
      </c>
      <c r="B216" s="3" t="str">
        <f>HYPERLINK("https://edmondsonsupply.com/products/klein-tools-5416octo-tool-bag-bull-pin-and-bolt-pouch-loop-connect-5-x-5-x-9-inch", "https://edmondsonsupply.com/products/klein-tools-5416octo-tool-bag-bull-pin-and-bolt-pouch-loop-connect-5-x-5-x-9-inch")</f>
        <v>https://edmondsonsupply.com/products/klein-tools-5416octo-tool-bag-bull-pin-and-bolt-pouch-loop-connect-5-x-5-x-9-inch</v>
      </c>
      <c r="C216" t="s">
        <v>329</v>
      </c>
      <c r="D216" t="s">
        <v>686</v>
      </c>
      <c r="E216" s="3" t="str">
        <f>HYPERLINK("https://www.amazon.com/Resistant-Canvas-Klein-Tools-5416TFR/dp/B0116IFD6A/ref=sr_1_4?keywords=Klein+Tools+5416OCTO+Tool+Bag%2C+Bull-Pin+and+Bolt+Pouch%2C+Loop+Connect%2C+5+x+5+x+9-Inch&amp;qid=1695173180&amp;sr=8-4", "https://www.amazon.com/Resistant-Canvas-Klein-Tools-5416TFR/dp/B0116IFD6A/ref=sr_1_4?keywords=Klein+Tools+5416OCTO+Tool+Bag%2C+Bull-Pin+and+Bolt+Pouch%2C+Loop+Connect%2C+5+x+5+x+9-Inch&amp;qid=1695173180&amp;sr=8-4")</f>
        <v>https://www.amazon.com/Resistant-Canvas-Klein-Tools-5416TFR/dp/B0116IFD6A/ref=sr_1_4?keywords=Klein+Tools+5416OCTO+Tool+Bag%2C+Bull-Pin+and+Bolt+Pouch%2C+Loop+Connect%2C+5+x+5+x+9-Inch&amp;qid=1695173180&amp;sr=8-4</v>
      </c>
      <c r="F216" t="s">
        <v>687</v>
      </c>
      <c r="G216" t="e">
        <f ca="1">_xludf.IMAGE("https://edmondsonsupply.com/cdn/shop/products/5416octo.jpg?v=1633030457")</f>
        <v>#NAME?</v>
      </c>
      <c r="H216" t="e">
        <f ca="1">_xludf.IMAGE("https://m.media-amazon.com/images/I/71-H03ahZOL._AC_UL320_.jpg")</f>
        <v>#NAME?</v>
      </c>
      <c r="I216" t="s">
        <v>332</v>
      </c>
      <c r="J216">
        <v>19.989999999999998</v>
      </c>
      <c r="K216" s="4">
        <v>-9.2200000000000004E-2</v>
      </c>
      <c r="L216">
        <v>4.8</v>
      </c>
      <c r="M216">
        <v>7387</v>
      </c>
      <c r="O216" t="s">
        <v>25</v>
      </c>
      <c r="P216" t="s">
        <v>333</v>
      </c>
      <c r="Q216" t="s">
        <v>334</v>
      </c>
    </row>
    <row r="217" spans="1:17" ht="15.5" x14ac:dyDescent="0.35">
      <c r="A217" s="3" t="str">
        <f>HYPERLINK("https://edmondsonsupply.com/collections/storage-organization/products/veto-pro-pac-tech-ot-mc-tool-tote", "https://edmondsonsupply.com/collections/storage-organization/products/veto-pro-pac-tech-ot-mc-tool-tote")</f>
        <v>https://edmondsonsupply.com/collections/storage-organization/products/veto-pro-pac-tech-ot-mc-tool-tote</v>
      </c>
      <c r="B217" s="3" t="str">
        <f>HYPERLINK("https://edmondsonsupply.com/products/veto-pro-pac-tech-ot-mc-tool-tote", "https://edmondsonsupply.com/products/veto-pro-pac-tech-ot-mc-tool-tote")</f>
        <v>https://edmondsonsupply.com/products/veto-pro-pac-tech-ot-mc-tool-tote</v>
      </c>
      <c r="C217" t="s">
        <v>528</v>
      </c>
      <c r="D217" t="s">
        <v>501</v>
      </c>
      <c r="E217" s="3" t="str">
        <f>HYPERLINK("https://www.amazon.com/VETO-PRO-PAC-TECH-MCT-Tool/dp/B01CENNFYS/ref=sr_1_7?keywords=Veto+Pro+Pac+Tech+OT-MC+Tool+Tote&amp;qid=1695173157&amp;sr=8-7", "https://www.amazon.com/VETO-PRO-PAC-TECH-MCT-Tool/dp/B01CENNFYS/ref=sr_1_7?keywords=Veto+Pro+Pac+Tech+OT-MC+Tool+Tote&amp;qid=1695173157&amp;sr=8-7")</f>
        <v>https://www.amazon.com/VETO-PRO-PAC-TECH-MCT-Tool/dp/B01CENNFYS/ref=sr_1_7?keywords=Veto+Pro+Pac+Tech+OT-MC+Tool+Tote&amp;qid=1695173157&amp;sr=8-7</v>
      </c>
      <c r="F217" t="s">
        <v>502</v>
      </c>
      <c r="G217" t="e">
        <f ca="1">_xludf.IMAGE("https://edmondsonsupply.com/cdn/shop/products/otmc1_048af870-c580-47c1-b832-021ca8939d35.jpg?v=1587146037")</f>
        <v>#NAME?</v>
      </c>
      <c r="H217" t="e">
        <f ca="1">_xludf.IMAGE("https://m.media-amazon.com/images/I/61GanfvVX6L._AC_UL320_.jpg")</f>
        <v>#NAME?</v>
      </c>
      <c r="I217" t="s">
        <v>454</v>
      </c>
      <c r="J217">
        <v>189.95</v>
      </c>
      <c r="K217" s="4">
        <v>-9.5399999999999999E-2</v>
      </c>
      <c r="L217">
        <v>4.8</v>
      </c>
      <c r="M217">
        <v>2083</v>
      </c>
      <c r="O217" t="s">
        <v>25</v>
      </c>
      <c r="P217" t="s">
        <v>138</v>
      </c>
      <c r="Q217" t="s">
        <v>531</v>
      </c>
    </row>
    <row r="218" spans="1:17" ht="15.5" x14ac:dyDescent="0.35">
      <c r="A218"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18" s="3" t="str">
        <f>HYPERLINK("https://edmondsonsupply.com/products/veto-pro-pac-tech-pac-blackout-backpack", "https://edmondsonsupply.com/products/veto-pro-pac-tech-pac-blackout-backpack")</f>
        <v>https://edmondsonsupply.com/products/veto-pro-pac-tech-pac-blackout-backpack</v>
      </c>
      <c r="C218" t="s">
        <v>611</v>
      </c>
      <c r="D218" t="s">
        <v>411</v>
      </c>
      <c r="E218" s="3" t="str">
        <f>HYPERLINK("https://www.amazon.com/Veto-Pro-Tech-Compact-Blackout/dp/B0931VCBYM/ref=sr_1_2?keywords=Veto+Pro+Pac+TECH+PAC+Blackout+Backpack&amp;qid=1695173158&amp;sr=8-2", "https://www.amazon.com/Veto-Pro-Tech-Compact-Blackout/dp/B0931VCBYM/ref=sr_1_2?keywords=Veto+Pro+Pac+TECH+PAC+Blackout+Backpack&amp;qid=1695173158&amp;sr=8-2")</f>
        <v>https://www.amazon.com/Veto-Pro-Tech-Compact-Blackout/dp/B0931VCBYM/ref=sr_1_2?keywords=Veto+Pro+Pac+TECH+PAC+Blackout+Backpack&amp;qid=1695173158&amp;sr=8-2</v>
      </c>
      <c r="F218" t="s">
        <v>614</v>
      </c>
      <c r="G218" t="e">
        <f ca="1">_xludf.IMAGE("https://edmondsonsupply.com/cdn/shop/products/tech1.jpg?v=1633031041")</f>
        <v>#NAME?</v>
      </c>
      <c r="H218" t="e">
        <f ca="1">_xludf.IMAGE("https://m.media-amazon.com/images/I/51BIH+NmbOL._AC_UL320_.jpg")</f>
        <v>#NAME?</v>
      </c>
      <c r="I218" t="s">
        <v>612</v>
      </c>
      <c r="J218">
        <v>294.95</v>
      </c>
      <c r="K218" s="4">
        <v>-0.1062</v>
      </c>
      <c r="L218">
        <v>4.8</v>
      </c>
      <c r="M218">
        <v>363</v>
      </c>
      <c r="O218" t="s">
        <v>25</v>
      </c>
      <c r="P218" t="s">
        <v>138</v>
      </c>
      <c r="Q218" t="s">
        <v>613</v>
      </c>
    </row>
    <row r="219" spans="1:17" ht="15.5" x14ac:dyDescent="0.35">
      <c r="A219" s="3" t="str">
        <f>HYPERLINK("https://edmondsonsupply.com/collections/storage-organization/products/clc-1134-44-pocket-deluxe-tool-backpack", "https://edmondsonsupply.com/collections/storage-organization/products/clc-1134-44-pocket-deluxe-tool-backpack")</f>
        <v>https://edmondsonsupply.com/collections/storage-organization/products/clc-1134-44-pocket-deluxe-tool-backpack</v>
      </c>
      <c r="B219" s="3" t="str">
        <f>HYPERLINK("https://edmondsonsupply.com/products/clc-1134-44-pocket-deluxe-tool-backpack", "https://edmondsonsupply.com/products/clc-1134-44-pocket-deluxe-tool-backpack")</f>
        <v>https://edmondsonsupply.com/products/clc-1134-44-pocket-deluxe-tool-backpack</v>
      </c>
      <c r="C219" t="s">
        <v>688</v>
      </c>
      <c r="D219" t="s">
        <v>689</v>
      </c>
      <c r="E219" s="3" t="str">
        <f>HYPERLINK("https://www.amazon.com/Custom-Leathertcraft-1134-Carpenters-Backpack/dp/B0047O3PFC/ref=sr_1_1?keywords=CLC+1134+44+Pocket+Deluxe+Tool+Backpack&amp;qid=1695173192&amp;sr=8-1", "https://www.amazon.com/Custom-Leathertcraft-1134-Carpenters-Backpack/dp/B0047O3PFC/ref=sr_1_1?keywords=CLC+1134+44+Pocket+Deluxe+Tool+Backpack&amp;qid=1695173192&amp;sr=8-1")</f>
        <v>https://www.amazon.com/Custom-Leathertcraft-1134-Carpenters-Backpack/dp/B0047O3PFC/ref=sr_1_1?keywords=CLC+1134+44+Pocket+Deluxe+Tool+Backpack&amp;qid=1695173192&amp;sr=8-1</v>
      </c>
      <c r="F219" t="s">
        <v>690</v>
      </c>
      <c r="G219" t="e">
        <f ca="1">_xludf.IMAGE("https://edmondsonsupply.com/cdn/shop/products/1134_A_REV17.jpg?v=1633030331")</f>
        <v>#NAME?</v>
      </c>
      <c r="H219" t="e">
        <f ca="1">_xludf.IMAGE("https://m.media-amazon.com/images/I/71P51k-7XIL._AC_UL320_.jpg")</f>
        <v>#NAME?</v>
      </c>
      <c r="I219" t="s">
        <v>691</v>
      </c>
      <c r="J219">
        <v>89.23</v>
      </c>
      <c r="K219" s="4">
        <v>-0.10730000000000001</v>
      </c>
      <c r="L219">
        <v>4.5999999999999996</v>
      </c>
      <c r="M219">
        <v>2200</v>
      </c>
      <c r="O219" t="s">
        <v>25</v>
      </c>
      <c r="P219" t="s">
        <v>692</v>
      </c>
      <c r="Q219" t="s">
        <v>693</v>
      </c>
    </row>
    <row r="220" spans="1:17" ht="15.5" x14ac:dyDescent="0.35">
      <c r="A220" s="3" t="str">
        <f>HYPERLINK("https://edmondsonsupply.com/collections/storage-organization/products/wild-river-wt3604-nomad%C2%AE-lighted-backpack", "https://edmondsonsupply.com/collections/storage-organization/products/wild-river-wt3604-nomad%C2%AE-lighted-backpack")</f>
        <v>https://edmondsonsupply.com/collections/storage-organization/products/wild-river-wt3604-nomad%C2%AE-lighted-backpack</v>
      </c>
      <c r="B220" s="3" t="str">
        <f>HYPERLINK("https://edmondsonsupply.com/products/wild-river-wt3604-nomad%c2%ae-lighted-backpack", "https://edmondsonsupply.com/products/wild-river-wt3604-nomad%c2%ae-lighted-backpack")</f>
        <v>https://edmondsonsupply.com/products/wild-river-wt3604-nomad%c2%ae-lighted-backpack</v>
      </c>
      <c r="C220" t="s">
        <v>694</v>
      </c>
      <c r="D220" t="s">
        <v>695</v>
      </c>
      <c r="E220" s="3" t="str">
        <f>HYPERLINK("https://www.amazon.com/WT3604-Tackle-Lighted-Backpack-PT3600/dp/B00A0PA46U/ref=sr_1_fkmr0_2?keywords=CLC+Wild+River+WT3604+Nomad+Lighted+Backpack&amp;qid=1695173179&amp;sr=8-2-fkmr0", "https://www.amazon.com/WT3604-Tackle-Lighted-Backpack-PT3600/dp/B00A0PA46U/ref=sr_1_fkmr0_2?keywords=CLC+Wild+River+WT3604+Nomad+Lighted+Backpack&amp;qid=1695173179&amp;sr=8-2-fkmr0")</f>
        <v>https://www.amazon.com/WT3604-Tackle-Lighted-Backpack-PT3600/dp/B00A0PA46U/ref=sr_1_fkmr0_2?keywords=CLC+Wild+River+WT3604+Nomad+Lighted+Backpack&amp;qid=1695173179&amp;sr=8-2-fkmr0</v>
      </c>
      <c r="F220" t="s">
        <v>696</v>
      </c>
      <c r="G220" t="e">
        <f ca="1">_xludf.IMAGE("https://edmondsonsupply.com/cdn/shop/products/WT3604_8_lg.png?v=1609788715")</f>
        <v>#NAME?</v>
      </c>
      <c r="H220" t="e">
        <f ca="1">_xludf.IMAGE("https://m.media-amazon.com/images/I/91naRlyQwiL._AC_UL320_.jpg")</f>
        <v>#NAME?</v>
      </c>
      <c r="I220" t="s">
        <v>697</v>
      </c>
      <c r="J220">
        <v>186.05</v>
      </c>
      <c r="K220" s="4">
        <v>-0.10979999999999999</v>
      </c>
      <c r="L220">
        <v>4.5999999999999996</v>
      </c>
      <c r="M220">
        <v>847</v>
      </c>
      <c r="O220" t="s">
        <v>25</v>
      </c>
      <c r="P220" t="s">
        <v>698</v>
      </c>
      <c r="Q220" t="s">
        <v>699</v>
      </c>
    </row>
    <row r="221" spans="1:17" ht="15.5" x14ac:dyDescent="0.35">
      <c r="A221" s="3" t="str">
        <f>HYPERLINK("https://edmondsonsupply.com/collections/storage-organization/products/klein-tools-5165-10-pocket-tool-pouch-knife-snap", "https://edmondsonsupply.com/collections/storage-organization/products/klein-tools-5165-10-pocket-tool-pouch-knife-snap")</f>
        <v>https://edmondsonsupply.com/collections/storage-organization/products/klein-tools-5165-10-pocket-tool-pouch-knife-snap</v>
      </c>
      <c r="B221" s="3" t="str">
        <f>HYPERLINK("https://edmondsonsupply.com/products/klein-tools-5165-10-pocket-tool-pouch-knife-snap", "https://edmondsonsupply.com/products/klein-tools-5165-10-pocket-tool-pouch-knife-snap")</f>
        <v>https://edmondsonsupply.com/products/klein-tools-5165-10-pocket-tool-pouch-knife-snap</v>
      </c>
      <c r="C221" t="s">
        <v>700</v>
      </c>
      <c r="D221" t="s">
        <v>701</v>
      </c>
      <c r="E221" s="3" t="str">
        <f>HYPERLINK("https://www.amazon.com/Pocket-Pouch-Klein-Tools-5165/dp/B000BU4CRG/ref=sr_1_1?keywords=Klein+Tools+5165+10+Pocket+Leather+Tool+Pouch+with+Knife+Snap&amp;qid=1695173159&amp;sr=8-1", "https://www.amazon.com/Pocket-Pouch-Klein-Tools-5165/dp/B000BU4CRG/ref=sr_1_1?keywords=Klein+Tools+5165+10+Pocket+Leather+Tool+Pouch+with+Knife+Snap&amp;qid=1695173159&amp;sr=8-1")</f>
        <v>https://www.amazon.com/Pocket-Pouch-Klein-Tools-5165/dp/B000BU4CRG/ref=sr_1_1?keywords=Klein+Tools+5165+10+Pocket+Leather+Tool+Pouch+with+Knife+Snap&amp;qid=1695173159&amp;sr=8-1</v>
      </c>
      <c r="F221" t="s">
        <v>702</v>
      </c>
      <c r="G221" t="e">
        <f ca="1">_xludf.IMAGE("https://edmondsonsupply.com/cdn/shop/products/5165.jpg?v=1587145507")</f>
        <v>#NAME?</v>
      </c>
      <c r="H221" t="e">
        <f ca="1">_xludf.IMAGE("https://m.media-amazon.com/images/I/51SVjpn5QEL._AC_UL320_.jpg")</f>
        <v>#NAME?</v>
      </c>
      <c r="I221" t="s">
        <v>703</v>
      </c>
      <c r="J221">
        <v>56</v>
      </c>
      <c r="K221" s="4">
        <v>-0.111</v>
      </c>
      <c r="L221">
        <v>4.5</v>
      </c>
      <c r="M221">
        <v>167</v>
      </c>
      <c r="O221" t="s">
        <v>25</v>
      </c>
      <c r="P221" t="s">
        <v>704</v>
      </c>
      <c r="Q221" t="s">
        <v>705</v>
      </c>
    </row>
    <row r="222" spans="1:17" ht="15.5" x14ac:dyDescent="0.35">
      <c r="A222"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22" s="3" t="str">
        <f>HYPERLINK("https://edmondsonsupply.com/products/veto-pro-pac-tech-pac-blackout-backpack", "https://edmondsonsupply.com/products/veto-pro-pac-tech-pac-blackout-backpack")</f>
        <v>https://edmondsonsupply.com/products/veto-pro-pac-tech-pac-blackout-backpack</v>
      </c>
      <c r="C222" t="s">
        <v>611</v>
      </c>
      <c r="D222" t="s">
        <v>512</v>
      </c>
      <c r="E222" s="3" t="str">
        <f>HYPERLINK("https://www.amazon.com/VETO-PRO-PAC-Tech-Pac/dp/B00WZLTCHO/ref=sr_1_7?keywords=Veto+Pro+Pac+TECH+PAC+Blackout+Backpack&amp;qid=1695173158&amp;sr=8-7", "https://www.amazon.com/VETO-PRO-PAC-Tech-Pac/dp/B00WZLTCHO/ref=sr_1_7?keywords=Veto+Pro+Pac+TECH+PAC+Blackout+Backpack&amp;qid=1695173158&amp;sr=8-7")</f>
        <v>https://www.amazon.com/VETO-PRO-PAC-Tech-Pac/dp/B00WZLTCHO/ref=sr_1_7?keywords=Veto+Pro+Pac+TECH+PAC+Blackout+Backpack&amp;qid=1695173158&amp;sr=8-7</v>
      </c>
      <c r="F222" t="s">
        <v>513</v>
      </c>
      <c r="G222" t="e">
        <f ca="1">_xludf.IMAGE("https://edmondsonsupply.com/cdn/shop/products/tech1.jpg?v=1633031041")</f>
        <v>#NAME?</v>
      </c>
      <c r="H222" t="e">
        <f ca="1">_xludf.IMAGE("https://m.media-amazon.com/images/I/61uz-pihn8L._AC_UL320_.jpg")</f>
        <v>#NAME?</v>
      </c>
      <c r="I222" t="s">
        <v>612</v>
      </c>
      <c r="J222">
        <v>289.95</v>
      </c>
      <c r="K222" s="4">
        <v>-0.12130000000000001</v>
      </c>
      <c r="L222">
        <v>4.7</v>
      </c>
      <c r="M222">
        <v>285</v>
      </c>
      <c r="O222" t="s">
        <v>25</v>
      </c>
      <c r="P222" t="s">
        <v>138</v>
      </c>
      <c r="Q222" t="s">
        <v>613</v>
      </c>
    </row>
    <row r="223" spans="1:17" ht="15.5" x14ac:dyDescent="0.35">
      <c r="A223" s="3" t="str">
        <f>HYPERLINK("https://edmondsonsupply.com/collections/storage-organization/products/clc-ecpl38", "https://edmondsonsupply.com/collections/storage-organization/products/clc-ecpl38")</f>
        <v>https://edmondsonsupply.com/collections/storage-organization/products/clc-ecpl38</v>
      </c>
      <c r="B223" s="3" t="str">
        <f>HYPERLINK("https://edmondsonsupply.com/products/clc-ecpl38", "https://edmondsonsupply.com/products/clc-ecpl38")</f>
        <v>https://edmondsonsupply.com/products/clc-ecpl38</v>
      </c>
      <c r="C223" t="s">
        <v>706</v>
      </c>
      <c r="D223" t="s">
        <v>366</v>
      </c>
      <c r="E223" s="3" t="str">
        <f>HYPERLINK("https://www.amazon.com/Custom-Leathercraft-ECPL38-Charging-36-Pocket/dp/B01N4WKW6C/ref=sr_1_1?keywords=CLC+ECPL38+E-Charge+Lighted+USB+Charging+Tool+Backpack&amp;qid=1695173186&amp;sr=8-1", "https://www.amazon.com/Custom-Leathercraft-ECPL38-Charging-36-Pocket/dp/B01N4WKW6C/ref=sr_1_1?keywords=CLC+ECPL38+E-Charge+Lighted+USB+Charging+Tool+Backpack&amp;qid=1695173186&amp;sr=8-1")</f>
        <v>https://www.amazon.com/Custom-Leathercraft-ECPL38-Charging-36-Pocket/dp/B01N4WKW6C/ref=sr_1_1?keywords=CLC+ECPL38+E-Charge+Lighted+USB+Charging+Tool+Backpack&amp;qid=1695173186&amp;sr=8-1</v>
      </c>
      <c r="F223" t="s">
        <v>367</v>
      </c>
      <c r="G223" t="e">
        <f ca="1">_xludf.IMAGE("https://edmondsonsupply.com/cdn/shop/products/ECPL38_lg.jpg?v=1609787944")</f>
        <v>#NAME?</v>
      </c>
      <c r="H223" t="e">
        <f ca="1">_xludf.IMAGE("https://m.media-amazon.com/images/I/71fWlkgW1-L._AC_UL320_.jpg")</f>
        <v>#NAME?</v>
      </c>
      <c r="I223" t="s">
        <v>707</v>
      </c>
      <c r="J223">
        <v>164.43</v>
      </c>
      <c r="K223" s="4">
        <v>-0.13</v>
      </c>
      <c r="L223">
        <v>4.4000000000000004</v>
      </c>
      <c r="M223">
        <v>299</v>
      </c>
      <c r="O223" t="s">
        <v>25</v>
      </c>
      <c r="P223" t="s">
        <v>697</v>
      </c>
      <c r="Q223" t="s">
        <v>708</v>
      </c>
    </row>
    <row r="224" spans="1:17" ht="15.5" x14ac:dyDescent="0.35">
      <c r="A224" s="3" t="str">
        <f>HYPERLINK("https://edmondsonsupply.com/collections/storage-organization/products/dewalt-dgcl33-33", "https://edmondsonsupply.com/collections/storage-organization/products/dewalt-dgcl33-33")</f>
        <v>https://edmondsonsupply.com/collections/storage-organization/products/dewalt-dgcl33-33</v>
      </c>
      <c r="B224" s="3" t="str">
        <f>HYPERLINK("https://edmondsonsupply.com/products/dewalt-dgcl33-33", "https://edmondsonsupply.com/products/dewalt-dgcl33-33")</f>
        <v>https://edmondsonsupply.com/products/dewalt-dgcl33-33</v>
      </c>
      <c r="C224" t="s">
        <v>709</v>
      </c>
      <c r="D224" t="s">
        <v>366</v>
      </c>
      <c r="E224" s="3" t="str">
        <f>HYPERLINK("https://www.amazon.com/Custom-Leathercraft-ECPL38-Charging-36-Pocket/dp/B01N4WKW6C/ref=sr_1_3?keywords=CLC+DeWALT+DGCL33+33-Pocket+Lighted+USB+Charging+Tool+Backpack&amp;qid=1695173185&amp;sr=8-3", "https://www.amazon.com/Custom-Leathercraft-ECPL38-Charging-36-Pocket/dp/B01N4WKW6C/ref=sr_1_3?keywords=CLC+DeWALT+DGCL33+33-Pocket+Lighted+USB+Charging+Tool+Backpack&amp;qid=1695173185&amp;sr=8-3")</f>
        <v>https://www.amazon.com/Custom-Leathercraft-ECPL38-Charging-36-Pocket/dp/B01N4WKW6C/ref=sr_1_3?keywords=CLC+DeWALT+DGCL33+33-Pocket+Lighted+USB+Charging+Tool+Backpack&amp;qid=1695173185&amp;sr=8-3</v>
      </c>
      <c r="F224" t="s">
        <v>367</v>
      </c>
      <c r="G224" t="e">
        <f ca="1">_xludf.IMAGE("https://edmondsonsupply.com/cdn/shop/products/DGCL33-1.png?v=1609787600")</f>
        <v>#NAME?</v>
      </c>
      <c r="H224" t="e">
        <f ca="1">_xludf.IMAGE("https://m.media-amazon.com/images/I/71fWlkgW1-L._AC_UL320_.jpg")</f>
        <v>#NAME?</v>
      </c>
      <c r="I224" t="s">
        <v>707</v>
      </c>
      <c r="J224">
        <v>164.43</v>
      </c>
      <c r="K224" s="4">
        <v>-0.13</v>
      </c>
      <c r="L224">
        <v>4.4000000000000004</v>
      </c>
      <c r="M224">
        <v>299</v>
      </c>
      <c r="O224" t="s">
        <v>25</v>
      </c>
      <c r="P224" t="s">
        <v>710</v>
      </c>
      <c r="Q224" t="s">
        <v>711</v>
      </c>
    </row>
    <row r="225" spans="1:17" ht="15.5" x14ac:dyDescent="0.35">
      <c r="A225" s="3" t="str">
        <f>HYPERLINK("https://edmondsonsupply.com/collections/storage-organization/products/veto-pro-pac-wrencher-xxl", "https://edmondsonsupply.com/collections/storage-organization/products/veto-pro-pac-wrencher-xxl")</f>
        <v>https://edmondsonsupply.com/collections/storage-organization/products/veto-pro-pac-wrencher-xxl</v>
      </c>
      <c r="B225" s="3" t="str">
        <f>HYPERLINK("https://edmondsonsupply.com/products/veto-pro-pac-wrencher-xxl", "https://edmondsonsupply.com/products/veto-pro-pac-wrencher-xxl")</f>
        <v>https://edmondsonsupply.com/products/veto-pro-pac-wrencher-xxl</v>
      </c>
      <c r="C225" t="s">
        <v>421</v>
      </c>
      <c r="D225" t="s">
        <v>480</v>
      </c>
      <c r="E225" s="3" t="str">
        <f>HYPERLINK("https://www.amazon.com/Veto-Wrencher-MC-Medium-Compact-Open-Top/dp/B0BBQ3R11H/ref=sr_1_3?keywords=Veto+Pro+Pac+Wrencher+XXL&amp;qid=1695173172&amp;sr=8-3", "https://www.amazon.com/Veto-Wrencher-MC-Medium-Compact-Open-Top/dp/B0BBQ3R11H/ref=sr_1_3?keywords=Veto+Pro+Pac+Wrencher+XXL&amp;qid=1695173172&amp;sr=8-3")</f>
        <v>https://www.amazon.com/Veto-Wrencher-MC-Medium-Compact-Open-Top/dp/B0BBQ3R11H/ref=sr_1_3?keywords=Veto+Pro+Pac+Wrencher+XXL&amp;qid=1695173172&amp;sr=8-3</v>
      </c>
      <c r="F225" t="s">
        <v>481</v>
      </c>
      <c r="G225" t="e">
        <f ca="1">_xludf.IMAGE("https://edmondsonsupply.com/cdn/shop/files/0003_WRENCHER-XXL_36.jpg?v=1684440775")</f>
        <v>#NAME?</v>
      </c>
      <c r="H225" t="e">
        <f ca="1">_xludf.IMAGE("https://m.media-amazon.com/images/I/51xcXNSndtL._AC_UL320_.jpg")</f>
        <v>#NAME?</v>
      </c>
      <c r="I225" t="s">
        <v>422</v>
      </c>
      <c r="J225">
        <v>199.95</v>
      </c>
      <c r="K225" s="4">
        <v>-0.1305</v>
      </c>
      <c r="L225">
        <v>5</v>
      </c>
      <c r="M225">
        <v>7</v>
      </c>
      <c r="O225" t="s">
        <v>25</v>
      </c>
      <c r="P225" t="s">
        <v>138</v>
      </c>
      <c r="Q225" t="s">
        <v>423</v>
      </c>
    </row>
    <row r="226" spans="1:17" ht="15.5" x14ac:dyDescent="0.35">
      <c r="A226" s="3" t="str">
        <f>HYPERLINK("https://edmondsonsupply.com/collections/storage-organization/products/wild-river-wt3503-tackle-tek%E2%84%A2-recon-lighted-compact-backpack", "https://edmondsonsupply.com/collections/storage-organization/products/wild-river-wt3503-tackle-tek%E2%84%A2-recon-lighted-compact-backpack")</f>
        <v>https://edmondsonsupply.com/collections/storage-organization/products/wild-river-wt3503-tackle-tek%E2%84%A2-recon-lighted-compact-backpack</v>
      </c>
      <c r="B226" s="3" t="str">
        <f>HYPERLINK("https://edmondsonsupply.com/products/wild-river-wt3503-tackle-tek%e2%84%a2-recon-lighted-compact-backpack", "https://edmondsonsupply.com/products/wild-river-wt3503-tackle-tek%e2%84%a2-recon-lighted-compact-backpack")</f>
        <v>https://edmondsonsupply.com/products/wild-river-wt3503-tackle-tek%e2%84%a2-recon-lighted-compact-backpack</v>
      </c>
      <c r="C226" t="s">
        <v>712</v>
      </c>
      <c r="D226" t="s">
        <v>713</v>
      </c>
      <c r="E226" s="3" t="str">
        <f>HYPERLINK("https://www.amazon.com/WCN503-Lighted-Compact-Backpack-without/dp/B00F66Z2XS/ref=sr_1_3?keywords=CLC+Wild+River+WT3503+Tackle+Tek%E2%84%A2+Recon+%E2%80%93+Lighted+Compact+Backpack&amp;qid=1695173174&amp;sr=8-3", "https://www.amazon.com/WCN503-Lighted-Compact-Backpack-without/dp/B00F66Z2XS/ref=sr_1_3?keywords=CLC+Wild+River+WT3503+Tackle+Tek%E2%84%A2+Recon+%E2%80%93+Lighted+Compact+Backpack&amp;qid=1695173174&amp;sr=8-3")</f>
        <v>https://www.amazon.com/WCN503-Lighted-Compact-Backpack-without/dp/B00F66Z2XS/ref=sr_1_3?keywords=CLC+Wild+River+WT3503+Tackle+Tek%E2%84%A2+Recon+%E2%80%93+Lighted+Compact+Backpack&amp;qid=1695173174&amp;sr=8-3</v>
      </c>
      <c r="F226" t="s">
        <v>714</v>
      </c>
      <c r="G226" t="e">
        <f ca="1">_xludf.IMAGE("https://edmondsonsupply.com/cdn/shop/products/WT3503.png?v=1633031080")</f>
        <v>#NAME?</v>
      </c>
      <c r="H226" t="e">
        <f ca="1">_xludf.IMAGE("https://m.media-amazon.com/images/I/61sk9VMPfKL._AC_UL320_.jpg")</f>
        <v>#NAME?</v>
      </c>
      <c r="I226" t="s">
        <v>692</v>
      </c>
      <c r="J226">
        <v>128.36000000000001</v>
      </c>
      <c r="K226" s="4">
        <v>-0.13850000000000001</v>
      </c>
      <c r="L226">
        <v>5</v>
      </c>
      <c r="M226">
        <v>3</v>
      </c>
      <c r="O226" t="s">
        <v>25</v>
      </c>
      <c r="P226" t="s">
        <v>715</v>
      </c>
      <c r="Q226" t="s">
        <v>716</v>
      </c>
    </row>
    <row r="227" spans="1:17" ht="15.5" x14ac:dyDescent="0.35">
      <c r="A227" s="3" t="str">
        <f>HYPERLINK("https://edmondsonsupply.com/collections/storage-organization/products/klein-tools-5165-10-pocket-tool-pouch-knife-snap", "https://edmondsonsupply.com/collections/storage-organization/products/klein-tools-5165-10-pocket-tool-pouch-knife-snap")</f>
        <v>https://edmondsonsupply.com/collections/storage-organization/products/klein-tools-5165-10-pocket-tool-pouch-knife-snap</v>
      </c>
      <c r="B227" s="3" t="str">
        <f>HYPERLINK("https://edmondsonsupply.com/products/klein-tools-5165-10-pocket-tool-pouch-knife-snap", "https://edmondsonsupply.com/products/klein-tools-5165-10-pocket-tool-pouch-knife-snap")</f>
        <v>https://edmondsonsupply.com/products/klein-tools-5165-10-pocket-tool-pouch-knife-snap</v>
      </c>
      <c r="C227" t="s">
        <v>700</v>
      </c>
      <c r="D227" t="s">
        <v>717</v>
      </c>
      <c r="E227" s="3" t="str">
        <f>HYPERLINK("https://www.amazon.com/Lineman-5-Pocket-Klein-Tools-5118P5/dp/B004M2RE06/ref=sr_1_2?keywords=Klein+Tools+5165+10+Pocket+Leather+Tool+Pouch+with+Knife+Snap&amp;qid=1695173159&amp;sr=8-2", "https://www.amazon.com/Lineman-5-Pocket-Klein-Tools-5118P5/dp/B004M2RE06/ref=sr_1_2?keywords=Klein+Tools+5165+10+Pocket+Leather+Tool+Pouch+with+Knife+Snap&amp;qid=1695173159&amp;sr=8-2")</f>
        <v>https://www.amazon.com/Lineman-5-Pocket-Klein-Tools-5118P5/dp/B004M2RE06/ref=sr_1_2?keywords=Klein+Tools+5165+10+Pocket+Leather+Tool+Pouch+with+Knife+Snap&amp;qid=1695173159&amp;sr=8-2</v>
      </c>
      <c r="F227" t="s">
        <v>718</v>
      </c>
      <c r="G227" t="e">
        <f ca="1">_xludf.IMAGE("https://edmondsonsupply.com/cdn/shop/products/5165.jpg?v=1587145507")</f>
        <v>#NAME?</v>
      </c>
      <c r="H227" t="e">
        <f ca="1">_xludf.IMAGE("https://m.media-amazon.com/images/I/71ayOfz4qBL._AC_UL320_.jpg")</f>
        <v>#NAME?</v>
      </c>
      <c r="I227" t="s">
        <v>703</v>
      </c>
      <c r="J227">
        <v>54</v>
      </c>
      <c r="K227" s="4">
        <v>-0.14269999999999999</v>
      </c>
      <c r="L227">
        <v>4.4000000000000004</v>
      </c>
      <c r="M227">
        <v>374</v>
      </c>
      <c r="O227" t="s">
        <v>25</v>
      </c>
      <c r="P227" t="s">
        <v>704</v>
      </c>
      <c r="Q227" t="s">
        <v>705</v>
      </c>
    </row>
    <row r="228" spans="1:17" ht="15.5" x14ac:dyDescent="0.35">
      <c r="A228" s="3" t="str">
        <f>HYPERLINK("https://edmondsonsupply.com/collections/storage-organization/products/veto-pro-pac-tech-ot-mc-tool-tote", "https://edmondsonsupply.com/collections/storage-organization/products/veto-pro-pac-tech-ot-mc-tool-tote")</f>
        <v>https://edmondsonsupply.com/collections/storage-organization/products/veto-pro-pac-tech-ot-mc-tool-tote</v>
      </c>
      <c r="B228" s="3" t="str">
        <f>HYPERLINK("https://edmondsonsupply.com/products/veto-pro-pac-tech-ot-mc-tool-tote", "https://edmondsonsupply.com/products/veto-pro-pac-tech-ot-mc-tool-tote")</f>
        <v>https://edmondsonsupply.com/products/veto-pro-pac-tech-ot-mc-tool-tote</v>
      </c>
      <c r="C228" t="s">
        <v>528</v>
      </c>
      <c r="D228" t="s">
        <v>509</v>
      </c>
      <c r="E228" s="3" t="str">
        <f>HYPERLINK("https://www.amazon.com/Veto-TECH-OT-SC-Sub-Compact-Electrician/dp/B09ZC63KFK/ref=sr_1_2?keywords=Veto+Pro+Pac+Tech+OT-MC+Tool+Tote&amp;qid=1695173157&amp;sr=8-2", "https://www.amazon.com/Veto-TECH-OT-SC-Sub-Compact-Electrician/dp/B09ZC63KFK/ref=sr_1_2?keywords=Veto+Pro+Pac+Tech+OT-MC+Tool+Tote&amp;qid=1695173157&amp;sr=8-2")</f>
        <v>https://www.amazon.com/Veto-TECH-OT-SC-Sub-Compact-Electrician/dp/B09ZC63KFK/ref=sr_1_2?keywords=Veto+Pro+Pac+Tech+OT-MC+Tool+Tote&amp;qid=1695173157&amp;sr=8-2</v>
      </c>
      <c r="F228" t="s">
        <v>510</v>
      </c>
      <c r="G228" t="e">
        <f ca="1">_xludf.IMAGE("https://edmondsonsupply.com/cdn/shop/products/otmc1_048af870-c580-47c1-b832-021ca8939d35.jpg?v=1587146037")</f>
        <v>#NAME?</v>
      </c>
      <c r="H228" t="e">
        <f ca="1">_xludf.IMAGE("https://m.media-amazon.com/images/I/51LTwfYG5eL._AC_UL320_.jpg")</f>
        <v>#NAME?</v>
      </c>
      <c r="I228" t="s">
        <v>454</v>
      </c>
      <c r="J228">
        <v>179.95</v>
      </c>
      <c r="K228" s="4">
        <v>-0.1431</v>
      </c>
      <c r="L228">
        <v>4.7</v>
      </c>
      <c r="M228">
        <v>21</v>
      </c>
      <c r="O228" t="s">
        <v>25</v>
      </c>
      <c r="P228" t="s">
        <v>138</v>
      </c>
      <c r="Q228" t="s">
        <v>531</v>
      </c>
    </row>
    <row r="229" spans="1:17" ht="15.5" x14ac:dyDescent="0.35">
      <c r="A229" s="3" t="str">
        <f>HYPERLINK("https://edmondsonsupply.com/collections/storage-organization/products/clc-wild-river-wct3503-tackle-tek%E2%84%A2-recon-lighted-camo-backpack", "https://edmondsonsupply.com/collections/storage-organization/products/clc-wild-river-wct3503-tackle-tek%E2%84%A2-recon-lighted-camo-backpack")</f>
        <v>https://edmondsonsupply.com/collections/storage-organization/products/clc-wild-river-wct3503-tackle-tek%E2%84%A2-recon-lighted-camo-backpack</v>
      </c>
      <c r="B229" s="3" t="str">
        <f>HYPERLINK("https://edmondsonsupply.com/products/clc-wild-river-wct3503-tackle-tek%e2%84%a2-recon-lighted-camo-backpack", "https://edmondsonsupply.com/products/clc-wild-river-wct3503-tackle-tek%e2%84%a2-recon-lighted-camo-backpack")</f>
        <v>https://edmondsonsupply.com/products/clc-wild-river-wct3503-tackle-tek%e2%84%a2-recon-lighted-camo-backpack</v>
      </c>
      <c r="C229" t="s">
        <v>719</v>
      </c>
      <c r="D229" t="s">
        <v>713</v>
      </c>
      <c r="E229" s="3" t="str">
        <f>HYPERLINK("https://www.amazon.com/WCN503-Lighted-Compact-Backpack-without/dp/B00F66Z2XS/ref=sr_1_1?keywords=CLC+Wild+River+WCT503+Tackle+Tek%E2%84%A2+Recon+%E2%80%93+Lighted+Camo+Backpack&amp;qid=1695173180&amp;sr=8-1", "https://www.amazon.com/WCN503-Lighted-Compact-Backpack-without/dp/B00F66Z2XS/ref=sr_1_1?keywords=CLC+Wild+River+WCT503+Tackle+Tek%E2%84%A2+Recon+%E2%80%93+Lighted+Camo+Backpack&amp;qid=1695173180&amp;sr=8-1")</f>
        <v>https://www.amazon.com/WCN503-Lighted-Compact-Backpack-without/dp/B00F66Z2XS/ref=sr_1_1?keywords=CLC+Wild+River+WCT503+Tackle+Tek%E2%84%A2+Recon+%E2%80%93+Lighted+Camo+Backpack&amp;qid=1695173180&amp;sr=8-1</v>
      </c>
      <c r="F229" t="s">
        <v>714</v>
      </c>
      <c r="G229" t="e">
        <f ca="1">_xludf.IMAGE("https://edmondsonsupply.com/cdn/shop/products/3503.png?v=1633031082")</f>
        <v>#NAME?</v>
      </c>
      <c r="H229" t="e">
        <f ca="1">_xludf.IMAGE("https://m.media-amazon.com/images/I/61sk9VMPfKL._AC_UL320_.jpg")</f>
        <v>#NAME?</v>
      </c>
      <c r="I229" t="s">
        <v>720</v>
      </c>
      <c r="J229">
        <v>128.36000000000001</v>
      </c>
      <c r="K229" s="4">
        <v>-0.14399999999999999</v>
      </c>
      <c r="L229">
        <v>5</v>
      </c>
      <c r="M229">
        <v>3</v>
      </c>
      <c r="O229" t="s">
        <v>25</v>
      </c>
      <c r="P229" t="s">
        <v>715</v>
      </c>
      <c r="Q229" t="s">
        <v>721</v>
      </c>
    </row>
    <row r="230" spans="1:17" ht="15.5" x14ac:dyDescent="0.35">
      <c r="A230"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230" s="3" t="str">
        <f>HYPERLINK("https://edmondsonsupply.com/products/veto-pro-pac-tech-lc-tool-bag", "https://edmondsonsupply.com/products/veto-pro-pac-tech-lc-tool-bag")</f>
        <v>https://edmondsonsupply.com/products/veto-pro-pac-tech-lc-tool-bag</v>
      </c>
      <c r="C230" t="s">
        <v>410</v>
      </c>
      <c r="D230" t="s">
        <v>722</v>
      </c>
      <c r="E230" s="3" t="str">
        <f>HYPERLINK("https://www.amazon.com/Veto-Pro-MC-Handling-Tools/dp/B00NLXNW3A/ref=sr_1_3?keywords=Veto+Pro+Pac+TECH+MC+Compact+Tool+Bag&amp;qid=1695173172&amp;sr=8-3", "https://www.amazon.com/Veto-Pro-MC-Handling-Tools/dp/B00NLXNW3A/ref=sr_1_3?keywords=Veto+Pro+Pac+TECH+MC+Compact+Tool+Bag&amp;qid=1695173172&amp;sr=8-3")</f>
        <v>https://www.amazon.com/Veto-Pro-MC-Handling-Tools/dp/B00NLXNW3A/ref=sr_1_3?keywords=Veto+Pro+Pac+TECH+MC+Compact+Tool+Bag&amp;qid=1695173172&amp;sr=8-3</v>
      </c>
      <c r="F230" t="s">
        <v>723</v>
      </c>
      <c r="G230" t="e">
        <f ca="1">_xludf.IMAGE("https://edmondsonsupply.com/cdn/shop/products/MC1_87e0d14c-0e4f-4e1a-b23d-f796a6e88a52.jpg?v=1587147172")</f>
        <v>#NAME?</v>
      </c>
      <c r="H230" t="e">
        <f ca="1">_xludf.IMAGE("https://m.media-amazon.com/images/I/71emJbrVHBL._AC_UL320_.jpg")</f>
        <v>#NAME?</v>
      </c>
      <c r="I230" t="s">
        <v>413</v>
      </c>
      <c r="J230">
        <v>144.94999999999999</v>
      </c>
      <c r="K230" s="4">
        <v>-0.14729999999999999</v>
      </c>
      <c r="L230">
        <v>4.7</v>
      </c>
      <c r="M230">
        <v>839</v>
      </c>
      <c r="O230" t="s">
        <v>25</v>
      </c>
      <c r="P230" t="s">
        <v>138</v>
      </c>
      <c r="Q230" t="s">
        <v>414</v>
      </c>
    </row>
    <row r="231" spans="1:17" ht="15.5" x14ac:dyDescent="0.35">
      <c r="A231" s="3" t="str">
        <f>HYPERLINK("https://edmondsonsupply.com/collections/storage-organization/products/clc-1100-3", "https://edmondsonsupply.com/collections/storage-organization/products/clc-1100-3")</f>
        <v>https://edmondsonsupply.com/collections/storage-organization/products/clc-1100-3</v>
      </c>
      <c r="B231" s="3" t="str">
        <f>HYPERLINK("https://edmondsonsupply.com/products/clc-1100-3", "https://edmondsonsupply.com/products/clc-1100-3")</f>
        <v>https://edmondsonsupply.com/products/clc-1100-3</v>
      </c>
      <c r="C231" t="s">
        <v>231</v>
      </c>
      <c r="D231" t="s">
        <v>724</v>
      </c>
      <c r="E231" s="3" t="str">
        <f>HYPERLINK("https://www.amazon.com/Custom-Leathercraft-1100-Multi-Purpose-Zippered/dp/B0002YVBC0/ref=sr_1_1?keywords=CLC+1100+3+Multi-Purpose%2C+Clip-on%2C+Zippered+Bags&amp;qid=1695173161&amp;sr=8-1", "https://www.amazon.com/Custom-Leathercraft-1100-Multi-Purpose-Zippered/dp/B0002YVBC0/ref=sr_1_1?keywords=CLC+1100+3+Multi-Purpose%2C+Clip-on%2C+Zippered+Bags&amp;qid=1695173161&amp;sr=8-1")</f>
        <v>https://www.amazon.com/Custom-Leathercraft-1100-Multi-Purpose-Zippered/dp/B0002YVBC0/ref=sr_1_1?keywords=CLC+1100+3+Multi-Purpose%2C+Clip-on%2C+Zippered+Bags&amp;qid=1695173161&amp;sr=8-1</v>
      </c>
      <c r="F231" t="s">
        <v>725</v>
      </c>
      <c r="G231" t="e">
        <f ca="1">_xludf.IMAGE("https://edmondsonsupply.com/cdn/shop/products/1100_REV17_2.jpg?v=1633030333")</f>
        <v>#NAME?</v>
      </c>
      <c r="H231" t="e">
        <f ca="1">_xludf.IMAGE("https://m.media-amazon.com/images/I/71gW8tFrwtL._AC_UL320_.jpg")</f>
        <v>#NAME?</v>
      </c>
      <c r="I231" t="s">
        <v>234</v>
      </c>
      <c r="J231">
        <v>9.99</v>
      </c>
      <c r="K231" s="4">
        <v>-0.14979999999999999</v>
      </c>
      <c r="L231">
        <v>4.5999999999999996</v>
      </c>
      <c r="M231">
        <v>5532</v>
      </c>
      <c r="O231" t="s">
        <v>25</v>
      </c>
      <c r="P231" t="s">
        <v>235</v>
      </c>
      <c r="Q231" t="s">
        <v>236</v>
      </c>
    </row>
    <row r="232" spans="1:17" ht="15.5" x14ac:dyDescent="0.35">
      <c r="A232" s="3" t="str">
        <f>HYPERLINK("https://edmondsonsupply.com/collections/storage-organization/products/veto-pro-pac-wrencher-mc", "https://edmondsonsupply.com/collections/storage-organization/products/veto-pro-pac-wrencher-mc")</f>
        <v>https://edmondsonsupply.com/collections/storage-organization/products/veto-pro-pac-wrencher-mc</v>
      </c>
      <c r="B232" s="3" t="str">
        <f>HYPERLINK("https://edmondsonsupply.com/products/veto-pro-pac-wrencher-mc", "https://edmondsonsupply.com/products/veto-pro-pac-wrencher-mc")</f>
        <v>https://edmondsonsupply.com/products/veto-pro-pac-wrencher-mc</v>
      </c>
      <c r="C232" t="s">
        <v>397</v>
      </c>
      <c r="D232" t="s">
        <v>726</v>
      </c>
      <c r="E232" s="3" t="str">
        <f>HYPERLINK("https://www.amazon.com/VETO-PRO-PAC-Veto-TECH-MC/dp/B078HLH6YV/ref=sr_1_9?keywords=Veto+Pro+Pac+Wrencher+MC&amp;qid=1695173176&amp;sr=8-9", "https://www.amazon.com/VETO-PRO-PAC-Veto-TECH-MC/dp/B078HLH6YV/ref=sr_1_9?keywords=Veto+Pro+Pac+Wrencher+MC&amp;qid=1695173176&amp;sr=8-9")</f>
        <v>https://www.amazon.com/VETO-PRO-PAC-Veto-TECH-MC/dp/B078HLH6YV/ref=sr_1_9?keywords=Veto+Pro+Pac+Wrencher+MC&amp;qid=1695173176&amp;sr=8-9</v>
      </c>
      <c r="F232" t="s">
        <v>727</v>
      </c>
      <c r="G232" t="e">
        <f ca="1">_xludf.IMAGE("https://edmondsonsupply.com/cdn/shop/products/0001_WRENCHER-MC_32.jpg?v=1675795195")</f>
        <v>#NAME?</v>
      </c>
      <c r="H232" t="e">
        <f ca="1">_xludf.IMAGE("https://m.media-amazon.com/images/I/71IZAo4j11L._AC_UL320_.jpg")</f>
        <v>#NAME?</v>
      </c>
      <c r="I232" t="s">
        <v>400</v>
      </c>
      <c r="J232">
        <v>169.95</v>
      </c>
      <c r="K232" s="4">
        <v>-0.1502</v>
      </c>
      <c r="L232">
        <v>4.8</v>
      </c>
      <c r="M232">
        <v>680</v>
      </c>
      <c r="O232" t="s">
        <v>25</v>
      </c>
      <c r="P232" t="s">
        <v>138</v>
      </c>
      <c r="Q232" t="s">
        <v>401</v>
      </c>
    </row>
    <row r="233" spans="1:17" ht="15.5" x14ac:dyDescent="0.35">
      <c r="A233" s="3" t="str">
        <f>HYPERLINK("https://edmondsonsupply.com/collections/storage-organization/products/veto-pro-pac-tech-pac-backpack-tool-bag", "https://edmondsonsupply.com/collections/storage-organization/products/veto-pro-pac-tech-pac-backpack-tool-bag")</f>
        <v>https://edmondsonsupply.com/collections/storage-organization/products/veto-pro-pac-tech-pac-backpack-tool-bag</v>
      </c>
      <c r="B233" s="3" t="str">
        <f>HYPERLINK("https://edmondsonsupply.com/products/veto-pro-pac-tech-pac-backpack-tool-bag", "https://edmondsonsupply.com/products/veto-pro-pac-tech-pac-backpack-tool-bag")</f>
        <v>https://edmondsonsupply.com/products/veto-pro-pac-tech-pac-backpack-tool-bag</v>
      </c>
      <c r="C233" t="s">
        <v>658</v>
      </c>
      <c r="D233" t="s">
        <v>684</v>
      </c>
      <c r="E233" s="3" t="str">
        <f>HYPERLINK("https://www.amazon.com/Veto-Tech-XL-Tool-1-Pack/dp/B00DYRFEJI/ref=sr_1_4?keywords=Veto+Pro+Pac+TECH+PAC+Backpack+Tool+Bag&amp;qid=1695173170&amp;sr=8-4", "https://www.amazon.com/Veto-Tech-XL-Tool-1-Pack/dp/B00DYRFEJI/ref=sr_1_4?keywords=Veto+Pro+Pac+TECH+PAC+Backpack+Tool+Bag&amp;qid=1695173170&amp;sr=8-4")</f>
        <v>https://www.amazon.com/Veto-Tech-XL-Tool-1-Pack/dp/B00DYRFEJI/ref=sr_1_4?keywords=Veto+Pro+Pac+TECH+PAC+Backpack+Tool+Bag&amp;qid=1695173170&amp;sr=8-4</v>
      </c>
      <c r="F233" t="s">
        <v>685</v>
      </c>
      <c r="G233" t="e">
        <f ca="1">_xludf.IMAGE("https://edmondsonsupply.com/cdn/shop/products/Veto_Tech_Pac.jpg?v=1587149981")</f>
        <v>#NAME?</v>
      </c>
      <c r="H233" t="e">
        <f ca="1">_xludf.IMAGE("https://m.media-amazon.com/images/I/71suRnmtVZL._AC_UL320_.jpg")</f>
        <v>#NAME?</v>
      </c>
      <c r="I233" t="s">
        <v>533</v>
      </c>
      <c r="J233">
        <v>249.95</v>
      </c>
      <c r="K233" s="4">
        <v>-0.1668</v>
      </c>
      <c r="L233">
        <v>4.8</v>
      </c>
      <c r="M233">
        <v>763</v>
      </c>
      <c r="O233" t="s">
        <v>25</v>
      </c>
      <c r="P233" t="s">
        <v>138</v>
      </c>
      <c r="Q233" t="s">
        <v>659</v>
      </c>
    </row>
    <row r="234" spans="1:17" ht="15.5" x14ac:dyDescent="0.35">
      <c r="A234" s="3" t="str">
        <f>HYPERLINK("https://edmondsonsupply.com/collections/storage-organization/products/veto-pro-pac-tp-xxl-tool-pouch", "https://edmondsonsupply.com/collections/storage-organization/products/veto-pro-pac-tp-xxl-tool-pouch")</f>
        <v>https://edmondsonsupply.com/collections/storage-organization/products/veto-pro-pac-tp-xxl-tool-pouch</v>
      </c>
      <c r="B234" s="3" t="str">
        <f>HYPERLINK("https://edmondsonsupply.com/products/veto-pro-pac-tp-xxl-tool-pouch", "https://edmondsonsupply.com/products/veto-pro-pac-tp-xxl-tool-pouch")</f>
        <v>https://edmondsonsupply.com/products/veto-pro-pac-tp-xxl-tool-pouch</v>
      </c>
      <c r="C234" t="s">
        <v>451</v>
      </c>
      <c r="D234" t="s">
        <v>318</v>
      </c>
      <c r="E234" s="3" t="str">
        <f>HYPERLINK("https://www.amazon.com/Veto-TP-XL-Extra-Large-Pouch/dp/B07WDL7SD3/ref=sr_1_2?keywords=Veto+Pro+Pac+TP-XXL+Tool+Pouch&amp;qid=1695173161&amp;sr=8-2", "https://www.amazon.com/Veto-TP-XL-Extra-Large-Pouch/dp/B07WDL7SD3/ref=sr_1_2?keywords=Veto+Pro+Pac+TP-XXL+Tool+Pouch&amp;qid=1695173161&amp;sr=8-2")</f>
        <v>https://www.amazon.com/Veto-TP-XL-Extra-Large-Pouch/dp/B07WDL7SD3/ref=sr_1_2?keywords=Veto+Pro+Pac+TP-XXL+Tool+Pouch&amp;qid=1695173161&amp;sr=8-2</v>
      </c>
      <c r="F234" t="s">
        <v>319</v>
      </c>
      <c r="G234" t="e">
        <f ca="1">_xludf.IMAGE("https://edmondsonsupply.com/cdn/shop/products/01_TP-XXL.jpg?v=1633031173")</f>
        <v>#NAME?</v>
      </c>
      <c r="H234" t="e">
        <f ca="1">_xludf.IMAGE("https://m.media-amazon.com/images/I/91dIbPcb4XL._AC_UL320_.jpg")</f>
        <v>#NAME?</v>
      </c>
      <c r="I234" t="s">
        <v>454</v>
      </c>
      <c r="J234">
        <v>169.95</v>
      </c>
      <c r="K234" s="4">
        <v>-0.19070000000000001</v>
      </c>
      <c r="L234">
        <v>4.9000000000000004</v>
      </c>
      <c r="M234">
        <v>1132</v>
      </c>
      <c r="O234" t="s">
        <v>25</v>
      </c>
      <c r="P234" t="s">
        <v>138</v>
      </c>
      <c r="Q234" t="s">
        <v>455</v>
      </c>
    </row>
    <row r="235" spans="1:17" ht="15.5" x14ac:dyDescent="0.35">
      <c r="A235" s="3" t="str">
        <f>HYPERLINK("https://edmondsonsupply.com/collections/storage-organization/products/veto-pro-pac-tp3-b-tool-bag", "https://edmondsonsupply.com/collections/storage-organization/products/veto-pro-pac-tp3-b-tool-bag")</f>
        <v>https://edmondsonsupply.com/collections/storage-organization/products/veto-pro-pac-tp3-b-tool-bag</v>
      </c>
      <c r="B235" s="3" t="str">
        <f>HYPERLINK("https://edmondsonsupply.com/products/veto-pro-pac-tp3-b-tool-bag", "https://edmondsonsupply.com/products/veto-pro-pac-tp3-b-tool-bag")</f>
        <v>https://edmondsonsupply.com/products/veto-pro-pac-tp3-b-tool-bag</v>
      </c>
      <c r="C235" t="s">
        <v>317</v>
      </c>
      <c r="D235" t="s">
        <v>728</v>
      </c>
      <c r="E235" s="3" t="str">
        <f>HYPERLINK("https://www.amazon.com/Veto-Pro-Pac-TP3-Pouch/dp/B008471T42/ref=sr_1_1?keywords=Veto+Pro+Pac+TP3B+Tool+Pouch&amp;qid=1695173175&amp;sr=8-1", "https://www.amazon.com/Veto-Pro-Pac-TP3-Pouch/dp/B008471T42/ref=sr_1_1?keywords=Veto+Pro+Pac+TP3B+Tool+Pouch&amp;qid=1695173175&amp;sr=8-1")</f>
        <v>https://www.amazon.com/Veto-Pro-Pac-TP3-Pouch/dp/B008471T42/ref=sr_1_1?keywords=Veto+Pro+Pac+TP3B+Tool+Pouch&amp;qid=1695173175&amp;sr=8-1</v>
      </c>
      <c r="F235" t="s">
        <v>729</v>
      </c>
      <c r="G235" t="e">
        <f ca="1">_xludf.IMAGE("https://edmondsonsupply.com/cdn/shop/products/tp3b.png?v=1633031041")</f>
        <v>#NAME?</v>
      </c>
      <c r="H235" t="e">
        <f ca="1">_xludf.IMAGE("https://m.media-amazon.com/images/I/911jQmUqGIL._AC_UL320_.jpg")</f>
        <v>#NAME?</v>
      </c>
      <c r="I235" t="s">
        <v>320</v>
      </c>
      <c r="J235">
        <v>59.95</v>
      </c>
      <c r="K235" s="4">
        <v>-0.2006</v>
      </c>
      <c r="L235">
        <v>4.7</v>
      </c>
      <c r="M235">
        <v>512</v>
      </c>
      <c r="O235" t="s">
        <v>25</v>
      </c>
      <c r="P235" t="s">
        <v>138</v>
      </c>
      <c r="Q235" t="s">
        <v>321</v>
      </c>
    </row>
    <row r="236" spans="1:17" ht="15.5" x14ac:dyDescent="0.35">
      <c r="A236" s="3" t="str">
        <f>HYPERLINK("https://edmondsonsupply.com/collections/storage-organization/products/veto-pro-pac-tp3-b-tool-bag", "https://edmondsonsupply.com/collections/storage-organization/products/veto-pro-pac-tp3-b-tool-bag")</f>
        <v>https://edmondsonsupply.com/collections/storage-organization/products/veto-pro-pac-tp3-b-tool-bag</v>
      </c>
      <c r="B236" s="3" t="str">
        <f>HYPERLINK("https://edmondsonsupply.com/products/veto-pro-pac-tp3-b-tool-bag", "https://edmondsonsupply.com/products/veto-pro-pac-tp3-b-tool-bag")</f>
        <v>https://edmondsonsupply.com/products/veto-pro-pac-tp3-b-tool-bag</v>
      </c>
      <c r="C236" t="s">
        <v>317</v>
      </c>
      <c r="D236" t="s">
        <v>730</v>
      </c>
      <c r="E236" s="3" t="str">
        <f>HYPERLINK("https://www.amazon.com/Veto-Pro-Pac-MB-Pouch/dp/B008471S4I/ref=sr_1_6?keywords=Veto+Pro+Pac+TP3B+Tool+Pouch&amp;qid=1695173175&amp;sr=8-6", "https://www.amazon.com/Veto-Pro-Pac-MB-Pouch/dp/B008471S4I/ref=sr_1_6?keywords=Veto+Pro+Pac+TP3B+Tool+Pouch&amp;qid=1695173175&amp;sr=8-6")</f>
        <v>https://www.amazon.com/Veto-Pro-Pac-MB-Pouch/dp/B008471S4I/ref=sr_1_6?keywords=Veto+Pro+Pac+TP3B+Tool+Pouch&amp;qid=1695173175&amp;sr=8-6</v>
      </c>
      <c r="F236" t="s">
        <v>731</v>
      </c>
      <c r="G236" t="e">
        <f ca="1">_xludf.IMAGE("https://edmondsonsupply.com/cdn/shop/products/tp3b.png?v=1633031041")</f>
        <v>#NAME?</v>
      </c>
      <c r="H236" t="e">
        <f ca="1">_xludf.IMAGE("https://m.media-amazon.com/images/I/91BzQgD8ZJL._AC_UL320_.jpg")</f>
        <v>#NAME?</v>
      </c>
      <c r="I236" t="s">
        <v>320</v>
      </c>
      <c r="J236">
        <v>59.95</v>
      </c>
      <c r="K236" s="4">
        <v>-0.2006</v>
      </c>
      <c r="L236">
        <v>4.8</v>
      </c>
      <c r="M236">
        <v>544</v>
      </c>
      <c r="O236" t="s">
        <v>25</v>
      </c>
      <c r="P236" t="s">
        <v>138</v>
      </c>
      <c r="Q236" t="s">
        <v>321</v>
      </c>
    </row>
    <row r="237" spans="1:17" ht="15.5" x14ac:dyDescent="0.35">
      <c r="A237" s="3" t="str">
        <f>HYPERLINK("https://edmondsonsupply.com/collections/storage-organization/products/veto-pro-pac-tech-lc-tool-bag", "https://edmondsonsupply.com/collections/storage-organization/products/veto-pro-pac-tech-lc-tool-bag")</f>
        <v>https://edmondsonsupply.com/collections/storage-organization/products/veto-pro-pac-tech-lc-tool-bag</v>
      </c>
      <c r="B237" s="3" t="str">
        <f>HYPERLINK("https://edmondsonsupply.com/products/veto-pro-pac-tech-lc-tool-bag", "https://edmondsonsupply.com/products/veto-pro-pac-tech-lc-tool-bag")</f>
        <v>https://edmondsonsupply.com/products/veto-pro-pac-tech-lc-tool-bag</v>
      </c>
      <c r="C237" t="s">
        <v>410</v>
      </c>
      <c r="D237" t="s">
        <v>371</v>
      </c>
      <c r="E237" s="3" t="str">
        <f>HYPERLINK("https://www.amazon.com/Veto-TP-LC-Compact-Zippered-Service/dp/B09TPZKBDP/ref=sr_1_9?keywords=Veto+Pro+Pac+TECH+MC+Compact+Tool+Bag&amp;qid=1695173172&amp;sr=8-9", "https://www.amazon.com/Veto-TP-LC-Compact-Zippered-Service/dp/B09TPZKBDP/ref=sr_1_9?keywords=Veto+Pro+Pac+TECH+MC+Compact+Tool+Bag&amp;qid=1695173172&amp;sr=8-9")</f>
        <v>https://www.amazon.com/Veto-TP-LC-Compact-Zippered-Service/dp/B09TPZKBDP/ref=sr_1_9?keywords=Veto+Pro+Pac+TECH+MC+Compact+Tool+Bag&amp;qid=1695173172&amp;sr=8-9</v>
      </c>
      <c r="F237" t="s">
        <v>372</v>
      </c>
      <c r="G237" t="e">
        <f ca="1">_xludf.IMAGE("https://edmondsonsupply.com/cdn/shop/products/MC1_87e0d14c-0e4f-4e1a-b23d-f796a6e88a52.jpg?v=1587147172")</f>
        <v>#NAME?</v>
      </c>
      <c r="H237" t="e">
        <f ca="1">_xludf.IMAGE("https://m.media-amazon.com/images/I/51b1SiebzcL._AC_UL320_.jpg")</f>
        <v>#NAME?</v>
      </c>
      <c r="I237" t="s">
        <v>413</v>
      </c>
      <c r="J237">
        <v>134.94999999999999</v>
      </c>
      <c r="K237" s="4">
        <v>-0.20610000000000001</v>
      </c>
      <c r="L237">
        <v>4.8</v>
      </c>
      <c r="M237">
        <v>281</v>
      </c>
      <c r="O237" t="s">
        <v>25</v>
      </c>
      <c r="P237" t="s">
        <v>138</v>
      </c>
      <c r="Q237" t="s">
        <v>414</v>
      </c>
    </row>
    <row r="238" spans="1:17" ht="15.5" x14ac:dyDescent="0.35">
      <c r="A238" s="3" t="str">
        <f>HYPERLINK("https://edmondsonsupply.com/collections/storage-organization/products/klein-tools-5416octo-tool-bag-bull-pin-and-bolt-pouch-loop-connect-5-x-5-x-9-inch", "https://edmondsonsupply.com/collections/storage-organization/products/klein-tools-5416octo-tool-bag-bull-pin-and-bolt-pouch-loop-connect-5-x-5-x-9-inch")</f>
        <v>https://edmondsonsupply.com/collections/storage-organization/products/klein-tools-5416octo-tool-bag-bull-pin-and-bolt-pouch-loop-connect-5-x-5-x-9-inch</v>
      </c>
      <c r="B238" s="3" t="str">
        <f>HYPERLINK("https://edmondsonsupply.com/products/klein-tools-5416octo-tool-bag-bull-pin-and-bolt-pouch-loop-connect-5-x-5-x-9-inch", "https://edmondsonsupply.com/products/klein-tools-5416octo-tool-bag-bull-pin-and-bolt-pouch-loop-connect-5-x-5-x-9-inch")</f>
        <v>https://edmondsonsupply.com/products/klein-tools-5416octo-tool-bag-bull-pin-and-bolt-pouch-loop-connect-5-x-5-x-9-inch</v>
      </c>
      <c r="C238" t="s">
        <v>329</v>
      </c>
      <c r="D238" t="s">
        <v>732</v>
      </c>
      <c r="E238" s="3" t="str">
        <f>HYPERLINK("https://www.amazon.com/Canvas-Storage-Klein-Tools-5416/dp/B0002RI6JS/ref=sr_1_1?keywords=Klein+Tools+5416OCTO+Tool+Bag%2C+Bull-Pin+and+Bolt+Pouch%2C+Loop+Connect%2C+5+x+5+x+9-Inch&amp;qid=1695173180&amp;sr=8-1", "https://www.amazon.com/Canvas-Storage-Klein-Tools-5416/dp/B0002RI6JS/ref=sr_1_1?keywords=Klein+Tools+5416OCTO+Tool+Bag%2C+Bull-Pin+and+Bolt+Pouch%2C+Loop+Connect%2C+5+x+5+x+9-Inch&amp;qid=1695173180&amp;sr=8-1")</f>
        <v>https://www.amazon.com/Canvas-Storage-Klein-Tools-5416/dp/B0002RI6JS/ref=sr_1_1?keywords=Klein+Tools+5416OCTO+Tool+Bag%2C+Bull-Pin+and+Bolt+Pouch%2C+Loop+Connect%2C+5+x+5+x+9-Inch&amp;qid=1695173180&amp;sr=8-1</v>
      </c>
      <c r="F238" t="s">
        <v>733</v>
      </c>
      <c r="G238" t="e">
        <f ca="1">_xludf.IMAGE("https://edmondsonsupply.com/cdn/shop/products/5416octo.jpg?v=1633030457")</f>
        <v>#NAME?</v>
      </c>
      <c r="H238" t="e">
        <f ca="1">_xludf.IMAGE("https://m.media-amazon.com/images/I/61w6J+DVn0L._AC_UL320_.jpg")</f>
        <v>#NAME?</v>
      </c>
      <c r="I238" t="s">
        <v>332</v>
      </c>
      <c r="J238">
        <v>17.440000000000001</v>
      </c>
      <c r="K238" s="4">
        <v>-0.20799999999999999</v>
      </c>
      <c r="L238">
        <v>4.5999999999999996</v>
      </c>
      <c r="M238">
        <v>902</v>
      </c>
      <c r="O238" t="s">
        <v>25</v>
      </c>
      <c r="P238" t="s">
        <v>333</v>
      </c>
      <c r="Q238" t="s">
        <v>334</v>
      </c>
    </row>
    <row r="239" spans="1:17" ht="15.5" x14ac:dyDescent="0.35">
      <c r="A239" s="3" t="str">
        <f>HYPERLINK("https://edmondsonsupply.com/collections/storage-organization/products/klein-tools-5142p-tool-bag-canvas-utility-bag-interior-pocket-9-x-8-x-10-inch", "https://edmondsonsupply.com/collections/storage-organization/products/klein-tools-5142p-tool-bag-canvas-utility-bag-interior-pocket-9-x-8-x-10-inch")</f>
        <v>https://edmondsonsupply.com/collections/storage-organization/products/klein-tools-5142p-tool-bag-canvas-utility-bag-interior-pocket-9-x-8-x-10-inch</v>
      </c>
      <c r="B239" s="3" t="str">
        <f>HYPERLINK("https://edmondsonsupply.com/products/klein-tools-5142p-tool-bag-canvas-utility-bag-interior-pocket-9-x-8-x-10-inch", "https://edmondsonsupply.com/products/klein-tools-5142p-tool-bag-canvas-utility-bag-interior-pocket-9-x-8-x-10-inch")</f>
        <v>https://edmondsonsupply.com/products/klein-tools-5142p-tool-bag-canvas-utility-bag-interior-pocket-9-x-8-x-10-inch</v>
      </c>
      <c r="C239" t="s">
        <v>648</v>
      </c>
      <c r="D239" t="s">
        <v>734</v>
      </c>
      <c r="E239" s="3" t="str">
        <f>HYPERLINK("https://www.amazon.com/Carrying-Interior-Klein-Tools-51A/dp/B0061J57ZW/ref=sr_1_2?keywords=Klein+Tools+5142P+Tool+Bag%2C+Canvas+Utility+Bag%2C+Interior+Pocket%2C+9+x+8+x+10-Inch&amp;qid=1695173186&amp;sr=8-2", "https://www.amazon.com/Carrying-Interior-Klein-Tools-51A/dp/B0061J57ZW/ref=sr_1_2?keywords=Klein+Tools+5142P+Tool+Bag%2C+Canvas+Utility+Bag%2C+Interior+Pocket%2C+9+x+8+x+10-Inch&amp;qid=1695173186&amp;sr=8-2")</f>
        <v>https://www.amazon.com/Carrying-Interior-Klein-Tools-51A/dp/B0061J57ZW/ref=sr_1_2?keywords=Klein+Tools+5142P+Tool+Bag%2C+Canvas+Utility+Bag%2C+Interior+Pocket%2C+9+x+8+x+10-Inch&amp;qid=1695173186&amp;sr=8-2</v>
      </c>
      <c r="F239" t="s">
        <v>735</v>
      </c>
      <c r="G239" t="e">
        <f ca="1">_xludf.IMAGE("https://edmondsonsupply.com/cdn/shop/products/5142.jpg?v=1633030666")</f>
        <v>#NAME?</v>
      </c>
      <c r="H239" t="e">
        <f ca="1">_xludf.IMAGE("https://m.media-amazon.com/images/I/61MP9qfvDML._AC_UL320_.jpg")</f>
        <v>#NAME?</v>
      </c>
      <c r="I239" t="s">
        <v>651</v>
      </c>
      <c r="J239">
        <v>25.87</v>
      </c>
      <c r="K239" s="4">
        <v>-0.21460000000000001</v>
      </c>
      <c r="L239">
        <v>4.7</v>
      </c>
      <c r="M239">
        <v>1375</v>
      </c>
      <c r="O239" t="s">
        <v>25</v>
      </c>
      <c r="P239" t="s">
        <v>652</v>
      </c>
      <c r="Q239" t="s">
        <v>653</v>
      </c>
    </row>
    <row r="240" spans="1:17" ht="15.5" x14ac:dyDescent="0.35">
      <c r="A240" s="3" t="str">
        <f>HYPERLINK("https://edmondsonsupply.com/collections/storage-organization/products/veto-pro-pac-tech-pac-backpack-tool-bag-3", "https://edmondsonsupply.com/collections/storage-organization/products/veto-pro-pac-tech-pac-backpack-tool-bag-3")</f>
        <v>https://edmondsonsupply.com/collections/storage-organization/products/veto-pro-pac-tech-pac-backpack-tool-bag-3</v>
      </c>
      <c r="B240" s="3" t="str">
        <f>HYPERLINK("https://edmondsonsupply.com/products/veto-pro-pac-tech-pac-backpack-tool-bag-3", "https://edmondsonsupply.com/products/veto-pro-pac-tech-pac-backpack-tool-bag-3")</f>
        <v>https://edmondsonsupply.com/products/veto-pro-pac-tech-pac-backpack-tool-bag-3</v>
      </c>
      <c r="C240" t="s">
        <v>511</v>
      </c>
      <c r="D240" t="s">
        <v>468</v>
      </c>
      <c r="E240" s="3" t="str">
        <f>HYPERLINK("https://www.amazon.com/TECHOT-MC-Veto-COMPACT-Open-Tool/dp/B07146M3QW/ref=sr_1_8?keywords=Veto+Pro+Pac+TECH+PAC+MC+Backpack+Tool+Bag&amp;qid=1695173160&amp;sr=8-8", "https://www.amazon.com/TECHOT-MC-Veto-COMPACT-Open-Tool/dp/B07146M3QW/ref=sr_1_8?keywords=Veto+Pro+Pac+TECH+PAC+MC+Backpack+Tool+Bag&amp;qid=1695173160&amp;sr=8-8")</f>
        <v>https://www.amazon.com/TECHOT-MC-Veto-COMPACT-Open-Tool/dp/B07146M3QW/ref=sr_1_8?keywords=Veto+Pro+Pac+TECH+PAC+MC+Backpack+Tool+Bag&amp;qid=1695173160&amp;sr=8-8</v>
      </c>
      <c r="F240" t="s">
        <v>469</v>
      </c>
      <c r="G240" t="e">
        <f ca="1">_xludf.IMAGE("https://edmondsonsupply.com/cdn/shop/products/MC2.jpg?v=1642553730")</f>
        <v>#NAME?</v>
      </c>
      <c r="H240" t="e">
        <f ca="1">_xludf.IMAGE("https://m.media-amazon.com/images/I/7164ViSBjML._AC_UL320_.jpg")</f>
        <v>#NAME?</v>
      </c>
      <c r="I240" t="s">
        <v>514</v>
      </c>
      <c r="J240">
        <v>209.95</v>
      </c>
      <c r="K240" s="4">
        <v>-0.23649999999999999</v>
      </c>
      <c r="L240">
        <v>4.8</v>
      </c>
      <c r="M240">
        <v>702</v>
      </c>
      <c r="O240" t="s">
        <v>25</v>
      </c>
      <c r="P240" t="s">
        <v>138</v>
      </c>
      <c r="Q240" t="s">
        <v>515</v>
      </c>
    </row>
    <row r="241" spans="1:17" ht="15.5" x14ac:dyDescent="0.35">
      <c r="A241" s="3" t="str">
        <f>HYPERLINK("https://edmondsonsupply.com/collections/storage-organization/products/dewalt-dgl523-57", "https://edmondsonsupply.com/collections/storage-organization/products/dewalt-dgl523-57")</f>
        <v>https://edmondsonsupply.com/collections/storage-organization/products/dewalt-dgl523-57</v>
      </c>
      <c r="B241" s="3" t="str">
        <f>HYPERLINK("https://edmondsonsupply.com/products/dewalt-dgl523-57", "https://edmondsonsupply.com/products/dewalt-dgl523-57")</f>
        <v>https://edmondsonsupply.com/products/dewalt-dgl523-57</v>
      </c>
      <c r="C241" t="s">
        <v>736</v>
      </c>
      <c r="D241" t="s">
        <v>737</v>
      </c>
      <c r="E241" s="3" t="str">
        <f>HYPERLINK("https://www.amazon.com/DEWALT-DGL523-Lighted-Backpack-57-Pockets/dp/B00QNTVVOG/ref=sr_1_1?keywords=CLC+DeWALT+DGL523+57-Pocket+Lighted+Tool+Backpack+Bag&amp;qid=1695173163&amp;sr=8-1", "https://www.amazon.com/DEWALT-DGL523-Lighted-Backpack-57-Pockets/dp/B00QNTVVOG/ref=sr_1_1?keywords=CLC+DeWALT+DGL523+57-Pocket+Lighted+Tool+Backpack+Bag&amp;qid=1695173163&amp;sr=8-1")</f>
        <v>https://www.amazon.com/DEWALT-DGL523-Lighted-Backpack-57-Pockets/dp/B00QNTVVOG/ref=sr_1_1?keywords=CLC+DeWALT+DGL523+57-Pocket+Lighted+Tool+Backpack+Bag&amp;qid=1695173163&amp;sr=8-1</v>
      </c>
      <c r="F241" t="s">
        <v>738</v>
      </c>
      <c r="G241" t="e">
        <f ca="1">_xludf.IMAGE("https://edmondsonsupply.com/cdn/shop/products/DGL523-2.png?v=1671056065")</f>
        <v>#NAME?</v>
      </c>
      <c r="H241" t="e">
        <f ca="1">_xludf.IMAGE("https://m.media-amazon.com/images/I/91ecNgAjh0L._AC_UL320_.jpg")</f>
        <v>#NAME?</v>
      </c>
      <c r="I241" t="s">
        <v>739</v>
      </c>
      <c r="J241">
        <v>97.88</v>
      </c>
      <c r="K241" s="4">
        <v>-0.2412</v>
      </c>
      <c r="L241">
        <v>4.7</v>
      </c>
      <c r="M241">
        <v>3760</v>
      </c>
      <c r="O241" t="s">
        <v>25</v>
      </c>
      <c r="P241" t="s">
        <v>707</v>
      </c>
      <c r="Q241" t="s">
        <v>740</v>
      </c>
    </row>
    <row r="242" spans="1:17" ht="15.5" x14ac:dyDescent="0.35">
      <c r="A242"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42" s="3" t="str">
        <f>HYPERLINK("https://edmondsonsupply.com/products/veto-pro-pac-tech-pac-blackout-backpack", "https://edmondsonsupply.com/products/veto-pro-pac-tech-pac-blackout-backpack")</f>
        <v>https://edmondsonsupply.com/products/veto-pro-pac-tech-pac-blackout-backpack</v>
      </c>
      <c r="C242" t="s">
        <v>611</v>
      </c>
      <c r="D242" t="s">
        <v>684</v>
      </c>
      <c r="E242" s="3" t="str">
        <f>HYPERLINK("https://www.amazon.com/Veto-Tech-XL-Tool-1-Pack/dp/B00DYRFEJI/ref=sr_1_9?keywords=Veto+Pro+Pac+TECH+PAC+Blackout+Backpack&amp;qid=1695173158&amp;sr=8-9", "https://www.amazon.com/Veto-Tech-XL-Tool-1-Pack/dp/B00DYRFEJI/ref=sr_1_9?keywords=Veto+Pro+Pac+TECH+PAC+Blackout+Backpack&amp;qid=1695173158&amp;sr=8-9")</f>
        <v>https://www.amazon.com/Veto-Tech-XL-Tool-1-Pack/dp/B00DYRFEJI/ref=sr_1_9?keywords=Veto+Pro+Pac+TECH+PAC+Blackout+Backpack&amp;qid=1695173158&amp;sr=8-9</v>
      </c>
      <c r="F242" t="s">
        <v>685</v>
      </c>
      <c r="G242" t="e">
        <f ca="1">_xludf.IMAGE("https://edmondsonsupply.com/cdn/shop/products/tech1.jpg?v=1633031041")</f>
        <v>#NAME?</v>
      </c>
      <c r="H242" t="e">
        <f ca="1">_xludf.IMAGE("https://m.media-amazon.com/images/I/71suRnmtVZL._AC_UL320_.jpg")</f>
        <v>#NAME?</v>
      </c>
      <c r="I242" t="s">
        <v>612</v>
      </c>
      <c r="J242">
        <v>249.95</v>
      </c>
      <c r="K242" s="4">
        <v>-0.24260000000000001</v>
      </c>
      <c r="L242">
        <v>4.8</v>
      </c>
      <c r="M242">
        <v>763</v>
      </c>
      <c r="O242" t="s">
        <v>25</v>
      </c>
      <c r="P242" t="s">
        <v>138</v>
      </c>
      <c r="Q242" t="s">
        <v>613</v>
      </c>
    </row>
    <row r="243" spans="1:17" ht="15.5" x14ac:dyDescent="0.35">
      <c r="A243" s="3" t="str">
        <f>HYPERLINK("https://edmondsonsupply.com/collections/storage-organization/products/clc-1524-medium-zip-top-utility-pouch", "https://edmondsonsupply.com/collections/storage-organization/products/clc-1524-medium-zip-top-utility-pouch")</f>
        <v>https://edmondsonsupply.com/collections/storage-organization/products/clc-1524-medium-zip-top-utility-pouch</v>
      </c>
      <c r="B243" s="3" t="str">
        <f>HYPERLINK("https://edmondsonsupply.com/products/clc-1524-medium-zip-top-utility-pouch", "https://edmondsonsupply.com/products/clc-1524-medium-zip-top-utility-pouch")</f>
        <v>https://edmondsonsupply.com/products/clc-1524-medium-zip-top-utility-pouch</v>
      </c>
      <c r="C243" t="s">
        <v>741</v>
      </c>
      <c r="D243" t="s">
        <v>742</v>
      </c>
      <c r="E243" s="3" t="str">
        <f>HYPERLINK("https://www.amazon.com/Custom-Leathercraft-1524-Ziptop-Utility/dp/B0047O3TZS/ref=sr_1_2?keywords=CLC+1524+Medium+Zip+Top+Utility+Pouch&amp;qid=1695173183&amp;sr=8-2", "https://www.amazon.com/Custom-Leathercraft-1524-Ziptop-Utility/dp/B0047O3TZS/ref=sr_1_2?keywords=CLC+1524+Medium+Zip+Top+Utility+Pouch&amp;qid=1695173183&amp;sr=8-2")</f>
        <v>https://www.amazon.com/Custom-Leathercraft-1524-Ziptop-Utility/dp/B0047O3TZS/ref=sr_1_2?keywords=CLC+1524+Medium+Zip+Top+Utility+Pouch&amp;qid=1695173183&amp;sr=8-2</v>
      </c>
      <c r="F243" t="s">
        <v>743</v>
      </c>
      <c r="G243" t="e">
        <f ca="1">_xludf.IMAGE("https://edmondsonsupply.com/cdn/shop/products/1524.jpg?v=1633030333")</f>
        <v>#NAME?</v>
      </c>
      <c r="H243" t="e">
        <f ca="1">_xludf.IMAGE("https://m.media-amazon.com/images/I/91xpQi8ldnL._AC_UL320_.jpg")</f>
        <v>#NAME?</v>
      </c>
      <c r="I243" t="s">
        <v>744</v>
      </c>
      <c r="J243">
        <v>26.4</v>
      </c>
      <c r="K243" s="4">
        <v>-0.24460000000000001</v>
      </c>
      <c r="L243">
        <v>4.5999999999999996</v>
      </c>
      <c r="M243">
        <v>1157</v>
      </c>
      <c r="O243" t="s">
        <v>171</v>
      </c>
      <c r="P243" t="s">
        <v>138</v>
      </c>
      <c r="Q243" t="s">
        <v>745</v>
      </c>
    </row>
    <row r="244" spans="1:17" ht="15.5" x14ac:dyDescent="0.35">
      <c r="A244" s="3" t="str">
        <f>HYPERLINK("https://edmondsonsupply.com/collections/storage-organization/products/klein-tools-55421bp-14-tradesman-pro%E2%84%A2-tool-bag-backpack-39-pockets-black-14-inch", "https://edmondsonsupply.com/collections/storage-organization/products/klein-tools-55421bp-14-tradesman-pro%E2%84%A2-tool-bag-backpack-39-pockets-black-14-inch")</f>
        <v>https://edmondsonsupply.com/collections/storage-organization/products/klein-tools-55421bp-14-tradesman-pro%E2%84%A2-tool-bag-backpack-39-pockets-black-14-inch</v>
      </c>
      <c r="B244"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244" t="s">
        <v>542</v>
      </c>
      <c r="D244" t="s">
        <v>746</v>
      </c>
      <c r="E244" s="3" t="str">
        <f>HYPERLINK("https://www.amazon.com/Electrician-Tradesman-Klein-Tools-55421BP14CAMO/dp/B00VX5P8XK/ref=sr_1_2?keywords=Klein+Tools+55421BP-14+Tradesman+Pro%E2%84%A2+Tool+Bag+Backpack%2C+39+Pockets%2C+Black%2C+14-Inch&amp;qid=1695173172&amp;sr=8-2", "https://www.amazon.com/Electrician-Tradesman-Klein-Tools-55421BP14CAMO/dp/B00VX5P8XK/ref=sr_1_2?keywords=Klein+Tools+55421BP-14+Tradesman+Pro%E2%84%A2+Tool+Bag+Backpack%2C+39+Pockets%2C+Black%2C+14-Inch&amp;qid=1695173172&amp;sr=8-2")</f>
        <v>https://www.amazon.com/Electrician-Tradesman-Klein-Tools-55421BP14CAMO/dp/B00VX5P8XK/ref=sr_1_2?keywords=Klein+Tools+55421BP-14+Tradesman+Pro%E2%84%A2+Tool+Bag+Backpack%2C+39+Pockets%2C+Black%2C+14-Inch&amp;qid=1695173172&amp;sr=8-2</v>
      </c>
      <c r="F244" t="s">
        <v>747</v>
      </c>
      <c r="G244" t="e">
        <f ca="1">_xludf.IMAGE("https://edmondsonsupply.com/cdn/shop/products/55421bp-14_photo.jpg?v=1660827337")</f>
        <v>#NAME?</v>
      </c>
      <c r="H244" t="e">
        <f ca="1">_xludf.IMAGE("https://m.media-amazon.com/images/I/71tSAVLDR+L._AC_UL320_.jpg")</f>
        <v>#NAME?</v>
      </c>
      <c r="I244" t="s">
        <v>545</v>
      </c>
      <c r="J244">
        <v>75</v>
      </c>
      <c r="K244" s="4">
        <v>-0.24979999999999999</v>
      </c>
      <c r="L244">
        <v>4.8</v>
      </c>
      <c r="M244">
        <v>1763</v>
      </c>
      <c r="O244" t="s">
        <v>25</v>
      </c>
      <c r="P244" t="s">
        <v>546</v>
      </c>
      <c r="Q244" t="s">
        <v>547</v>
      </c>
    </row>
    <row r="245" spans="1:17" ht="15.5" x14ac:dyDescent="0.35">
      <c r="A245" s="3" t="str">
        <f>HYPERLINK("https://edmondsonsupply.com/collections/storage-organization/products/veto-pro-pac-wrencher-xl", "https://edmondsonsupply.com/collections/storage-organization/products/veto-pro-pac-wrencher-xl")</f>
        <v>https://edmondsonsupply.com/collections/storage-organization/products/veto-pro-pac-wrencher-xl</v>
      </c>
      <c r="B245" s="3" t="str">
        <f>HYPERLINK("https://edmondsonsupply.com/products/veto-pro-pac-wrencher-xl", "https://edmondsonsupply.com/products/veto-pro-pac-wrencher-xl")</f>
        <v>https://edmondsonsupply.com/products/veto-pro-pac-wrencher-xl</v>
      </c>
      <c r="C245" t="s">
        <v>433</v>
      </c>
      <c r="D245" t="s">
        <v>748</v>
      </c>
      <c r="E245" s="3" t="str">
        <f>HYPERLINK("https://www.amazon.com/VETO-PRO-PAC-OT-XL-Tool/dp/B000VKSAQK/ref=sr_1_7?keywords=Veto+Pro+Pac+Wrencher+XL&amp;qid=1695173167&amp;sr=8-7", "https://www.amazon.com/VETO-PRO-PAC-OT-XL-Tool/dp/B000VKSAQK/ref=sr_1_7?keywords=Veto+Pro+Pac+Wrencher+XL&amp;qid=1695173167&amp;sr=8-7")</f>
        <v>https://www.amazon.com/VETO-PRO-PAC-OT-XL-Tool/dp/B000VKSAQK/ref=sr_1_7?keywords=Veto+Pro+Pac+Wrencher+XL&amp;qid=1695173167&amp;sr=8-7</v>
      </c>
      <c r="F245" t="s">
        <v>749</v>
      </c>
      <c r="G245" t="e">
        <f ca="1">_xludf.IMAGE("https://edmondsonsupply.com/cdn/shop/products/0006_WRENCHER-XL_11.jpg?v=1675796410")</f>
        <v>#NAME?</v>
      </c>
      <c r="H245" t="e">
        <f ca="1">_xludf.IMAGE("https://m.media-amazon.com/images/I/61meVw9HeQL._AC_UL320_.jpg")</f>
        <v>#NAME?</v>
      </c>
      <c r="I245" t="s">
        <v>436</v>
      </c>
      <c r="J245">
        <v>269.95</v>
      </c>
      <c r="K245" s="4">
        <v>-0.25009999999999999</v>
      </c>
      <c r="L245">
        <v>4.7</v>
      </c>
      <c r="M245">
        <v>281</v>
      </c>
      <c r="O245" t="s">
        <v>25</v>
      </c>
      <c r="P245" t="s">
        <v>138</v>
      </c>
      <c r="Q245" t="s">
        <v>437</v>
      </c>
    </row>
    <row r="246" spans="1:17" ht="15.5" x14ac:dyDescent="0.35">
      <c r="A246"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246" s="3" t="str">
        <f>HYPERLINK("https://edmondsonsupply.com/products/veto-pro-pac-tech-pac-mc-blackout", "https://edmondsonsupply.com/products/veto-pro-pac-tech-pac-mc-blackout")</f>
        <v>https://edmondsonsupply.com/products/veto-pro-pac-tech-pac-mc-blackout</v>
      </c>
      <c r="C246" t="s">
        <v>496</v>
      </c>
      <c r="D246" t="s">
        <v>750</v>
      </c>
      <c r="E246" s="3" t="str">
        <f>HYPERLINK("https://www.amazon.com/VETO-PRO-PAC-TECH-MCT-Blackout/dp/B09K4LCMP1/ref=sr_1_5?keywords=Veto+Pro+Pac+TECH+PAC+MC+Blackout&amp;qid=1695173175&amp;sr=8-5", "https://www.amazon.com/VETO-PRO-PAC-TECH-MCT-Blackout/dp/B09K4LCMP1/ref=sr_1_5?keywords=Veto+Pro+Pac+TECH+PAC+MC+Blackout&amp;qid=1695173175&amp;sr=8-5")</f>
        <v>https://www.amazon.com/VETO-PRO-PAC-TECH-MCT-Blackout/dp/B09K4LCMP1/ref=sr_1_5?keywords=Veto+Pro+Pac+TECH+PAC+MC+Blackout&amp;qid=1695173175&amp;sr=8-5</v>
      </c>
      <c r="F246" t="s">
        <v>751</v>
      </c>
      <c r="G246" t="e">
        <f ca="1">_xludf.IMAGE("https://edmondsonsupply.com/cdn/shop/products/tech1.png?v=1633031062")</f>
        <v>#NAME?</v>
      </c>
      <c r="H246" t="e">
        <f ca="1">_xludf.IMAGE("https://m.media-amazon.com/images/I/61xjWCaiHoL._AC_UL320_.jpg")</f>
        <v>#NAME?</v>
      </c>
      <c r="I246" t="s">
        <v>499</v>
      </c>
      <c r="J246">
        <v>219.95</v>
      </c>
      <c r="K246" s="4">
        <v>-0.25440000000000002</v>
      </c>
      <c r="L246">
        <v>4.8</v>
      </c>
      <c r="M246">
        <v>2083</v>
      </c>
      <c r="O246" t="s">
        <v>25</v>
      </c>
      <c r="P246" t="s">
        <v>138</v>
      </c>
      <c r="Q246" t="s">
        <v>500</v>
      </c>
    </row>
    <row r="247" spans="1:17" ht="15.5" x14ac:dyDescent="0.35">
      <c r="A247" s="3" t="str">
        <f>HYPERLINK("https://edmondsonsupply.com/collections/storage-organization/products/clc-1528-11", "https://edmondsonsupply.com/collections/storage-organization/products/clc-1528-11")</f>
        <v>https://edmondsonsupply.com/collections/storage-organization/products/clc-1528-11</v>
      </c>
      <c r="B247" s="3" t="str">
        <f>HYPERLINK("https://edmondsonsupply.com/products/clc-1528-11", "https://edmondsonsupply.com/products/clc-1528-11")</f>
        <v>https://edmondsonsupply.com/products/clc-1528-11</v>
      </c>
      <c r="C247" t="s">
        <v>389</v>
      </c>
      <c r="D247" t="s">
        <v>752</v>
      </c>
      <c r="E247" s="3" t="str">
        <f>HYPERLINK("https://www.amazon.com/Custom-LeatherCraft-1528-Electrical-Maintenance/dp/B0000DYVHS/ref=sr_1_1?keywords=CLC+1528+11%22+Electrical+%26+Maintenance+Tool+Carrier&amp;qid=1695173195&amp;sr=8-1", "https://www.amazon.com/Custom-LeatherCraft-1528-Electrical-Maintenance/dp/B0000DYVHS/ref=sr_1_1?keywords=CLC+1528+11%22+Electrical+%26+Maintenance+Tool+Carrier&amp;qid=1695173195&amp;sr=8-1")</f>
        <v>https://www.amazon.com/Custom-LeatherCraft-1528-Electrical-Maintenance/dp/B0000DYVHS/ref=sr_1_1?keywords=CLC+1528+11%22+Electrical+%26+Maintenance+Tool+Carrier&amp;qid=1695173195&amp;sr=8-1</v>
      </c>
      <c r="F247" t="s">
        <v>753</v>
      </c>
      <c r="G247" t="e">
        <f ca="1">_xludf.IMAGE("https://edmondsonsupply.com/cdn/shop/products/clc-1528__1_321x_3x.progressive_bf390c4e-ab2d-4119-a706-a1ca10a9b643.jpg?v=1609778372")</f>
        <v>#NAME?</v>
      </c>
      <c r="H247" t="e">
        <f ca="1">_xludf.IMAGE("https://m.media-amazon.com/images/I/814upkO6TBL._AC_UL320_.jpg")</f>
        <v>#NAME?</v>
      </c>
      <c r="I247" t="s">
        <v>392</v>
      </c>
      <c r="J247">
        <v>51.8</v>
      </c>
      <c r="K247" s="4">
        <v>-0.25950000000000001</v>
      </c>
      <c r="L247">
        <v>4.7</v>
      </c>
      <c r="M247">
        <v>1541</v>
      </c>
      <c r="O247" t="s">
        <v>25</v>
      </c>
      <c r="P247" t="s">
        <v>393</v>
      </c>
      <c r="Q247" t="s">
        <v>394</v>
      </c>
    </row>
    <row r="248" spans="1:17" ht="15.5" x14ac:dyDescent="0.35">
      <c r="A248" s="3" t="str">
        <f>HYPERLINK("https://edmondsonsupply.com/collections/storage-organization/products/wild-river-wt3503-tackle-tek%E2%84%A2-recon-lighted-compact-backpack", "https://edmondsonsupply.com/collections/storage-organization/products/wild-river-wt3503-tackle-tek%E2%84%A2-recon-lighted-compact-backpack")</f>
        <v>https://edmondsonsupply.com/collections/storage-organization/products/wild-river-wt3503-tackle-tek%E2%84%A2-recon-lighted-compact-backpack</v>
      </c>
      <c r="B248" s="3" t="str">
        <f>HYPERLINK("https://edmondsonsupply.com/products/wild-river-wt3503-tackle-tek%e2%84%a2-recon-lighted-compact-backpack", "https://edmondsonsupply.com/products/wild-river-wt3503-tackle-tek%e2%84%a2-recon-lighted-compact-backpack")</f>
        <v>https://edmondsonsupply.com/products/wild-river-wt3503-tackle-tek%e2%84%a2-recon-lighted-compact-backpack</v>
      </c>
      <c r="C248" t="s">
        <v>712</v>
      </c>
      <c r="D248" t="s">
        <v>754</v>
      </c>
      <c r="E248" s="3" t="str">
        <f>HYPERLINK("https://www.amazon.com/WT3503-Lighted-Compact-Backpack-Water-resistant/dp/B00A0PA4R4/ref=sr_1_1?keywords=CLC+Wild+River+WT3503+Tackle+Tek%E2%84%A2+Recon+%E2%80%93+Lighted+Compact+Backpack&amp;qid=1695173174&amp;sr=8-1", "https://www.amazon.com/WT3503-Lighted-Compact-Backpack-Water-resistant/dp/B00A0PA4R4/ref=sr_1_1?keywords=CLC+Wild+River+WT3503+Tackle+Tek%E2%84%A2+Recon+%E2%80%93+Lighted+Compact+Backpack&amp;qid=1695173174&amp;sr=8-1")</f>
        <v>https://www.amazon.com/WT3503-Lighted-Compact-Backpack-Water-resistant/dp/B00A0PA4R4/ref=sr_1_1?keywords=CLC+Wild+River+WT3503+Tackle+Tek%E2%84%A2+Recon+%E2%80%93+Lighted+Compact+Backpack&amp;qid=1695173174&amp;sr=8-1</v>
      </c>
      <c r="F248" t="s">
        <v>755</v>
      </c>
      <c r="G248" t="e">
        <f ca="1">_xludf.IMAGE("https://edmondsonsupply.com/cdn/shop/products/WT3503.png?v=1633031080")</f>
        <v>#NAME?</v>
      </c>
      <c r="H248" t="e">
        <f ca="1">_xludf.IMAGE("https://m.media-amazon.com/images/I/71Y7vz6sXRL._AC_UL320_.jpg")</f>
        <v>#NAME?</v>
      </c>
      <c r="I248" t="s">
        <v>692</v>
      </c>
      <c r="J248">
        <v>109.95</v>
      </c>
      <c r="K248" s="4">
        <v>-0.2621</v>
      </c>
      <c r="L248">
        <v>4.5</v>
      </c>
      <c r="M248">
        <v>449</v>
      </c>
      <c r="O248" t="s">
        <v>25</v>
      </c>
      <c r="P248" t="s">
        <v>715</v>
      </c>
      <c r="Q248" t="s">
        <v>716</v>
      </c>
    </row>
    <row r="249" spans="1:17" ht="15.5" x14ac:dyDescent="0.35">
      <c r="A249" s="3" t="str">
        <f>HYPERLINK("https://edmondsonsupply.com/collections/storage-organization/products/veto-pro-pac-tech-pac-backpack-tool-bag", "https://edmondsonsupply.com/collections/storage-organization/products/veto-pro-pac-tech-pac-backpack-tool-bag")</f>
        <v>https://edmondsonsupply.com/collections/storage-organization/products/veto-pro-pac-tech-pac-backpack-tool-bag</v>
      </c>
      <c r="B249" s="3" t="str">
        <f>HYPERLINK("https://edmondsonsupply.com/products/veto-pro-pac-tech-pac-backpack-tool-bag", "https://edmondsonsupply.com/products/veto-pro-pac-tech-pac-backpack-tool-bag")</f>
        <v>https://edmondsonsupply.com/products/veto-pro-pac-tech-pac-backpack-tool-bag</v>
      </c>
      <c r="C249" t="s">
        <v>658</v>
      </c>
      <c r="D249" t="s">
        <v>529</v>
      </c>
      <c r="E249" s="3" t="str">
        <f>HYPERLINK("https://www.amazon.com/Veto-Pro-Tech-TT-Tool-Tote/dp/B0BKTVB3NT/ref=sr_1_7?keywords=Veto+Pro+Pac+TECH+PAC+Backpack+Tool+Bag&amp;qid=1695173170&amp;sr=8-7", "https://www.amazon.com/Veto-Pro-Tech-TT-Tool-Tote/dp/B0BKTVB3NT/ref=sr_1_7?keywords=Veto+Pro+Pac+TECH+PAC+Backpack+Tool+Bag&amp;qid=1695173170&amp;sr=8-7")</f>
        <v>https://www.amazon.com/Veto-Pro-Tech-TT-Tool-Tote/dp/B0BKTVB3NT/ref=sr_1_7?keywords=Veto+Pro+Pac+TECH+PAC+Backpack+Tool+Bag&amp;qid=1695173170&amp;sr=8-7</v>
      </c>
      <c r="F249" t="s">
        <v>530</v>
      </c>
      <c r="G249" t="e">
        <f ca="1">_xludf.IMAGE("https://edmondsonsupply.com/cdn/shop/products/Veto_Tech_Pac.jpg?v=1587149981")</f>
        <v>#NAME?</v>
      </c>
      <c r="H249" t="e">
        <f ca="1">_xludf.IMAGE("https://m.media-amazon.com/images/I/51f43DVmcFL._AC_UL320_.jpg")</f>
        <v>#NAME?</v>
      </c>
      <c r="I249" t="s">
        <v>533</v>
      </c>
      <c r="J249">
        <v>219.95</v>
      </c>
      <c r="K249" s="4">
        <v>-0.26679999999999998</v>
      </c>
      <c r="L249">
        <v>5</v>
      </c>
      <c r="M249">
        <v>7</v>
      </c>
      <c r="O249" t="s">
        <v>25</v>
      </c>
      <c r="P249" t="s">
        <v>138</v>
      </c>
      <c r="Q249" t="s">
        <v>659</v>
      </c>
    </row>
    <row r="250" spans="1:17" ht="15.5" x14ac:dyDescent="0.35">
      <c r="A250" s="3" t="str">
        <f>HYPERLINK("https://edmondsonsupply.com/collections/storage-organization/products/veto-pro-pac-tech-pac-wheeler-backpack-tool-bag", "https://edmondsonsupply.com/collections/storage-organization/products/veto-pro-pac-tech-pac-wheeler-backpack-tool-bag")</f>
        <v>https://edmondsonsupply.com/collections/storage-organization/products/veto-pro-pac-tech-pac-wheeler-backpack-tool-bag</v>
      </c>
      <c r="B250" s="3" t="str">
        <f>HYPERLINK("https://edmondsonsupply.com/products/veto-pro-pac-tech-pac-wheeler-backpack-tool-bag", "https://edmondsonsupply.com/products/veto-pro-pac-tech-pac-wheeler-backpack-tool-bag")</f>
        <v>https://edmondsonsupply.com/products/veto-pro-pac-tech-pac-wheeler-backpack-tool-bag</v>
      </c>
      <c r="C250" t="s">
        <v>756</v>
      </c>
      <c r="D250" t="s">
        <v>512</v>
      </c>
      <c r="E250" s="3" t="str">
        <f>HYPERLINK("https://www.amazon.com/VETO-PRO-PAC-Tech-Pac/dp/B00WZLTCHO/ref=sr_1_3?keywords=Veto+Pro+Pac+TECH+PAC+WHEELER+Backpack+Tool+Bag&amp;qid=1695173156&amp;sr=8-3", "https://www.amazon.com/VETO-PRO-PAC-Tech-Pac/dp/B00WZLTCHO/ref=sr_1_3?keywords=Veto+Pro+Pac+TECH+PAC+WHEELER+Backpack+Tool+Bag&amp;qid=1695173156&amp;sr=8-3")</f>
        <v>https://www.amazon.com/VETO-PRO-PAC-Tech-Pac/dp/B00WZLTCHO/ref=sr_1_3?keywords=Veto+Pro+Pac+TECH+PAC+WHEELER+Backpack+Tool+Bag&amp;qid=1695173156&amp;sr=8-3</v>
      </c>
      <c r="F250" t="s">
        <v>513</v>
      </c>
      <c r="G250" t="e">
        <f ca="1">_xludf.IMAGE("https://edmondsonsupply.com/cdn/shop/products/01_TECH-PAC-WHEELER.jpg?v=1633031176")</f>
        <v>#NAME?</v>
      </c>
      <c r="H250" t="e">
        <f ca="1">_xludf.IMAGE("https://m.media-amazon.com/images/I/61uz-pihn8L._AC_UL320_.jpg")</f>
        <v>#NAME?</v>
      </c>
      <c r="I250" t="s">
        <v>42</v>
      </c>
      <c r="J250">
        <v>289.95</v>
      </c>
      <c r="K250" s="4">
        <v>-0.27510000000000001</v>
      </c>
      <c r="L250">
        <v>4.7</v>
      </c>
      <c r="M250">
        <v>285</v>
      </c>
      <c r="O250" t="s">
        <v>25</v>
      </c>
      <c r="P250" t="s">
        <v>138</v>
      </c>
      <c r="Q250" t="s">
        <v>757</v>
      </c>
    </row>
    <row r="251" spans="1:17" ht="15.5" x14ac:dyDescent="0.35">
      <c r="A251" s="3" t="str">
        <f>HYPERLINK("https://edmondsonsupply.com/collections/storage-organization/products/veto-pro-pac-wrencher-mc", "https://edmondsonsupply.com/collections/storage-organization/products/veto-pro-pac-wrencher-mc")</f>
        <v>https://edmondsonsupply.com/collections/storage-organization/products/veto-pro-pac-wrencher-mc</v>
      </c>
      <c r="B251" s="3" t="str">
        <f>HYPERLINK("https://edmondsonsupply.com/products/veto-pro-pac-wrencher-mc", "https://edmondsonsupply.com/products/veto-pro-pac-wrencher-mc")</f>
        <v>https://edmondsonsupply.com/products/veto-pro-pac-wrencher-mc</v>
      </c>
      <c r="C251" t="s">
        <v>397</v>
      </c>
      <c r="D251" t="s">
        <v>722</v>
      </c>
      <c r="E251" s="3" t="str">
        <f>HYPERLINK("https://www.amazon.com/Veto-Pro-MC-Handling-Tools/dp/B00NLXNW3A/ref=sr_1_8?keywords=Veto+Pro+Pac+Wrencher+MC&amp;qid=1695173176&amp;sr=8-8", "https://www.amazon.com/Veto-Pro-MC-Handling-Tools/dp/B00NLXNW3A/ref=sr_1_8?keywords=Veto+Pro+Pac+Wrencher+MC&amp;qid=1695173176&amp;sr=8-8")</f>
        <v>https://www.amazon.com/Veto-Pro-MC-Handling-Tools/dp/B00NLXNW3A/ref=sr_1_8?keywords=Veto+Pro+Pac+Wrencher+MC&amp;qid=1695173176&amp;sr=8-8</v>
      </c>
      <c r="F251" t="s">
        <v>723</v>
      </c>
      <c r="G251" t="e">
        <f ca="1">_xludf.IMAGE("https://edmondsonsupply.com/cdn/shop/products/0001_WRENCHER-MC_32.jpg?v=1675795195")</f>
        <v>#NAME?</v>
      </c>
      <c r="H251" t="e">
        <f ca="1">_xludf.IMAGE("https://m.media-amazon.com/images/I/71emJbrVHBL._AC_UL320_.jpg")</f>
        <v>#NAME?</v>
      </c>
      <c r="I251" t="s">
        <v>400</v>
      </c>
      <c r="J251">
        <v>144.94999999999999</v>
      </c>
      <c r="K251" s="4">
        <v>-0.2752</v>
      </c>
      <c r="L251">
        <v>4.7</v>
      </c>
      <c r="M251">
        <v>839</v>
      </c>
      <c r="O251" t="s">
        <v>25</v>
      </c>
      <c r="P251" t="s">
        <v>138</v>
      </c>
      <c r="Q251" t="s">
        <v>401</v>
      </c>
    </row>
    <row r="252" spans="1:17" ht="15.5" x14ac:dyDescent="0.35">
      <c r="A252"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252" s="3" t="str">
        <f>HYPERLINK("https://edmondsonsupply.com/products/veto-pro-pac-tech-pac-mc-blackout", "https://edmondsonsupply.com/products/veto-pro-pac-tech-pac-mc-blackout")</f>
        <v>https://edmondsonsupply.com/products/veto-pro-pac-tech-pac-mc-blackout</v>
      </c>
      <c r="C252" t="s">
        <v>496</v>
      </c>
      <c r="D252" t="s">
        <v>298</v>
      </c>
      <c r="E252" s="3" t="str">
        <f>HYPERLINK("https://www.amazon.com/Veto-Pro-Pac-TP-XD-BLACKOUT/dp/B0B2YBQXNP/ref=sr_1_8?keywords=Veto+Pro+Pac+TECH+PAC+MC+Blackout&amp;qid=1695173175&amp;sr=8-8", "https://www.amazon.com/Veto-Pro-Pac-TP-XD-BLACKOUT/dp/B0B2YBQXNP/ref=sr_1_8?keywords=Veto+Pro+Pac+TECH+PAC+MC+Blackout&amp;qid=1695173175&amp;sr=8-8")</f>
        <v>https://www.amazon.com/Veto-Pro-Pac-TP-XD-BLACKOUT/dp/B0B2YBQXNP/ref=sr_1_8?keywords=Veto+Pro+Pac+TECH+PAC+MC+Blackout&amp;qid=1695173175&amp;sr=8-8</v>
      </c>
      <c r="F252" t="s">
        <v>299</v>
      </c>
      <c r="G252" t="e">
        <f ca="1">_xludf.IMAGE("https://edmondsonsupply.com/cdn/shop/products/tech1.png?v=1633031062")</f>
        <v>#NAME?</v>
      </c>
      <c r="H252" t="e">
        <f ca="1">_xludf.IMAGE("https://m.media-amazon.com/images/I/51vvq1zbgwL._AC_UL320_.jpg")</f>
        <v>#NAME?</v>
      </c>
      <c r="I252" t="s">
        <v>499</v>
      </c>
      <c r="J252">
        <v>209.95</v>
      </c>
      <c r="K252" s="4">
        <v>-0.2883</v>
      </c>
      <c r="L252">
        <v>4.5</v>
      </c>
      <c r="M252">
        <v>24</v>
      </c>
      <c r="O252" t="s">
        <v>25</v>
      </c>
      <c r="P252" t="s">
        <v>138</v>
      </c>
      <c r="Q252" t="s">
        <v>500</v>
      </c>
    </row>
    <row r="253" spans="1:17" ht="15.5" x14ac:dyDescent="0.35">
      <c r="A253" s="3" t="str">
        <f>HYPERLINK("https://edmondsonsupply.com/collections/storage-organization/products/veto-pro-pac-tp-xxl-blackout-tool-pouch", "https://edmondsonsupply.com/collections/storage-organization/products/veto-pro-pac-tp-xxl-blackout-tool-pouch")</f>
        <v>https://edmondsonsupply.com/collections/storage-organization/products/veto-pro-pac-tp-xxl-blackout-tool-pouch</v>
      </c>
      <c r="B253" s="3" t="str">
        <f>HYPERLINK("https://edmondsonsupply.com/products/veto-pro-pac-tp-xxl-blackout-tool-pouch", "https://edmondsonsupply.com/products/veto-pro-pac-tp-xxl-blackout-tool-pouch")</f>
        <v>https://edmondsonsupply.com/products/veto-pro-pac-tp-xxl-blackout-tool-pouch</v>
      </c>
      <c r="C253" t="s">
        <v>758</v>
      </c>
      <c r="D253" t="s">
        <v>318</v>
      </c>
      <c r="E253" s="3" t="str">
        <f>HYPERLINK("https://www.amazon.com/Veto-TP-XL-Extra-Large-Pouch/dp/B07WDL7SD3/ref=sr_1_6?keywords=Veto+Pro+Pac+TP-XXL+Blackout+Tool+Pouch&amp;qid=1695173159&amp;sr=8-6", "https://www.amazon.com/Veto-TP-XL-Extra-Large-Pouch/dp/B07WDL7SD3/ref=sr_1_6?keywords=Veto+Pro+Pac+TP-XXL+Blackout+Tool+Pouch&amp;qid=1695173159&amp;sr=8-6")</f>
        <v>https://www.amazon.com/Veto-TP-XL-Extra-Large-Pouch/dp/B07WDL7SD3/ref=sr_1_6?keywords=Veto+Pro+Pac+TP-XXL+Blackout+Tool+Pouch&amp;qid=1695173159&amp;sr=8-6</v>
      </c>
      <c r="F253" t="s">
        <v>319</v>
      </c>
      <c r="G253" t="e">
        <f ca="1">_xludf.IMAGE("https://edmondsonsupply.com/cdn/shop/files/TP-xxl_blackout_600x830_0000_TP-XXL_BLACKOUT_0379.jpg?v=1685736106")</f>
        <v>#NAME?</v>
      </c>
      <c r="H253" t="e">
        <f ca="1">_xludf.IMAGE("https://m.media-amazon.com/images/I/91dIbPcb4XL._AC_UL320_.jpg")</f>
        <v>#NAME?</v>
      </c>
      <c r="I253" t="s">
        <v>759</v>
      </c>
      <c r="J253">
        <v>169.95</v>
      </c>
      <c r="K253" s="4">
        <v>-0.2918</v>
      </c>
      <c r="L253">
        <v>4.9000000000000004</v>
      </c>
      <c r="M253">
        <v>1132</v>
      </c>
      <c r="O253" t="s">
        <v>171</v>
      </c>
      <c r="P253" t="s">
        <v>138</v>
      </c>
      <c r="Q253" t="s">
        <v>760</v>
      </c>
    </row>
    <row r="254" spans="1:17" ht="15.5" x14ac:dyDescent="0.35">
      <c r="A254" s="3" t="str">
        <f>HYPERLINK("https://edmondsonsupply.com/collections/storage-organization/products/wild-river-wt3503-tackle-tek%E2%84%A2-recon-lighted-compact-backpack", "https://edmondsonsupply.com/collections/storage-organization/products/wild-river-wt3503-tackle-tek%E2%84%A2-recon-lighted-compact-backpack")</f>
        <v>https://edmondsonsupply.com/collections/storage-organization/products/wild-river-wt3503-tackle-tek%E2%84%A2-recon-lighted-compact-backpack</v>
      </c>
      <c r="B254" s="3" t="str">
        <f>HYPERLINK("https://edmondsonsupply.com/products/wild-river-wt3503-tackle-tek%e2%84%a2-recon-lighted-compact-backpack", "https://edmondsonsupply.com/products/wild-river-wt3503-tackle-tek%e2%84%a2-recon-lighted-compact-backpack")</f>
        <v>https://edmondsonsupply.com/products/wild-river-wt3503-tackle-tek%e2%84%a2-recon-lighted-compact-backpack</v>
      </c>
      <c r="C254" t="s">
        <v>712</v>
      </c>
      <c r="D254" t="s">
        <v>761</v>
      </c>
      <c r="E254" s="3" t="str">
        <f>HYPERLINK("https://www.amazon.com/Custom-Leathercraft-WN3503-Backpack-Included/dp/B00A738C4Q/ref=sr_1_2?keywords=CLC+Wild+River+WT3503+Tackle+Tek%E2%84%A2+Recon+%E2%80%93+Lighted+Compact+Backpack&amp;qid=1695173174&amp;sr=8-2", "https://www.amazon.com/Custom-Leathercraft-WN3503-Backpack-Included/dp/B00A738C4Q/ref=sr_1_2?keywords=CLC+Wild+River+WT3503+Tackle+Tek%E2%84%A2+Recon+%E2%80%93+Lighted+Compact+Backpack&amp;qid=1695173174&amp;sr=8-2")</f>
        <v>https://www.amazon.com/Custom-Leathercraft-WN3503-Backpack-Included/dp/B00A738C4Q/ref=sr_1_2?keywords=CLC+Wild+River+WT3503+Tackle+Tek%E2%84%A2+Recon+%E2%80%93+Lighted+Compact+Backpack&amp;qid=1695173174&amp;sr=8-2</v>
      </c>
      <c r="F254" t="s">
        <v>762</v>
      </c>
      <c r="G254" t="e">
        <f ca="1">_xludf.IMAGE("https://edmondsonsupply.com/cdn/shop/products/WT3503.png?v=1633031080")</f>
        <v>#NAME?</v>
      </c>
      <c r="H254" t="e">
        <f ca="1">_xludf.IMAGE("https://m.media-amazon.com/images/I/71YFnZgCU2L._AC_UL320_.jpg")</f>
        <v>#NAME?</v>
      </c>
      <c r="I254" t="s">
        <v>692</v>
      </c>
      <c r="J254">
        <v>105.41</v>
      </c>
      <c r="K254" s="4">
        <v>-0.29260000000000003</v>
      </c>
      <c r="L254">
        <v>4.0999999999999996</v>
      </c>
      <c r="M254">
        <v>32</v>
      </c>
      <c r="O254" t="s">
        <v>25</v>
      </c>
      <c r="P254" t="s">
        <v>715</v>
      </c>
      <c r="Q254" t="s">
        <v>716</v>
      </c>
    </row>
    <row r="255" spans="1:17" ht="15.5" x14ac:dyDescent="0.35">
      <c r="A255" s="3" t="str">
        <f>HYPERLINK("https://edmondsonsupply.com/collections/storage-organization/products/dewalt-dgcl33-33", "https://edmondsonsupply.com/collections/storage-organization/products/dewalt-dgcl33-33")</f>
        <v>https://edmondsonsupply.com/collections/storage-organization/products/dewalt-dgcl33-33</v>
      </c>
      <c r="B255" s="3" t="str">
        <f>HYPERLINK("https://edmondsonsupply.com/products/dewalt-dgcl33-33", "https://edmondsonsupply.com/products/dewalt-dgcl33-33")</f>
        <v>https://edmondsonsupply.com/products/dewalt-dgcl33-33</v>
      </c>
      <c r="C255" t="s">
        <v>709</v>
      </c>
      <c r="D255" t="s">
        <v>763</v>
      </c>
      <c r="E255" s="3" t="str">
        <f>HYPERLINK("https://www.amazon.com/DEWALT-DGCL33-33-Pocket-Charging-Backpack/dp/B01JIPPI2M/ref=sr_1_1?keywords=CLC+DeWALT+DGCL33+33-Pocket+Lighted+USB+Charging+Tool+Backpack&amp;qid=1695173185&amp;sr=8-1", "https://www.amazon.com/DEWALT-DGCL33-33-Pocket-Charging-Backpack/dp/B01JIPPI2M/ref=sr_1_1?keywords=CLC+DeWALT+DGCL33+33-Pocket+Lighted+USB+Charging+Tool+Backpack&amp;qid=1695173185&amp;sr=8-1")</f>
        <v>https://www.amazon.com/DEWALT-DGCL33-33-Pocket-Charging-Backpack/dp/B01JIPPI2M/ref=sr_1_1?keywords=CLC+DeWALT+DGCL33+33-Pocket+Lighted+USB+Charging+Tool+Backpack&amp;qid=1695173185&amp;sr=8-1</v>
      </c>
      <c r="F255" t="s">
        <v>764</v>
      </c>
      <c r="G255" t="e">
        <f ca="1">_xludf.IMAGE("https://edmondsonsupply.com/cdn/shop/products/DGCL33-1.png?v=1609787600")</f>
        <v>#NAME?</v>
      </c>
      <c r="H255" t="e">
        <f ca="1">_xludf.IMAGE("https://m.media-amazon.com/images/I/81zdgKcBZoL._AC_UL320_.jpg")</f>
        <v>#NAME?</v>
      </c>
      <c r="I255" t="s">
        <v>707</v>
      </c>
      <c r="J255">
        <v>132.77000000000001</v>
      </c>
      <c r="K255" s="4">
        <v>-0.29749999999999999</v>
      </c>
      <c r="L255">
        <v>4.7</v>
      </c>
      <c r="M255">
        <v>1776</v>
      </c>
      <c r="O255" t="s">
        <v>25</v>
      </c>
      <c r="P255" t="s">
        <v>710</v>
      </c>
      <c r="Q255" t="s">
        <v>711</v>
      </c>
    </row>
    <row r="256" spans="1:17" ht="15.5" x14ac:dyDescent="0.35">
      <c r="A256" s="3" t="str">
        <f>HYPERLINK("https://edmondsonsupply.com/collections/storage-organization/products/klein-tools-5104octo-canvas-bucket-leather-bottom-connection-points-12-inch", "https://edmondsonsupply.com/collections/storage-organization/products/klein-tools-5104octo-canvas-bucket-leather-bottom-connection-points-12-inch")</f>
        <v>https://edmondsonsupply.com/collections/storage-organization/products/klein-tools-5104octo-canvas-bucket-leather-bottom-connection-points-12-inch</v>
      </c>
      <c r="B256" s="3" t="str">
        <f>HYPERLINK("https://edmondsonsupply.com/products/klein-tools-5104octo-canvas-bucket-leather-bottom-connection-points-12-inch", "https://edmondsonsupply.com/products/klein-tools-5104octo-canvas-bucket-leather-bottom-connection-points-12-inch")</f>
        <v>https://edmondsonsupply.com/products/klein-tools-5104octo-canvas-bucket-leather-bottom-connection-points-12-inch</v>
      </c>
      <c r="C256" t="s">
        <v>765</v>
      </c>
      <c r="D256" t="s">
        <v>766</v>
      </c>
      <c r="E256" s="3" t="str">
        <f>HYPERLINK("https://www.amazon.com/Canvas-Leather-Klein-Tools-5104/dp/B0042T2R9M/ref=sr_1_2?keywords=Klein+Tools+5104OCTO+Canvas+Bucket%2C+Leather+Bottom%2C+Connection+Points%2C+12-Inch&amp;qid=1695173176&amp;sr=8-2", "https://www.amazon.com/Canvas-Leather-Klein-Tools-5104/dp/B0042T2R9M/ref=sr_1_2?keywords=Klein+Tools+5104OCTO+Canvas+Bucket%2C+Leather+Bottom%2C+Connection+Points%2C+12-Inch&amp;qid=1695173176&amp;sr=8-2")</f>
        <v>https://www.amazon.com/Canvas-Leather-Klein-Tools-5104/dp/B0042T2R9M/ref=sr_1_2?keywords=Klein+Tools+5104OCTO+Canvas+Bucket%2C+Leather+Bottom%2C+Connection+Points%2C+12-Inch&amp;qid=1695173176&amp;sr=8-2</v>
      </c>
      <c r="F256" t="s">
        <v>767</v>
      </c>
      <c r="G256" t="e">
        <f ca="1">_xludf.IMAGE("https://edmondsonsupply.com/cdn/shop/products/5104octo.jpg?v=1633030820")</f>
        <v>#NAME?</v>
      </c>
      <c r="H256" t="e">
        <f ca="1">_xludf.IMAGE("https://m.media-amazon.com/images/I/41TNuI4Ag2S._AC_UL320_.jpg")</f>
        <v>#NAME?</v>
      </c>
      <c r="I256" t="s">
        <v>768</v>
      </c>
      <c r="J256">
        <v>70.66</v>
      </c>
      <c r="K256" s="4">
        <v>-0.30070000000000002</v>
      </c>
      <c r="L256">
        <v>4.8</v>
      </c>
      <c r="M256">
        <v>427</v>
      </c>
      <c r="O256" t="s">
        <v>25</v>
      </c>
      <c r="P256" t="s">
        <v>769</v>
      </c>
      <c r="Q256" t="s">
        <v>770</v>
      </c>
    </row>
    <row r="257" spans="1:17" ht="15.5" x14ac:dyDescent="0.35">
      <c r="A257" s="3" t="str">
        <f>HYPERLINK("https://edmondsonsupply.com/collections/storage-organization/products/veto-pro-pac-tech-pac-backpack-tool-bag-3", "https://edmondsonsupply.com/collections/storage-organization/products/veto-pro-pac-tech-pac-backpack-tool-bag-3")</f>
        <v>https://edmondsonsupply.com/collections/storage-organization/products/veto-pro-pac-tech-pac-backpack-tool-bag-3</v>
      </c>
      <c r="B257" s="3" t="str">
        <f>HYPERLINK("https://edmondsonsupply.com/products/veto-pro-pac-tech-pac-backpack-tool-bag-3", "https://edmondsonsupply.com/products/veto-pro-pac-tech-pac-backpack-tool-bag-3")</f>
        <v>https://edmondsonsupply.com/products/veto-pro-pac-tech-pac-backpack-tool-bag-3</v>
      </c>
      <c r="C257" t="s">
        <v>511</v>
      </c>
      <c r="D257" t="s">
        <v>501</v>
      </c>
      <c r="E257" s="3" t="str">
        <f>HYPERLINK("https://www.amazon.com/VETO-PRO-PAC-TECH-MCT-Tool/dp/B01CENNFYS/ref=sr_1_2?keywords=Veto+Pro+Pac+TECH+PAC+MC+Backpack+Tool+Bag&amp;qid=1695173160&amp;sr=8-2", "https://www.amazon.com/VETO-PRO-PAC-TECH-MCT-Tool/dp/B01CENNFYS/ref=sr_1_2?keywords=Veto+Pro+Pac+TECH+PAC+MC+Backpack+Tool+Bag&amp;qid=1695173160&amp;sr=8-2")</f>
        <v>https://www.amazon.com/VETO-PRO-PAC-TECH-MCT-Tool/dp/B01CENNFYS/ref=sr_1_2?keywords=Veto+Pro+Pac+TECH+PAC+MC+Backpack+Tool+Bag&amp;qid=1695173160&amp;sr=8-2</v>
      </c>
      <c r="F257" t="s">
        <v>502</v>
      </c>
      <c r="G257" t="e">
        <f ca="1">_xludf.IMAGE("https://edmondsonsupply.com/cdn/shop/products/MC2.jpg?v=1642553730")</f>
        <v>#NAME?</v>
      </c>
      <c r="H257" t="e">
        <f ca="1">_xludf.IMAGE("https://m.media-amazon.com/images/I/61GanfvVX6L._AC_UL320_.jpg")</f>
        <v>#NAME?</v>
      </c>
      <c r="I257" t="s">
        <v>514</v>
      </c>
      <c r="J257">
        <v>189.95</v>
      </c>
      <c r="K257" s="4">
        <v>-0.30919999999999997</v>
      </c>
      <c r="L257">
        <v>4.8</v>
      </c>
      <c r="M257">
        <v>2083</v>
      </c>
      <c r="O257" t="s">
        <v>25</v>
      </c>
      <c r="P257" t="s">
        <v>138</v>
      </c>
      <c r="Q257" t="s">
        <v>515</v>
      </c>
    </row>
    <row r="258" spans="1:17" ht="15.5" x14ac:dyDescent="0.35">
      <c r="A258" s="3" t="str">
        <f>HYPERLINK("https://edmondsonsupply.com/collections/storage-organization/products/veto-pro-pac-wrencher-lc", "https://edmondsonsupply.com/collections/storage-organization/products/veto-pro-pac-wrencher-lc")</f>
        <v>https://edmondsonsupply.com/collections/storage-organization/products/veto-pro-pac-wrencher-lc</v>
      </c>
      <c r="B258" s="3" t="str">
        <f>HYPERLINK("https://edmondsonsupply.com/products/veto-pro-pac-wrencher-lc", "https://edmondsonsupply.com/products/veto-pro-pac-wrencher-lc")</f>
        <v>https://edmondsonsupply.com/products/veto-pro-pac-wrencher-lc</v>
      </c>
      <c r="C258" t="s">
        <v>608</v>
      </c>
      <c r="D258" t="s">
        <v>771</v>
      </c>
      <c r="E258" s="3" t="str">
        <f>HYPERLINK("https://www.amazon.com/VETO-PRO-PAC-OT-LC-Tool/dp/B000VKSAQA/ref=sr_1_6?keywords=Veto+Pro+Pac+Wrencher+LC&amp;qid=1695173164&amp;sr=8-6", "https://www.amazon.com/VETO-PRO-PAC-OT-LC-Tool/dp/B000VKSAQA/ref=sr_1_6?keywords=Veto+Pro+Pac+Wrencher+LC&amp;qid=1695173164&amp;sr=8-6")</f>
        <v>https://www.amazon.com/VETO-PRO-PAC-OT-LC-Tool/dp/B000VKSAQA/ref=sr_1_6?keywords=Veto+Pro+Pac+Wrencher+LC&amp;qid=1695173164&amp;sr=8-6</v>
      </c>
      <c r="F258" t="s">
        <v>772</v>
      </c>
      <c r="G258" t="e">
        <f ca="1">_xludf.IMAGE("https://edmondsonsupply.com/cdn/shop/products/0004_WRENCHER-LC_16-1.jpg?v=1675796113")</f>
        <v>#NAME?</v>
      </c>
      <c r="H258" t="e">
        <f ca="1">_xludf.IMAGE("https://m.media-amazon.com/images/I/61sY9UF2i5L._AC_UL320_.jpg")</f>
        <v>#NAME?</v>
      </c>
      <c r="I258" t="s">
        <v>609</v>
      </c>
      <c r="J258">
        <v>229.95</v>
      </c>
      <c r="K258" s="4">
        <v>-0.32369999999999999</v>
      </c>
      <c r="L258">
        <v>4.7</v>
      </c>
      <c r="M258">
        <v>162</v>
      </c>
      <c r="O258" t="s">
        <v>25</v>
      </c>
      <c r="P258" t="s">
        <v>138</v>
      </c>
      <c r="Q258" t="s">
        <v>610</v>
      </c>
    </row>
    <row r="259" spans="1:17" ht="15.5" x14ac:dyDescent="0.35">
      <c r="A259" s="3" t="str">
        <f>HYPERLINK("https://edmondsonsupply.com/collections/storage-organization/products/veto-pro-pac-ot-xl-extra-large-open-top-tool-bag", "https://edmondsonsupply.com/collections/storage-organization/products/veto-pro-pac-ot-xl-extra-large-open-top-tool-bag")</f>
        <v>https://edmondsonsupply.com/collections/storage-organization/products/veto-pro-pac-ot-xl-extra-large-open-top-tool-bag</v>
      </c>
      <c r="B259" s="3" t="str">
        <f>HYPERLINK("https://edmondsonsupply.com/products/veto-pro-pac-ot-xl-extra-large-open-top-tool-bag", "https://edmondsonsupply.com/products/veto-pro-pac-ot-xl-extra-large-open-top-tool-bag")</f>
        <v>https://edmondsonsupply.com/products/veto-pro-pac-ot-xl-extra-large-open-top-tool-bag</v>
      </c>
      <c r="C259" t="s">
        <v>456</v>
      </c>
      <c r="D259" t="s">
        <v>509</v>
      </c>
      <c r="E259" s="3" t="str">
        <f>HYPERLINK("https://www.amazon.com/Veto-TECH-OT-SC-Sub-Compact-Electrician/dp/B09ZC63KFK/ref=sr_1_2?keywords=Veto+Pro+Pac+OT-XL+Extra+Large+Open+Top+Tool+Bag&amp;qid=1695173164&amp;sr=8-2", "https://www.amazon.com/Veto-TECH-OT-SC-Sub-Compact-Electrician/dp/B09ZC63KFK/ref=sr_1_2?keywords=Veto+Pro+Pac+OT-XL+Extra+Large+Open+Top+Tool+Bag&amp;qid=1695173164&amp;sr=8-2")</f>
        <v>https://www.amazon.com/Veto-TECH-OT-SC-Sub-Compact-Electrician/dp/B09ZC63KFK/ref=sr_1_2?keywords=Veto+Pro+Pac+OT-XL+Extra+Large+Open+Top+Tool+Bag&amp;qid=1695173164&amp;sr=8-2</v>
      </c>
      <c r="F259" t="s">
        <v>510</v>
      </c>
      <c r="G259" t="e">
        <f ca="1">_xludf.IMAGE("https://edmondsonsupply.com/cdn/shop/products/OTXL_600x830_0000_OT-XL_1.jpg?v=1649028209")</f>
        <v>#NAME?</v>
      </c>
      <c r="H259" t="e">
        <f ca="1">_xludf.IMAGE("https://m.media-amazon.com/images/I/51LTwfYG5eL._AC_UL320_.jpg")</f>
        <v>#NAME?</v>
      </c>
      <c r="I259" t="s">
        <v>457</v>
      </c>
      <c r="J259">
        <v>179.95</v>
      </c>
      <c r="K259" s="4">
        <v>-0.33339999999999997</v>
      </c>
      <c r="L259">
        <v>4.7</v>
      </c>
      <c r="M259">
        <v>21</v>
      </c>
      <c r="O259" t="s">
        <v>25</v>
      </c>
      <c r="P259" t="s">
        <v>138</v>
      </c>
      <c r="Q259" t="s">
        <v>458</v>
      </c>
    </row>
    <row r="260" spans="1:17" ht="15.5" x14ac:dyDescent="0.35">
      <c r="A260"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60" s="3" t="str">
        <f>HYPERLINK("https://edmondsonsupply.com/products/veto-pro-pac-tech-pac-blackout-backpack", "https://edmondsonsupply.com/products/veto-pro-pac-tech-pac-blackout-backpack")</f>
        <v>https://edmondsonsupply.com/products/veto-pro-pac-tech-pac-blackout-backpack</v>
      </c>
      <c r="C260" t="s">
        <v>611</v>
      </c>
      <c r="D260" t="s">
        <v>750</v>
      </c>
      <c r="E260" s="3" t="str">
        <f>HYPERLINK("https://www.amazon.com/VETO-PRO-PAC-TECH-MCT-Blackout/dp/B09K4LCMP1/ref=sr_1_6?keywords=Veto+Pro+Pac+TECH+PAC+Blackout+Backpack&amp;qid=1695173158&amp;sr=8-6", "https://www.amazon.com/VETO-PRO-PAC-TECH-MCT-Blackout/dp/B09K4LCMP1/ref=sr_1_6?keywords=Veto+Pro+Pac+TECH+PAC+Blackout+Backpack&amp;qid=1695173158&amp;sr=8-6")</f>
        <v>https://www.amazon.com/VETO-PRO-PAC-TECH-MCT-Blackout/dp/B09K4LCMP1/ref=sr_1_6?keywords=Veto+Pro+Pac+TECH+PAC+Blackout+Backpack&amp;qid=1695173158&amp;sr=8-6</v>
      </c>
      <c r="F260" t="s">
        <v>751</v>
      </c>
      <c r="G260" t="e">
        <f ca="1">_xludf.IMAGE("https://edmondsonsupply.com/cdn/shop/products/tech1.jpg?v=1633031041")</f>
        <v>#NAME?</v>
      </c>
      <c r="H260" t="e">
        <f ca="1">_xludf.IMAGE("https://m.media-amazon.com/images/I/61xjWCaiHoL._AC_UL320_.jpg")</f>
        <v>#NAME?</v>
      </c>
      <c r="I260" t="s">
        <v>612</v>
      </c>
      <c r="J260">
        <v>219.95</v>
      </c>
      <c r="K260" s="4">
        <v>-0.33350000000000002</v>
      </c>
      <c r="L260">
        <v>4.8</v>
      </c>
      <c r="M260">
        <v>2083</v>
      </c>
      <c r="O260" t="s">
        <v>25</v>
      </c>
      <c r="P260" t="s">
        <v>138</v>
      </c>
      <c r="Q260" t="s">
        <v>613</v>
      </c>
    </row>
    <row r="261" spans="1:17" ht="15.5" x14ac:dyDescent="0.35">
      <c r="A261" s="3" t="str">
        <f>HYPERLINK("https://edmondsonsupply.com/collections/storage-organization/products/clc-1524-medium-zip-top-utility-pouch", "https://edmondsonsupply.com/collections/storage-organization/products/clc-1524-medium-zip-top-utility-pouch")</f>
        <v>https://edmondsonsupply.com/collections/storage-organization/products/clc-1524-medium-zip-top-utility-pouch</v>
      </c>
      <c r="B261" s="3" t="str">
        <f>HYPERLINK("https://edmondsonsupply.com/products/clc-1524-medium-zip-top-utility-pouch", "https://edmondsonsupply.com/products/clc-1524-medium-zip-top-utility-pouch")</f>
        <v>https://edmondsonsupply.com/products/clc-1524-medium-zip-top-utility-pouch</v>
      </c>
      <c r="C261" t="s">
        <v>741</v>
      </c>
      <c r="D261" t="s">
        <v>486</v>
      </c>
      <c r="E261" s="3" t="str">
        <f>HYPERLINK("https://www.amazon.com/Custom-Leathercraft-1523-Ziptop-Utility/dp/B0047O3TYE/ref=sr_1_3?keywords=CLC+1524+Medium+Zip+Top+Utility+Pouch&amp;qid=1695173183&amp;sr=8-3", "https://www.amazon.com/Custom-Leathercraft-1523-Ziptop-Utility/dp/B0047O3TYE/ref=sr_1_3?keywords=CLC+1524+Medium+Zip+Top+Utility+Pouch&amp;qid=1695173183&amp;sr=8-3")</f>
        <v>https://www.amazon.com/Custom-Leathercraft-1523-Ziptop-Utility/dp/B0047O3TYE/ref=sr_1_3?keywords=CLC+1524+Medium+Zip+Top+Utility+Pouch&amp;qid=1695173183&amp;sr=8-3</v>
      </c>
      <c r="F261" t="s">
        <v>487</v>
      </c>
      <c r="G261" t="e">
        <f ca="1">_xludf.IMAGE("https://edmondsonsupply.com/cdn/shop/products/1524.jpg?v=1633030333")</f>
        <v>#NAME?</v>
      </c>
      <c r="H261" t="e">
        <f ca="1">_xludf.IMAGE("https://m.media-amazon.com/images/I/81gcgjndIzL._AC_UL320_.jpg")</f>
        <v>#NAME?</v>
      </c>
      <c r="I261" t="s">
        <v>744</v>
      </c>
      <c r="J261">
        <v>22.99</v>
      </c>
      <c r="K261" s="4">
        <v>-0.3422</v>
      </c>
      <c r="L261">
        <v>4.5</v>
      </c>
      <c r="M261">
        <v>1006</v>
      </c>
      <c r="O261" t="s">
        <v>171</v>
      </c>
      <c r="P261" t="s">
        <v>138</v>
      </c>
      <c r="Q261" t="s">
        <v>745</v>
      </c>
    </row>
    <row r="262" spans="1:17" ht="15.5" x14ac:dyDescent="0.35">
      <c r="A262" s="3" t="str">
        <f>HYPERLINK("https://edmondsonsupply.com/collections/storage-organization/products/veto-pro-pac-tech-pac-backpack-tool-bag-3", "https://edmondsonsupply.com/collections/storage-organization/products/veto-pro-pac-tech-pac-backpack-tool-bag-3")</f>
        <v>https://edmondsonsupply.com/collections/storage-organization/products/veto-pro-pac-tech-pac-backpack-tool-bag-3</v>
      </c>
      <c r="B262" s="3" t="str">
        <f>HYPERLINK("https://edmondsonsupply.com/products/veto-pro-pac-tech-pac-backpack-tool-bag-3", "https://edmondsonsupply.com/products/veto-pro-pac-tech-pac-backpack-tool-bag-3")</f>
        <v>https://edmondsonsupply.com/products/veto-pro-pac-tech-pac-backpack-tool-bag-3</v>
      </c>
      <c r="C262" t="s">
        <v>511</v>
      </c>
      <c r="D262" t="s">
        <v>509</v>
      </c>
      <c r="E262" s="3" t="str">
        <f>HYPERLINK("https://www.amazon.com/Veto-TECH-OT-SC-Sub-Compact-Electrician/dp/B09ZC63KFK/ref=sr_1_6?keywords=Veto+Pro+Pac+TECH+PAC+MC+Backpack+Tool+Bag&amp;qid=1695173160&amp;sr=8-6", "https://www.amazon.com/Veto-TECH-OT-SC-Sub-Compact-Electrician/dp/B09ZC63KFK/ref=sr_1_6?keywords=Veto+Pro+Pac+TECH+PAC+MC+Backpack+Tool+Bag&amp;qid=1695173160&amp;sr=8-6")</f>
        <v>https://www.amazon.com/Veto-TECH-OT-SC-Sub-Compact-Electrician/dp/B09ZC63KFK/ref=sr_1_6?keywords=Veto+Pro+Pac+TECH+PAC+MC+Backpack+Tool+Bag&amp;qid=1695173160&amp;sr=8-6</v>
      </c>
      <c r="F262" t="s">
        <v>510</v>
      </c>
      <c r="G262" t="e">
        <f ca="1">_xludf.IMAGE("https://edmondsonsupply.com/cdn/shop/products/MC2.jpg?v=1642553730")</f>
        <v>#NAME?</v>
      </c>
      <c r="H262" t="e">
        <f ca="1">_xludf.IMAGE("https://m.media-amazon.com/images/I/51LTwfYG5eL._AC_UL320_.jpg")</f>
        <v>#NAME?</v>
      </c>
      <c r="I262" t="s">
        <v>514</v>
      </c>
      <c r="J262">
        <v>179.95</v>
      </c>
      <c r="K262" s="4">
        <v>-0.34560000000000002</v>
      </c>
      <c r="L262">
        <v>4.7</v>
      </c>
      <c r="M262">
        <v>21</v>
      </c>
      <c r="O262" t="s">
        <v>25</v>
      </c>
      <c r="P262" t="s">
        <v>138</v>
      </c>
      <c r="Q262" t="s">
        <v>515</v>
      </c>
    </row>
    <row r="263" spans="1:17" ht="15.5" x14ac:dyDescent="0.35">
      <c r="A263" s="3" t="str">
        <f>HYPERLINK("https://edmondsonsupply.com/collections/storage-organization/products/copy-of-klein-tools-5539blu-canvas-zipper-bag-consumables-blue", "https://edmondsonsupply.com/collections/storage-organization/products/copy-of-klein-tools-5539blu-canvas-zipper-bag-consumables-blue")</f>
        <v>https://edmondsonsupply.com/collections/storage-organization/products/copy-of-klein-tools-5539blu-canvas-zipper-bag-consumables-blue</v>
      </c>
      <c r="B263" s="3" t="str">
        <f>HYPERLINK("https://edmondsonsupply.com/products/copy-of-klein-tools-5539blu-canvas-zipper-bag-consumables-blue", "https://edmondsonsupply.com/products/copy-of-klein-tools-5539blu-canvas-zipper-bag-consumables-blue")</f>
        <v>https://edmondsonsupply.com/products/copy-of-klein-tools-5539blu-canvas-zipper-bag-consumables-blue</v>
      </c>
      <c r="C263" t="s">
        <v>478</v>
      </c>
      <c r="D263" t="s">
        <v>773</v>
      </c>
      <c r="E263" s="3" t="str">
        <f>HYPERLINK("https://www.amazon.com/Consumables-Natural-Klein-Tools-5539NAT/dp/B002G6XV02/ref=sr_1_2?keywords=Klein+Tools+5539NAT+Zipper+Bag%2C+Canvas+Tool+Pouch%2C+10-Inch%2C+Natural&amp;qid=1695173186&amp;sr=8-2", "https://www.amazon.com/Consumables-Natural-Klein-Tools-5539NAT/dp/B002G6XV02/ref=sr_1_2?keywords=Klein+Tools+5539NAT+Zipper+Bag%2C+Canvas+Tool+Pouch%2C+10-Inch%2C+Natural&amp;qid=1695173186&amp;sr=8-2")</f>
        <v>https://www.amazon.com/Consumables-Natural-Klein-Tools-5539NAT/dp/B002G6XV02/ref=sr_1_2?keywords=Klein+Tools+5539NAT+Zipper+Bag%2C+Canvas+Tool+Pouch%2C+10-Inch%2C+Natural&amp;qid=1695173186&amp;sr=8-2</v>
      </c>
      <c r="F263" t="s">
        <v>774</v>
      </c>
      <c r="G263" t="e">
        <f ca="1">_xludf.IMAGE("https://edmondsonsupply.com/cdn/shop/products/5539nat.jpg?v=1633030464")</f>
        <v>#NAME?</v>
      </c>
      <c r="H263" t="e">
        <f ca="1">_xludf.IMAGE("https://m.media-amazon.com/images/I/71XRJ6HEOwL._AC_UL320_.jpg")</f>
        <v>#NAME?</v>
      </c>
      <c r="I263" t="s">
        <v>289</v>
      </c>
      <c r="J263">
        <v>13.85</v>
      </c>
      <c r="K263" s="4">
        <v>-0.34610000000000002</v>
      </c>
      <c r="L263">
        <v>4.7</v>
      </c>
      <c r="M263">
        <v>832</v>
      </c>
      <c r="O263" t="s">
        <v>171</v>
      </c>
      <c r="P263" t="s">
        <v>138</v>
      </c>
      <c r="Q263" t="s">
        <v>479</v>
      </c>
    </row>
    <row r="264" spans="1:17" ht="15.5" x14ac:dyDescent="0.35">
      <c r="A264" s="3" t="str">
        <f>HYPERLINK("https://edmondsonsupply.com/collections/storage-organization/products/fluke-c60-soft-carrying-case", "https://edmondsonsupply.com/collections/storage-organization/products/fluke-c60-soft-carrying-case")</f>
        <v>https://edmondsonsupply.com/collections/storage-organization/products/fluke-c60-soft-carrying-case</v>
      </c>
      <c r="B264" s="3" t="str">
        <f>HYPERLINK("https://edmondsonsupply.com/products/fluke-c60-soft-carrying-case", "https://edmondsonsupply.com/products/fluke-c60-soft-carrying-case")</f>
        <v>https://edmondsonsupply.com/products/fluke-c60-soft-carrying-case</v>
      </c>
      <c r="C264" t="s">
        <v>265</v>
      </c>
      <c r="D264" t="s">
        <v>775</v>
      </c>
      <c r="E264" s="3" t="str">
        <f>HYPERLINK("https://www.amazon.com/Fluke-C35-Polyester-Soft-Carrying/dp/B0012WXSWC/ref=sr_1_4?keywords=Fluke+C60+Soft+Carrying+Case&amp;qid=1695173198&amp;sr=8-4", "https://www.amazon.com/Fluke-C35-Polyester-Soft-Carrying/dp/B0012WXSWC/ref=sr_1_4?keywords=Fluke+C60+Soft+Carrying+Case&amp;qid=1695173198&amp;sr=8-4")</f>
        <v>https://www.amazon.com/Fluke-C35-Polyester-Soft-Carrying/dp/B0012WXSWC/ref=sr_1_4?keywords=Fluke+C60+Soft+Carrying+Case&amp;qid=1695173198&amp;sr=8-4</v>
      </c>
      <c r="F264" t="s">
        <v>776</v>
      </c>
      <c r="G264" t="e">
        <f ca="1">_xludf.IMAGE("https://edmondsonsupply.com/cdn/shop/products/c60.png?v=1633030926")</f>
        <v>#NAME?</v>
      </c>
      <c r="H264" t="e">
        <f ca="1">_xludf.IMAGE("https://m.media-amazon.com/images/I/91lCMkhllEL._AC_UL320_.jpg")</f>
        <v>#NAME?</v>
      </c>
      <c r="I264" t="s">
        <v>268</v>
      </c>
      <c r="J264">
        <v>32</v>
      </c>
      <c r="K264" s="4">
        <v>-0.35339999999999999</v>
      </c>
      <c r="L264">
        <v>4.7</v>
      </c>
      <c r="M264">
        <v>801</v>
      </c>
      <c r="O264" t="s">
        <v>25</v>
      </c>
      <c r="P264" t="s">
        <v>269</v>
      </c>
      <c r="Q264" t="s">
        <v>270</v>
      </c>
    </row>
    <row r="265" spans="1:17" ht="15.5" x14ac:dyDescent="0.35">
      <c r="A265" s="3" t="str">
        <f>HYPERLINK("https://edmondsonsupply.com/collections/storage-organization/products/veto-pro-pac-tp-xxl-tool-pouch", "https://edmondsonsupply.com/collections/storage-organization/products/veto-pro-pac-tp-xxl-tool-pouch")</f>
        <v>https://edmondsonsupply.com/collections/storage-organization/products/veto-pro-pac-tp-xxl-tool-pouch</v>
      </c>
      <c r="B265" s="3" t="str">
        <f>HYPERLINK("https://edmondsonsupply.com/products/veto-pro-pac-tp-xxl-tool-pouch", "https://edmondsonsupply.com/products/veto-pro-pac-tp-xxl-tool-pouch")</f>
        <v>https://edmondsonsupply.com/products/veto-pro-pac-tp-xxl-tool-pouch</v>
      </c>
      <c r="C265" t="s">
        <v>451</v>
      </c>
      <c r="D265" t="s">
        <v>371</v>
      </c>
      <c r="E265" s="3" t="str">
        <f>HYPERLINK("https://www.amazon.com/Veto-TP-LC-Compact-Zippered-Service/dp/B09TPZKBDP/ref=sr_1_4?keywords=Veto+Pro+Pac+TP-XXL+Tool+Pouch&amp;qid=1695173161&amp;sr=8-4", "https://www.amazon.com/Veto-TP-LC-Compact-Zippered-Service/dp/B09TPZKBDP/ref=sr_1_4?keywords=Veto+Pro+Pac+TP-XXL+Tool+Pouch&amp;qid=1695173161&amp;sr=8-4")</f>
        <v>https://www.amazon.com/Veto-TP-LC-Compact-Zippered-Service/dp/B09TPZKBDP/ref=sr_1_4?keywords=Veto+Pro+Pac+TP-XXL+Tool+Pouch&amp;qid=1695173161&amp;sr=8-4</v>
      </c>
      <c r="F265" t="s">
        <v>372</v>
      </c>
      <c r="G265" t="e">
        <f ca="1">_xludf.IMAGE("https://edmondsonsupply.com/cdn/shop/products/01_TP-XXL.jpg?v=1633031173")</f>
        <v>#NAME?</v>
      </c>
      <c r="H265" t="e">
        <f ca="1">_xludf.IMAGE("https://m.media-amazon.com/images/I/51b1SiebzcL._AC_UL320_.jpg")</f>
        <v>#NAME?</v>
      </c>
      <c r="I265" t="s">
        <v>454</v>
      </c>
      <c r="J265">
        <v>134.94999999999999</v>
      </c>
      <c r="K265" s="4">
        <v>-0.3574</v>
      </c>
      <c r="L265">
        <v>4.8</v>
      </c>
      <c r="M265">
        <v>281</v>
      </c>
      <c r="O265" t="s">
        <v>25</v>
      </c>
      <c r="P265" t="s">
        <v>138</v>
      </c>
      <c r="Q265" t="s">
        <v>455</v>
      </c>
    </row>
    <row r="266" spans="1:17" ht="15.5" x14ac:dyDescent="0.35">
      <c r="A266"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66" s="3" t="str">
        <f>HYPERLINK("https://edmondsonsupply.com/products/veto-pro-pac-tech-pac-blackout-backpack", "https://edmondsonsupply.com/products/veto-pro-pac-tech-pac-blackout-backpack")</f>
        <v>https://edmondsonsupply.com/products/veto-pro-pac-tech-pac-blackout-backpack</v>
      </c>
      <c r="C266" t="s">
        <v>611</v>
      </c>
      <c r="D266" t="s">
        <v>298</v>
      </c>
      <c r="E266" s="3" t="str">
        <f>HYPERLINK("https://www.amazon.com/Veto-Pro-Pac-TP-XD-BLACKOUT/dp/B0B2YBQXNP/ref=sr_1_4?keywords=Veto+Pro+Pac+TECH+PAC+Blackout+Backpack&amp;qid=1695173158&amp;sr=8-4", "https://www.amazon.com/Veto-Pro-Pac-TP-XD-BLACKOUT/dp/B0B2YBQXNP/ref=sr_1_4?keywords=Veto+Pro+Pac+TECH+PAC+Blackout+Backpack&amp;qid=1695173158&amp;sr=8-4")</f>
        <v>https://www.amazon.com/Veto-Pro-Pac-TP-XD-BLACKOUT/dp/B0B2YBQXNP/ref=sr_1_4?keywords=Veto+Pro+Pac+TECH+PAC+Blackout+Backpack&amp;qid=1695173158&amp;sr=8-4</v>
      </c>
      <c r="F266" t="s">
        <v>299</v>
      </c>
      <c r="G266" t="e">
        <f ca="1">_xludf.IMAGE("https://edmondsonsupply.com/cdn/shop/products/tech1.jpg?v=1633031041")</f>
        <v>#NAME?</v>
      </c>
      <c r="H266" t="e">
        <f ca="1">_xludf.IMAGE("https://m.media-amazon.com/images/I/51vvq1zbgwL._AC_UL320_.jpg")</f>
        <v>#NAME?</v>
      </c>
      <c r="I266" t="s">
        <v>612</v>
      </c>
      <c r="J266">
        <v>209.95</v>
      </c>
      <c r="K266" s="4">
        <v>-0.36380000000000001</v>
      </c>
      <c r="L266">
        <v>4.5</v>
      </c>
      <c r="M266">
        <v>24</v>
      </c>
      <c r="O266" t="s">
        <v>25</v>
      </c>
      <c r="P266" t="s">
        <v>138</v>
      </c>
      <c r="Q266" t="s">
        <v>613</v>
      </c>
    </row>
    <row r="267" spans="1:17" ht="15.5" x14ac:dyDescent="0.35">
      <c r="A267" s="3" t="str">
        <f>HYPERLINK("https://edmondsonsupply.com/collections/storage-organization/products/veto-pro-pac-tech-pac-backpack-tool-bag", "https://edmondsonsupply.com/collections/storage-organization/products/veto-pro-pac-tech-pac-backpack-tool-bag")</f>
        <v>https://edmondsonsupply.com/collections/storage-organization/products/veto-pro-pac-tech-pac-backpack-tool-bag</v>
      </c>
      <c r="B267" s="3" t="str">
        <f>HYPERLINK("https://edmondsonsupply.com/products/veto-pro-pac-tech-pac-backpack-tool-bag", "https://edmondsonsupply.com/products/veto-pro-pac-tech-pac-backpack-tool-bag")</f>
        <v>https://edmondsonsupply.com/products/veto-pro-pac-tech-pac-backpack-tool-bag</v>
      </c>
      <c r="C267" t="s">
        <v>658</v>
      </c>
      <c r="D267" t="s">
        <v>501</v>
      </c>
      <c r="E267" s="3" t="str">
        <f>HYPERLINK("https://www.amazon.com/VETO-PRO-PAC-TECH-MCT-Tool/dp/B01CENNFYS/ref=sr_1_1?keywords=Veto+Pro+Pac+TECH+PAC+Backpack+Tool+Bag&amp;qid=1695173170&amp;sr=8-1", "https://www.amazon.com/VETO-PRO-PAC-TECH-MCT-Tool/dp/B01CENNFYS/ref=sr_1_1?keywords=Veto+Pro+Pac+TECH+PAC+Backpack+Tool+Bag&amp;qid=1695173170&amp;sr=8-1")</f>
        <v>https://www.amazon.com/VETO-PRO-PAC-TECH-MCT-Tool/dp/B01CENNFYS/ref=sr_1_1?keywords=Veto+Pro+Pac+TECH+PAC+Backpack+Tool+Bag&amp;qid=1695173170&amp;sr=8-1</v>
      </c>
      <c r="F267" t="s">
        <v>502</v>
      </c>
      <c r="G267" t="e">
        <f ca="1">_xludf.IMAGE("https://edmondsonsupply.com/cdn/shop/products/Veto_Tech_Pac.jpg?v=1587149981")</f>
        <v>#NAME?</v>
      </c>
      <c r="H267" t="e">
        <f ca="1">_xludf.IMAGE("https://m.media-amazon.com/images/I/61GanfvVX6L._AC_UL320_.jpg")</f>
        <v>#NAME?</v>
      </c>
      <c r="I267" t="s">
        <v>533</v>
      </c>
      <c r="J267">
        <v>189.95</v>
      </c>
      <c r="K267" s="4">
        <v>-0.36680000000000001</v>
      </c>
      <c r="L267">
        <v>4.8</v>
      </c>
      <c r="M267">
        <v>2083</v>
      </c>
      <c r="O267" t="s">
        <v>25</v>
      </c>
      <c r="P267" t="s">
        <v>138</v>
      </c>
      <c r="Q267" t="s">
        <v>659</v>
      </c>
    </row>
    <row r="268" spans="1:17" ht="15.5" x14ac:dyDescent="0.35">
      <c r="A268" s="3" t="str">
        <f>HYPERLINK("https://edmondsonsupply.com/collections/storage-organization/products/milwaukee-48-22-8435-packout%E2%84%A2-compact-organizer", "https://edmondsonsupply.com/collections/storage-organization/products/milwaukee-48-22-8435-packout%E2%84%A2-compact-organizer")</f>
        <v>https://edmondsonsupply.com/collections/storage-organization/products/milwaukee-48-22-8435-packout%E2%84%A2-compact-organizer</v>
      </c>
      <c r="B268" s="3" t="str">
        <f>HYPERLINK("https://edmondsonsupply.com/products/milwaukee-48-22-8435-packout%e2%84%a2-compact-organizer", "https://edmondsonsupply.com/products/milwaukee-48-22-8435-packout%e2%84%a2-compact-organizer")</f>
        <v>https://edmondsonsupply.com/products/milwaukee-48-22-8435-packout%e2%84%a2-compact-organizer</v>
      </c>
      <c r="C268" t="s">
        <v>337</v>
      </c>
      <c r="D268" t="s">
        <v>777</v>
      </c>
      <c r="E268" s="3" t="str">
        <f>HYPERLINK("https://www.amazon.com/48-22-8435-Packout-Inserts-Milwaukee-Organizer/dp/B0C6MY62Y5/ref=sr_1_1?keywords=Milwaukee+48-22-8435+PACKOUT%E2%84%A2+Compact+Organizer&amp;qid=1695173186&amp;sr=8-1", "https://www.amazon.com/48-22-8435-Packout-Inserts-Milwaukee-Organizer/dp/B0C6MY62Y5/ref=sr_1_1?keywords=Milwaukee+48-22-8435+PACKOUT%E2%84%A2+Compact+Organizer&amp;qid=1695173186&amp;sr=8-1")</f>
        <v>https://www.amazon.com/48-22-8435-Packout-Inserts-Milwaukee-Organizer/dp/B0C6MY62Y5/ref=sr_1_1?keywords=Milwaukee+48-22-8435+PACKOUT%E2%84%A2+Compact+Organizer&amp;qid=1695173186&amp;sr=8-1</v>
      </c>
      <c r="F268" t="s">
        <v>778</v>
      </c>
      <c r="G268" t="e">
        <f ca="1">_xludf.IMAGE("https://edmondsonsupply.com/cdn/shop/products/48-22-8435_1.png?v=1671723464")</f>
        <v>#NAME?</v>
      </c>
      <c r="H268" t="e">
        <f ca="1">_xludf.IMAGE("https://m.media-amazon.com/images/I/81V+RQwnZtL._AC_UL320_.jpg")</f>
        <v>#NAME?</v>
      </c>
      <c r="I268" t="s">
        <v>340</v>
      </c>
      <c r="J268">
        <v>22.09</v>
      </c>
      <c r="K268" s="4">
        <v>-0.36830000000000002</v>
      </c>
      <c r="L268">
        <v>4.7</v>
      </c>
      <c r="M268">
        <v>8</v>
      </c>
      <c r="O268" t="s">
        <v>25</v>
      </c>
      <c r="P268" t="s">
        <v>341</v>
      </c>
      <c r="Q268" t="s">
        <v>342</v>
      </c>
    </row>
    <row r="269" spans="1:17" ht="15.5" x14ac:dyDescent="0.35">
      <c r="A269" s="3" t="str">
        <f>HYPERLINK("https://edmondsonsupply.com/collections/storage-organization/products/milwaukee-48-22-8435-packout%E2%84%A2-compact-organizer", "https://edmondsonsupply.com/collections/storage-organization/products/milwaukee-48-22-8435-packout%E2%84%A2-compact-organizer")</f>
        <v>https://edmondsonsupply.com/collections/storage-organization/products/milwaukee-48-22-8435-packout%E2%84%A2-compact-organizer</v>
      </c>
      <c r="B269" s="3" t="str">
        <f>HYPERLINK("https://edmondsonsupply.com/products/milwaukee-48-22-8435-packout%e2%84%a2-compact-organizer", "https://edmondsonsupply.com/products/milwaukee-48-22-8435-packout%e2%84%a2-compact-organizer")</f>
        <v>https://edmondsonsupply.com/products/milwaukee-48-22-8435-packout%e2%84%a2-compact-organizer</v>
      </c>
      <c r="C269" t="s">
        <v>337</v>
      </c>
      <c r="D269" t="s">
        <v>779</v>
      </c>
      <c r="E269" s="3" t="str">
        <f>HYPERLINK("https://www.amazon.com/Packout-inserts-48-22-8435-Milwaukee-Organizer/dp/B0C6LRFVDN/ref=sr_1_6?keywords=Milwaukee+48-22-8435+PACKOUT%E2%84%A2+Compact+Organizer&amp;qid=1695173186&amp;sr=8-6", "https://www.amazon.com/Packout-inserts-48-22-8435-Milwaukee-Organizer/dp/B0C6LRFVDN/ref=sr_1_6?keywords=Milwaukee+48-22-8435+PACKOUT%E2%84%A2+Compact+Organizer&amp;qid=1695173186&amp;sr=8-6")</f>
        <v>https://www.amazon.com/Packout-inserts-48-22-8435-Milwaukee-Organizer/dp/B0C6LRFVDN/ref=sr_1_6?keywords=Milwaukee+48-22-8435+PACKOUT%E2%84%A2+Compact+Organizer&amp;qid=1695173186&amp;sr=8-6</v>
      </c>
      <c r="F269" t="s">
        <v>780</v>
      </c>
      <c r="G269" t="e">
        <f ca="1">_xludf.IMAGE("https://edmondsonsupply.com/cdn/shop/products/48-22-8435_1.png?v=1671723464")</f>
        <v>#NAME?</v>
      </c>
      <c r="H269" t="e">
        <f ca="1">_xludf.IMAGE("https://m.media-amazon.com/images/I/81jGHifaq2L._AC_UL320_.jpg")</f>
        <v>#NAME?</v>
      </c>
      <c r="I269" t="s">
        <v>340</v>
      </c>
      <c r="J269">
        <v>22.09</v>
      </c>
      <c r="K269" s="4">
        <v>-0.36830000000000002</v>
      </c>
      <c r="L269">
        <v>2.9</v>
      </c>
      <c r="M269">
        <v>9</v>
      </c>
      <c r="O269" t="s">
        <v>25</v>
      </c>
      <c r="P269" t="s">
        <v>341</v>
      </c>
      <c r="Q269" t="s">
        <v>342</v>
      </c>
    </row>
    <row r="270" spans="1:17" ht="15.5" x14ac:dyDescent="0.35">
      <c r="A270" s="3" t="str">
        <f>HYPERLINK("https://edmondsonsupply.com/collections/storage-organization/products/veto-pro-pac-tech-pac-wheeler-backpack-tool-bag", "https://edmondsonsupply.com/collections/storage-organization/products/veto-pro-pac-tech-pac-wheeler-backpack-tool-bag")</f>
        <v>https://edmondsonsupply.com/collections/storage-organization/products/veto-pro-pac-tech-pac-wheeler-backpack-tool-bag</v>
      </c>
      <c r="B270" s="3" t="str">
        <f>HYPERLINK("https://edmondsonsupply.com/products/veto-pro-pac-tech-pac-wheeler-backpack-tool-bag", "https://edmondsonsupply.com/products/veto-pro-pac-tech-pac-wheeler-backpack-tool-bag")</f>
        <v>https://edmondsonsupply.com/products/veto-pro-pac-tech-pac-wheeler-backpack-tool-bag</v>
      </c>
      <c r="C270" t="s">
        <v>756</v>
      </c>
      <c r="D270" t="s">
        <v>684</v>
      </c>
      <c r="E270" s="3" t="str">
        <f>HYPERLINK("https://www.amazon.com/Veto-Tech-XL-Tool-1-Pack/dp/B00DYRFEJI/ref=sr_1_2?keywords=Veto+Pro+Pac+TECH+PAC+WHEELER+Backpack+Tool+Bag&amp;qid=1695173156&amp;sr=8-2", "https://www.amazon.com/Veto-Tech-XL-Tool-1-Pack/dp/B00DYRFEJI/ref=sr_1_2?keywords=Veto+Pro+Pac+TECH+PAC+WHEELER+Backpack+Tool+Bag&amp;qid=1695173156&amp;sr=8-2")</f>
        <v>https://www.amazon.com/Veto-Tech-XL-Tool-1-Pack/dp/B00DYRFEJI/ref=sr_1_2?keywords=Veto+Pro+Pac+TECH+PAC+WHEELER+Backpack+Tool+Bag&amp;qid=1695173156&amp;sr=8-2</v>
      </c>
      <c r="F270" t="s">
        <v>685</v>
      </c>
      <c r="G270" t="e">
        <f ca="1">_xludf.IMAGE("https://edmondsonsupply.com/cdn/shop/products/01_TECH-PAC-WHEELER.jpg?v=1633031176")</f>
        <v>#NAME?</v>
      </c>
      <c r="H270" t="e">
        <f ca="1">_xludf.IMAGE("https://m.media-amazon.com/images/I/71suRnmtVZL._AC_UL320_.jpg")</f>
        <v>#NAME?</v>
      </c>
      <c r="I270" t="s">
        <v>42</v>
      </c>
      <c r="J270">
        <v>249.95</v>
      </c>
      <c r="K270" s="4">
        <v>-0.37509999999999999</v>
      </c>
      <c r="L270">
        <v>4.8</v>
      </c>
      <c r="M270">
        <v>763</v>
      </c>
      <c r="O270" t="s">
        <v>25</v>
      </c>
      <c r="P270" t="s">
        <v>138</v>
      </c>
      <c r="Q270" t="s">
        <v>757</v>
      </c>
    </row>
    <row r="271" spans="1:17" ht="15.5" x14ac:dyDescent="0.35">
      <c r="A271" s="3" t="str">
        <f>HYPERLINK("https://edmondsonsupply.com/collections/storage-organization/products/veto-pro-pac-wrencher-xl", "https://edmondsonsupply.com/collections/storage-organization/products/veto-pro-pac-wrencher-xl")</f>
        <v>https://edmondsonsupply.com/collections/storage-organization/products/veto-pro-pac-wrencher-xl</v>
      </c>
      <c r="B271" s="3" t="str">
        <f>HYPERLINK("https://edmondsonsupply.com/products/veto-pro-pac-wrencher-xl", "https://edmondsonsupply.com/products/veto-pro-pac-wrencher-xl")</f>
        <v>https://edmondsonsupply.com/products/veto-pro-pac-wrencher-xl</v>
      </c>
      <c r="C271" t="s">
        <v>433</v>
      </c>
      <c r="D271" t="s">
        <v>781</v>
      </c>
      <c r="E271" s="3" t="str">
        <f>HYPERLINK("https://www.amazon.com/VETO-PRO-PAC-Model-XL/dp/B00009K77K/ref=sr_1_4?keywords=Veto+Pro+Pac+Wrencher+XL&amp;qid=1695173167&amp;sr=8-4", "https://www.amazon.com/VETO-PRO-PAC-Model-XL/dp/B00009K77K/ref=sr_1_4?keywords=Veto+Pro+Pac+Wrencher+XL&amp;qid=1695173167&amp;sr=8-4")</f>
        <v>https://www.amazon.com/VETO-PRO-PAC-Model-XL/dp/B00009K77K/ref=sr_1_4?keywords=Veto+Pro+Pac+Wrencher+XL&amp;qid=1695173167&amp;sr=8-4</v>
      </c>
      <c r="F271" t="s">
        <v>782</v>
      </c>
      <c r="G271" t="e">
        <f ca="1">_xludf.IMAGE("https://edmondsonsupply.com/cdn/shop/products/0006_WRENCHER-XL_11.jpg?v=1675796410")</f>
        <v>#NAME?</v>
      </c>
      <c r="H271" t="e">
        <f ca="1">_xludf.IMAGE("https://m.media-amazon.com/images/I/51WvtSPKVtS._AC_UL320_.jpg")</f>
        <v>#NAME?</v>
      </c>
      <c r="I271" t="s">
        <v>436</v>
      </c>
      <c r="J271">
        <v>224.95</v>
      </c>
      <c r="K271" s="4">
        <v>-0.37509999999999999</v>
      </c>
      <c r="L271">
        <v>4.7</v>
      </c>
      <c r="M271">
        <v>343</v>
      </c>
      <c r="O271" t="s">
        <v>25</v>
      </c>
      <c r="P271" t="s">
        <v>138</v>
      </c>
      <c r="Q271" t="s">
        <v>437</v>
      </c>
    </row>
    <row r="272" spans="1:17" ht="15.5" x14ac:dyDescent="0.35">
      <c r="A272"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272" s="3" t="str">
        <f>HYPERLINK("https://edmondsonsupply.com/products/veto-pro-pac-tech-pac-mc-blackout", "https://edmondsonsupply.com/products/veto-pro-pac-tech-pac-mc-blackout")</f>
        <v>https://edmondsonsupply.com/products/veto-pro-pac-tech-pac-mc-blackout</v>
      </c>
      <c r="C272" t="s">
        <v>496</v>
      </c>
      <c r="D272" t="s">
        <v>509</v>
      </c>
      <c r="E272" s="3" t="str">
        <f>HYPERLINK("https://www.amazon.com/Veto-TECH-OT-SC-Sub-Compact-Electrician/dp/B09ZC63KFK/ref=sr_1_7?keywords=Veto+Pro+Pac+TECH+PAC+MC+Blackout&amp;qid=1695173175&amp;sr=8-7", "https://www.amazon.com/Veto-TECH-OT-SC-Sub-Compact-Electrician/dp/B09ZC63KFK/ref=sr_1_7?keywords=Veto+Pro+Pac+TECH+PAC+MC+Blackout&amp;qid=1695173175&amp;sr=8-7")</f>
        <v>https://www.amazon.com/Veto-TECH-OT-SC-Sub-Compact-Electrician/dp/B09ZC63KFK/ref=sr_1_7?keywords=Veto+Pro+Pac+TECH+PAC+MC+Blackout&amp;qid=1695173175&amp;sr=8-7</v>
      </c>
      <c r="F272" t="s">
        <v>510</v>
      </c>
      <c r="G272" t="e">
        <f ca="1">_xludf.IMAGE("https://edmondsonsupply.com/cdn/shop/products/tech1.png?v=1633031062")</f>
        <v>#NAME?</v>
      </c>
      <c r="H272" t="e">
        <f ca="1">_xludf.IMAGE("https://m.media-amazon.com/images/I/51LTwfYG5eL._AC_UL320_.jpg")</f>
        <v>#NAME?</v>
      </c>
      <c r="I272" t="s">
        <v>499</v>
      </c>
      <c r="J272">
        <v>179.95</v>
      </c>
      <c r="K272" s="4">
        <v>-0.39</v>
      </c>
      <c r="L272">
        <v>4.7</v>
      </c>
      <c r="M272">
        <v>21</v>
      </c>
      <c r="O272" t="s">
        <v>25</v>
      </c>
      <c r="P272" t="s">
        <v>138</v>
      </c>
      <c r="Q272" t="s">
        <v>500</v>
      </c>
    </row>
    <row r="273" spans="1:17" ht="15.5" x14ac:dyDescent="0.35">
      <c r="A273" s="3" t="str">
        <f>HYPERLINK("https://edmondsonsupply.com/collections/storage-organization/products/veto-pro-pac-wrencher-lc", "https://edmondsonsupply.com/collections/storage-organization/products/veto-pro-pac-wrencher-lc")</f>
        <v>https://edmondsonsupply.com/collections/storage-organization/products/veto-pro-pac-wrencher-lc</v>
      </c>
      <c r="B273" s="3" t="str">
        <f>HYPERLINK("https://edmondsonsupply.com/products/veto-pro-pac-wrencher-lc", "https://edmondsonsupply.com/products/veto-pro-pac-wrencher-lc")</f>
        <v>https://edmondsonsupply.com/products/veto-pro-pac-wrencher-lc</v>
      </c>
      <c r="C273" t="s">
        <v>608</v>
      </c>
      <c r="D273" t="s">
        <v>783</v>
      </c>
      <c r="E273" s="3" t="str">
        <f>HYPERLINK("https://www.amazon.com/VETO-PRO-PAC-Model-LC/dp/B0002HC25M/ref=sr_1_5?keywords=Veto+Pro+Pac+Wrencher+LC&amp;qid=1695173164&amp;sr=8-5", "https://www.amazon.com/VETO-PRO-PAC-Model-LC/dp/B0002HC25M/ref=sr_1_5?keywords=Veto+Pro+Pac+Wrencher+LC&amp;qid=1695173164&amp;sr=8-5")</f>
        <v>https://www.amazon.com/VETO-PRO-PAC-Model-LC/dp/B0002HC25M/ref=sr_1_5?keywords=Veto+Pro+Pac+Wrencher+LC&amp;qid=1695173164&amp;sr=8-5</v>
      </c>
      <c r="F273" t="s">
        <v>784</v>
      </c>
      <c r="G273" t="e">
        <f ca="1">_xludf.IMAGE("https://edmondsonsupply.com/cdn/shop/products/0004_WRENCHER-LC_16-1.jpg?v=1675796113")</f>
        <v>#NAME?</v>
      </c>
      <c r="H273" t="e">
        <f ca="1">_xludf.IMAGE("https://m.media-amazon.com/images/I/61yDlU4vGyL._AC_UL320_.jpg")</f>
        <v>#NAME?</v>
      </c>
      <c r="I273" t="s">
        <v>609</v>
      </c>
      <c r="J273">
        <v>204.95</v>
      </c>
      <c r="K273" s="4">
        <v>-0.3972</v>
      </c>
      <c r="L273">
        <v>4.7</v>
      </c>
      <c r="M273">
        <v>276</v>
      </c>
      <c r="O273" t="s">
        <v>25</v>
      </c>
      <c r="P273" t="s">
        <v>138</v>
      </c>
      <c r="Q273" t="s">
        <v>610</v>
      </c>
    </row>
    <row r="274" spans="1:17" ht="15.5" x14ac:dyDescent="0.35">
      <c r="A274" s="3" t="str">
        <f>HYPERLINK("https://edmondsonsupply.com/collections/storage-organization/products/veto-pro-pac-tech-pac-backpack-tool-bag", "https://edmondsonsupply.com/collections/storage-organization/products/veto-pro-pac-tech-pac-backpack-tool-bag")</f>
        <v>https://edmondsonsupply.com/collections/storage-organization/products/veto-pro-pac-tech-pac-backpack-tool-bag</v>
      </c>
      <c r="B274" s="3" t="str">
        <f>HYPERLINK("https://edmondsonsupply.com/products/veto-pro-pac-tech-pac-backpack-tool-bag", "https://edmondsonsupply.com/products/veto-pro-pac-tech-pac-backpack-tool-bag")</f>
        <v>https://edmondsonsupply.com/products/veto-pro-pac-tech-pac-backpack-tool-bag</v>
      </c>
      <c r="C274" t="s">
        <v>658</v>
      </c>
      <c r="D274" t="s">
        <v>509</v>
      </c>
      <c r="E274" s="3" t="str">
        <f>HYPERLINK("https://www.amazon.com/Veto-TECH-OT-SC-Sub-Compact-Electrician/dp/B09ZC63KFK/ref=sr_1_8?keywords=Veto+Pro+Pac+TECH+PAC+Backpack+Tool+Bag&amp;qid=1695173170&amp;sr=8-8", "https://www.amazon.com/Veto-TECH-OT-SC-Sub-Compact-Electrician/dp/B09ZC63KFK/ref=sr_1_8?keywords=Veto+Pro+Pac+TECH+PAC+Backpack+Tool+Bag&amp;qid=1695173170&amp;sr=8-8")</f>
        <v>https://www.amazon.com/Veto-TECH-OT-SC-Sub-Compact-Electrician/dp/B09ZC63KFK/ref=sr_1_8?keywords=Veto+Pro+Pac+TECH+PAC+Backpack+Tool+Bag&amp;qid=1695173170&amp;sr=8-8</v>
      </c>
      <c r="F274" t="s">
        <v>510</v>
      </c>
      <c r="G274" t="e">
        <f ca="1">_xludf.IMAGE("https://edmondsonsupply.com/cdn/shop/products/Veto_Tech_Pac.jpg?v=1587149981")</f>
        <v>#NAME?</v>
      </c>
      <c r="H274" t="e">
        <f ca="1">_xludf.IMAGE("https://m.media-amazon.com/images/I/51LTwfYG5eL._AC_UL320_.jpg")</f>
        <v>#NAME?</v>
      </c>
      <c r="I274" t="s">
        <v>533</v>
      </c>
      <c r="J274">
        <v>179.95</v>
      </c>
      <c r="K274" s="4">
        <v>-0.40010000000000001</v>
      </c>
      <c r="L274">
        <v>4.7</v>
      </c>
      <c r="M274">
        <v>21</v>
      </c>
      <c r="O274" t="s">
        <v>25</v>
      </c>
      <c r="P274" t="s">
        <v>138</v>
      </c>
      <c r="Q274" t="s">
        <v>659</v>
      </c>
    </row>
    <row r="275" spans="1:17" ht="15.5" x14ac:dyDescent="0.35">
      <c r="A275" s="3" t="str">
        <f>HYPERLINK("https://edmondsonsupply.com/collections/storage-organization/products/klein-tools-55560-camo-zipper-bags-2-pack", "https://edmondsonsupply.com/collections/storage-organization/products/klein-tools-55560-camo-zipper-bags-2-pack")</f>
        <v>https://edmondsonsupply.com/collections/storage-organization/products/klein-tools-55560-camo-zipper-bags-2-pack</v>
      </c>
      <c r="B275" s="3" t="str">
        <f>HYPERLINK("https://edmondsonsupply.com/products/klein-tools-55560-camo-zipper-bags-2-pack", "https://edmondsonsupply.com/products/klein-tools-55560-camo-zipper-bags-2-pack")</f>
        <v>https://edmondsonsupply.com/products/klein-tools-55560-camo-zipper-bags-2-pack</v>
      </c>
      <c r="C275" t="s">
        <v>470</v>
      </c>
      <c r="D275" t="s">
        <v>566</v>
      </c>
      <c r="E275" s="3" t="str">
        <f>HYPERLINK("https://www.amazon.com/Utility-12-5-Inch-Klein-Tools-55470/dp/B075ZYW694/ref=sr_1_7?keywords=Klein+Tools+55560+Zipper+Bags%2C+Camo+Tool+Pouches%2C+2-Pack&amp;qid=1695173184&amp;sr=8-7", "https://www.amazon.com/Utility-12-5-Inch-Klein-Tools-55470/dp/B075ZYW694/ref=sr_1_7?keywords=Klein+Tools+55560+Zipper+Bags%2C+Camo+Tool+Pouches%2C+2-Pack&amp;qid=1695173184&amp;sr=8-7")</f>
        <v>https://www.amazon.com/Utility-12-5-Inch-Klein-Tools-55470/dp/B075ZYW694/ref=sr_1_7?keywords=Klein+Tools+55560+Zipper+Bags%2C+Camo+Tool+Pouches%2C+2-Pack&amp;qid=1695173184&amp;sr=8-7</v>
      </c>
      <c r="F275" t="s">
        <v>567</v>
      </c>
      <c r="G275" t="e">
        <f ca="1">_xludf.IMAGE("https://edmondsonsupply.com/cdn/shop/products/55560.jpg?v=1633030628")</f>
        <v>#NAME?</v>
      </c>
      <c r="H275" t="e">
        <f ca="1">_xludf.IMAGE("https://m.media-amazon.com/images/I/81mbAy3U-rL._AC_UL320_.jpg")</f>
        <v>#NAME?</v>
      </c>
      <c r="I275" t="s">
        <v>471</v>
      </c>
      <c r="J275">
        <v>14.99</v>
      </c>
      <c r="K275" s="4">
        <v>-0.4002</v>
      </c>
      <c r="L275">
        <v>4.7</v>
      </c>
      <c r="M275">
        <v>3482</v>
      </c>
      <c r="O275" t="s">
        <v>25</v>
      </c>
      <c r="P275" t="s">
        <v>472</v>
      </c>
      <c r="Q275" t="s">
        <v>473</v>
      </c>
    </row>
    <row r="276" spans="1:17" ht="15.5" x14ac:dyDescent="0.35">
      <c r="A276" s="3" t="str">
        <f>HYPERLINK("https://edmondsonsupply.com/collections/storage-organization/products/veto-pro-pac-tech-pac-mc-special-ops-backpack-tool-bag", "https://edmondsonsupply.com/collections/storage-organization/products/veto-pro-pac-tech-pac-mc-special-ops-backpack-tool-bag")</f>
        <v>https://edmondsonsupply.com/collections/storage-organization/products/veto-pro-pac-tech-pac-mc-special-ops-backpack-tool-bag</v>
      </c>
      <c r="B276" s="3" t="str">
        <f>HYPERLINK("https://edmondsonsupply.com/products/veto-pro-pac-tech-pac-mc-special-ops-backpack-tool-bag", "https://edmondsonsupply.com/products/veto-pro-pac-tech-pac-mc-special-ops-backpack-tool-bag")</f>
        <v>https://edmondsonsupply.com/products/veto-pro-pac-tech-pac-mc-special-ops-backpack-tool-bag</v>
      </c>
      <c r="C276" t="s">
        <v>785</v>
      </c>
      <c r="D276" t="s">
        <v>501</v>
      </c>
      <c r="E276" s="3" t="str">
        <f>HYPERLINK("https://www.amazon.com/VETO-PRO-PAC-TECH-MCT-Tool/dp/B01CENNFYS/ref=sr_1_5?keywords=Veto+Pro+Pac+TECH+PAC+MC+Special+Ops+Backpack+Tool+Bag&amp;qid=1695173171&amp;sr=8-5", "https://www.amazon.com/VETO-PRO-PAC-TECH-MCT-Tool/dp/B01CENNFYS/ref=sr_1_5?keywords=Veto+Pro+Pac+TECH+PAC+MC+Special+Ops+Backpack+Tool+Bag&amp;qid=1695173171&amp;sr=8-5")</f>
        <v>https://www.amazon.com/VETO-PRO-PAC-TECH-MCT-Tool/dp/B01CENNFYS/ref=sr_1_5?keywords=Veto+Pro+Pac+TECH+PAC+MC+Special+Ops+Backpack+Tool+Bag&amp;qid=1695173171&amp;sr=8-5</v>
      </c>
      <c r="F276" t="s">
        <v>502</v>
      </c>
      <c r="G276" t="e">
        <f ca="1">_xludf.IMAGE("https://edmondsonsupply.com/cdn/shop/products/0.jpg?v=1674834361")</f>
        <v>#NAME?</v>
      </c>
      <c r="H276" t="e">
        <f ca="1">_xludf.IMAGE("https://m.media-amazon.com/images/I/61GanfvVX6L._AC_UL320_.jpg")</f>
        <v>#NAME?</v>
      </c>
      <c r="I276" t="s">
        <v>786</v>
      </c>
      <c r="J276">
        <v>189.95</v>
      </c>
      <c r="K276" s="4">
        <v>-0.40639999999999998</v>
      </c>
      <c r="L276">
        <v>4.8</v>
      </c>
      <c r="M276">
        <v>2083</v>
      </c>
      <c r="O276" t="s">
        <v>25</v>
      </c>
      <c r="P276" t="s">
        <v>138</v>
      </c>
      <c r="Q276" t="s">
        <v>787</v>
      </c>
    </row>
    <row r="277" spans="1:17" ht="15.5" x14ac:dyDescent="0.35">
      <c r="A277" s="3" t="str">
        <f>HYPERLINK("https://edmondsonsupply.com/collections/storage-organization/products/klein-tools-5165-10-pocket-tool-pouch-knife-snap", "https://edmondsonsupply.com/collections/storage-organization/products/klein-tools-5165-10-pocket-tool-pouch-knife-snap")</f>
        <v>https://edmondsonsupply.com/collections/storage-organization/products/klein-tools-5165-10-pocket-tool-pouch-knife-snap</v>
      </c>
      <c r="B277" s="3" t="str">
        <f>HYPERLINK("https://edmondsonsupply.com/products/klein-tools-5165-10-pocket-tool-pouch-knife-snap", "https://edmondsonsupply.com/products/klein-tools-5165-10-pocket-tool-pouch-knife-snap")</f>
        <v>https://edmondsonsupply.com/products/klein-tools-5165-10-pocket-tool-pouch-knife-snap</v>
      </c>
      <c r="C277" t="s">
        <v>700</v>
      </c>
      <c r="D277" t="s">
        <v>788</v>
      </c>
      <c r="E277" s="3" t="str">
        <f>HYPERLINK("https://www.amazon.com/Linemans-Pouch-Klein-Tools-S5118PRS/dp/B0002RIA30/ref=sr_1_6?keywords=Klein+Tools+5165+10+Pocket+Leather+Tool+Pouch+with+Knife+Snap&amp;qid=1695173159&amp;sr=8-6", "https://www.amazon.com/Linemans-Pouch-Klein-Tools-S5118PRS/dp/B0002RIA30/ref=sr_1_6?keywords=Klein+Tools+5165+10+Pocket+Leather+Tool+Pouch+with+Knife+Snap&amp;qid=1695173159&amp;sr=8-6")</f>
        <v>https://www.amazon.com/Linemans-Pouch-Klein-Tools-S5118PRS/dp/B0002RIA30/ref=sr_1_6?keywords=Klein+Tools+5165+10+Pocket+Leather+Tool+Pouch+with+Knife+Snap&amp;qid=1695173159&amp;sr=8-6</v>
      </c>
      <c r="F277" t="s">
        <v>789</v>
      </c>
      <c r="G277" t="e">
        <f ca="1">_xludf.IMAGE("https://edmondsonsupply.com/cdn/shop/products/5165.jpg?v=1587145507")</f>
        <v>#NAME?</v>
      </c>
      <c r="H277" t="e">
        <f ca="1">_xludf.IMAGE("https://m.media-amazon.com/images/I/51oBBMnS2PL._AC_UL320_.jpg")</f>
        <v>#NAME?</v>
      </c>
      <c r="I277" t="s">
        <v>703</v>
      </c>
      <c r="J277">
        <v>37.07</v>
      </c>
      <c r="K277" s="4">
        <v>-0.41149999999999998</v>
      </c>
      <c r="L277">
        <v>4.5</v>
      </c>
      <c r="M277">
        <v>443</v>
      </c>
      <c r="O277" t="s">
        <v>25</v>
      </c>
      <c r="P277" t="s">
        <v>704</v>
      </c>
      <c r="Q277" t="s">
        <v>705</v>
      </c>
    </row>
    <row r="278" spans="1:17" ht="15.5" x14ac:dyDescent="0.35">
      <c r="A278" s="3" t="str">
        <f>HYPERLINK("https://edmondsonsupply.com/collections/storage-organization/products/veto-pro-pac-wrencher-lc", "https://edmondsonsupply.com/collections/storage-organization/products/veto-pro-pac-wrencher-lc")</f>
        <v>https://edmondsonsupply.com/collections/storage-organization/products/veto-pro-pac-wrencher-lc</v>
      </c>
      <c r="B278" s="3" t="str">
        <f>HYPERLINK("https://edmondsonsupply.com/products/veto-pro-pac-wrencher-lc", "https://edmondsonsupply.com/products/veto-pro-pac-wrencher-lc")</f>
        <v>https://edmondsonsupply.com/products/veto-pro-pac-wrencher-lc</v>
      </c>
      <c r="C278" t="s">
        <v>608</v>
      </c>
      <c r="D278" t="s">
        <v>480</v>
      </c>
      <c r="E278" s="3" t="str">
        <f>HYPERLINK("https://www.amazon.com/Veto-Wrencher-MC-Medium-Compact-Open-Top/dp/B0BBQ3R11H/ref=sr_1_7?keywords=Veto+Pro+Pac+Wrencher+LC&amp;qid=1695173164&amp;sr=8-7", "https://www.amazon.com/Veto-Wrencher-MC-Medium-Compact-Open-Top/dp/B0BBQ3R11H/ref=sr_1_7?keywords=Veto+Pro+Pac+Wrencher+LC&amp;qid=1695173164&amp;sr=8-7")</f>
        <v>https://www.amazon.com/Veto-Wrencher-MC-Medium-Compact-Open-Top/dp/B0BBQ3R11H/ref=sr_1_7?keywords=Veto+Pro+Pac+Wrencher+LC&amp;qid=1695173164&amp;sr=8-7</v>
      </c>
      <c r="F278" t="s">
        <v>481</v>
      </c>
      <c r="G278" t="e">
        <f ca="1">_xludf.IMAGE("https://edmondsonsupply.com/cdn/shop/products/0004_WRENCHER-LC_16-1.jpg?v=1675796113")</f>
        <v>#NAME?</v>
      </c>
      <c r="H278" t="e">
        <f ca="1">_xludf.IMAGE("https://m.media-amazon.com/images/I/51xcXNSndtL._AC_UL320_.jpg")</f>
        <v>#NAME?</v>
      </c>
      <c r="I278" t="s">
        <v>609</v>
      </c>
      <c r="J278">
        <v>199.95</v>
      </c>
      <c r="K278" s="4">
        <v>-0.41189999999999999</v>
      </c>
      <c r="L278">
        <v>5</v>
      </c>
      <c r="M278">
        <v>7</v>
      </c>
      <c r="O278" t="s">
        <v>25</v>
      </c>
      <c r="P278" t="s">
        <v>138</v>
      </c>
      <c r="Q278" t="s">
        <v>610</v>
      </c>
    </row>
    <row r="279" spans="1:17" ht="15.5" x14ac:dyDescent="0.35">
      <c r="A279" s="3" t="str">
        <f>HYPERLINK("https://edmondsonsupply.com/collections/storage-organization/products/veto-pro-pac-wrencher-xl", "https://edmondsonsupply.com/collections/storage-organization/products/veto-pro-pac-wrencher-xl")</f>
        <v>https://edmondsonsupply.com/collections/storage-organization/products/veto-pro-pac-wrencher-xl</v>
      </c>
      <c r="B279" s="3" t="str">
        <f>HYPERLINK("https://edmondsonsupply.com/products/veto-pro-pac-wrencher-xl", "https://edmondsonsupply.com/products/veto-pro-pac-wrencher-xl")</f>
        <v>https://edmondsonsupply.com/products/veto-pro-pac-wrencher-xl</v>
      </c>
      <c r="C279" t="s">
        <v>433</v>
      </c>
      <c r="D279" t="s">
        <v>621</v>
      </c>
      <c r="E279" s="3" t="str">
        <f>HYPERLINK("https://www.amazon.com/Veto-Pro-Pac-TP-XXL-Zippered/dp/B09Q4YNX94/ref=sr_1_5?keywords=Veto+Pro+Pac+Wrencher+XL&amp;qid=1695173167&amp;sr=8-5", "https://www.amazon.com/Veto-Pro-Pac-TP-XXL-Zippered/dp/B09Q4YNX94/ref=sr_1_5?keywords=Veto+Pro+Pac+Wrencher+XL&amp;qid=1695173167&amp;sr=8-5")</f>
        <v>https://www.amazon.com/Veto-Pro-Pac-TP-XXL-Zippered/dp/B09Q4YNX94/ref=sr_1_5?keywords=Veto+Pro+Pac+Wrencher+XL&amp;qid=1695173167&amp;sr=8-5</v>
      </c>
      <c r="F279" t="s">
        <v>622</v>
      </c>
      <c r="G279" t="e">
        <f ca="1">_xludf.IMAGE("https://edmondsonsupply.com/cdn/shop/products/0006_WRENCHER-XL_11.jpg?v=1675796410")</f>
        <v>#NAME?</v>
      </c>
      <c r="H279" t="e">
        <f ca="1">_xludf.IMAGE("https://m.media-amazon.com/images/I/61c5N3ud9xL._AC_UL320_.jpg")</f>
        <v>#NAME?</v>
      </c>
      <c r="I279" t="s">
        <v>436</v>
      </c>
      <c r="J279">
        <v>209.95</v>
      </c>
      <c r="K279" s="4">
        <v>-0.4168</v>
      </c>
      <c r="L279">
        <v>4.8</v>
      </c>
      <c r="M279">
        <v>478</v>
      </c>
      <c r="O279" t="s">
        <v>25</v>
      </c>
      <c r="P279" t="s">
        <v>138</v>
      </c>
      <c r="Q279" t="s">
        <v>437</v>
      </c>
    </row>
    <row r="280" spans="1:17" ht="15.5" x14ac:dyDescent="0.35">
      <c r="A280"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280" s="3" t="str">
        <f>HYPERLINK("https://edmondsonsupply.com/products/veto-pro-pac-tech-pac-mc-blackout", "https://edmondsonsupply.com/products/veto-pro-pac-tech-pac-mc-blackout")</f>
        <v>https://edmondsonsupply.com/products/veto-pro-pac-tech-pac-mc-blackout</v>
      </c>
      <c r="C280" t="s">
        <v>496</v>
      </c>
      <c r="D280" t="s">
        <v>726</v>
      </c>
      <c r="E280" s="3" t="str">
        <f>HYPERLINK("https://www.amazon.com/VETO-PRO-PAC-Veto-TECH-MC/dp/B078HLH6YV/ref=sr_1_3?keywords=Veto+Pro+Pac+TECH+PAC+MC+Blackout&amp;qid=1695173175&amp;sr=8-3", "https://www.amazon.com/VETO-PRO-PAC-Veto-TECH-MC/dp/B078HLH6YV/ref=sr_1_3?keywords=Veto+Pro+Pac+TECH+PAC+MC+Blackout&amp;qid=1695173175&amp;sr=8-3")</f>
        <v>https://www.amazon.com/VETO-PRO-PAC-Veto-TECH-MC/dp/B078HLH6YV/ref=sr_1_3?keywords=Veto+Pro+Pac+TECH+PAC+MC+Blackout&amp;qid=1695173175&amp;sr=8-3</v>
      </c>
      <c r="F280" t="s">
        <v>727</v>
      </c>
      <c r="G280" t="e">
        <f ca="1">_xludf.IMAGE("https://edmondsonsupply.com/cdn/shop/products/tech1.png?v=1633031062")</f>
        <v>#NAME?</v>
      </c>
      <c r="H280" t="e">
        <f ca="1">_xludf.IMAGE("https://m.media-amazon.com/images/I/71IZAo4j11L._AC_UL320_.jpg")</f>
        <v>#NAME?</v>
      </c>
      <c r="I280" t="s">
        <v>499</v>
      </c>
      <c r="J280">
        <v>169.95</v>
      </c>
      <c r="K280" s="4">
        <v>-0.4239</v>
      </c>
      <c r="L280">
        <v>4.8</v>
      </c>
      <c r="M280">
        <v>680</v>
      </c>
      <c r="O280" t="s">
        <v>25</v>
      </c>
      <c r="P280" t="s">
        <v>138</v>
      </c>
      <c r="Q280" t="s">
        <v>500</v>
      </c>
    </row>
    <row r="281" spans="1:17" ht="15.5" x14ac:dyDescent="0.35">
      <c r="A281" s="3" t="str">
        <f>HYPERLINK("https://edmondsonsupply.com/collections/storage-organization/products/veto-pro-pac-tp-xxl-blackout-tool-pouch", "https://edmondsonsupply.com/collections/storage-organization/products/veto-pro-pac-tp-xxl-blackout-tool-pouch")</f>
        <v>https://edmondsonsupply.com/collections/storage-organization/products/veto-pro-pac-tp-xxl-blackout-tool-pouch</v>
      </c>
      <c r="B281" s="3" t="str">
        <f>HYPERLINK("https://edmondsonsupply.com/products/veto-pro-pac-tp-xxl-blackout-tool-pouch", "https://edmondsonsupply.com/products/veto-pro-pac-tp-xxl-blackout-tool-pouch")</f>
        <v>https://edmondsonsupply.com/products/veto-pro-pac-tp-xxl-blackout-tool-pouch</v>
      </c>
      <c r="C281" t="s">
        <v>758</v>
      </c>
      <c r="D281" t="s">
        <v>371</v>
      </c>
      <c r="E281" s="3" t="str">
        <f>HYPERLINK("https://www.amazon.com/Veto-TP-LC-Compact-Zippered-Service/dp/B09TPZKBDP/ref=sr_1_1?keywords=Veto+Pro+Pac+TP-XXL+Blackout+Tool+Pouch&amp;qid=1695173159&amp;sr=8-1", "https://www.amazon.com/Veto-TP-LC-Compact-Zippered-Service/dp/B09TPZKBDP/ref=sr_1_1?keywords=Veto+Pro+Pac+TP-XXL+Blackout+Tool+Pouch&amp;qid=1695173159&amp;sr=8-1")</f>
        <v>https://www.amazon.com/Veto-TP-LC-Compact-Zippered-Service/dp/B09TPZKBDP/ref=sr_1_1?keywords=Veto+Pro+Pac+TP-XXL+Blackout+Tool+Pouch&amp;qid=1695173159&amp;sr=8-1</v>
      </c>
      <c r="F281" t="s">
        <v>372</v>
      </c>
      <c r="G281" t="e">
        <f ca="1">_xludf.IMAGE("https://edmondsonsupply.com/cdn/shop/files/TP-xxl_blackout_600x830_0000_TP-XXL_BLACKOUT_0379.jpg?v=1685736106")</f>
        <v>#NAME?</v>
      </c>
      <c r="H281" t="e">
        <f ca="1">_xludf.IMAGE("https://m.media-amazon.com/images/I/51b1SiebzcL._AC_UL320_.jpg")</f>
        <v>#NAME?</v>
      </c>
      <c r="I281" t="s">
        <v>759</v>
      </c>
      <c r="J281">
        <v>134.94999999999999</v>
      </c>
      <c r="K281" s="4">
        <v>-0.43769999999999998</v>
      </c>
      <c r="L281">
        <v>4.8</v>
      </c>
      <c r="M281">
        <v>281</v>
      </c>
      <c r="O281" t="s">
        <v>171</v>
      </c>
      <c r="P281" t="s">
        <v>138</v>
      </c>
      <c r="Q281" t="s">
        <v>760</v>
      </c>
    </row>
    <row r="282" spans="1:17" ht="15.5" x14ac:dyDescent="0.35">
      <c r="A282" s="3" t="str">
        <f>HYPERLINK("https://edmondsonsupply.com/collections/storage-organization/products/klein-tools-510212blk-tool-bag-black-canvas-12-inch", "https://edmondsonsupply.com/collections/storage-organization/products/klein-tools-510212blk-tool-bag-black-canvas-12-inch")</f>
        <v>https://edmondsonsupply.com/collections/storage-organization/products/klein-tools-510212blk-tool-bag-black-canvas-12-inch</v>
      </c>
      <c r="B282" s="3" t="str">
        <f>HYPERLINK("https://edmondsonsupply.com/products/klein-tools-510212blk-tool-bag-black-canvas-12-inch", "https://edmondsonsupply.com/products/klein-tools-510212blk-tool-bag-black-canvas-12-inch")</f>
        <v>https://edmondsonsupply.com/products/klein-tools-510212blk-tool-bag-black-canvas-12-inch</v>
      </c>
      <c r="C282" t="s">
        <v>585</v>
      </c>
      <c r="D282" t="s">
        <v>294</v>
      </c>
      <c r="E282" s="3" t="str">
        <f>HYPERLINK("https://www.amazon.com/Utility-Zipper-12-5-Inch-Klein-Tools/dp/B007V8RXVI/ref=sr_1_6?keywords=Klein+Tools+510212BLK+Tool+Bag%2C+Black+Canvas%2C+12-Inch&amp;qid=1695173168&amp;sr=8-6", "https://www.amazon.com/Utility-Zipper-12-5-Inch-Klein-Tools/dp/B007V8RXVI/ref=sr_1_6?keywords=Klein+Tools+510212BLK+Tool+Bag%2C+Black+Canvas%2C+12-Inch&amp;qid=1695173168&amp;sr=8-6")</f>
        <v>https://www.amazon.com/Utility-Zipper-12-5-Inch-Klein-Tools/dp/B007V8RXVI/ref=sr_1_6?keywords=Klein+Tools+510212BLK+Tool+Bag%2C+Black+Canvas%2C+12-Inch&amp;qid=1695173168&amp;sr=8-6</v>
      </c>
      <c r="F282" t="s">
        <v>295</v>
      </c>
      <c r="G282" t="e">
        <f ca="1">_xludf.IMAGE("https://edmondsonsupply.com/cdn/shop/products/510212blk.jpg?v=1666026613")</f>
        <v>#NAME?</v>
      </c>
      <c r="H282" t="e">
        <f ca="1">_xludf.IMAGE("https://m.media-amazon.com/images/I/61K2xaMr+oL._AC_UL320_.jpg")</f>
        <v>#NAME?</v>
      </c>
      <c r="I282" t="s">
        <v>588</v>
      </c>
      <c r="J282">
        <v>39</v>
      </c>
      <c r="K282" s="4">
        <v>-0.44280000000000003</v>
      </c>
      <c r="L282">
        <v>4.8</v>
      </c>
      <c r="M282">
        <v>4463</v>
      </c>
      <c r="O282" t="s">
        <v>25</v>
      </c>
      <c r="P282" t="s">
        <v>589</v>
      </c>
      <c r="Q282" t="s">
        <v>590</v>
      </c>
    </row>
    <row r="283" spans="1:17" ht="15.5" x14ac:dyDescent="0.35">
      <c r="A283" s="3" t="str">
        <f>HYPERLINK("https://edmondsonsupply.com/collections/storage-organization/products/veto-pro-pac-wrencher-xl", "https://edmondsonsupply.com/collections/storage-organization/products/veto-pro-pac-wrencher-xl")</f>
        <v>https://edmondsonsupply.com/collections/storage-organization/products/veto-pro-pac-wrencher-xl</v>
      </c>
      <c r="B283" s="3" t="str">
        <f>HYPERLINK("https://edmondsonsupply.com/products/veto-pro-pac-wrencher-xl", "https://edmondsonsupply.com/products/veto-pro-pac-wrencher-xl")</f>
        <v>https://edmondsonsupply.com/products/veto-pro-pac-wrencher-xl</v>
      </c>
      <c r="C283" t="s">
        <v>433</v>
      </c>
      <c r="D283" t="s">
        <v>480</v>
      </c>
      <c r="E283" s="3" t="str">
        <f>HYPERLINK("https://www.amazon.com/Veto-Wrencher-MC-Medium-Compact-Open-Top/dp/B0BBQ3R11H/ref=sr_1_3?keywords=Veto+Pro+Pac+Wrencher+XL&amp;qid=1695173167&amp;sr=8-3", "https://www.amazon.com/Veto-Wrencher-MC-Medium-Compact-Open-Top/dp/B0BBQ3R11H/ref=sr_1_3?keywords=Veto+Pro+Pac+Wrencher+XL&amp;qid=1695173167&amp;sr=8-3")</f>
        <v>https://www.amazon.com/Veto-Wrencher-MC-Medium-Compact-Open-Top/dp/B0BBQ3R11H/ref=sr_1_3?keywords=Veto+Pro+Pac+Wrencher+XL&amp;qid=1695173167&amp;sr=8-3</v>
      </c>
      <c r="F283" t="s">
        <v>481</v>
      </c>
      <c r="G283" t="e">
        <f ca="1">_xludf.IMAGE("https://edmondsonsupply.com/cdn/shop/products/0006_WRENCHER-XL_11.jpg?v=1675796410")</f>
        <v>#NAME?</v>
      </c>
      <c r="H283" t="e">
        <f ca="1">_xludf.IMAGE("https://m.media-amazon.com/images/I/51xcXNSndtL._AC_UL320_.jpg")</f>
        <v>#NAME?</v>
      </c>
      <c r="I283" t="s">
        <v>436</v>
      </c>
      <c r="J283">
        <v>199.95</v>
      </c>
      <c r="K283" s="4">
        <v>-0.4446</v>
      </c>
      <c r="L283">
        <v>5</v>
      </c>
      <c r="M283">
        <v>7</v>
      </c>
      <c r="O283" t="s">
        <v>25</v>
      </c>
      <c r="P283" t="s">
        <v>138</v>
      </c>
      <c r="Q283" t="s">
        <v>437</v>
      </c>
    </row>
    <row r="284" spans="1:17" ht="15.5" x14ac:dyDescent="0.35">
      <c r="A284" s="3" t="str">
        <f>HYPERLINK("https://edmondsonsupply.com/collections/storage-organization/products/veto-pro-pac-tech-pac-backpack-tool-bag-3", "https://edmondsonsupply.com/collections/storage-organization/products/veto-pro-pac-tech-pac-backpack-tool-bag-3")</f>
        <v>https://edmondsonsupply.com/collections/storage-organization/products/veto-pro-pac-tech-pac-backpack-tool-bag-3</v>
      </c>
      <c r="B284" s="3" t="str">
        <f>HYPERLINK("https://edmondsonsupply.com/products/veto-pro-pac-tech-pac-backpack-tool-bag-3", "https://edmondsonsupply.com/products/veto-pro-pac-tech-pac-backpack-tool-bag-3")</f>
        <v>https://edmondsonsupply.com/products/veto-pro-pac-tech-pac-backpack-tool-bag-3</v>
      </c>
      <c r="C284" t="s">
        <v>511</v>
      </c>
      <c r="D284" t="s">
        <v>722</v>
      </c>
      <c r="E284" s="3" t="str">
        <f>HYPERLINK("https://www.amazon.com/Veto-Pro-MC-Handling-Tools/dp/B00NLXNW3A/ref=sr_1_4?keywords=Veto+Pro+Pac+TECH+PAC+MC+Backpack+Tool+Bag&amp;qid=1695173160&amp;sr=8-4", "https://www.amazon.com/Veto-Pro-MC-Handling-Tools/dp/B00NLXNW3A/ref=sr_1_4?keywords=Veto+Pro+Pac+TECH+PAC+MC+Backpack+Tool+Bag&amp;qid=1695173160&amp;sr=8-4")</f>
        <v>https://www.amazon.com/Veto-Pro-MC-Handling-Tools/dp/B00NLXNW3A/ref=sr_1_4?keywords=Veto+Pro+Pac+TECH+PAC+MC+Backpack+Tool+Bag&amp;qid=1695173160&amp;sr=8-4</v>
      </c>
      <c r="F284" t="s">
        <v>723</v>
      </c>
      <c r="G284" t="e">
        <f ca="1">_xludf.IMAGE("https://edmondsonsupply.com/cdn/shop/products/MC2.jpg?v=1642553730")</f>
        <v>#NAME?</v>
      </c>
      <c r="H284" t="e">
        <f ca="1">_xludf.IMAGE("https://m.media-amazon.com/images/I/71emJbrVHBL._AC_UL320_.jpg")</f>
        <v>#NAME?</v>
      </c>
      <c r="I284" t="s">
        <v>514</v>
      </c>
      <c r="J284">
        <v>144.94999999999999</v>
      </c>
      <c r="K284" s="4">
        <v>-0.47289999999999999</v>
      </c>
      <c r="L284">
        <v>4.7</v>
      </c>
      <c r="M284">
        <v>839</v>
      </c>
      <c r="O284" t="s">
        <v>25</v>
      </c>
      <c r="P284" t="s">
        <v>138</v>
      </c>
      <c r="Q284" t="s">
        <v>515</v>
      </c>
    </row>
    <row r="285" spans="1:17" ht="15.5" x14ac:dyDescent="0.35">
      <c r="A285"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85" s="3" t="str">
        <f>HYPERLINK("https://edmondsonsupply.com/products/veto-pro-pac-tech-pac-blackout-backpack", "https://edmondsonsupply.com/products/veto-pro-pac-tech-pac-blackout-backpack")</f>
        <v>https://edmondsonsupply.com/products/veto-pro-pac-tech-pac-blackout-backpack</v>
      </c>
      <c r="C285" t="s">
        <v>611</v>
      </c>
      <c r="D285" t="s">
        <v>726</v>
      </c>
      <c r="E285" s="3" t="str">
        <f>HYPERLINK("https://www.amazon.com/VETO-PRO-PAC-Veto-TECH-MC/dp/B078HLH6YV/ref=sr_1_3?keywords=Veto+Pro+Pac+TECH+PAC+Blackout+Backpack&amp;qid=1695173158&amp;sr=8-3", "https://www.amazon.com/VETO-PRO-PAC-Veto-TECH-MC/dp/B078HLH6YV/ref=sr_1_3?keywords=Veto+Pro+Pac+TECH+PAC+Blackout+Backpack&amp;qid=1695173158&amp;sr=8-3")</f>
        <v>https://www.amazon.com/VETO-PRO-PAC-Veto-TECH-MC/dp/B078HLH6YV/ref=sr_1_3?keywords=Veto+Pro+Pac+TECH+PAC+Blackout+Backpack&amp;qid=1695173158&amp;sr=8-3</v>
      </c>
      <c r="F285" t="s">
        <v>727</v>
      </c>
      <c r="G285" t="e">
        <f ca="1">_xludf.IMAGE("https://edmondsonsupply.com/cdn/shop/products/tech1.jpg?v=1633031041")</f>
        <v>#NAME?</v>
      </c>
      <c r="H285" t="e">
        <f ca="1">_xludf.IMAGE("https://m.media-amazon.com/images/I/71IZAo4j11L._AC_UL320_.jpg")</f>
        <v>#NAME?</v>
      </c>
      <c r="I285" t="s">
        <v>612</v>
      </c>
      <c r="J285">
        <v>169.95</v>
      </c>
      <c r="K285" s="4">
        <v>-0.48499999999999999</v>
      </c>
      <c r="L285">
        <v>4.8</v>
      </c>
      <c r="M285">
        <v>680</v>
      </c>
      <c r="O285" t="s">
        <v>25</v>
      </c>
      <c r="P285" t="s">
        <v>138</v>
      </c>
      <c r="Q285" t="s">
        <v>613</v>
      </c>
    </row>
    <row r="286" spans="1:17" ht="15.5" x14ac:dyDescent="0.35">
      <c r="A286" s="3" t="str">
        <f>HYPERLINK("https://edmondsonsupply.com/collections/storage-organization/products/klein-tools-5165-10-pocket-tool-pouch-knife-snap", "https://edmondsonsupply.com/collections/storage-organization/products/klein-tools-5165-10-pocket-tool-pouch-knife-snap")</f>
        <v>https://edmondsonsupply.com/collections/storage-organization/products/klein-tools-5165-10-pocket-tool-pouch-knife-snap</v>
      </c>
      <c r="B286" s="3" t="str">
        <f>HYPERLINK("https://edmondsonsupply.com/products/klein-tools-5165-10-pocket-tool-pouch-knife-snap", "https://edmondsonsupply.com/products/klein-tools-5165-10-pocket-tool-pouch-knife-snap")</f>
        <v>https://edmondsonsupply.com/products/klein-tools-5165-10-pocket-tool-pouch-knife-snap</v>
      </c>
      <c r="C286" t="s">
        <v>700</v>
      </c>
      <c r="D286" t="s">
        <v>790</v>
      </c>
      <c r="E286" s="3" t="str">
        <f>HYPERLINK("https://www.amazon.com/Klein-Tools-5126-Leather-5-Pocket/dp/B0002RI620/ref=sr_1_3?keywords=Klein+Tools+5165+10+Pocket+Leather+Tool+Pouch+with+Knife+Snap&amp;qid=1695173159&amp;sr=8-3", "https://www.amazon.com/Klein-Tools-5126-Leather-5-Pocket/dp/B0002RI620/ref=sr_1_3?keywords=Klein+Tools+5165+10+Pocket+Leather+Tool+Pouch+with+Knife+Snap&amp;qid=1695173159&amp;sr=8-3")</f>
        <v>https://www.amazon.com/Klein-Tools-5126-Leather-5-Pocket/dp/B0002RI620/ref=sr_1_3?keywords=Klein+Tools+5165+10+Pocket+Leather+Tool+Pouch+with+Knife+Snap&amp;qid=1695173159&amp;sr=8-3</v>
      </c>
      <c r="F286" t="s">
        <v>791</v>
      </c>
      <c r="G286" t="e">
        <f ca="1">_xludf.IMAGE("https://edmondsonsupply.com/cdn/shop/products/5165.jpg?v=1587145507")</f>
        <v>#NAME?</v>
      </c>
      <c r="H286" t="e">
        <f ca="1">_xludf.IMAGE("https://m.media-amazon.com/images/I/51nYBr7d-ML._AC_UL320_.jpg")</f>
        <v>#NAME?</v>
      </c>
      <c r="I286" t="s">
        <v>703</v>
      </c>
      <c r="J286">
        <v>32</v>
      </c>
      <c r="K286" s="4">
        <v>-0.49199999999999999</v>
      </c>
      <c r="L286">
        <v>4.5999999999999996</v>
      </c>
      <c r="M286">
        <v>1343</v>
      </c>
      <c r="O286" t="s">
        <v>25</v>
      </c>
      <c r="P286" t="s">
        <v>704</v>
      </c>
      <c r="Q286" t="s">
        <v>705</v>
      </c>
    </row>
    <row r="287" spans="1:17" ht="15.5" x14ac:dyDescent="0.35">
      <c r="A287"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287" s="3" t="str">
        <f>HYPERLINK("https://edmondsonsupply.com/products/veto-pro-pac-tech-pac-mc-blackout", "https://edmondsonsupply.com/products/veto-pro-pac-tech-pac-mc-blackout")</f>
        <v>https://edmondsonsupply.com/products/veto-pro-pac-tech-pac-mc-blackout</v>
      </c>
      <c r="C287" t="s">
        <v>496</v>
      </c>
      <c r="D287" t="s">
        <v>722</v>
      </c>
      <c r="E287" s="3" t="str">
        <f>HYPERLINK("https://www.amazon.com/Veto-Pro-MC-Handling-Tools/dp/B00NLXNW3A/ref=sr_1_4?keywords=Veto+Pro+Pac+TECH+PAC+MC+Blackout&amp;qid=1695173175&amp;sr=8-4", "https://www.amazon.com/Veto-Pro-MC-Handling-Tools/dp/B00NLXNW3A/ref=sr_1_4?keywords=Veto+Pro+Pac+TECH+PAC+MC+Blackout&amp;qid=1695173175&amp;sr=8-4")</f>
        <v>https://www.amazon.com/Veto-Pro-MC-Handling-Tools/dp/B00NLXNW3A/ref=sr_1_4?keywords=Veto+Pro+Pac+TECH+PAC+MC+Blackout&amp;qid=1695173175&amp;sr=8-4</v>
      </c>
      <c r="F287" t="s">
        <v>723</v>
      </c>
      <c r="G287" t="e">
        <f ca="1">_xludf.IMAGE("https://edmondsonsupply.com/cdn/shop/products/tech1.png?v=1633031062")</f>
        <v>#NAME?</v>
      </c>
      <c r="H287" t="e">
        <f ca="1">_xludf.IMAGE("https://m.media-amazon.com/images/I/71emJbrVHBL._AC_UL320_.jpg")</f>
        <v>#NAME?</v>
      </c>
      <c r="I287" t="s">
        <v>499</v>
      </c>
      <c r="J287">
        <v>144.94999999999999</v>
      </c>
      <c r="K287" s="4">
        <v>-0.50860000000000005</v>
      </c>
      <c r="L287">
        <v>4.7</v>
      </c>
      <c r="M287">
        <v>839</v>
      </c>
      <c r="O287" t="s">
        <v>25</v>
      </c>
      <c r="P287" t="s">
        <v>138</v>
      </c>
      <c r="Q287" t="s">
        <v>500</v>
      </c>
    </row>
    <row r="288" spans="1:17" ht="15.5" x14ac:dyDescent="0.35">
      <c r="A288" s="3" t="str">
        <f>HYPERLINK("https://edmondsonsupply.com/collections/storage-organization/products/veto-pro-pac-tech-pac-wheeler-backpack-tool-bag", "https://edmondsonsupply.com/collections/storage-organization/products/veto-pro-pac-tech-pac-wheeler-backpack-tool-bag")</f>
        <v>https://edmondsonsupply.com/collections/storage-organization/products/veto-pro-pac-tech-pac-wheeler-backpack-tool-bag</v>
      </c>
      <c r="B288" s="3" t="str">
        <f>HYPERLINK("https://edmondsonsupply.com/products/veto-pro-pac-tech-pac-wheeler-backpack-tool-bag", "https://edmondsonsupply.com/products/veto-pro-pac-tech-pac-wheeler-backpack-tool-bag")</f>
        <v>https://edmondsonsupply.com/products/veto-pro-pac-tech-pac-wheeler-backpack-tool-bag</v>
      </c>
      <c r="C288" t="s">
        <v>756</v>
      </c>
      <c r="D288" t="s">
        <v>501</v>
      </c>
      <c r="E288" s="3" t="str">
        <f>HYPERLINK("https://www.amazon.com/VETO-PRO-PAC-TECH-MCT-Tool/dp/B01CENNFYS/ref=sr_1_4?keywords=Veto+Pro+Pac+TECH+PAC+WHEELER+Backpack+Tool+Bag&amp;qid=1695173156&amp;sr=8-4", "https://www.amazon.com/VETO-PRO-PAC-TECH-MCT-Tool/dp/B01CENNFYS/ref=sr_1_4?keywords=Veto+Pro+Pac+TECH+PAC+WHEELER+Backpack+Tool+Bag&amp;qid=1695173156&amp;sr=8-4")</f>
        <v>https://www.amazon.com/VETO-PRO-PAC-TECH-MCT-Tool/dp/B01CENNFYS/ref=sr_1_4?keywords=Veto+Pro+Pac+TECH+PAC+WHEELER+Backpack+Tool+Bag&amp;qid=1695173156&amp;sr=8-4</v>
      </c>
      <c r="F288" t="s">
        <v>502</v>
      </c>
      <c r="G288" t="e">
        <f ca="1">_xludf.IMAGE("https://edmondsonsupply.com/cdn/shop/products/01_TECH-PAC-WHEELER.jpg?v=1633031176")</f>
        <v>#NAME?</v>
      </c>
      <c r="H288" t="e">
        <f ca="1">_xludf.IMAGE("https://m.media-amazon.com/images/I/61GanfvVX6L._AC_UL320_.jpg")</f>
        <v>#NAME?</v>
      </c>
      <c r="I288" t="s">
        <v>42</v>
      </c>
      <c r="J288">
        <v>189.95</v>
      </c>
      <c r="K288" s="4">
        <v>-0.52510000000000001</v>
      </c>
      <c r="L288">
        <v>4.8</v>
      </c>
      <c r="M288">
        <v>2083</v>
      </c>
      <c r="O288" t="s">
        <v>25</v>
      </c>
      <c r="P288" t="s">
        <v>138</v>
      </c>
      <c r="Q288" t="s">
        <v>757</v>
      </c>
    </row>
    <row r="289" spans="1:17" ht="15.5" x14ac:dyDescent="0.35">
      <c r="A289" s="3" t="str">
        <f>HYPERLINK("https://edmondsonsupply.com/collections/storage-organization/products/veto-pro-pac-wrencher-xl", "https://edmondsonsupply.com/collections/storage-organization/products/veto-pro-pac-wrencher-xl")</f>
        <v>https://edmondsonsupply.com/collections/storage-organization/products/veto-pro-pac-wrencher-xl</v>
      </c>
      <c r="B289" s="3" t="str">
        <f>HYPERLINK("https://edmondsonsupply.com/products/veto-pro-pac-wrencher-xl", "https://edmondsonsupply.com/products/veto-pro-pac-wrencher-xl")</f>
        <v>https://edmondsonsupply.com/products/veto-pro-pac-wrencher-xl</v>
      </c>
      <c r="C289" t="s">
        <v>433</v>
      </c>
      <c r="D289" t="s">
        <v>318</v>
      </c>
      <c r="E289" s="3" t="str">
        <f>HYPERLINK("https://www.amazon.com/Veto-TP-XL-Extra-Large-Pouch/dp/B07WDL7SD3/ref=sr_1_8?keywords=Veto+Pro+Pac+Wrencher+XL&amp;qid=1695173167&amp;sr=8-8", "https://www.amazon.com/Veto-TP-XL-Extra-Large-Pouch/dp/B07WDL7SD3/ref=sr_1_8?keywords=Veto+Pro+Pac+Wrencher+XL&amp;qid=1695173167&amp;sr=8-8")</f>
        <v>https://www.amazon.com/Veto-TP-XL-Extra-Large-Pouch/dp/B07WDL7SD3/ref=sr_1_8?keywords=Veto+Pro+Pac+Wrencher+XL&amp;qid=1695173167&amp;sr=8-8</v>
      </c>
      <c r="F289" t="s">
        <v>319</v>
      </c>
      <c r="G289" t="e">
        <f ca="1">_xludf.IMAGE("https://edmondsonsupply.com/cdn/shop/products/0006_WRENCHER-XL_11.jpg?v=1675796410")</f>
        <v>#NAME?</v>
      </c>
      <c r="H289" t="e">
        <f ca="1">_xludf.IMAGE("https://m.media-amazon.com/images/I/91dIbPcb4XL._AC_UL320_.jpg")</f>
        <v>#NAME?</v>
      </c>
      <c r="I289" t="s">
        <v>436</v>
      </c>
      <c r="J289">
        <v>169.95</v>
      </c>
      <c r="K289" s="4">
        <v>-0.52790000000000004</v>
      </c>
      <c r="L289">
        <v>4.9000000000000004</v>
      </c>
      <c r="M289">
        <v>1132</v>
      </c>
      <c r="O289" t="s">
        <v>25</v>
      </c>
      <c r="P289" t="s">
        <v>138</v>
      </c>
      <c r="Q289" t="s">
        <v>437</v>
      </c>
    </row>
    <row r="290" spans="1:17" ht="15.5" x14ac:dyDescent="0.35">
      <c r="A290" s="3" t="str">
        <f>HYPERLINK("https://edmondsonsupply.com/collections/storage-organization/products/veto-pro-pac-tech-pac-mc-blackout", "https://edmondsonsupply.com/collections/storage-organization/products/veto-pro-pac-tech-pac-mc-blackout")</f>
        <v>https://edmondsonsupply.com/collections/storage-organization/products/veto-pro-pac-tech-pac-mc-blackout</v>
      </c>
      <c r="B290" s="3" t="str">
        <f>HYPERLINK("https://edmondsonsupply.com/products/veto-pro-pac-tech-pac-mc-blackout", "https://edmondsonsupply.com/products/veto-pro-pac-tech-pac-mc-blackout")</f>
        <v>https://edmondsonsupply.com/products/veto-pro-pac-tech-pac-mc-blackout</v>
      </c>
      <c r="C290" t="s">
        <v>496</v>
      </c>
      <c r="D290" t="s">
        <v>371</v>
      </c>
      <c r="E290" s="3" t="str">
        <f>HYPERLINK("https://www.amazon.com/Veto-TP-LC-Compact-Zippered-Service/dp/B09TPZKBDP/ref=sr_1_10?keywords=Veto+Pro+Pac+TECH+PAC+MC+Blackout&amp;qid=1695173175&amp;sr=8-10", "https://www.amazon.com/Veto-TP-LC-Compact-Zippered-Service/dp/B09TPZKBDP/ref=sr_1_10?keywords=Veto+Pro+Pac+TECH+PAC+MC+Blackout&amp;qid=1695173175&amp;sr=8-10")</f>
        <v>https://www.amazon.com/Veto-TP-LC-Compact-Zippered-Service/dp/B09TPZKBDP/ref=sr_1_10?keywords=Veto+Pro+Pac+TECH+PAC+MC+Blackout&amp;qid=1695173175&amp;sr=8-10</v>
      </c>
      <c r="F290" t="s">
        <v>372</v>
      </c>
      <c r="G290" t="e">
        <f ca="1">_xludf.IMAGE("https://edmondsonsupply.com/cdn/shop/products/tech1.png?v=1633031062")</f>
        <v>#NAME?</v>
      </c>
      <c r="H290" t="e">
        <f ca="1">_xludf.IMAGE("https://m.media-amazon.com/images/I/51b1SiebzcL._AC_UL320_.jpg")</f>
        <v>#NAME?</v>
      </c>
      <c r="I290" t="s">
        <v>499</v>
      </c>
      <c r="J290">
        <v>134.94999999999999</v>
      </c>
      <c r="K290" s="4">
        <v>-0.54249999999999998</v>
      </c>
      <c r="L290">
        <v>4.8</v>
      </c>
      <c r="M290">
        <v>281</v>
      </c>
      <c r="O290" t="s">
        <v>25</v>
      </c>
      <c r="P290" t="s">
        <v>138</v>
      </c>
      <c r="Q290" t="s">
        <v>500</v>
      </c>
    </row>
    <row r="291" spans="1:17" ht="15.5" x14ac:dyDescent="0.35">
      <c r="A291" s="3" t="str">
        <f>HYPERLINK("https://edmondsonsupply.com/collections/storage-organization/products/veto-pro-pac-tp-lc-tool-pouch", "https://edmondsonsupply.com/collections/storage-organization/products/veto-pro-pac-tp-lc-tool-pouch")</f>
        <v>https://edmondsonsupply.com/collections/storage-organization/products/veto-pro-pac-tp-lc-tool-pouch</v>
      </c>
      <c r="B291" s="3" t="str">
        <f>HYPERLINK("https://edmondsonsupply.com/products/veto-pro-pac-tp-lc-tool-pouch", "https://edmondsonsupply.com/products/veto-pro-pac-tp-lc-tool-pouch")</f>
        <v>https://edmondsonsupply.com/products/veto-pro-pac-tp-lc-tool-pouch</v>
      </c>
      <c r="C291" t="s">
        <v>459</v>
      </c>
      <c r="D291" t="s">
        <v>730</v>
      </c>
      <c r="E291" s="3" t="str">
        <f>HYPERLINK("https://www.amazon.com/Veto-Pro-Pac-MB-Pouch/dp/B008471S4I/ref=sr_1_7?keywords=Veto+Pro+Pac+TP-LC+Tool+Pouch&amp;qid=1695173187&amp;sr=8-7", "https://www.amazon.com/Veto-Pro-Pac-MB-Pouch/dp/B008471S4I/ref=sr_1_7?keywords=Veto+Pro+Pac+TP-LC+Tool+Pouch&amp;qid=1695173187&amp;sr=8-7")</f>
        <v>https://www.amazon.com/Veto-Pro-Pac-MB-Pouch/dp/B008471S4I/ref=sr_1_7?keywords=Veto+Pro+Pac+TP-LC+Tool+Pouch&amp;qid=1695173187&amp;sr=8-7</v>
      </c>
      <c r="F291" t="s">
        <v>731</v>
      </c>
      <c r="G291" t="e">
        <f ca="1">_xludf.IMAGE("https://edmondsonsupply.com/cdn/shop/products/TPLC.jpg?v=1648948141")</f>
        <v>#NAME?</v>
      </c>
      <c r="H291" t="e">
        <f ca="1">_xludf.IMAGE("https://m.media-amazon.com/images/I/91BzQgD8ZJL._AC_UL320_.jpg")</f>
        <v>#NAME?</v>
      </c>
      <c r="I291" t="s">
        <v>460</v>
      </c>
      <c r="J291">
        <v>59.95</v>
      </c>
      <c r="K291" s="4">
        <v>-0.55589999999999995</v>
      </c>
      <c r="L291">
        <v>4.8</v>
      </c>
      <c r="M291">
        <v>544</v>
      </c>
      <c r="O291" t="s">
        <v>25</v>
      </c>
      <c r="P291" t="s">
        <v>138</v>
      </c>
      <c r="Q291" t="s">
        <v>461</v>
      </c>
    </row>
    <row r="292" spans="1:17" ht="15.5" x14ac:dyDescent="0.35">
      <c r="A292" s="3" t="str">
        <f>HYPERLINK("https://edmondsonsupply.com/collections/storage-organization/products/veto-pro-pac-tp-lc-tool-pouch", "https://edmondsonsupply.com/collections/storage-organization/products/veto-pro-pac-tp-lc-tool-pouch")</f>
        <v>https://edmondsonsupply.com/collections/storage-organization/products/veto-pro-pac-tp-lc-tool-pouch</v>
      </c>
      <c r="B292" s="3" t="str">
        <f>HYPERLINK("https://edmondsonsupply.com/products/veto-pro-pac-tp-lc-tool-pouch", "https://edmondsonsupply.com/products/veto-pro-pac-tp-lc-tool-pouch")</f>
        <v>https://edmondsonsupply.com/products/veto-pro-pac-tp-lc-tool-pouch</v>
      </c>
      <c r="C292" t="s">
        <v>459</v>
      </c>
      <c r="D292" t="s">
        <v>728</v>
      </c>
      <c r="E292" s="3" t="str">
        <f>HYPERLINK("https://www.amazon.com/Veto-Pro-Pac-TP3-Pouch/dp/B008471T42/ref=sr_1_4?keywords=Veto+Pro+Pac+TP-LC+Tool+Pouch&amp;qid=1695173187&amp;sr=8-4", "https://www.amazon.com/Veto-Pro-Pac-TP3-Pouch/dp/B008471T42/ref=sr_1_4?keywords=Veto+Pro+Pac+TP-LC+Tool+Pouch&amp;qid=1695173187&amp;sr=8-4")</f>
        <v>https://www.amazon.com/Veto-Pro-Pac-TP3-Pouch/dp/B008471T42/ref=sr_1_4?keywords=Veto+Pro+Pac+TP-LC+Tool+Pouch&amp;qid=1695173187&amp;sr=8-4</v>
      </c>
      <c r="F292" t="s">
        <v>729</v>
      </c>
      <c r="G292" t="e">
        <f ca="1">_xludf.IMAGE("https://edmondsonsupply.com/cdn/shop/products/TPLC.jpg?v=1648948141")</f>
        <v>#NAME?</v>
      </c>
      <c r="H292" t="e">
        <f ca="1">_xludf.IMAGE("https://m.media-amazon.com/images/I/911jQmUqGIL._AC_UL320_.jpg")</f>
        <v>#NAME?</v>
      </c>
      <c r="I292" t="s">
        <v>460</v>
      </c>
      <c r="J292">
        <v>59.95</v>
      </c>
      <c r="K292" s="4">
        <v>-0.55589999999999995</v>
      </c>
      <c r="L292">
        <v>4.7</v>
      </c>
      <c r="M292">
        <v>512</v>
      </c>
      <c r="O292" t="s">
        <v>25</v>
      </c>
      <c r="P292" t="s">
        <v>138</v>
      </c>
      <c r="Q292" t="s">
        <v>461</v>
      </c>
    </row>
    <row r="293" spans="1:17" ht="15.5" x14ac:dyDescent="0.35">
      <c r="A293" s="3" t="str">
        <f>HYPERLINK("https://edmondsonsupply.com/collections/storage-organization/products/veto-pro-pac-tech-pac-blackout-backpack", "https://edmondsonsupply.com/collections/storage-organization/products/veto-pro-pac-tech-pac-blackout-backpack")</f>
        <v>https://edmondsonsupply.com/collections/storage-organization/products/veto-pro-pac-tech-pac-blackout-backpack</v>
      </c>
      <c r="B293" s="3" t="str">
        <f>HYPERLINK("https://edmondsonsupply.com/products/veto-pro-pac-tech-pac-blackout-backpack", "https://edmondsonsupply.com/products/veto-pro-pac-tech-pac-blackout-backpack")</f>
        <v>https://edmondsonsupply.com/products/veto-pro-pac-tech-pac-blackout-backpack</v>
      </c>
      <c r="C293" t="s">
        <v>611</v>
      </c>
      <c r="D293" t="s">
        <v>371</v>
      </c>
      <c r="E293" s="3" t="str">
        <f>HYPERLINK("https://www.amazon.com/Veto-TP-LC-Compact-Zippered-Service/dp/B09TPZKBDP/ref=sr_1_8?keywords=Veto+Pro+Pac+TECH+PAC+Blackout+Backpack&amp;qid=1695173158&amp;sr=8-8", "https://www.amazon.com/Veto-TP-LC-Compact-Zippered-Service/dp/B09TPZKBDP/ref=sr_1_8?keywords=Veto+Pro+Pac+TECH+PAC+Blackout+Backpack&amp;qid=1695173158&amp;sr=8-8")</f>
        <v>https://www.amazon.com/Veto-TP-LC-Compact-Zippered-Service/dp/B09TPZKBDP/ref=sr_1_8?keywords=Veto+Pro+Pac+TECH+PAC+Blackout+Backpack&amp;qid=1695173158&amp;sr=8-8</v>
      </c>
      <c r="F293" t="s">
        <v>372</v>
      </c>
      <c r="G293" t="e">
        <f ca="1">_xludf.IMAGE("https://edmondsonsupply.com/cdn/shop/products/tech1.jpg?v=1633031041")</f>
        <v>#NAME?</v>
      </c>
      <c r="H293" t="e">
        <f ca="1">_xludf.IMAGE("https://m.media-amazon.com/images/I/51b1SiebzcL._AC_UL320_.jpg")</f>
        <v>#NAME?</v>
      </c>
      <c r="I293" t="s">
        <v>612</v>
      </c>
      <c r="J293">
        <v>134.94999999999999</v>
      </c>
      <c r="K293" s="4">
        <v>-0.59099999999999997</v>
      </c>
      <c r="L293">
        <v>4.8</v>
      </c>
      <c r="M293">
        <v>281</v>
      </c>
      <c r="O293" t="s">
        <v>25</v>
      </c>
      <c r="P293" t="s">
        <v>138</v>
      </c>
      <c r="Q293" t="s">
        <v>613</v>
      </c>
    </row>
    <row r="294" spans="1:17" ht="15.5" x14ac:dyDescent="0.35">
      <c r="A294" s="3" t="str">
        <f>HYPERLINK("https://edmondsonsupply.com/collections/storage-organization/products/veto-pro-pac-wrencher-lc", "https://edmondsonsupply.com/collections/storage-organization/products/veto-pro-pac-wrencher-lc")</f>
        <v>https://edmondsonsupply.com/collections/storage-organization/products/veto-pro-pac-wrencher-lc</v>
      </c>
      <c r="B294" s="3" t="str">
        <f>HYPERLINK("https://edmondsonsupply.com/products/veto-pro-pac-wrencher-lc", "https://edmondsonsupply.com/products/veto-pro-pac-wrencher-lc")</f>
        <v>https://edmondsonsupply.com/products/veto-pro-pac-wrencher-lc</v>
      </c>
      <c r="C294" t="s">
        <v>608</v>
      </c>
      <c r="D294" t="s">
        <v>371</v>
      </c>
      <c r="E294" s="3" t="str">
        <f>HYPERLINK("https://www.amazon.com/Veto-TP-LC-Compact-Zippered-Service/dp/B09TPZKBDP/ref=sr_1_3?keywords=Veto+Pro+Pac+Wrencher+LC&amp;qid=1695173164&amp;sr=8-3", "https://www.amazon.com/Veto-TP-LC-Compact-Zippered-Service/dp/B09TPZKBDP/ref=sr_1_3?keywords=Veto+Pro+Pac+Wrencher+LC&amp;qid=1695173164&amp;sr=8-3")</f>
        <v>https://www.amazon.com/Veto-TP-LC-Compact-Zippered-Service/dp/B09TPZKBDP/ref=sr_1_3?keywords=Veto+Pro+Pac+Wrencher+LC&amp;qid=1695173164&amp;sr=8-3</v>
      </c>
      <c r="F294" t="s">
        <v>372</v>
      </c>
      <c r="G294" t="e">
        <f ca="1">_xludf.IMAGE("https://edmondsonsupply.com/cdn/shop/products/0004_WRENCHER-LC_16-1.jpg?v=1675796113")</f>
        <v>#NAME?</v>
      </c>
      <c r="H294" t="e">
        <f ca="1">_xludf.IMAGE("https://m.media-amazon.com/images/I/51b1SiebzcL._AC_UL320_.jpg")</f>
        <v>#NAME?</v>
      </c>
      <c r="I294" t="s">
        <v>609</v>
      </c>
      <c r="J294">
        <v>134.94999999999999</v>
      </c>
      <c r="K294" s="4">
        <v>-0.60309999999999997</v>
      </c>
      <c r="L294">
        <v>4.8</v>
      </c>
      <c r="M294">
        <v>281</v>
      </c>
      <c r="O294" t="s">
        <v>25</v>
      </c>
      <c r="P294" t="s">
        <v>138</v>
      </c>
      <c r="Q294" t="s">
        <v>610</v>
      </c>
    </row>
    <row r="295" spans="1:17" ht="15.5" x14ac:dyDescent="0.35">
      <c r="A295" s="3" t="str">
        <f>HYPERLINK("https://edmondsonsupply.com/collections/storage-organization/products/milwaukee-48-22-8435-packout%E2%84%A2-compact-organizer", "https://edmondsonsupply.com/collections/storage-organization/products/milwaukee-48-22-8435-packout%E2%84%A2-compact-organizer")</f>
        <v>https://edmondsonsupply.com/collections/storage-organization/products/milwaukee-48-22-8435-packout%E2%84%A2-compact-organizer</v>
      </c>
      <c r="B295" s="3" t="str">
        <f>HYPERLINK("https://edmondsonsupply.com/products/milwaukee-48-22-8435-packout%e2%84%a2-compact-organizer", "https://edmondsonsupply.com/products/milwaukee-48-22-8435-packout%e2%84%a2-compact-organizer")</f>
        <v>https://edmondsonsupply.com/products/milwaukee-48-22-8435-packout%e2%84%a2-compact-organizer</v>
      </c>
      <c r="C295" t="s">
        <v>337</v>
      </c>
      <c r="D295" t="s">
        <v>792</v>
      </c>
      <c r="E295" s="3" t="str">
        <f>HYPERLINK("https://www.amazon.com/Milwaukee-PACKOUT-Organizer-48-22-8435-57KFI-MILW-8435/dp/B0B5FQ7NGJ/ref=sr_1_3?keywords=Milwaukee+48-22-8435+PACKOUT%E2%84%A2+Compact+Organizer&amp;qid=1695173186&amp;sr=8-3", "https://www.amazon.com/Milwaukee-PACKOUT-Organizer-48-22-8435-57KFI-MILW-8435/dp/B0B5FQ7NGJ/ref=sr_1_3?keywords=Milwaukee+48-22-8435+PACKOUT%E2%84%A2+Compact+Organizer&amp;qid=1695173186&amp;sr=8-3")</f>
        <v>https://www.amazon.com/Milwaukee-PACKOUT-Organizer-48-22-8435-57KFI-MILW-8435/dp/B0B5FQ7NGJ/ref=sr_1_3?keywords=Milwaukee+48-22-8435+PACKOUT%E2%84%A2+Compact+Organizer&amp;qid=1695173186&amp;sr=8-3</v>
      </c>
      <c r="F295" t="s">
        <v>793</v>
      </c>
      <c r="G295" t="e">
        <f ca="1">_xludf.IMAGE("https://edmondsonsupply.com/cdn/shop/products/48-22-8435_1.png?v=1671723464")</f>
        <v>#NAME?</v>
      </c>
      <c r="H295" t="e">
        <f ca="1">_xludf.IMAGE("https://m.media-amazon.com/images/I/810IfuEI8RL._AC_UL320_.jpg")</f>
        <v>#NAME?</v>
      </c>
      <c r="I295" t="s">
        <v>340</v>
      </c>
      <c r="J295">
        <v>12.5</v>
      </c>
      <c r="K295" s="4">
        <v>-0.64259999999999995</v>
      </c>
      <c r="L295">
        <v>4.5</v>
      </c>
      <c r="M295">
        <v>71</v>
      </c>
      <c r="O295" t="s">
        <v>25</v>
      </c>
      <c r="P295" t="s">
        <v>341</v>
      </c>
      <c r="Q295" t="s">
        <v>342</v>
      </c>
    </row>
    <row r="296" spans="1:17" ht="15.5" x14ac:dyDescent="0.35">
      <c r="A296" s="3" t="str">
        <f>HYPERLINK("https://edmondsonsupply.com/collections/storage-organization/products/veto-pro-pac-tp-xxl-blackout-tool-pouch", "https://edmondsonsupply.com/collections/storage-organization/products/veto-pro-pac-tp-xxl-blackout-tool-pouch")</f>
        <v>https://edmondsonsupply.com/collections/storage-organization/products/veto-pro-pac-tp-xxl-blackout-tool-pouch</v>
      </c>
      <c r="B296" s="3" t="str">
        <f>HYPERLINK("https://edmondsonsupply.com/products/veto-pro-pac-tp-xxl-blackout-tool-pouch", "https://edmondsonsupply.com/products/veto-pro-pac-tp-xxl-blackout-tool-pouch")</f>
        <v>https://edmondsonsupply.com/products/veto-pro-pac-tp-xxl-blackout-tool-pouch</v>
      </c>
      <c r="C296" t="s">
        <v>758</v>
      </c>
      <c r="D296" t="s">
        <v>628</v>
      </c>
      <c r="E296" s="3" t="str">
        <f>HYPERLINK("https://www.amazon.com/VETO-TP4-Technician-Tool-Pouch/dp/B00EY8DZ42/ref=sr_1_10?keywords=Veto+Pro+Pac+TP-XXL+Blackout+Tool+Pouch&amp;qid=1695173159&amp;sr=8-10", "https://www.amazon.com/VETO-TP4-Technician-Tool-Pouch/dp/B00EY8DZ42/ref=sr_1_10?keywords=Veto+Pro+Pac+TP-XXL+Blackout+Tool+Pouch&amp;qid=1695173159&amp;sr=8-10")</f>
        <v>https://www.amazon.com/VETO-TP4-Technician-Tool-Pouch/dp/B00EY8DZ42/ref=sr_1_10?keywords=Veto+Pro+Pac+TP-XXL+Blackout+Tool+Pouch&amp;qid=1695173159&amp;sr=8-10</v>
      </c>
      <c r="F296" t="s">
        <v>629</v>
      </c>
      <c r="G296" t="e">
        <f ca="1">_xludf.IMAGE("https://edmondsonsupply.com/cdn/shop/files/TP-xxl_blackout_600x830_0000_TP-XXL_BLACKOUT_0379.jpg?v=1685736106")</f>
        <v>#NAME?</v>
      </c>
      <c r="H296" t="e">
        <f ca="1">_xludf.IMAGE("https://m.media-amazon.com/images/I/61ppYqUQVHL._AC_UL320_.jpg")</f>
        <v>#NAME?</v>
      </c>
      <c r="I296" t="s">
        <v>759</v>
      </c>
      <c r="J296">
        <v>74.95</v>
      </c>
      <c r="K296" s="4">
        <v>-0.68769999999999998</v>
      </c>
      <c r="L296">
        <v>4.7</v>
      </c>
      <c r="M296">
        <v>458</v>
      </c>
      <c r="O296" t="s">
        <v>171</v>
      </c>
      <c r="P296" t="s">
        <v>138</v>
      </c>
      <c r="Q296" t="s">
        <v>760</v>
      </c>
    </row>
    <row r="297" spans="1:17" ht="15.5" x14ac:dyDescent="0.35">
      <c r="A297" s="3" t="str">
        <f>HYPERLINK("https://edmondsonsupply.com/collections/storage-organization/products/veto-pro-pac-tp-xxl-tool-pouch", "https://edmondsonsupply.com/collections/storage-organization/products/veto-pro-pac-tp-xxl-tool-pouch")</f>
        <v>https://edmondsonsupply.com/collections/storage-organization/products/veto-pro-pac-tp-xxl-tool-pouch</v>
      </c>
      <c r="B297" s="3" t="str">
        <f>HYPERLINK("https://edmondsonsupply.com/products/veto-pro-pac-tp-xxl-tool-pouch", "https://edmondsonsupply.com/products/veto-pro-pac-tp-xxl-tool-pouch")</f>
        <v>https://edmondsonsupply.com/products/veto-pro-pac-tp-xxl-tool-pouch</v>
      </c>
      <c r="C297" t="s">
        <v>451</v>
      </c>
      <c r="D297" t="s">
        <v>730</v>
      </c>
      <c r="E297" s="3" t="str">
        <f>HYPERLINK("https://www.amazon.com/Veto-Pro-Pac-MB-Pouch/dp/B008471S4I/ref=sr_1_7?keywords=Veto+Pro+Pac+TP-XXL+Tool+Pouch&amp;qid=1695173161&amp;sr=8-7", "https://www.amazon.com/Veto-Pro-Pac-MB-Pouch/dp/B008471S4I/ref=sr_1_7?keywords=Veto+Pro+Pac+TP-XXL+Tool+Pouch&amp;qid=1695173161&amp;sr=8-7")</f>
        <v>https://www.amazon.com/Veto-Pro-Pac-MB-Pouch/dp/B008471S4I/ref=sr_1_7?keywords=Veto+Pro+Pac+TP-XXL+Tool+Pouch&amp;qid=1695173161&amp;sr=8-7</v>
      </c>
      <c r="F297" t="s">
        <v>731</v>
      </c>
      <c r="G297" t="e">
        <f ca="1">_xludf.IMAGE("https://edmondsonsupply.com/cdn/shop/products/01_TP-XXL.jpg?v=1633031173")</f>
        <v>#NAME?</v>
      </c>
      <c r="H297" t="e">
        <f ca="1">_xludf.IMAGE("https://m.media-amazon.com/images/I/91BzQgD8ZJL._AC_UL320_.jpg")</f>
        <v>#NAME?</v>
      </c>
      <c r="I297" t="s">
        <v>454</v>
      </c>
      <c r="J297">
        <v>59.95</v>
      </c>
      <c r="K297" s="4">
        <v>-0.71450000000000002</v>
      </c>
      <c r="L297">
        <v>4.8</v>
      </c>
      <c r="M297">
        <v>544</v>
      </c>
      <c r="O297" t="s">
        <v>25</v>
      </c>
      <c r="P297" t="s">
        <v>138</v>
      </c>
      <c r="Q297" t="s">
        <v>455</v>
      </c>
    </row>
    <row r="298" spans="1:17" ht="15.5" x14ac:dyDescent="0.35">
      <c r="A298" s="3" t="str">
        <f>HYPERLINK("https://edmondsonsupply.com/collections/storage-organization/products/milwaukee-48-22-8435-packout%E2%84%A2-compact-organizer", "https://edmondsonsupply.com/collections/storage-organization/products/milwaukee-48-22-8435-packout%E2%84%A2-compact-organizer")</f>
        <v>https://edmondsonsupply.com/collections/storage-organization/products/milwaukee-48-22-8435-packout%E2%84%A2-compact-organizer</v>
      </c>
      <c r="B298" s="3" t="str">
        <f>HYPERLINK("https://edmondsonsupply.com/products/milwaukee-48-22-8435-packout%e2%84%a2-compact-organizer", "https://edmondsonsupply.com/products/milwaukee-48-22-8435-packout%e2%84%a2-compact-organizer")</f>
        <v>https://edmondsonsupply.com/products/milwaukee-48-22-8435-packout%e2%84%a2-compact-organizer</v>
      </c>
      <c r="C298" t="s">
        <v>337</v>
      </c>
      <c r="D298" t="s">
        <v>794</v>
      </c>
      <c r="E298" s="3" t="str">
        <f>HYPERLINK("https://www.amazon.com/Milwaukee-PACKOUTTM-Compact-Organizer-48-22-8435/dp/B0B5W5MLYX/ref=sr_1_7?keywords=Milwaukee+48-22-8435+PACKOUT%E2%84%A2+Compact+Organizer&amp;qid=1695173186&amp;sr=8-7", "https://www.amazon.com/Milwaukee-PACKOUTTM-Compact-Organizer-48-22-8435/dp/B0B5W5MLYX/ref=sr_1_7?keywords=Milwaukee+48-22-8435+PACKOUT%E2%84%A2+Compact+Organizer&amp;qid=1695173186&amp;sr=8-7")</f>
        <v>https://www.amazon.com/Milwaukee-PACKOUTTM-Compact-Organizer-48-22-8435/dp/B0B5W5MLYX/ref=sr_1_7?keywords=Milwaukee+48-22-8435+PACKOUT%E2%84%A2+Compact+Organizer&amp;qid=1695173186&amp;sr=8-7</v>
      </c>
      <c r="F298" t="s">
        <v>795</v>
      </c>
      <c r="G298" t="e">
        <f ca="1">_xludf.IMAGE("https://edmondsonsupply.com/cdn/shop/products/48-22-8435_1.png?v=1671723464")</f>
        <v>#NAME?</v>
      </c>
      <c r="H298" t="e">
        <f ca="1">_xludf.IMAGE("https://m.media-amazon.com/images/I/81-z03G15XL._AC_UL320_.jpg")</f>
        <v>#NAME?</v>
      </c>
      <c r="I298" t="s">
        <v>340</v>
      </c>
      <c r="J298">
        <v>9.9499999999999993</v>
      </c>
      <c r="K298" s="4">
        <v>-0.71550000000000002</v>
      </c>
      <c r="L298">
        <v>3.9</v>
      </c>
      <c r="M298">
        <v>17</v>
      </c>
      <c r="O298" t="s">
        <v>25</v>
      </c>
      <c r="P298" t="s">
        <v>341</v>
      </c>
      <c r="Q298" t="s">
        <v>342</v>
      </c>
    </row>
    <row r="299" spans="1:17" ht="15.5" x14ac:dyDescent="0.35">
      <c r="A299" s="3" t="str">
        <f>HYPERLINK("https://edmondsonsupply.com/collections/storage-organization/products/veto-pro-pac-tp-xxl-blackout-tool-pouch", "https://edmondsonsupply.com/collections/storage-organization/products/veto-pro-pac-tp-xxl-blackout-tool-pouch")</f>
        <v>https://edmondsonsupply.com/collections/storage-organization/products/veto-pro-pac-tp-xxl-blackout-tool-pouch</v>
      </c>
      <c r="B299" s="3" t="str">
        <f>HYPERLINK("https://edmondsonsupply.com/products/veto-pro-pac-tp-xxl-blackout-tool-pouch", "https://edmondsonsupply.com/products/veto-pro-pac-tp-xxl-blackout-tool-pouch")</f>
        <v>https://edmondsonsupply.com/products/veto-pro-pac-tp-xxl-blackout-tool-pouch</v>
      </c>
      <c r="C299" t="s">
        <v>758</v>
      </c>
      <c r="D299" t="s">
        <v>728</v>
      </c>
      <c r="E299" s="3" t="str">
        <f>HYPERLINK("https://www.amazon.com/Veto-Pro-Pac-TP3-Pouch/dp/B008471T42/ref=sr_1_7?keywords=Veto+Pro+Pac+TP-XXL+Blackout+Tool+Pouch&amp;qid=1695173159&amp;sr=8-7", "https://www.amazon.com/Veto-Pro-Pac-TP3-Pouch/dp/B008471T42/ref=sr_1_7?keywords=Veto+Pro+Pac+TP-XXL+Blackout+Tool+Pouch&amp;qid=1695173159&amp;sr=8-7")</f>
        <v>https://www.amazon.com/Veto-Pro-Pac-TP3-Pouch/dp/B008471T42/ref=sr_1_7?keywords=Veto+Pro+Pac+TP-XXL+Blackout+Tool+Pouch&amp;qid=1695173159&amp;sr=8-7</v>
      </c>
      <c r="F299" t="s">
        <v>729</v>
      </c>
      <c r="G299" t="e">
        <f ca="1">_xludf.IMAGE("https://edmondsonsupply.com/cdn/shop/files/TP-xxl_blackout_600x830_0000_TP-XXL_BLACKOUT_0379.jpg?v=1685736106")</f>
        <v>#NAME?</v>
      </c>
      <c r="H299" t="e">
        <f ca="1">_xludf.IMAGE("https://m.media-amazon.com/images/I/911jQmUqGIL._AC_UL320_.jpg")</f>
        <v>#NAME?</v>
      </c>
      <c r="I299" t="s">
        <v>759</v>
      </c>
      <c r="J299">
        <v>59.95</v>
      </c>
      <c r="K299" s="4">
        <v>-0.75019999999999998</v>
      </c>
      <c r="L299">
        <v>4.7</v>
      </c>
      <c r="M299">
        <v>512</v>
      </c>
      <c r="O299" t="s">
        <v>171</v>
      </c>
      <c r="P299" t="s">
        <v>138</v>
      </c>
      <c r="Q299" t="s">
        <v>760</v>
      </c>
    </row>
    <row r="300" spans="1:17" ht="15.5" x14ac:dyDescent="0.35">
      <c r="A300" s="3" t="str">
        <f>HYPERLINK("https://edmondsonsupply.com/collections/storage-organization/products/fluke-c37xt-protective-eva-hard-tool-case", "https://edmondsonsupply.com/collections/storage-organization/products/fluke-c37xt-protective-eva-hard-tool-case")</f>
        <v>https://edmondsonsupply.com/collections/storage-organization/products/fluke-c37xt-protective-eva-hard-tool-case</v>
      </c>
      <c r="B300" s="3" t="str">
        <f>HYPERLINK("https://edmondsonsupply.com/products/fluke-c37xt-protective-eva-hard-tool-case", "https://edmondsonsupply.com/products/fluke-c37xt-protective-eva-hard-tool-case")</f>
        <v>https://edmondsonsupply.com/products/fluke-c37xt-protective-eva-hard-tool-case</v>
      </c>
      <c r="C300" t="s">
        <v>442</v>
      </c>
      <c r="D300" t="s">
        <v>796</v>
      </c>
      <c r="E300" s="3" t="str">
        <f>HYPERLINK("https://www.amazon.com/LTGEM-Fluke-Alert-Voltage-Tester/dp/B08DNGV8QF/ref=sr_1_7?keywords=Fluke+C37XT+Protective+EVA+Hard+Tool+Case&amp;qid=1695173167&amp;sr=8-7", "https://www.amazon.com/LTGEM-Fluke-Alert-Voltage-Tester/dp/B08DNGV8QF/ref=sr_1_7?keywords=Fluke+C37XT+Protective+EVA+Hard+Tool+Case&amp;qid=1695173167&amp;sr=8-7")</f>
        <v>https://www.amazon.com/LTGEM-Fluke-Alert-Voltage-Tester/dp/B08DNGV8QF/ref=sr_1_7?keywords=Fluke+C37XT+Protective+EVA+Hard+Tool+Case&amp;qid=1695173167&amp;sr=8-7</v>
      </c>
      <c r="F300" t="s">
        <v>797</v>
      </c>
      <c r="G300" t="e">
        <f ca="1">_xludf.IMAGE("https://edmondsonsupply.com/cdn/shop/products/F-c37xt_06a_w.webp?v=1665405653")</f>
        <v>#NAME?</v>
      </c>
      <c r="H300" t="e">
        <f ca="1">_xludf.IMAGE("https://m.media-amazon.com/images/I/718DM7qSE0L._AC_UL320_.jpg")</f>
        <v>#NAME?</v>
      </c>
      <c r="I300" t="s">
        <v>443</v>
      </c>
      <c r="J300">
        <v>12.99</v>
      </c>
      <c r="K300" s="4">
        <v>-0.75849999999999995</v>
      </c>
      <c r="L300">
        <v>4.5999999999999996</v>
      </c>
      <c r="M300">
        <v>75</v>
      </c>
      <c r="O300" t="s">
        <v>25</v>
      </c>
      <c r="P300" t="s">
        <v>269</v>
      </c>
      <c r="Q300" t="s">
        <v>444</v>
      </c>
    </row>
    <row r="301" spans="1:17" ht="15.5" x14ac:dyDescent="0.35">
      <c r="A301" s="3" t="str">
        <f>HYPERLINK("https://edmondsonsupply.com/collections/storage-organization/products/milwaukee-48-22-8442-packout%E2%84%A2-2-drawer-tool-box", "https://edmondsonsupply.com/collections/storage-organization/products/milwaukee-48-22-8442-packout%E2%84%A2-2-drawer-tool-box")</f>
        <v>https://edmondsonsupply.com/collections/storage-organization/products/milwaukee-48-22-8442-packout%E2%84%A2-2-drawer-tool-box</v>
      </c>
      <c r="B301" s="3" t="str">
        <f>HYPERLINK("https://edmondsonsupply.com/products/milwaukee-48-22-8442-packout%e2%84%a2-2-drawer-tool-box", "https://edmondsonsupply.com/products/milwaukee-48-22-8442-packout%e2%84%a2-2-drawer-tool-box")</f>
        <v>https://edmondsonsupply.com/products/milwaukee-48-22-8442-packout%e2%84%a2-2-drawer-tool-box</v>
      </c>
      <c r="C301" t="s">
        <v>798</v>
      </c>
      <c r="D301" t="s">
        <v>799</v>
      </c>
      <c r="E301" s="3" t="str">
        <f>HYPERLINK("https://www.amazon.com/Custom-Inserts-48-22-8452-Packout-Milwaukee/dp/B0BRMSHYFF/ref=sr_1_7?keywords=Milwaukee+48-22-8442+PACKOUT%E2%84%A2+2-Drawer+Tool+Box&amp;qid=1695173201&amp;sr=8-7", "https://www.amazon.com/Custom-Inserts-48-22-8452-Packout-Milwaukee/dp/B0BRMSHYFF/ref=sr_1_7?keywords=Milwaukee+48-22-8442+PACKOUT%E2%84%A2+2-Drawer+Tool+Box&amp;qid=1695173201&amp;sr=8-7")</f>
        <v>https://www.amazon.com/Custom-Inserts-48-22-8452-Packout-Milwaukee/dp/B0BRMSHYFF/ref=sr_1_7?keywords=Milwaukee+48-22-8442+PACKOUT%E2%84%A2+2-Drawer+Tool+Box&amp;qid=1695173201&amp;sr=8-7</v>
      </c>
      <c r="F301" t="s">
        <v>800</v>
      </c>
      <c r="G301" t="e">
        <f ca="1">_xludf.IMAGE("https://edmondsonsupply.com/cdn/shop/products/48-22-8442_2.webp?v=1675790677")</f>
        <v>#NAME?</v>
      </c>
      <c r="H301" t="e">
        <f ca="1">_xludf.IMAGE("https://m.media-amazon.com/images/I/81k-3Qp4g3L._AC_UL320_.jpg")</f>
        <v>#NAME?</v>
      </c>
      <c r="I301" t="s">
        <v>692</v>
      </c>
      <c r="J301">
        <v>33.96</v>
      </c>
      <c r="K301" s="4">
        <v>-0.77210000000000001</v>
      </c>
      <c r="L301">
        <v>4.8</v>
      </c>
      <c r="M301">
        <v>8</v>
      </c>
      <c r="O301" t="s">
        <v>25</v>
      </c>
      <c r="P301" t="s">
        <v>801</v>
      </c>
      <c r="Q301" t="s">
        <v>802</v>
      </c>
    </row>
    <row r="302" spans="1:17" ht="15.5" x14ac:dyDescent="0.35">
      <c r="A302" s="3" t="str">
        <f>HYPERLINK("https://edmondsonsupply.com/collections/storage-organization/products/fluke-c60-soft-carrying-case", "https://edmondsonsupply.com/collections/storage-organization/products/fluke-c60-soft-carrying-case")</f>
        <v>https://edmondsonsupply.com/collections/storage-organization/products/fluke-c60-soft-carrying-case</v>
      </c>
      <c r="B302" s="3" t="str">
        <f>HYPERLINK("https://edmondsonsupply.com/products/fluke-c60-soft-carrying-case", "https://edmondsonsupply.com/products/fluke-c60-soft-carrying-case")</f>
        <v>https://edmondsonsupply.com/products/fluke-c60-soft-carrying-case</v>
      </c>
      <c r="C302" t="s">
        <v>265</v>
      </c>
      <c r="D302" t="s">
        <v>803</v>
      </c>
      <c r="E302" s="3" t="str">
        <f>HYPERLINK("https://www.amazon.com/KingSung-Zippered-Multimeter-Shock-Proof-Single-Layer/dp/B0B7HW73BH/ref=sr_1_6?keywords=Fluke+C60+Soft+Carrying+Case&amp;qid=1695173198&amp;sr=8-6", "https://www.amazon.com/KingSung-Zippered-Multimeter-Shock-Proof-Single-Layer/dp/B0B7HW73BH/ref=sr_1_6?keywords=Fluke+C60+Soft+Carrying+Case&amp;qid=1695173198&amp;sr=8-6")</f>
        <v>https://www.amazon.com/KingSung-Zippered-Multimeter-Shock-Proof-Single-Layer/dp/B0B7HW73BH/ref=sr_1_6?keywords=Fluke+C60+Soft+Carrying+Case&amp;qid=1695173198&amp;sr=8-6</v>
      </c>
      <c r="F302" t="s">
        <v>804</v>
      </c>
      <c r="G302" t="e">
        <f ca="1">_xludf.IMAGE("https://edmondsonsupply.com/cdn/shop/products/c60.png?v=1633030926")</f>
        <v>#NAME?</v>
      </c>
      <c r="H302" t="e">
        <f ca="1">_xludf.IMAGE("https://m.media-amazon.com/images/I/81t9HZxI6YL._AC_UL320_.jpg")</f>
        <v>#NAME?</v>
      </c>
      <c r="I302" t="s">
        <v>268</v>
      </c>
      <c r="J302">
        <v>9.99</v>
      </c>
      <c r="K302" s="4">
        <v>-0.79810000000000003</v>
      </c>
      <c r="L302">
        <v>4.4000000000000004</v>
      </c>
      <c r="M302">
        <v>40</v>
      </c>
      <c r="O302" t="s">
        <v>25</v>
      </c>
      <c r="P302" t="s">
        <v>269</v>
      </c>
      <c r="Q302" t="s">
        <v>270</v>
      </c>
    </row>
    <row r="303" spans="1:17" ht="15.5" x14ac:dyDescent="0.35">
      <c r="A303" s="3" t="str">
        <f>HYPERLINK("https://edmondsonsupply.com/collections/storage-organization/products/klein-tools-510212blk-tool-bag-black-canvas-12-inch", "https://edmondsonsupply.com/collections/storage-organization/products/klein-tools-510212blk-tool-bag-black-canvas-12-inch")</f>
        <v>https://edmondsonsupply.com/collections/storage-organization/products/klein-tools-510212blk-tool-bag-black-canvas-12-inch</v>
      </c>
      <c r="B303" s="3" t="str">
        <f>HYPERLINK("https://edmondsonsupply.com/products/klein-tools-510212blk-tool-bag-black-canvas-12-inch", "https://edmondsonsupply.com/products/klein-tools-510212blk-tool-bag-black-canvas-12-inch")</f>
        <v>https://edmondsonsupply.com/products/klein-tools-510212blk-tool-bag-black-canvas-12-inch</v>
      </c>
      <c r="C303" t="s">
        <v>585</v>
      </c>
      <c r="D303" t="s">
        <v>805</v>
      </c>
      <c r="E303" s="3" t="str">
        <f>HYPERLINK("https://www.amazon.com/Klein-Tools-5139B-Cordura-Ballistic/dp/B000OQSS6S/ref=sr_1_8?keywords=Klein+Tools+510212BLK+Tool+Bag%2C+Black+Canvas%2C+12-Inch&amp;qid=1695173168&amp;sr=8-8", "https://www.amazon.com/Klein-Tools-5139B-Cordura-Ballistic/dp/B000OQSS6S/ref=sr_1_8?keywords=Klein+Tools+510212BLK+Tool+Bag%2C+Black+Canvas%2C+12-Inch&amp;qid=1695173168&amp;sr=8-8")</f>
        <v>https://www.amazon.com/Klein-Tools-5139B-Cordura-Ballistic/dp/B000OQSS6S/ref=sr_1_8?keywords=Klein+Tools+510212BLK+Tool+Bag%2C+Black+Canvas%2C+12-Inch&amp;qid=1695173168&amp;sr=8-8</v>
      </c>
      <c r="F303" t="s">
        <v>806</v>
      </c>
      <c r="G303" t="e">
        <f ca="1">_xludf.IMAGE("https://edmondsonsupply.com/cdn/shop/products/510212blk.jpg?v=1666026613")</f>
        <v>#NAME?</v>
      </c>
      <c r="H303" t="e">
        <f ca="1">_xludf.IMAGE("https://m.media-amazon.com/images/I/61oItU6FQmL._AC_UL320_.jpg")</f>
        <v>#NAME?</v>
      </c>
      <c r="I303" t="s">
        <v>588</v>
      </c>
      <c r="J303">
        <v>10.99</v>
      </c>
      <c r="K303" s="4">
        <v>-0.84299999999999997</v>
      </c>
      <c r="L303">
        <v>4.8</v>
      </c>
      <c r="M303">
        <v>2712</v>
      </c>
      <c r="O303" t="s">
        <v>25</v>
      </c>
      <c r="P303" t="s">
        <v>589</v>
      </c>
      <c r="Q303" t="s">
        <v>590</v>
      </c>
    </row>
    <row r="304" spans="1:17" ht="15.5" x14ac:dyDescent="0.35">
      <c r="A304" s="3" t="str">
        <f>HYPERLINK("https://edmondsonsupply.com/collections/storage-organization/products/milwaukee-48-22-8442-packout%E2%84%A2-2-drawer-tool-box", "https://edmondsonsupply.com/collections/storage-organization/products/milwaukee-48-22-8442-packout%E2%84%A2-2-drawer-tool-box")</f>
        <v>https://edmondsonsupply.com/collections/storage-organization/products/milwaukee-48-22-8442-packout%E2%84%A2-2-drawer-tool-box</v>
      </c>
      <c r="B304" s="3" t="str">
        <f>HYPERLINK("https://edmondsonsupply.com/products/milwaukee-48-22-8442-packout%e2%84%a2-2-drawer-tool-box", "https://edmondsonsupply.com/products/milwaukee-48-22-8442-packout%e2%84%a2-2-drawer-tool-box")</f>
        <v>https://edmondsonsupply.com/products/milwaukee-48-22-8442-packout%e2%84%a2-2-drawer-tool-box</v>
      </c>
      <c r="C304" t="s">
        <v>798</v>
      </c>
      <c r="D304" t="s">
        <v>807</v>
      </c>
      <c r="E304" s="3" t="str">
        <f>HYPERLINK("https://www.amazon.com/48-22-8472-Dividers-Compatible-Milwaukee-2-Drawer/dp/B0C1RWQ43Q/ref=sr_1_9?keywords=Milwaukee+48-22-8442+PACKOUT%E2%84%A2+2-Drawer+Tool+Box&amp;qid=1695173201&amp;sr=8-9", "https://www.amazon.com/48-22-8472-Dividers-Compatible-Milwaukee-2-Drawer/dp/B0C1RWQ43Q/ref=sr_1_9?keywords=Milwaukee+48-22-8442+PACKOUT%E2%84%A2+2-Drawer+Tool+Box&amp;qid=1695173201&amp;sr=8-9")</f>
        <v>https://www.amazon.com/48-22-8472-Dividers-Compatible-Milwaukee-2-Drawer/dp/B0C1RWQ43Q/ref=sr_1_9?keywords=Milwaukee+48-22-8442+PACKOUT%E2%84%A2+2-Drawer+Tool+Box&amp;qid=1695173201&amp;sr=8-9</v>
      </c>
      <c r="F304" t="s">
        <v>808</v>
      </c>
      <c r="G304" t="e">
        <f ca="1">_xludf.IMAGE("https://edmondsonsupply.com/cdn/shop/products/48-22-8442_2.webp?v=1675790677")</f>
        <v>#NAME?</v>
      </c>
      <c r="H304" t="e">
        <f ca="1">_xludf.IMAGE("https://m.media-amazon.com/images/I/61-3yJrHBsL._AC_UL320_.jpg")</f>
        <v>#NAME?</v>
      </c>
      <c r="I304" t="s">
        <v>692</v>
      </c>
      <c r="J304">
        <v>20.69</v>
      </c>
      <c r="K304" s="4">
        <v>-0.86109999999999998</v>
      </c>
      <c r="L304">
        <v>3</v>
      </c>
      <c r="M304">
        <v>2</v>
      </c>
      <c r="O304" t="s">
        <v>25</v>
      </c>
      <c r="P304" t="s">
        <v>801</v>
      </c>
      <c r="Q304" t="s">
        <v>802</v>
      </c>
    </row>
    <row r="305" spans="1:17" ht="15.5" x14ac:dyDescent="0.35">
      <c r="A305" s="3" t="str">
        <f>HYPERLINK("https://edmondsonsupply.com/collections/storage-organization/products/milwaukee-48-22-8442-packout%E2%84%A2-2-drawer-tool-box", "https://edmondsonsupply.com/collections/storage-organization/products/milwaukee-48-22-8442-packout%E2%84%A2-2-drawer-tool-box")</f>
        <v>https://edmondsonsupply.com/collections/storage-organization/products/milwaukee-48-22-8442-packout%E2%84%A2-2-drawer-tool-box</v>
      </c>
      <c r="B305" s="3" t="str">
        <f>HYPERLINK("https://edmondsonsupply.com/products/milwaukee-48-22-8442-packout%e2%84%a2-2-drawer-tool-box", "https://edmondsonsupply.com/products/milwaukee-48-22-8442-packout%e2%84%a2-2-drawer-tool-box")</f>
        <v>https://edmondsonsupply.com/products/milwaukee-48-22-8442-packout%e2%84%a2-2-drawer-tool-box</v>
      </c>
      <c r="C305" t="s">
        <v>798</v>
      </c>
      <c r="D305" t="s">
        <v>809</v>
      </c>
      <c r="E305" s="3" t="str">
        <f>HYPERLINK("https://www.amazon.com/48-22-8472-Dividers-Milwaukee-Packout-2-Drawer/dp/B0BZHWN82V/ref=sr_1_10?keywords=Milwaukee+48-22-8442+PACKOUT%E2%84%A2+2-Drawer+Tool+Box&amp;qid=1695173201&amp;sr=8-10", "https://www.amazon.com/48-22-8472-Dividers-Milwaukee-Packout-2-Drawer/dp/B0BZHWN82V/ref=sr_1_10?keywords=Milwaukee+48-22-8442+PACKOUT%E2%84%A2+2-Drawer+Tool+Box&amp;qid=1695173201&amp;sr=8-10")</f>
        <v>https://www.amazon.com/48-22-8472-Dividers-Milwaukee-Packout-2-Drawer/dp/B0BZHWN82V/ref=sr_1_10?keywords=Milwaukee+48-22-8442+PACKOUT%E2%84%A2+2-Drawer+Tool+Box&amp;qid=1695173201&amp;sr=8-10</v>
      </c>
      <c r="F305" t="s">
        <v>810</v>
      </c>
      <c r="G305" t="e">
        <f ca="1">_xludf.IMAGE("https://edmondsonsupply.com/cdn/shop/products/48-22-8442_2.webp?v=1675790677")</f>
        <v>#NAME?</v>
      </c>
      <c r="H305" t="e">
        <f ca="1">_xludf.IMAGE("https://m.media-amazon.com/images/I/51onRVKTIjL._AC_UL320_.jpg")</f>
        <v>#NAME?</v>
      </c>
      <c r="I305" t="s">
        <v>692</v>
      </c>
      <c r="J305">
        <v>19.59</v>
      </c>
      <c r="K305" s="4">
        <v>-0.86850000000000005</v>
      </c>
      <c r="L305">
        <v>3.7</v>
      </c>
      <c r="M305">
        <v>13</v>
      </c>
      <c r="O305" t="s">
        <v>25</v>
      </c>
      <c r="P305" t="s">
        <v>801</v>
      </c>
      <c r="Q305" t="s">
        <v>802</v>
      </c>
    </row>
    <row r="306" spans="1:17" ht="15.5" x14ac:dyDescent="0.35">
      <c r="A306" s="3" t="str">
        <f>HYPERLINK("https://edmondsonsupply.com/collections/storage-organization/products/milwaukee-48-22-8442-packout%E2%84%A2-2-drawer-tool-box", "https://edmondsonsupply.com/collections/storage-organization/products/milwaukee-48-22-8442-packout%E2%84%A2-2-drawer-tool-box")</f>
        <v>https://edmondsonsupply.com/collections/storage-organization/products/milwaukee-48-22-8442-packout%E2%84%A2-2-drawer-tool-box</v>
      </c>
      <c r="B306" s="3" t="str">
        <f>HYPERLINK("https://edmondsonsupply.com/products/milwaukee-48-22-8442-packout%e2%84%a2-2-drawer-tool-box", "https://edmondsonsupply.com/products/milwaukee-48-22-8442-packout%e2%84%a2-2-drawer-tool-box")</f>
        <v>https://edmondsonsupply.com/products/milwaukee-48-22-8442-packout%e2%84%a2-2-drawer-tool-box</v>
      </c>
      <c r="C306" t="s">
        <v>798</v>
      </c>
      <c r="D306" t="s">
        <v>811</v>
      </c>
      <c r="E306" s="3" t="str">
        <f>HYPERLINK("https://www.amazon.com/48-22-8472-Dackout-Dividers-Milwaukee-Packout/dp/B0BYJ5MZHR/ref=sr_1_4?keywords=Milwaukee+48-22-8442+PACKOUT%E2%84%A2+2-Drawer+Tool+Box&amp;qid=1695173201&amp;sr=8-4", "https://www.amazon.com/48-22-8472-Dackout-Dividers-Milwaukee-Packout/dp/B0BYJ5MZHR/ref=sr_1_4?keywords=Milwaukee+48-22-8442+PACKOUT%E2%84%A2+2-Drawer+Tool+Box&amp;qid=1695173201&amp;sr=8-4")</f>
        <v>https://www.amazon.com/48-22-8472-Dackout-Dividers-Milwaukee-Packout/dp/B0BYJ5MZHR/ref=sr_1_4?keywords=Milwaukee+48-22-8442+PACKOUT%E2%84%A2+2-Drawer+Tool+Box&amp;qid=1695173201&amp;sr=8-4</v>
      </c>
      <c r="F306" t="s">
        <v>812</v>
      </c>
      <c r="G306" t="e">
        <f ca="1">_xludf.IMAGE("https://edmondsonsupply.com/cdn/shop/products/48-22-8442_2.webp?v=1675790677")</f>
        <v>#NAME?</v>
      </c>
      <c r="H306" t="e">
        <f ca="1">_xludf.IMAGE("https://m.media-amazon.com/images/I/51edGTf4y-L._AC_UL320_.jpg")</f>
        <v>#NAME?</v>
      </c>
      <c r="I306" t="s">
        <v>692</v>
      </c>
      <c r="J306">
        <v>19.59</v>
      </c>
      <c r="K306" s="4">
        <v>-0.86850000000000005</v>
      </c>
      <c r="L306">
        <v>3.9</v>
      </c>
      <c r="M306">
        <v>21</v>
      </c>
      <c r="O306" t="s">
        <v>25</v>
      </c>
      <c r="P306" t="s">
        <v>801</v>
      </c>
      <c r="Q306" t="s">
        <v>802</v>
      </c>
    </row>
    <row r="307" spans="1:17" ht="15.5" x14ac:dyDescent="0.35">
      <c r="A307" s="3" t="str">
        <f>HYPERLINK("https://edmondsonsupply.com/collections/storage-organization/products/milwaukee-48-22-8426-packout%E2%84%A2-rolling-tool-box", "https://edmondsonsupply.com/collections/storage-organization/products/milwaukee-48-22-8426-packout%E2%84%A2-rolling-tool-box")</f>
        <v>https://edmondsonsupply.com/collections/storage-organization/products/milwaukee-48-22-8426-packout%E2%84%A2-rolling-tool-box</v>
      </c>
      <c r="B307" s="3" t="str">
        <f>HYPERLINK("https://edmondsonsupply.com/products/milwaukee-48-22-8426-packout%e2%84%a2-rolling-tool-box", "https://edmondsonsupply.com/products/milwaukee-48-22-8426-packout%e2%84%a2-rolling-tool-box")</f>
        <v>https://edmondsonsupply.com/products/milwaukee-48-22-8426-packout%e2%84%a2-rolling-tool-box</v>
      </c>
      <c r="C307" t="s">
        <v>279</v>
      </c>
      <c r="D307" t="s">
        <v>813</v>
      </c>
      <c r="E307" s="3" t="str">
        <f>HYPERLINK("https://www.amazon.com/Packout-Release-Convenient-Milwaukee-48-22-8426/dp/B0C7GVHF2Y/ref=sr_1_1?keywords=Milwaukee+48-22-8426+PACKOUT%E2%84%A2+Rolling+Tool+Box&amp;qid=1695173174&amp;sr=8-1", "https://www.amazon.com/Packout-Release-Convenient-Milwaukee-48-22-8426/dp/B0C7GVHF2Y/ref=sr_1_1?keywords=Milwaukee+48-22-8426+PACKOUT%E2%84%A2+Rolling+Tool+Box&amp;qid=1695173174&amp;sr=8-1")</f>
        <v>https://www.amazon.com/Packout-Release-Convenient-Milwaukee-48-22-8426/dp/B0C7GVHF2Y/ref=sr_1_1?keywords=Milwaukee+48-22-8426+PACKOUT%E2%84%A2+Rolling+Tool+Box&amp;qid=1695173174&amp;sr=8-1</v>
      </c>
      <c r="F307" t="s">
        <v>814</v>
      </c>
      <c r="G307" t="e">
        <f ca="1">_xludf.IMAGE("https://edmondsonsupply.com/cdn/shop/products/48-22-8426_2.webp?v=1674148076")</f>
        <v>#NAME?</v>
      </c>
      <c r="H307" t="e">
        <f ca="1">_xludf.IMAGE("https://m.media-amazon.com/images/I/611fiWwHtAL._AC_UL320_.jpg")</f>
        <v>#NAME?</v>
      </c>
      <c r="I307" t="s">
        <v>282</v>
      </c>
      <c r="J307">
        <v>13.55</v>
      </c>
      <c r="K307" s="4">
        <v>-0.90249999999999997</v>
      </c>
      <c r="L307">
        <v>3.8</v>
      </c>
      <c r="M307">
        <v>5</v>
      </c>
      <c r="O307" t="s">
        <v>171</v>
      </c>
      <c r="P307" t="s">
        <v>283</v>
      </c>
      <c r="Q307" t="s">
        <v>284</v>
      </c>
    </row>
    <row r="308" spans="1:17" ht="15.5" x14ac:dyDescent="0.35">
      <c r="A308" s="3" t="str">
        <f>HYPERLINK("https://edmondsonsupply.com/collections/personal-protection-safety/products/klein-tools-60177-breakaway-lanyard-for-safety-glasses", "https://edmondsonsupply.com/collections/personal-protection-safety/products/klein-tools-60177-breakaway-lanyard-for-safety-glasses")</f>
        <v>https://edmondsonsupply.com/collections/personal-protection-safety/products/klein-tools-60177-breakaway-lanyard-for-safety-glasses</v>
      </c>
      <c r="B308" s="3" t="str">
        <f>HYPERLINK("https://edmondsonsupply.com/products/klein-tools-60177-breakaway-lanyard-for-safety-glasses", "https://edmondsonsupply.com/products/klein-tools-60177-breakaway-lanyard-for-safety-glasses")</f>
        <v>https://edmondsonsupply.com/products/klein-tools-60177-breakaway-lanyard-for-safety-glasses</v>
      </c>
      <c r="C308" t="s">
        <v>815</v>
      </c>
      <c r="D308" t="s">
        <v>816</v>
      </c>
      <c r="E308" s="3" t="str">
        <f>HYPERLINK("https://www.amazon.com/Klein-80055-Glasses-Professional-Breakaway/dp/B09HR9RV4H/ref=sr_1_2?keywords=Klein+Tools+60177+Breakaway+Lanyard+for+Safety+Glasses&amp;qid=1695173237&amp;sr=8-2", "https://www.amazon.com/Klein-80055-Glasses-Professional-Breakaway/dp/B09HR9RV4H/ref=sr_1_2?keywords=Klein+Tools+60177+Breakaway+Lanyard+for+Safety+Glasses&amp;qid=1695173237&amp;sr=8-2")</f>
        <v>https://www.amazon.com/Klein-80055-Glasses-Professional-Breakaway/dp/B09HR9RV4H/ref=sr_1_2?keywords=Klein+Tools+60177+Breakaway+Lanyard+for+Safety+Glasses&amp;qid=1695173237&amp;sr=8-2</v>
      </c>
      <c r="F308" t="s">
        <v>817</v>
      </c>
      <c r="G308" t="e">
        <f ca="1">_xludf.IMAGE("https://edmondsonsupply.com/cdn/shop/products/60177.jpg?v=1633030858")</f>
        <v>#NAME?</v>
      </c>
      <c r="H308" t="e">
        <f ca="1">_xludf.IMAGE("https://m.media-amazon.com/images/I/61L5l7dmmiL._AC_UL320_.jpg")</f>
        <v>#NAME?</v>
      </c>
      <c r="I308" t="s">
        <v>818</v>
      </c>
      <c r="J308">
        <v>49.99</v>
      </c>
      <c r="K308" s="4">
        <v>24.1206</v>
      </c>
      <c r="L308">
        <v>4.5</v>
      </c>
      <c r="M308">
        <v>13</v>
      </c>
      <c r="O308" t="s">
        <v>25</v>
      </c>
      <c r="P308" t="s">
        <v>819</v>
      </c>
      <c r="Q308" t="s">
        <v>820</v>
      </c>
    </row>
    <row r="309" spans="1:17" ht="15.5" x14ac:dyDescent="0.35">
      <c r="A309" s="3" t="str">
        <f>HYPERLINK("https://edmondsonsupply.com/collections/personal-protection-safety/products/klein-tools-56062-rechargeable-headlamp-and-worklight-300-lumens-all-day-runtime", "https://edmondsonsupply.com/collections/personal-protection-safety/products/klein-tools-56062-rechargeable-headlamp-and-worklight-300-lumens-all-day-runtime")</f>
        <v>https://edmondsonsupply.com/collections/personal-protection-safety/products/klein-tools-56062-rechargeable-headlamp-and-worklight-300-lumens-all-day-runtime</v>
      </c>
      <c r="B309" s="3" t="str">
        <f>HYPERLINK("https://edmondsonsupply.com/products/klein-tools-56062-rechargeable-headlamp-and-worklight-300-lumens-all-day-runtime", "https://edmondsonsupply.com/products/klein-tools-56062-rechargeable-headlamp-and-worklight-300-lumens-all-day-runtime")</f>
        <v>https://edmondsonsupply.com/products/klein-tools-56062-rechargeable-headlamp-and-worklight-300-lumens-all-day-runtime</v>
      </c>
      <c r="C309" t="s">
        <v>821</v>
      </c>
      <c r="D309" t="s">
        <v>822</v>
      </c>
      <c r="E309" s="3" t="str">
        <f>HYPERLINK("https://www.amazon.com/Klein-Tools-Rechargeable-Headlamp-Worklight/dp/B09T6ZC141/ref=sr_1_7?keywords=Klein+Tools+56062+Rechargeable+Headlamp+and+Worklight%2C+300+Lumens+All-Day+Runtime&amp;qid=1695173250&amp;sr=8-7", "https://www.amazon.com/Klein-Tools-Rechargeable-Headlamp-Worklight/dp/B09T6ZC141/ref=sr_1_7?keywords=Klein+Tools+56062+Rechargeable+Headlamp+and+Worklight%2C+300+Lumens+All-Day+Runtime&amp;qid=1695173250&amp;sr=8-7")</f>
        <v>https://www.amazon.com/Klein-Tools-Rechargeable-Headlamp-Worklight/dp/B09T6ZC141/ref=sr_1_7?keywords=Klein+Tools+56062+Rechargeable+Headlamp+and+Worklight%2C+300+Lumens+All-Day+Runtime&amp;qid=1695173250&amp;sr=8-7</v>
      </c>
      <c r="F309" t="s">
        <v>823</v>
      </c>
      <c r="G309" t="e">
        <f ca="1">_xludf.IMAGE("https://edmondsonsupply.com/cdn/shop/products/56062.jpg?v=1633030735")</f>
        <v>#NAME?</v>
      </c>
      <c r="H309" t="e">
        <f ca="1">_xludf.IMAGE("https://m.media-amazon.com/images/I/51KgvagWX0L._AC_UL320_.jpg")</f>
        <v>#NAME?</v>
      </c>
      <c r="I309" t="s">
        <v>824</v>
      </c>
      <c r="J309">
        <v>146.85</v>
      </c>
      <c r="K309" s="4">
        <v>3.8999000000000001</v>
      </c>
      <c r="L309">
        <v>4.7</v>
      </c>
      <c r="M309">
        <v>4</v>
      </c>
      <c r="O309" t="s">
        <v>25</v>
      </c>
      <c r="P309" t="s">
        <v>825</v>
      </c>
      <c r="Q309" t="s">
        <v>826</v>
      </c>
    </row>
    <row r="310" spans="1:17" ht="15.5" x14ac:dyDescent="0.35">
      <c r="A310" s="3" t="str">
        <f>HYPERLINK("https://edmondsonsupply.com/collections/personal-protection-safety/products/klein-tools-29025-modular-battery-for-klein-tools-cat-no-60155-hard-hat-cooling-fan", "https://edmondsonsupply.com/collections/personal-protection-safety/products/klein-tools-29025-modular-battery-for-klein-tools-cat-no-60155-hard-hat-cooling-fan")</f>
        <v>https://edmondsonsupply.com/collections/personal-protection-safety/products/klein-tools-29025-modular-battery-for-klein-tools-cat-no-60155-hard-hat-cooling-fan</v>
      </c>
      <c r="B310"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310" t="s">
        <v>827</v>
      </c>
      <c r="D310" t="s">
        <v>828</v>
      </c>
      <c r="E310" s="3" t="str">
        <f>HYPERLINK("https://www.amazon.com/Klein-Tools-Rechargeable-Lithium-ion-Portable/dp/B0B56RS25Q/ref=sr_1_3?keywords=Klein+Tools+29025+Modular+Battery+for+Klein+Tools+Cat.+No.+60155+Hard+Hat+Cooling+Fan&amp;qid=1695173223&amp;sr=8-3", "https://www.amazon.com/Klein-Tools-Rechargeable-Lithium-ion-Portable/dp/B0B56RS25Q/ref=sr_1_3?keywords=Klein+Tools+29025+Modular+Battery+for+Klein+Tools+Cat.+No.+60155+Hard+Hat+Cooling+Fan&amp;qid=1695173223&amp;sr=8-3")</f>
        <v>https://www.amazon.com/Klein-Tools-Rechargeable-Lithium-ion-Portable/dp/B0B56RS25Q/ref=sr_1_3?keywords=Klein+Tools+29025+Modular+Battery+for+Klein+Tools+Cat.+No.+60155+Hard+Hat+Cooling+Fan&amp;qid=1695173223&amp;sr=8-3</v>
      </c>
      <c r="F310" t="s">
        <v>829</v>
      </c>
      <c r="G310" t="e">
        <f ca="1">_xludf.IMAGE("https://edmondsonsupply.com/cdn/shop/products/29025.jpg?v=1664802987")</f>
        <v>#NAME?</v>
      </c>
      <c r="H310" t="e">
        <f ca="1">_xludf.IMAGE("https://m.media-amazon.com/images/I/512adTKjRAL._AC_UL320_.jpg")</f>
        <v>#NAME?</v>
      </c>
      <c r="I310" t="s">
        <v>830</v>
      </c>
      <c r="J310">
        <v>151.87</v>
      </c>
      <c r="K310" s="4">
        <v>3.1057000000000001</v>
      </c>
      <c r="L310">
        <v>4.2</v>
      </c>
      <c r="M310">
        <v>10</v>
      </c>
      <c r="O310" t="s">
        <v>25</v>
      </c>
      <c r="P310" t="s">
        <v>831</v>
      </c>
      <c r="Q310" t="s">
        <v>832</v>
      </c>
    </row>
    <row r="311" spans="1:17" ht="15.5" x14ac:dyDescent="0.35">
      <c r="A311" s="3" t="str">
        <f>HYPERLINK("https://edmondsonsupply.com/collections/personal-protection-safety/products/klein-tools-60162-professional-safety-glasses-gray-lens", "https://edmondsonsupply.com/collections/personal-protection-safety/products/klein-tools-60162-professional-safety-glasses-gray-lens")</f>
        <v>https://edmondsonsupply.com/collections/personal-protection-safety/products/klein-tools-60162-professional-safety-glasses-gray-lens</v>
      </c>
      <c r="B311" s="3" t="str">
        <f>HYPERLINK("https://edmondsonsupply.com/products/klein-tools-60162-professional-safety-glasses-gray-lens", "https://edmondsonsupply.com/products/klein-tools-60162-professional-safety-glasses-gray-lens")</f>
        <v>https://edmondsonsupply.com/products/klein-tools-60162-professional-safety-glasses-gray-lens</v>
      </c>
      <c r="C311" t="s">
        <v>833</v>
      </c>
      <c r="D311" t="s">
        <v>816</v>
      </c>
      <c r="E311" s="3" t="str">
        <f>HYPERLINK("https://www.amazon.com/Klein-80055-Glasses-Professional-Breakaway/dp/B09HR9RV4H/ref=sr_1_4?keywords=Klein+Tools+60162+Professional+Safety+Glasses%2C+Gray+Lens&amp;qid=1695173247&amp;sr=8-4", "https://www.amazon.com/Klein-80055-Glasses-Professional-Breakaway/dp/B09HR9RV4H/ref=sr_1_4?keywords=Klein+Tools+60162+Professional+Safety+Glasses%2C+Gray+Lens&amp;qid=1695173247&amp;sr=8-4")</f>
        <v>https://www.amazon.com/Klein-80055-Glasses-Professional-Breakaway/dp/B09HR9RV4H/ref=sr_1_4?keywords=Klein+Tools+60162+Professional+Safety+Glasses%2C+Gray+Lens&amp;qid=1695173247&amp;sr=8-4</v>
      </c>
      <c r="F311" t="s">
        <v>817</v>
      </c>
      <c r="G311" t="e">
        <f ca="1">_xludf.IMAGE("https://edmondsonsupply.com/cdn/shop/products/60162.jpg?v=1633030847")</f>
        <v>#NAME?</v>
      </c>
      <c r="H311" t="e">
        <f ca="1">_xludf.IMAGE("https://m.media-amazon.com/images/I/61L5l7dmmiL._AC_UL320_.jpg")</f>
        <v>#NAME?</v>
      </c>
      <c r="I311" t="s">
        <v>834</v>
      </c>
      <c r="J311">
        <v>49.99</v>
      </c>
      <c r="K311" s="4">
        <v>2.8483000000000001</v>
      </c>
      <c r="L311">
        <v>4.5</v>
      </c>
      <c r="M311">
        <v>13</v>
      </c>
      <c r="O311" t="s">
        <v>25</v>
      </c>
      <c r="P311" t="s">
        <v>835</v>
      </c>
      <c r="Q311" t="s">
        <v>836</v>
      </c>
    </row>
    <row r="312" spans="1:17" ht="15.5" x14ac:dyDescent="0.35">
      <c r="A312" s="3" t="str">
        <f>HYPERLINK("https://edmondsonsupply.com/collections/personal-protection-safety/products/milwaukee-48-73-2041-performance-safety-glasses-with-gaskets-clear", "https://edmondsonsupply.com/collections/personal-protection-safety/products/milwaukee-48-73-2041-performance-safety-glasses-with-gaskets-clear")</f>
        <v>https://edmondsonsupply.com/collections/personal-protection-safety/products/milwaukee-48-73-2041-performance-safety-glasses-with-gaskets-clear</v>
      </c>
      <c r="B312" s="3" t="str">
        <f>HYPERLINK("https://edmondsonsupply.com/products/milwaukee-48-73-2041-performance-safety-glasses-with-gaskets-clear", "https://edmondsonsupply.com/products/milwaukee-48-73-2041-performance-safety-glasses-with-gaskets-clear")</f>
        <v>https://edmondsonsupply.com/products/milwaukee-48-73-2041-performance-safety-glasses-with-gaskets-clear</v>
      </c>
      <c r="C312" t="s">
        <v>837</v>
      </c>
      <c r="D312" t="s">
        <v>838</v>
      </c>
      <c r="E312" s="3" t="str">
        <f>HYPERLINK("https://www.amazon.com/Milwaukee-48-73-2040-Performance-Safety-Glasses/dp/B09ZPZJR4V/ref=sr_1_2?keywords=Milwaukee+48-73-2041+Performance+Safety+Glasses+with+Gaskets%2C+Clear&amp;qid=1695173264&amp;sr=8-2", "https://www.amazon.com/Milwaukee-48-73-2040-Performance-Safety-Glasses/dp/B09ZPZJR4V/ref=sr_1_2?keywords=Milwaukee+48-73-2041+Performance+Safety+Glasses+with+Gaskets%2C+Clear&amp;qid=1695173264&amp;sr=8-2")</f>
        <v>https://www.amazon.com/Milwaukee-48-73-2040-Performance-Safety-Glasses/dp/B09ZPZJR4V/ref=sr_1_2?keywords=Milwaukee+48-73-2041+Performance+Safety+Glasses+with+Gaskets%2C+Clear&amp;qid=1695173264&amp;sr=8-2</v>
      </c>
      <c r="F312" t="s">
        <v>839</v>
      </c>
      <c r="G312" t="e">
        <f ca="1">_xludf.IMAGE("https://edmondsonsupply.com/cdn/shop/products/48-73-2040_7.png?v=1587150340")</f>
        <v>#NAME?</v>
      </c>
      <c r="H312" t="e">
        <f ca="1">_xludf.IMAGE("https://m.media-amazon.com/images/I/81CjI-mgKUL._AC_UL320_.jpg")</f>
        <v>#NAME?</v>
      </c>
      <c r="I312" t="s">
        <v>824</v>
      </c>
      <c r="J312">
        <v>107.89</v>
      </c>
      <c r="K312" s="4">
        <v>2.5998999999999999</v>
      </c>
      <c r="L312">
        <v>4.7</v>
      </c>
      <c r="M312">
        <v>6</v>
      </c>
      <c r="O312" t="s">
        <v>171</v>
      </c>
      <c r="P312" t="s">
        <v>840</v>
      </c>
      <c r="Q312" t="s">
        <v>841</v>
      </c>
    </row>
    <row r="313" spans="1:17" ht="15.5" x14ac:dyDescent="0.35">
      <c r="A313" s="3" t="str">
        <f>HYPERLINK("https://edmondsonsupply.com/collections/personal-protection-safety/products/klein-tools-60245-p100-half-mask-respirator-replacement-filter", "https://edmondsonsupply.com/collections/personal-protection-safety/products/klein-tools-60245-p100-half-mask-respirator-replacement-filter")</f>
        <v>https://edmondsonsupply.com/collections/personal-protection-safety/products/klein-tools-60245-p100-half-mask-respirator-replacement-filter</v>
      </c>
      <c r="B313" s="3" t="str">
        <f>HYPERLINK("https://edmondsonsupply.com/products/klein-tools-60245-p100-half-mask-respirator-replacement-filter", "https://edmondsonsupply.com/products/klein-tools-60245-p100-half-mask-respirator-replacement-filter")</f>
        <v>https://edmondsonsupply.com/products/klein-tools-60245-p100-half-mask-respirator-replacement-filter</v>
      </c>
      <c r="C313" t="s">
        <v>842</v>
      </c>
      <c r="D313" t="s">
        <v>843</v>
      </c>
      <c r="E313" s="3" t="str">
        <f>HYPERLINK("https://www.amazon.com/Klein-80044-Half-Mask-Respirator-Replacement/dp/B09FW2FRX8/ref=sr_1_1?keywords=Klein+Tools+60245+P100+Half-Mask+Respirator+Replacement+Filter&amp;qid=1695173235&amp;sr=8-1", "https://www.amazon.com/Klein-80044-Half-Mask-Respirator-Replacement/dp/B09FW2FRX8/ref=sr_1_1?keywords=Klein+Tools+60245+P100+Half-Mask+Respirator+Replacement+Filter&amp;qid=1695173235&amp;sr=8-1")</f>
        <v>https://www.amazon.com/Klein-80044-Half-Mask-Respirator-Replacement/dp/B09FW2FRX8/ref=sr_1_1?keywords=Klein+Tools+60245+P100+Half-Mask+Respirator+Replacement+Filter&amp;qid=1695173235&amp;sr=8-1</v>
      </c>
      <c r="F313" t="s">
        <v>844</v>
      </c>
      <c r="G313" t="e">
        <f ca="1">_xludf.IMAGE("https://edmondsonsupply.com/cdn/shop/products/60245_0999043a-829a-4bfc-9587-43bf26330e2f.jpg?v=1661863973")</f>
        <v>#NAME?</v>
      </c>
      <c r="H313" t="e">
        <f ca="1">_xludf.IMAGE("https://m.media-amazon.com/images/I/61kQgRHQL4L._AC_UL320_.jpg")</f>
        <v>#NAME?</v>
      </c>
      <c r="I313" t="s">
        <v>288</v>
      </c>
      <c r="J313">
        <v>50.35</v>
      </c>
      <c r="K313" s="4">
        <v>2.5990000000000002</v>
      </c>
      <c r="L313">
        <v>4.5</v>
      </c>
      <c r="M313">
        <v>21</v>
      </c>
      <c r="O313" t="s">
        <v>171</v>
      </c>
      <c r="P313" t="s">
        <v>845</v>
      </c>
      <c r="Q313" t="s">
        <v>846</v>
      </c>
    </row>
    <row r="314" spans="1:17" ht="15.5" x14ac:dyDescent="0.35">
      <c r="A314" s="3" t="str">
        <f>HYPERLINK("https://edmondsonsupply.com/collections/personal-protection-safety/products/klein-tools-60177-breakaway-lanyard-for-safety-glasses", "https://edmondsonsupply.com/collections/personal-protection-safety/products/klein-tools-60177-breakaway-lanyard-for-safety-glasses")</f>
        <v>https://edmondsonsupply.com/collections/personal-protection-safety/products/klein-tools-60177-breakaway-lanyard-for-safety-glasses</v>
      </c>
      <c r="B314" s="3" t="str">
        <f>HYPERLINK("https://edmondsonsupply.com/products/klein-tools-60177-breakaway-lanyard-for-safety-glasses", "https://edmondsonsupply.com/products/klein-tools-60177-breakaway-lanyard-for-safety-glasses")</f>
        <v>https://edmondsonsupply.com/products/klein-tools-60177-breakaway-lanyard-for-safety-glasses</v>
      </c>
      <c r="C314" t="s">
        <v>815</v>
      </c>
      <c r="D314" t="s">
        <v>847</v>
      </c>
      <c r="E314" s="3" t="str">
        <f>HYPERLINK("https://www.amazon.com/Klein-Tools-60177-Eyewear-Breakaway/dp/B08B71M22H/ref=sr_1_1?keywords=Klein+Tools+60177+Breakaway+Lanyard+for+Safety+Glasses&amp;qid=1695173237&amp;sr=8-1", "https://www.amazon.com/Klein-Tools-60177-Eyewear-Breakaway/dp/B08B71M22H/ref=sr_1_1?keywords=Klein+Tools+60177+Breakaway+Lanyard+for+Safety+Glasses&amp;qid=1695173237&amp;sr=8-1")</f>
        <v>https://www.amazon.com/Klein-Tools-60177-Eyewear-Breakaway/dp/B08B71M22H/ref=sr_1_1?keywords=Klein+Tools+60177+Breakaway+Lanyard+for+Safety+Glasses&amp;qid=1695173237&amp;sr=8-1</v>
      </c>
      <c r="F314" t="s">
        <v>848</v>
      </c>
      <c r="G314" t="e">
        <f ca="1">_xludf.IMAGE("https://edmondsonsupply.com/cdn/shop/products/60177.jpg?v=1633030858")</f>
        <v>#NAME?</v>
      </c>
      <c r="H314" t="e">
        <f ca="1">_xludf.IMAGE("https://m.media-amazon.com/images/I/51mD0Lun+QL._AC_UL320_.jpg")</f>
        <v>#NAME?</v>
      </c>
      <c r="I314" t="s">
        <v>818</v>
      </c>
      <c r="J314">
        <v>6.96</v>
      </c>
      <c r="K314" s="4">
        <v>2.4975000000000001</v>
      </c>
      <c r="L314">
        <v>3.8</v>
      </c>
      <c r="M314">
        <v>169</v>
      </c>
      <c r="O314" t="s">
        <v>25</v>
      </c>
      <c r="P314" t="s">
        <v>819</v>
      </c>
      <c r="Q314" t="s">
        <v>820</v>
      </c>
    </row>
    <row r="315" spans="1:17" ht="15.5" x14ac:dyDescent="0.35">
      <c r="A315" s="3" t="str">
        <f>HYPERLINK("https://edmondsonsupply.com/collections/personal-protection-safety/products/klein-tools-29025-modular-battery-for-klein-tools-cat-no-60155-hard-hat-cooling-fan", "https://edmondsonsupply.com/collections/personal-protection-safety/products/klein-tools-29025-modular-battery-for-klein-tools-cat-no-60155-hard-hat-cooling-fan")</f>
        <v>https://edmondsonsupply.com/collections/personal-protection-safety/products/klein-tools-29025-modular-battery-for-klein-tools-cat-no-60155-hard-hat-cooling-fan</v>
      </c>
      <c r="B315"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315" t="s">
        <v>827</v>
      </c>
      <c r="D315" t="s">
        <v>849</v>
      </c>
      <c r="E315" s="3" t="str">
        <f>HYPERLINK("https://www.amazon.com/Klein-Tools-Non-Vented-Rechargeable-Lithium-ion/dp/B0B7MR6XWH/ref=sr_1_2?keywords=Klein+Tools+29025+Modular+Battery+for+Klein+Tools+Cat.+No.+60155+Hard+Hat+Cooling+Fan&amp;qid=1695173223&amp;sr=8-2", "https://www.amazon.com/Klein-Tools-Non-Vented-Rechargeable-Lithium-ion/dp/B0B7MR6XWH/ref=sr_1_2?keywords=Klein+Tools+29025+Modular+Battery+for+Klein+Tools+Cat.+No.+60155+Hard+Hat+Cooling+Fan&amp;qid=1695173223&amp;sr=8-2")</f>
        <v>https://www.amazon.com/Klein-Tools-Non-Vented-Rechargeable-Lithium-ion/dp/B0B7MR6XWH/ref=sr_1_2?keywords=Klein+Tools+29025+Modular+Battery+for+Klein+Tools+Cat.+No.+60155+Hard+Hat+Cooling+Fan&amp;qid=1695173223&amp;sr=8-2</v>
      </c>
      <c r="F315" t="s">
        <v>850</v>
      </c>
      <c r="G315" t="e">
        <f ca="1">_xludf.IMAGE("https://edmondsonsupply.com/cdn/shop/products/29025.jpg?v=1664802987")</f>
        <v>#NAME?</v>
      </c>
      <c r="H315" t="e">
        <f ca="1">_xludf.IMAGE("https://m.media-amazon.com/images/I/5186Hi+TUJL._AC_UL320_.jpg")</f>
        <v>#NAME?</v>
      </c>
      <c r="I315" t="s">
        <v>830</v>
      </c>
      <c r="J315">
        <v>124.98</v>
      </c>
      <c r="K315" s="4">
        <v>2.3788</v>
      </c>
      <c r="L315">
        <v>4.7</v>
      </c>
      <c r="M315">
        <v>4</v>
      </c>
      <c r="O315" t="s">
        <v>25</v>
      </c>
      <c r="P315" t="s">
        <v>831</v>
      </c>
      <c r="Q315" t="s">
        <v>832</v>
      </c>
    </row>
    <row r="316" spans="1:17" ht="15.5" x14ac:dyDescent="0.35">
      <c r="A316"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316"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16" t="s">
        <v>851</v>
      </c>
      <c r="D316" t="s">
        <v>816</v>
      </c>
      <c r="E316" s="3" t="str">
        <f>HYPERLINK("https://www.amazon.com/Klein-80055-Glasses-Professional-Breakaway/dp/B09HR9RV4H/ref=sr_1_5?keywords=Klein+Tools+60163+Professional+Safety+Glasses%2C+Full+Frame%2C+Clear+Lens&amp;qid=1695173243&amp;sr=8-5", "https://www.amazon.com/Klein-80055-Glasses-Professional-Breakaway/dp/B09HR9RV4H/ref=sr_1_5?keywords=Klein+Tools+60163+Professional+Safety+Glasses%2C+Full+Frame%2C+Clear+Lens&amp;qid=1695173243&amp;sr=8-5")</f>
        <v>https://www.amazon.com/Klein-80055-Glasses-Professional-Breakaway/dp/B09HR9RV4H/ref=sr_1_5?keywords=Klein+Tools+60163+Professional+Safety+Glasses%2C+Full+Frame%2C+Clear+Lens&amp;qid=1695173243&amp;sr=8-5</v>
      </c>
      <c r="F316" t="s">
        <v>817</v>
      </c>
      <c r="G316" t="e">
        <f ca="1">_xludf.IMAGE("https://edmondsonsupply.com/cdn/shop/products/60163.jpg?v=1633030848")</f>
        <v>#NAME?</v>
      </c>
      <c r="H316" t="e">
        <f ca="1">_xludf.IMAGE("https://m.media-amazon.com/images/I/61L5l7dmmiL._AC_UL320_.jpg")</f>
        <v>#NAME?</v>
      </c>
      <c r="I316" t="s">
        <v>276</v>
      </c>
      <c r="J316">
        <v>49.99</v>
      </c>
      <c r="K316" s="4">
        <v>2.3349000000000002</v>
      </c>
      <c r="L316">
        <v>4.5</v>
      </c>
      <c r="M316">
        <v>13</v>
      </c>
      <c r="O316" t="s">
        <v>25</v>
      </c>
      <c r="P316" t="s">
        <v>277</v>
      </c>
      <c r="Q316" t="s">
        <v>852</v>
      </c>
    </row>
    <row r="317" spans="1:17" ht="15.5" x14ac:dyDescent="0.35">
      <c r="A317"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317"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17" t="s">
        <v>853</v>
      </c>
      <c r="D317" t="s">
        <v>816</v>
      </c>
      <c r="E317" s="3" t="str">
        <f>HYPERLINK("https://www.amazon.com/Klein-80055-Glasses-Professional-Breakaway/dp/B09HR9RV4H/ref=sr_1_3?keywords=Klein+Tools+60471+Professional+Full-Frame+Gasket+Safety+Glasses%2C+Gray+Lens&amp;qid=1695173231&amp;sr=8-3", "https://www.amazon.com/Klein-80055-Glasses-Professional-Breakaway/dp/B09HR9RV4H/ref=sr_1_3?keywords=Klein+Tools+60471+Professional+Full-Frame+Gasket+Safety+Glasses%2C+Gray+Lens&amp;qid=1695173231&amp;sr=8-3")</f>
        <v>https://www.amazon.com/Klein-80055-Glasses-Professional-Breakaway/dp/B09HR9RV4H/ref=sr_1_3?keywords=Klein+Tools+60471+Professional+Full-Frame+Gasket+Safety+Glasses%2C+Gray+Lens&amp;qid=1695173231&amp;sr=8-3</v>
      </c>
      <c r="F317" t="s">
        <v>817</v>
      </c>
      <c r="G317" t="e">
        <f ca="1">_xludf.IMAGE("https://edmondsonsupply.com/cdn/shop/products/60471.jpg?v=1663257501")</f>
        <v>#NAME?</v>
      </c>
      <c r="H317" t="e">
        <f ca="1">_xludf.IMAGE("https://m.media-amazon.com/images/I/61L5l7dmmiL._AC_UL320_.jpg")</f>
        <v>#NAME?</v>
      </c>
      <c r="I317" t="s">
        <v>252</v>
      </c>
      <c r="J317">
        <v>49.99</v>
      </c>
      <c r="K317" s="4">
        <v>2.1263000000000001</v>
      </c>
      <c r="L317">
        <v>4.5</v>
      </c>
      <c r="M317">
        <v>13</v>
      </c>
      <c r="O317" t="s">
        <v>25</v>
      </c>
      <c r="P317" t="s">
        <v>854</v>
      </c>
      <c r="Q317" t="s">
        <v>855</v>
      </c>
    </row>
    <row r="318" spans="1:17" ht="15.5" x14ac:dyDescent="0.35">
      <c r="A318" s="3" t="str">
        <f>HYPERLINK("https://edmondsonsupply.com/collections/personal-protection-safety/products/milwaukee-48-22-8731-demolition-gloves-medium", "https://edmondsonsupply.com/collections/personal-protection-safety/products/milwaukee-48-22-8731-demolition-gloves-medium")</f>
        <v>https://edmondsonsupply.com/collections/personal-protection-safety/products/milwaukee-48-22-8731-demolition-gloves-medium</v>
      </c>
      <c r="B318" s="3" t="str">
        <f>HYPERLINK("https://edmondsonsupply.com/products/milwaukee-48-22-8731-demolition-gloves-medium", "https://edmondsonsupply.com/products/milwaukee-48-22-8731-demolition-gloves-medium")</f>
        <v>https://edmondsonsupply.com/products/milwaukee-48-22-8731-demolition-gloves-medium</v>
      </c>
      <c r="C318" t="s">
        <v>856</v>
      </c>
      <c r="D318" t="s">
        <v>857</v>
      </c>
      <c r="E318" s="3" t="str">
        <f>HYPERLINK("https://www.amazon.com/Milwaukee-Demolition-Glove-Medium-48-22-9731/dp/B01G4AC3QI/ref=sr_1_3?keywords=Milwaukee+48-22-8731+Demolition+Gloves%2C+Medium&amp;qid=1695173262&amp;sr=8-3", "https://www.amazon.com/Milwaukee-Demolition-Glove-Medium-48-22-9731/dp/B01G4AC3QI/ref=sr_1_3?keywords=Milwaukee+48-22-8731+Demolition+Gloves%2C+Medium&amp;qid=1695173262&amp;sr=8-3")</f>
        <v>https://www.amazon.com/Milwaukee-Demolition-Glove-Medium-48-22-9731/dp/B01G4AC3QI/ref=sr_1_3?keywords=Milwaukee+48-22-8731+Demolition+Gloves%2C+Medium&amp;qid=1695173262&amp;sr=8-3</v>
      </c>
      <c r="F318" t="s">
        <v>858</v>
      </c>
      <c r="G318" t="e">
        <f ca="1">_xludf.IMAGE("https://edmondsonsupply.com/cdn/shop/products/48-22-8732_A.png?v=1587144555")</f>
        <v>#NAME?</v>
      </c>
      <c r="H318" t="e">
        <f ca="1">_xludf.IMAGE("https://m.media-amazon.com/images/I/61IZVrH3a+L._AC_UL320_.jpg")</f>
        <v>#NAME?</v>
      </c>
      <c r="I318" t="s">
        <v>859</v>
      </c>
      <c r="J318">
        <v>73.41</v>
      </c>
      <c r="K318" s="4">
        <v>1.9399</v>
      </c>
      <c r="L318">
        <v>4.3</v>
      </c>
      <c r="M318">
        <v>146</v>
      </c>
      <c r="O318" t="s">
        <v>25</v>
      </c>
      <c r="P318" t="s">
        <v>860</v>
      </c>
      <c r="Q318" t="s">
        <v>861</v>
      </c>
    </row>
    <row r="319" spans="1:17" ht="15.5" x14ac:dyDescent="0.35">
      <c r="A319" s="3" t="str">
        <f>HYPERLINK("https://edmondsonsupply.com/collections/personal-protection-safety/products/hellberg-safety-classic-pop-headband-hearing-protection", "https://edmondsonsupply.com/collections/personal-protection-safety/products/hellberg-safety-classic-pop-headband-hearing-protection")</f>
        <v>https://edmondsonsupply.com/collections/personal-protection-safety/products/hellberg-safety-classic-pop-headband-hearing-protection</v>
      </c>
      <c r="B319" s="3" t="str">
        <f>HYPERLINK("https://edmondsonsupply.com/products/hellberg-safety-classic-pop-headband-hearing-protection", "https://edmondsonsupply.com/products/hellberg-safety-classic-pop-headband-hearing-protection")</f>
        <v>https://edmondsonsupply.com/products/hellberg-safety-classic-pop-headband-hearing-protection</v>
      </c>
      <c r="C319" t="s">
        <v>862</v>
      </c>
      <c r="D319" t="s">
        <v>863</v>
      </c>
      <c r="E319" s="3" t="str">
        <f>HYPERLINK("https://www.amazon.com/Hellberg-Safety-41002-001-Protection-Frequency/dp/B017DJJXOE/ref=sr_1_1?keywords=Hellberg+Safety+Classic+PoP+Headband+Hearing+Protection&amp;qid=1695173245&amp;sr=8-1", "https://www.amazon.com/Hellberg-Safety-41002-001-Protection-Frequency/dp/B017DJJXOE/ref=sr_1_1?keywords=Hellberg+Safety+Classic+PoP+Headband+Hearing+Protection&amp;qid=1695173245&amp;sr=8-1")</f>
        <v>https://www.amazon.com/Hellberg-Safety-41002-001-Protection-Frequency/dp/B017DJJXOE/ref=sr_1_1?keywords=Hellberg+Safety+Classic+PoP+Headband+Hearing+Protection&amp;qid=1695173245&amp;sr=8-1</v>
      </c>
      <c r="F319" t="s">
        <v>864</v>
      </c>
      <c r="G319" t="e">
        <f ca="1">_xludf.IMAGE("https://edmondsonsupply.com/cdn/shop/products/11001-001_Original_637469062196500000.jpg?v=1635631686")</f>
        <v>#NAME?</v>
      </c>
      <c r="H319" t="e">
        <f ca="1">_xludf.IMAGE("https://m.media-amazon.com/images/I/716bzdxEJHL._AC_UL320_.jpg")</f>
        <v>#NAME?</v>
      </c>
      <c r="I319" t="s">
        <v>865</v>
      </c>
      <c r="J319">
        <v>37.090000000000003</v>
      </c>
      <c r="K319" s="4">
        <v>1.8685</v>
      </c>
      <c r="L319">
        <v>4.5</v>
      </c>
      <c r="M319">
        <v>52</v>
      </c>
      <c r="O319" t="s">
        <v>25</v>
      </c>
      <c r="P319" t="s">
        <v>866</v>
      </c>
      <c r="Q319" t="s">
        <v>867</v>
      </c>
    </row>
    <row r="320" spans="1:17" ht="15.5" x14ac:dyDescent="0.35">
      <c r="A320" s="3" t="str">
        <f>HYPERLINK("https://edmondsonsupply.com/collections/personal-protection-safety/products/klein-tools-60345-hard-hat-earmuffs-full-brim-style", "https://edmondsonsupply.com/collections/personal-protection-safety/products/klein-tools-60345-hard-hat-earmuffs-full-brim-style")</f>
        <v>https://edmondsonsupply.com/collections/personal-protection-safety/products/klein-tools-60345-hard-hat-earmuffs-full-brim-style</v>
      </c>
      <c r="B320" s="3" t="str">
        <f>HYPERLINK("https://edmondsonsupply.com/products/klein-tools-60345-hard-hat-earmuffs-full-brim-style", "https://edmondsonsupply.com/products/klein-tools-60345-hard-hat-earmuffs-full-brim-style")</f>
        <v>https://edmondsonsupply.com/products/klein-tools-60345-hard-hat-earmuffs-full-brim-style</v>
      </c>
      <c r="C320" t="s">
        <v>868</v>
      </c>
      <c r="D320" t="s">
        <v>869</v>
      </c>
      <c r="E320" s="3" t="str">
        <f>HYPERLINK("https://www.amazon.com/Klein-Tools-Rechargeable-Headlamp-Earmuffs/dp/B0C1PYTDR6/ref=sr_1_2?keywords=Klein+Tools+60502+Hard+Hat+Earmuffs%2C+Full+Brim+Style&amp;qid=1695173214&amp;sr=8-2", "https://www.amazon.com/Klein-Tools-Rechargeable-Headlamp-Earmuffs/dp/B0C1PYTDR6/ref=sr_1_2?keywords=Klein+Tools+60502+Hard+Hat+Earmuffs%2C+Full+Brim+Style&amp;qid=1695173214&amp;sr=8-2")</f>
        <v>https://www.amazon.com/Klein-Tools-Rechargeable-Headlamp-Earmuffs/dp/B0C1PYTDR6/ref=sr_1_2?keywords=Klein+Tools+60502+Hard+Hat+Earmuffs%2C+Full+Brim+Style&amp;qid=1695173214&amp;sr=8-2</v>
      </c>
      <c r="F320" t="s">
        <v>870</v>
      </c>
      <c r="G320" t="e">
        <f ca="1">_xludf.IMAGE("https://edmondsonsupply.com/cdn/shop/products/60502.jpg?v=1674486730")</f>
        <v>#NAME?</v>
      </c>
      <c r="H320" t="e">
        <f ca="1">_xludf.IMAGE("https://m.media-amazon.com/images/I/416L7EyyxQL._AC_UL320_.jpg")</f>
        <v>#NAME?</v>
      </c>
      <c r="I320" t="s">
        <v>26</v>
      </c>
      <c r="J320">
        <v>84.96</v>
      </c>
      <c r="K320" s="4">
        <v>1.8329</v>
      </c>
      <c r="L320">
        <v>5</v>
      </c>
      <c r="M320">
        <v>1</v>
      </c>
      <c r="O320" t="s">
        <v>25</v>
      </c>
      <c r="P320" t="s">
        <v>562</v>
      </c>
      <c r="Q320" t="s">
        <v>871</v>
      </c>
    </row>
    <row r="321" spans="1:17" ht="15.5" x14ac:dyDescent="0.35">
      <c r="A321" s="3" t="str">
        <f>HYPERLINK("https://edmondsonsupply.com/collections/personal-protection-safety/products/milwaukee-48-73-2046-performance-safety-glasses-with-gaskets-polarized", "https://edmondsonsupply.com/collections/personal-protection-safety/products/milwaukee-48-73-2046-performance-safety-glasses-with-gaskets-polarized")</f>
        <v>https://edmondsonsupply.com/collections/personal-protection-safety/products/milwaukee-48-73-2046-performance-safety-glasses-with-gaskets-polarized</v>
      </c>
      <c r="B321" s="3" t="str">
        <f>HYPERLINK("https://edmondsonsupply.com/products/milwaukee-48-73-2046-performance-safety-glasses-with-gaskets-polarized", "https://edmondsonsupply.com/products/milwaukee-48-73-2046-performance-safety-glasses-with-gaskets-polarized")</f>
        <v>https://edmondsonsupply.com/products/milwaukee-48-73-2046-performance-safety-glasses-with-gaskets-polarized</v>
      </c>
      <c r="C321" t="s">
        <v>872</v>
      </c>
      <c r="D321" t="s">
        <v>838</v>
      </c>
      <c r="E321" s="3" t="str">
        <f>HYPERLINK("https://www.amazon.com/Milwaukee-48-73-2040-Performance-Safety-Glasses/dp/B09ZPZJR4V/ref=sr_1_2?keywords=Milwaukee+48-73-2046+Performance+Safety+Glasses+with+Gaskets%2C+Polarized&amp;qid=1695173262&amp;sr=8-2", "https://www.amazon.com/Milwaukee-48-73-2040-Performance-Safety-Glasses/dp/B09ZPZJR4V/ref=sr_1_2?keywords=Milwaukee+48-73-2046+Performance+Safety+Glasses+with+Gaskets%2C+Polarized&amp;qid=1695173262&amp;sr=8-2")</f>
        <v>https://www.amazon.com/Milwaukee-48-73-2040-Performance-Safety-Glasses/dp/B09ZPZJR4V/ref=sr_1_2?keywords=Milwaukee+48-73-2046+Performance+Safety+Glasses+with+Gaskets%2C+Polarized&amp;qid=1695173262&amp;sr=8-2</v>
      </c>
      <c r="F321" t="s">
        <v>839</v>
      </c>
      <c r="G321" t="e">
        <f ca="1">_xludf.IMAGE("https://edmondsonsupply.com/cdn/shop/products/48-73-2045_7.png?v=1587147326")</f>
        <v>#NAME?</v>
      </c>
      <c r="H321" t="e">
        <f ca="1">_xludf.IMAGE("https://m.media-amazon.com/images/I/81CjI-mgKUL._AC_UL320_.jpg")</f>
        <v>#NAME?</v>
      </c>
      <c r="I321" t="s">
        <v>246</v>
      </c>
      <c r="J321">
        <v>107.89</v>
      </c>
      <c r="K321" s="4">
        <v>1.6993</v>
      </c>
      <c r="L321">
        <v>4.7</v>
      </c>
      <c r="M321">
        <v>6</v>
      </c>
      <c r="O321" t="s">
        <v>25</v>
      </c>
      <c r="P321" t="s">
        <v>873</v>
      </c>
      <c r="Q321" t="s">
        <v>874</v>
      </c>
    </row>
    <row r="322" spans="1:17" ht="15.5" x14ac:dyDescent="0.35">
      <c r="A322" s="3" t="str">
        <f>HYPERLINK("https://edmondsonsupply.com/collections/personal-protection-safety/products/klein-tools-60268-safety-vest-high-visibility-reflective-vest-xl", "https://edmondsonsupply.com/collections/personal-protection-safety/products/klein-tools-60268-safety-vest-high-visibility-reflective-vest-xl")</f>
        <v>https://edmondsonsupply.com/collections/personal-protection-safety/products/klein-tools-60268-safety-vest-high-visibility-reflective-vest-xl</v>
      </c>
      <c r="B322" s="3" t="str">
        <f>HYPERLINK("https://edmondsonsupply.com/products/klein-tools-60268-safety-vest-high-visibility-reflective-vest-xl", "https://edmondsonsupply.com/products/klein-tools-60268-safety-vest-high-visibility-reflective-vest-xl")</f>
        <v>https://edmondsonsupply.com/products/klein-tools-60268-safety-vest-high-visibility-reflective-vest-xl</v>
      </c>
      <c r="C322" t="s">
        <v>875</v>
      </c>
      <c r="D322" t="s">
        <v>876</v>
      </c>
      <c r="E322" s="3" t="str">
        <f>HYPERLINK("https://www.amazon.com/Dib-Safety-Reflective-Visibility-Retractable/dp/B0B1CCGWBG/ref=sr_1_8?keywords=Klein+Tools+60268+Safety+Vest%2C+High-Visibility+Reflective+Vest%2C+XL&amp;qid=1695173256&amp;sr=8-8", "https://www.amazon.com/Dib-Safety-Reflective-Visibility-Retractable/dp/B0B1CCGWBG/ref=sr_1_8?keywords=Klein+Tools+60268+Safety+Vest%2C+High-Visibility+Reflective+Vest%2C+XL&amp;qid=1695173256&amp;sr=8-8")</f>
        <v>https://www.amazon.com/Dib-Safety-Reflective-Visibility-Retractable/dp/B0B1CCGWBG/ref=sr_1_8?keywords=Klein+Tools+60268+Safety+Vest%2C+High-Visibility+Reflective+Vest%2C+XL&amp;qid=1695173256&amp;sr=8-8</v>
      </c>
      <c r="F322" t="s">
        <v>877</v>
      </c>
      <c r="G322" t="e">
        <f ca="1">_xludf.IMAGE("https://edmondsonsupply.com/cdn/shop/products/60269_666bd473-3a48-44df-be76-72b410ea4070.jpg?v=1633030721")</f>
        <v>#NAME?</v>
      </c>
      <c r="H322" t="e">
        <f ca="1">_xludf.IMAGE("https://m.media-amazon.com/images/I/61byT54po5L._AC_UL320_.jpg")</f>
        <v>#NAME?</v>
      </c>
      <c r="I322" t="s">
        <v>834</v>
      </c>
      <c r="J322">
        <v>32.99</v>
      </c>
      <c r="K322" s="4">
        <v>1.5396000000000001</v>
      </c>
      <c r="L322">
        <v>4.5999999999999996</v>
      </c>
      <c r="M322">
        <v>3240</v>
      </c>
      <c r="O322" t="s">
        <v>25</v>
      </c>
      <c r="P322" t="s">
        <v>878</v>
      </c>
      <c r="Q322" t="s">
        <v>879</v>
      </c>
    </row>
    <row r="323" spans="1:17" ht="15.5" x14ac:dyDescent="0.35">
      <c r="A323" s="3" t="str">
        <f>HYPERLINK("https://edmondsonsupply.com/collections/personal-protection-safety/products/klein-tools-56062-rechargeable-headlamp-and-worklight-300-lumens-all-day-runtime", "https://edmondsonsupply.com/collections/personal-protection-safety/products/klein-tools-56062-rechargeable-headlamp-and-worklight-300-lumens-all-day-runtime")</f>
        <v>https://edmondsonsupply.com/collections/personal-protection-safety/products/klein-tools-56062-rechargeable-headlamp-and-worklight-300-lumens-all-day-runtime</v>
      </c>
      <c r="B323" s="3" t="str">
        <f>HYPERLINK("https://edmondsonsupply.com/products/klein-tools-56062-rechargeable-headlamp-and-worklight-300-lumens-all-day-runtime", "https://edmondsonsupply.com/products/klein-tools-56062-rechargeable-headlamp-and-worklight-300-lumens-all-day-runtime")</f>
        <v>https://edmondsonsupply.com/products/klein-tools-56062-rechargeable-headlamp-and-worklight-300-lumens-all-day-runtime</v>
      </c>
      <c r="C323" t="s">
        <v>821</v>
      </c>
      <c r="D323" t="s">
        <v>880</v>
      </c>
      <c r="E323" s="3" t="str">
        <f>HYPERLINK("https://www.amazon.com/Recharge-Headlamp-Rechargeable-Worklight-Klein/dp/B0C3BC48GJ/ref=sr_1_9?keywords=Klein+Tools+56062+Rechargeable+Headlamp+and+Worklight%2C+300+Lumens+All-Day+Runtime&amp;qid=1695173250&amp;sr=8-9", "https://www.amazon.com/Recharge-Headlamp-Rechargeable-Worklight-Klein/dp/B0C3BC48GJ/ref=sr_1_9?keywords=Klein+Tools+56062+Rechargeable+Headlamp+and+Worklight%2C+300+Lumens+All-Day+Runtime&amp;qid=1695173250&amp;sr=8-9")</f>
        <v>https://www.amazon.com/Recharge-Headlamp-Rechargeable-Worklight-Klein/dp/B0C3BC48GJ/ref=sr_1_9?keywords=Klein+Tools+56062+Rechargeable+Headlamp+and+Worklight%2C+300+Lumens+All-Day+Runtime&amp;qid=1695173250&amp;sr=8-9</v>
      </c>
      <c r="F323" t="s">
        <v>881</v>
      </c>
      <c r="G323" t="e">
        <f ca="1">_xludf.IMAGE("https://edmondsonsupply.com/cdn/shop/products/56062.jpg?v=1633030735")</f>
        <v>#NAME?</v>
      </c>
      <c r="H323" t="e">
        <f ca="1">_xludf.IMAGE("https://m.media-amazon.com/images/I/51S63TXCcVL._AC_UL320_.jpg")</f>
        <v>#NAME?</v>
      </c>
      <c r="I323" t="s">
        <v>824</v>
      </c>
      <c r="J323">
        <v>69.94</v>
      </c>
      <c r="K323" s="4">
        <v>1.3337000000000001</v>
      </c>
      <c r="L323">
        <v>4.5999999999999996</v>
      </c>
      <c r="M323">
        <v>845</v>
      </c>
      <c r="O323" t="s">
        <v>25</v>
      </c>
      <c r="P323" t="s">
        <v>825</v>
      </c>
      <c r="Q323" t="s">
        <v>826</v>
      </c>
    </row>
    <row r="324" spans="1:17" ht="15.5" x14ac:dyDescent="0.35">
      <c r="A324" s="3" t="str">
        <f>HYPERLINK("https://edmondsonsupply.com/collections/personal-protection-safety/products/klein-tools-60162-professional-safety-glasses-gray-lens", "https://edmondsonsupply.com/collections/personal-protection-safety/products/klein-tools-60162-professional-safety-glasses-gray-lens")</f>
        <v>https://edmondsonsupply.com/collections/personal-protection-safety/products/klein-tools-60162-professional-safety-glasses-gray-lens</v>
      </c>
      <c r="B324" s="3" t="str">
        <f>HYPERLINK("https://edmondsonsupply.com/products/klein-tools-60162-professional-safety-glasses-gray-lens", "https://edmondsonsupply.com/products/klein-tools-60162-professional-safety-glasses-gray-lens")</f>
        <v>https://edmondsonsupply.com/products/klein-tools-60162-professional-safety-glasses-gray-lens</v>
      </c>
      <c r="C324" t="s">
        <v>833</v>
      </c>
      <c r="D324" t="s">
        <v>882</v>
      </c>
      <c r="E324" s="3" t="str">
        <f>HYPERLINK("https://www.amazon.com/Klein-Tools-60539-Professional-Protective/dp/B0BLQ6F4MQ/ref=sr_1_8?keywords=Klein+Tools+60162+Professional+Safety+Glasses%2C+Gray+Lens&amp;qid=1695173247&amp;sr=8-8", "https://www.amazon.com/Klein-Tools-60539-Professional-Protective/dp/B0BLQ6F4MQ/ref=sr_1_8?keywords=Klein+Tools+60162+Professional+Safety+Glasses%2C+Gray+Lens&amp;qid=1695173247&amp;sr=8-8")</f>
        <v>https://www.amazon.com/Klein-Tools-60539-Professional-Protective/dp/B0BLQ6F4MQ/ref=sr_1_8?keywords=Klein+Tools+60162+Professional+Safety+Glasses%2C+Gray+Lens&amp;qid=1695173247&amp;sr=8-8</v>
      </c>
      <c r="F324" t="s">
        <v>883</v>
      </c>
      <c r="G324" t="e">
        <f ca="1">_xludf.IMAGE("https://edmondsonsupply.com/cdn/shop/products/60162.jpg?v=1633030847")</f>
        <v>#NAME?</v>
      </c>
      <c r="H324" t="e">
        <f ca="1">_xludf.IMAGE("https://m.media-amazon.com/images/I/41z93jotzdL._AC_UL320_.jpg")</f>
        <v>#NAME?</v>
      </c>
      <c r="I324" t="s">
        <v>834</v>
      </c>
      <c r="J324">
        <v>29.99</v>
      </c>
      <c r="K324" s="4">
        <v>1.3087</v>
      </c>
      <c r="L324">
        <v>4.4000000000000004</v>
      </c>
      <c r="M324">
        <v>11</v>
      </c>
      <c r="O324" t="s">
        <v>25</v>
      </c>
      <c r="P324" t="s">
        <v>835</v>
      </c>
      <c r="Q324" t="s">
        <v>836</v>
      </c>
    </row>
    <row r="325" spans="1:17" ht="15.5" x14ac:dyDescent="0.35">
      <c r="A325" s="3" t="str">
        <f>HYPERLINK("https://edmondsonsupply.com/collections/personal-protection-safety/products/klein-tools-60161-professional-safety-glasses-clear-lens", "https://edmondsonsupply.com/collections/personal-protection-safety/products/klein-tools-60161-professional-safety-glasses-clear-lens")</f>
        <v>https://edmondsonsupply.com/collections/personal-protection-safety/products/klein-tools-60161-professional-safety-glasses-clear-lens</v>
      </c>
      <c r="B325" s="3" t="str">
        <f>HYPERLINK("https://edmondsonsupply.com/products/klein-tools-60161-professional-safety-glasses-clear-lens", "https://edmondsonsupply.com/products/klein-tools-60161-professional-safety-glasses-clear-lens")</f>
        <v>https://edmondsonsupply.com/products/klein-tools-60161-professional-safety-glasses-clear-lens</v>
      </c>
      <c r="C325" t="s">
        <v>884</v>
      </c>
      <c r="D325" t="s">
        <v>882</v>
      </c>
      <c r="E325" s="3" t="str">
        <f>HYPERLINK("https://www.amazon.com/Klein-Tools-60539-Professional-Protective/dp/B0BLQ6F4MQ/ref=sr_1_9?keywords=Klein+Tools+60161+Professional+Safety+Glasses%2C+Clear+Lens&amp;qid=1695173254&amp;sr=8-9", "https://www.amazon.com/Klein-Tools-60539-Professional-Protective/dp/B0BLQ6F4MQ/ref=sr_1_9?keywords=Klein+Tools+60161+Professional+Safety+Glasses%2C+Clear+Lens&amp;qid=1695173254&amp;sr=8-9")</f>
        <v>https://www.amazon.com/Klein-Tools-60539-Professional-Protective/dp/B0BLQ6F4MQ/ref=sr_1_9?keywords=Klein+Tools+60161+Professional+Safety+Glasses%2C+Clear+Lens&amp;qid=1695173254&amp;sr=8-9</v>
      </c>
      <c r="F325" t="s">
        <v>883</v>
      </c>
      <c r="G325" t="e">
        <f ca="1">_xludf.IMAGE("https://edmondsonsupply.com/cdn/shop/products/60161.jpg?v=1633030845")</f>
        <v>#NAME?</v>
      </c>
      <c r="H325" t="e">
        <f ca="1">_xludf.IMAGE("https://m.media-amazon.com/images/I/41z93jotzdL._AC_UL320_.jpg")</f>
        <v>#NAME?</v>
      </c>
      <c r="I325" t="s">
        <v>834</v>
      </c>
      <c r="J325">
        <v>29.99</v>
      </c>
      <c r="K325" s="4">
        <v>1.3087</v>
      </c>
      <c r="L325">
        <v>4.4000000000000004</v>
      </c>
      <c r="M325">
        <v>11</v>
      </c>
      <c r="O325" t="s">
        <v>25</v>
      </c>
      <c r="P325" t="s">
        <v>835</v>
      </c>
      <c r="Q325" t="s">
        <v>885</v>
      </c>
    </row>
    <row r="326" spans="1:17" ht="15.5" x14ac:dyDescent="0.35">
      <c r="A326" s="3" t="str">
        <f>HYPERLINK("https://edmondsonsupply.com/collections/personal-protection-safety/products/milwaukee-48-73-2041-performance-safety-glasses-with-gaskets-clear", "https://edmondsonsupply.com/collections/personal-protection-safety/products/milwaukee-48-73-2041-performance-safety-glasses-with-gaskets-clear")</f>
        <v>https://edmondsonsupply.com/collections/personal-protection-safety/products/milwaukee-48-73-2041-performance-safety-glasses-with-gaskets-clear</v>
      </c>
      <c r="B326" s="3" t="str">
        <f>HYPERLINK("https://edmondsonsupply.com/products/milwaukee-48-73-2041-performance-safety-glasses-with-gaskets-clear", "https://edmondsonsupply.com/products/milwaukee-48-73-2041-performance-safety-glasses-with-gaskets-clear")</f>
        <v>https://edmondsonsupply.com/products/milwaukee-48-73-2041-performance-safety-glasses-with-gaskets-clear</v>
      </c>
      <c r="C326" t="s">
        <v>837</v>
      </c>
      <c r="D326" t="s">
        <v>886</v>
      </c>
      <c r="E326" s="3" t="str">
        <f>HYPERLINK("https://www.amazon.com/Milwaukee-48-73-2020-Performance-Safety-Glasses/dp/B09ZPZZZTK/ref=sr_1_4?keywords=Milwaukee+48-73-2041+Performance+Safety+Glasses+with+Gaskets%2C+Clear&amp;qid=1695173264&amp;sr=8-4", "https://www.amazon.com/Milwaukee-48-73-2020-Performance-Safety-Glasses/dp/B09ZPZZZTK/ref=sr_1_4?keywords=Milwaukee+48-73-2041+Performance+Safety+Glasses+with+Gaskets%2C+Clear&amp;qid=1695173264&amp;sr=8-4")</f>
        <v>https://www.amazon.com/Milwaukee-48-73-2020-Performance-Safety-Glasses/dp/B09ZPZZZTK/ref=sr_1_4?keywords=Milwaukee+48-73-2041+Performance+Safety+Glasses+with+Gaskets%2C+Clear&amp;qid=1695173264&amp;sr=8-4</v>
      </c>
      <c r="F326" t="s">
        <v>887</v>
      </c>
      <c r="G326" t="e">
        <f ca="1">_xludf.IMAGE("https://edmondsonsupply.com/cdn/shop/products/48-73-2040_7.png?v=1587150340")</f>
        <v>#NAME?</v>
      </c>
      <c r="H326" t="e">
        <f ca="1">_xludf.IMAGE("https://m.media-amazon.com/images/I/81Y0JbnAWrL._AC_UL320_.jpg")</f>
        <v>#NAME?</v>
      </c>
      <c r="I326" t="s">
        <v>824</v>
      </c>
      <c r="J326">
        <v>67</v>
      </c>
      <c r="K326" s="4">
        <v>1.2356</v>
      </c>
      <c r="L326">
        <v>4.7</v>
      </c>
      <c r="M326">
        <v>4</v>
      </c>
      <c r="O326" t="s">
        <v>171</v>
      </c>
      <c r="P326" t="s">
        <v>840</v>
      </c>
      <c r="Q326" t="s">
        <v>841</v>
      </c>
    </row>
    <row r="327" spans="1:17" ht="15.5" x14ac:dyDescent="0.35">
      <c r="A327" s="3" t="str">
        <f>HYPERLINK("https://edmondsonsupply.com/collections/personal-protection-safety/products/klein-tools-60345-hard-hat-earmuffs-full-brim-style", "https://edmondsonsupply.com/collections/personal-protection-safety/products/klein-tools-60345-hard-hat-earmuffs-full-brim-style")</f>
        <v>https://edmondsonsupply.com/collections/personal-protection-safety/products/klein-tools-60345-hard-hat-earmuffs-full-brim-style</v>
      </c>
      <c r="B327" s="3" t="str">
        <f>HYPERLINK("https://edmondsonsupply.com/products/klein-tools-60345-hard-hat-earmuffs-full-brim-style", "https://edmondsonsupply.com/products/klein-tools-60345-hard-hat-earmuffs-full-brim-style")</f>
        <v>https://edmondsonsupply.com/products/klein-tools-60345-hard-hat-earmuffs-full-brim-style</v>
      </c>
      <c r="C327" t="s">
        <v>868</v>
      </c>
      <c r="D327" t="s">
        <v>888</v>
      </c>
      <c r="E327" s="3" t="str">
        <f>HYPERLINK("https://www.amazon.com/Klein-Tools-Self-Wicking-Odor-Resistant-Sweatband/dp/B0B68NYYM7/ref=sr_1_5?keywords=Klein+Tools+60502+Hard+Hat+Earmuffs%2C+Full+Brim+Style&amp;qid=1695173214&amp;sr=8-5", "https://www.amazon.com/Klein-Tools-Self-Wicking-Odor-Resistant-Sweatband/dp/B0B68NYYM7/ref=sr_1_5?keywords=Klein+Tools+60502+Hard+Hat+Earmuffs%2C+Full+Brim+Style&amp;qid=1695173214&amp;sr=8-5")</f>
        <v>https://www.amazon.com/Klein-Tools-Self-Wicking-Odor-Resistant-Sweatband/dp/B0B68NYYM7/ref=sr_1_5?keywords=Klein+Tools+60502+Hard+Hat+Earmuffs%2C+Full+Brim+Style&amp;qid=1695173214&amp;sr=8-5</v>
      </c>
      <c r="F327" t="s">
        <v>889</v>
      </c>
      <c r="G327" t="e">
        <f ca="1">_xludf.IMAGE("https://edmondsonsupply.com/cdn/shop/products/60502.jpg?v=1674486730")</f>
        <v>#NAME?</v>
      </c>
      <c r="H327" t="e">
        <f ca="1">_xludf.IMAGE("https://m.media-amazon.com/images/I/41IulVK0+jL._AC_UL320_.jpg")</f>
        <v>#NAME?</v>
      </c>
      <c r="I327" t="s">
        <v>26</v>
      </c>
      <c r="J327">
        <v>64.959999999999994</v>
      </c>
      <c r="K327" s="4">
        <v>1.1660999999999999</v>
      </c>
      <c r="L327">
        <v>4.5</v>
      </c>
      <c r="M327">
        <v>15</v>
      </c>
      <c r="O327" t="s">
        <v>25</v>
      </c>
      <c r="P327" t="s">
        <v>562</v>
      </c>
      <c r="Q327" t="s">
        <v>871</v>
      </c>
    </row>
    <row r="328" spans="1:17" ht="15.5" x14ac:dyDescent="0.35">
      <c r="A328" s="3" t="str">
        <f>HYPERLINK("https://edmondsonsupply.com/collections/personal-protection-safety/products/klein-tools-60492-lightweight-knee-pad-sleeves-m-l", "https://edmondsonsupply.com/collections/personal-protection-safety/products/klein-tools-60492-lightweight-knee-pad-sleeves-m-l")</f>
        <v>https://edmondsonsupply.com/collections/personal-protection-safety/products/klein-tools-60492-lightweight-knee-pad-sleeves-m-l</v>
      </c>
      <c r="B328" s="3" t="str">
        <f>HYPERLINK("https://edmondsonsupply.com/products/klein-tools-60492-lightweight-knee-pad-sleeves-m-l", "https://edmondsonsupply.com/products/klein-tools-60492-lightweight-knee-pad-sleeves-m-l")</f>
        <v>https://edmondsonsupply.com/products/klein-tools-60492-lightweight-knee-pad-sleeves-m-l</v>
      </c>
      <c r="C328" t="s">
        <v>890</v>
      </c>
      <c r="D328" t="s">
        <v>891</v>
      </c>
      <c r="E328" s="3" t="str">
        <f>HYPERLINK("https://www.amazon.com/Klein-Tools-60615-Breathable-Slip-Resistant/dp/B0BWB8VW7J/ref=sr_1_3?keywords=Klein+Tools+60492+Lightweight+Knee+Pad+Sleeves%2C+M%2FL&amp;qid=1695173231&amp;sr=8-3", "https://www.amazon.com/Klein-Tools-60615-Breathable-Slip-Resistant/dp/B0BWB8VW7J/ref=sr_1_3?keywords=Klein+Tools+60492+Lightweight+Knee+Pad+Sleeves%2C+M%2FL&amp;qid=1695173231&amp;sr=8-3")</f>
        <v>https://www.amazon.com/Klein-Tools-60615-Breathable-Slip-Resistant/dp/B0BWB8VW7J/ref=sr_1_3?keywords=Klein+Tools+60492+Lightweight+Knee+Pad+Sleeves%2C+M%2FL&amp;qid=1695173231&amp;sr=8-3</v>
      </c>
      <c r="F328" t="s">
        <v>892</v>
      </c>
      <c r="G328" t="e">
        <f ca="1">_xludf.IMAGE("https://edmondsonsupply.com/cdn/shop/products/60492_60592_photo.jpg?v=1663255234")</f>
        <v>#NAME?</v>
      </c>
      <c r="H328" t="e">
        <f ca="1">_xludf.IMAGE("https://m.media-amazon.com/images/I/61FKkSJ3xeL._AC_UL320_.jpg")</f>
        <v>#NAME?</v>
      </c>
      <c r="I328" t="s">
        <v>893</v>
      </c>
      <c r="J328">
        <v>39.99</v>
      </c>
      <c r="K328" s="4">
        <v>1.0024999999999999</v>
      </c>
      <c r="L328">
        <v>4</v>
      </c>
      <c r="M328">
        <v>18</v>
      </c>
      <c r="O328" t="s">
        <v>25</v>
      </c>
      <c r="P328" t="s">
        <v>894</v>
      </c>
      <c r="Q328" t="s">
        <v>895</v>
      </c>
    </row>
    <row r="329" spans="1:17" ht="15.5" x14ac:dyDescent="0.35">
      <c r="A329"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329"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29" t="s">
        <v>851</v>
      </c>
      <c r="D329" t="s">
        <v>882</v>
      </c>
      <c r="E329" s="3" t="str">
        <f>HYPERLINK("https://www.amazon.com/Klein-Tools-60539-Professional-Protective/dp/B0BLQ6F4MQ/ref=sr_1_10?keywords=Klein+Tools+60163+Professional+Safety+Glasses%2C+Full+Frame%2C+Clear+Lens&amp;qid=1695173243&amp;sr=8-10", "https://www.amazon.com/Klein-Tools-60539-Professional-Protective/dp/B0BLQ6F4MQ/ref=sr_1_10?keywords=Klein+Tools+60163+Professional+Safety+Glasses%2C+Full+Frame%2C+Clear+Lens&amp;qid=1695173243&amp;sr=8-10")</f>
        <v>https://www.amazon.com/Klein-Tools-60539-Professional-Protective/dp/B0BLQ6F4MQ/ref=sr_1_10?keywords=Klein+Tools+60163+Professional+Safety+Glasses%2C+Full+Frame%2C+Clear+Lens&amp;qid=1695173243&amp;sr=8-10</v>
      </c>
      <c r="F329" t="s">
        <v>883</v>
      </c>
      <c r="G329" t="e">
        <f ca="1">_xludf.IMAGE("https://edmondsonsupply.com/cdn/shop/products/60163.jpg?v=1633030848")</f>
        <v>#NAME?</v>
      </c>
      <c r="H329" t="e">
        <f ca="1">_xludf.IMAGE("https://m.media-amazon.com/images/I/41z93jotzdL._AC_UL320_.jpg")</f>
        <v>#NAME?</v>
      </c>
      <c r="I329" t="s">
        <v>276</v>
      </c>
      <c r="J329">
        <v>29.99</v>
      </c>
      <c r="K329" s="4">
        <v>1.0006999999999999</v>
      </c>
      <c r="L329">
        <v>4.4000000000000004</v>
      </c>
      <c r="M329">
        <v>11</v>
      </c>
      <c r="O329" t="s">
        <v>25</v>
      </c>
      <c r="P329" t="s">
        <v>277</v>
      </c>
      <c r="Q329" t="s">
        <v>852</v>
      </c>
    </row>
    <row r="330" spans="1:17" ht="15.5" x14ac:dyDescent="0.35">
      <c r="A330" s="3" t="str">
        <f>HYPERLINK("https://edmondsonsupply.com/collections/personal-protection-safety/products/klein-tools-60537-professional-safety-glasses-full-frame-indoor-outdoor-lens", "https://edmondsonsupply.com/collections/personal-protection-safety/products/klein-tools-60537-professional-safety-glasses-full-frame-indoor-outdoor-lens")</f>
        <v>https://edmondsonsupply.com/collections/personal-protection-safety/products/klein-tools-60537-professional-safety-glasses-full-frame-indoor-outdoor-lens</v>
      </c>
      <c r="B330"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30" t="s">
        <v>896</v>
      </c>
      <c r="D330" t="s">
        <v>882</v>
      </c>
      <c r="E330" s="3" t="str">
        <f>HYPERLINK("https://www.amazon.com/Klein-Tools-60539-Professional-Protective/dp/B0BLQ6F4MQ/ref=sr_1_3?keywords=Klein+Tools+60537+Professional+Safety+Glasses%2C+Full-Frame%2C+Indoor%2FOutdoor+Lens&amp;qid=1695173230&amp;sr=8-3", "https://www.amazon.com/Klein-Tools-60539-Professional-Protective/dp/B0BLQ6F4MQ/ref=sr_1_3?keywords=Klein+Tools+60537+Professional+Safety+Glasses%2C+Full-Frame%2C+Indoor%2FOutdoor+Lens&amp;qid=1695173230&amp;sr=8-3")</f>
        <v>https://www.amazon.com/Klein-Tools-60539-Professional-Protective/dp/B0BLQ6F4MQ/ref=sr_1_3?keywords=Klein+Tools+60537+Professional+Safety+Glasses%2C+Full-Frame%2C+Indoor%2FOutdoor+Lens&amp;qid=1695173230&amp;sr=8-3</v>
      </c>
      <c r="F330" t="s">
        <v>883</v>
      </c>
      <c r="G330" t="e">
        <f ca="1">_xludf.IMAGE("https://edmondsonsupply.com/cdn/shop/products/60537.jpg?v=1670947087")</f>
        <v>#NAME?</v>
      </c>
      <c r="H330" t="e">
        <f ca="1">_xludf.IMAGE("https://m.media-amazon.com/images/I/41z93jotzdL._AC_UL320_.jpg")</f>
        <v>#NAME?</v>
      </c>
      <c r="I330" t="s">
        <v>276</v>
      </c>
      <c r="J330">
        <v>29.99</v>
      </c>
      <c r="K330" s="4">
        <v>1.0006999999999999</v>
      </c>
      <c r="L330">
        <v>4.4000000000000004</v>
      </c>
      <c r="M330">
        <v>11</v>
      </c>
      <c r="O330" t="s">
        <v>25</v>
      </c>
      <c r="P330" t="s">
        <v>277</v>
      </c>
      <c r="Q330" t="s">
        <v>897</v>
      </c>
    </row>
    <row r="331" spans="1:17" ht="15.5" x14ac:dyDescent="0.35">
      <c r="A331" s="3" t="str">
        <f>HYPERLINK("https://edmondsonsupply.com/collections/personal-protection-safety/products/klein-tools-60614-lightweight-knee-pad-sleeves-s-m", "https://edmondsonsupply.com/collections/personal-protection-safety/products/klein-tools-60614-lightweight-knee-pad-sleeves-s-m")</f>
        <v>https://edmondsonsupply.com/collections/personal-protection-safety/products/klein-tools-60614-lightweight-knee-pad-sleeves-s-m</v>
      </c>
      <c r="B331" s="3" t="str">
        <f>HYPERLINK("https://edmondsonsupply.com/products/klein-tools-60614-lightweight-knee-pad-sleeves-s-m", "https://edmondsonsupply.com/products/klein-tools-60614-lightweight-knee-pad-sleeves-s-m")</f>
        <v>https://edmondsonsupply.com/products/klein-tools-60614-lightweight-knee-pad-sleeves-s-m</v>
      </c>
      <c r="C331" t="s">
        <v>898</v>
      </c>
      <c r="D331" t="s">
        <v>891</v>
      </c>
      <c r="E331" s="3" t="str">
        <f>HYPERLINK("https://www.amazon.com/Klein-Tools-60615-Breathable-Slip-Resistant/dp/B0BWB8VW7J/ref=sr_1_2?keywords=Klein+Tools+60614+Lightweight+Knee+Pad+Sleeves%2C+S%2FM&amp;qid=1695173221&amp;sr=8-2", "https://www.amazon.com/Klein-Tools-60615-Breathable-Slip-Resistant/dp/B0BWB8VW7J/ref=sr_1_2?keywords=Klein+Tools+60614+Lightweight+Knee+Pad+Sleeves%2C+S%2FM&amp;qid=1695173221&amp;sr=8-2")</f>
        <v>https://www.amazon.com/Klein-Tools-60615-Breathable-Slip-Resistant/dp/B0BWB8VW7J/ref=sr_1_2?keywords=Klein+Tools+60614+Lightweight+Knee+Pad+Sleeves%2C+S%2FM&amp;qid=1695173221&amp;sr=8-2</v>
      </c>
      <c r="F331" t="s">
        <v>892</v>
      </c>
      <c r="G331" t="e">
        <f ca="1">_xludf.IMAGE("https://edmondsonsupply.com/cdn/shop/products/60492_60592_photo_4859ff57-33ad-45f9-87df-8dc6b9372281.jpg?v=1681742927")</f>
        <v>#NAME?</v>
      </c>
      <c r="H331" t="e">
        <f ca="1">_xludf.IMAGE("https://m.media-amazon.com/images/I/61FKkSJ3xeL._AC_UL320_.jpg")</f>
        <v>#NAME?</v>
      </c>
      <c r="I331" t="s">
        <v>577</v>
      </c>
      <c r="J331">
        <v>39.99</v>
      </c>
      <c r="K331" s="4">
        <v>1.0004999999999999</v>
      </c>
      <c r="L331">
        <v>4</v>
      </c>
      <c r="M331">
        <v>18</v>
      </c>
      <c r="O331" t="s">
        <v>25</v>
      </c>
      <c r="P331" t="s">
        <v>894</v>
      </c>
      <c r="Q331" t="s">
        <v>899</v>
      </c>
    </row>
    <row r="332" spans="1:17" ht="15.5" x14ac:dyDescent="0.35">
      <c r="A332" s="3" t="str">
        <f>HYPERLINK("https://edmondsonsupply.com/collections/personal-protection-safety/products/klein-tools-60345-hard-hat-earmuffs-full-brim-style", "https://edmondsonsupply.com/collections/personal-protection-safety/products/klein-tools-60345-hard-hat-earmuffs-full-brim-style")</f>
        <v>https://edmondsonsupply.com/collections/personal-protection-safety/products/klein-tools-60345-hard-hat-earmuffs-full-brim-style</v>
      </c>
      <c r="B332" s="3" t="str">
        <f>HYPERLINK("https://edmondsonsupply.com/products/klein-tools-60345-hard-hat-earmuffs-full-brim-style", "https://edmondsonsupply.com/products/klein-tools-60345-hard-hat-earmuffs-full-brim-style")</f>
        <v>https://edmondsonsupply.com/products/klein-tools-60345-hard-hat-earmuffs-full-brim-style</v>
      </c>
      <c r="C332" t="s">
        <v>868</v>
      </c>
      <c r="D332" t="s">
        <v>900</v>
      </c>
      <c r="E332" s="3" t="str">
        <f>HYPERLINK("https://www.amazon.com/Klein-Tools-60407RL-Rechargeable-Odor-Resistant/dp/B08DDTV9M3/ref=sr_1_9?keywords=Klein+Tools+60502+Hard+Hat+Earmuffs%2C+Full+Brim+Style&amp;qid=1695173214&amp;sr=8-9", "https://www.amazon.com/Klein-Tools-60407RL-Rechargeable-Odor-Resistant/dp/B08DDTV9M3/ref=sr_1_9?keywords=Klein+Tools+60502+Hard+Hat+Earmuffs%2C+Full+Brim+Style&amp;qid=1695173214&amp;sr=8-9")</f>
        <v>https://www.amazon.com/Klein-Tools-60407RL-Rechargeable-Odor-Resistant/dp/B08DDTV9M3/ref=sr_1_9?keywords=Klein+Tools+60502+Hard+Hat+Earmuffs%2C+Full+Brim+Style&amp;qid=1695173214&amp;sr=8-9</v>
      </c>
      <c r="F332" t="s">
        <v>901</v>
      </c>
      <c r="G332" t="e">
        <f ca="1">_xludf.IMAGE("https://edmondsonsupply.com/cdn/shop/products/60502.jpg?v=1674486730")</f>
        <v>#NAME?</v>
      </c>
      <c r="H332" t="e">
        <f ca="1">_xludf.IMAGE("https://m.media-amazon.com/images/I/61w2MM+yDgL._AC_UL320_.jpg")</f>
        <v>#NAME?</v>
      </c>
      <c r="I332" t="s">
        <v>26</v>
      </c>
      <c r="J332">
        <v>59.99</v>
      </c>
      <c r="K332" s="4">
        <v>1.0003</v>
      </c>
      <c r="L332">
        <v>4.7</v>
      </c>
      <c r="M332">
        <v>1577</v>
      </c>
      <c r="O332" t="s">
        <v>25</v>
      </c>
      <c r="P332" t="s">
        <v>562</v>
      </c>
      <c r="Q332" t="s">
        <v>871</v>
      </c>
    </row>
    <row r="333" spans="1:17" ht="15.5" x14ac:dyDescent="0.35">
      <c r="A333" s="3" t="str">
        <f>HYPERLINK("https://edmondsonsupply.com/collections/personal-protection-safety/products/klein-tools-60345-hard-hat-premium-karbn%E2%84%A2-pattern-non-vented-full-brim-class-e", "https://edmondsonsupply.com/collections/personal-protection-safety/products/klein-tools-60345-hard-hat-premium-karbn%E2%84%A2-pattern-non-vented-full-brim-class-e")</f>
        <v>https://edmondsonsupply.com/collections/personal-protection-safety/products/klein-tools-60345-hard-hat-premium-karbn%E2%84%A2-pattern-non-vented-full-brim-class-e</v>
      </c>
      <c r="B333" s="3" t="str">
        <f>HYPERLINK("https://edmondsonsupply.com/products/klein-tools-60345-hard-hat-premium-karbn%e2%84%a2-pattern-non-vented-full-brim-class-e", "https://edmondsonsupply.com/products/klein-tools-60345-hard-hat-premium-karbn%e2%84%a2-pattern-non-vented-full-brim-class-e")</f>
        <v>https://edmondsonsupply.com/products/klein-tools-60345-hard-hat-premium-karbn%e2%84%a2-pattern-non-vented-full-brim-class-e</v>
      </c>
      <c r="C333" t="s">
        <v>902</v>
      </c>
      <c r="D333" t="s">
        <v>903</v>
      </c>
      <c r="E333" s="3" t="str">
        <f>HYPERLINK("https://www.amazon.com/Klein-Tools-60347-Rechargeable-Sweat-Wicking/dp/B08SYM9K52/ref=sr_1_8?keywords=Klein+Tools+60345+Hard+Hat%2C+Premium+KARBN%E2%84%A2+Pattern%2C+Non-Vented+Full+Brim%2C+Class+E&amp;qid=1695173245&amp;sr=8-8", "https://www.amazon.com/Klein-Tools-60347-Rechargeable-Sweat-Wicking/dp/B08SYM9K52/ref=sr_1_8?keywords=Klein+Tools+60345+Hard+Hat%2C+Premium+KARBN%E2%84%A2+Pattern%2C+Non-Vented+Full+Brim%2C+Class+E&amp;qid=1695173245&amp;sr=8-8")</f>
        <v>https://www.amazon.com/Klein-Tools-60347-Rechargeable-Sweat-Wicking/dp/B08SYM9K52/ref=sr_1_8?keywords=Klein+Tools+60345+Hard+Hat%2C+Premium+KARBN%E2%84%A2+Pattern%2C+Non-Vented+Full+Brim%2C+Class+E&amp;qid=1695173245&amp;sr=8-8</v>
      </c>
      <c r="F333" t="s">
        <v>904</v>
      </c>
      <c r="G333" t="e">
        <f ca="1">_xludf.IMAGE("https://edmondsonsupply.com/cdn/shop/products/60345.jpg?v=1660171739")</f>
        <v>#NAME?</v>
      </c>
      <c r="H333" t="e">
        <f ca="1">_xludf.IMAGE("https://m.media-amazon.com/images/I/61pIVbITWkL._AC_UL320_.jpg")</f>
        <v>#NAME?</v>
      </c>
      <c r="I333" t="s">
        <v>905</v>
      </c>
      <c r="J333">
        <v>116.88</v>
      </c>
      <c r="K333" s="4">
        <v>0.94830000000000003</v>
      </c>
      <c r="L333">
        <v>4.7</v>
      </c>
      <c r="M333">
        <v>2542</v>
      </c>
      <c r="O333" t="s">
        <v>25</v>
      </c>
      <c r="P333" t="s">
        <v>906</v>
      </c>
      <c r="Q333" t="s">
        <v>907</v>
      </c>
    </row>
    <row r="334" spans="1:17" ht="15.5" x14ac:dyDescent="0.35">
      <c r="A334" s="3" t="str">
        <f>HYPERLINK("https://edmondsonsupply.com/collections/personal-protection-safety/products/klein-tools-60184-lightweight-gel-knee-pads", "https://edmondsonsupply.com/collections/personal-protection-safety/products/klein-tools-60184-lightweight-gel-knee-pads")</f>
        <v>https://edmondsonsupply.com/collections/personal-protection-safety/products/klein-tools-60184-lightweight-gel-knee-pads</v>
      </c>
      <c r="B334" s="3" t="str">
        <f>HYPERLINK("https://edmondsonsupply.com/products/klein-tools-60184-lightweight-gel-knee-pads", "https://edmondsonsupply.com/products/klein-tools-60184-lightweight-gel-knee-pads")</f>
        <v>https://edmondsonsupply.com/products/klein-tools-60184-lightweight-gel-knee-pads</v>
      </c>
      <c r="C334" t="s">
        <v>908</v>
      </c>
      <c r="D334" t="s">
        <v>909</v>
      </c>
      <c r="E334" s="3" t="str">
        <f>HYPERLINK("https://www.amazon.com/Klein-Tools-60491-Protective-Quick-Fasten/dp/B0BHXBMBHP/ref=sr_1_2?keywords=Klein+Tools+60184+Lightweight+Gel+Knee+Pads&amp;qid=1695173226&amp;sr=8-2", "https://www.amazon.com/Klein-Tools-60491-Protective-Quick-Fasten/dp/B0BHXBMBHP/ref=sr_1_2?keywords=Klein+Tools+60184+Lightweight+Gel+Knee+Pads&amp;qid=1695173226&amp;sr=8-2")</f>
        <v>https://www.amazon.com/Klein-Tools-60491-Protective-Quick-Fasten/dp/B0BHXBMBHP/ref=sr_1_2?keywords=Klein+Tools+60184+Lightweight+Gel+Knee+Pads&amp;qid=1695173226&amp;sr=8-2</v>
      </c>
      <c r="F334" t="s">
        <v>910</v>
      </c>
      <c r="G334" t="e">
        <f ca="1">_xludf.IMAGE("https://edmondsonsupply.com/cdn/shop/products/60184.jpg?v=1633030246")</f>
        <v>#NAME?</v>
      </c>
      <c r="H334" t="e">
        <f ca="1">_xludf.IMAGE("https://m.media-amazon.com/images/I/718i4PDcjnL._AC_UL320_.jpg")</f>
        <v>#NAME?</v>
      </c>
      <c r="I334" t="s">
        <v>911</v>
      </c>
      <c r="J334">
        <v>49.97</v>
      </c>
      <c r="K334" s="4">
        <v>0.92410000000000003</v>
      </c>
      <c r="L334">
        <v>4.4000000000000004</v>
      </c>
      <c r="M334">
        <v>289</v>
      </c>
      <c r="O334" t="s">
        <v>25</v>
      </c>
      <c r="P334" t="s">
        <v>912</v>
      </c>
      <c r="Q334" t="s">
        <v>913</v>
      </c>
    </row>
    <row r="335" spans="1:17" ht="15.5" x14ac:dyDescent="0.35">
      <c r="A335" s="3" t="str">
        <f>HYPERLINK("https://edmondsonsupply.com/collections/personal-protection-safety/products/klein-tools-60347-hard-hat-premium-karbn%E2%84%A2-pattern-vented-full-brim-class-c-lamp", "https://edmondsonsupply.com/collections/personal-protection-safety/products/klein-tools-60347-hard-hat-premium-karbn%E2%84%A2-pattern-vented-full-brim-class-c-lamp")</f>
        <v>https://edmondsonsupply.com/collections/personal-protection-safety/products/klein-tools-60347-hard-hat-premium-karbn%E2%84%A2-pattern-vented-full-brim-class-c-lamp</v>
      </c>
      <c r="B335"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335" t="s">
        <v>914</v>
      </c>
      <c r="D335" t="s">
        <v>915</v>
      </c>
      <c r="E335" s="3" t="str">
        <f>HYPERLINK("https://www.amazon.com/Klein-Tools-Rechargeable-Sweat-Wicking-Sweatband/dp/B0BNL94L4X/ref=sr_1_3?keywords=Klein+Tools+60347+Hard+Hat%2C+Premium+KARBN%E2%84%A2+Pattern%2C+Vented+Full+Brim%2C+Class+C%2C+Lamp&amp;qid=1695173246&amp;sr=8-3", "https://www.amazon.com/Klein-Tools-Rechargeable-Sweat-Wicking-Sweatband/dp/B0BNL94L4X/ref=sr_1_3?keywords=Klein+Tools+60347+Hard+Hat%2C+Premium+KARBN%E2%84%A2+Pattern%2C+Vented+Full+Brim%2C+Class+C%2C+Lamp&amp;qid=1695173246&amp;sr=8-3")</f>
        <v>https://www.amazon.com/Klein-Tools-Rechargeable-Sweat-Wicking-Sweatband/dp/B0BNL94L4X/ref=sr_1_3?keywords=Klein+Tools+60347+Hard+Hat%2C+Premium+KARBN%E2%84%A2+Pattern%2C+Vented+Full+Brim%2C+Class+C%2C+Lamp&amp;qid=1695173246&amp;sr=8-3</v>
      </c>
      <c r="F335" t="s">
        <v>916</v>
      </c>
      <c r="G335" t="e">
        <f ca="1">_xludf.IMAGE("https://edmondsonsupply.com/cdn/shop/products/60347.jpg?v=1659454043")</f>
        <v>#NAME?</v>
      </c>
      <c r="H335" t="e">
        <f ca="1">_xludf.IMAGE("https://m.media-amazon.com/images/I/51A8iWc37VL._AC_UL320_.jpg")</f>
        <v>#NAME?</v>
      </c>
      <c r="I335" t="s">
        <v>315</v>
      </c>
      <c r="J335">
        <v>171.85</v>
      </c>
      <c r="K335" s="4">
        <v>0.90969999999999995</v>
      </c>
      <c r="L335">
        <v>4.7</v>
      </c>
      <c r="M335">
        <v>4</v>
      </c>
      <c r="O335" t="s">
        <v>171</v>
      </c>
      <c r="P335" t="s">
        <v>917</v>
      </c>
      <c r="Q335" t="s">
        <v>918</v>
      </c>
    </row>
    <row r="336" spans="1:17" ht="15.5" x14ac:dyDescent="0.35">
      <c r="A336"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336"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36" t="s">
        <v>853</v>
      </c>
      <c r="D336" t="s">
        <v>882</v>
      </c>
      <c r="E336" s="3" t="str">
        <f>HYPERLINK("https://www.amazon.com/Klein-Tools-60539-Professional-Protective/dp/B0BLQ6F4MQ/ref=sr_1_6?keywords=Klein+Tools+60471+Professional+Full-Frame+Gasket+Safety+Glasses%2C+Gray+Lens&amp;qid=1695173231&amp;sr=8-6", "https://www.amazon.com/Klein-Tools-60539-Professional-Protective/dp/B0BLQ6F4MQ/ref=sr_1_6?keywords=Klein+Tools+60471+Professional+Full-Frame+Gasket+Safety+Glasses%2C+Gray+Lens&amp;qid=1695173231&amp;sr=8-6")</f>
        <v>https://www.amazon.com/Klein-Tools-60539-Professional-Protective/dp/B0BLQ6F4MQ/ref=sr_1_6?keywords=Klein+Tools+60471+Professional+Full-Frame+Gasket+Safety+Glasses%2C+Gray+Lens&amp;qid=1695173231&amp;sr=8-6</v>
      </c>
      <c r="F336" t="s">
        <v>883</v>
      </c>
      <c r="G336" t="e">
        <f ca="1">_xludf.IMAGE("https://edmondsonsupply.com/cdn/shop/products/60471.jpg?v=1663257501")</f>
        <v>#NAME?</v>
      </c>
      <c r="H336" t="e">
        <f ca="1">_xludf.IMAGE("https://m.media-amazon.com/images/I/41z93jotzdL._AC_UL320_.jpg")</f>
        <v>#NAME?</v>
      </c>
      <c r="I336" t="s">
        <v>252</v>
      </c>
      <c r="J336">
        <v>29.99</v>
      </c>
      <c r="K336" s="4">
        <v>0.87549999999999994</v>
      </c>
      <c r="L336">
        <v>4.4000000000000004</v>
      </c>
      <c r="M336">
        <v>11</v>
      </c>
      <c r="O336" t="s">
        <v>25</v>
      </c>
      <c r="P336" t="s">
        <v>854</v>
      </c>
      <c r="Q336" t="s">
        <v>855</v>
      </c>
    </row>
    <row r="337" spans="1:17" ht="15.5" x14ac:dyDescent="0.35">
      <c r="A337" s="3" t="str">
        <f>HYPERLINK("https://edmondsonsupply.com/collections/personal-protection-safety/products/klein-tools-60470-professional-full-frame-gasket-safety-glasses-clear-lens", "https://edmondsonsupply.com/collections/personal-protection-safety/products/klein-tools-60470-professional-full-frame-gasket-safety-glasses-clear-lens")</f>
        <v>https://edmondsonsupply.com/collections/personal-protection-safety/products/klein-tools-60470-professional-full-frame-gasket-safety-glasses-clear-lens</v>
      </c>
      <c r="B337"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37" t="s">
        <v>919</v>
      </c>
      <c r="D337" t="s">
        <v>882</v>
      </c>
      <c r="E337" s="3" t="str">
        <f>HYPERLINK("https://www.amazon.com/Klein-Tools-60539-Professional-Protective/dp/B0BLQ6F4MQ/ref=sr_1_8?keywords=Klein+Tools+60470+Professional+Full-Frame+Gasket+Safety+Glasses%2C+Clear+Lens&amp;qid=1695173234&amp;sr=8-8", "https://www.amazon.com/Klein-Tools-60539-Professional-Protective/dp/B0BLQ6F4MQ/ref=sr_1_8?keywords=Klein+Tools+60470+Professional+Full-Frame+Gasket+Safety+Glasses%2C+Clear+Lens&amp;qid=1695173234&amp;sr=8-8")</f>
        <v>https://www.amazon.com/Klein-Tools-60539-Professional-Protective/dp/B0BLQ6F4MQ/ref=sr_1_8?keywords=Klein+Tools+60470+Professional+Full-Frame+Gasket+Safety+Glasses%2C+Clear+Lens&amp;qid=1695173234&amp;sr=8-8</v>
      </c>
      <c r="F337" t="s">
        <v>883</v>
      </c>
      <c r="G337" t="e">
        <f ca="1">_xludf.IMAGE("https://edmondsonsupply.com/cdn/shop/products/60470.jpg?v=1663260659")</f>
        <v>#NAME?</v>
      </c>
      <c r="H337" t="e">
        <f ca="1">_xludf.IMAGE("https://m.media-amazon.com/images/I/41z93jotzdL._AC_UL320_.jpg")</f>
        <v>#NAME?</v>
      </c>
      <c r="I337" t="s">
        <v>252</v>
      </c>
      <c r="J337">
        <v>29.99</v>
      </c>
      <c r="K337" s="4">
        <v>0.87549999999999994</v>
      </c>
      <c r="L337">
        <v>4.4000000000000004</v>
      </c>
      <c r="M337">
        <v>11</v>
      </c>
      <c r="O337" t="s">
        <v>25</v>
      </c>
      <c r="P337" t="s">
        <v>854</v>
      </c>
      <c r="Q337" t="s">
        <v>920</v>
      </c>
    </row>
    <row r="338" spans="1:17" ht="15.5" x14ac:dyDescent="0.35">
      <c r="A338" s="3" t="str">
        <f>HYPERLINK("https://edmondsonsupply.com/collections/personal-protection-safety/products/klein-tools-60159-standard-safety-glasses-clear-lens", "https://edmondsonsupply.com/collections/personal-protection-safety/products/klein-tools-60159-standard-safety-glasses-clear-lens")</f>
        <v>https://edmondsonsupply.com/collections/personal-protection-safety/products/klein-tools-60159-standard-safety-glasses-clear-lens</v>
      </c>
      <c r="B338" s="3" t="str">
        <f>HYPERLINK("https://edmondsonsupply.com/products/klein-tools-60159-standard-safety-glasses-clear-lens", "https://edmondsonsupply.com/products/klein-tools-60159-standard-safety-glasses-clear-lens")</f>
        <v>https://edmondsonsupply.com/products/klein-tools-60159-standard-safety-glasses-clear-lens</v>
      </c>
      <c r="C338" t="s">
        <v>921</v>
      </c>
      <c r="D338" t="s">
        <v>922</v>
      </c>
      <c r="E338" s="3" t="str">
        <f>HYPERLINK("https://www.amazon.com/Klein-60161-Professional-Protective-Resistant/dp/B08B496F57/ref=sr_1_4?keywords=Klein+Tools+60159+Standard+Safety+Glasses%2C+Clear+Lens&amp;qid=1695173254&amp;sr=8-4", "https://www.amazon.com/Klein-60161-Professional-Protective-Resistant/dp/B08B496F57/ref=sr_1_4?keywords=Klein+Tools+60159+Standard+Safety+Glasses%2C+Clear+Lens&amp;qid=1695173254&amp;sr=8-4")</f>
        <v>https://www.amazon.com/Klein-60161-Professional-Protective-Resistant/dp/B08B496F57/ref=sr_1_4?keywords=Klein+Tools+60159+Standard+Safety+Glasses%2C+Clear+Lens&amp;qid=1695173254&amp;sr=8-4</v>
      </c>
      <c r="F338" t="s">
        <v>923</v>
      </c>
      <c r="G338" t="e">
        <f ca="1">_xludf.IMAGE("https://edmondsonsupply.com/cdn/shop/products/60159.jpg?v=1633030842")</f>
        <v>#NAME?</v>
      </c>
      <c r="H338" t="e">
        <f ca="1">_xludf.IMAGE("https://m.media-amazon.com/images/I/515pVZPvJ0L._AC_UL320_.jpg")</f>
        <v>#NAME?</v>
      </c>
      <c r="I338" t="s">
        <v>924</v>
      </c>
      <c r="J338">
        <v>15.99</v>
      </c>
      <c r="K338" s="4">
        <v>0.77859999999999996</v>
      </c>
      <c r="L338">
        <v>4.4000000000000004</v>
      </c>
      <c r="M338">
        <v>374</v>
      </c>
      <c r="O338" t="s">
        <v>25</v>
      </c>
      <c r="P338" t="s">
        <v>925</v>
      </c>
      <c r="Q338" t="s">
        <v>926</v>
      </c>
    </row>
    <row r="339" spans="1:17" ht="15.5" x14ac:dyDescent="0.35">
      <c r="A339" s="3" t="str">
        <f>HYPERLINK("https://edmondsonsupply.com/collections/personal-protection-safety/products/klein-tools-60159-standard-safety-glasses-clear-lens", "https://edmondsonsupply.com/collections/personal-protection-safety/products/klein-tools-60159-standard-safety-glasses-clear-lens")</f>
        <v>https://edmondsonsupply.com/collections/personal-protection-safety/products/klein-tools-60159-standard-safety-glasses-clear-lens</v>
      </c>
      <c r="B339" s="3" t="str">
        <f>HYPERLINK("https://edmondsonsupply.com/products/klein-tools-60159-standard-safety-glasses-clear-lens", "https://edmondsonsupply.com/products/klein-tools-60159-standard-safety-glasses-clear-lens")</f>
        <v>https://edmondsonsupply.com/products/klein-tools-60159-standard-safety-glasses-clear-lens</v>
      </c>
      <c r="C339" t="s">
        <v>921</v>
      </c>
      <c r="D339" t="s">
        <v>927</v>
      </c>
      <c r="E339" s="3" t="str">
        <f>HYPERLINK("https://www.amazon.com/Klein-60470-Protection-Anti-Fog-Resistant/dp/B0B69KPRPF/ref=sr_1_2?keywords=Klein+Tools+60159+Standard+Safety+Glasses%2C+Clear+Lens&amp;qid=1695173254&amp;sr=8-2", "https://www.amazon.com/Klein-60470-Protection-Anti-Fog-Resistant/dp/B0B69KPRPF/ref=sr_1_2?keywords=Klein+Tools+60159+Standard+Safety+Glasses%2C+Clear+Lens&amp;qid=1695173254&amp;sr=8-2")</f>
        <v>https://www.amazon.com/Klein-60470-Protection-Anti-Fog-Resistant/dp/B0B69KPRPF/ref=sr_1_2?keywords=Klein+Tools+60159+Standard+Safety+Glasses%2C+Clear+Lens&amp;qid=1695173254&amp;sr=8-2</v>
      </c>
      <c r="F339" t="s">
        <v>928</v>
      </c>
      <c r="G339" t="e">
        <f ca="1">_xludf.IMAGE("https://edmondsonsupply.com/cdn/shop/products/60159.jpg?v=1633030842")</f>
        <v>#NAME?</v>
      </c>
      <c r="H339" t="e">
        <f ca="1">_xludf.IMAGE("https://m.media-amazon.com/images/I/51TkfiRMYgL._AC_UL320_.jpg")</f>
        <v>#NAME?</v>
      </c>
      <c r="I339" t="s">
        <v>924</v>
      </c>
      <c r="J339">
        <v>15.99</v>
      </c>
      <c r="K339" s="4">
        <v>0.77859999999999996</v>
      </c>
      <c r="L339">
        <v>4</v>
      </c>
      <c r="M339">
        <v>29</v>
      </c>
      <c r="O339" t="s">
        <v>25</v>
      </c>
      <c r="P339" t="s">
        <v>925</v>
      </c>
      <c r="Q339" t="s">
        <v>926</v>
      </c>
    </row>
    <row r="340" spans="1:17" ht="15.5" x14ac:dyDescent="0.35">
      <c r="A340" s="3" t="str">
        <f>HYPERLINK("https://edmondsonsupply.com/collections/personal-protection-safety/products/klein-tools-60160-standard-safety-glasses-gray-lens", "https://edmondsonsupply.com/collections/personal-protection-safety/products/klein-tools-60160-standard-safety-glasses-gray-lens")</f>
        <v>https://edmondsonsupply.com/collections/personal-protection-safety/products/klein-tools-60160-standard-safety-glasses-gray-lens</v>
      </c>
      <c r="B340" s="3" t="str">
        <f>HYPERLINK("https://edmondsonsupply.com/products/klein-tools-60160-standard-safety-glasses-gray-lens", "https://edmondsonsupply.com/products/klein-tools-60160-standard-safety-glasses-gray-lens")</f>
        <v>https://edmondsonsupply.com/products/klein-tools-60160-standard-safety-glasses-gray-lens</v>
      </c>
      <c r="C340" t="s">
        <v>929</v>
      </c>
      <c r="D340" t="s">
        <v>930</v>
      </c>
      <c r="E340" s="3" t="str">
        <f>HYPERLINK("https://www.amazon.com/Klein-60471-Protection-Anti-Fog-Resistant/dp/B0B69LNT2Y/ref=sr_1_3?keywords=Klein+Tools+60160+Standard+Safety+Glasses%2C+Gray+Lens&amp;qid=1695173260&amp;sr=8-3", "https://www.amazon.com/Klein-60471-Protection-Anti-Fog-Resistant/dp/B0B69LNT2Y/ref=sr_1_3?keywords=Klein+Tools+60160+Standard+Safety+Glasses%2C+Gray+Lens&amp;qid=1695173260&amp;sr=8-3")</f>
        <v>https://www.amazon.com/Klein-60471-Protection-Anti-Fog-Resistant/dp/B0B69LNT2Y/ref=sr_1_3?keywords=Klein+Tools+60160+Standard+Safety+Glasses%2C+Gray+Lens&amp;qid=1695173260&amp;sr=8-3</v>
      </c>
      <c r="F340" t="s">
        <v>931</v>
      </c>
      <c r="G340" t="e">
        <f ca="1">_xludf.IMAGE("https://edmondsonsupply.com/cdn/shop/products/60160.jpg?v=1633030843")</f>
        <v>#NAME?</v>
      </c>
      <c r="H340" t="e">
        <f ca="1">_xludf.IMAGE("https://m.media-amazon.com/images/I/51z-a2tdJlL._AC_UL320_.jpg")</f>
        <v>#NAME?</v>
      </c>
      <c r="I340" t="s">
        <v>924</v>
      </c>
      <c r="J340">
        <v>15.99</v>
      </c>
      <c r="K340" s="4">
        <v>0.77859999999999996</v>
      </c>
      <c r="L340">
        <v>4.3</v>
      </c>
      <c r="M340">
        <v>56</v>
      </c>
      <c r="O340" t="s">
        <v>25</v>
      </c>
      <c r="P340" t="s">
        <v>925</v>
      </c>
      <c r="Q340" t="s">
        <v>932</v>
      </c>
    </row>
    <row r="341" spans="1:17" ht="15.5" x14ac:dyDescent="0.35">
      <c r="A341" s="3" t="str">
        <f>HYPERLINK("https://edmondsonsupply.com/collections/personal-protection-safety/products/klein-tools-56220-led-headlamp-flashlight-with-strap-for-hard-hat", "https://edmondsonsupply.com/collections/personal-protection-safety/products/klein-tools-56220-led-headlamp-flashlight-with-strap-for-hard-hat")</f>
        <v>https://edmondsonsupply.com/collections/personal-protection-safety/products/klein-tools-56220-led-headlamp-flashlight-with-strap-for-hard-hat</v>
      </c>
      <c r="B341"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341" t="s">
        <v>933</v>
      </c>
      <c r="D341" t="s">
        <v>934</v>
      </c>
      <c r="E341" s="3" t="str">
        <f>HYPERLINK("https://www.amazon.com/Klein-Tools-Rechargeable-Auto-Off-Headlamp/dp/B09Z932C3Z/ref=sr_1_8?keywords=Klein+Tools+56220+LED+Headlamp+with+Silicone+Hard+Hat+Strap&amp;qid=1695173215&amp;sr=8-8", "https://www.amazon.com/Klein-Tools-Rechargeable-Auto-Off-Headlamp/dp/B09Z932C3Z/ref=sr_1_8?keywords=Klein+Tools+56220+LED+Headlamp+with+Silicone+Hard+Hat+Strap&amp;qid=1695173215&amp;sr=8-8")</f>
        <v>https://www.amazon.com/Klein-Tools-Rechargeable-Auto-Off-Headlamp/dp/B09Z932C3Z/ref=sr_1_8?keywords=Klein+Tools+56220+LED+Headlamp+with+Silicone+Hard+Hat+Strap&amp;qid=1695173215&amp;sr=8-8</v>
      </c>
      <c r="F341" t="s">
        <v>935</v>
      </c>
      <c r="G341" t="e">
        <f ca="1">_xludf.IMAGE("https://edmondsonsupply.com/cdn/shop/files/56220_874194e8-71d5-41d8-a579-6dec47b3f455.jpg?v=1687356671")</f>
        <v>#NAME?</v>
      </c>
      <c r="H341" t="e">
        <f ca="1">_xludf.IMAGE("https://m.media-amazon.com/images/I/51-nHtYlwEL._AC_UL320_.jpg")</f>
        <v>#NAME?</v>
      </c>
      <c r="I341" t="s">
        <v>936</v>
      </c>
      <c r="J341">
        <v>47.94</v>
      </c>
      <c r="K341" s="4">
        <v>0.77749999999999997</v>
      </c>
      <c r="L341">
        <v>5</v>
      </c>
      <c r="M341">
        <v>1</v>
      </c>
      <c r="O341" t="s">
        <v>25</v>
      </c>
      <c r="P341" t="s">
        <v>937</v>
      </c>
      <c r="Q341" t="s">
        <v>938</v>
      </c>
    </row>
    <row r="342" spans="1:17" ht="15.5" x14ac:dyDescent="0.35">
      <c r="A342" s="3" t="str">
        <f>HYPERLINK("https://edmondsonsupply.com/collections/personal-protection-safety/products/milwaukee-48-22-8732-demolition-gloves-large", "https://edmondsonsupply.com/collections/personal-protection-safety/products/milwaukee-48-22-8732-demolition-gloves-large")</f>
        <v>https://edmondsonsupply.com/collections/personal-protection-safety/products/milwaukee-48-22-8732-demolition-gloves-large</v>
      </c>
      <c r="B342" s="3" t="str">
        <f>HYPERLINK("https://edmondsonsupply.com/products/milwaukee-48-22-8732-demolition-gloves-large", "https://edmondsonsupply.com/products/milwaukee-48-22-8732-demolition-gloves-large")</f>
        <v>https://edmondsonsupply.com/products/milwaukee-48-22-8732-demolition-gloves-large</v>
      </c>
      <c r="C342" t="s">
        <v>939</v>
      </c>
      <c r="D342" t="s">
        <v>940</v>
      </c>
      <c r="E342" s="3" t="str">
        <f>HYPERLINK("https://www.amazon.com/Milwaukee-Demolition-Glove-XX-Large-48-22-9734/dp/B01G4AC6TM/ref=sr_1_3?keywords=Milwaukee+48-22-8732+Demolition+Gloves%2C+Large&amp;qid=1695173258&amp;sr=8-3", "https://www.amazon.com/Milwaukee-Demolition-Glove-XX-Large-48-22-9734/dp/B01G4AC6TM/ref=sr_1_3?keywords=Milwaukee+48-22-8732+Demolition+Gloves%2C+Large&amp;qid=1695173258&amp;sr=8-3")</f>
        <v>https://www.amazon.com/Milwaukee-Demolition-Glove-XX-Large-48-22-9734/dp/B01G4AC6TM/ref=sr_1_3?keywords=Milwaukee+48-22-8732+Demolition+Gloves%2C+Large&amp;qid=1695173258&amp;sr=8-3</v>
      </c>
      <c r="F342" t="s">
        <v>941</v>
      </c>
      <c r="G342" t="e">
        <f ca="1">_xludf.IMAGE("https://edmondsonsupply.com/cdn/shop/products/48-22-8732_A_3bfe7555-9162-400a-8a46-4ac8d4a27ffc.png?v=1587146162")</f>
        <v>#NAME?</v>
      </c>
      <c r="H342" t="e">
        <f ca="1">_xludf.IMAGE("https://m.media-amazon.com/images/I/71WPYRRsHSL._AC_UL320_.jpg")</f>
        <v>#NAME?</v>
      </c>
      <c r="I342" t="s">
        <v>859</v>
      </c>
      <c r="J342">
        <v>43</v>
      </c>
      <c r="K342" s="4">
        <v>0.72209999999999996</v>
      </c>
      <c r="L342">
        <v>3.6</v>
      </c>
      <c r="M342">
        <v>15</v>
      </c>
      <c r="O342" t="s">
        <v>25</v>
      </c>
      <c r="P342" t="s">
        <v>860</v>
      </c>
      <c r="Q342" t="s">
        <v>942</v>
      </c>
    </row>
    <row r="343" spans="1:17" ht="15.5" x14ac:dyDescent="0.35">
      <c r="A343" s="3" t="str">
        <f>HYPERLINK("https://edmondsonsupply.com/collections/personal-protection-safety/products/klein-tools-60401-hard-hat-vented-full-brim-style", "https://edmondsonsupply.com/collections/personal-protection-safety/products/klein-tools-60401-hard-hat-vented-full-brim-style")</f>
        <v>https://edmondsonsupply.com/collections/personal-protection-safety/products/klein-tools-60401-hard-hat-vented-full-brim-style</v>
      </c>
      <c r="B343" s="3" t="str">
        <f>HYPERLINK("https://edmondsonsupply.com/products/klein-tools-60401-hard-hat-vented-full-brim-style", "https://edmondsonsupply.com/products/klein-tools-60401-hard-hat-vented-full-brim-style")</f>
        <v>https://edmondsonsupply.com/products/klein-tools-60401-hard-hat-vented-full-brim-style</v>
      </c>
      <c r="C343" t="s">
        <v>943</v>
      </c>
      <c r="D343" t="s">
        <v>944</v>
      </c>
      <c r="E343" s="3" t="str">
        <f>HYPERLINK("https://www.amazon.com/Klein-Tools-KHHTOPPAD-Replaceable-Suspension/dp/B08KGPS8XH/ref=sr_1_6?keywords=Klein+Tools+60401+Hard+Hat%2C+Vented%2C+Full+Brim+Style&amp;qid=1695173214&amp;sr=8-6", "https://www.amazon.com/Klein-Tools-KHHTOPPAD-Replaceable-Suspension/dp/B08KGPS8XH/ref=sr_1_6?keywords=Klein+Tools+60401+Hard+Hat%2C+Vented%2C+Full+Brim+Style&amp;qid=1695173214&amp;sr=8-6")</f>
        <v>https://www.amazon.com/Klein-Tools-KHHTOPPAD-Replaceable-Suspension/dp/B08KGPS8XH/ref=sr_1_6?keywords=Klein+Tools+60401+Hard+Hat%2C+Vented%2C+Full+Brim+Style&amp;qid=1695173214&amp;sr=8-6</v>
      </c>
      <c r="F343" t="s">
        <v>945</v>
      </c>
      <c r="G343" t="e">
        <f ca="1">_xludf.IMAGE("https://edmondsonsupply.com/cdn/shop/products/60401.jpg?v=1587143271")</f>
        <v>#NAME?</v>
      </c>
      <c r="H343" t="e">
        <f ca="1">_xludf.IMAGE("https://m.media-amazon.com/images/I/61bjZBPtOIL._AC_UL320_.jpg")</f>
        <v>#NAME?</v>
      </c>
      <c r="I343" t="s">
        <v>946</v>
      </c>
      <c r="J343">
        <v>75.709999999999994</v>
      </c>
      <c r="K343" s="4">
        <v>0.68279999999999996</v>
      </c>
      <c r="L343">
        <v>4.7</v>
      </c>
      <c r="M343">
        <v>19</v>
      </c>
      <c r="O343" t="s">
        <v>25</v>
      </c>
      <c r="P343" t="s">
        <v>947</v>
      </c>
      <c r="Q343" t="s">
        <v>948</v>
      </c>
    </row>
    <row r="344" spans="1:17" ht="15.5" x14ac:dyDescent="0.35">
      <c r="A344" s="3" t="str">
        <f>HYPERLINK("https://edmondsonsupply.com/collections/personal-protection-safety/products/milwaukee-48-22-8732-demolition-gloves-large", "https://edmondsonsupply.com/collections/personal-protection-safety/products/milwaukee-48-22-8732-demolition-gloves-large")</f>
        <v>https://edmondsonsupply.com/collections/personal-protection-safety/products/milwaukee-48-22-8732-demolition-gloves-large</v>
      </c>
      <c r="B344" s="3" t="str">
        <f>HYPERLINK("https://edmondsonsupply.com/products/milwaukee-48-22-8732-demolition-gloves-large", "https://edmondsonsupply.com/products/milwaukee-48-22-8732-demolition-gloves-large")</f>
        <v>https://edmondsonsupply.com/products/milwaukee-48-22-8732-demolition-gloves-large</v>
      </c>
      <c r="C344" t="s">
        <v>939</v>
      </c>
      <c r="D344" t="s">
        <v>949</v>
      </c>
      <c r="E344" s="3" t="str">
        <f>HYPERLINK("https://www.amazon.com/Milwaukee-Demolition-Glove-X-Large-48-22-9733/dp/B01G4AC5H0/ref=sr_1_9?keywords=Milwaukee+48-22-8732+Demolition+Gloves%2C+Large&amp;qid=1695173258&amp;sr=8-9", "https://www.amazon.com/Milwaukee-Demolition-Glove-X-Large-48-22-9733/dp/B01G4AC5H0/ref=sr_1_9?keywords=Milwaukee+48-22-8732+Demolition+Gloves%2C+Large&amp;qid=1695173258&amp;sr=8-9")</f>
        <v>https://www.amazon.com/Milwaukee-Demolition-Glove-X-Large-48-22-9733/dp/B01G4AC5H0/ref=sr_1_9?keywords=Milwaukee+48-22-8732+Demolition+Gloves%2C+Large&amp;qid=1695173258&amp;sr=8-9</v>
      </c>
      <c r="F344" t="s">
        <v>950</v>
      </c>
      <c r="G344" t="e">
        <f ca="1">_xludf.IMAGE("https://edmondsonsupply.com/cdn/shop/products/48-22-8732_A_3bfe7555-9162-400a-8a46-4ac8d4a27ffc.png?v=1587146162")</f>
        <v>#NAME?</v>
      </c>
      <c r="H344" t="e">
        <f ca="1">_xludf.IMAGE("https://m.media-amazon.com/images/I/81BLdZBq2EL._AC_UL320_.jpg")</f>
        <v>#NAME?</v>
      </c>
      <c r="I344" t="s">
        <v>859</v>
      </c>
      <c r="J344">
        <v>42</v>
      </c>
      <c r="K344" s="4">
        <v>0.68200000000000005</v>
      </c>
      <c r="L344">
        <v>4.5</v>
      </c>
      <c r="M344">
        <v>150</v>
      </c>
      <c r="O344" t="s">
        <v>25</v>
      </c>
      <c r="P344" t="s">
        <v>860</v>
      </c>
      <c r="Q344" t="s">
        <v>942</v>
      </c>
    </row>
    <row r="345" spans="1:17" ht="15.5" x14ac:dyDescent="0.35">
      <c r="A345" s="3" t="str">
        <f>HYPERLINK("https://edmondsonsupply.com/collections/personal-protection-safety/products/klein-tools-60246-p100-half-mask-respirator-s-m", "https://edmondsonsupply.com/collections/personal-protection-safety/products/klein-tools-60246-p100-half-mask-respirator-s-m")</f>
        <v>https://edmondsonsupply.com/collections/personal-protection-safety/products/klein-tools-60246-p100-half-mask-respirator-s-m</v>
      </c>
      <c r="B345" s="3" t="str">
        <f>HYPERLINK("https://edmondsonsupply.com/products/klein-tools-60246-p100-half-mask-respirator-s-m", "https://edmondsonsupply.com/products/klein-tools-60246-p100-half-mask-respirator-s-m")</f>
        <v>https://edmondsonsupply.com/products/klein-tools-60246-p100-half-mask-respirator-s-m</v>
      </c>
      <c r="C345" t="s">
        <v>951</v>
      </c>
      <c r="D345" t="s">
        <v>843</v>
      </c>
      <c r="E345" s="3" t="str">
        <f>HYPERLINK("https://www.amazon.com/Klein-80044-Half-Mask-Respirator-Replacement/dp/B09FW2FRX8/ref=sr_1_2?keywords=Klein+Tools+60246+P100+Half-Mask+Respirator%2C+S%2FM&amp;qid=1695173215&amp;sr=8-2", "https://www.amazon.com/Klein-80044-Half-Mask-Respirator-Replacement/dp/B09FW2FRX8/ref=sr_1_2?keywords=Klein+Tools+60246+P100+Half-Mask+Respirator%2C+S%2FM&amp;qid=1695173215&amp;sr=8-2")</f>
        <v>https://www.amazon.com/Klein-80044-Half-Mask-Respirator-Replacement/dp/B09FW2FRX8/ref=sr_1_2?keywords=Klein+Tools+60246+P100+Half-Mask+Respirator%2C+S%2FM&amp;qid=1695173215&amp;sr=8-2</v>
      </c>
      <c r="F345" t="s">
        <v>844</v>
      </c>
      <c r="G345" t="e">
        <f ca="1">_xludf.IMAGE("https://edmondsonsupply.com/cdn/shop/products/60246.jpg?v=1661862728")</f>
        <v>#NAME?</v>
      </c>
      <c r="H345" t="e">
        <f ca="1">_xludf.IMAGE("https://m.media-amazon.com/images/I/61kQgRHQL4L._AC_UL320_.jpg")</f>
        <v>#NAME?</v>
      </c>
      <c r="I345" t="s">
        <v>26</v>
      </c>
      <c r="J345">
        <v>50.35</v>
      </c>
      <c r="K345" s="4">
        <v>0.67889999999999995</v>
      </c>
      <c r="L345">
        <v>4.5</v>
      </c>
      <c r="M345">
        <v>21</v>
      </c>
      <c r="O345" t="s">
        <v>25</v>
      </c>
      <c r="P345" t="s">
        <v>952</v>
      </c>
      <c r="Q345" t="s">
        <v>953</v>
      </c>
    </row>
    <row r="346" spans="1:17" ht="15.5" x14ac:dyDescent="0.35">
      <c r="A346" s="3" t="str">
        <f>HYPERLINK("https://edmondsonsupply.com/collections/personal-protection-safety/products/klein-tools-60244-p100-half-mask-respirator-m-l", "https://edmondsonsupply.com/collections/personal-protection-safety/products/klein-tools-60244-p100-half-mask-respirator-m-l")</f>
        <v>https://edmondsonsupply.com/collections/personal-protection-safety/products/klein-tools-60244-p100-half-mask-respirator-m-l</v>
      </c>
      <c r="B346" s="3" t="str">
        <f>HYPERLINK("https://edmondsonsupply.com/products/klein-tools-60244-p100-half-mask-respirator-m-l", "https://edmondsonsupply.com/products/klein-tools-60244-p100-half-mask-respirator-m-l")</f>
        <v>https://edmondsonsupply.com/products/klein-tools-60244-p100-half-mask-respirator-m-l</v>
      </c>
      <c r="C346" t="s">
        <v>954</v>
      </c>
      <c r="D346" t="s">
        <v>843</v>
      </c>
      <c r="E346" s="3" t="str">
        <f>HYPERLINK("https://www.amazon.com/Klein-80044-Half-Mask-Respirator-Replacement/dp/B09FW2FRX8/ref=sr_1_3?keywords=Klein+Tools+60244+P100+Half-Mask+Respirator%2C+M%2FL&amp;qid=1695173235&amp;sr=8-3", "https://www.amazon.com/Klein-80044-Half-Mask-Respirator-Replacement/dp/B09FW2FRX8/ref=sr_1_3?keywords=Klein+Tools+60244+P100+Half-Mask+Respirator%2C+M%2FL&amp;qid=1695173235&amp;sr=8-3")</f>
        <v>https://www.amazon.com/Klein-80044-Half-Mask-Respirator-Replacement/dp/B09FW2FRX8/ref=sr_1_3?keywords=Klein+Tools+60244+P100+Half-Mask+Respirator%2C+M%2FL&amp;qid=1695173235&amp;sr=8-3</v>
      </c>
      <c r="F346" t="s">
        <v>844</v>
      </c>
      <c r="G346" t="e">
        <f ca="1">_xludf.IMAGE("https://edmondsonsupply.com/cdn/shop/products/60246_7e68115f-7e07-4587-a48b-41d81558644a.jpg?v=1661864149")</f>
        <v>#NAME?</v>
      </c>
      <c r="H346" t="e">
        <f ca="1">_xludf.IMAGE("https://m.media-amazon.com/images/I/61kQgRHQL4L._AC_UL320_.jpg")</f>
        <v>#NAME?</v>
      </c>
      <c r="I346" t="s">
        <v>26</v>
      </c>
      <c r="J346">
        <v>50.35</v>
      </c>
      <c r="K346" s="4">
        <v>0.67889999999999995</v>
      </c>
      <c r="L346">
        <v>4.5</v>
      </c>
      <c r="M346">
        <v>21</v>
      </c>
      <c r="O346" t="s">
        <v>25</v>
      </c>
      <c r="P346" t="s">
        <v>952</v>
      </c>
      <c r="Q346" t="s">
        <v>955</v>
      </c>
    </row>
    <row r="347" spans="1:17" ht="15.5" x14ac:dyDescent="0.35">
      <c r="A347" s="3" t="str">
        <f>HYPERLINK("https://edmondsonsupply.com/collections/personal-protection-safety/products/klein-tools-60159-standard-safety-glasses-clear-lens", "https://edmondsonsupply.com/collections/personal-protection-safety/products/klein-tools-60159-standard-safety-glasses-clear-lens")</f>
        <v>https://edmondsonsupply.com/collections/personal-protection-safety/products/klein-tools-60159-standard-safety-glasses-clear-lens</v>
      </c>
      <c r="B347" s="3" t="str">
        <f>HYPERLINK("https://edmondsonsupply.com/products/klein-tools-60159-standard-safety-glasses-clear-lens", "https://edmondsonsupply.com/products/klein-tools-60159-standard-safety-glasses-clear-lens")</f>
        <v>https://edmondsonsupply.com/products/klein-tools-60159-standard-safety-glasses-clear-lens</v>
      </c>
      <c r="C347" t="s">
        <v>921</v>
      </c>
      <c r="D347" t="s">
        <v>956</v>
      </c>
      <c r="E347" s="3" t="str">
        <f>HYPERLINK("https://www.amazon.com/Klein-60163-Professional-Protective-Resistant/dp/B08B48CZ5V/ref=sr_1_3?keywords=Klein+Tools+60159+Standard+Safety+Glasses%2C+Clear+Lens&amp;qid=1695173254&amp;sr=8-3", "https://www.amazon.com/Klein-60163-Professional-Protective-Resistant/dp/B08B48CZ5V/ref=sr_1_3?keywords=Klein+Tools+60159+Standard+Safety+Glasses%2C+Clear+Lens&amp;qid=1695173254&amp;sr=8-3")</f>
        <v>https://www.amazon.com/Klein-60163-Professional-Protective-Resistant/dp/B08B48CZ5V/ref=sr_1_3?keywords=Klein+Tools+60159+Standard+Safety+Glasses%2C+Clear+Lens&amp;qid=1695173254&amp;sr=8-3</v>
      </c>
      <c r="F347" t="s">
        <v>957</v>
      </c>
      <c r="G347" t="e">
        <f ca="1">_xludf.IMAGE("https://edmondsonsupply.com/cdn/shop/products/60159.jpg?v=1633030842")</f>
        <v>#NAME?</v>
      </c>
      <c r="H347" t="e">
        <f ca="1">_xludf.IMAGE("https://m.media-amazon.com/images/I/41IY8K6EFLL._AC_UL320_.jpg")</f>
        <v>#NAME?</v>
      </c>
      <c r="I347" t="s">
        <v>924</v>
      </c>
      <c r="J347">
        <v>14.99</v>
      </c>
      <c r="K347" s="4">
        <v>0.66739999999999999</v>
      </c>
      <c r="L347">
        <v>4.4000000000000004</v>
      </c>
      <c r="M347">
        <v>198</v>
      </c>
      <c r="O347" t="s">
        <v>25</v>
      </c>
      <c r="P347" t="s">
        <v>925</v>
      </c>
      <c r="Q347" t="s">
        <v>926</v>
      </c>
    </row>
    <row r="348" spans="1:17" ht="15.5" x14ac:dyDescent="0.35">
      <c r="A348" s="3" t="str">
        <f>HYPERLINK("https://edmondsonsupply.com/collections/personal-protection-safety/products/klein-tools-60160-standard-safety-glasses-gray-lens", "https://edmondsonsupply.com/collections/personal-protection-safety/products/klein-tools-60160-standard-safety-glasses-gray-lens")</f>
        <v>https://edmondsonsupply.com/collections/personal-protection-safety/products/klein-tools-60160-standard-safety-glasses-gray-lens</v>
      </c>
      <c r="B348" s="3" t="str">
        <f>HYPERLINK("https://edmondsonsupply.com/products/klein-tools-60160-standard-safety-glasses-gray-lens", "https://edmondsonsupply.com/products/klein-tools-60160-standard-safety-glasses-gray-lens")</f>
        <v>https://edmondsonsupply.com/products/klein-tools-60160-standard-safety-glasses-gray-lens</v>
      </c>
      <c r="C348" t="s">
        <v>929</v>
      </c>
      <c r="D348" t="s">
        <v>958</v>
      </c>
      <c r="E348" s="3" t="str">
        <f>HYPERLINK("https://www.amazon.com/Klein-60164-Professional-Protective-Resistant/dp/B08B4BNSHM/ref=sr_1_5?keywords=Klein+Tools+60160+Standard+Safety+Glasses%2C+Gray+Lens&amp;qid=1695173260&amp;sr=8-5", "https://www.amazon.com/Klein-60164-Professional-Protective-Resistant/dp/B08B4BNSHM/ref=sr_1_5?keywords=Klein+Tools+60160+Standard+Safety+Glasses%2C+Gray+Lens&amp;qid=1695173260&amp;sr=8-5")</f>
        <v>https://www.amazon.com/Klein-60164-Professional-Protective-Resistant/dp/B08B4BNSHM/ref=sr_1_5?keywords=Klein+Tools+60160+Standard+Safety+Glasses%2C+Gray+Lens&amp;qid=1695173260&amp;sr=8-5</v>
      </c>
      <c r="F348" t="s">
        <v>959</v>
      </c>
      <c r="G348" t="e">
        <f ca="1">_xludf.IMAGE("https://edmondsonsupply.com/cdn/shop/products/60160.jpg?v=1633030843")</f>
        <v>#NAME?</v>
      </c>
      <c r="H348" t="e">
        <f ca="1">_xludf.IMAGE("https://m.media-amazon.com/images/I/41bNrH9NnFL._AC_UL320_.jpg")</f>
        <v>#NAME?</v>
      </c>
      <c r="I348" t="s">
        <v>924</v>
      </c>
      <c r="J348">
        <v>14.99</v>
      </c>
      <c r="K348" s="4">
        <v>0.66739999999999999</v>
      </c>
      <c r="L348">
        <v>4.4000000000000004</v>
      </c>
      <c r="M348">
        <v>463</v>
      </c>
      <c r="O348" t="s">
        <v>25</v>
      </c>
      <c r="P348" t="s">
        <v>925</v>
      </c>
      <c r="Q348" t="s">
        <v>932</v>
      </c>
    </row>
    <row r="349" spans="1:17" ht="15.5" x14ac:dyDescent="0.35">
      <c r="A349" s="3" t="str">
        <f>HYPERLINK("https://edmondsonsupply.com/collections/personal-protection-safety/products/klein-tools-60539-professional-safety-glasses-full-frame-polarized-lens", "https://edmondsonsupply.com/collections/personal-protection-safety/products/klein-tools-60539-professional-safety-glasses-full-frame-polarized-lens")</f>
        <v>https://edmondsonsupply.com/collections/personal-protection-safety/products/klein-tools-60539-professional-safety-glasses-full-frame-polarized-lens</v>
      </c>
      <c r="B349"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349" t="s">
        <v>960</v>
      </c>
      <c r="D349" t="s">
        <v>816</v>
      </c>
      <c r="E349" s="3" t="str">
        <f>HYPERLINK("https://www.amazon.com/Klein-80055-Glasses-Professional-Breakaway/dp/B09HR9RV4H/ref=sr_1_5?keywords=Klein+Tools+60539+Professional+Safety+Glasses%2C+Full+Frame%2C+Polarized+Lens&amp;qid=1695173226&amp;sr=8-5", "https://www.amazon.com/Klein-80055-Glasses-Professional-Breakaway/dp/B09HR9RV4H/ref=sr_1_5?keywords=Klein+Tools+60539+Professional+Safety+Glasses%2C+Full+Frame%2C+Polarized+Lens&amp;qid=1695173226&amp;sr=8-5")</f>
        <v>https://www.amazon.com/Klein-80055-Glasses-Professional-Breakaway/dp/B09HR9RV4H/ref=sr_1_5?keywords=Klein+Tools+60539+Professional+Safety+Glasses%2C+Full+Frame%2C+Polarized+Lens&amp;qid=1695173226&amp;sr=8-5</v>
      </c>
      <c r="F349" t="s">
        <v>817</v>
      </c>
      <c r="G349" t="e">
        <f ca="1">_xludf.IMAGE("https://edmondsonsupply.com/cdn/shop/products/60539.jpg?v=1670948006")</f>
        <v>#NAME?</v>
      </c>
      <c r="H349" t="e">
        <f ca="1">_xludf.IMAGE("https://m.media-amazon.com/images/I/61L5l7dmmiL._AC_UL320_.jpg")</f>
        <v>#NAME?</v>
      </c>
      <c r="I349" t="s">
        <v>26</v>
      </c>
      <c r="J349">
        <v>49.99</v>
      </c>
      <c r="K349" s="4">
        <v>0.66690000000000005</v>
      </c>
      <c r="L349">
        <v>4.5</v>
      </c>
      <c r="M349">
        <v>13</v>
      </c>
      <c r="O349" t="s">
        <v>25</v>
      </c>
      <c r="P349" t="s">
        <v>562</v>
      </c>
      <c r="Q349" t="s">
        <v>961</v>
      </c>
    </row>
    <row r="350" spans="1:17" ht="15.5" x14ac:dyDescent="0.35">
      <c r="A350" s="3" t="str">
        <f>HYPERLINK("https://edmondsonsupply.com/collections/personal-protection-safety/products/klein-tools-60345-hard-hat-premium-karbn%E2%84%A2-pattern-non-vented-full-brim-class-e", "https://edmondsonsupply.com/collections/personal-protection-safety/products/klein-tools-60345-hard-hat-premium-karbn%E2%84%A2-pattern-non-vented-full-brim-class-e")</f>
        <v>https://edmondsonsupply.com/collections/personal-protection-safety/products/klein-tools-60345-hard-hat-premium-karbn%E2%84%A2-pattern-non-vented-full-brim-class-e</v>
      </c>
      <c r="B350" s="3" t="str">
        <f>HYPERLINK("https://edmondsonsupply.com/products/klein-tools-60345-hard-hat-premium-karbn%e2%84%a2-pattern-non-vented-full-brim-class-e", "https://edmondsonsupply.com/products/klein-tools-60345-hard-hat-premium-karbn%e2%84%a2-pattern-non-vented-full-brim-class-e")</f>
        <v>https://edmondsonsupply.com/products/klein-tools-60345-hard-hat-premium-karbn%e2%84%a2-pattern-non-vented-full-brim-class-e</v>
      </c>
      <c r="C350" t="s">
        <v>902</v>
      </c>
      <c r="D350" t="s">
        <v>962</v>
      </c>
      <c r="E350" s="3" t="str">
        <f>HYPERLINK("https://www.amazon.com/Klein-Tools-Non-Vented-Premium-Pattern/dp/B09Z8ZC2TJ/ref=sr_1_3?keywords=Klein+Tools+60345+Hard+Hat%2C+Premium+KARBN%E2%84%A2+Pattern%2C+Non-Vented+Full+Brim%2C+Class+E&amp;qid=1695173245&amp;sr=8-3", "https://www.amazon.com/Klein-Tools-Non-Vented-Premium-Pattern/dp/B09Z8ZC2TJ/ref=sr_1_3?keywords=Klein+Tools+60345+Hard+Hat%2C+Premium+KARBN%E2%84%A2+Pattern%2C+Non-Vented+Full+Brim%2C+Class+E&amp;qid=1695173245&amp;sr=8-3")</f>
        <v>https://www.amazon.com/Klein-Tools-Non-Vented-Premium-Pattern/dp/B09Z8ZC2TJ/ref=sr_1_3?keywords=Klein+Tools+60345+Hard+Hat%2C+Premium+KARBN%E2%84%A2+Pattern%2C+Non-Vented+Full+Brim%2C+Class+E&amp;qid=1695173245&amp;sr=8-3</v>
      </c>
      <c r="F350" t="s">
        <v>963</v>
      </c>
      <c r="G350" t="e">
        <f ca="1">_xludf.IMAGE("https://edmondsonsupply.com/cdn/shop/products/60345.jpg?v=1660171739")</f>
        <v>#NAME?</v>
      </c>
      <c r="H350" t="e">
        <f ca="1">_xludf.IMAGE("https://m.media-amazon.com/images/I/51OeMTIeiuL._AC_UL320_.jpg")</f>
        <v>#NAME?</v>
      </c>
      <c r="I350" t="s">
        <v>905</v>
      </c>
      <c r="J350">
        <v>99.98</v>
      </c>
      <c r="K350" s="4">
        <v>0.66659999999999997</v>
      </c>
      <c r="L350">
        <v>4.7</v>
      </c>
      <c r="M350">
        <v>8</v>
      </c>
      <c r="O350" t="s">
        <v>25</v>
      </c>
      <c r="P350" t="s">
        <v>906</v>
      </c>
      <c r="Q350" t="s">
        <v>907</v>
      </c>
    </row>
    <row r="351" spans="1:17" ht="15.5" x14ac:dyDescent="0.35">
      <c r="A351" s="3" t="str">
        <f>HYPERLINK("https://edmondsonsupply.com/collections/personal-protection-safety/products/klein-tools-40227-journeyman-leather-utility-gloves-large", "https://edmondsonsupply.com/collections/personal-protection-safety/products/klein-tools-40227-journeyman-leather-utility-gloves-large")</f>
        <v>https://edmondsonsupply.com/collections/personal-protection-safety/products/klein-tools-40227-journeyman-leather-utility-gloves-large</v>
      </c>
      <c r="B351" s="3" t="str">
        <f>HYPERLINK("https://edmondsonsupply.com/products/klein-tools-40227-journeyman-leather-utility-gloves-large", "https://edmondsonsupply.com/products/klein-tools-40227-journeyman-leather-utility-gloves-large")</f>
        <v>https://edmondsonsupply.com/products/klein-tools-40227-journeyman-leather-utility-gloves-large</v>
      </c>
      <c r="C351" t="s">
        <v>964</v>
      </c>
      <c r="D351" t="s">
        <v>965</v>
      </c>
      <c r="E351" s="3" t="str">
        <f>HYPERLINK("https://www.amazon.com/Journeyman-Leather-Klein-Tools-40221/dp/B00KWJ98QG/ref=sr_1_2?keywords=Klein+Tools+40227+Journeyman+Leather+Utility+Gloves%2C+Large&amp;qid=1695173267&amp;sr=8-2", "https://www.amazon.com/Journeyman-Leather-Klein-Tools-40221/dp/B00KWJ98QG/ref=sr_1_2?keywords=Klein+Tools+40227+Journeyman+Leather+Utility+Gloves%2C+Large&amp;qid=1695173267&amp;sr=8-2")</f>
        <v>https://www.amazon.com/Journeyman-Leather-Klein-Tools-40221/dp/B00KWJ98QG/ref=sr_1_2?keywords=Klein+Tools+40227+Journeyman+Leather+Utility+Gloves%2C+Large&amp;qid=1695173267&amp;sr=8-2</v>
      </c>
      <c r="F351" t="s">
        <v>966</v>
      </c>
      <c r="G351" t="e">
        <f ca="1">_xludf.IMAGE("https://edmondsonsupply.com/cdn/shop/products/40227.jpg?v=1633030298")</f>
        <v>#NAME?</v>
      </c>
      <c r="H351" t="e">
        <f ca="1">_xludf.IMAGE("https://m.media-amazon.com/images/I/61e9r7Pq+oL._AC_UL320_.jpg")</f>
        <v>#NAME?</v>
      </c>
      <c r="I351" t="s">
        <v>967</v>
      </c>
      <c r="J351">
        <v>44.49</v>
      </c>
      <c r="K351" s="4">
        <v>0.64839999999999998</v>
      </c>
      <c r="L351">
        <v>4.4000000000000004</v>
      </c>
      <c r="M351">
        <v>46</v>
      </c>
      <c r="O351" t="s">
        <v>25</v>
      </c>
      <c r="P351" t="s">
        <v>968</v>
      </c>
      <c r="Q351" t="s">
        <v>969</v>
      </c>
    </row>
    <row r="352" spans="1:17" ht="15.5" x14ac:dyDescent="0.35">
      <c r="A352" s="3" t="str">
        <f>HYPERLINK("https://edmondsonsupply.com/collections/personal-protection-safety/products/klein-tools-60100-hard-hat-non-vented-cap-style-white", "https://edmondsonsupply.com/collections/personal-protection-safety/products/klein-tools-60100-hard-hat-non-vented-cap-style-white")</f>
        <v>https://edmondsonsupply.com/collections/personal-protection-safety/products/klein-tools-60100-hard-hat-non-vented-cap-style-white</v>
      </c>
      <c r="B352" s="3" t="str">
        <f>HYPERLINK("https://edmondsonsupply.com/products/klein-tools-60100-hard-hat-non-vented-cap-style-white", "https://edmondsonsupply.com/products/klein-tools-60100-hard-hat-non-vented-cap-style-white")</f>
        <v>https://edmondsonsupply.com/products/klein-tools-60100-hard-hat-non-vented-cap-style-white</v>
      </c>
      <c r="C352" t="s">
        <v>970</v>
      </c>
      <c r="D352" t="s">
        <v>888</v>
      </c>
      <c r="E352" s="3" t="str">
        <f>HYPERLINK("https://www.amazon.com/Klein-Tools-Self-Wicking-Odor-Resistant-Sweatband/dp/B0B68NYYM7/ref=sr_1_6?keywords=Klein+Tools+60100+Hard+Hat%2C+Non-Vented%2C+Cap+Style%2C+White&amp;qid=1695173239&amp;sr=8-6", "https://www.amazon.com/Klein-Tools-Self-Wicking-Odor-Resistant-Sweatband/dp/B0B68NYYM7/ref=sr_1_6?keywords=Klein+Tools+60100+Hard+Hat%2C+Non-Vented%2C+Cap+Style%2C+White&amp;qid=1695173239&amp;sr=8-6")</f>
        <v>https://www.amazon.com/Klein-Tools-Self-Wicking-Odor-Resistant-Sweatband/dp/B0B68NYYM7/ref=sr_1_6?keywords=Klein+Tools+60100+Hard+Hat%2C+Non-Vented%2C+Cap+Style%2C+White&amp;qid=1695173239&amp;sr=8-6</v>
      </c>
      <c r="F352" t="s">
        <v>889</v>
      </c>
      <c r="G352" t="e">
        <f ca="1">_xludf.IMAGE("https://edmondsonsupply.com/cdn/shop/products/60100_c.jpg?v=1648166061")</f>
        <v>#NAME?</v>
      </c>
      <c r="H352" t="e">
        <f ca="1">_xludf.IMAGE("https://m.media-amazon.com/images/I/41IulVK0+jL._AC_UL320_.jpg")</f>
        <v>#NAME?</v>
      </c>
      <c r="I352" t="s">
        <v>198</v>
      </c>
      <c r="J352">
        <v>64.959999999999994</v>
      </c>
      <c r="K352" s="4">
        <v>0.62439999999999996</v>
      </c>
      <c r="L352">
        <v>4.5</v>
      </c>
      <c r="M352">
        <v>15</v>
      </c>
      <c r="O352" t="s">
        <v>171</v>
      </c>
      <c r="P352" t="s">
        <v>971</v>
      </c>
      <c r="Q352" t="s">
        <v>972</v>
      </c>
    </row>
    <row r="353" spans="1:17" ht="15.5" x14ac:dyDescent="0.35">
      <c r="A353" s="3" t="str">
        <f>HYPERLINK("https://edmondsonsupply.com/collections/personal-protection-safety/products/klein-tools-60536-professional-safety-glasses-indoor-outdoor-lens", "https://edmondsonsupply.com/collections/personal-protection-safety/products/klein-tools-60536-professional-safety-glasses-indoor-outdoor-lens")</f>
        <v>https://edmondsonsupply.com/collections/personal-protection-safety/products/klein-tools-60536-professional-safety-glasses-indoor-outdoor-lens</v>
      </c>
      <c r="B353" s="3" t="str">
        <f>HYPERLINK("https://edmondsonsupply.com/products/klein-tools-60536-professional-safety-glasses-indoor-outdoor-lens", "https://edmondsonsupply.com/products/klein-tools-60536-professional-safety-glasses-indoor-outdoor-lens")</f>
        <v>https://edmondsonsupply.com/products/klein-tools-60536-professional-safety-glasses-indoor-outdoor-lens</v>
      </c>
      <c r="C353" t="s">
        <v>973</v>
      </c>
      <c r="D353" t="s">
        <v>974</v>
      </c>
      <c r="E353" s="3" t="str">
        <f>HYPERLINK("https://www.amazon.com/Klein-Tools-60537-Professional-Protective/dp/B0BLQM26TJ/ref=sr_1_2?keywords=Klein+Tools+60536+Professional+Safety+Glasses%2C+Indoor%2FOutdoor+Lens&amp;qid=1695173221&amp;sr=8-2", "https://www.amazon.com/Klein-Tools-60537-Professional-Protective/dp/B0BLQM26TJ/ref=sr_1_2?keywords=Klein+Tools+60536+Professional+Safety+Glasses%2C+Indoor%2FOutdoor+Lens&amp;qid=1695173221&amp;sr=8-2")</f>
        <v>https://www.amazon.com/Klein-Tools-60537-Professional-Protective/dp/B0BLQM26TJ/ref=sr_1_2?keywords=Klein+Tools+60536+Professional+Safety+Glasses%2C+Indoor%2FOutdoor+Lens&amp;qid=1695173221&amp;sr=8-2</v>
      </c>
      <c r="F353" t="s">
        <v>975</v>
      </c>
      <c r="G353" t="e">
        <f ca="1">_xludf.IMAGE("https://edmondsonsupply.com/cdn/shop/products/60536.jpg?v=1670946435")</f>
        <v>#NAME?</v>
      </c>
      <c r="H353" t="e">
        <f ca="1">_xludf.IMAGE("https://m.media-amazon.com/images/I/41ZbdEu2lCL._AC_UL320_.jpg")</f>
        <v>#NAME?</v>
      </c>
      <c r="I353" t="s">
        <v>834</v>
      </c>
      <c r="J353">
        <v>20.99</v>
      </c>
      <c r="K353" s="4">
        <v>0.6159</v>
      </c>
      <c r="L353">
        <v>4.5</v>
      </c>
      <c r="M353">
        <v>15</v>
      </c>
      <c r="O353" t="s">
        <v>25</v>
      </c>
      <c r="P353" t="s">
        <v>835</v>
      </c>
      <c r="Q353" t="s">
        <v>976</v>
      </c>
    </row>
    <row r="354" spans="1:17" ht="15.5" x14ac:dyDescent="0.35">
      <c r="A354" s="3" t="str">
        <f>HYPERLINK("https://edmondsonsupply.com/collections/personal-protection-safety/products/klein-tools-60161-professional-safety-glasses-clear-lens", "https://edmondsonsupply.com/collections/personal-protection-safety/products/klein-tools-60161-professional-safety-glasses-clear-lens")</f>
        <v>https://edmondsonsupply.com/collections/personal-protection-safety/products/klein-tools-60161-professional-safety-glasses-clear-lens</v>
      </c>
      <c r="B354" s="3" t="str">
        <f>HYPERLINK("https://edmondsonsupply.com/products/klein-tools-60161-professional-safety-glasses-clear-lens", "https://edmondsonsupply.com/products/klein-tools-60161-professional-safety-glasses-clear-lens")</f>
        <v>https://edmondsonsupply.com/products/klein-tools-60161-professional-safety-glasses-clear-lens</v>
      </c>
      <c r="C354" t="s">
        <v>884</v>
      </c>
      <c r="D354" t="s">
        <v>974</v>
      </c>
      <c r="E354" s="3" t="str">
        <f>HYPERLINK("https://www.amazon.com/Klein-Tools-60537-Professional-Protective/dp/B0BLQM26TJ/ref=sr_1_7?keywords=Klein+Tools+60161+Professional+Safety+Glasses%2C+Clear+Lens&amp;qid=1695173254&amp;sr=8-7", "https://www.amazon.com/Klein-Tools-60537-Professional-Protective/dp/B0BLQM26TJ/ref=sr_1_7?keywords=Klein+Tools+60161+Professional+Safety+Glasses%2C+Clear+Lens&amp;qid=1695173254&amp;sr=8-7")</f>
        <v>https://www.amazon.com/Klein-Tools-60537-Professional-Protective/dp/B0BLQM26TJ/ref=sr_1_7?keywords=Klein+Tools+60161+Professional+Safety+Glasses%2C+Clear+Lens&amp;qid=1695173254&amp;sr=8-7</v>
      </c>
      <c r="F354" t="s">
        <v>975</v>
      </c>
      <c r="G354" t="e">
        <f ca="1">_xludf.IMAGE("https://edmondsonsupply.com/cdn/shop/products/60161.jpg?v=1633030845")</f>
        <v>#NAME?</v>
      </c>
      <c r="H354" t="e">
        <f ca="1">_xludf.IMAGE("https://m.media-amazon.com/images/I/41ZbdEu2lCL._AC_UL320_.jpg")</f>
        <v>#NAME?</v>
      </c>
      <c r="I354" t="s">
        <v>834</v>
      </c>
      <c r="J354">
        <v>20.99</v>
      </c>
      <c r="K354" s="4">
        <v>0.6159</v>
      </c>
      <c r="L354">
        <v>4.5</v>
      </c>
      <c r="M354">
        <v>15</v>
      </c>
      <c r="O354" t="s">
        <v>25</v>
      </c>
      <c r="P354" t="s">
        <v>835</v>
      </c>
      <c r="Q354" t="s">
        <v>885</v>
      </c>
    </row>
    <row r="355" spans="1:17" ht="15.5" x14ac:dyDescent="0.35">
      <c r="A355" s="3" t="str">
        <f>HYPERLINK("https://edmondsonsupply.com/collections/personal-protection-safety/products/hellberg-safety-secure-1-headband-hearing-protection", "https://edmondsonsupply.com/collections/personal-protection-safety/products/hellberg-safety-secure-1-headband-hearing-protection")</f>
        <v>https://edmondsonsupply.com/collections/personal-protection-safety/products/hellberg-safety-secure-1-headband-hearing-protection</v>
      </c>
      <c r="B355" s="3" t="str">
        <f>HYPERLINK("https://edmondsonsupply.com/products/hellberg-safety-secure-1-headband-hearing-protection", "https://edmondsonsupply.com/products/hellberg-safety-secure-1-headband-hearing-protection")</f>
        <v>https://edmondsonsupply.com/products/hellberg-safety-secure-1-headband-hearing-protection</v>
      </c>
      <c r="C355" t="s">
        <v>977</v>
      </c>
      <c r="D355" t="s">
        <v>978</v>
      </c>
      <c r="E355" s="3" t="str">
        <f>HYPERLINK("https://www.amazon.com/Hellberg-Safety-42003-001-Hearing-Protection/dp/B017DJJY02/ref=sr_1_1?keywords=Hellberg+Safety+Secure+1+Headband+Hearing+Protection&amp;qid=1695173240&amp;sr=8-1", "https://www.amazon.com/Hellberg-Safety-42003-001-Hearing-Protection/dp/B017DJJY02/ref=sr_1_1?keywords=Hellberg+Safety+Secure+1+Headband+Hearing+Protection&amp;qid=1695173240&amp;sr=8-1")</f>
        <v>https://www.amazon.com/Hellberg-Safety-42003-001-Hearing-Protection/dp/B017DJJY02/ref=sr_1_1?keywords=Hellberg+Safety+Secure+1+Headband+Hearing+Protection&amp;qid=1695173240&amp;sr=8-1</v>
      </c>
      <c r="F355" t="s">
        <v>979</v>
      </c>
      <c r="G355" t="e">
        <f ca="1">_xludf.IMAGE("https://edmondsonsupply.com/cdn/shop/products/41001-001_Original_637469216954400000.jpg?v=1635625313")</f>
        <v>#NAME?</v>
      </c>
      <c r="H355" t="e">
        <f ca="1">_xludf.IMAGE("https://m.media-amazon.com/images/I/51w8Q2seNJL._AC_UL320_.jpg")</f>
        <v>#NAME?</v>
      </c>
      <c r="I355" t="s">
        <v>980</v>
      </c>
      <c r="J355">
        <v>39.369999999999997</v>
      </c>
      <c r="K355" s="4">
        <v>0.57799999999999996</v>
      </c>
      <c r="L355">
        <v>5</v>
      </c>
      <c r="M355">
        <v>3</v>
      </c>
      <c r="O355" t="s">
        <v>25</v>
      </c>
      <c r="P355" t="s">
        <v>981</v>
      </c>
      <c r="Q355" t="s">
        <v>982</v>
      </c>
    </row>
    <row r="356" spans="1:17" ht="15.5" x14ac:dyDescent="0.35">
      <c r="A356" s="3" t="str">
        <f>HYPERLINK("https://edmondsonsupply.com/collections/personal-protection-safety/products/klein-tools-60347-hard-hat-premium-karbn%E2%84%A2-pattern-vented-full-brim-class-c-lamp", "https://edmondsonsupply.com/collections/personal-protection-safety/products/klein-tools-60347-hard-hat-premium-karbn%E2%84%A2-pattern-vented-full-brim-class-c-lamp")</f>
        <v>https://edmondsonsupply.com/collections/personal-protection-safety/products/klein-tools-60347-hard-hat-premium-karbn%E2%84%A2-pattern-vented-full-brim-class-c-lamp</v>
      </c>
      <c r="B356"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356" t="s">
        <v>914</v>
      </c>
      <c r="D356" t="s">
        <v>983</v>
      </c>
      <c r="E356" s="3" t="str">
        <f>HYPERLINK("https://www.amazon.com/Klein-Tools-Rechargeable-Sweat-Wicking-Replacement/dp/B0BFXRMN4S/ref=sr_1_2?keywords=Klein+Tools+60347+Hard+Hat%2C+Premium+KARBN%E2%84%A2+Pattern%2C+Vented+Full+Brim%2C+Class+C%2C+Lamp&amp;qid=1695173246&amp;sr=8-2", "https://www.amazon.com/Klein-Tools-Rechargeable-Sweat-Wicking-Replacement/dp/B0BFXRMN4S/ref=sr_1_2?keywords=Klein+Tools+60347+Hard+Hat%2C+Premium+KARBN%E2%84%A2+Pattern%2C+Vented+Full+Brim%2C+Class+C%2C+Lamp&amp;qid=1695173246&amp;sr=8-2")</f>
        <v>https://www.amazon.com/Klein-Tools-Rechargeable-Sweat-Wicking-Replacement/dp/B0BFXRMN4S/ref=sr_1_2?keywords=Klein+Tools+60347+Hard+Hat%2C+Premium+KARBN%E2%84%A2+Pattern%2C+Vented+Full+Brim%2C+Class+C%2C+Lamp&amp;qid=1695173246&amp;sr=8-2</v>
      </c>
      <c r="F356" t="s">
        <v>984</v>
      </c>
      <c r="G356" t="e">
        <f ca="1">_xludf.IMAGE("https://edmondsonsupply.com/cdn/shop/products/60347.jpg?v=1659454043")</f>
        <v>#NAME?</v>
      </c>
      <c r="H356" t="e">
        <f ca="1">_xludf.IMAGE("https://m.media-amazon.com/images/I/51cPFv+dtgL._AC_UL320_.jpg")</f>
        <v>#NAME?</v>
      </c>
      <c r="I356" t="s">
        <v>315</v>
      </c>
      <c r="J356">
        <v>138.87</v>
      </c>
      <c r="K356" s="4">
        <v>0.54320000000000002</v>
      </c>
      <c r="L356">
        <v>4.5</v>
      </c>
      <c r="M356">
        <v>9</v>
      </c>
      <c r="O356" t="s">
        <v>171</v>
      </c>
      <c r="P356" t="s">
        <v>917</v>
      </c>
      <c r="Q356" t="s">
        <v>918</v>
      </c>
    </row>
    <row r="357" spans="1:17" ht="15.5" x14ac:dyDescent="0.35">
      <c r="A357" s="3" t="str">
        <f>HYPERLINK("https://edmondsonsupply.com/collections/personal-protection-safety/products/edge-eyewear-sr116-reclus-black-frame-smoke-lens-safety-glasses", "https://edmondsonsupply.com/collections/personal-protection-safety/products/edge-eyewear-sr116-reclus-black-frame-smoke-lens-safety-glasses")</f>
        <v>https://edmondsonsupply.com/collections/personal-protection-safety/products/edge-eyewear-sr116-reclus-black-frame-smoke-lens-safety-glasses</v>
      </c>
      <c r="B357"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357" t="s">
        <v>985</v>
      </c>
      <c r="D357" t="s">
        <v>986</v>
      </c>
      <c r="E357" s="3" t="str">
        <f>HYPERLINK("https://www.amazon.com/TSR216-Polarized-Wrap-Around-Anti-Scratch-Compliant/dp/B08FXW56MB/ref=sr_1_2?keywords=Edge+Eyewear+SR116+Reclus+-+Black+Frame%2FSmoke+Lens%2C+Safety+Glasses&amp;qid=1695173246&amp;sr=8-2", "https://www.amazon.com/TSR216-Polarized-Wrap-Around-Anti-Scratch-Compliant/dp/B08FXW56MB/ref=sr_1_2?keywords=Edge+Eyewear+SR116+Reclus+-+Black+Frame%2FSmoke+Lens%2C+Safety+Glasses&amp;qid=1695173246&amp;sr=8-2")</f>
        <v>https://www.amazon.com/TSR216-Polarized-Wrap-Around-Anti-Scratch-Compliant/dp/B08FXW56MB/ref=sr_1_2?keywords=Edge+Eyewear+SR116+Reclus+-+Black+Frame%2FSmoke+Lens%2C+Safety+Glasses&amp;qid=1695173246&amp;sr=8-2</v>
      </c>
      <c r="F357" t="s">
        <v>987</v>
      </c>
      <c r="G357" t="e">
        <f ca="1">_xludf.IMAGE("https://edmondsonsupply.com/cdn/shop/products/SR116_1512x_cc8649c7-14e6-4c1c-9513-7dd61f5f7eb9.png?v=1633030940")</f>
        <v>#NAME?</v>
      </c>
      <c r="H357" t="e">
        <f ca="1">_xludf.IMAGE("https://m.media-amazon.com/images/I/615MbbmlDXL._AC_UL320_.jpg")</f>
        <v>#NAME?</v>
      </c>
      <c r="I357" t="s">
        <v>988</v>
      </c>
      <c r="J357">
        <v>24.74</v>
      </c>
      <c r="K357" s="4">
        <v>0.50209999999999999</v>
      </c>
      <c r="L357">
        <v>3.8</v>
      </c>
      <c r="M357">
        <v>7</v>
      </c>
      <c r="O357" t="s">
        <v>25</v>
      </c>
      <c r="P357" t="s">
        <v>989</v>
      </c>
      <c r="Q357" t="s">
        <v>990</v>
      </c>
    </row>
    <row r="358" spans="1:17" ht="15.5" x14ac:dyDescent="0.35">
      <c r="A358" s="3" t="str">
        <f>HYPERLINK("https://edmondsonsupply.com/collections/personal-protection-safety/products/klein-tools-60345-hard-hat-earmuffs-full-brim-style", "https://edmondsonsupply.com/collections/personal-protection-safety/products/klein-tools-60345-hard-hat-earmuffs-full-brim-style")</f>
        <v>https://edmondsonsupply.com/collections/personal-protection-safety/products/klein-tools-60345-hard-hat-earmuffs-full-brim-style</v>
      </c>
      <c r="B358" s="3" t="str">
        <f>HYPERLINK("https://edmondsonsupply.com/products/klein-tools-60345-hard-hat-earmuffs-full-brim-style", "https://edmondsonsupply.com/products/klein-tools-60345-hard-hat-earmuffs-full-brim-style")</f>
        <v>https://edmondsonsupply.com/products/klein-tools-60345-hard-hat-earmuffs-full-brim-style</v>
      </c>
      <c r="C358" t="s">
        <v>868</v>
      </c>
      <c r="D358" t="s">
        <v>991</v>
      </c>
      <c r="E358" s="3" t="str">
        <f>HYPERLINK("https://www.amazon.com/Klein-Tools-Hard-Non-vented-Style/dp/B07TQNTCKL/ref=sr_1_8?keywords=Klein+Tools+60502+Hard+Hat+Earmuffs%2C+Full+Brim+Style&amp;qid=1695173214&amp;sr=8-8", "https://www.amazon.com/Klein-Tools-Hard-Non-vented-Style/dp/B07TQNTCKL/ref=sr_1_8?keywords=Klein+Tools+60502+Hard+Hat+Earmuffs%2C+Full+Brim+Style&amp;qid=1695173214&amp;sr=8-8")</f>
        <v>https://www.amazon.com/Klein-Tools-Hard-Non-vented-Style/dp/B07TQNTCKL/ref=sr_1_8?keywords=Klein+Tools+60502+Hard+Hat+Earmuffs%2C+Full+Brim+Style&amp;qid=1695173214&amp;sr=8-8</v>
      </c>
      <c r="F358" t="s">
        <v>992</v>
      </c>
      <c r="G358" t="e">
        <f ca="1">_xludf.IMAGE("https://edmondsonsupply.com/cdn/shop/products/60502.jpg?v=1674486730")</f>
        <v>#NAME?</v>
      </c>
      <c r="H358" t="e">
        <f ca="1">_xludf.IMAGE("https://m.media-amazon.com/images/I/61IcdM8MBnL._AC_UL320_.jpg")</f>
        <v>#NAME?</v>
      </c>
      <c r="I358" t="s">
        <v>26</v>
      </c>
      <c r="J358">
        <v>44.99</v>
      </c>
      <c r="K358" s="4">
        <v>0.50019999999999998</v>
      </c>
      <c r="L358">
        <v>4.7</v>
      </c>
      <c r="M358">
        <v>358</v>
      </c>
      <c r="O358" t="s">
        <v>25</v>
      </c>
      <c r="P358" t="s">
        <v>562</v>
      </c>
      <c r="Q358" t="s">
        <v>871</v>
      </c>
    </row>
    <row r="359" spans="1:17" ht="15.5" x14ac:dyDescent="0.35">
      <c r="A359" s="3" t="str">
        <f>HYPERLINK("https://edmondsonsupply.com/collections/personal-protection-safety/products/hellberg-safety-secure-1-headband-hearing-protection", "https://edmondsonsupply.com/collections/personal-protection-safety/products/hellberg-safety-secure-1-headband-hearing-protection")</f>
        <v>https://edmondsonsupply.com/collections/personal-protection-safety/products/hellberg-safety-secure-1-headband-hearing-protection</v>
      </c>
      <c r="B359" s="3" t="str">
        <f>HYPERLINK("https://edmondsonsupply.com/products/hellberg-safety-secure-1-headband-hearing-protection", "https://edmondsonsupply.com/products/hellberg-safety-secure-1-headband-hearing-protection")</f>
        <v>https://edmondsonsupply.com/products/hellberg-safety-secure-1-headband-hearing-protection</v>
      </c>
      <c r="C359" t="s">
        <v>977</v>
      </c>
      <c r="D359" t="s">
        <v>863</v>
      </c>
      <c r="E359" s="3" t="str">
        <f>HYPERLINK("https://www.amazon.com/Hellberg-Safety-41002-001-Protection-Frequency/dp/B017DJJXOE/ref=sr_1_2?keywords=Hellberg+Safety+Secure+1+Headband+Hearing+Protection&amp;qid=1695173240&amp;sr=8-2", "https://www.amazon.com/Hellberg-Safety-41002-001-Protection-Frequency/dp/B017DJJXOE/ref=sr_1_2?keywords=Hellberg+Safety+Secure+1+Headband+Hearing+Protection&amp;qid=1695173240&amp;sr=8-2")</f>
        <v>https://www.amazon.com/Hellberg-Safety-41002-001-Protection-Frequency/dp/B017DJJXOE/ref=sr_1_2?keywords=Hellberg+Safety+Secure+1+Headband+Hearing+Protection&amp;qid=1695173240&amp;sr=8-2</v>
      </c>
      <c r="F359" t="s">
        <v>864</v>
      </c>
      <c r="G359" t="e">
        <f ca="1">_xludf.IMAGE("https://edmondsonsupply.com/cdn/shop/products/41001-001_Original_637469216954400000.jpg?v=1635625313")</f>
        <v>#NAME?</v>
      </c>
      <c r="H359" t="e">
        <f ca="1">_xludf.IMAGE("https://m.media-amazon.com/images/I/716bzdxEJHL._AC_UL320_.jpg")</f>
        <v>#NAME?</v>
      </c>
      <c r="I359" t="s">
        <v>980</v>
      </c>
      <c r="J359">
        <v>37.090000000000003</v>
      </c>
      <c r="K359" s="4">
        <v>0.48659999999999998</v>
      </c>
      <c r="L359">
        <v>4.5</v>
      </c>
      <c r="M359">
        <v>52</v>
      </c>
      <c r="O359" t="s">
        <v>25</v>
      </c>
      <c r="P359" t="s">
        <v>981</v>
      </c>
      <c r="Q359" t="s">
        <v>982</v>
      </c>
    </row>
    <row r="360" spans="1:17" ht="15.5" x14ac:dyDescent="0.35">
      <c r="A360" s="3" t="str">
        <f>HYPERLINK("https://edmondsonsupply.com/collections/personal-protection-safety/products/klein-tools-55488-tradesman-pro%E2%84%A2-shoe-covers-large", "https://edmondsonsupply.com/collections/personal-protection-safety/products/klein-tools-55488-tradesman-pro%E2%84%A2-shoe-covers-large")</f>
        <v>https://edmondsonsupply.com/collections/personal-protection-safety/products/klein-tools-55488-tradesman-pro%E2%84%A2-shoe-covers-large</v>
      </c>
      <c r="B360" s="3" t="str">
        <f>HYPERLINK("https://edmondsonsupply.com/products/klein-tools-55488-tradesman-pro%e2%84%a2-shoe-covers-large", "https://edmondsonsupply.com/products/klein-tools-55488-tradesman-pro%e2%84%a2-shoe-covers-large")</f>
        <v>https://edmondsonsupply.com/products/klein-tools-55488-tradesman-pro%e2%84%a2-shoe-covers-large</v>
      </c>
      <c r="C360" t="s">
        <v>993</v>
      </c>
      <c r="D360" t="s">
        <v>994</v>
      </c>
      <c r="E360" s="3" t="str">
        <f>HYPERLINK("https://www.amazon.com/Tradesman-Covers-Klein-Tools-55488/dp/B075ZY8TD1/ref=sr_1_1?keywords=Klein+Tools+55488+Tradesman+Pro%E2%84%A2+Shoe+Covers%2C+Large&amp;qid=1695173273&amp;sr=8-1", "https://www.amazon.com/Tradesman-Covers-Klein-Tools-55488/dp/B075ZY8TD1/ref=sr_1_1?keywords=Klein+Tools+55488+Tradesman+Pro%E2%84%A2+Shoe+Covers%2C+Large&amp;qid=1695173273&amp;sr=8-1")</f>
        <v>https://www.amazon.com/Tradesman-Covers-Klein-Tools-55488/dp/B075ZY8TD1/ref=sr_1_1?keywords=Klein+Tools+55488+Tradesman+Pro%E2%84%A2+Shoe+Covers%2C+Large&amp;qid=1695173273&amp;sr=8-1</v>
      </c>
      <c r="F360" t="s">
        <v>995</v>
      </c>
      <c r="G360" t="e">
        <f ca="1">_xludf.IMAGE("https://edmondsonsupply.com/cdn/shop/products/55487.jpg?v=1587148674")</f>
        <v>#NAME?</v>
      </c>
      <c r="H360" t="e">
        <f ca="1">_xludf.IMAGE("https://m.media-amazon.com/images/I/71Sw-BaYREL._AC_UL320_.jpg")</f>
        <v>#NAME?</v>
      </c>
      <c r="I360" t="s">
        <v>79</v>
      </c>
      <c r="J360">
        <v>26.63</v>
      </c>
      <c r="K360" s="4">
        <v>0.4803</v>
      </c>
      <c r="L360">
        <v>4.7</v>
      </c>
      <c r="M360">
        <v>257</v>
      </c>
      <c r="O360" t="s">
        <v>25</v>
      </c>
      <c r="P360" t="s">
        <v>996</v>
      </c>
      <c r="Q360" t="s">
        <v>997</v>
      </c>
    </row>
    <row r="361" spans="1:17" ht="15.5" x14ac:dyDescent="0.35">
      <c r="A361" s="3" t="str">
        <f>HYPERLINK("https://edmondsonsupply.com/collections/personal-protection-safety/products/klein-tools-60401-hard-hat-vented-full-brim-style", "https://edmondsonsupply.com/collections/personal-protection-safety/products/klein-tools-60401-hard-hat-vented-full-brim-style")</f>
        <v>https://edmondsonsupply.com/collections/personal-protection-safety/products/klein-tools-60401-hard-hat-vented-full-brim-style</v>
      </c>
      <c r="B361" s="3" t="str">
        <f>HYPERLINK("https://edmondsonsupply.com/products/klein-tools-60401-hard-hat-vented-full-brim-style", "https://edmondsonsupply.com/products/klein-tools-60401-hard-hat-vented-full-brim-style")</f>
        <v>https://edmondsonsupply.com/products/klein-tools-60401-hard-hat-vented-full-brim-style</v>
      </c>
      <c r="C361" t="s">
        <v>943</v>
      </c>
      <c r="D361" t="s">
        <v>888</v>
      </c>
      <c r="E361" s="3" t="str">
        <f>HYPERLINK("https://www.amazon.com/Klein-Tools-Self-Wicking-Odor-Resistant-Sweatband/dp/B0B68NYYM7/ref=sr_1_9?keywords=Klein+Tools+60401+Hard+Hat%2C+Vented%2C+Full+Brim+Style&amp;qid=1695173214&amp;sr=8-9", "https://www.amazon.com/Klein-Tools-Self-Wicking-Odor-Resistant-Sweatband/dp/B0B68NYYM7/ref=sr_1_9?keywords=Klein+Tools+60401+Hard+Hat%2C+Vented%2C+Full+Brim+Style&amp;qid=1695173214&amp;sr=8-9")</f>
        <v>https://www.amazon.com/Klein-Tools-Self-Wicking-Odor-Resistant-Sweatband/dp/B0B68NYYM7/ref=sr_1_9?keywords=Klein+Tools+60401+Hard+Hat%2C+Vented%2C+Full+Brim+Style&amp;qid=1695173214&amp;sr=8-9</v>
      </c>
      <c r="F361" t="s">
        <v>889</v>
      </c>
      <c r="G361" t="e">
        <f ca="1">_xludf.IMAGE("https://edmondsonsupply.com/cdn/shop/products/60401.jpg?v=1587143271")</f>
        <v>#NAME?</v>
      </c>
      <c r="H361" t="e">
        <f ca="1">_xludf.IMAGE("https://m.media-amazon.com/images/I/41IulVK0+jL._AC_UL320_.jpg")</f>
        <v>#NAME?</v>
      </c>
      <c r="I361" t="s">
        <v>946</v>
      </c>
      <c r="J361">
        <v>64.959999999999994</v>
      </c>
      <c r="K361" s="4">
        <v>0.44390000000000002</v>
      </c>
      <c r="L361">
        <v>4.5</v>
      </c>
      <c r="M361">
        <v>15</v>
      </c>
      <c r="O361" t="s">
        <v>25</v>
      </c>
      <c r="P361" t="s">
        <v>947</v>
      </c>
      <c r="Q361" t="s">
        <v>948</v>
      </c>
    </row>
    <row r="362" spans="1:17" ht="15.5" x14ac:dyDescent="0.35">
      <c r="A362" s="3" t="str">
        <f>HYPERLINK("https://edmondsonsupply.com/collections/personal-protection-safety/products/klein-tools-60401-hard-hat-vented-full-brim-style", "https://edmondsonsupply.com/collections/personal-protection-safety/products/klein-tools-60401-hard-hat-vented-full-brim-style")</f>
        <v>https://edmondsonsupply.com/collections/personal-protection-safety/products/klein-tools-60401-hard-hat-vented-full-brim-style</v>
      </c>
      <c r="B362" s="3" t="str">
        <f>HYPERLINK("https://edmondsonsupply.com/products/klein-tools-60401-hard-hat-vented-full-brim-style", "https://edmondsonsupply.com/products/klein-tools-60401-hard-hat-vented-full-brim-style")</f>
        <v>https://edmondsonsupply.com/products/klein-tools-60401-hard-hat-vented-full-brim-style</v>
      </c>
      <c r="C362" t="s">
        <v>943</v>
      </c>
      <c r="D362" t="s">
        <v>998</v>
      </c>
      <c r="E362" s="3" t="str">
        <f>HYPERLINK("https://www.amazon.com/Klein-Tools-Headlamp-Multi-point-Adjustment/dp/B08KGCJDG8/ref=sr_1_5?keywords=Klein+Tools+60401+Hard+Hat%2C+Vented%2C+Full+Brim+Style&amp;qid=1695173214&amp;sr=8-5", "https://www.amazon.com/Klein-Tools-Headlamp-Multi-point-Adjustment/dp/B08KGCJDG8/ref=sr_1_5?keywords=Klein+Tools+60401+Hard+Hat%2C+Vented%2C+Full+Brim+Style&amp;qid=1695173214&amp;sr=8-5")</f>
        <v>https://www.amazon.com/Klein-Tools-Headlamp-Multi-point-Adjustment/dp/B08KGCJDG8/ref=sr_1_5?keywords=Klein+Tools+60401+Hard+Hat%2C+Vented%2C+Full+Brim+Style&amp;qid=1695173214&amp;sr=8-5</v>
      </c>
      <c r="F362" t="s">
        <v>999</v>
      </c>
      <c r="G362" t="e">
        <f ca="1">_xludf.IMAGE("https://edmondsonsupply.com/cdn/shop/products/60401.jpg?v=1587143271")</f>
        <v>#NAME?</v>
      </c>
      <c r="H362" t="e">
        <f ca="1">_xludf.IMAGE("https://m.media-amazon.com/images/I/51tnGRYa57L._AC_UL320_.jpg")</f>
        <v>#NAME?</v>
      </c>
      <c r="I362" t="s">
        <v>946</v>
      </c>
      <c r="J362">
        <v>64.959999999999994</v>
      </c>
      <c r="K362" s="4">
        <v>0.44390000000000002</v>
      </c>
      <c r="L362">
        <v>4.8</v>
      </c>
      <c r="M362">
        <v>8</v>
      </c>
      <c r="O362" t="s">
        <v>25</v>
      </c>
      <c r="P362" t="s">
        <v>947</v>
      </c>
      <c r="Q362" t="s">
        <v>948</v>
      </c>
    </row>
    <row r="363" spans="1:17" ht="15.5" x14ac:dyDescent="0.35">
      <c r="A363" s="3" t="str">
        <f>HYPERLINK("https://edmondsonsupply.com/collections/personal-protection-safety/products/klein-tools-60443-reusable-face-mask-filter-replacement-3-pack", "https://edmondsonsupply.com/collections/personal-protection-safety/products/klein-tools-60443-reusable-face-mask-filter-replacement-3-pack")</f>
        <v>https://edmondsonsupply.com/collections/personal-protection-safety/products/klein-tools-60443-reusable-face-mask-filter-replacement-3-pack</v>
      </c>
      <c r="B363" s="3" t="str">
        <f>HYPERLINK("https://edmondsonsupply.com/products/klein-tools-60443-reusable-face-mask-filter-replacement-3-pack", "https://edmondsonsupply.com/products/klein-tools-60443-reusable-face-mask-filter-replacement-3-pack")</f>
        <v>https://edmondsonsupply.com/products/klein-tools-60443-reusable-face-mask-filter-replacement-3-pack</v>
      </c>
      <c r="C363" t="s">
        <v>1000</v>
      </c>
      <c r="D363" t="s">
        <v>1001</v>
      </c>
      <c r="E363" s="3" t="str">
        <f>HYPERLINK("https://www.amazon.com/Klein-Tools-60443-Reusable-Replacement/dp/B08P3SYJ5X/ref=sr_1_1?keywords=Klein+Tools+60443+Reusable+Face+Mask+Filter+Replacement%2C+3-Pack&amp;qid=1695173245&amp;sr=8-1", "https://www.amazon.com/Klein-Tools-60443-Reusable-Replacement/dp/B08P3SYJ5X/ref=sr_1_1?keywords=Klein+Tools+60443+Reusable+Face+Mask+Filter+Replacement%2C+3-Pack&amp;qid=1695173245&amp;sr=8-1")</f>
        <v>https://www.amazon.com/Klein-Tools-60443-Reusable-Replacement/dp/B08P3SYJ5X/ref=sr_1_1?keywords=Klein+Tools+60443+Reusable+Face+Mask+Filter+Replacement%2C+3-Pack&amp;qid=1695173245&amp;sr=8-1</v>
      </c>
      <c r="F363" t="s">
        <v>1002</v>
      </c>
      <c r="G363" t="e">
        <f ca="1">_xludf.IMAGE("https://edmondsonsupply.com/cdn/shop/products/60443.jpg?v=1659119117")</f>
        <v>#NAME?</v>
      </c>
      <c r="H363" t="e">
        <f ca="1">_xludf.IMAGE("https://m.media-amazon.com/images/I/61HSGQnqs9L._AC_UL320_.jpg")</f>
        <v>#NAME?</v>
      </c>
      <c r="I363" t="s">
        <v>1003</v>
      </c>
      <c r="J363">
        <v>11.52</v>
      </c>
      <c r="K363" s="4">
        <v>0.44180000000000003</v>
      </c>
      <c r="L363">
        <v>4.3</v>
      </c>
      <c r="M363">
        <v>167</v>
      </c>
      <c r="O363" t="s">
        <v>25</v>
      </c>
      <c r="P363" t="s">
        <v>1004</v>
      </c>
      <c r="Q363" t="s">
        <v>1005</v>
      </c>
    </row>
    <row r="364" spans="1:17" ht="15.5" x14ac:dyDescent="0.35">
      <c r="A364" s="3" t="str">
        <f>HYPERLINK("https://edmondsonsupply.com/collections/personal-protection-safety/products/hellberg-safety-secure-2-headband-hearing-protection", "https://edmondsonsupply.com/collections/personal-protection-safety/products/hellberg-safety-secure-2-headband-hearing-protection")</f>
        <v>https://edmondsonsupply.com/collections/personal-protection-safety/products/hellberg-safety-secure-2-headband-hearing-protection</v>
      </c>
      <c r="B364" s="3" t="str">
        <f>HYPERLINK("https://edmondsonsupply.com/products/hellberg-safety-secure-2-headband-hearing-protection", "https://edmondsonsupply.com/products/hellberg-safety-secure-2-headband-hearing-protection")</f>
        <v>https://edmondsonsupply.com/products/hellberg-safety-secure-2-headband-hearing-protection</v>
      </c>
      <c r="C364" t="s">
        <v>1006</v>
      </c>
      <c r="D364" t="s">
        <v>978</v>
      </c>
      <c r="E364" s="3" t="str">
        <f>HYPERLINK("https://www.amazon.com/Hellberg-Safety-42003-001-Hearing-Protection/dp/B017DJJY02/ref=sr_1_3?keywords=Hellberg+Safety+Secure+2+Headband+Hearing+Protection&amp;qid=1695173254&amp;sr=8-3", "https://www.amazon.com/Hellberg-Safety-42003-001-Hearing-Protection/dp/B017DJJY02/ref=sr_1_3?keywords=Hellberg+Safety+Secure+2+Headband+Hearing+Protection&amp;qid=1695173254&amp;sr=8-3")</f>
        <v>https://www.amazon.com/Hellberg-Safety-42003-001-Hearing-Protection/dp/B017DJJY02/ref=sr_1_3?keywords=Hellberg+Safety+Secure+2+Headband+Hearing+Protection&amp;qid=1695173254&amp;sr=8-3</v>
      </c>
      <c r="F364" t="s">
        <v>979</v>
      </c>
      <c r="G364" t="e">
        <f ca="1">_xludf.IMAGE("https://edmondsonsupply.com/cdn/shop/products/41002-001_Original_637469232543030000.jpg?v=1635627040")</f>
        <v>#NAME?</v>
      </c>
      <c r="H364" t="e">
        <f ca="1">_xludf.IMAGE("https://m.media-amazon.com/images/I/51w8Q2seNJL._AC_UL320_.jpg")</f>
        <v>#NAME?</v>
      </c>
      <c r="I364" t="s">
        <v>981</v>
      </c>
      <c r="J364">
        <v>39.369999999999997</v>
      </c>
      <c r="K364" s="4">
        <v>0.40860000000000002</v>
      </c>
      <c r="L364">
        <v>5</v>
      </c>
      <c r="M364">
        <v>3</v>
      </c>
      <c r="O364" t="s">
        <v>25</v>
      </c>
      <c r="P364" t="s">
        <v>121</v>
      </c>
      <c r="Q364" t="s">
        <v>1007</v>
      </c>
    </row>
    <row r="365" spans="1:17" ht="15.5" x14ac:dyDescent="0.35">
      <c r="A365" s="3" t="str">
        <f>HYPERLINK("https://edmondsonsupply.com/collections/personal-protection-safety/products/klein-tools-56220-led-headlamp-flashlight-with-strap-for-hard-hat", "https://edmondsonsupply.com/collections/personal-protection-safety/products/klein-tools-56220-led-headlamp-flashlight-with-strap-for-hard-hat")</f>
        <v>https://edmondsonsupply.com/collections/personal-protection-safety/products/klein-tools-56220-led-headlamp-flashlight-with-strap-for-hard-hat</v>
      </c>
      <c r="B365"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365" t="s">
        <v>933</v>
      </c>
      <c r="D365" t="s">
        <v>1008</v>
      </c>
      <c r="E365" s="3" t="str">
        <f>HYPERLINK("https://www.amazon.com/Klein-Tools-Rechargeable-Worklight-Carpenter/dp/B09Z9239J6/ref=sr_1_7?keywords=Klein+Tools+56220+LED+Headlamp+with+Silicone+Hard+Hat+Strap&amp;qid=1695173215&amp;sr=8-7", "https://www.amazon.com/Klein-Tools-Rechargeable-Worklight-Carpenter/dp/B09Z9239J6/ref=sr_1_7?keywords=Klein+Tools+56220+LED+Headlamp+with+Silicone+Hard+Hat+Strap&amp;qid=1695173215&amp;sr=8-7")</f>
        <v>https://www.amazon.com/Klein-Tools-Rechargeable-Worklight-Carpenter/dp/B09Z9239J6/ref=sr_1_7?keywords=Klein+Tools+56220+LED+Headlamp+with+Silicone+Hard+Hat+Strap&amp;qid=1695173215&amp;sr=8-7</v>
      </c>
      <c r="F365" t="s">
        <v>1009</v>
      </c>
      <c r="G365" t="e">
        <f ca="1">_xludf.IMAGE("https://edmondsonsupply.com/cdn/shop/files/56220_874194e8-71d5-41d8-a579-6dec47b3f455.jpg?v=1687356671")</f>
        <v>#NAME?</v>
      </c>
      <c r="H365" t="e">
        <f ca="1">_xludf.IMAGE("https://m.media-amazon.com/images/I/512rGhe8GUL._AC_UL320_.jpg")</f>
        <v>#NAME?</v>
      </c>
      <c r="I365" t="s">
        <v>936</v>
      </c>
      <c r="J365">
        <v>37.94</v>
      </c>
      <c r="K365" s="4">
        <v>0.40670000000000001</v>
      </c>
      <c r="L365">
        <v>4.7</v>
      </c>
      <c r="M365">
        <v>6</v>
      </c>
      <c r="O365" t="s">
        <v>25</v>
      </c>
      <c r="P365" t="s">
        <v>937</v>
      </c>
      <c r="Q365" t="s">
        <v>938</v>
      </c>
    </row>
    <row r="366" spans="1:17" ht="15.5" x14ac:dyDescent="0.35">
      <c r="A366" s="3" t="str">
        <f>HYPERLINK("https://edmondsonsupply.com/collections/personal-protection-safety/products/klein-tools-60537-professional-safety-glasses-full-frame-indoor-outdoor-lens", "https://edmondsonsupply.com/collections/personal-protection-safety/products/klein-tools-60537-professional-safety-glasses-full-frame-indoor-outdoor-lens")</f>
        <v>https://edmondsonsupply.com/collections/personal-protection-safety/products/klein-tools-60537-professional-safety-glasses-full-frame-indoor-outdoor-lens</v>
      </c>
      <c r="B366"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66" t="s">
        <v>896</v>
      </c>
      <c r="D366" t="s">
        <v>974</v>
      </c>
      <c r="E366" s="3" t="str">
        <f>HYPERLINK("https://www.amazon.com/Klein-Tools-60537-Professional-Protective/dp/B0BLQM26TJ/ref=sr_1_1?keywords=Klein+Tools+60537+Professional+Safety+Glasses%2C+Full-Frame%2C+Indoor%2FOutdoor+Lens&amp;qid=1695173230&amp;sr=8-1", "https://www.amazon.com/Klein-Tools-60537-Professional-Protective/dp/B0BLQM26TJ/ref=sr_1_1?keywords=Klein+Tools+60537+Professional+Safety+Glasses%2C+Full-Frame%2C+Indoor%2FOutdoor+Lens&amp;qid=1695173230&amp;sr=8-1")</f>
        <v>https://www.amazon.com/Klein-Tools-60537-Professional-Protective/dp/B0BLQM26TJ/ref=sr_1_1?keywords=Klein+Tools+60537+Professional+Safety+Glasses%2C+Full-Frame%2C+Indoor%2FOutdoor+Lens&amp;qid=1695173230&amp;sr=8-1</v>
      </c>
      <c r="F366" t="s">
        <v>975</v>
      </c>
      <c r="G366" t="e">
        <f ca="1">_xludf.IMAGE("https://edmondsonsupply.com/cdn/shop/products/60537.jpg?v=1670947087")</f>
        <v>#NAME?</v>
      </c>
      <c r="H366" t="e">
        <f ca="1">_xludf.IMAGE("https://m.media-amazon.com/images/I/41ZbdEu2lCL._AC_UL320_.jpg")</f>
        <v>#NAME?</v>
      </c>
      <c r="I366" t="s">
        <v>276</v>
      </c>
      <c r="J366">
        <v>20.99</v>
      </c>
      <c r="K366" s="4">
        <v>0.40029999999999999</v>
      </c>
      <c r="L366">
        <v>4.5</v>
      </c>
      <c r="M366">
        <v>15</v>
      </c>
      <c r="O366" t="s">
        <v>25</v>
      </c>
      <c r="P366" t="s">
        <v>277</v>
      </c>
      <c r="Q366" t="s">
        <v>897</v>
      </c>
    </row>
    <row r="367" spans="1:17" ht="15.5" x14ac:dyDescent="0.35">
      <c r="A367"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367"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67" t="s">
        <v>851</v>
      </c>
      <c r="D367" t="s">
        <v>974</v>
      </c>
      <c r="E367" s="3" t="str">
        <f>HYPERLINK("https://www.amazon.com/Klein-Tools-60537-Professional-Protective/dp/B0BLQM26TJ/ref=sr_1_4?keywords=Klein+Tools+60163+Professional+Safety+Glasses%2C+Full+Frame%2C+Clear+Lens&amp;qid=1695173243&amp;sr=8-4", "https://www.amazon.com/Klein-Tools-60537-Professional-Protective/dp/B0BLQM26TJ/ref=sr_1_4?keywords=Klein+Tools+60163+Professional+Safety+Glasses%2C+Full+Frame%2C+Clear+Lens&amp;qid=1695173243&amp;sr=8-4")</f>
        <v>https://www.amazon.com/Klein-Tools-60537-Professional-Protective/dp/B0BLQM26TJ/ref=sr_1_4?keywords=Klein+Tools+60163+Professional+Safety+Glasses%2C+Full+Frame%2C+Clear+Lens&amp;qid=1695173243&amp;sr=8-4</v>
      </c>
      <c r="F367" t="s">
        <v>975</v>
      </c>
      <c r="G367" t="e">
        <f ca="1">_xludf.IMAGE("https://edmondsonsupply.com/cdn/shop/products/60163.jpg?v=1633030848")</f>
        <v>#NAME?</v>
      </c>
      <c r="H367" t="e">
        <f ca="1">_xludf.IMAGE("https://m.media-amazon.com/images/I/41ZbdEu2lCL._AC_UL320_.jpg")</f>
        <v>#NAME?</v>
      </c>
      <c r="I367" t="s">
        <v>276</v>
      </c>
      <c r="J367">
        <v>20.99</v>
      </c>
      <c r="K367" s="4">
        <v>0.40029999999999999</v>
      </c>
      <c r="L367">
        <v>4.5</v>
      </c>
      <c r="M367">
        <v>15</v>
      </c>
      <c r="O367" t="s">
        <v>25</v>
      </c>
      <c r="P367" t="s">
        <v>277</v>
      </c>
      <c r="Q367" t="s">
        <v>852</v>
      </c>
    </row>
    <row r="368" spans="1:17" ht="15.5" x14ac:dyDescent="0.35">
      <c r="A368" s="3" t="str">
        <f>HYPERLINK("https://edmondsonsupply.com/collections/personal-protection-safety/products/milwaukee-48-73-2041-performance-safety-glasses-with-gaskets-clear", "https://edmondsonsupply.com/collections/personal-protection-safety/products/milwaukee-48-73-2041-performance-safety-glasses-with-gaskets-clear")</f>
        <v>https://edmondsonsupply.com/collections/personal-protection-safety/products/milwaukee-48-73-2041-performance-safety-glasses-with-gaskets-clear</v>
      </c>
      <c r="B368" s="3" t="str">
        <f>HYPERLINK("https://edmondsonsupply.com/products/milwaukee-48-73-2041-performance-safety-glasses-with-gaskets-clear", "https://edmondsonsupply.com/products/milwaukee-48-73-2041-performance-safety-glasses-with-gaskets-clear")</f>
        <v>https://edmondsonsupply.com/products/milwaukee-48-73-2041-performance-safety-glasses-with-gaskets-clear</v>
      </c>
      <c r="C368" t="s">
        <v>837</v>
      </c>
      <c r="D368" t="s">
        <v>1010</v>
      </c>
      <c r="E368" s="3" t="str">
        <f>HYPERLINK("https://www.amazon.com/Milwaukee-48-73-2045-Performance-Safety-Glasses/dp/B08DL9B6GP/ref=sr_1_1?keywords=Milwaukee+48-73-2041+Performance+Safety+Glasses+with+Gaskets%2C+Clear&amp;qid=1695173264&amp;sr=8-1", "https://www.amazon.com/Milwaukee-48-73-2045-Performance-Safety-Glasses/dp/B08DL9B6GP/ref=sr_1_1?keywords=Milwaukee+48-73-2041+Performance+Safety+Glasses+with+Gaskets%2C+Clear&amp;qid=1695173264&amp;sr=8-1")</f>
        <v>https://www.amazon.com/Milwaukee-48-73-2045-Performance-Safety-Glasses/dp/B08DL9B6GP/ref=sr_1_1?keywords=Milwaukee+48-73-2041+Performance+Safety+Glasses+with+Gaskets%2C+Clear&amp;qid=1695173264&amp;sr=8-1</v>
      </c>
      <c r="F368" t="s">
        <v>1011</v>
      </c>
      <c r="G368" t="e">
        <f ca="1">_xludf.IMAGE("https://edmondsonsupply.com/cdn/shop/products/48-73-2040_7.png?v=1587150340")</f>
        <v>#NAME?</v>
      </c>
      <c r="H368" t="e">
        <f ca="1">_xludf.IMAGE("https://m.media-amazon.com/images/I/51ZDRlrCs9L._AC_UL320_.jpg")</f>
        <v>#NAME?</v>
      </c>
      <c r="I368" t="s">
        <v>824</v>
      </c>
      <c r="J368">
        <v>41.55</v>
      </c>
      <c r="K368" s="4">
        <v>0.38640000000000002</v>
      </c>
      <c r="L368">
        <v>4.5999999999999996</v>
      </c>
      <c r="M368">
        <v>20</v>
      </c>
      <c r="O368" t="s">
        <v>171</v>
      </c>
      <c r="P368" t="s">
        <v>840</v>
      </c>
      <c r="Q368" t="s">
        <v>841</v>
      </c>
    </row>
    <row r="369" spans="1:17" ht="15.5" x14ac:dyDescent="0.35">
      <c r="A369" s="3" t="str">
        <f>HYPERLINK("https://edmondsonsupply.com/collections/personal-protection-safety/products/klein-tools-60401-hard-hat-vented-full-brim-style", "https://edmondsonsupply.com/collections/personal-protection-safety/products/klein-tools-60401-hard-hat-vented-full-brim-style")</f>
        <v>https://edmondsonsupply.com/collections/personal-protection-safety/products/klein-tools-60401-hard-hat-vented-full-brim-style</v>
      </c>
      <c r="B369" s="3" t="str">
        <f>HYPERLINK("https://edmondsonsupply.com/products/klein-tools-60401-hard-hat-vented-full-brim-style", "https://edmondsonsupply.com/products/klein-tools-60401-hard-hat-vented-full-brim-style")</f>
        <v>https://edmondsonsupply.com/products/klein-tools-60401-hard-hat-vented-full-brim-style</v>
      </c>
      <c r="C369" t="s">
        <v>943</v>
      </c>
      <c r="D369" t="s">
        <v>900</v>
      </c>
      <c r="E369" s="3" t="str">
        <f>HYPERLINK("https://www.amazon.com/Klein-Tools-60407RL-Rechargeable-Odor-Resistant/dp/B08DDTV9M3/ref=sr_1_1?keywords=Klein+Tools+60401+Hard+Hat%2C+Vented%2C+Full+Brim+Style&amp;qid=1695173214&amp;sr=8-1", "https://www.amazon.com/Klein-Tools-60407RL-Rechargeable-Odor-Resistant/dp/B08DDTV9M3/ref=sr_1_1?keywords=Klein+Tools+60401+Hard+Hat%2C+Vented%2C+Full+Brim+Style&amp;qid=1695173214&amp;sr=8-1")</f>
        <v>https://www.amazon.com/Klein-Tools-60407RL-Rechargeable-Odor-Resistant/dp/B08DDTV9M3/ref=sr_1_1?keywords=Klein+Tools+60401+Hard+Hat%2C+Vented%2C+Full+Brim+Style&amp;qid=1695173214&amp;sr=8-1</v>
      </c>
      <c r="F369" t="s">
        <v>901</v>
      </c>
      <c r="G369" t="e">
        <f ca="1">_xludf.IMAGE("https://edmondsonsupply.com/cdn/shop/products/60401.jpg?v=1587143271")</f>
        <v>#NAME?</v>
      </c>
      <c r="H369" t="e">
        <f ca="1">_xludf.IMAGE("https://m.media-amazon.com/images/I/61w2MM+yDgL._AC_UL320_.jpg")</f>
        <v>#NAME?</v>
      </c>
      <c r="I369" t="s">
        <v>946</v>
      </c>
      <c r="J369">
        <v>59.99</v>
      </c>
      <c r="K369" s="4">
        <v>0.33339999999999997</v>
      </c>
      <c r="L369">
        <v>4.7</v>
      </c>
      <c r="M369">
        <v>1577</v>
      </c>
      <c r="O369" t="s">
        <v>25</v>
      </c>
      <c r="P369" t="s">
        <v>947</v>
      </c>
      <c r="Q369" t="s">
        <v>948</v>
      </c>
    </row>
    <row r="370" spans="1:17" ht="15.5" x14ac:dyDescent="0.35">
      <c r="A370" s="3" t="str">
        <f>HYPERLINK("https://edmondsonsupply.com/collections/personal-protection-safety/products/hellberg-safety-secure-2-headband-hearing-protection", "https://edmondsonsupply.com/collections/personal-protection-safety/products/hellberg-safety-secure-2-headband-hearing-protection")</f>
        <v>https://edmondsonsupply.com/collections/personal-protection-safety/products/hellberg-safety-secure-2-headband-hearing-protection</v>
      </c>
      <c r="B370" s="3" t="str">
        <f>HYPERLINK("https://edmondsonsupply.com/products/hellberg-safety-secure-2-headband-hearing-protection", "https://edmondsonsupply.com/products/hellberg-safety-secure-2-headband-hearing-protection")</f>
        <v>https://edmondsonsupply.com/products/hellberg-safety-secure-2-headband-hearing-protection</v>
      </c>
      <c r="C370" t="s">
        <v>1006</v>
      </c>
      <c r="D370" t="s">
        <v>863</v>
      </c>
      <c r="E370" s="3" t="str">
        <f>HYPERLINK("https://www.amazon.com/Hellberg-Safety-41002-001-Protection-Frequency/dp/B017DJJXOE/ref=sr_1_1?keywords=Hellberg+Safety+Secure+2+Headband+Hearing+Protection&amp;qid=1695173254&amp;sr=8-1", "https://www.amazon.com/Hellberg-Safety-41002-001-Protection-Frequency/dp/B017DJJXOE/ref=sr_1_1?keywords=Hellberg+Safety+Secure+2+Headband+Hearing+Protection&amp;qid=1695173254&amp;sr=8-1")</f>
        <v>https://www.amazon.com/Hellberg-Safety-41002-001-Protection-Frequency/dp/B017DJJXOE/ref=sr_1_1?keywords=Hellberg+Safety+Secure+2+Headband+Hearing+Protection&amp;qid=1695173254&amp;sr=8-1</v>
      </c>
      <c r="F370" t="s">
        <v>864</v>
      </c>
      <c r="G370" t="e">
        <f ca="1">_xludf.IMAGE("https://edmondsonsupply.com/cdn/shop/products/41002-001_Original_637469232543030000.jpg?v=1635627040")</f>
        <v>#NAME?</v>
      </c>
      <c r="H370" t="e">
        <f ca="1">_xludf.IMAGE("https://m.media-amazon.com/images/I/716bzdxEJHL._AC_UL320_.jpg")</f>
        <v>#NAME?</v>
      </c>
      <c r="I370" t="s">
        <v>981</v>
      </c>
      <c r="J370">
        <v>37.090000000000003</v>
      </c>
      <c r="K370" s="4">
        <v>0.32700000000000001</v>
      </c>
      <c r="L370">
        <v>4.5</v>
      </c>
      <c r="M370">
        <v>52</v>
      </c>
      <c r="O370" t="s">
        <v>25</v>
      </c>
      <c r="P370" t="s">
        <v>121</v>
      </c>
      <c r="Q370" t="s">
        <v>1007</v>
      </c>
    </row>
    <row r="371" spans="1:17" ht="15.5" x14ac:dyDescent="0.35">
      <c r="A371"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371"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71" t="s">
        <v>853</v>
      </c>
      <c r="D371" t="s">
        <v>974</v>
      </c>
      <c r="E371" s="3" t="str">
        <f>HYPERLINK("https://www.amazon.com/Klein-Tools-60537-Professional-Protective/dp/B0BLQM26TJ/ref=sr_1_8?keywords=Klein+Tools+60471+Professional+Full-Frame+Gasket+Safety+Glasses%2C+Gray+Lens&amp;qid=1695173231&amp;sr=8-8", "https://www.amazon.com/Klein-Tools-60537-Professional-Protective/dp/B0BLQM26TJ/ref=sr_1_8?keywords=Klein+Tools+60471+Professional+Full-Frame+Gasket+Safety+Glasses%2C+Gray+Lens&amp;qid=1695173231&amp;sr=8-8")</f>
        <v>https://www.amazon.com/Klein-Tools-60537-Professional-Protective/dp/B0BLQM26TJ/ref=sr_1_8?keywords=Klein+Tools+60471+Professional+Full-Frame+Gasket+Safety+Glasses%2C+Gray+Lens&amp;qid=1695173231&amp;sr=8-8</v>
      </c>
      <c r="F371" t="s">
        <v>975</v>
      </c>
      <c r="G371" t="e">
        <f ca="1">_xludf.IMAGE("https://edmondsonsupply.com/cdn/shop/products/60471.jpg?v=1663257501")</f>
        <v>#NAME?</v>
      </c>
      <c r="H371" t="e">
        <f ca="1">_xludf.IMAGE("https://m.media-amazon.com/images/I/41ZbdEu2lCL._AC_UL320_.jpg")</f>
        <v>#NAME?</v>
      </c>
      <c r="I371" t="s">
        <v>252</v>
      </c>
      <c r="J371">
        <v>20.99</v>
      </c>
      <c r="K371" s="4">
        <v>0.31269999999999998</v>
      </c>
      <c r="L371">
        <v>4.5</v>
      </c>
      <c r="M371">
        <v>15</v>
      </c>
      <c r="O371" t="s">
        <v>25</v>
      </c>
      <c r="P371" t="s">
        <v>854</v>
      </c>
      <c r="Q371" t="s">
        <v>855</v>
      </c>
    </row>
    <row r="372" spans="1:17" ht="15.5" x14ac:dyDescent="0.35">
      <c r="A372" s="3" t="str">
        <f>HYPERLINK("https://edmondsonsupply.com/collections/personal-protection-safety/products/klein-tools-60470-professional-full-frame-gasket-safety-glasses-clear-lens", "https://edmondsonsupply.com/collections/personal-protection-safety/products/klein-tools-60470-professional-full-frame-gasket-safety-glasses-clear-lens")</f>
        <v>https://edmondsonsupply.com/collections/personal-protection-safety/products/klein-tools-60470-professional-full-frame-gasket-safety-glasses-clear-lens</v>
      </c>
      <c r="B372"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72" t="s">
        <v>919</v>
      </c>
      <c r="D372" t="s">
        <v>974</v>
      </c>
      <c r="E372" s="3" t="str">
        <f>HYPERLINK("https://www.amazon.com/Klein-Tools-60537-Professional-Protective/dp/B0BLQM26TJ/ref=sr_1_7?keywords=Klein+Tools+60470+Professional+Full-Frame+Gasket+Safety+Glasses%2C+Clear+Lens&amp;qid=1695173234&amp;sr=8-7", "https://www.amazon.com/Klein-Tools-60537-Professional-Protective/dp/B0BLQM26TJ/ref=sr_1_7?keywords=Klein+Tools+60470+Professional+Full-Frame+Gasket+Safety+Glasses%2C+Clear+Lens&amp;qid=1695173234&amp;sr=8-7")</f>
        <v>https://www.amazon.com/Klein-Tools-60537-Professional-Protective/dp/B0BLQM26TJ/ref=sr_1_7?keywords=Klein+Tools+60470+Professional+Full-Frame+Gasket+Safety+Glasses%2C+Clear+Lens&amp;qid=1695173234&amp;sr=8-7</v>
      </c>
      <c r="F372" t="s">
        <v>975</v>
      </c>
      <c r="G372" t="e">
        <f ca="1">_xludf.IMAGE("https://edmondsonsupply.com/cdn/shop/products/60470.jpg?v=1663260659")</f>
        <v>#NAME?</v>
      </c>
      <c r="H372" t="e">
        <f ca="1">_xludf.IMAGE("https://m.media-amazon.com/images/I/41ZbdEu2lCL._AC_UL320_.jpg")</f>
        <v>#NAME?</v>
      </c>
      <c r="I372" t="s">
        <v>252</v>
      </c>
      <c r="J372">
        <v>20.99</v>
      </c>
      <c r="K372" s="4">
        <v>0.31269999999999998</v>
      </c>
      <c r="L372">
        <v>4.5</v>
      </c>
      <c r="M372">
        <v>15</v>
      </c>
      <c r="O372" t="s">
        <v>25</v>
      </c>
      <c r="P372" t="s">
        <v>854</v>
      </c>
      <c r="Q372" t="s">
        <v>920</v>
      </c>
    </row>
    <row r="373" spans="1:17" ht="15.5" x14ac:dyDescent="0.35">
      <c r="A373" s="3" t="str">
        <f>HYPERLINK("https://edmondsonsupply.com/collections/personal-protection-safety/products/klein-tools-60538-professional-full-frame-gasket-safety-glasses-indoor-outdoor-lens", "https://edmondsonsupply.com/collections/personal-protection-safety/products/klein-tools-60538-professional-full-frame-gasket-safety-glasses-indoor-outdoor-lens")</f>
        <v>https://edmondsonsupply.com/collections/personal-protection-safety/products/klein-tools-60538-professional-full-frame-gasket-safety-glasses-indoor-outdoor-lens</v>
      </c>
      <c r="B373" s="3" t="str">
        <f>HYPERLINK("https://edmondsonsupply.com/products/klein-tools-60538-professional-full-frame-gasket-safety-glasses-indoor-outdoor-lens", "https://edmondsonsupply.com/products/klein-tools-60538-professional-full-frame-gasket-safety-glasses-indoor-outdoor-lens")</f>
        <v>https://edmondsonsupply.com/products/klein-tools-60538-professional-full-frame-gasket-safety-glasses-indoor-outdoor-lens</v>
      </c>
      <c r="C373" t="s">
        <v>1012</v>
      </c>
      <c r="D373" t="s">
        <v>974</v>
      </c>
      <c r="E373" s="3" t="str">
        <f>HYPERLINK("https://www.amazon.com/Klein-Tools-60537-Professional-Protective/dp/B0BLQM26TJ/ref=sr_1_2?keywords=Klein+Tools+60538+Professional+Full-Frame+Gasket+Safety+Glasses%2C+Indoor%2FOutdoor+Lens&amp;qid=1695173221&amp;sr=8-2", "https://www.amazon.com/Klein-Tools-60537-Professional-Protective/dp/B0BLQM26TJ/ref=sr_1_2?keywords=Klein+Tools+60538+Professional+Full-Frame+Gasket+Safety+Glasses%2C+Indoor%2FOutdoor+Lens&amp;qid=1695173221&amp;sr=8-2")</f>
        <v>https://www.amazon.com/Klein-Tools-60537-Professional-Protective/dp/B0BLQM26TJ/ref=sr_1_2?keywords=Klein+Tools+60538+Professional+Full-Frame+Gasket+Safety+Glasses%2C+Indoor%2FOutdoor+Lens&amp;qid=1695173221&amp;sr=8-2</v>
      </c>
      <c r="F373" t="s">
        <v>975</v>
      </c>
      <c r="G373" t="e">
        <f ca="1">_xludf.IMAGE("https://edmondsonsupply.com/cdn/shop/products/60470_1.jpg?v=1670947470")</f>
        <v>#NAME?</v>
      </c>
      <c r="H373" t="e">
        <f ca="1">_xludf.IMAGE("https://m.media-amazon.com/images/I/41ZbdEu2lCL._AC_UL320_.jpg")</f>
        <v>#NAME?</v>
      </c>
      <c r="I373" t="s">
        <v>252</v>
      </c>
      <c r="J373">
        <v>20.99</v>
      </c>
      <c r="K373" s="4">
        <v>0.31269999999999998</v>
      </c>
      <c r="L373">
        <v>4.5</v>
      </c>
      <c r="M373">
        <v>15</v>
      </c>
      <c r="O373" t="s">
        <v>25</v>
      </c>
      <c r="P373" t="s">
        <v>854</v>
      </c>
      <c r="Q373" t="s">
        <v>1013</v>
      </c>
    </row>
    <row r="374" spans="1:17" ht="15.5" x14ac:dyDescent="0.35">
      <c r="A374" s="3" t="str">
        <f>HYPERLINK("https://edmondsonsupply.com/collections/personal-protection-safety/products/klein-tools-60492-lightweight-knee-pad-sleeves-m-l", "https://edmondsonsupply.com/collections/personal-protection-safety/products/klein-tools-60492-lightweight-knee-pad-sleeves-m-l")</f>
        <v>https://edmondsonsupply.com/collections/personal-protection-safety/products/klein-tools-60492-lightweight-knee-pad-sleeves-m-l</v>
      </c>
      <c r="B374" s="3" t="str">
        <f>HYPERLINK("https://edmondsonsupply.com/products/klein-tools-60492-lightweight-knee-pad-sleeves-m-l", "https://edmondsonsupply.com/products/klein-tools-60492-lightweight-knee-pad-sleeves-m-l")</f>
        <v>https://edmondsonsupply.com/products/klein-tools-60492-lightweight-knee-pad-sleeves-m-l</v>
      </c>
      <c r="C374" t="s">
        <v>890</v>
      </c>
      <c r="D374" t="s">
        <v>1014</v>
      </c>
      <c r="E374" s="3" t="str">
        <f>HYPERLINK("https://www.amazon.com/Lightweight-Breathable-Slip-Resistant-Klein-Tools/dp/B0B6216HMW/ref=sr_1_1?keywords=Klein+Tools+60492+Lightweight+Knee+Pad+Sleeves%2C+M%2FL&amp;qid=1695173231&amp;sr=8-1", "https://www.amazon.com/Lightweight-Breathable-Slip-Resistant-Klein-Tools/dp/B0B6216HMW/ref=sr_1_1?keywords=Klein+Tools+60492+Lightweight+Knee+Pad+Sleeves%2C+M%2FL&amp;qid=1695173231&amp;sr=8-1")</f>
        <v>https://www.amazon.com/Lightweight-Breathable-Slip-Resistant-Klein-Tools/dp/B0B6216HMW/ref=sr_1_1?keywords=Klein+Tools+60492+Lightweight+Knee+Pad+Sleeves%2C+M%2FL&amp;qid=1695173231&amp;sr=8-1</v>
      </c>
      <c r="F374" t="s">
        <v>1015</v>
      </c>
      <c r="G374" t="e">
        <f ca="1">_xludf.IMAGE("https://edmondsonsupply.com/cdn/shop/products/60492_60592_photo.jpg?v=1663255234")</f>
        <v>#NAME?</v>
      </c>
      <c r="H374" t="e">
        <f ca="1">_xludf.IMAGE("https://m.media-amazon.com/images/I/61pjcWSwQcL._AC_UL320_.jpg")</f>
        <v>#NAME?</v>
      </c>
      <c r="I374" t="s">
        <v>893</v>
      </c>
      <c r="J374">
        <v>25.99</v>
      </c>
      <c r="K374" s="4">
        <v>0.30149999999999999</v>
      </c>
      <c r="L374">
        <v>4.5</v>
      </c>
      <c r="M374">
        <v>192</v>
      </c>
      <c r="O374" t="s">
        <v>25</v>
      </c>
      <c r="P374" t="s">
        <v>894</v>
      </c>
      <c r="Q374" t="s">
        <v>895</v>
      </c>
    </row>
    <row r="375" spans="1:17" ht="15.5" x14ac:dyDescent="0.35">
      <c r="A375" s="3" t="str">
        <f>HYPERLINK("https://edmondsonsupply.com/collections/personal-protection-safety/products/klein-tools-55489-tradesman-pro%E2%84%A2-shoe-covers-x-large", "https://edmondsonsupply.com/collections/personal-protection-safety/products/klein-tools-55489-tradesman-pro%E2%84%A2-shoe-covers-x-large")</f>
        <v>https://edmondsonsupply.com/collections/personal-protection-safety/products/klein-tools-55489-tradesman-pro%E2%84%A2-shoe-covers-x-large</v>
      </c>
      <c r="B375" s="3" t="str">
        <f>HYPERLINK("https://edmondsonsupply.com/products/klein-tools-55489-tradesman-pro%e2%84%a2-shoe-covers-x-large", "https://edmondsonsupply.com/products/klein-tools-55489-tradesman-pro%e2%84%a2-shoe-covers-x-large")</f>
        <v>https://edmondsonsupply.com/products/klein-tools-55489-tradesman-pro%e2%84%a2-shoe-covers-x-large</v>
      </c>
      <c r="C375" t="s">
        <v>1016</v>
      </c>
      <c r="D375" t="s">
        <v>1017</v>
      </c>
      <c r="E375" s="3" t="str">
        <f>HYPERLINK("https://www.amazon.com/Tradesman-X-Large-Klein-Tools-55489/dp/B075ZVKW4Y/ref=sr_1_1?keywords=Klein+Tools+55489+Tradesman+Pro%E2%84%A2+Shoe+Covers%2C+X-Large&amp;qid=1695173251&amp;sr=8-1", "https://www.amazon.com/Tradesman-X-Large-Klein-Tools-55489/dp/B075ZVKW4Y/ref=sr_1_1?keywords=Klein+Tools+55489+Tradesman+Pro%E2%84%A2+Shoe+Covers%2C+X-Large&amp;qid=1695173251&amp;sr=8-1")</f>
        <v>https://www.amazon.com/Tradesman-X-Large-Klein-Tools-55489/dp/B075ZVKW4Y/ref=sr_1_1?keywords=Klein+Tools+55489+Tradesman+Pro%E2%84%A2+Shoe+Covers%2C+X-Large&amp;qid=1695173251&amp;sr=8-1</v>
      </c>
      <c r="F375" t="s">
        <v>1018</v>
      </c>
      <c r="G375" t="e">
        <f ca="1">_xludf.IMAGE("https://edmondsonsupply.com/cdn/shop/products/55487_1d8bb2bb-33bb-4989-9b82-5a4c2ef2ce90.jpg?v=1587147816")</f>
        <v>#NAME?</v>
      </c>
      <c r="H375" t="e">
        <f ca="1">_xludf.IMAGE("https://m.media-amazon.com/images/I/71Sw-BaYREL._AC_UL320_.jpg")</f>
        <v>#NAME?</v>
      </c>
      <c r="I375" t="s">
        <v>79</v>
      </c>
      <c r="J375">
        <v>23.39</v>
      </c>
      <c r="K375" s="4">
        <v>0.30020000000000002</v>
      </c>
      <c r="L375">
        <v>4.7</v>
      </c>
      <c r="M375">
        <v>257</v>
      </c>
      <c r="O375" t="s">
        <v>25</v>
      </c>
      <c r="P375" t="s">
        <v>996</v>
      </c>
      <c r="Q375" t="s">
        <v>1019</v>
      </c>
    </row>
    <row r="376" spans="1:17" ht="15.5" x14ac:dyDescent="0.35">
      <c r="A376" s="3" t="str">
        <f>HYPERLINK("https://edmondsonsupply.com/collections/personal-protection-safety/products/klein-tools-60347-hard-hat-premium-karbn%E2%84%A2-pattern-vented-full-brim-class-c-lamp", "https://edmondsonsupply.com/collections/personal-protection-safety/products/klein-tools-60347-hard-hat-premium-karbn%E2%84%A2-pattern-vented-full-brim-class-c-lamp")</f>
        <v>https://edmondsonsupply.com/collections/personal-protection-safety/products/klein-tools-60347-hard-hat-premium-karbn%E2%84%A2-pattern-vented-full-brim-class-c-lamp</v>
      </c>
      <c r="B376"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376" t="s">
        <v>914</v>
      </c>
      <c r="D376" t="s">
        <v>903</v>
      </c>
      <c r="E376" s="3" t="str">
        <f>HYPERLINK("https://www.amazon.com/Klein-Tools-60347-Rechargeable-Sweat-Wicking/dp/B08SYM9K52/ref=sr_1_1?keywords=Klein+Tools+60347+Hard+Hat%2C+Premium+KARBN%E2%84%A2+Pattern%2C+Vented+Full+Brim%2C+Class+C%2C+Lamp&amp;qid=1695173246&amp;sr=8-1", "https://www.amazon.com/Klein-Tools-60347-Rechargeable-Sweat-Wicking/dp/B08SYM9K52/ref=sr_1_1?keywords=Klein+Tools+60347+Hard+Hat%2C+Premium+KARBN%E2%84%A2+Pattern%2C+Vented+Full+Brim%2C+Class+C%2C+Lamp&amp;qid=1695173246&amp;sr=8-1")</f>
        <v>https://www.amazon.com/Klein-Tools-60347-Rechargeable-Sweat-Wicking/dp/B08SYM9K52/ref=sr_1_1?keywords=Klein+Tools+60347+Hard+Hat%2C+Premium+KARBN%E2%84%A2+Pattern%2C+Vented+Full+Brim%2C+Class+C%2C+Lamp&amp;qid=1695173246&amp;sr=8-1</v>
      </c>
      <c r="F376" t="s">
        <v>904</v>
      </c>
      <c r="G376" t="e">
        <f ca="1">_xludf.IMAGE("https://edmondsonsupply.com/cdn/shop/products/60347.jpg?v=1659454043")</f>
        <v>#NAME?</v>
      </c>
      <c r="H376" t="e">
        <f ca="1">_xludf.IMAGE("https://m.media-amazon.com/images/I/61pIVbITWkL._AC_UL320_.jpg")</f>
        <v>#NAME?</v>
      </c>
      <c r="I376" t="s">
        <v>315</v>
      </c>
      <c r="J376">
        <v>116.88</v>
      </c>
      <c r="K376" s="4">
        <v>0.29880000000000001</v>
      </c>
      <c r="L376">
        <v>4.7</v>
      </c>
      <c r="M376">
        <v>2542</v>
      </c>
      <c r="O376" t="s">
        <v>171</v>
      </c>
      <c r="P376" t="s">
        <v>917</v>
      </c>
      <c r="Q376" t="s">
        <v>918</v>
      </c>
    </row>
    <row r="377" spans="1:17" ht="15.5" x14ac:dyDescent="0.35">
      <c r="A377" s="3" t="str">
        <f>HYPERLINK("https://edmondsonsupply.com/collections/personal-protection-safety/products/klein-tools-60346-hard-hat-premium-karbn%E2%84%A2-pattern-non-vented-full-brim-class-e-lamp", "https://edmondsonsupply.com/collections/personal-protection-safety/products/klein-tools-60346-hard-hat-premium-karbn%E2%84%A2-pattern-non-vented-full-brim-class-e-lamp")</f>
        <v>https://edmondsonsupply.com/collections/personal-protection-safety/products/klein-tools-60346-hard-hat-premium-karbn%E2%84%A2-pattern-non-vented-full-brim-class-e-lamp</v>
      </c>
      <c r="B377"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377" t="s">
        <v>1020</v>
      </c>
      <c r="D377" t="s">
        <v>903</v>
      </c>
      <c r="E377" s="3" t="str">
        <f>HYPERLINK("https://www.amazon.com/Klein-Tools-60347-Rechargeable-Sweat-Wicking/dp/B08SYM9K52/ref=sr_1_4?keywords=Klein+Tools+60346+Hard+Hat%2C+Premium+KARBN%E2%84%A2+Pattern%2C+Non-Vented+Full+Brim%2C+Class+E%2C+Lamp&amp;qid=1695173224&amp;sr=8-4", "https://www.amazon.com/Klein-Tools-60347-Rechargeable-Sweat-Wicking/dp/B08SYM9K52/ref=sr_1_4?keywords=Klein+Tools+60346+Hard+Hat%2C+Premium+KARBN%E2%84%A2+Pattern%2C+Non-Vented+Full+Brim%2C+Class+E%2C+Lamp&amp;qid=1695173224&amp;sr=8-4")</f>
        <v>https://www.amazon.com/Klein-Tools-60347-Rechargeable-Sweat-Wicking/dp/B08SYM9K52/ref=sr_1_4?keywords=Klein+Tools+60346+Hard+Hat%2C+Premium+KARBN%E2%84%A2+Pattern%2C+Non-Vented+Full+Brim%2C+Class+E%2C+Lamp&amp;qid=1695173224&amp;sr=8-4</v>
      </c>
      <c r="F377" t="s">
        <v>904</v>
      </c>
      <c r="G377" t="e">
        <f ca="1">_xludf.IMAGE("https://edmondsonsupply.com/cdn/shop/products/60346.jpg?v=1660168162")</f>
        <v>#NAME?</v>
      </c>
      <c r="H377" t="e">
        <f ca="1">_xludf.IMAGE("https://m.media-amazon.com/images/I/61pIVbITWkL._AC_UL320_.jpg")</f>
        <v>#NAME?</v>
      </c>
      <c r="I377" t="s">
        <v>315</v>
      </c>
      <c r="J377">
        <v>116.88</v>
      </c>
      <c r="K377" s="4">
        <v>0.29880000000000001</v>
      </c>
      <c r="L377">
        <v>4.7</v>
      </c>
      <c r="M377">
        <v>2542</v>
      </c>
      <c r="O377" t="s">
        <v>25</v>
      </c>
      <c r="P377" t="s">
        <v>917</v>
      </c>
      <c r="Q377" t="s">
        <v>1021</v>
      </c>
    </row>
    <row r="378" spans="1:17" ht="15.5" x14ac:dyDescent="0.35">
      <c r="A378" s="3" t="str">
        <f>HYPERLINK("https://edmondsonsupply.com/collections/personal-protection-safety/products/klein-tools-60536-professional-safety-glasses-indoor-outdoor-lens", "https://edmondsonsupply.com/collections/personal-protection-safety/products/klein-tools-60536-professional-safety-glasses-indoor-outdoor-lens")</f>
        <v>https://edmondsonsupply.com/collections/personal-protection-safety/products/klein-tools-60536-professional-safety-glasses-indoor-outdoor-lens</v>
      </c>
      <c r="B378" s="3" t="str">
        <f>HYPERLINK("https://edmondsonsupply.com/products/klein-tools-60536-professional-safety-glasses-indoor-outdoor-lens", "https://edmondsonsupply.com/products/klein-tools-60536-professional-safety-glasses-indoor-outdoor-lens")</f>
        <v>https://edmondsonsupply.com/products/klein-tools-60536-professional-safety-glasses-indoor-outdoor-lens</v>
      </c>
      <c r="C378" t="s">
        <v>973</v>
      </c>
      <c r="D378" t="s">
        <v>1022</v>
      </c>
      <c r="E378" s="3" t="str">
        <f>HYPERLINK("https://www.amazon.com/Klein-Tools-60536-Professional-Protective/dp/B0BLQWVJDB/ref=sr_1_1?keywords=Klein+Tools+60536+Professional+Safety+Glasses%2C+Indoor%2FOutdoor+Lens&amp;qid=1695173221&amp;sr=8-1", "https://www.amazon.com/Klein-Tools-60536-Professional-Protective/dp/B0BLQWVJDB/ref=sr_1_1?keywords=Klein+Tools+60536+Professional+Safety+Glasses%2C+Indoor%2FOutdoor+Lens&amp;qid=1695173221&amp;sr=8-1")</f>
        <v>https://www.amazon.com/Klein-Tools-60536-Professional-Protective/dp/B0BLQWVJDB/ref=sr_1_1?keywords=Klein+Tools+60536+Professional+Safety+Glasses%2C+Indoor%2FOutdoor+Lens&amp;qid=1695173221&amp;sr=8-1</v>
      </c>
      <c r="F378" t="s">
        <v>1023</v>
      </c>
      <c r="G378" t="e">
        <f ca="1">_xludf.IMAGE("https://edmondsonsupply.com/cdn/shop/products/60536.jpg?v=1670946435")</f>
        <v>#NAME?</v>
      </c>
      <c r="H378" t="e">
        <f ca="1">_xludf.IMAGE("https://m.media-amazon.com/images/I/41rAXCZifQL._AC_UL320_.jpg")</f>
        <v>#NAME?</v>
      </c>
      <c r="I378" t="s">
        <v>834</v>
      </c>
      <c r="J378">
        <v>16.600000000000001</v>
      </c>
      <c r="K378" s="4">
        <v>0.27789999999999998</v>
      </c>
      <c r="L378">
        <v>4.4000000000000004</v>
      </c>
      <c r="M378">
        <v>374</v>
      </c>
      <c r="O378" t="s">
        <v>25</v>
      </c>
      <c r="P378" t="s">
        <v>835</v>
      </c>
      <c r="Q378" t="s">
        <v>976</v>
      </c>
    </row>
    <row r="379" spans="1:17" ht="15.5" x14ac:dyDescent="0.35">
      <c r="A379" s="3" t="str">
        <f>HYPERLINK("https://edmondsonsupply.com/collections/personal-protection-safety/products/klein-tools-60511-heavy-duty-knee-pad-sleeves-m-l", "https://edmondsonsupply.com/collections/personal-protection-safety/products/klein-tools-60511-heavy-duty-knee-pad-sleeves-m-l")</f>
        <v>https://edmondsonsupply.com/collections/personal-protection-safety/products/klein-tools-60511-heavy-duty-knee-pad-sleeves-m-l</v>
      </c>
      <c r="B379" s="3" t="str">
        <f>HYPERLINK("https://edmondsonsupply.com/products/klein-tools-60511-heavy-duty-knee-pad-sleeves-m-l", "https://edmondsonsupply.com/products/klein-tools-60511-heavy-duty-knee-pad-sleeves-m-l")</f>
        <v>https://edmondsonsupply.com/products/klein-tools-60511-heavy-duty-knee-pad-sleeves-m-l</v>
      </c>
      <c r="C379" t="s">
        <v>1024</v>
      </c>
      <c r="D379" t="s">
        <v>1025</v>
      </c>
      <c r="E379" s="3" t="str">
        <f>HYPERLINK("https://www.amazon.com/Klein-Tools-80123-Kneepad-3-Piece/dp/B0BMNQ58MV/ref=sr_1_4?keywords=Klein+Tools+60511+Heavy+Duty+Knee+Pad+Sleeves%2C+M%2FL&amp;qid=1695173225&amp;sr=8-4", "https://www.amazon.com/Klein-Tools-80123-Kneepad-3-Piece/dp/B0BMNQ58MV/ref=sr_1_4?keywords=Klein+Tools+60511+Heavy+Duty+Knee+Pad+Sleeves%2C+M%2FL&amp;qid=1695173225&amp;sr=8-4")</f>
        <v>https://www.amazon.com/Klein-Tools-80123-Kneepad-3-Piece/dp/B0BMNQ58MV/ref=sr_1_4?keywords=Klein+Tools+60511+Heavy+Duty+Knee+Pad+Sleeves%2C+M%2FL&amp;qid=1695173225&amp;sr=8-4</v>
      </c>
      <c r="F379" t="s">
        <v>1026</v>
      </c>
      <c r="G379" t="e">
        <f ca="1">_xludf.IMAGE("https://edmondsonsupply.com/cdn/shop/products/60511_60611_b.jpg?v=1663253024")</f>
        <v>#NAME?</v>
      </c>
      <c r="H379" t="e">
        <f ca="1">_xludf.IMAGE("https://m.media-amazon.com/images/I/61nBRxV-S6L._AC_UL320_.jpg")</f>
        <v>#NAME?</v>
      </c>
      <c r="I379" t="s">
        <v>198</v>
      </c>
      <c r="J379">
        <v>49.99</v>
      </c>
      <c r="K379" s="4">
        <v>0.25009999999999999</v>
      </c>
      <c r="L379">
        <v>5</v>
      </c>
      <c r="M379">
        <v>2</v>
      </c>
      <c r="O379" t="s">
        <v>25</v>
      </c>
      <c r="P379" t="s">
        <v>1027</v>
      </c>
      <c r="Q379" t="s">
        <v>1028</v>
      </c>
    </row>
    <row r="380" spans="1:17" ht="15.5" x14ac:dyDescent="0.35">
      <c r="A380" s="3" t="str">
        <f>HYPERLINK("https://edmondsonsupply.com/collections/personal-protection-safety/products/klein-tools-60615-heavy-duty-knee-pad-sleeves-s-m", "https://edmondsonsupply.com/collections/personal-protection-safety/products/klein-tools-60615-heavy-duty-knee-pad-sleeves-s-m")</f>
        <v>https://edmondsonsupply.com/collections/personal-protection-safety/products/klein-tools-60615-heavy-duty-knee-pad-sleeves-s-m</v>
      </c>
      <c r="B380" s="3" t="str">
        <f>HYPERLINK("https://edmondsonsupply.com/products/klein-tools-60615-heavy-duty-knee-pad-sleeves-s-m", "https://edmondsonsupply.com/products/klein-tools-60615-heavy-duty-knee-pad-sleeves-s-m")</f>
        <v>https://edmondsonsupply.com/products/klein-tools-60615-heavy-duty-knee-pad-sleeves-s-m</v>
      </c>
      <c r="C380" t="s">
        <v>1029</v>
      </c>
      <c r="D380" t="s">
        <v>909</v>
      </c>
      <c r="E380" s="3" t="str">
        <f>HYPERLINK("https://www.amazon.com/Klein-Tools-60491-Protective-Quick-Fasten/dp/B0BHXBMBHP/ref=sr_1_5?keywords=Klein+Tools+60615+Heavy+Duty+Knee+Pad+Sleeves%2C+S%2FM&amp;qid=1695173224&amp;sr=8-5", "https://www.amazon.com/Klein-Tools-60491-Protective-Quick-Fasten/dp/B0BHXBMBHP/ref=sr_1_5?keywords=Klein+Tools+60615+Heavy+Duty+Knee+Pad+Sleeves%2C+S%2FM&amp;qid=1695173224&amp;sr=8-5")</f>
        <v>https://www.amazon.com/Klein-Tools-60491-Protective-Quick-Fasten/dp/B0BHXBMBHP/ref=sr_1_5?keywords=Klein+Tools+60615+Heavy+Duty+Knee+Pad+Sleeves%2C+S%2FM&amp;qid=1695173224&amp;sr=8-5</v>
      </c>
      <c r="F380" t="s">
        <v>910</v>
      </c>
      <c r="G380" t="e">
        <f ca="1">_xludf.IMAGE("https://edmondsonsupply.com/cdn/shop/products/60511_60611_b_f68c12ff-69e9-4ee5-9cc0-02cf7484e091.jpg?v=1681743847")</f>
        <v>#NAME?</v>
      </c>
      <c r="H380" t="e">
        <f ca="1">_xludf.IMAGE("https://m.media-amazon.com/images/I/718i4PDcjnL._AC_UL320_.jpg")</f>
        <v>#NAME?</v>
      </c>
      <c r="I380" t="s">
        <v>198</v>
      </c>
      <c r="J380">
        <v>49.97</v>
      </c>
      <c r="K380" s="4">
        <v>0.24959999999999999</v>
      </c>
      <c r="L380">
        <v>4.4000000000000004</v>
      </c>
      <c r="M380">
        <v>289</v>
      </c>
      <c r="O380" t="s">
        <v>25</v>
      </c>
      <c r="P380" t="s">
        <v>1027</v>
      </c>
      <c r="Q380" t="s">
        <v>1030</v>
      </c>
    </row>
    <row r="381" spans="1:17" ht="15.5" x14ac:dyDescent="0.35">
      <c r="A381" s="3" t="str">
        <f>HYPERLINK("https://edmondsonsupply.com/collections/personal-protection-safety/products/klein-tools-60511-heavy-duty-knee-pad-sleeves-m-l", "https://edmondsonsupply.com/collections/personal-protection-safety/products/klein-tools-60511-heavy-duty-knee-pad-sleeves-m-l")</f>
        <v>https://edmondsonsupply.com/collections/personal-protection-safety/products/klein-tools-60511-heavy-duty-knee-pad-sleeves-m-l</v>
      </c>
      <c r="B381" s="3" t="str">
        <f>HYPERLINK("https://edmondsonsupply.com/products/klein-tools-60511-heavy-duty-knee-pad-sleeves-m-l", "https://edmondsonsupply.com/products/klein-tools-60511-heavy-duty-knee-pad-sleeves-m-l")</f>
        <v>https://edmondsonsupply.com/products/klein-tools-60511-heavy-duty-knee-pad-sleeves-m-l</v>
      </c>
      <c r="C381" t="s">
        <v>1024</v>
      </c>
      <c r="D381" t="s">
        <v>909</v>
      </c>
      <c r="E381" s="3" t="str">
        <f>HYPERLINK("https://www.amazon.com/Klein-Tools-60491-Protective-Quick-Fasten/dp/B0BHXBMBHP/ref=sr_1_5?keywords=Klein+Tools+60511+Heavy+Duty+Knee+Pad+Sleeves%2C+M%2FL&amp;qid=1695173225&amp;sr=8-5", "https://www.amazon.com/Klein-Tools-60491-Protective-Quick-Fasten/dp/B0BHXBMBHP/ref=sr_1_5?keywords=Klein+Tools+60511+Heavy+Duty+Knee+Pad+Sleeves%2C+M%2FL&amp;qid=1695173225&amp;sr=8-5")</f>
        <v>https://www.amazon.com/Klein-Tools-60491-Protective-Quick-Fasten/dp/B0BHXBMBHP/ref=sr_1_5?keywords=Klein+Tools+60511+Heavy+Duty+Knee+Pad+Sleeves%2C+M%2FL&amp;qid=1695173225&amp;sr=8-5</v>
      </c>
      <c r="F381" t="s">
        <v>910</v>
      </c>
      <c r="G381" t="e">
        <f ca="1">_xludf.IMAGE("https://edmondsonsupply.com/cdn/shop/products/60511_60611_b.jpg?v=1663253024")</f>
        <v>#NAME?</v>
      </c>
      <c r="H381" t="e">
        <f ca="1">_xludf.IMAGE("https://m.media-amazon.com/images/I/718i4PDcjnL._AC_UL320_.jpg")</f>
        <v>#NAME?</v>
      </c>
      <c r="I381" t="s">
        <v>198</v>
      </c>
      <c r="J381">
        <v>49.97</v>
      </c>
      <c r="K381" s="4">
        <v>0.24959999999999999</v>
      </c>
      <c r="L381">
        <v>4.4000000000000004</v>
      </c>
      <c r="M381">
        <v>289</v>
      </c>
      <c r="O381" t="s">
        <v>25</v>
      </c>
      <c r="P381" t="s">
        <v>1027</v>
      </c>
      <c r="Q381" t="s">
        <v>1028</v>
      </c>
    </row>
    <row r="382" spans="1:17" ht="15.5" x14ac:dyDescent="0.35">
      <c r="A382" s="3" t="str">
        <f>HYPERLINK("https://edmondsonsupply.com/collections/personal-protection-safety/products/klein-tools-60161-professional-safety-glasses-clear-lens", "https://edmondsonsupply.com/collections/personal-protection-safety/products/klein-tools-60161-professional-safety-glasses-clear-lens")</f>
        <v>https://edmondsonsupply.com/collections/personal-protection-safety/products/klein-tools-60161-professional-safety-glasses-clear-lens</v>
      </c>
      <c r="B382" s="3" t="str">
        <f>HYPERLINK("https://edmondsonsupply.com/products/klein-tools-60161-professional-safety-glasses-clear-lens", "https://edmondsonsupply.com/products/klein-tools-60161-professional-safety-glasses-clear-lens")</f>
        <v>https://edmondsonsupply.com/products/klein-tools-60161-professional-safety-glasses-clear-lens</v>
      </c>
      <c r="C382" t="s">
        <v>884</v>
      </c>
      <c r="D382" t="s">
        <v>922</v>
      </c>
      <c r="E382" s="3" t="str">
        <f>HYPERLINK("https://www.amazon.com/Klein-60161-Professional-Protective-Resistant/dp/B08B496F57/ref=sr_1_1?keywords=Klein+Tools+60161+Professional+Safety+Glasses%2C+Clear+Lens&amp;qid=1695173254&amp;sr=8-1", "https://www.amazon.com/Klein-60161-Professional-Protective-Resistant/dp/B08B496F57/ref=sr_1_1?keywords=Klein+Tools+60161+Professional+Safety+Glasses%2C+Clear+Lens&amp;qid=1695173254&amp;sr=8-1")</f>
        <v>https://www.amazon.com/Klein-60161-Professional-Protective-Resistant/dp/B08B496F57/ref=sr_1_1?keywords=Klein+Tools+60161+Professional+Safety+Glasses%2C+Clear+Lens&amp;qid=1695173254&amp;sr=8-1</v>
      </c>
      <c r="F382" t="s">
        <v>923</v>
      </c>
      <c r="G382" t="e">
        <f ca="1">_xludf.IMAGE("https://edmondsonsupply.com/cdn/shop/products/60161.jpg?v=1633030845")</f>
        <v>#NAME?</v>
      </c>
      <c r="H382" t="e">
        <f ca="1">_xludf.IMAGE("https://m.media-amazon.com/images/I/515pVZPvJ0L._AC_UL320_.jpg")</f>
        <v>#NAME?</v>
      </c>
      <c r="I382" t="s">
        <v>834</v>
      </c>
      <c r="J382">
        <v>15.99</v>
      </c>
      <c r="K382" s="4">
        <v>0.23089999999999999</v>
      </c>
      <c r="L382">
        <v>4.4000000000000004</v>
      </c>
      <c r="M382">
        <v>374</v>
      </c>
      <c r="O382" t="s">
        <v>25</v>
      </c>
      <c r="P382" t="s">
        <v>835</v>
      </c>
      <c r="Q382" t="s">
        <v>885</v>
      </c>
    </row>
    <row r="383" spans="1:17" ht="15.5" x14ac:dyDescent="0.35">
      <c r="A383" s="3" t="str">
        <f>HYPERLINK("https://edmondsonsupply.com/collections/personal-protection-safety/products/klein-tools-60161-professional-safety-glasses-clear-lens", "https://edmondsonsupply.com/collections/personal-protection-safety/products/klein-tools-60161-professional-safety-glasses-clear-lens")</f>
        <v>https://edmondsonsupply.com/collections/personal-protection-safety/products/klein-tools-60161-professional-safety-glasses-clear-lens</v>
      </c>
      <c r="B383" s="3" t="str">
        <f>HYPERLINK("https://edmondsonsupply.com/products/klein-tools-60161-professional-safety-glasses-clear-lens", "https://edmondsonsupply.com/products/klein-tools-60161-professional-safety-glasses-clear-lens")</f>
        <v>https://edmondsonsupply.com/products/klein-tools-60161-professional-safety-glasses-clear-lens</v>
      </c>
      <c r="C383" t="s">
        <v>884</v>
      </c>
      <c r="D383" t="s">
        <v>927</v>
      </c>
      <c r="E383" s="3" t="str">
        <f>HYPERLINK("https://www.amazon.com/Klein-60470-Protection-Anti-Fog-Resistant/dp/B0B69KPRPF/ref=sr_1_3?keywords=Klein+Tools+60161+Professional+Safety+Glasses%2C+Clear+Lens&amp;qid=1695173254&amp;sr=8-3", "https://www.amazon.com/Klein-60470-Protection-Anti-Fog-Resistant/dp/B0B69KPRPF/ref=sr_1_3?keywords=Klein+Tools+60161+Professional+Safety+Glasses%2C+Clear+Lens&amp;qid=1695173254&amp;sr=8-3")</f>
        <v>https://www.amazon.com/Klein-60470-Protection-Anti-Fog-Resistant/dp/B0B69KPRPF/ref=sr_1_3?keywords=Klein+Tools+60161+Professional+Safety+Glasses%2C+Clear+Lens&amp;qid=1695173254&amp;sr=8-3</v>
      </c>
      <c r="F383" t="s">
        <v>928</v>
      </c>
      <c r="G383" t="e">
        <f ca="1">_xludf.IMAGE("https://edmondsonsupply.com/cdn/shop/products/60161.jpg?v=1633030845")</f>
        <v>#NAME?</v>
      </c>
      <c r="H383" t="e">
        <f ca="1">_xludf.IMAGE("https://m.media-amazon.com/images/I/51TkfiRMYgL._AC_UL320_.jpg")</f>
        <v>#NAME?</v>
      </c>
      <c r="I383" t="s">
        <v>834</v>
      </c>
      <c r="J383">
        <v>15.99</v>
      </c>
      <c r="K383" s="4">
        <v>0.23089999999999999</v>
      </c>
      <c r="L383">
        <v>4</v>
      </c>
      <c r="M383">
        <v>29</v>
      </c>
      <c r="O383" t="s">
        <v>25</v>
      </c>
      <c r="P383" t="s">
        <v>835</v>
      </c>
      <c r="Q383" t="s">
        <v>885</v>
      </c>
    </row>
    <row r="384" spans="1:17" ht="15.5" x14ac:dyDescent="0.35">
      <c r="A384" s="3" t="str">
        <f>HYPERLINK("https://edmondsonsupply.com/collections/personal-protection-safety/products/klein-tools-60162-professional-safety-glasses-gray-lens", "https://edmondsonsupply.com/collections/personal-protection-safety/products/klein-tools-60162-professional-safety-glasses-gray-lens")</f>
        <v>https://edmondsonsupply.com/collections/personal-protection-safety/products/klein-tools-60162-professional-safety-glasses-gray-lens</v>
      </c>
      <c r="B384" s="3" t="str">
        <f>HYPERLINK("https://edmondsonsupply.com/products/klein-tools-60162-professional-safety-glasses-gray-lens", "https://edmondsonsupply.com/products/klein-tools-60162-professional-safety-glasses-gray-lens")</f>
        <v>https://edmondsonsupply.com/products/klein-tools-60162-professional-safety-glasses-gray-lens</v>
      </c>
      <c r="C384" t="s">
        <v>833</v>
      </c>
      <c r="D384" t="s">
        <v>930</v>
      </c>
      <c r="E384" s="3" t="str">
        <f>HYPERLINK("https://www.amazon.com/Klein-60471-Protection-Anti-Fog-Resistant/dp/B0B69LNT2Y/ref=sr_1_3?keywords=Klein+Tools+60162+Professional+Safety+Glasses%2C+Gray+Lens&amp;qid=1695173247&amp;sr=8-3", "https://www.amazon.com/Klein-60471-Protection-Anti-Fog-Resistant/dp/B0B69LNT2Y/ref=sr_1_3?keywords=Klein+Tools+60162+Professional+Safety+Glasses%2C+Gray+Lens&amp;qid=1695173247&amp;sr=8-3")</f>
        <v>https://www.amazon.com/Klein-60471-Protection-Anti-Fog-Resistant/dp/B0B69LNT2Y/ref=sr_1_3?keywords=Klein+Tools+60162+Professional+Safety+Glasses%2C+Gray+Lens&amp;qid=1695173247&amp;sr=8-3</v>
      </c>
      <c r="F384" t="s">
        <v>931</v>
      </c>
      <c r="G384" t="e">
        <f ca="1">_xludf.IMAGE("https://edmondsonsupply.com/cdn/shop/products/60162.jpg?v=1633030847")</f>
        <v>#NAME?</v>
      </c>
      <c r="H384" t="e">
        <f ca="1">_xludf.IMAGE("https://m.media-amazon.com/images/I/51z-a2tdJlL._AC_UL320_.jpg")</f>
        <v>#NAME?</v>
      </c>
      <c r="I384" t="s">
        <v>834</v>
      </c>
      <c r="J384">
        <v>15.99</v>
      </c>
      <c r="K384" s="4">
        <v>0.23089999999999999</v>
      </c>
      <c r="L384">
        <v>4.3</v>
      </c>
      <c r="M384">
        <v>56</v>
      </c>
      <c r="O384" t="s">
        <v>25</v>
      </c>
      <c r="P384" t="s">
        <v>835</v>
      </c>
      <c r="Q384" t="s">
        <v>836</v>
      </c>
    </row>
    <row r="385" spans="1:17" ht="15.5" x14ac:dyDescent="0.35">
      <c r="A385" s="3" t="str">
        <f>HYPERLINK("https://edmondsonsupply.com/collections/personal-protection-safety/products/klein-tools-56064-klein-tools-%C2%AE-new-rechargeable-headlamp-offers-multiple-modes-to-fit-any-task", "https://edmondsonsupply.com/collections/personal-protection-safety/products/klein-tools-56064-klein-tools-%C2%AE-new-rechargeable-headlamp-offers-multiple-modes-to-fit-any-task")</f>
        <v>https://edmondsonsupply.com/collections/personal-protection-safety/products/klein-tools-56064-klein-tools-%C2%AE-new-rechargeable-headlamp-offers-multiple-modes-to-fit-any-task</v>
      </c>
      <c r="B385" s="3" t="str">
        <f>HYPERLINK("https://edmondsonsupply.com/products/klein-tools-56064-klein-tools-%c2%ae-new-rechargeable-headlamp-offers-multiple-modes-to-fit-any-task", "https://edmondsonsupply.com/products/klein-tools-56064-klein-tools-%c2%ae-new-rechargeable-headlamp-offers-multiple-modes-to-fit-any-task")</f>
        <v>https://edmondsonsupply.com/products/klein-tools-56064-klein-tools-%c2%ae-new-rechargeable-headlamp-offers-multiple-modes-to-fit-any-task</v>
      </c>
      <c r="C385" t="s">
        <v>1031</v>
      </c>
      <c r="D385" t="s">
        <v>934</v>
      </c>
      <c r="E385" s="3" t="str">
        <f>HYPERLINK("https://www.amazon.com/Klein-Tools-Rechargeable-Auto-Off-Headlamp/dp/B09Z932C3Z/ref=sr_1_2?keywords=Klein+Tools+56064+Rechargeable+Headlamp+with+Silicone+Strap%2C+400+Lumens%2C+All-Day+Runtime&amp;qid=1695173254&amp;sr=8-2", "https://www.amazon.com/Klein-Tools-Rechargeable-Auto-Off-Headlamp/dp/B09Z932C3Z/ref=sr_1_2?keywords=Klein+Tools+56064+Rechargeable+Headlamp+with+Silicone+Strap%2C+400+Lumens%2C+All-Day+Runtime&amp;qid=1695173254&amp;sr=8-2")</f>
        <v>https://www.amazon.com/Klein-Tools-Rechargeable-Auto-Off-Headlamp/dp/B09Z932C3Z/ref=sr_1_2?keywords=Klein+Tools+56064+Rechargeable+Headlamp+with+Silicone+Strap%2C+400+Lumens%2C+All-Day+Runtime&amp;qid=1695173254&amp;sr=8-2</v>
      </c>
      <c r="F385" t="s">
        <v>935</v>
      </c>
      <c r="G385" t="e">
        <f ca="1">_xludf.IMAGE("https://edmondsonsupply.com/cdn/shop/products/56064.png?v=1661362879")</f>
        <v>#NAME?</v>
      </c>
      <c r="H385" t="e">
        <f ca="1">_xludf.IMAGE("https://m.media-amazon.com/images/I/51-nHtYlwEL._AC_UL320_.jpg")</f>
        <v>#NAME?</v>
      </c>
      <c r="I385" t="s">
        <v>246</v>
      </c>
      <c r="J385">
        <v>47.94</v>
      </c>
      <c r="K385" s="4">
        <v>0.19939999999999999</v>
      </c>
      <c r="L385">
        <v>5</v>
      </c>
      <c r="M385">
        <v>1</v>
      </c>
      <c r="O385" t="s">
        <v>25</v>
      </c>
      <c r="P385" t="s">
        <v>1032</v>
      </c>
      <c r="Q385" t="s">
        <v>1033</v>
      </c>
    </row>
    <row r="386" spans="1:17" ht="15.5" x14ac:dyDescent="0.35">
      <c r="A386" s="3" t="str">
        <f>HYPERLINK("https://edmondsonsupply.com/collections/personal-protection-safety/products/klein-tools-56048-rechargeable-headlamp-with-strap-400-lumen-all-day-runtime-auto-off", "https://edmondsonsupply.com/collections/personal-protection-safety/products/klein-tools-56048-rechargeable-headlamp-with-strap-400-lumen-all-day-runtime-auto-off")</f>
        <v>https://edmondsonsupply.com/collections/personal-protection-safety/products/klein-tools-56048-rechargeable-headlamp-with-strap-400-lumen-all-day-runtime-auto-off</v>
      </c>
      <c r="B386"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386" t="s">
        <v>1034</v>
      </c>
      <c r="D386" t="s">
        <v>934</v>
      </c>
      <c r="E386" s="3" t="str">
        <f>HYPERLINK("https://www.amazon.com/Klein-Tools-Rechargeable-Auto-Off-Headlamp/dp/B09Z932C3Z/ref=sr_1_4?keywords=Klein+Tools+56048+Rechargeable+Headlamp+with+Fabric+Strap%2C+400+Lumens%2C+All-Day+Runtime&amp;qid=1695173217&amp;sr=8-4", "https://www.amazon.com/Klein-Tools-Rechargeable-Auto-Off-Headlamp/dp/B09Z932C3Z/ref=sr_1_4?keywords=Klein+Tools+56048+Rechargeable+Headlamp+with+Fabric+Strap%2C+400+Lumens%2C+All-Day+Runtime&amp;qid=1695173217&amp;sr=8-4")</f>
        <v>https://www.amazon.com/Klein-Tools-Rechargeable-Auto-Off-Headlamp/dp/B09Z932C3Z/ref=sr_1_4?keywords=Klein+Tools+56048+Rechargeable+Headlamp+with+Fabric+Strap%2C+400+Lumens%2C+All-Day+Runtime&amp;qid=1695173217&amp;sr=8-4</v>
      </c>
      <c r="F386" t="s">
        <v>935</v>
      </c>
      <c r="G386" t="e">
        <f ca="1">_xludf.IMAGE("https://edmondsonsupply.com/cdn/shop/products/56048.jpg?v=1633030457")</f>
        <v>#NAME?</v>
      </c>
      <c r="H386" t="e">
        <f ca="1">_xludf.IMAGE("https://m.media-amazon.com/images/I/51-nHtYlwEL._AC_UL320_.jpg")</f>
        <v>#NAME?</v>
      </c>
      <c r="I386" t="s">
        <v>246</v>
      </c>
      <c r="J386">
        <v>47.94</v>
      </c>
      <c r="K386" s="4">
        <v>0.19939999999999999</v>
      </c>
      <c r="L386">
        <v>5</v>
      </c>
      <c r="M386">
        <v>1</v>
      </c>
      <c r="O386" t="s">
        <v>25</v>
      </c>
      <c r="P386" t="s">
        <v>1032</v>
      </c>
      <c r="Q386" t="s">
        <v>1035</v>
      </c>
    </row>
    <row r="387" spans="1:17" ht="15.5" x14ac:dyDescent="0.35">
      <c r="A387"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387" s="3" t="str">
        <f>HYPERLINK("https://edmondsonsupply.com/products/john-boy-army-face-guard", "https://edmondsonsupply.com/products/john-boy-army-face-guard")</f>
        <v>https://edmondsonsupply.com/products/john-boy-army-face-guard</v>
      </c>
      <c r="C387" t="s">
        <v>1036</v>
      </c>
      <c r="D387" t="s">
        <v>1037</v>
      </c>
      <c r="E387" s="3" t="str">
        <f>HYPERLINK("https://www.amazon.com/JOHN-Fishing-Face-Guard-Multi-Weather/dp/B0843KL4TR/ref=sr_1_9?keywords=John+Boy+ARMY+Face+Guard&amp;qid=1695173251&amp;sr=8-9", "https://www.amazon.com/JOHN-Fishing-Face-Guard-Multi-Weather/dp/B0843KL4TR/ref=sr_1_9?keywords=John+Boy+ARMY+Face+Guard&amp;qid=1695173251&amp;sr=8-9")</f>
        <v>https://www.amazon.com/JOHN-Fishing-Face-Guard-Multi-Weather/dp/B0843KL4TR/ref=sr_1_9?keywords=John+Boy+ARMY+Face+Guard&amp;qid=1695173251&amp;sr=8-9</v>
      </c>
      <c r="F387" t="s">
        <v>1038</v>
      </c>
      <c r="G387" t="e">
        <f ca="1">_xludf.IMAGE("https://edmondsonsupply.com/cdn/shop/products/Armycopy.jpg?v=1633030720")</f>
        <v>#NAME?</v>
      </c>
      <c r="H387" t="e">
        <f ca="1">_xludf.IMAGE("https://m.media-amazon.com/images/I/81k0eAI5NVL._AC_UL320_.jpg")</f>
        <v>#NAME?</v>
      </c>
      <c r="I387" t="s">
        <v>1039</v>
      </c>
      <c r="J387">
        <v>11.99</v>
      </c>
      <c r="K387" s="4">
        <v>0.19900000000000001</v>
      </c>
      <c r="L387">
        <v>4</v>
      </c>
      <c r="M387">
        <v>13</v>
      </c>
      <c r="O387" t="s">
        <v>25</v>
      </c>
      <c r="P387" t="s">
        <v>138</v>
      </c>
      <c r="Q387" t="s">
        <v>1040</v>
      </c>
    </row>
    <row r="388" spans="1:17" ht="15.5" x14ac:dyDescent="0.35">
      <c r="A388"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388" s="3" t="str">
        <f>HYPERLINK("https://edmondsonsupply.com/products/john-boy-desert-face-guard", "https://edmondsonsupply.com/products/john-boy-desert-face-guard")</f>
        <v>https://edmondsonsupply.com/products/john-boy-desert-face-guard</v>
      </c>
      <c r="C388" t="s">
        <v>1041</v>
      </c>
      <c r="D388" t="s">
        <v>1042</v>
      </c>
      <c r="E388" s="3" t="str">
        <f>HYPERLINK("https://www.amazon.com/JOHN-Fishing-Face-Guard-Multi-Weather/dp/B0843KL4TR/ref=sr_1_10?keywords=John+Boy+DESERT+Face+Guard&amp;qid=1695173255&amp;sr=8-10", "https://www.amazon.com/JOHN-Fishing-Face-Guard-Multi-Weather/dp/B0843KL4TR/ref=sr_1_10?keywords=John+Boy+DESERT+Face+Guard&amp;qid=1695173255&amp;sr=8-10")</f>
        <v>https://www.amazon.com/JOHN-Fishing-Face-Guard-Multi-Weather/dp/B0843KL4TR/ref=sr_1_10?keywords=John+Boy+DESERT+Face+Guard&amp;qid=1695173255&amp;sr=8-10</v>
      </c>
      <c r="F388" t="s">
        <v>1038</v>
      </c>
      <c r="G388" t="e">
        <f ca="1">_xludf.IMAGE("https://edmondsonsupply.com/cdn/shop/products/Desertcopy.jpg?v=1633030720")</f>
        <v>#NAME?</v>
      </c>
      <c r="H388" t="e">
        <f ca="1">_xludf.IMAGE("https://m.media-amazon.com/images/I/81k0eAI5NVL._AC_UL320_.jpg")</f>
        <v>#NAME?</v>
      </c>
      <c r="I388" t="s">
        <v>1039</v>
      </c>
      <c r="J388">
        <v>11.99</v>
      </c>
      <c r="K388" s="4">
        <v>0.19900000000000001</v>
      </c>
      <c r="L388">
        <v>4</v>
      </c>
      <c r="M388">
        <v>13</v>
      </c>
      <c r="O388" t="s">
        <v>25</v>
      </c>
      <c r="P388" t="s">
        <v>138</v>
      </c>
      <c r="Q388" t="s">
        <v>1043</v>
      </c>
    </row>
    <row r="389" spans="1:17" ht="15.5" x14ac:dyDescent="0.35">
      <c r="A389" s="3" t="str">
        <f>HYPERLINK("https://edmondsonsupply.com/collections/personal-protection-safety/products/klein-tools-60113rl-hard-hat-vented-cap-style-with-rechargeable-headlamp-white", "https://edmondsonsupply.com/collections/personal-protection-safety/products/klein-tools-60113rl-hard-hat-vented-cap-style-with-rechargeable-headlamp-white")</f>
        <v>https://edmondsonsupply.com/collections/personal-protection-safety/products/klein-tools-60113rl-hard-hat-vented-cap-style-with-rechargeable-headlamp-white</v>
      </c>
      <c r="B389"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389" t="s">
        <v>1044</v>
      </c>
      <c r="D389" t="s">
        <v>1045</v>
      </c>
      <c r="E389" s="3" t="str">
        <f>HYPERLINK("https://www.amazon.com/Klein-Tools-60406RL-Rechargeable-Odor-Resistant/dp/B08FBZT3BW/ref=sr_1_4?keywords=Klein+Tools+60113RL+Hard+Hat%2C+Vented%2C+Cap+Style+with+Rechargeable+Headlamp%2C+White&amp;qid=1695173239&amp;sr=8-4", "https://www.amazon.com/Klein-Tools-60406RL-Rechargeable-Odor-Resistant/dp/B08FBZT3BW/ref=sr_1_4?keywords=Klein+Tools+60113RL+Hard+Hat%2C+Vented%2C+Cap+Style+with+Rechargeable+Headlamp%2C+White&amp;qid=1695173239&amp;sr=8-4")</f>
        <v>https://www.amazon.com/Klein-Tools-60406RL-Rechargeable-Odor-Resistant/dp/B08FBZT3BW/ref=sr_1_4?keywords=Klein+Tools+60113RL+Hard+Hat%2C+Vented%2C+Cap+Style+with+Rechargeable+Headlamp%2C+White&amp;qid=1695173239&amp;sr=8-4</v>
      </c>
      <c r="F389" t="s">
        <v>1046</v>
      </c>
      <c r="G389" t="e">
        <f ca="1">_xludf.IMAGE("https://edmondsonsupply.com/cdn/shop/products/60113rl_c.jpg?v=1647891186")</f>
        <v>#NAME?</v>
      </c>
      <c r="H389" t="e">
        <f ca="1">_xludf.IMAGE("https://m.media-amazon.com/images/I/61cNP5T1keL._AC_UL320_.jpg")</f>
        <v>#NAME?</v>
      </c>
      <c r="I389" t="s">
        <v>905</v>
      </c>
      <c r="J389">
        <v>69.989999999999995</v>
      </c>
      <c r="K389" s="4">
        <v>0.16669999999999999</v>
      </c>
      <c r="L389">
        <v>4.7</v>
      </c>
      <c r="M389">
        <v>358</v>
      </c>
      <c r="O389" t="s">
        <v>25</v>
      </c>
      <c r="P389" t="s">
        <v>1047</v>
      </c>
      <c r="Q389" t="s">
        <v>1048</v>
      </c>
    </row>
    <row r="390" spans="1:17" ht="15.5" x14ac:dyDescent="0.35">
      <c r="A390" s="3" t="str">
        <f>HYPERLINK("https://edmondsonsupply.com/collections/personal-protection-safety/products/klein-tools-60113rl-hard-hat-vented-cap-style-with-rechargeable-headlamp-white", "https://edmondsonsupply.com/collections/personal-protection-safety/products/klein-tools-60113rl-hard-hat-vented-cap-style-with-rechargeable-headlamp-white")</f>
        <v>https://edmondsonsupply.com/collections/personal-protection-safety/products/klein-tools-60113rl-hard-hat-vented-cap-style-with-rechargeable-headlamp-white</v>
      </c>
      <c r="B390"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390" t="s">
        <v>1044</v>
      </c>
      <c r="D390" t="s">
        <v>1049</v>
      </c>
      <c r="E390" s="3" t="str">
        <f>HYPERLINK("https://www.amazon.com/Klein-Tools-60407RL-Rechargeable-Headlamp/dp/B0BR1ZQB58/ref=sr_1_9?keywords=Klein+Tools+60113RL+Hard+Hat%2C+Vented%2C+Cap+Style+with+Rechargeable+Headlamp%2C+White&amp;qid=1695173239&amp;sr=8-9", "https://www.amazon.com/Klein-Tools-60407RL-Rechargeable-Headlamp/dp/B0BR1ZQB58/ref=sr_1_9?keywords=Klein+Tools+60113RL+Hard+Hat%2C+Vented%2C+Cap+Style+with+Rechargeable+Headlamp%2C+White&amp;qid=1695173239&amp;sr=8-9")</f>
        <v>https://www.amazon.com/Klein-Tools-60407RL-Rechargeable-Headlamp/dp/B0BR1ZQB58/ref=sr_1_9?keywords=Klein+Tools+60113RL+Hard+Hat%2C+Vented%2C+Cap+Style+with+Rechargeable+Headlamp%2C+White&amp;qid=1695173239&amp;sr=8-9</v>
      </c>
      <c r="F390" t="s">
        <v>1050</v>
      </c>
      <c r="G390" t="e">
        <f ca="1">_xludf.IMAGE("https://edmondsonsupply.com/cdn/shop/products/60113rl_c.jpg?v=1647891186")</f>
        <v>#NAME?</v>
      </c>
      <c r="H390" t="e">
        <f ca="1">_xludf.IMAGE("https://m.media-amazon.com/images/I/41I3OS+7E0L._AC_UL320_.jpg")</f>
        <v>#NAME?</v>
      </c>
      <c r="I390" t="s">
        <v>905</v>
      </c>
      <c r="J390">
        <v>69.98</v>
      </c>
      <c r="K390" s="4">
        <v>0.16650000000000001</v>
      </c>
      <c r="L390">
        <v>5</v>
      </c>
      <c r="M390">
        <v>1</v>
      </c>
      <c r="O390" t="s">
        <v>25</v>
      </c>
      <c r="P390" t="s">
        <v>1047</v>
      </c>
      <c r="Q390" t="s">
        <v>1048</v>
      </c>
    </row>
    <row r="391" spans="1:17" ht="15.5" x14ac:dyDescent="0.35">
      <c r="A391" s="3" t="str">
        <f>HYPERLINK("https://edmondsonsupply.com/collections/personal-protection-safety/products/klein-tools-60162-professional-safety-glasses-gray-lens", "https://edmondsonsupply.com/collections/personal-protection-safety/products/klein-tools-60162-professional-safety-glasses-gray-lens")</f>
        <v>https://edmondsonsupply.com/collections/personal-protection-safety/products/klein-tools-60162-professional-safety-glasses-gray-lens</v>
      </c>
      <c r="B391" s="3" t="str">
        <f>HYPERLINK("https://edmondsonsupply.com/products/klein-tools-60162-professional-safety-glasses-gray-lens", "https://edmondsonsupply.com/products/klein-tools-60162-professional-safety-glasses-gray-lens")</f>
        <v>https://edmondsonsupply.com/products/klein-tools-60162-professional-safety-glasses-gray-lens</v>
      </c>
      <c r="C391" t="s">
        <v>833</v>
      </c>
      <c r="D391" t="s">
        <v>956</v>
      </c>
      <c r="E391" s="3" t="str">
        <f>HYPERLINK("https://www.amazon.com/Klein-60163-Professional-Protective-Resistant/dp/B08B48CZ5V/ref=sr_1_9?keywords=Klein+Tools+60162+Professional+Safety+Glasses%2C+Gray+Lens&amp;qid=1695173247&amp;sr=8-9", "https://www.amazon.com/Klein-60163-Professional-Protective-Resistant/dp/B08B48CZ5V/ref=sr_1_9?keywords=Klein+Tools+60162+Professional+Safety+Glasses%2C+Gray+Lens&amp;qid=1695173247&amp;sr=8-9")</f>
        <v>https://www.amazon.com/Klein-60163-Professional-Protective-Resistant/dp/B08B48CZ5V/ref=sr_1_9?keywords=Klein+Tools+60162+Professional+Safety+Glasses%2C+Gray+Lens&amp;qid=1695173247&amp;sr=8-9</v>
      </c>
      <c r="F391" t="s">
        <v>957</v>
      </c>
      <c r="G391" t="e">
        <f ca="1">_xludf.IMAGE("https://edmondsonsupply.com/cdn/shop/products/60162.jpg?v=1633030847")</f>
        <v>#NAME?</v>
      </c>
      <c r="H391" t="e">
        <f ca="1">_xludf.IMAGE("https://m.media-amazon.com/images/I/41IY8K6EFLL._AC_UL320_.jpg")</f>
        <v>#NAME?</v>
      </c>
      <c r="I391" t="s">
        <v>834</v>
      </c>
      <c r="J391">
        <v>14.99</v>
      </c>
      <c r="K391" s="4">
        <v>0.154</v>
      </c>
      <c r="L391">
        <v>4.4000000000000004</v>
      </c>
      <c r="M391">
        <v>198</v>
      </c>
      <c r="O391" t="s">
        <v>25</v>
      </c>
      <c r="P391" t="s">
        <v>835</v>
      </c>
      <c r="Q391" t="s">
        <v>836</v>
      </c>
    </row>
    <row r="392" spans="1:17" ht="15.5" x14ac:dyDescent="0.35">
      <c r="A392" s="3" t="str">
        <f>HYPERLINK("https://edmondsonsupply.com/collections/personal-protection-safety/products/klein-tools-60162-professional-safety-glasses-gray-lens", "https://edmondsonsupply.com/collections/personal-protection-safety/products/klein-tools-60162-professional-safety-glasses-gray-lens")</f>
        <v>https://edmondsonsupply.com/collections/personal-protection-safety/products/klein-tools-60162-professional-safety-glasses-gray-lens</v>
      </c>
      <c r="B392" s="3" t="str">
        <f>HYPERLINK("https://edmondsonsupply.com/products/klein-tools-60162-professional-safety-glasses-gray-lens", "https://edmondsonsupply.com/products/klein-tools-60162-professional-safety-glasses-gray-lens")</f>
        <v>https://edmondsonsupply.com/products/klein-tools-60162-professional-safety-glasses-gray-lens</v>
      </c>
      <c r="C392" t="s">
        <v>833</v>
      </c>
      <c r="D392" t="s">
        <v>958</v>
      </c>
      <c r="E392" s="3" t="str">
        <f>HYPERLINK("https://www.amazon.com/Klein-60164-Professional-Protective-Resistant/dp/B08B4BNSHM/ref=sr_1_2?keywords=Klein+Tools+60162+Professional+Safety+Glasses%2C+Gray+Lens&amp;qid=1695173247&amp;sr=8-2", "https://www.amazon.com/Klein-60164-Professional-Protective-Resistant/dp/B08B4BNSHM/ref=sr_1_2?keywords=Klein+Tools+60162+Professional+Safety+Glasses%2C+Gray+Lens&amp;qid=1695173247&amp;sr=8-2")</f>
        <v>https://www.amazon.com/Klein-60164-Professional-Protective-Resistant/dp/B08B4BNSHM/ref=sr_1_2?keywords=Klein+Tools+60162+Professional+Safety+Glasses%2C+Gray+Lens&amp;qid=1695173247&amp;sr=8-2</v>
      </c>
      <c r="F392" t="s">
        <v>959</v>
      </c>
      <c r="G392" t="e">
        <f ca="1">_xludf.IMAGE("https://edmondsonsupply.com/cdn/shop/products/60162.jpg?v=1633030847")</f>
        <v>#NAME?</v>
      </c>
      <c r="H392" t="e">
        <f ca="1">_xludf.IMAGE("https://m.media-amazon.com/images/I/41bNrH9NnFL._AC_UL320_.jpg")</f>
        <v>#NAME?</v>
      </c>
      <c r="I392" t="s">
        <v>834</v>
      </c>
      <c r="J392">
        <v>14.99</v>
      </c>
      <c r="K392" s="4">
        <v>0.154</v>
      </c>
      <c r="L392">
        <v>4.4000000000000004</v>
      </c>
      <c r="M392">
        <v>463</v>
      </c>
      <c r="O392" t="s">
        <v>25</v>
      </c>
      <c r="P392" t="s">
        <v>835</v>
      </c>
      <c r="Q392" t="s">
        <v>836</v>
      </c>
    </row>
    <row r="393" spans="1:17" ht="15.5" x14ac:dyDescent="0.35">
      <c r="A393" s="3" t="str">
        <f>HYPERLINK("https://edmondsonsupply.com/collections/personal-protection-safety/products/klein-tools-60161-professional-safety-glasses-clear-lens", "https://edmondsonsupply.com/collections/personal-protection-safety/products/klein-tools-60161-professional-safety-glasses-clear-lens")</f>
        <v>https://edmondsonsupply.com/collections/personal-protection-safety/products/klein-tools-60161-professional-safety-glasses-clear-lens</v>
      </c>
      <c r="B393" s="3" t="str">
        <f>HYPERLINK("https://edmondsonsupply.com/products/klein-tools-60161-professional-safety-glasses-clear-lens", "https://edmondsonsupply.com/products/klein-tools-60161-professional-safety-glasses-clear-lens")</f>
        <v>https://edmondsonsupply.com/products/klein-tools-60161-professional-safety-glasses-clear-lens</v>
      </c>
      <c r="C393" t="s">
        <v>884</v>
      </c>
      <c r="D393" t="s">
        <v>956</v>
      </c>
      <c r="E393" s="3" t="str">
        <f>HYPERLINK("https://www.amazon.com/Klein-60163-Professional-Protective-Resistant/dp/B08B48CZ5V/ref=sr_1_4?keywords=Klein+Tools+60161+Professional+Safety+Glasses%2C+Clear+Lens&amp;qid=1695173254&amp;sr=8-4", "https://www.amazon.com/Klein-60163-Professional-Protective-Resistant/dp/B08B48CZ5V/ref=sr_1_4?keywords=Klein+Tools+60161+Professional+Safety+Glasses%2C+Clear+Lens&amp;qid=1695173254&amp;sr=8-4")</f>
        <v>https://www.amazon.com/Klein-60163-Professional-Protective-Resistant/dp/B08B48CZ5V/ref=sr_1_4?keywords=Klein+Tools+60161+Professional+Safety+Glasses%2C+Clear+Lens&amp;qid=1695173254&amp;sr=8-4</v>
      </c>
      <c r="F393" t="s">
        <v>957</v>
      </c>
      <c r="G393" t="e">
        <f ca="1">_xludf.IMAGE("https://edmondsonsupply.com/cdn/shop/products/60161.jpg?v=1633030845")</f>
        <v>#NAME?</v>
      </c>
      <c r="H393" t="e">
        <f ca="1">_xludf.IMAGE("https://m.media-amazon.com/images/I/41IY8K6EFLL._AC_UL320_.jpg")</f>
        <v>#NAME?</v>
      </c>
      <c r="I393" t="s">
        <v>834</v>
      </c>
      <c r="J393">
        <v>14.99</v>
      </c>
      <c r="K393" s="4">
        <v>0.154</v>
      </c>
      <c r="L393">
        <v>4.4000000000000004</v>
      </c>
      <c r="M393">
        <v>198</v>
      </c>
      <c r="O393" t="s">
        <v>25</v>
      </c>
      <c r="P393" t="s">
        <v>835</v>
      </c>
      <c r="Q393" t="s">
        <v>885</v>
      </c>
    </row>
    <row r="394" spans="1:17" ht="15.5" x14ac:dyDescent="0.35">
      <c r="A394" s="3" t="str">
        <f>HYPERLINK("https://edmondsonsupply.com/collections/personal-protection-safety/products/klein-tools-60189-leather-work-gloves-x-large-pair", "https://edmondsonsupply.com/collections/personal-protection-safety/products/klein-tools-60189-leather-work-gloves-x-large-pair")</f>
        <v>https://edmondsonsupply.com/collections/personal-protection-safety/products/klein-tools-60189-leather-work-gloves-x-large-pair</v>
      </c>
      <c r="B394" s="3" t="str">
        <f>HYPERLINK("https://edmondsonsupply.com/products/klein-tools-60189-leather-work-gloves-x-large-pair", "https://edmondsonsupply.com/products/klein-tools-60189-leather-work-gloves-x-large-pair")</f>
        <v>https://edmondsonsupply.com/products/klein-tools-60189-leather-work-gloves-x-large-pair</v>
      </c>
      <c r="C394" t="s">
        <v>1051</v>
      </c>
      <c r="D394" t="s">
        <v>1052</v>
      </c>
      <c r="E394" s="3" t="str">
        <f>HYPERLINK("https://www.amazon.com/Lineman-Glove-Klein-Tools-40084/dp/B003OD8YX0/ref=sr_1_2?keywords=Klein+Tools+60189+Leather+Work+Gloves%2C+X-Large%2C+Pair&amp;qid=1695173266&amp;sr=8-2", "https://www.amazon.com/Lineman-Glove-Klein-Tools-40084/dp/B003OD8YX0/ref=sr_1_2?keywords=Klein+Tools+60189+Leather+Work+Gloves%2C+X-Large%2C+Pair&amp;qid=1695173266&amp;sr=8-2")</f>
        <v>https://www.amazon.com/Lineman-Glove-Klein-Tools-40084/dp/B003OD8YX0/ref=sr_1_2?keywords=Klein+Tools+60189+Leather+Work+Gloves%2C+X-Large%2C+Pair&amp;qid=1695173266&amp;sr=8-2</v>
      </c>
      <c r="F394" t="s">
        <v>1053</v>
      </c>
      <c r="G394" t="e">
        <f ca="1">_xludf.IMAGE("https://edmondsonsupply.com/cdn/shop/products/60188.jpg?v=1587143489")</f>
        <v>#NAME?</v>
      </c>
      <c r="H394" t="e">
        <f ca="1">_xludf.IMAGE("https://m.media-amazon.com/images/I/61HoGcmMLGL._AC_UL320_.jpg")</f>
        <v>#NAME?</v>
      </c>
      <c r="I394" t="s">
        <v>471</v>
      </c>
      <c r="J394">
        <v>28.21</v>
      </c>
      <c r="K394" s="4">
        <v>0.12889999999999999</v>
      </c>
      <c r="L394">
        <v>4.3</v>
      </c>
      <c r="M394">
        <v>666</v>
      </c>
      <c r="O394" t="s">
        <v>25</v>
      </c>
      <c r="P394" t="s">
        <v>1054</v>
      </c>
      <c r="Q394" t="s">
        <v>1055</v>
      </c>
    </row>
    <row r="395" spans="1:17" ht="15.5" x14ac:dyDescent="0.35">
      <c r="A395" s="3" t="str">
        <f>HYPERLINK("https://edmondsonsupply.com/collections/personal-protection-safety/products/klein-tools-60100-hard-hat-non-vented-cap-style-white", "https://edmondsonsupply.com/collections/personal-protection-safety/products/klein-tools-60100-hard-hat-non-vented-cap-style-white")</f>
        <v>https://edmondsonsupply.com/collections/personal-protection-safety/products/klein-tools-60100-hard-hat-non-vented-cap-style-white</v>
      </c>
      <c r="B395" s="3" t="str">
        <f>HYPERLINK("https://edmondsonsupply.com/products/klein-tools-60100-hard-hat-non-vented-cap-style-white", "https://edmondsonsupply.com/products/klein-tools-60100-hard-hat-non-vented-cap-style-white")</f>
        <v>https://edmondsonsupply.com/products/klein-tools-60100-hard-hat-non-vented-cap-style-white</v>
      </c>
      <c r="C395" t="s">
        <v>970</v>
      </c>
      <c r="D395" t="s">
        <v>991</v>
      </c>
      <c r="E395" s="3" t="str">
        <f>HYPERLINK("https://www.amazon.com/Klein-Tools-Hard-Non-vented-Style/dp/B07TQNTCKL/ref=sr_1_5?keywords=Klein+Tools+60100+Hard+Hat%2C+Non-Vented%2C+Cap+Style%2C+White&amp;qid=1695173239&amp;sr=8-5", "https://www.amazon.com/Klein-Tools-Hard-Non-vented-Style/dp/B07TQNTCKL/ref=sr_1_5?keywords=Klein+Tools+60100+Hard+Hat%2C+Non-Vented%2C+Cap+Style%2C+White&amp;qid=1695173239&amp;sr=8-5")</f>
        <v>https://www.amazon.com/Klein-Tools-Hard-Non-vented-Style/dp/B07TQNTCKL/ref=sr_1_5?keywords=Klein+Tools+60100+Hard+Hat%2C+Non-Vented%2C+Cap+Style%2C+White&amp;qid=1695173239&amp;sr=8-5</v>
      </c>
      <c r="F395" t="s">
        <v>992</v>
      </c>
      <c r="G395" t="e">
        <f ca="1">_xludf.IMAGE("https://edmondsonsupply.com/cdn/shop/products/60100_c.jpg?v=1648166061")</f>
        <v>#NAME?</v>
      </c>
      <c r="H395" t="e">
        <f ca="1">_xludf.IMAGE("https://m.media-amazon.com/images/I/61IcdM8MBnL._AC_UL320_.jpg")</f>
        <v>#NAME?</v>
      </c>
      <c r="I395" t="s">
        <v>198</v>
      </c>
      <c r="J395">
        <v>44.99</v>
      </c>
      <c r="K395" s="4">
        <v>0.125</v>
      </c>
      <c r="L395">
        <v>4.7</v>
      </c>
      <c r="M395">
        <v>358</v>
      </c>
      <c r="O395" t="s">
        <v>171</v>
      </c>
      <c r="P395" t="s">
        <v>971</v>
      </c>
      <c r="Q395" t="s">
        <v>972</v>
      </c>
    </row>
    <row r="396" spans="1:17" ht="15.5" x14ac:dyDescent="0.35">
      <c r="A396"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396" s="3" t="str">
        <f>HYPERLINK("https://edmondsonsupply.com/products/klein-tools-40218-journeyman-extreme-gloves-large", "https://edmondsonsupply.com/products/klein-tools-40218-journeyman-extreme-gloves-large")</f>
        <v>https://edmondsonsupply.com/products/klein-tools-40218-journeyman-extreme-gloves-large</v>
      </c>
      <c r="C396" t="s">
        <v>1056</v>
      </c>
      <c r="D396" t="s">
        <v>965</v>
      </c>
      <c r="E396" s="3" t="str">
        <f>HYPERLINK("https://www.amazon.com/Journeyman-Leather-Klein-Tools-40221/dp/B00KWJ98QG/ref=sr_1_4?keywords=Klein+Tools+40218+Journeyman+Extreme+Gloves%2C+Large&amp;qid=1695173251&amp;sr=8-4", "https://www.amazon.com/Journeyman-Leather-Klein-Tools-40221/dp/B00KWJ98QG/ref=sr_1_4?keywords=Klein+Tools+40218+Journeyman+Extreme+Gloves%2C+Large&amp;qid=1695173251&amp;sr=8-4")</f>
        <v>https://www.amazon.com/Journeyman-Leather-Klein-Tools-40221/dp/B00KWJ98QG/ref=sr_1_4?keywords=Klein+Tools+40218+Journeyman+Extreme+Gloves%2C+Large&amp;qid=1695173251&amp;sr=8-4</v>
      </c>
      <c r="F396" t="s">
        <v>966</v>
      </c>
      <c r="G396" t="e">
        <f ca="1">_xludf.IMAGE("https://edmondsonsupply.com/cdn/shop/products/40219_0a592222-828d-4257-9e62-1df98be50c8b.jpg?v=1600025215")</f>
        <v>#NAME?</v>
      </c>
      <c r="H396" t="e">
        <f ca="1">_xludf.IMAGE("https://m.media-amazon.com/images/I/61e9r7Pq+oL._AC_UL320_.jpg")</f>
        <v>#NAME?</v>
      </c>
      <c r="I396" t="s">
        <v>198</v>
      </c>
      <c r="J396">
        <v>44.49</v>
      </c>
      <c r="K396" s="4">
        <v>0.1125</v>
      </c>
      <c r="L396">
        <v>4.4000000000000004</v>
      </c>
      <c r="M396">
        <v>46</v>
      </c>
      <c r="O396" t="s">
        <v>25</v>
      </c>
      <c r="P396" t="s">
        <v>971</v>
      </c>
      <c r="Q396" t="s">
        <v>1057</v>
      </c>
    </row>
    <row r="397" spans="1:17" ht="15.5" x14ac:dyDescent="0.35">
      <c r="A397" s="3" t="str">
        <f>HYPERLINK("https://edmondsonsupply.com/collections/personal-protection-safety/products/klein-tools-60346-hard-hat-premium-karbn%E2%84%A2-pattern-non-vented-full-brim-class-e-lamp", "https://edmondsonsupply.com/collections/personal-protection-safety/products/klein-tools-60346-hard-hat-premium-karbn%E2%84%A2-pattern-non-vented-full-brim-class-e-lamp")</f>
        <v>https://edmondsonsupply.com/collections/personal-protection-safety/products/klein-tools-60346-hard-hat-premium-karbn%E2%84%A2-pattern-non-vented-full-brim-class-e-lamp</v>
      </c>
      <c r="B397"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397" t="s">
        <v>1020</v>
      </c>
      <c r="D397" t="s">
        <v>962</v>
      </c>
      <c r="E397" s="3" t="str">
        <f>HYPERLINK("https://www.amazon.com/Klein-Tools-Non-Vented-Premium-Pattern/dp/B09Z8ZC2TJ/ref=sr_1_3?keywords=Klein+Tools+60346+Hard+Hat%2C+Premium+KARBN%E2%84%A2+Pattern%2C+Non-Vented+Full+Brim%2C+Class+E%2C+Lamp&amp;qid=1695173224&amp;sr=8-3", "https://www.amazon.com/Klein-Tools-Non-Vented-Premium-Pattern/dp/B09Z8ZC2TJ/ref=sr_1_3?keywords=Klein+Tools+60346+Hard+Hat%2C+Premium+KARBN%E2%84%A2+Pattern%2C+Non-Vented+Full+Brim%2C+Class+E%2C+Lamp&amp;qid=1695173224&amp;sr=8-3")</f>
        <v>https://www.amazon.com/Klein-Tools-Non-Vented-Premium-Pattern/dp/B09Z8ZC2TJ/ref=sr_1_3?keywords=Klein+Tools+60346+Hard+Hat%2C+Premium+KARBN%E2%84%A2+Pattern%2C+Non-Vented+Full+Brim%2C+Class+E%2C+Lamp&amp;qid=1695173224&amp;sr=8-3</v>
      </c>
      <c r="F397" t="s">
        <v>963</v>
      </c>
      <c r="G397" t="e">
        <f ca="1">_xludf.IMAGE("https://edmondsonsupply.com/cdn/shop/products/60346.jpg?v=1660168162")</f>
        <v>#NAME?</v>
      </c>
      <c r="H397" t="e">
        <f ca="1">_xludf.IMAGE("https://m.media-amazon.com/images/I/51OeMTIeiuL._AC_UL320_.jpg")</f>
        <v>#NAME?</v>
      </c>
      <c r="I397" t="s">
        <v>315</v>
      </c>
      <c r="J397">
        <v>99.98</v>
      </c>
      <c r="K397" s="4">
        <v>0.111</v>
      </c>
      <c r="L397">
        <v>4.7</v>
      </c>
      <c r="M397">
        <v>8</v>
      </c>
      <c r="O397" t="s">
        <v>25</v>
      </c>
      <c r="P397" t="s">
        <v>917</v>
      </c>
      <c r="Q397" t="s">
        <v>1021</v>
      </c>
    </row>
    <row r="398" spans="1:17" ht="15.5" x14ac:dyDescent="0.35">
      <c r="A398" s="3" t="str">
        <f>HYPERLINK("https://edmondsonsupply.com/collections/personal-protection-safety/products/klein-tools-60537-professional-safety-glasses-full-frame-indoor-outdoor-lens", "https://edmondsonsupply.com/collections/personal-protection-safety/products/klein-tools-60537-professional-safety-glasses-full-frame-indoor-outdoor-lens")</f>
        <v>https://edmondsonsupply.com/collections/personal-protection-safety/products/klein-tools-60537-professional-safety-glasses-full-frame-indoor-outdoor-lens</v>
      </c>
      <c r="B398"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98" t="s">
        <v>896</v>
      </c>
      <c r="D398" t="s">
        <v>1022</v>
      </c>
      <c r="E398" s="3" t="str">
        <f>HYPERLINK("https://www.amazon.com/Klein-Tools-60536-Professional-Protective/dp/B0BLQWVJDB/ref=sr_1_2?keywords=Klein+Tools+60537+Professional+Safety+Glasses%2C+Full-Frame%2C+Indoor%2FOutdoor+Lens&amp;qid=1695173230&amp;sr=8-2", "https://www.amazon.com/Klein-Tools-60536-Professional-Protective/dp/B0BLQWVJDB/ref=sr_1_2?keywords=Klein+Tools+60537+Professional+Safety+Glasses%2C+Full-Frame%2C+Indoor%2FOutdoor+Lens&amp;qid=1695173230&amp;sr=8-2")</f>
        <v>https://www.amazon.com/Klein-Tools-60536-Professional-Protective/dp/B0BLQWVJDB/ref=sr_1_2?keywords=Klein+Tools+60537+Professional+Safety+Glasses%2C+Full-Frame%2C+Indoor%2FOutdoor+Lens&amp;qid=1695173230&amp;sr=8-2</v>
      </c>
      <c r="F398" t="s">
        <v>1023</v>
      </c>
      <c r="G398" t="e">
        <f ca="1">_xludf.IMAGE("https://edmondsonsupply.com/cdn/shop/products/60537.jpg?v=1670947087")</f>
        <v>#NAME?</v>
      </c>
      <c r="H398" t="e">
        <f ca="1">_xludf.IMAGE("https://m.media-amazon.com/images/I/41rAXCZifQL._AC_UL320_.jpg")</f>
        <v>#NAME?</v>
      </c>
      <c r="I398" t="s">
        <v>276</v>
      </c>
      <c r="J398">
        <v>16.600000000000001</v>
      </c>
      <c r="K398" s="4">
        <v>0.1074</v>
      </c>
      <c r="L398">
        <v>4.4000000000000004</v>
      </c>
      <c r="M398">
        <v>374</v>
      </c>
      <c r="O398" t="s">
        <v>25</v>
      </c>
      <c r="P398" t="s">
        <v>277</v>
      </c>
      <c r="Q398" t="s">
        <v>897</v>
      </c>
    </row>
    <row r="399" spans="1:17" ht="15.5" x14ac:dyDescent="0.35">
      <c r="A399"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399" s="3" t="str">
        <f>HYPERLINK("https://edmondsonsupply.com/products/john-boy-usa-face-guard", "https://edmondsonsupply.com/products/john-boy-usa-face-guard")</f>
        <v>https://edmondsonsupply.com/products/john-boy-usa-face-guard</v>
      </c>
      <c r="C399" t="s">
        <v>1058</v>
      </c>
      <c r="D399" t="s">
        <v>1037</v>
      </c>
      <c r="E399" s="3" t="str">
        <f>HYPERLINK("https://www.amazon.com/JOHN-Fishing-Face-Guard-Multi-Weather/dp/B0842ZW5XH/ref=sr_1_9?keywords=John+Boy+USA+Face+Guard&amp;qid=1695173253&amp;sr=8-9", "https://www.amazon.com/JOHN-Fishing-Face-Guard-Multi-Weather/dp/B0842ZW5XH/ref=sr_1_9?keywords=John+Boy+USA+Face+Guard&amp;qid=1695173253&amp;sr=8-9")</f>
        <v>https://www.amazon.com/JOHN-Fishing-Face-Guard-Multi-Weather/dp/B0842ZW5XH/ref=sr_1_9?keywords=John+Boy+USA+Face+Guard&amp;qid=1695173253&amp;sr=8-9</v>
      </c>
      <c r="F399" t="s">
        <v>1059</v>
      </c>
      <c r="G399" t="e">
        <f ca="1">_xludf.IMAGE("https://edmondsonsupply.com/cdn/shop/products/USA-FG.jpg?v=1633030715")</f>
        <v>#NAME?</v>
      </c>
      <c r="H399" t="e">
        <f ca="1">_xludf.IMAGE("https://m.media-amazon.com/images/I/71yhaPSba3L._AC_UL320_.jpg")</f>
        <v>#NAME?</v>
      </c>
      <c r="I399" t="s">
        <v>1039</v>
      </c>
      <c r="J399">
        <v>11</v>
      </c>
      <c r="K399" s="4">
        <v>0.1</v>
      </c>
      <c r="L399">
        <v>4</v>
      </c>
      <c r="M399">
        <v>13</v>
      </c>
      <c r="O399" t="s">
        <v>25</v>
      </c>
      <c r="P399" t="s">
        <v>138</v>
      </c>
      <c r="Q399" t="s">
        <v>1060</v>
      </c>
    </row>
    <row r="400" spans="1:17" ht="15.5" x14ac:dyDescent="0.35">
      <c r="A400"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00" s="3" t="str">
        <f>HYPERLINK("https://edmondsonsupply.com/products/john-boy-neon-reflect-y-face-guard", "https://edmondsonsupply.com/products/john-boy-neon-reflect-y-face-guard")</f>
        <v>https://edmondsonsupply.com/products/john-boy-neon-reflect-y-face-guard</v>
      </c>
      <c r="C400" t="s">
        <v>1061</v>
      </c>
      <c r="D400" t="s">
        <v>1062</v>
      </c>
      <c r="E400" s="3" t="str">
        <f>HYPERLINK("https://www.amazon.com/JOHN-BOY-Hunting-Face-Guard/dp/B0843N839C/ref=sr_1_3?keywords=John+Boy+NEON+REFLECT-Y+Face+Guard&amp;qid=1695173256&amp;sr=8-3", "https://www.amazon.com/JOHN-BOY-Hunting-Face-Guard/dp/B0843N839C/ref=sr_1_3?keywords=John+Boy+NEON+REFLECT-Y+Face+Guard&amp;qid=1695173256&amp;sr=8-3")</f>
        <v>https://www.amazon.com/JOHN-BOY-Hunting-Face-Guard/dp/B0843N839C/ref=sr_1_3?keywords=John+Boy+NEON+REFLECT-Y+Face+Guard&amp;qid=1695173256&amp;sr=8-3</v>
      </c>
      <c r="F400" t="s">
        <v>1063</v>
      </c>
      <c r="G400" t="e">
        <f ca="1">_xludf.IMAGE("https://edmondsonsupply.com/cdn/shop/products/NEONREFLECT-Y.jpg?v=1633030720")</f>
        <v>#NAME?</v>
      </c>
      <c r="H400" t="e">
        <f ca="1">_xludf.IMAGE("https://m.media-amazon.com/images/I/71WilqyMaZL._AC_UL320_.jpg")</f>
        <v>#NAME?</v>
      </c>
      <c r="I400" t="s">
        <v>1039</v>
      </c>
      <c r="J400">
        <v>11</v>
      </c>
      <c r="K400" s="4">
        <v>0.1</v>
      </c>
      <c r="L400">
        <v>4</v>
      </c>
      <c r="M400">
        <v>8</v>
      </c>
      <c r="O400" t="s">
        <v>25</v>
      </c>
      <c r="P400" t="s">
        <v>138</v>
      </c>
      <c r="Q400" t="s">
        <v>1064</v>
      </c>
    </row>
    <row r="401" spans="1:17" ht="15.5" x14ac:dyDescent="0.35">
      <c r="A401"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01" s="3" t="str">
        <f>HYPERLINK("https://edmondsonsupply.com/products/john-boy-grass-face-guard", "https://edmondsonsupply.com/products/john-boy-grass-face-guard")</f>
        <v>https://edmondsonsupply.com/products/john-boy-grass-face-guard</v>
      </c>
      <c r="C401" t="s">
        <v>1065</v>
      </c>
      <c r="D401" t="s">
        <v>1037</v>
      </c>
      <c r="E401" s="3" t="str">
        <f>HYPERLINK("https://www.amazon.com/JOHN-Fishing-Face-Guard-Multi-Weather/dp/B0842ZW5XH/ref=sr_1_10?keywords=John+Boy+GRASS+Face+Guard&amp;qid=1695173247&amp;sr=8-10", "https://www.amazon.com/JOHN-Fishing-Face-Guard-Multi-Weather/dp/B0842ZW5XH/ref=sr_1_10?keywords=John+Boy+GRASS+Face+Guard&amp;qid=1695173247&amp;sr=8-10")</f>
        <v>https://www.amazon.com/JOHN-Fishing-Face-Guard-Multi-Weather/dp/B0842ZW5XH/ref=sr_1_10?keywords=John+Boy+GRASS+Face+Guard&amp;qid=1695173247&amp;sr=8-10</v>
      </c>
      <c r="F401" t="s">
        <v>1059</v>
      </c>
      <c r="G401" t="e">
        <f ca="1">_xludf.IMAGE("https://edmondsonsupply.com/cdn/shop/products/grassMUcopy_900x_3dbec2e2-1ea2-46e7-b806-f05c0b3108b5.jpg?v=1633030897")</f>
        <v>#NAME?</v>
      </c>
      <c r="H401" t="e">
        <f ca="1">_xludf.IMAGE("https://m.media-amazon.com/images/I/71yhaPSba3L._AC_UL320_.jpg")</f>
        <v>#NAME?</v>
      </c>
      <c r="I401" t="s">
        <v>1039</v>
      </c>
      <c r="J401">
        <v>11</v>
      </c>
      <c r="K401" s="4">
        <v>0.1</v>
      </c>
      <c r="L401">
        <v>4</v>
      </c>
      <c r="M401">
        <v>13</v>
      </c>
      <c r="O401" t="s">
        <v>25</v>
      </c>
      <c r="P401" t="s">
        <v>138</v>
      </c>
      <c r="Q401" t="s">
        <v>1066</v>
      </c>
    </row>
    <row r="402" spans="1:17" ht="15.5" x14ac:dyDescent="0.35">
      <c r="A402"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02" s="3" t="str">
        <f>HYPERLINK("https://edmondsonsupply.com/products/john-boy-grass-face-guard", "https://edmondsonsupply.com/products/john-boy-grass-face-guard")</f>
        <v>https://edmondsonsupply.com/products/john-boy-grass-face-guard</v>
      </c>
      <c r="C402" t="s">
        <v>1065</v>
      </c>
      <c r="D402" t="s">
        <v>1062</v>
      </c>
      <c r="E402" s="3" t="str">
        <f>HYPERLINK("https://www.amazon.com/JOHN-BOY-Hunting-Face-Guard/dp/B0843N839C/ref=sr_1_1?keywords=John+Boy+GRASS+Face+Guard&amp;qid=1695173247&amp;sr=8-1", "https://www.amazon.com/JOHN-BOY-Hunting-Face-Guard/dp/B0843N839C/ref=sr_1_1?keywords=John+Boy+GRASS+Face+Guard&amp;qid=1695173247&amp;sr=8-1")</f>
        <v>https://www.amazon.com/JOHN-BOY-Hunting-Face-Guard/dp/B0843N839C/ref=sr_1_1?keywords=John+Boy+GRASS+Face+Guard&amp;qid=1695173247&amp;sr=8-1</v>
      </c>
      <c r="F402" t="s">
        <v>1063</v>
      </c>
      <c r="G402" t="e">
        <f ca="1">_xludf.IMAGE("https://edmondsonsupply.com/cdn/shop/products/grassMUcopy_900x_3dbec2e2-1ea2-46e7-b806-f05c0b3108b5.jpg?v=1633030897")</f>
        <v>#NAME?</v>
      </c>
      <c r="H402" t="e">
        <f ca="1">_xludf.IMAGE("https://m.media-amazon.com/images/I/71WilqyMaZL._AC_UL320_.jpg")</f>
        <v>#NAME?</v>
      </c>
      <c r="I402" t="s">
        <v>1039</v>
      </c>
      <c r="J402">
        <v>11</v>
      </c>
      <c r="K402" s="4">
        <v>0.1</v>
      </c>
      <c r="L402">
        <v>4</v>
      </c>
      <c r="M402">
        <v>8</v>
      </c>
      <c r="O402" t="s">
        <v>25</v>
      </c>
      <c r="P402" t="s">
        <v>138</v>
      </c>
      <c r="Q402" t="s">
        <v>1066</v>
      </c>
    </row>
    <row r="403" spans="1:17" ht="15.5" x14ac:dyDescent="0.35">
      <c r="A403" s="3" t="str">
        <f>HYPERLINK("https://edmondsonsupply.com/collections/personal-protection-safety/products/john-boy-clown-face-guard", "https://edmondsonsupply.com/collections/personal-protection-safety/products/john-boy-clown-face-guard")</f>
        <v>https://edmondsonsupply.com/collections/personal-protection-safety/products/john-boy-clown-face-guard</v>
      </c>
      <c r="B403" s="3" t="str">
        <f>HYPERLINK("https://edmondsonsupply.com/products/john-boy-clown-face-guard", "https://edmondsonsupply.com/products/john-boy-clown-face-guard")</f>
        <v>https://edmondsonsupply.com/products/john-boy-clown-face-guard</v>
      </c>
      <c r="C403" t="s">
        <v>1067</v>
      </c>
      <c r="D403" t="s">
        <v>1068</v>
      </c>
      <c r="E403" s="3" t="str">
        <f>HYPERLINK("https://www.amazon.com/JOHN-BOY-Construction-Face-Guard/dp/B0842ZPQ65/ref=sr_1_fkmr0_2?keywords=John+Boy+CLOWN+Face+Guard&amp;qid=1695173250&amp;sr=8-2-fkmr0", "https://www.amazon.com/JOHN-BOY-Construction-Face-Guard/dp/B0842ZPQ65/ref=sr_1_fkmr0_2?keywords=John+Boy+CLOWN+Face+Guard&amp;qid=1695173250&amp;sr=8-2-fkmr0")</f>
        <v>https://www.amazon.com/JOHN-BOY-Construction-Face-Guard/dp/B0842ZPQ65/ref=sr_1_fkmr0_2?keywords=John+Boy+CLOWN+Face+Guard&amp;qid=1695173250&amp;sr=8-2-fkmr0</v>
      </c>
      <c r="F403" t="s">
        <v>1069</v>
      </c>
      <c r="G403" t="e">
        <f ca="1">_xludf.IMAGE("https://edmondsonsupply.com/cdn/shop/products/Clown-Mcopy_900x_f7b1e6b4-ce8b-4741-b718-1676b06d35ea.jpg?v=1633030901")</f>
        <v>#NAME?</v>
      </c>
      <c r="H403" t="e">
        <f ca="1">_xludf.IMAGE("https://m.media-amazon.com/images/I/81msE1HdXVL._AC_UL320_.jpg")</f>
        <v>#NAME?</v>
      </c>
      <c r="I403" t="s">
        <v>1039</v>
      </c>
      <c r="J403">
        <v>10.95</v>
      </c>
      <c r="K403" s="4">
        <v>9.5000000000000001E-2</v>
      </c>
      <c r="L403">
        <v>3.5</v>
      </c>
      <c r="M403">
        <v>14</v>
      </c>
      <c r="O403" t="s">
        <v>25</v>
      </c>
      <c r="P403" t="s">
        <v>138</v>
      </c>
      <c r="Q403" t="s">
        <v>1070</v>
      </c>
    </row>
    <row r="404" spans="1:17" ht="15.5" x14ac:dyDescent="0.35">
      <c r="A404"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04" s="3" t="str">
        <f>HYPERLINK("https://edmondsonsupply.com/products/john-boy-grass-face-guard", "https://edmondsonsupply.com/products/john-boy-grass-face-guard")</f>
        <v>https://edmondsonsupply.com/products/john-boy-grass-face-guard</v>
      </c>
      <c r="C404" t="s">
        <v>1065</v>
      </c>
      <c r="D404" t="s">
        <v>1071</v>
      </c>
      <c r="E404" s="3" t="str">
        <f>HYPERLINK("https://www.amazon.com/JOHN-BOY-Construction-Face-Guard/dp/B08HSN8R2R/ref=sr_1_2?keywords=John+Boy+GRASS+Face+Guard&amp;qid=1695173247&amp;sr=8-2", "https://www.amazon.com/JOHN-BOY-Construction-Face-Guard/dp/B08HSN8R2R/ref=sr_1_2?keywords=John+Boy+GRASS+Face+Guard&amp;qid=1695173247&amp;sr=8-2")</f>
        <v>https://www.amazon.com/JOHN-BOY-Construction-Face-Guard/dp/B08HSN8R2R/ref=sr_1_2?keywords=John+Boy+GRASS+Face+Guard&amp;qid=1695173247&amp;sr=8-2</v>
      </c>
      <c r="F404" t="s">
        <v>1072</v>
      </c>
      <c r="G404" t="e">
        <f ca="1">_xludf.IMAGE("https://edmondsonsupply.com/cdn/shop/products/grassMUcopy_900x_3dbec2e2-1ea2-46e7-b806-f05c0b3108b5.jpg?v=1633030897")</f>
        <v>#NAME?</v>
      </c>
      <c r="H404" t="e">
        <f ca="1">_xludf.IMAGE("https://m.media-amazon.com/images/I/71P3C66uWOL._AC_UL320_.jpg")</f>
        <v>#NAME?</v>
      </c>
      <c r="I404" t="s">
        <v>1039</v>
      </c>
      <c r="J404">
        <v>10.95</v>
      </c>
      <c r="K404" s="4">
        <v>9.5000000000000001E-2</v>
      </c>
      <c r="L404">
        <v>5</v>
      </c>
      <c r="M404">
        <v>7</v>
      </c>
      <c r="O404" t="s">
        <v>25</v>
      </c>
      <c r="P404" t="s">
        <v>138</v>
      </c>
      <c r="Q404" t="s">
        <v>1066</v>
      </c>
    </row>
    <row r="405" spans="1:17" ht="15.5" x14ac:dyDescent="0.35">
      <c r="A405"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405" s="3" t="str">
        <f>HYPERLINK("https://edmondsonsupply.com/products/john-boy-desert-face-guard", "https://edmondsonsupply.com/products/john-boy-desert-face-guard")</f>
        <v>https://edmondsonsupply.com/products/john-boy-desert-face-guard</v>
      </c>
      <c r="C405" t="s">
        <v>1041</v>
      </c>
      <c r="D405" t="s">
        <v>1073</v>
      </c>
      <c r="E405" s="3" t="str">
        <f>HYPERLINK("https://www.amazon.com/JOHN-BOY-Racing-Face-Guard/dp/B0842ZNDHF/ref=sr_1_8?keywords=John+Boy+DESERT+Face+Guard&amp;qid=1695173255&amp;sr=8-8", "https://www.amazon.com/JOHN-BOY-Racing-Face-Guard/dp/B0842ZNDHF/ref=sr_1_8?keywords=John+Boy+DESERT+Face+Guard&amp;qid=1695173255&amp;sr=8-8")</f>
        <v>https://www.amazon.com/JOHN-BOY-Racing-Face-Guard/dp/B0842ZNDHF/ref=sr_1_8?keywords=John+Boy+DESERT+Face+Guard&amp;qid=1695173255&amp;sr=8-8</v>
      </c>
      <c r="F405" t="s">
        <v>1074</v>
      </c>
      <c r="G405" t="e">
        <f ca="1">_xludf.IMAGE("https://edmondsonsupply.com/cdn/shop/products/Desertcopy.jpg?v=1633030720")</f>
        <v>#NAME?</v>
      </c>
      <c r="H405" t="e">
        <f ca="1">_xludf.IMAGE("https://m.media-amazon.com/images/I/71biFN0HaSL._AC_UL320_.jpg")</f>
        <v>#NAME?</v>
      </c>
      <c r="I405" t="s">
        <v>1039</v>
      </c>
      <c r="J405">
        <v>10.95</v>
      </c>
      <c r="K405" s="4">
        <v>9.5000000000000001E-2</v>
      </c>
      <c r="L405">
        <v>4.4000000000000004</v>
      </c>
      <c r="M405">
        <v>3</v>
      </c>
      <c r="O405" t="s">
        <v>25</v>
      </c>
      <c r="P405" t="s">
        <v>138</v>
      </c>
      <c r="Q405" t="s">
        <v>1043</v>
      </c>
    </row>
    <row r="406" spans="1:17" ht="15.5" x14ac:dyDescent="0.35">
      <c r="A406"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406" s="3" t="str">
        <f>HYPERLINK("https://edmondsonsupply.com/products/john-boy-desert-face-guard", "https://edmondsonsupply.com/products/john-boy-desert-face-guard")</f>
        <v>https://edmondsonsupply.com/products/john-boy-desert-face-guard</v>
      </c>
      <c r="C406" t="s">
        <v>1041</v>
      </c>
      <c r="D406" t="s">
        <v>1075</v>
      </c>
      <c r="E406" s="3" t="str">
        <f>HYPERLINK("https://www.amazon.com/JOHN-Fitness-Face-Guard-Multi-Purpose/dp/B0842ZBT1T/ref=sr_1_7?keywords=John+Boy+DESERT+Face+Guard&amp;qid=1695173255&amp;sr=8-7", "https://www.amazon.com/JOHN-Fitness-Face-Guard-Multi-Purpose/dp/B0842ZBT1T/ref=sr_1_7?keywords=John+Boy+DESERT+Face+Guard&amp;qid=1695173255&amp;sr=8-7")</f>
        <v>https://www.amazon.com/JOHN-Fitness-Face-Guard-Multi-Purpose/dp/B0842ZBT1T/ref=sr_1_7?keywords=John+Boy+DESERT+Face+Guard&amp;qid=1695173255&amp;sr=8-7</v>
      </c>
      <c r="F406" t="s">
        <v>1076</v>
      </c>
      <c r="G406" t="e">
        <f ca="1">_xludf.IMAGE("https://edmondsonsupply.com/cdn/shop/products/Desertcopy.jpg?v=1633030720")</f>
        <v>#NAME?</v>
      </c>
      <c r="H406" t="e">
        <f ca="1">_xludf.IMAGE("https://m.media-amazon.com/images/I/71xfqXGH9sL._AC_UL320_.jpg")</f>
        <v>#NAME?</v>
      </c>
      <c r="I406" t="s">
        <v>1039</v>
      </c>
      <c r="J406">
        <v>10.95</v>
      </c>
      <c r="K406" s="4">
        <v>9.5000000000000001E-2</v>
      </c>
      <c r="L406">
        <v>3.3</v>
      </c>
      <c r="M406">
        <v>22</v>
      </c>
      <c r="O406" t="s">
        <v>25</v>
      </c>
      <c r="P406" t="s">
        <v>138</v>
      </c>
      <c r="Q406" t="s">
        <v>1043</v>
      </c>
    </row>
    <row r="407" spans="1:17" ht="15.5" x14ac:dyDescent="0.35">
      <c r="A407"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407" s="3" t="str">
        <f>HYPERLINK("https://edmondsonsupply.com/products/john-boy-desert-face-guard", "https://edmondsonsupply.com/products/john-boy-desert-face-guard")</f>
        <v>https://edmondsonsupply.com/products/john-boy-desert-face-guard</v>
      </c>
      <c r="C407" t="s">
        <v>1041</v>
      </c>
      <c r="D407" t="s">
        <v>1077</v>
      </c>
      <c r="E407" s="3" t="str">
        <f>HYPERLINK("https://www.amazon.com/JOHN-BOY-Construction-Face-Guard/dp/B0896948Y4/ref=sr_1_6?keywords=John+Boy+DESERT+Face+Guard&amp;qid=1695173255&amp;sr=8-6", "https://www.amazon.com/JOHN-BOY-Construction-Face-Guard/dp/B0896948Y4/ref=sr_1_6?keywords=John+Boy+DESERT+Face+Guard&amp;qid=1695173255&amp;sr=8-6")</f>
        <v>https://www.amazon.com/JOHN-BOY-Construction-Face-Guard/dp/B0896948Y4/ref=sr_1_6?keywords=John+Boy+DESERT+Face+Guard&amp;qid=1695173255&amp;sr=8-6</v>
      </c>
      <c r="F407" t="s">
        <v>1078</v>
      </c>
      <c r="G407" t="e">
        <f ca="1">_xludf.IMAGE("https://edmondsonsupply.com/cdn/shop/products/Desertcopy.jpg?v=1633030720")</f>
        <v>#NAME?</v>
      </c>
      <c r="H407" t="e">
        <f ca="1">_xludf.IMAGE("https://m.media-amazon.com/images/I/61RzEW8naZL._AC_UL320_.jpg")</f>
        <v>#NAME?</v>
      </c>
      <c r="I407" t="s">
        <v>1039</v>
      </c>
      <c r="J407">
        <v>10.95</v>
      </c>
      <c r="K407" s="4">
        <v>9.5000000000000001E-2</v>
      </c>
      <c r="L407">
        <v>4.2</v>
      </c>
      <c r="M407">
        <v>7</v>
      </c>
      <c r="O407" t="s">
        <v>25</v>
      </c>
      <c r="P407" t="s">
        <v>138</v>
      </c>
      <c r="Q407" t="s">
        <v>1043</v>
      </c>
    </row>
    <row r="408" spans="1:17" ht="15.5" x14ac:dyDescent="0.35">
      <c r="A408"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408" s="3" t="str">
        <f>HYPERLINK("https://edmondsonsupply.com/products/john-boy-desert-face-guard", "https://edmondsonsupply.com/products/john-boy-desert-face-guard")</f>
        <v>https://edmondsonsupply.com/products/john-boy-desert-face-guard</v>
      </c>
      <c r="C408" t="s">
        <v>1041</v>
      </c>
      <c r="D408" t="s">
        <v>1068</v>
      </c>
      <c r="E408" s="3" t="str">
        <f>HYPERLINK("https://www.amazon.com/JOHN-BOY-Construction-Face-Guard/dp/B0842ZPQ65/ref=sr_1_5?keywords=John+Boy+DESERT+Face+Guard&amp;qid=1695173255&amp;sr=8-5", "https://www.amazon.com/JOHN-BOY-Construction-Face-Guard/dp/B0842ZPQ65/ref=sr_1_5?keywords=John+Boy+DESERT+Face+Guard&amp;qid=1695173255&amp;sr=8-5")</f>
        <v>https://www.amazon.com/JOHN-BOY-Construction-Face-Guard/dp/B0842ZPQ65/ref=sr_1_5?keywords=John+Boy+DESERT+Face+Guard&amp;qid=1695173255&amp;sr=8-5</v>
      </c>
      <c r="F408" t="s">
        <v>1069</v>
      </c>
      <c r="G408" t="e">
        <f ca="1">_xludf.IMAGE("https://edmondsonsupply.com/cdn/shop/products/Desertcopy.jpg?v=1633030720")</f>
        <v>#NAME?</v>
      </c>
      <c r="H408" t="e">
        <f ca="1">_xludf.IMAGE("https://m.media-amazon.com/images/I/81msE1HdXVL._AC_UL320_.jpg")</f>
        <v>#NAME?</v>
      </c>
      <c r="I408" t="s">
        <v>1039</v>
      </c>
      <c r="J408">
        <v>10.95</v>
      </c>
      <c r="K408" s="4">
        <v>9.5000000000000001E-2</v>
      </c>
      <c r="L408">
        <v>3.5</v>
      </c>
      <c r="M408">
        <v>14</v>
      </c>
      <c r="O408" t="s">
        <v>25</v>
      </c>
      <c r="P408" t="s">
        <v>138</v>
      </c>
      <c r="Q408" t="s">
        <v>1043</v>
      </c>
    </row>
    <row r="409" spans="1:17" ht="15.5" x14ac:dyDescent="0.35">
      <c r="A409"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409" s="3" t="str">
        <f>HYPERLINK("https://edmondsonsupply.com/products/john-boy-desert-face-guard", "https://edmondsonsupply.com/products/john-boy-desert-face-guard")</f>
        <v>https://edmondsonsupply.com/products/john-boy-desert-face-guard</v>
      </c>
      <c r="C409" t="s">
        <v>1041</v>
      </c>
      <c r="D409" t="s">
        <v>1077</v>
      </c>
      <c r="E409" s="3" t="str">
        <f>HYPERLINK("https://www.amazon.com/JOHN-BOY-Construction-Face-Guard/dp/B08HSN8R2R/ref=sr_1_3?keywords=John+Boy+DESERT+Face+Guard&amp;qid=1695173255&amp;sr=8-3", "https://www.amazon.com/JOHN-BOY-Construction-Face-Guard/dp/B08HSN8R2R/ref=sr_1_3?keywords=John+Boy+DESERT+Face+Guard&amp;qid=1695173255&amp;sr=8-3")</f>
        <v>https://www.amazon.com/JOHN-BOY-Construction-Face-Guard/dp/B08HSN8R2R/ref=sr_1_3?keywords=John+Boy+DESERT+Face+Guard&amp;qid=1695173255&amp;sr=8-3</v>
      </c>
      <c r="F409" t="s">
        <v>1072</v>
      </c>
      <c r="G409" t="e">
        <f ca="1">_xludf.IMAGE("https://edmondsonsupply.com/cdn/shop/products/Desertcopy.jpg?v=1633030720")</f>
        <v>#NAME?</v>
      </c>
      <c r="H409" t="e">
        <f ca="1">_xludf.IMAGE("https://m.media-amazon.com/images/I/71P3C66uWOL._AC_UL320_.jpg")</f>
        <v>#NAME?</v>
      </c>
      <c r="I409" t="s">
        <v>1039</v>
      </c>
      <c r="J409">
        <v>10.95</v>
      </c>
      <c r="K409" s="4">
        <v>9.5000000000000001E-2</v>
      </c>
      <c r="L409">
        <v>5</v>
      </c>
      <c r="M409">
        <v>7</v>
      </c>
      <c r="O409" t="s">
        <v>25</v>
      </c>
      <c r="P409" t="s">
        <v>138</v>
      </c>
      <c r="Q409" t="s">
        <v>1043</v>
      </c>
    </row>
    <row r="410" spans="1:17" ht="15.5" x14ac:dyDescent="0.35">
      <c r="A410"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10" s="3" t="str">
        <f>HYPERLINK("https://edmondsonsupply.com/products/john-boy-patriot-face-guard", "https://edmondsonsupply.com/products/john-boy-patriot-face-guard")</f>
        <v>https://edmondsonsupply.com/products/john-boy-patriot-face-guard</v>
      </c>
      <c r="C410" t="s">
        <v>1079</v>
      </c>
      <c r="D410" t="s">
        <v>1080</v>
      </c>
      <c r="E410" s="3" t="str">
        <f>HYPERLINK("https://www.amazon.com/JOHN-Fitness-Face-Guard-Multi-Purpose/dp/B0842ZBT1T/ref=sr_1_10?keywords=John+Boy+PATRIOT+Face+Guard&amp;qid=1695173254&amp;sr=8-10", "https://www.amazon.com/JOHN-Fitness-Face-Guard-Multi-Purpose/dp/B0842ZBT1T/ref=sr_1_10?keywords=John+Boy+PATRIOT+Face+Guard&amp;qid=1695173254&amp;sr=8-10")</f>
        <v>https://www.amazon.com/JOHN-Fitness-Face-Guard-Multi-Purpose/dp/B0842ZBT1T/ref=sr_1_10?keywords=John+Boy+PATRIOT+Face+Guard&amp;qid=1695173254&amp;sr=8-10</v>
      </c>
      <c r="F410" t="s">
        <v>1076</v>
      </c>
      <c r="G410" t="e">
        <f ca="1">_xludf.IMAGE("https://edmondsonsupply.com/cdn/shop/products/Patriotcopy.jpg?v=1633030716")</f>
        <v>#NAME?</v>
      </c>
      <c r="H410" t="e">
        <f ca="1">_xludf.IMAGE("https://m.media-amazon.com/images/I/71xfqXGH9sL._AC_UL320_.jpg")</f>
        <v>#NAME?</v>
      </c>
      <c r="I410" t="s">
        <v>1039</v>
      </c>
      <c r="J410">
        <v>10.95</v>
      </c>
      <c r="K410" s="4">
        <v>9.5000000000000001E-2</v>
      </c>
      <c r="L410">
        <v>3.3</v>
      </c>
      <c r="M410">
        <v>22</v>
      </c>
      <c r="O410" t="s">
        <v>25</v>
      </c>
      <c r="P410" t="s">
        <v>138</v>
      </c>
      <c r="Q410" t="s">
        <v>1081</v>
      </c>
    </row>
    <row r="411" spans="1:17" ht="15.5" x14ac:dyDescent="0.35">
      <c r="A411"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11" s="3" t="str">
        <f>HYPERLINK("https://edmondsonsupply.com/products/john-boy-patriot-face-guard", "https://edmondsonsupply.com/products/john-boy-patriot-face-guard")</f>
        <v>https://edmondsonsupply.com/products/john-boy-patriot-face-guard</v>
      </c>
      <c r="C411" t="s">
        <v>1079</v>
      </c>
      <c r="D411" t="s">
        <v>1071</v>
      </c>
      <c r="E411" s="3" t="str">
        <f>HYPERLINK("https://www.amazon.com/JOHN-BOY-Construction-Face-Guard/dp/B0843N88ML/ref=sr_1_7?keywords=John+Boy+PATRIOT+Face+Guard&amp;qid=1695173254&amp;sr=8-7", "https://www.amazon.com/JOHN-BOY-Construction-Face-Guard/dp/B0843N88ML/ref=sr_1_7?keywords=John+Boy+PATRIOT+Face+Guard&amp;qid=1695173254&amp;sr=8-7")</f>
        <v>https://www.amazon.com/JOHN-BOY-Construction-Face-Guard/dp/B0843N88ML/ref=sr_1_7?keywords=John+Boy+PATRIOT+Face+Guard&amp;qid=1695173254&amp;sr=8-7</v>
      </c>
      <c r="F411" t="s">
        <v>1082</v>
      </c>
      <c r="G411" t="e">
        <f ca="1">_xludf.IMAGE("https://edmondsonsupply.com/cdn/shop/products/Patriotcopy.jpg?v=1633030716")</f>
        <v>#NAME?</v>
      </c>
      <c r="H411" t="e">
        <f ca="1">_xludf.IMAGE("https://m.media-amazon.com/images/I/81tbpnaNPLL._AC_UL320_.jpg")</f>
        <v>#NAME?</v>
      </c>
      <c r="I411" t="s">
        <v>1039</v>
      </c>
      <c r="J411">
        <v>10.95</v>
      </c>
      <c r="K411" s="4">
        <v>9.5000000000000001E-2</v>
      </c>
      <c r="L411">
        <v>4.0999999999999996</v>
      </c>
      <c r="M411">
        <v>15</v>
      </c>
      <c r="O411" t="s">
        <v>25</v>
      </c>
      <c r="P411" t="s">
        <v>138</v>
      </c>
      <c r="Q411" t="s">
        <v>1081</v>
      </c>
    </row>
    <row r="412" spans="1:17" ht="15.5" x14ac:dyDescent="0.35">
      <c r="A412"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12" s="3" t="str">
        <f>HYPERLINK("https://edmondsonsupply.com/products/john-boy-patriot-face-guard", "https://edmondsonsupply.com/products/john-boy-patriot-face-guard")</f>
        <v>https://edmondsonsupply.com/products/john-boy-patriot-face-guard</v>
      </c>
      <c r="C412" t="s">
        <v>1079</v>
      </c>
      <c r="D412" t="s">
        <v>1083</v>
      </c>
      <c r="E412" s="3" t="str">
        <f>HYPERLINK("https://www.amazon.com/JOHN-BOY-Racing-Face-Guard/dp/B0842ZNDHF/ref=sr_1_5?keywords=John+Boy+PATRIOT+Face+Guard&amp;qid=1695173254&amp;sr=8-5", "https://www.amazon.com/JOHN-BOY-Racing-Face-Guard/dp/B0842ZNDHF/ref=sr_1_5?keywords=John+Boy+PATRIOT+Face+Guard&amp;qid=1695173254&amp;sr=8-5")</f>
        <v>https://www.amazon.com/JOHN-BOY-Racing-Face-Guard/dp/B0842ZNDHF/ref=sr_1_5?keywords=John+Boy+PATRIOT+Face+Guard&amp;qid=1695173254&amp;sr=8-5</v>
      </c>
      <c r="F412" t="s">
        <v>1074</v>
      </c>
      <c r="G412" t="e">
        <f ca="1">_xludf.IMAGE("https://edmondsonsupply.com/cdn/shop/products/Patriotcopy.jpg?v=1633030716")</f>
        <v>#NAME?</v>
      </c>
      <c r="H412" t="e">
        <f ca="1">_xludf.IMAGE("https://m.media-amazon.com/images/I/71biFN0HaSL._AC_UL320_.jpg")</f>
        <v>#NAME?</v>
      </c>
      <c r="I412" t="s">
        <v>1039</v>
      </c>
      <c r="J412">
        <v>10.95</v>
      </c>
      <c r="K412" s="4">
        <v>9.5000000000000001E-2</v>
      </c>
      <c r="L412">
        <v>4.4000000000000004</v>
      </c>
      <c r="M412">
        <v>3</v>
      </c>
      <c r="O412" t="s">
        <v>25</v>
      </c>
      <c r="P412" t="s">
        <v>138</v>
      </c>
      <c r="Q412" t="s">
        <v>1081</v>
      </c>
    </row>
    <row r="413" spans="1:17" ht="15.5" x14ac:dyDescent="0.35">
      <c r="A413"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13" s="3" t="str">
        <f>HYPERLINK("https://edmondsonsupply.com/products/john-boy-patriot-face-guard", "https://edmondsonsupply.com/products/john-boy-patriot-face-guard")</f>
        <v>https://edmondsonsupply.com/products/john-boy-patriot-face-guard</v>
      </c>
      <c r="C413" t="s">
        <v>1079</v>
      </c>
      <c r="D413" t="s">
        <v>1068</v>
      </c>
      <c r="E413" s="3" t="str">
        <f>HYPERLINK("https://www.amazon.com/JOHN-BOY-Construction-Face-Guard/dp/B0842ZPQ65/ref=sr_1_4?keywords=John+Boy+PATRIOT+Face+Guard&amp;qid=1695173254&amp;sr=8-4", "https://www.amazon.com/JOHN-BOY-Construction-Face-Guard/dp/B0842ZPQ65/ref=sr_1_4?keywords=John+Boy+PATRIOT+Face+Guard&amp;qid=1695173254&amp;sr=8-4")</f>
        <v>https://www.amazon.com/JOHN-BOY-Construction-Face-Guard/dp/B0842ZPQ65/ref=sr_1_4?keywords=John+Boy+PATRIOT+Face+Guard&amp;qid=1695173254&amp;sr=8-4</v>
      </c>
      <c r="F413" t="s">
        <v>1069</v>
      </c>
      <c r="G413" t="e">
        <f ca="1">_xludf.IMAGE("https://edmondsonsupply.com/cdn/shop/products/Patriotcopy.jpg?v=1633030716")</f>
        <v>#NAME?</v>
      </c>
      <c r="H413" t="e">
        <f ca="1">_xludf.IMAGE("https://m.media-amazon.com/images/I/81msE1HdXVL._AC_UL320_.jpg")</f>
        <v>#NAME?</v>
      </c>
      <c r="I413" t="s">
        <v>1039</v>
      </c>
      <c r="J413">
        <v>10.95</v>
      </c>
      <c r="K413" s="4">
        <v>9.5000000000000001E-2</v>
      </c>
      <c r="L413">
        <v>3.5</v>
      </c>
      <c r="M413">
        <v>14</v>
      </c>
      <c r="O413" t="s">
        <v>25</v>
      </c>
      <c r="P413" t="s">
        <v>138</v>
      </c>
      <c r="Q413" t="s">
        <v>1081</v>
      </c>
    </row>
    <row r="414" spans="1:17" ht="15.5" x14ac:dyDescent="0.35">
      <c r="A414"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14" s="3" t="str">
        <f>HYPERLINK("https://edmondsonsupply.com/products/john-boy-usa-face-guard", "https://edmondsonsupply.com/products/john-boy-usa-face-guard")</f>
        <v>https://edmondsonsupply.com/products/john-boy-usa-face-guard</v>
      </c>
      <c r="C414" t="s">
        <v>1058</v>
      </c>
      <c r="D414" t="s">
        <v>1071</v>
      </c>
      <c r="E414" s="3" t="str">
        <f>HYPERLINK("https://www.amazon.com/JOHN-BOY-Construction-Face-Guard/dp/B07TSPYCSZ/ref=sr_1_7?keywords=John+Boy+USA+Face+Guard&amp;qid=1695173253&amp;sr=8-7", "https://www.amazon.com/JOHN-BOY-Construction-Face-Guard/dp/B07TSPYCSZ/ref=sr_1_7?keywords=John+Boy+USA+Face+Guard&amp;qid=1695173253&amp;sr=8-7")</f>
        <v>https://www.amazon.com/JOHN-BOY-Construction-Face-Guard/dp/B07TSPYCSZ/ref=sr_1_7?keywords=John+Boy+USA+Face+Guard&amp;qid=1695173253&amp;sr=8-7</v>
      </c>
      <c r="F414" t="s">
        <v>1084</v>
      </c>
      <c r="G414" t="e">
        <f ca="1">_xludf.IMAGE("https://edmondsonsupply.com/cdn/shop/products/USA-FG.jpg?v=1633030715")</f>
        <v>#NAME?</v>
      </c>
      <c r="H414" t="e">
        <f ca="1">_xludf.IMAGE("https://m.media-amazon.com/images/I/71P8x8a2EsL._AC_UL320_.jpg")</f>
        <v>#NAME?</v>
      </c>
      <c r="I414" t="s">
        <v>1039</v>
      </c>
      <c r="J414">
        <v>10.95</v>
      </c>
      <c r="K414" s="4">
        <v>9.5000000000000001E-2</v>
      </c>
      <c r="L414">
        <v>4</v>
      </c>
      <c r="M414">
        <v>4</v>
      </c>
      <c r="O414" t="s">
        <v>25</v>
      </c>
      <c r="P414" t="s">
        <v>138</v>
      </c>
      <c r="Q414" t="s">
        <v>1060</v>
      </c>
    </row>
    <row r="415" spans="1:17" ht="15.5" x14ac:dyDescent="0.35">
      <c r="A415"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15" s="3" t="str">
        <f>HYPERLINK("https://edmondsonsupply.com/products/john-boy-patriot-face-guard", "https://edmondsonsupply.com/products/john-boy-patriot-face-guard")</f>
        <v>https://edmondsonsupply.com/products/john-boy-patriot-face-guard</v>
      </c>
      <c r="C415" t="s">
        <v>1079</v>
      </c>
      <c r="D415" t="s">
        <v>1071</v>
      </c>
      <c r="E415" s="3" t="str">
        <f>HYPERLINK("https://www.amazon.com/JOHN-BOY-Construction-Face-Guard/dp/B08HSKXW6L/ref=sr_1_2?keywords=John+Boy+PATRIOT+Face+Guard&amp;qid=1695173254&amp;sr=8-2", "https://www.amazon.com/JOHN-BOY-Construction-Face-Guard/dp/B08HSKXW6L/ref=sr_1_2?keywords=John+Boy+PATRIOT+Face+Guard&amp;qid=1695173254&amp;sr=8-2")</f>
        <v>https://www.amazon.com/JOHN-BOY-Construction-Face-Guard/dp/B08HSKXW6L/ref=sr_1_2?keywords=John+Boy+PATRIOT+Face+Guard&amp;qid=1695173254&amp;sr=8-2</v>
      </c>
      <c r="F415" t="s">
        <v>1085</v>
      </c>
      <c r="G415" t="e">
        <f ca="1">_xludf.IMAGE("https://edmondsonsupply.com/cdn/shop/products/Patriotcopy.jpg?v=1633030716")</f>
        <v>#NAME?</v>
      </c>
      <c r="H415" t="e">
        <f ca="1">_xludf.IMAGE("https://m.media-amazon.com/images/I/71x8Q+NujjL._AC_UL320_.jpg")</f>
        <v>#NAME?</v>
      </c>
      <c r="I415" t="s">
        <v>1039</v>
      </c>
      <c r="J415">
        <v>10.95</v>
      </c>
      <c r="K415" s="4">
        <v>9.5000000000000001E-2</v>
      </c>
      <c r="L415">
        <v>5</v>
      </c>
      <c r="M415">
        <v>7</v>
      </c>
      <c r="O415" t="s">
        <v>25</v>
      </c>
      <c r="P415" t="s">
        <v>138</v>
      </c>
      <c r="Q415" t="s">
        <v>1081</v>
      </c>
    </row>
    <row r="416" spans="1:17" ht="15.5" x14ac:dyDescent="0.35">
      <c r="A416" s="3" t="str">
        <f>HYPERLINK("https://edmondsonsupply.com/collections/personal-protection-safety/products/john-boy-mexico-face-guard", "https://edmondsonsupply.com/collections/personal-protection-safety/products/john-boy-mexico-face-guard")</f>
        <v>https://edmondsonsupply.com/collections/personal-protection-safety/products/john-boy-mexico-face-guard</v>
      </c>
      <c r="B416" s="3" t="str">
        <f>HYPERLINK("https://edmondsonsupply.com/products/john-boy-mexico-face-guard", "https://edmondsonsupply.com/products/john-boy-mexico-face-guard")</f>
        <v>https://edmondsonsupply.com/products/john-boy-mexico-face-guard</v>
      </c>
      <c r="C416" t="s">
        <v>1086</v>
      </c>
      <c r="D416" t="s">
        <v>1080</v>
      </c>
      <c r="E416" s="3" t="str">
        <f>HYPERLINK("https://www.amazon.com/JOHN-Fitness-Face-Guard-Multi-Purpose/dp/B0842ZBT1T/ref=sr_1_10?keywords=John+Boy+MEXICO+Face+Guard&amp;qid=1695173253&amp;sr=8-10", "https://www.amazon.com/JOHN-Fitness-Face-Guard-Multi-Purpose/dp/B0842ZBT1T/ref=sr_1_10?keywords=John+Boy+MEXICO+Face+Guard&amp;qid=1695173253&amp;sr=8-10")</f>
        <v>https://www.amazon.com/JOHN-Fitness-Face-Guard-Multi-Purpose/dp/B0842ZBT1T/ref=sr_1_10?keywords=John+Boy+MEXICO+Face+Guard&amp;qid=1695173253&amp;sr=8-10</v>
      </c>
      <c r="F416" t="s">
        <v>1076</v>
      </c>
      <c r="G416" t="e">
        <f ca="1">_xludf.IMAGE("https://edmondsonsupply.com/cdn/shop/products/Mexicocopy.jpg?v=1633030719")</f>
        <v>#NAME?</v>
      </c>
      <c r="H416" t="e">
        <f ca="1">_xludf.IMAGE("https://m.media-amazon.com/images/I/71xfqXGH9sL._AC_UL320_.jpg")</f>
        <v>#NAME?</v>
      </c>
      <c r="I416" t="s">
        <v>1039</v>
      </c>
      <c r="J416">
        <v>10.95</v>
      </c>
      <c r="K416" s="4">
        <v>9.5000000000000001E-2</v>
      </c>
      <c r="L416">
        <v>3.3</v>
      </c>
      <c r="M416">
        <v>22</v>
      </c>
      <c r="O416" t="s">
        <v>25</v>
      </c>
      <c r="P416" t="s">
        <v>138</v>
      </c>
      <c r="Q416" t="s">
        <v>1087</v>
      </c>
    </row>
    <row r="417" spans="1:17" ht="15.5" x14ac:dyDescent="0.35">
      <c r="A417" s="3" t="str">
        <f>HYPERLINK("https://edmondsonsupply.com/collections/personal-protection-safety/products/john-boy-mexico-face-guard", "https://edmondsonsupply.com/collections/personal-protection-safety/products/john-boy-mexico-face-guard")</f>
        <v>https://edmondsonsupply.com/collections/personal-protection-safety/products/john-boy-mexico-face-guard</v>
      </c>
      <c r="B417" s="3" t="str">
        <f>HYPERLINK("https://edmondsonsupply.com/products/john-boy-mexico-face-guard", "https://edmondsonsupply.com/products/john-boy-mexico-face-guard")</f>
        <v>https://edmondsonsupply.com/products/john-boy-mexico-face-guard</v>
      </c>
      <c r="C417" t="s">
        <v>1086</v>
      </c>
      <c r="D417" t="s">
        <v>1071</v>
      </c>
      <c r="E417" s="3" t="str">
        <f>HYPERLINK("https://www.amazon.com/JOHN-BOY-Construction-Face-Guard/dp/B0843N88ML/ref=sr_1_4?keywords=John+Boy+MEXICO+Face+Guard&amp;qid=1695173253&amp;sr=8-4", "https://www.amazon.com/JOHN-BOY-Construction-Face-Guard/dp/B0843N88ML/ref=sr_1_4?keywords=John+Boy+MEXICO+Face+Guard&amp;qid=1695173253&amp;sr=8-4")</f>
        <v>https://www.amazon.com/JOHN-BOY-Construction-Face-Guard/dp/B0843N88ML/ref=sr_1_4?keywords=John+Boy+MEXICO+Face+Guard&amp;qid=1695173253&amp;sr=8-4</v>
      </c>
      <c r="F417" t="s">
        <v>1082</v>
      </c>
      <c r="G417" t="e">
        <f ca="1">_xludf.IMAGE("https://edmondsonsupply.com/cdn/shop/products/Mexicocopy.jpg?v=1633030719")</f>
        <v>#NAME?</v>
      </c>
      <c r="H417" t="e">
        <f ca="1">_xludf.IMAGE("https://m.media-amazon.com/images/I/81tbpnaNPLL._AC_UL320_.jpg")</f>
        <v>#NAME?</v>
      </c>
      <c r="I417" t="s">
        <v>1039</v>
      </c>
      <c r="J417">
        <v>10.95</v>
      </c>
      <c r="K417" s="4">
        <v>9.5000000000000001E-2</v>
      </c>
      <c r="L417">
        <v>4.0999999999999996</v>
      </c>
      <c r="M417">
        <v>15</v>
      </c>
      <c r="O417" t="s">
        <v>25</v>
      </c>
      <c r="P417" t="s">
        <v>138</v>
      </c>
      <c r="Q417" t="s">
        <v>1087</v>
      </c>
    </row>
    <row r="418" spans="1:17" ht="15.5" x14ac:dyDescent="0.35">
      <c r="A418" s="3" t="str">
        <f>HYPERLINK("https://edmondsonsupply.com/collections/personal-protection-safety/products/john-boy-mexico-face-guard", "https://edmondsonsupply.com/collections/personal-protection-safety/products/john-boy-mexico-face-guard")</f>
        <v>https://edmondsonsupply.com/collections/personal-protection-safety/products/john-boy-mexico-face-guard</v>
      </c>
      <c r="B418" s="3" t="str">
        <f>HYPERLINK("https://edmondsonsupply.com/products/john-boy-mexico-face-guard", "https://edmondsonsupply.com/products/john-boy-mexico-face-guard")</f>
        <v>https://edmondsonsupply.com/products/john-boy-mexico-face-guard</v>
      </c>
      <c r="C418" t="s">
        <v>1086</v>
      </c>
      <c r="D418" t="s">
        <v>1071</v>
      </c>
      <c r="E418" s="3" t="str">
        <f>HYPERLINK("https://www.amazon.com/JOHN-BOY-Construction-Face-Guard/dp/B0842ZF56G/ref=sr_1_3?keywords=John+Boy+MEXICO+Face+Guard&amp;qid=1695173253&amp;sr=8-3", "https://www.amazon.com/JOHN-BOY-Construction-Face-Guard/dp/B0842ZF56G/ref=sr_1_3?keywords=John+Boy+MEXICO+Face+Guard&amp;qid=1695173253&amp;sr=8-3")</f>
        <v>https://www.amazon.com/JOHN-BOY-Construction-Face-Guard/dp/B0842ZF56G/ref=sr_1_3?keywords=John+Boy+MEXICO+Face+Guard&amp;qid=1695173253&amp;sr=8-3</v>
      </c>
      <c r="F418" t="s">
        <v>1088</v>
      </c>
      <c r="G418" t="e">
        <f ca="1">_xludf.IMAGE("https://edmondsonsupply.com/cdn/shop/products/Mexicocopy.jpg?v=1633030719")</f>
        <v>#NAME?</v>
      </c>
      <c r="H418" t="e">
        <f ca="1">_xludf.IMAGE("https://m.media-amazon.com/images/I/71D0wruMXOL._AC_UL320_.jpg")</f>
        <v>#NAME?</v>
      </c>
      <c r="I418" t="s">
        <v>1039</v>
      </c>
      <c r="J418">
        <v>10.95</v>
      </c>
      <c r="K418" s="4">
        <v>9.5000000000000001E-2</v>
      </c>
      <c r="L418">
        <v>3.5</v>
      </c>
      <c r="M418">
        <v>7</v>
      </c>
      <c r="O418" t="s">
        <v>25</v>
      </c>
      <c r="P418" t="s">
        <v>138</v>
      </c>
      <c r="Q418" t="s">
        <v>1087</v>
      </c>
    </row>
    <row r="419" spans="1:17" ht="15.5" x14ac:dyDescent="0.35">
      <c r="A419" s="3" t="str">
        <f>HYPERLINK("https://edmondsonsupply.com/collections/personal-protection-safety/products/john-boy-mexico-face-guard", "https://edmondsonsupply.com/collections/personal-protection-safety/products/john-boy-mexico-face-guard")</f>
        <v>https://edmondsonsupply.com/collections/personal-protection-safety/products/john-boy-mexico-face-guard</v>
      </c>
      <c r="B419" s="3" t="str">
        <f>HYPERLINK("https://edmondsonsupply.com/products/john-boy-mexico-face-guard", "https://edmondsonsupply.com/products/john-boy-mexico-face-guard")</f>
        <v>https://edmondsonsupply.com/products/john-boy-mexico-face-guard</v>
      </c>
      <c r="C419" t="s">
        <v>1086</v>
      </c>
      <c r="D419" t="s">
        <v>1077</v>
      </c>
      <c r="E419" s="3" t="str">
        <f>HYPERLINK("https://www.amazon.com/JOHN-BOY-Construction-Face-Guard/dp/B0896948Y4/ref=sr_1_2?keywords=John+Boy+MEXICO+Face+Guard&amp;qid=1695173253&amp;sr=8-2", "https://www.amazon.com/JOHN-BOY-Construction-Face-Guard/dp/B0896948Y4/ref=sr_1_2?keywords=John+Boy+MEXICO+Face+Guard&amp;qid=1695173253&amp;sr=8-2")</f>
        <v>https://www.amazon.com/JOHN-BOY-Construction-Face-Guard/dp/B0896948Y4/ref=sr_1_2?keywords=John+Boy+MEXICO+Face+Guard&amp;qid=1695173253&amp;sr=8-2</v>
      </c>
      <c r="F419" t="s">
        <v>1078</v>
      </c>
      <c r="G419" t="e">
        <f ca="1">_xludf.IMAGE("https://edmondsonsupply.com/cdn/shop/products/Mexicocopy.jpg?v=1633030719")</f>
        <v>#NAME?</v>
      </c>
      <c r="H419" t="e">
        <f ca="1">_xludf.IMAGE("https://m.media-amazon.com/images/I/61RzEW8naZL._AC_UL320_.jpg")</f>
        <v>#NAME?</v>
      </c>
      <c r="I419" t="s">
        <v>1039</v>
      </c>
      <c r="J419">
        <v>10.95</v>
      </c>
      <c r="K419" s="4">
        <v>9.5000000000000001E-2</v>
      </c>
      <c r="L419">
        <v>4.2</v>
      </c>
      <c r="M419">
        <v>7</v>
      </c>
      <c r="O419" t="s">
        <v>25</v>
      </c>
      <c r="P419" t="s">
        <v>138</v>
      </c>
      <c r="Q419" t="s">
        <v>1087</v>
      </c>
    </row>
    <row r="420" spans="1:17" ht="15.5" x14ac:dyDescent="0.35">
      <c r="A420" s="3" t="str">
        <f>HYPERLINK("https://edmondsonsupply.com/collections/personal-protection-safety/products/john-boy-mexico-face-guard", "https://edmondsonsupply.com/collections/personal-protection-safety/products/john-boy-mexico-face-guard")</f>
        <v>https://edmondsonsupply.com/collections/personal-protection-safety/products/john-boy-mexico-face-guard</v>
      </c>
      <c r="B420" s="3" t="str">
        <f>HYPERLINK("https://edmondsonsupply.com/products/john-boy-mexico-face-guard", "https://edmondsonsupply.com/products/john-boy-mexico-face-guard")</f>
        <v>https://edmondsonsupply.com/products/john-boy-mexico-face-guard</v>
      </c>
      <c r="C420" t="s">
        <v>1086</v>
      </c>
      <c r="D420" t="s">
        <v>1083</v>
      </c>
      <c r="E420" s="3" t="str">
        <f>HYPERLINK("https://www.amazon.com/JOHN-BOY-Racing-Face-Guard/dp/B0842ZNDHF/ref=sr_1_1?keywords=John+Boy+MEXICO+Face+Guard&amp;qid=1695173253&amp;sr=8-1", "https://www.amazon.com/JOHN-BOY-Racing-Face-Guard/dp/B0842ZNDHF/ref=sr_1_1?keywords=John+Boy+MEXICO+Face+Guard&amp;qid=1695173253&amp;sr=8-1")</f>
        <v>https://www.amazon.com/JOHN-BOY-Racing-Face-Guard/dp/B0842ZNDHF/ref=sr_1_1?keywords=John+Boy+MEXICO+Face+Guard&amp;qid=1695173253&amp;sr=8-1</v>
      </c>
      <c r="F420" t="s">
        <v>1074</v>
      </c>
      <c r="G420" t="e">
        <f ca="1">_xludf.IMAGE("https://edmondsonsupply.com/cdn/shop/products/Mexicocopy.jpg?v=1633030719")</f>
        <v>#NAME?</v>
      </c>
      <c r="H420" t="e">
        <f ca="1">_xludf.IMAGE("https://m.media-amazon.com/images/I/71biFN0HaSL._AC_UL320_.jpg")</f>
        <v>#NAME?</v>
      </c>
      <c r="I420" t="s">
        <v>1039</v>
      </c>
      <c r="J420">
        <v>10.95</v>
      </c>
      <c r="K420" s="4">
        <v>9.5000000000000001E-2</v>
      </c>
      <c r="L420">
        <v>4.4000000000000004</v>
      </c>
      <c r="M420">
        <v>3</v>
      </c>
      <c r="O420" t="s">
        <v>25</v>
      </c>
      <c r="P420" t="s">
        <v>138</v>
      </c>
      <c r="Q420" t="s">
        <v>1087</v>
      </c>
    </row>
    <row r="421" spans="1:17" ht="15.5" x14ac:dyDescent="0.35">
      <c r="A421"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21" s="3" t="str">
        <f>HYPERLINK("https://edmondsonsupply.com/products/john-boy-grass-face-guard", "https://edmondsonsupply.com/products/john-boy-grass-face-guard")</f>
        <v>https://edmondsonsupply.com/products/john-boy-grass-face-guard</v>
      </c>
      <c r="C421" t="s">
        <v>1065</v>
      </c>
      <c r="D421" t="s">
        <v>1071</v>
      </c>
      <c r="E421" s="3" t="str">
        <f>HYPERLINK("https://www.amazon.com/JOHN-BOY-Construction-Face-Guard/dp/B0843N88ML/ref=sr_1_9?keywords=John+Boy+GRASS+Face+Guard&amp;qid=1695173247&amp;sr=8-9", "https://www.amazon.com/JOHN-BOY-Construction-Face-Guard/dp/B0843N88ML/ref=sr_1_9?keywords=John+Boy+GRASS+Face+Guard&amp;qid=1695173247&amp;sr=8-9")</f>
        <v>https://www.amazon.com/JOHN-BOY-Construction-Face-Guard/dp/B0843N88ML/ref=sr_1_9?keywords=John+Boy+GRASS+Face+Guard&amp;qid=1695173247&amp;sr=8-9</v>
      </c>
      <c r="F421" t="s">
        <v>1082</v>
      </c>
      <c r="G421" t="e">
        <f ca="1">_xludf.IMAGE("https://edmondsonsupply.com/cdn/shop/products/grassMUcopy_900x_3dbec2e2-1ea2-46e7-b806-f05c0b3108b5.jpg?v=1633030897")</f>
        <v>#NAME?</v>
      </c>
      <c r="H421" t="e">
        <f ca="1">_xludf.IMAGE("https://m.media-amazon.com/images/I/81tbpnaNPLL._AC_UL320_.jpg")</f>
        <v>#NAME?</v>
      </c>
      <c r="I421" t="s">
        <v>1039</v>
      </c>
      <c r="J421">
        <v>10.95</v>
      </c>
      <c r="K421" s="4">
        <v>9.5000000000000001E-2</v>
      </c>
      <c r="L421">
        <v>4.0999999999999996</v>
      </c>
      <c r="M421">
        <v>15</v>
      </c>
      <c r="O421" t="s">
        <v>25</v>
      </c>
      <c r="P421" t="s">
        <v>138</v>
      </c>
      <c r="Q421" t="s">
        <v>1066</v>
      </c>
    </row>
    <row r="422" spans="1:17" ht="15.5" x14ac:dyDescent="0.35">
      <c r="A422"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22" s="3" t="str">
        <f>HYPERLINK("https://edmondsonsupply.com/products/john-boy-grass-face-guard", "https://edmondsonsupply.com/products/john-boy-grass-face-guard")</f>
        <v>https://edmondsonsupply.com/products/john-boy-grass-face-guard</v>
      </c>
      <c r="C422" t="s">
        <v>1065</v>
      </c>
      <c r="D422" t="s">
        <v>1083</v>
      </c>
      <c r="E422" s="3" t="str">
        <f>HYPERLINK("https://www.amazon.com/JOHN-BOY-Racing-Face-Guard/dp/B0842ZNDHF/ref=sr_1_8?keywords=John+Boy+GRASS+Face+Guard&amp;qid=1695173247&amp;sr=8-8", "https://www.amazon.com/JOHN-BOY-Racing-Face-Guard/dp/B0842ZNDHF/ref=sr_1_8?keywords=John+Boy+GRASS+Face+Guard&amp;qid=1695173247&amp;sr=8-8")</f>
        <v>https://www.amazon.com/JOHN-BOY-Racing-Face-Guard/dp/B0842ZNDHF/ref=sr_1_8?keywords=John+Boy+GRASS+Face+Guard&amp;qid=1695173247&amp;sr=8-8</v>
      </c>
      <c r="F422" t="s">
        <v>1074</v>
      </c>
      <c r="G422" t="e">
        <f ca="1">_xludf.IMAGE("https://edmondsonsupply.com/cdn/shop/products/grassMUcopy_900x_3dbec2e2-1ea2-46e7-b806-f05c0b3108b5.jpg?v=1633030897")</f>
        <v>#NAME?</v>
      </c>
      <c r="H422" t="e">
        <f ca="1">_xludf.IMAGE("https://m.media-amazon.com/images/I/71biFN0HaSL._AC_UL320_.jpg")</f>
        <v>#NAME?</v>
      </c>
      <c r="I422" t="s">
        <v>1039</v>
      </c>
      <c r="J422">
        <v>10.95</v>
      </c>
      <c r="K422" s="4">
        <v>9.5000000000000001E-2</v>
      </c>
      <c r="L422">
        <v>4.4000000000000004</v>
      </c>
      <c r="M422">
        <v>3</v>
      </c>
      <c r="O422" t="s">
        <v>25</v>
      </c>
      <c r="P422" t="s">
        <v>138</v>
      </c>
      <c r="Q422" t="s">
        <v>1066</v>
      </c>
    </row>
    <row r="423" spans="1:17" ht="15.5" x14ac:dyDescent="0.35">
      <c r="A423"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23" s="3" t="str">
        <f>HYPERLINK("https://edmondsonsupply.com/products/john-boy-grass-face-guard", "https://edmondsonsupply.com/products/john-boy-grass-face-guard")</f>
        <v>https://edmondsonsupply.com/products/john-boy-grass-face-guard</v>
      </c>
      <c r="C423" t="s">
        <v>1065</v>
      </c>
      <c r="D423" t="s">
        <v>1068</v>
      </c>
      <c r="E423" s="3" t="str">
        <f>HYPERLINK("https://www.amazon.com/JOHN-BOY-Construction-Face-Guard/dp/B0842ZPQ65/ref=sr_1_6?keywords=John+Boy+GRASS+Face+Guard&amp;qid=1695173247&amp;sr=8-6", "https://www.amazon.com/JOHN-BOY-Construction-Face-Guard/dp/B0842ZPQ65/ref=sr_1_6?keywords=John+Boy+GRASS+Face+Guard&amp;qid=1695173247&amp;sr=8-6")</f>
        <v>https://www.amazon.com/JOHN-BOY-Construction-Face-Guard/dp/B0842ZPQ65/ref=sr_1_6?keywords=John+Boy+GRASS+Face+Guard&amp;qid=1695173247&amp;sr=8-6</v>
      </c>
      <c r="F423" t="s">
        <v>1069</v>
      </c>
      <c r="G423" t="e">
        <f ca="1">_xludf.IMAGE("https://edmondsonsupply.com/cdn/shop/products/grassMUcopy_900x_3dbec2e2-1ea2-46e7-b806-f05c0b3108b5.jpg?v=1633030897")</f>
        <v>#NAME?</v>
      </c>
      <c r="H423" t="e">
        <f ca="1">_xludf.IMAGE("https://m.media-amazon.com/images/I/81msE1HdXVL._AC_UL320_.jpg")</f>
        <v>#NAME?</v>
      </c>
      <c r="I423" t="s">
        <v>1039</v>
      </c>
      <c r="J423">
        <v>10.95</v>
      </c>
      <c r="K423" s="4">
        <v>9.5000000000000001E-2</v>
      </c>
      <c r="L423">
        <v>3.5</v>
      </c>
      <c r="M423">
        <v>14</v>
      </c>
      <c r="O423" t="s">
        <v>25</v>
      </c>
      <c r="P423" t="s">
        <v>138</v>
      </c>
      <c r="Q423" t="s">
        <v>1066</v>
      </c>
    </row>
    <row r="424" spans="1:17" ht="15.5" x14ac:dyDescent="0.35">
      <c r="A424"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424" s="3" t="str">
        <f>HYPERLINK("https://edmondsonsupply.com/products/john-boy-desert-face-guard", "https://edmondsonsupply.com/products/john-boy-desert-face-guard")</f>
        <v>https://edmondsonsupply.com/products/john-boy-desert-face-guard</v>
      </c>
      <c r="C424" t="s">
        <v>1041</v>
      </c>
      <c r="D424" t="s">
        <v>1077</v>
      </c>
      <c r="E424" s="3" t="str">
        <f>HYPERLINK("https://www.amazon.com/JOHN-BOY-Construction-Face-Guard/dp/B07TSPYCSZ/ref=sr_1_9?keywords=John+Boy+DESERT+Face+Guard&amp;qid=1695173255&amp;sr=8-9", "https://www.amazon.com/JOHN-BOY-Construction-Face-Guard/dp/B07TSPYCSZ/ref=sr_1_9?keywords=John+Boy+DESERT+Face+Guard&amp;qid=1695173255&amp;sr=8-9")</f>
        <v>https://www.amazon.com/JOHN-BOY-Construction-Face-Guard/dp/B07TSPYCSZ/ref=sr_1_9?keywords=John+Boy+DESERT+Face+Guard&amp;qid=1695173255&amp;sr=8-9</v>
      </c>
      <c r="F424" t="s">
        <v>1084</v>
      </c>
      <c r="G424" t="e">
        <f ca="1">_xludf.IMAGE("https://edmondsonsupply.com/cdn/shop/products/Desertcopy.jpg?v=1633030720")</f>
        <v>#NAME?</v>
      </c>
      <c r="H424" t="e">
        <f ca="1">_xludf.IMAGE("https://m.media-amazon.com/images/I/71P8x8a2EsL._AC_UL320_.jpg")</f>
        <v>#NAME?</v>
      </c>
      <c r="I424" t="s">
        <v>1039</v>
      </c>
      <c r="J424">
        <v>10.95</v>
      </c>
      <c r="K424" s="4">
        <v>9.5000000000000001E-2</v>
      </c>
      <c r="L424">
        <v>4</v>
      </c>
      <c r="M424">
        <v>4</v>
      </c>
      <c r="O424" t="s">
        <v>25</v>
      </c>
      <c r="P424" t="s">
        <v>138</v>
      </c>
      <c r="Q424" t="s">
        <v>1043</v>
      </c>
    </row>
    <row r="425" spans="1:17" ht="15.5" x14ac:dyDescent="0.35">
      <c r="A425" s="3" t="str">
        <f>HYPERLINK("https://edmondsonsupply.com/collections/personal-protection-safety/products/john-boy-clown-face-guard", "https://edmondsonsupply.com/collections/personal-protection-safety/products/john-boy-clown-face-guard")</f>
        <v>https://edmondsonsupply.com/collections/personal-protection-safety/products/john-boy-clown-face-guard</v>
      </c>
      <c r="B425" s="3" t="str">
        <f>HYPERLINK("https://edmondsonsupply.com/products/john-boy-clown-face-guard", "https://edmondsonsupply.com/products/john-boy-clown-face-guard")</f>
        <v>https://edmondsonsupply.com/products/john-boy-clown-face-guard</v>
      </c>
      <c r="C425" t="s">
        <v>1067</v>
      </c>
      <c r="D425" t="s">
        <v>1042</v>
      </c>
      <c r="E425" s="3" t="str">
        <f>HYPERLINK("https://www.amazon.com/JOHN-Fishing-Face-Guard-Multi-Weather/dp/B0842ZNMJ6/ref=sr_1_1?keywords=John+Boy+CLOWN+Face+Guard&amp;qid=1695173250&amp;sr=8-1", "https://www.amazon.com/JOHN-Fishing-Face-Guard-Multi-Weather/dp/B0842ZNMJ6/ref=sr_1_1?keywords=John+Boy+CLOWN+Face+Guard&amp;qid=1695173250&amp;sr=8-1")</f>
        <v>https://www.amazon.com/JOHN-Fishing-Face-Guard-Multi-Weather/dp/B0842ZNMJ6/ref=sr_1_1?keywords=John+Boy+CLOWN+Face+Guard&amp;qid=1695173250&amp;sr=8-1</v>
      </c>
      <c r="F425" t="s">
        <v>1089</v>
      </c>
      <c r="G425" t="e">
        <f ca="1">_xludf.IMAGE("https://edmondsonsupply.com/cdn/shop/products/Clown-Mcopy_900x_f7b1e6b4-ce8b-4741-b718-1676b06d35ea.jpg?v=1633030901")</f>
        <v>#NAME?</v>
      </c>
      <c r="H425" t="e">
        <f ca="1">_xludf.IMAGE("https://m.media-amazon.com/images/I/71N6E+BLd5L._AC_UL320_.jpg")</f>
        <v>#NAME?</v>
      </c>
      <c r="I425" t="s">
        <v>1039</v>
      </c>
      <c r="J425">
        <v>10.95</v>
      </c>
      <c r="K425" s="4">
        <v>9.5000000000000001E-2</v>
      </c>
      <c r="L425">
        <v>4</v>
      </c>
      <c r="M425">
        <v>13</v>
      </c>
      <c r="O425" t="s">
        <v>25</v>
      </c>
      <c r="P425" t="s">
        <v>138</v>
      </c>
      <c r="Q425" t="s">
        <v>1070</v>
      </c>
    </row>
    <row r="426" spans="1:17" ht="15.5" x14ac:dyDescent="0.35">
      <c r="A426" s="3" t="str">
        <f>HYPERLINK("https://edmondsonsupply.com/collections/personal-protection-safety/products/john-boy-clown-face-guard", "https://edmondsonsupply.com/collections/personal-protection-safety/products/john-boy-clown-face-guard")</f>
        <v>https://edmondsonsupply.com/collections/personal-protection-safety/products/john-boy-clown-face-guard</v>
      </c>
      <c r="B426" s="3" t="str">
        <f>HYPERLINK("https://edmondsonsupply.com/products/john-boy-clown-face-guard", "https://edmondsonsupply.com/products/john-boy-clown-face-guard")</f>
        <v>https://edmondsonsupply.com/products/john-boy-clown-face-guard</v>
      </c>
      <c r="C426" t="s">
        <v>1067</v>
      </c>
      <c r="D426" t="s">
        <v>1077</v>
      </c>
      <c r="E426" s="3" t="str">
        <f>HYPERLINK("https://www.amazon.com/JOHN-BOY-Construction-Face-Guard/dp/B0842ZF56G/ref=sr_1_4?keywords=John+Boy+CLOWN+Face+Guard&amp;qid=1695173250&amp;sr=8-4", "https://www.amazon.com/JOHN-BOY-Construction-Face-Guard/dp/B0842ZF56G/ref=sr_1_4?keywords=John+Boy+CLOWN+Face+Guard&amp;qid=1695173250&amp;sr=8-4")</f>
        <v>https://www.amazon.com/JOHN-BOY-Construction-Face-Guard/dp/B0842ZF56G/ref=sr_1_4?keywords=John+Boy+CLOWN+Face+Guard&amp;qid=1695173250&amp;sr=8-4</v>
      </c>
      <c r="F426" t="s">
        <v>1088</v>
      </c>
      <c r="G426" t="e">
        <f ca="1">_xludf.IMAGE("https://edmondsonsupply.com/cdn/shop/products/Clown-Mcopy_900x_f7b1e6b4-ce8b-4741-b718-1676b06d35ea.jpg?v=1633030901")</f>
        <v>#NAME?</v>
      </c>
      <c r="H426" t="e">
        <f ca="1">_xludf.IMAGE("https://m.media-amazon.com/images/I/71D0wruMXOL._AC_UL320_.jpg")</f>
        <v>#NAME?</v>
      </c>
      <c r="I426" t="s">
        <v>1039</v>
      </c>
      <c r="J426">
        <v>10.95</v>
      </c>
      <c r="K426" s="4">
        <v>9.5000000000000001E-2</v>
      </c>
      <c r="L426">
        <v>3.5</v>
      </c>
      <c r="M426">
        <v>7</v>
      </c>
      <c r="O426" t="s">
        <v>25</v>
      </c>
      <c r="P426" t="s">
        <v>138</v>
      </c>
      <c r="Q426" t="s">
        <v>1070</v>
      </c>
    </row>
    <row r="427" spans="1:17" ht="15.5" x14ac:dyDescent="0.35">
      <c r="A427"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27" s="3" t="str">
        <f>HYPERLINK("https://edmondsonsupply.com/products/john-boy-army-face-guard", "https://edmondsonsupply.com/products/john-boy-army-face-guard")</f>
        <v>https://edmondsonsupply.com/products/john-boy-army-face-guard</v>
      </c>
      <c r="C427" t="s">
        <v>1036</v>
      </c>
      <c r="D427" t="s">
        <v>1083</v>
      </c>
      <c r="E427" s="3" t="str">
        <f>HYPERLINK("https://www.amazon.com/JOHN-BOY-Racing-Face-Guard/dp/B0842ZNDHF/ref=sr_1_5?keywords=John+Boy+ARMY+Face+Guard&amp;qid=1695173251&amp;sr=8-5", "https://www.amazon.com/JOHN-BOY-Racing-Face-Guard/dp/B0842ZNDHF/ref=sr_1_5?keywords=John+Boy+ARMY+Face+Guard&amp;qid=1695173251&amp;sr=8-5")</f>
        <v>https://www.amazon.com/JOHN-BOY-Racing-Face-Guard/dp/B0842ZNDHF/ref=sr_1_5?keywords=John+Boy+ARMY+Face+Guard&amp;qid=1695173251&amp;sr=8-5</v>
      </c>
      <c r="F427" t="s">
        <v>1074</v>
      </c>
      <c r="G427" t="e">
        <f ca="1">_xludf.IMAGE("https://edmondsonsupply.com/cdn/shop/products/Armycopy.jpg?v=1633030720")</f>
        <v>#NAME?</v>
      </c>
      <c r="H427" t="e">
        <f ca="1">_xludf.IMAGE("https://m.media-amazon.com/images/I/71biFN0HaSL._AC_UL320_.jpg")</f>
        <v>#NAME?</v>
      </c>
      <c r="I427" t="s">
        <v>1039</v>
      </c>
      <c r="J427">
        <v>10.95</v>
      </c>
      <c r="K427" s="4">
        <v>9.5000000000000001E-2</v>
      </c>
      <c r="L427">
        <v>4.4000000000000004</v>
      </c>
      <c r="M427">
        <v>3</v>
      </c>
      <c r="O427" t="s">
        <v>25</v>
      </c>
      <c r="P427" t="s">
        <v>138</v>
      </c>
      <c r="Q427" t="s">
        <v>1040</v>
      </c>
    </row>
    <row r="428" spans="1:17" ht="15.5" x14ac:dyDescent="0.35">
      <c r="A428"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28" s="3" t="str">
        <f>HYPERLINK("https://edmondsonsupply.com/products/john-boy-usa-face-guard", "https://edmondsonsupply.com/products/john-boy-usa-face-guard")</f>
        <v>https://edmondsonsupply.com/products/john-boy-usa-face-guard</v>
      </c>
      <c r="C428" t="s">
        <v>1058</v>
      </c>
      <c r="D428" t="s">
        <v>1083</v>
      </c>
      <c r="E428" s="3" t="str">
        <f>HYPERLINK("https://www.amazon.com/JOHN-BOY-Racing-Face-Guard/dp/B0842ZNDHF/ref=sr_1_5?keywords=John+Boy+USA+Face+Guard&amp;qid=1695173253&amp;sr=8-5", "https://www.amazon.com/JOHN-BOY-Racing-Face-Guard/dp/B0842ZNDHF/ref=sr_1_5?keywords=John+Boy+USA+Face+Guard&amp;qid=1695173253&amp;sr=8-5")</f>
        <v>https://www.amazon.com/JOHN-BOY-Racing-Face-Guard/dp/B0842ZNDHF/ref=sr_1_5?keywords=John+Boy+USA+Face+Guard&amp;qid=1695173253&amp;sr=8-5</v>
      </c>
      <c r="F428" t="s">
        <v>1074</v>
      </c>
      <c r="G428" t="e">
        <f ca="1">_xludf.IMAGE("https://edmondsonsupply.com/cdn/shop/products/USA-FG.jpg?v=1633030715")</f>
        <v>#NAME?</v>
      </c>
      <c r="H428" t="e">
        <f ca="1">_xludf.IMAGE("https://m.media-amazon.com/images/I/71biFN0HaSL._AC_UL320_.jpg")</f>
        <v>#NAME?</v>
      </c>
      <c r="I428" t="s">
        <v>1039</v>
      </c>
      <c r="J428">
        <v>10.95</v>
      </c>
      <c r="K428" s="4">
        <v>9.5000000000000001E-2</v>
      </c>
      <c r="L428">
        <v>4.4000000000000004</v>
      </c>
      <c r="M428">
        <v>3</v>
      </c>
      <c r="O428" t="s">
        <v>25</v>
      </c>
      <c r="P428" t="s">
        <v>138</v>
      </c>
      <c r="Q428" t="s">
        <v>1060</v>
      </c>
    </row>
    <row r="429" spans="1:17" ht="15.5" x14ac:dyDescent="0.35">
      <c r="A429"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29" s="3" t="str">
        <f>HYPERLINK("https://edmondsonsupply.com/products/john-boy-usa-face-guard", "https://edmondsonsupply.com/products/john-boy-usa-face-guard")</f>
        <v>https://edmondsonsupply.com/products/john-boy-usa-face-guard</v>
      </c>
      <c r="C429" t="s">
        <v>1058</v>
      </c>
      <c r="D429" t="s">
        <v>1068</v>
      </c>
      <c r="E429" s="3" t="str">
        <f>HYPERLINK("https://www.amazon.com/JOHN-BOY-Construction-Face-Guard/dp/B0842ZPQ65/ref=sr_1_4?keywords=John+Boy+USA+Face+Guard&amp;qid=1695173253&amp;sr=8-4", "https://www.amazon.com/JOHN-BOY-Construction-Face-Guard/dp/B0842ZPQ65/ref=sr_1_4?keywords=John+Boy+USA+Face+Guard&amp;qid=1695173253&amp;sr=8-4")</f>
        <v>https://www.amazon.com/JOHN-BOY-Construction-Face-Guard/dp/B0842ZPQ65/ref=sr_1_4?keywords=John+Boy+USA+Face+Guard&amp;qid=1695173253&amp;sr=8-4</v>
      </c>
      <c r="F429" t="s">
        <v>1069</v>
      </c>
      <c r="G429" t="e">
        <f ca="1">_xludf.IMAGE("https://edmondsonsupply.com/cdn/shop/products/USA-FG.jpg?v=1633030715")</f>
        <v>#NAME?</v>
      </c>
      <c r="H429" t="e">
        <f ca="1">_xludf.IMAGE("https://m.media-amazon.com/images/I/81msE1HdXVL._AC_UL320_.jpg")</f>
        <v>#NAME?</v>
      </c>
      <c r="I429" t="s">
        <v>1039</v>
      </c>
      <c r="J429">
        <v>10.95</v>
      </c>
      <c r="K429" s="4">
        <v>9.5000000000000001E-2</v>
      </c>
      <c r="L429">
        <v>3.5</v>
      </c>
      <c r="M429">
        <v>14</v>
      </c>
      <c r="O429" t="s">
        <v>25</v>
      </c>
      <c r="P429" t="s">
        <v>138</v>
      </c>
      <c r="Q429" t="s">
        <v>1060</v>
      </c>
    </row>
    <row r="430" spans="1:17" ht="15.5" x14ac:dyDescent="0.35">
      <c r="A430"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30" s="3" t="str">
        <f>HYPERLINK("https://edmondsonsupply.com/products/john-boy-usa-face-guard", "https://edmondsonsupply.com/products/john-boy-usa-face-guard")</f>
        <v>https://edmondsonsupply.com/products/john-boy-usa-face-guard</v>
      </c>
      <c r="C430" t="s">
        <v>1058</v>
      </c>
      <c r="D430" t="s">
        <v>1077</v>
      </c>
      <c r="E430" s="3" t="str">
        <f>HYPERLINK("https://www.amazon.com/JOHN-BOY-Construction-Face-Guard/dp/B0896948Y4/ref=sr_1_3?keywords=John+Boy+USA+Face+Guard&amp;qid=1695173253&amp;sr=8-3", "https://www.amazon.com/JOHN-BOY-Construction-Face-Guard/dp/B0896948Y4/ref=sr_1_3?keywords=John+Boy+USA+Face+Guard&amp;qid=1695173253&amp;sr=8-3")</f>
        <v>https://www.amazon.com/JOHN-BOY-Construction-Face-Guard/dp/B0896948Y4/ref=sr_1_3?keywords=John+Boy+USA+Face+Guard&amp;qid=1695173253&amp;sr=8-3</v>
      </c>
      <c r="F430" t="s">
        <v>1078</v>
      </c>
      <c r="G430" t="e">
        <f ca="1">_xludf.IMAGE("https://edmondsonsupply.com/cdn/shop/products/USA-FG.jpg?v=1633030715")</f>
        <v>#NAME?</v>
      </c>
      <c r="H430" t="e">
        <f ca="1">_xludf.IMAGE("https://m.media-amazon.com/images/I/61RzEW8naZL._AC_UL320_.jpg")</f>
        <v>#NAME?</v>
      </c>
      <c r="I430" t="s">
        <v>1039</v>
      </c>
      <c r="J430">
        <v>10.95</v>
      </c>
      <c r="K430" s="4">
        <v>9.5000000000000001E-2</v>
      </c>
      <c r="L430">
        <v>4.2</v>
      </c>
      <c r="M430">
        <v>7</v>
      </c>
      <c r="O430" t="s">
        <v>25</v>
      </c>
      <c r="P430" t="s">
        <v>138</v>
      </c>
      <c r="Q430" t="s">
        <v>1060</v>
      </c>
    </row>
    <row r="431" spans="1:17" ht="15.5" x14ac:dyDescent="0.35">
      <c r="A431"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31" s="3" t="str">
        <f>HYPERLINK("https://edmondsonsupply.com/products/john-boy-usa-face-guard", "https://edmondsonsupply.com/products/john-boy-usa-face-guard")</f>
        <v>https://edmondsonsupply.com/products/john-boy-usa-face-guard</v>
      </c>
      <c r="C431" t="s">
        <v>1058</v>
      </c>
      <c r="D431" t="s">
        <v>1071</v>
      </c>
      <c r="E431" s="3" t="str">
        <f>HYPERLINK("https://www.amazon.com/JOHN-BOY-Construction-Face-Guard/dp/B08HSN8R2R/ref=sr_1_2?keywords=John+Boy+USA+Face+Guard&amp;qid=1695173253&amp;sr=8-2", "https://www.amazon.com/JOHN-BOY-Construction-Face-Guard/dp/B08HSN8R2R/ref=sr_1_2?keywords=John+Boy+USA+Face+Guard&amp;qid=1695173253&amp;sr=8-2")</f>
        <v>https://www.amazon.com/JOHN-BOY-Construction-Face-Guard/dp/B08HSN8R2R/ref=sr_1_2?keywords=John+Boy+USA+Face+Guard&amp;qid=1695173253&amp;sr=8-2</v>
      </c>
      <c r="F431" t="s">
        <v>1072</v>
      </c>
      <c r="G431" t="e">
        <f ca="1">_xludf.IMAGE("https://edmondsonsupply.com/cdn/shop/products/USA-FG.jpg?v=1633030715")</f>
        <v>#NAME?</v>
      </c>
      <c r="H431" t="e">
        <f ca="1">_xludf.IMAGE("https://m.media-amazon.com/images/I/71P3C66uWOL._AC_UL320_.jpg")</f>
        <v>#NAME?</v>
      </c>
      <c r="I431" t="s">
        <v>1039</v>
      </c>
      <c r="J431">
        <v>10.95</v>
      </c>
      <c r="K431" s="4">
        <v>9.5000000000000001E-2</v>
      </c>
      <c r="L431">
        <v>5</v>
      </c>
      <c r="M431">
        <v>7</v>
      </c>
      <c r="O431" t="s">
        <v>25</v>
      </c>
      <c r="P431" t="s">
        <v>138</v>
      </c>
      <c r="Q431" t="s">
        <v>1060</v>
      </c>
    </row>
    <row r="432" spans="1:17" ht="15.5" x14ac:dyDescent="0.35">
      <c r="A432"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32" s="3" t="str">
        <f>HYPERLINK("https://edmondsonsupply.com/products/john-boy-usa-face-guard", "https://edmondsonsupply.com/products/john-boy-usa-face-guard")</f>
        <v>https://edmondsonsupply.com/products/john-boy-usa-face-guard</v>
      </c>
      <c r="C432" t="s">
        <v>1058</v>
      </c>
      <c r="D432" t="s">
        <v>1071</v>
      </c>
      <c r="E432" s="3" t="str">
        <f>HYPERLINK("https://www.amazon.com/JOHN-BOY-Construction-Face-Guard/dp/B0842ZF56G/ref=sr_1_8?keywords=John+Boy+USA+Face+Guard&amp;qid=1695173253&amp;sr=8-8", "https://www.amazon.com/JOHN-BOY-Construction-Face-Guard/dp/B0842ZF56G/ref=sr_1_8?keywords=John+Boy+USA+Face+Guard&amp;qid=1695173253&amp;sr=8-8")</f>
        <v>https://www.amazon.com/JOHN-BOY-Construction-Face-Guard/dp/B0842ZF56G/ref=sr_1_8?keywords=John+Boy+USA+Face+Guard&amp;qid=1695173253&amp;sr=8-8</v>
      </c>
      <c r="F432" t="s">
        <v>1088</v>
      </c>
      <c r="G432" t="e">
        <f ca="1">_xludf.IMAGE("https://edmondsonsupply.com/cdn/shop/products/USA-FG.jpg?v=1633030715")</f>
        <v>#NAME?</v>
      </c>
      <c r="H432" t="e">
        <f ca="1">_xludf.IMAGE("https://m.media-amazon.com/images/I/71D0wruMXOL._AC_UL320_.jpg")</f>
        <v>#NAME?</v>
      </c>
      <c r="I432" t="s">
        <v>1039</v>
      </c>
      <c r="J432">
        <v>10.95</v>
      </c>
      <c r="K432" s="4">
        <v>9.5000000000000001E-2</v>
      </c>
      <c r="L432">
        <v>3.5</v>
      </c>
      <c r="M432">
        <v>7</v>
      </c>
      <c r="O432" t="s">
        <v>25</v>
      </c>
      <c r="P432" t="s">
        <v>138</v>
      </c>
      <c r="Q432" t="s">
        <v>1060</v>
      </c>
    </row>
    <row r="433" spans="1:17" ht="15.5" x14ac:dyDescent="0.35">
      <c r="A433"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33" s="3" t="str">
        <f>HYPERLINK("https://edmondsonsupply.com/products/john-boy-army-face-guard", "https://edmondsonsupply.com/products/john-boy-army-face-guard")</f>
        <v>https://edmondsonsupply.com/products/john-boy-army-face-guard</v>
      </c>
      <c r="C433" t="s">
        <v>1036</v>
      </c>
      <c r="D433" t="s">
        <v>1071</v>
      </c>
      <c r="E433" s="3" t="str">
        <f>HYPERLINK("https://www.amazon.com/JOHN-BOY-Construction-Face-Guard/dp/B0842ZF56G/ref=sr_1_10?keywords=John+Boy+ARMY+Face+Guard&amp;qid=1695173251&amp;sr=8-10", "https://www.amazon.com/JOHN-BOY-Construction-Face-Guard/dp/B0842ZF56G/ref=sr_1_10?keywords=John+Boy+ARMY+Face+Guard&amp;qid=1695173251&amp;sr=8-10")</f>
        <v>https://www.amazon.com/JOHN-BOY-Construction-Face-Guard/dp/B0842ZF56G/ref=sr_1_10?keywords=John+Boy+ARMY+Face+Guard&amp;qid=1695173251&amp;sr=8-10</v>
      </c>
      <c r="F433" t="s">
        <v>1088</v>
      </c>
      <c r="G433" t="e">
        <f ca="1">_xludf.IMAGE("https://edmondsonsupply.com/cdn/shop/products/Armycopy.jpg?v=1633030720")</f>
        <v>#NAME?</v>
      </c>
      <c r="H433" t="e">
        <f ca="1">_xludf.IMAGE("https://m.media-amazon.com/images/I/71D0wruMXOL._AC_UL320_.jpg")</f>
        <v>#NAME?</v>
      </c>
      <c r="I433" t="s">
        <v>1039</v>
      </c>
      <c r="J433">
        <v>10.95</v>
      </c>
      <c r="K433" s="4">
        <v>9.5000000000000001E-2</v>
      </c>
      <c r="L433">
        <v>3.5</v>
      </c>
      <c r="M433">
        <v>7</v>
      </c>
      <c r="O433" t="s">
        <v>25</v>
      </c>
      <c r="P433" t="s">
        <v>138</v>
      </c>
      <c r="Q433" t="s">
        <v>1040</v>
      </c>
    </row>
    <row r="434" spans="1:17" ht="15.5" x14ac:dyDescent="0.35">
      <c r="A434"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34" s="3" t="str">
        <f>HYPERLINK("https://edmondsonsupply.com/products/john-boy-army-face-guard", "https://edmondsonsupply.com/products/john-boy-army-face-guard")</f>
        <v>https://edmondsonsupply.com/products/john-boy-army-face-guard</v>
      </c>
      <c r="C434" t="s">
        <v>1036</v>
      </c>
      <c r="D434" t="s">
        <v>1071</v>
      </c>
      <c r="E434" s="3" t="str">
        <f>HYPERLINK("https://www.amazon.com/JOHN-BOY-Construction-Face-Guard/dp/B0843N88ML/ref=sr_1_7?keywords=John+Boy+ARMY+Face+Guard&amp;qid=1695173251&amp;sr=8-7", "https://www.amazon.com/JOHN-BOY-Construction-Face-Guard/dp/B0843N88ML/ref=sr_1_7?keywords=John+Boy+ARMY+Face+Guard&amp;qid=1695173251&amp;sr=8-7")</f>
        <v>https://www.amazon.com/JOHN-BOY-Construction-Face-Guard/dp/B0843N88ML/ref=sr_1_7?keywords=John+Boy+ARMY+Face+Guard&amp;qid=1695173251&amp;sr=8-7</v>
      </c>
      <c r="F434" t="s">
        <v>1082</v>
      </c>
      <c r="G434" t="e">
        <f ca="1">_xludf.IMAGE("https://edmondsonsupply.com/cdn/shop/products/Armycopy.jpg?v=1633030720")</f>
        <v>#NAME?</v>
      </c>
      <c r="H434" t="e">
        <f ca="1">_xludf.IMAGE("https://m.media-amazon.com/images/I/81tbpnaNPLL._AC_UL320_.jpg")</f>
        <v>#NAME?</v>
      </c>
      <c r="I434" t="s">
        <v>1039</v>
      </c>
      <c r="J434">
        <v>10.95</v>
      </c>
      <c r="K434" s="4">
        <v>9.5000000000000001E-2</v>
      </c>
      <c r="L434">
        <v>4.0999999999999996</v>
      </c>
      <c r="M434">
        <v>15</v>
      </c>
      <c r="O434" t="s">
        <v>25</v>
      </c>
      <c r="P434" t="s">
        <v>138</v>
      </c>
      <c r="Q434" t="s">
        <v>1040</v>
      </c>
    </row>
    <row r="435" spans="1:17" ht="15.5" x14ac:dyDescent="0.35">
      <c r="A435"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35" s="3" t="str">
        <f>HYPERLINK("https://edmondsonsupply.com/products/john-boy-army-face-guard", "https://edmondsonsupply.com/products/john-boy-army-face-guard")</f>
        <v>https://edmondsonsupply.com/products/john-boy-army-face-guard</v>
      </c>
      <c r="C435" t="s">
        <v>1036</v>
      </c>
      <c r="D435" t="s">
        <v>1071</v>
      </c>
      <c r="E435" s="3" t="str">
        <f>HYPERLINK("https://www.amazon.com/JOHN-BOY-Construction-Face-Guard/dp/B07TSPYCSZ/ref=sr_1_6?keywords=John+Boy+ARMY+Face+Guard&amp;qid=1695173251&amp;sr=8-6", "https://www.amazon.com/JOHN-BOY-Construction-Face-Guard/dp/B07TSPYCSZ/ref=sr_1_6?keywords=John+Boy+ARMY+Face+Guard&amp;qid=1695173251&amp;sr=8-6")</f>
        <v>https://www.amazon.com/JOHN-BOY-Construction-Face-Guard/dp/B07TSPYCSZ/ref=sr_1_6?keywords=John+Boy+ARMY+Face+Guard&amp;qid=1695173251&amp;sr=8-6</v>
      </c>
      <c r="F435" t="s">
        <v>1084</v>
      </c>
      <c r="G435" t="e">
        <f ca="1">_xludf.IMAGE("https://edmondsonsupply.com/cdn/shop/products/Armycopy.jpg?v=1633030720")</f>
        <v>#NAME?</v>
      </c>
      <c r="H435" t="e">
        <f ca="1">_xludf.IMAGE("https://m.media-amazon.com/images/I/71P8x8a2EsL._AC_UL320_.jpg")</f>
        <v>#NAME?</v>
      </c>
      <c r="I435" t="s">
        <v>1039</v>
      </c>
      <c r="J435">
        <v>10.95</v>
      </c>
      <c r="K435" s="4">
        <v>9.5000000000000001E-2</v>
      </c>
      <c r="L435">
        <v>4</v>
      </c>
      <c r="M435">
        <v>4</v>
      </c>
      <c r="O435" t="s">
        <v>25</v>
      </c>
      <c r="P435" t="s">
        <v>138</v>
      </c>
      <c r="Q435" t="s">
        <v>1040</v>
      </c>
    </row>
    <row r="436" spans="1:17" ht="15.5" x14ac:dyDescent="0.35">
      <c r="A436"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36" s="3" t="str">
        <f>HYPERLINK("https://edmondsonsupply.com/products/john-boy-army-face-guard", "https://edmondsonsupply.com/products/john-boy-army-face-guard")</f>
        <v>https://edmondsonsupply.com/products/john-boy-army-face-guard</v>
      </c>
      <c r="C436" t="s">
        <v>1036</v>
      </c>
      <c r="D436" t="s">
        <v>1068</v>
      </c>
      <c r="E436" s="3" t="str">
        <f>HYPERLINK("https://www.amazon.com/JOHN-BOY-Construction-Face-Guard/dp/B0842ZPQ65/ref=sr_1_3?keywords=John+Boy+ARMY+Face+Guard&amp;qid=1695173251&amp;sr=8-3", "https://www.amazon.com/JOHN-BOY-Construction-Face-Guard/dp/B0842ZPQ65/ref=sr_1_3?keywords=John+Boy+ARMY+Face+Guard&amp;qid=1695173251&amp;sr=8-3")</f>
        <v>https://www.amazon.com/JOHN-BOY-Construction-Face-Guard/dp/B0842ZPQ65/ref=sr_1_3?keywords=John+Boy+ARMY+Face+Guard&amp;qid=1695173251&amp;sr=8-3</v>
      </c>
      <c r="F436" t="s">
        <v>1069</v>
      </c>
      <c r="G436" t="e">
        <f ca="1">_xludf.IMAGE("https://edmondsonsupply.com/cdn/shop/products/Armycopy.jpg?v=1633030720")</f>
        <v>#NAME?</v>
      </c>
      <c r="H436" t="e">
        <f ca="1">_xludf.IMAGE("https://m.media-amazon.com/images/I/81msE1HdXVL._AC_UL320_.jpg")</f>
        <v>#NAME?</v>
      </c>
      <c r="I436" t="s">
        <v>1039</v>
      </c>
      <c r="J436">
        <v>10.95</v>
      </c>
      <c r="K436" s="4">
        <v>9.5000000000000001E-2</v>
      </c>
      <c r="L436">
        <v>3.5</v>
      </c>
      <c r="M436">
        <v>14</v>
      </c>
      <c r="O436" t="s">
        <v>25</v>
      </c>
      <c r="P436" t="s">
        <v>138</v>
      </c>
      <c r="Q436" t="s">
        <v>1040</v>
      </c>
    </row>
    <row r="437" spans="1:17" ht="15.5" x14ac:dyDescent="0.35">
      <c r="A437" s="3" t="str">
        <f>HYPERLINK("https://edmondsonsupply.com/collections/personal-protection-safety/products/john-boy-clown-face-guard", "https://edmondsonsupply.com/collections/personal-protection-safety/products/john-boy-clown-face-guard")</f>
        <v>https://edmondsonsupply.com/collections/personal-protection-safety/products/john-boy-clown-face-guard</v>
      </c>
      <c r="B437" s="3" t="str">
        <f>HYPERLINK("https://edmondsonsupply.com/products/john-boy-clown-face-guard", "https://edmondsonsupply.com/products/john-boy-clown-face-guard")</f>
        <v>https://edmondsonsupply.com/products/john-boy-clown-face-guard</v>
      </c>
      <c r="C437" t="s">
        <v>1067</v>
      </c>
      <c r="D437" t="s">
        <v>1077</v>
      </c>
      <c r="E437" s="3" t="str">
        <f>HYPERLINK("https://www.amazon.com/JOHN-BOY-Construction-Face-Guard/dp/B08HSKXW6L/ref=sr_1_fkmr0_1?keywords=John+Boy+CLOWN+Face+Guard&amp;qid=1695173250&amp;sr=8-1-fkmr0", "https://www.amazon.com/JOHN-BOY-Construction-Face-Guard/dp/B08HSKXW6L/ref=sr_1_fkmr0_1?keywords=John+Boy+CLOWN+Face+Guard&amp;qid=1695173250&amp;sr=8-1-fkmr0")</f>
        <v>https://www.amazon.com/JOHN-BOY-Construction-Face-Guard/dp/B08HSKXW6L/ref=sr_1_fkmr0_1?keywords=John+Boy+CLOWN+Face+Guard&amp;qid=1695173250&amp;sr=8-1-fkmr0</v>
      </c>
      <c r="F437" t="s">
        <v>1085</v>
      </c>
      <c r="G437" t="e">
        <f ca="1">_xludf.IMAGE("https://edmondsonsupply.com/cdn/shop/products/Clown-Mcopy_900x_f7b1e6b4-ce8b-4741-b718-1676b06d35ea.jpg?v=1633030901")</f>
        <v>#NAME?</v>
      </c>
      <c r="H437" t="e">
        <f ca="1">_xludf.IMAGE("https://m.media-amazon.com/images/I/71x8Q+NujjL._AC_UL320_.jpg")</f>
        <v>#NAME?</v>
      </c>
      <c r="I437" t="s">
        <v>1039</v>
      </c>
      <c r="J437">
        <v>10.95</v>
      </c>
      <c r="K437" s="4">
        <v>9.5000000000000001E-2</v>
      </c>
      <c r="L437">
        <v>5</v>
      </c>
      <c r="M437">
        <v>7</v>
      </c>
      <c r="O437" t="s">
        <v>25</v>
      </c>
      <c r="P437" t="s">
        <v>138</v>
      </c>
      <c r="Q437" t="s">
        <v>1070</v>
      </c>
    </row>
    <row r="438" spans="1:17" ht="15.5" x14ac:dyDescent="0.35">
      <c r="A438"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38" s="3" t="str">
        <f>HYPERLINK("https://edmondsonsupply.com/products/john-boy-army-face-guard", "https://edmondsonsupply.com/products/john-boy-army-face-guard")</f>
        <v>https://edmondsonsupply.com/products/john-boy-army-face-guard</v>
      </c>
      <c r="C438" t="s">
        <v>1036</v>
      </c>
      <c r="D438" t="s">
        <v>1071</v>
      </c>
      <c r="E438" s="3" t="str">
        <f>HYPERLINK("https://www.amazon.com/JOHN-BOY-Construction-Face-Guard/dp/B08HSN8R2R/ref=sr_1_2?keywords=John+Boy+ARMY+Face+Guard&amp;qid=1695173251&amp;sr=8-2", "https://www.amazon.com/JOHN-BOY-Construction-Face-Guard/dp/B08HSN8R2R/ref=sr_1_2?keywords=John+Boy+ARMY+Face+Guard&amp;qid=1695173251&amp;sr=8-2")</f>
        <v>https://www.amazon.com/JOHN-BOY-Construction-Face-Guard/dp/B08HSN8R2R/ref=sr_1_2?keywords=John+Boy+ARMY+Face+Guard&amp;qid=1695173251&amp;sr=8-2</v>
      </c>
      <c r="F438" t="s">
        <v>1072</v>
      </c>
      <c r="G438" t="e">
        <f ca="1">_xludf.IMAGE("https://edmondsonsupply.com/cdn/shop/products/Armycopy.jpg?v=1633030720")</f>
        <v>#NAME?</v>
      </c>
      <c r="H438" t="e">
        <f ca="1">_xludf.IMAGE("https://m.media-amazon.com/images/I/71P3C66uWOL._AC_UL320_.jpg")</f>
        <v>#NAME?</v>
      </c>
      <c r="I438" t="s">
        <v>1039</v>
      </c>
      <c r="J438">
        <v>10.95</v>
      </c>
      <c r="K438" s="4">
        <v>9.5000000000000001E-2</v>
      </c>
      <c r="L438">
        <v>5</v>
      </c>
      <c r="M438">
        <v>7</v>
      </c>
      <c r="O438" t="s">
        <v>25</v>
      </c>
      <c r="P438" t="s">
        <v>138</v>
      </c>
      <c r="Q438" t="s">
        <v>1040</v>
      </c>
    </row>
    <row r="439" spans="1:17" ht="15.5" x14ac:dyDescent="0.35">
      <c r="A439"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439" s="3" t="str">
        <f>HYPERLINK("https://edmondsonsupply.com/products/john-boy-army-face-guard", "https://edmondsonsupply.com/products/john-boy-army-face-guard")</f>
        <v>https://edmondsonsupply.com/products/john-boy-army-face-guard</v>
      </c>
      <c r="C439" t="s">
        <v>1036</v>
      </c>
      <c r="D439" t="s">
        <v>1077</v>
      </c>
      <c r="E439" s="3" t="str">
        <f>HYPERLINK("https://www.amazon.com/JOHN-BOY-Construction-Face-Guard/dp/B0896948Y4/ref=sr_1_1?keywords=John+Boy+ARMY+Face+Guard&amp;qid=1695173251&amp;sr=8-1", "https://www.amazon.com/JOHN-BOY-Construction-Face-Guard/dp/B0896948Y4/ref=sr_1_1?keywords=John+Boy+ARMY+Face+Guard&amp;qid=1695173251&amp;sr=8-1")</f>
        <v>https://www.amazon.com/JOHN-BOY-Construction-Face-Guard/dp/B0896948Y4/ref=sr_1_1?keywords=John+Boy+ARMY+Face+Guard&amp;qid=1695173251&amp;sr=8-1</v>
      </c>
      <c r="F439" t="s">
        <v>1078</v>
      </c>
      <c r="G439" t="e">
        <f ca="1">_xludf.IMAGE("https://edmondsonsupply.com/cdn/shop/products/Armycopy.jpg?v=1633030720")</f>
        <v>#NAME?</v>
      </c>
      <c r="H439" t="e">
        <f ca="1">_xludf.IMAGE("https://m.media-amazon.com/images/I/61RzEW8naZL._AC_UL320_.jpg")</f>
        <v>#NAME?</v>
      </c>
      <c r="I439" t="s">
        <v>1039</v>
      </c>
      <c r="J439">
        <v>10.95</v>
      </c>
      <c r="K439" s="4">
        <v>9.5000000000000001E-2</v>
      </c>
      <c r="L439">
        <v>4.2</v>
      </c>
      <c r="M439">
        <v>7</v>
      </c>
      <c r="O439" t="s">
        <v>25</v>
      </c>
      <c r="P439" t="s">
        <v>138</v>
      </c>
      <c r="Q439" t="s">
        <v>1040</v>
      </c>
    </row>
    <row r="440" spans="1:17" ht="15.5" x14ac:dyDescent="0.35">
      <c r="A440"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40" s="3" t="str">
        <f>HYPERLINK("https://edmondsonsupply.com/products/john-boy-neon-reflect-y-face-guard", "https://edmondsonsupply.com/products/john-boy-neon-reflect-y-face-guard")</f>
        <v>https://edmondsonsupply.com/products/john-boy-neon-reflect-y-face-guard</v>
      </c>
      <c r="C440" t="s">
        <v>1061</v>
      </c>
      <c r="D440" t="s">
        <v>1077</v>
      </c>
      <c r="E440" s="3" t="str">
        <f>HYPERLINK("https://www.amazon.com/JOHN-BOY-Construction-Face-Guard/dp/B0896948Y4/ref=sr_1_10?keywords=John+Boy+NEON+REFLECT-Y+Face+Guard&amp;qid=1695173256&amp;sr=8-10", "https://www.amazon.com/JOHN-BOY-Construction-Face-Guard/dp/B0896948Y4/ref=sr_1_10?keywords=John+Boy+NEON+REFLECT-Y+Face+Guard&amp;qid=1695173256&amp;sr=8-10")</f>
        <v>https://www.amazon.com/JOHN-BOY-Construction-Face-Guard/dp/B0896948Y4/ref=sr_1_10?keywords=John+Boy+NEON+REFLECT-Y+Face+Guard&amp;qid=1695173256&amp;sr=8-10</v>
      </c>
      <c r="F440" t="s">
        <v>1078</v>
      </c>
      <c r="G440" t="e">
        <f ca="1">_xludf.IMAGE("https://edmondsonsupply.com/cdn/shop/products/NEONREFLECT-Y.jpg?v=1633030720")</f>
        <v>#NAME?</v>
      </c>
      <c r="H440" t="e">
        <f ca="1">_xludf.IMAGE("https://m.media-amazon.com/images/I/61RzEW8naZL._AC_UL320_.jpg")</f>
        <v>#NAME?</v>
      </c>
      <c r="I440" t="s">
        <v>1039</v>
      </c>
      <c r="J440">
        <v>10.95</v>
      </c>
      <c r="K440" s="4">
        <v>9.5000000000000001E-2</v>
      </c>
      <c r="L440">
        <v>4.2</v>
      </c>
      <c r="M440">
        <v>7</v>
      </c>
      <c r="O440" t="s">
        <v>25</v>
      </c>
      <c r="P440" t="s">
        <v>138</v>
      </c>
      <c r="Q440" t="s">
        <v>1064</v>
      </c>
    </row>
    <row r="441" spans="1:17" ht="15.5" x14ac:dyDescent="0.35">
      <c r="A441"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41" s="3" t="str">
        <f>HYPERLINK("https://edmondsonsupply.com/products/john-boy-neon-reflect-y-face-guard", "https://edmondsonsupply.com/products/john-boy-neon-reflect-y-face-guard")</f>
        <v>https://edmondsonsupply.com/products/john-boy-neon-reflect-y-face-guard</v>
      </c>
      <c r="C441" t="s">
        <v>1061</v>
      </c>
      <c r="D441" t="s">
        <v>1083</v>
      </c>
      <c r="E441" s="3" t="str">
        <f>HYPERLINK("https://www.amazon.com/JOHN-BOY-Racing-Face-Guard/dp/B0842ZNDHF/ref=sr_1_9?keywords=John+Boy+NEON+REFLECT-Y+Face+Guard&amp;qid=1695173256&amp;sr=8-9", "https://www.amazon.com/JOHN-BOY-Racing-Face-Guard/dp/B0842ZNDHF/ref=sr_1_9?keywords=John+Boy+NEON+REFLECT-Y+Face+Guard&amp;qid=1695173256&amp;sr=8-9")</f>
        <v>https://www.amazon.com/JOHN-BOY-Racing-Face-Guard/dp/B0842ZNDHF/ref=sr_1_9?keywords=John+Boy+NEON+REFLECT-Y+Face+Guard&amp;qid=1695173256&amp;sr=8-9</v>
      </c>
      <c r="F441" t="s">
        <v>1074</v>
      </c>
      <c r="G441" t="e">
        <f ca="1">_xludf.IMAGE("https://edmondsonsupply.com/cdn/shop/products/NEONREFLECT-Y.jpg?v=1633030720")</f>
        <v>#NAME?</v>
      </c>
      <c r="H441" t="e">
        <f ca="1">_xludf.IMAGE("https://m.media-amazon.com/images/I/71biFN0HaSL._AC_UL320_.jpg")</f>
        <v>#NAME?</v>
      </c>
      <c r="I441" t="s">
        <v>1039</v>
      </c>
      <c r="J441">
        <v>10.95</v>
      </c>
      <c r="K441" s="4">
        <v>9.5000000000000001E-2</v>
      </c>
      <c r="L441">
        <v>4.4000000000000004</v>
      </c>
      <c r="M441">
        <v>3</v>
      </c>
      <c r="O441" t="s">
        <v>25</v>
      </c>
      <c r="P441" t="s">
        <v>138</v>
      </c>
      <c r="Q441" t="s">
        <v>1064</v>
      </c>
    </row>
    <row r="442" spans="1:17" ht="15.5" x14ac:dyDescent="0.35">
      <c r="A442"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42" s="3" t="str">
        <f>HYPERLINK("https://edmondsonsupply.com/products/john-boy-neon-reflect-y-face-guard", "https://edmondsonsupply.com/products/john-boy-neon-reflect-y-face-guard")</f>
        <v>https://edmondsonsupply.com/products/john-boy-neon-reflect-y-face-guard</v>
      </c>
      <c r="C442" t="s">
        <v>1061</v>
      </c>
      <c r="D442" t="s">
        <v>1080</v>
      </c>
      <c r="E442" s="3" t="str">
        <f>HYPERLINK("https://www.amazon.com/JOHN-Fitness-Face-Guard-Multi-Purpose/dp/B0842ZBT1T/ref=sr_1_8?keywords=John+Boy+NEON+REFLECT-Y+Face+Guard&amp;qid=1695173256&amp;sr=8-8", "https://www.amazon.com/JOHN-Fitness-Face-Guard-Multi-Purpose/dp/B0842ZBT1T/ref=sr_1_8?keywords=John+Boy+NEON+REFLECT-Y+Face+Guard&amp;qid=1695173256&amp;sr=8-8")</f>
        <v>https://www.amazon.com/JOHN-Fitness-Face-Guard-Multi-Purpose/dp/B0842ZBT1T/ref=sr_1_8?keywords=John+Boy+NEON+REFLECT-Y+Face+Guard&amp;qid=1695173256&amp;sr=8-8</v>
      </c>
      <c r="F442" t="s">
        <v>1076</v>
      </c>
      <c r="G442" t="e">
        <f ca="1">_xludf.IMAGE("https://edmondsonsupply.com/cdn/shop/products/NEONREFLECT-Y.jpg?v=1633030720")</f>
        <v>#NAME?</v>
      </c>
      <c r="H442" t="e">
        <f ca="1">_xludf.IMAGE("https://m.media-amazon.com/images/I/71xfqXGH9sL._AC_UL320_.jpg")</f>
        <v>#NAME?</v>
      </c>
      <c r="I442" t="s">
        <v>1039</v>
      </c>
      <c r="J442">
        <v>10.95</v>
      </c>
      <c r="K442" s="4">
        <v>9.5000000000000001E-2</v>
      </c>
      <c r="L442">
        <v>3.3</v>
      </c>
      <c r="M442">
        <v>22</v>
      </c>
      <c r="O442" t="s">
        <v>25</v>
      </c>
      <c r="P442" t="s">
        <v>138</v>
      </c>
      <c r="Q442" t="s">
        <v>1064</v>
      </c>
    </row>
    <row r="443" spans="1:17" ht="15.5" x14ac:dyDescent="0.35">
      <c r="A443"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43" s="3" t="str">
        <f>HYPERLINK("https://edmondsonsupply.com/products/john-boy-neon-reflect-y-face-guard", "https://edmondsonsupply.com/products/john-boy-neon-reflect-y-face-guard")</f>
        <v>https://edmondsonsupply.com/products/john-boy-neon-reflect-y-face-guard</v>
      </c>
      <c r="C443" t="s">
        <v>1061</v>
      </c>
      <c r="D443" t="s">
        <v>1071</v>
      </c>
      <c r="E443" s="3" t="str">
        <f>HYPERLINK("https://www.amazon.com/JOHN-BOY-Construction-Face-Guard/dp/B08HSKXW6L/ref=sr_1_6?keywords=John+Boy+NEON+REFLECT-Y+Face+Guard&amp;qid=1695173256&amp;sr=8-6", "https://www.amazon.com/JOHN-BOY-Construction-Face-Guard/dp/B08HSKXW6L/ref=sr_1_6?keywords=John+Boy+NEON+REFLECT-Y+Face+Guard&amp;qid=1695173256&amp;sr=8-6")</f>
        <v>https://www.amazon.com/JOHN-BOY-Construction-Face-Guard/dp/B08HSKXW6L/ref=sr_1_6?keywords=John+Boy+NEON+REFLECT-Y+Face+Guard&amp;qid=1695173256&amp;sr=8-6</v>
      </c>
      <c r="F443" t="s">
        <v>1085</v>
      </c>
      <c r="G443" t="e">
        <f ca="1">_xludf.IMAGE("https://edmondsonsupply.com/cdn/shop/products/NEONREFLECT-Y.jpg?v=1633030720")</f>
        <v>#NAME?</v>
      </c>
      <c r="H443" t="e">
        <f ca="1">_xludf.IMAGE("https://m.media-amazon.com/images/I/71x8Q+NujjL._AC_UL320_.jpg")</f>
        <v>#NAME?</v>
      </c>
      <c r="I443" t="s">
        <v>1039</v>
      </c>
      <c r="J443">
        <v>10.95</v>
      </c>
      <c r="K443" s="4">
        <v>9.5000000000000001E-2</v>
      </c>
      <c r="L443">
        <v>5</v>
      </c>
      <c r="M443">
        <v>7</v>
      </c>
      <c r="O443" t="s">
        <v>25</v>
      </c>
      <c r="P443" t="s">
        <v>138</v>
      </c>
      <c r="Q443" t="s">
        <v>1064</v>
      </c>
    </row>
    <row r="444" spans="1:17" ht="15.5" x14ac:dyDescent="0.35">
      <c r="A444"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44" s="3" t="str">
        <f>HYPERLINK("https://edmondsonsupply.com/products/john-boy-neon-reflect-y-face-guard", "https://edmondsonsupply.com/products/john-boy-neon-reflect-y-face-guard")</f>
        <v>https://edmondsonsupply.com/products/john-boy-neon-reflect-y-face-guard</v>
      </c>
      <c r="C444" t="s">
        <v>1061</v>
      </c>
      <c r="D444" t="s">
        <v>1068</v>
      </c>
      <c r="E444" s="3" t="str">
        <f>HYPERLINK("https://www.amazon.com/JOHN-BOY-Construction-Face-Guard/dp/B0842ZPQ65/ref=sr_1_4?keywords=John+Boy+NEON+REFLECT-Y+Face+Guard&amp;qid=1695173256&amp;sr=8-4", "https://www.amazon.com/JOHN-BOY-Construction-Face-Guard/dp/B0842ZPQ65/ref=sr_1_4?keywords=John+Boy+NEON+REFLECT-Y+Face+Guard&amp;qid=1695173256&amp;sr=8-4")</f>
        <v>https://www.amazon.com/JOHN-BOY-Construction-Face-Guard/dp/B0842ZPQ65/ref=sr_1_4?keywords=John+Boy+NEON+REFLECT-Y+Face+Guard&amp;qid=1695173256&amp;sr=8-4</v>
      </c>
      <c r="F444" t="s">
        <v>1069</v>
      </c>
      <c r="G444" t="e">
        <f ca="1">_xludf.IMAGE("https://edmondsonsupply.com/cdn/shop/products/NEONREFLECT-Y.jpg?v=1633030720")</f>
        <v>#NAME?</v>
      </c>
      <c r="H444" t="e">
        <f ca="1">_xludf.IMAGE("https://m.media-amazon.com/images/I/81msE1HdXVL._AC_UL320_.jpg")</f>
        <v>#NAME?</v>
      </c>
      <c r="I444" t="s">
        <v>1039</v>
      </c>
      <c r="J444">
        <v>10.95</v>
      </c>
      <c r="K444" s="4">
        <v>9.5000000000000001E-2</v>
      </c>
      <c r="L444">
        <v>3.5</v>
      </c>
      <c r="M444">
        <v>14</v>
      </c>
      <c r="O444" t="s">
        <v>25</v>
      </c>
      <c r="P444" t="s">
        <v>138</v>
      </c>
      <c r="Q444" t="s">
        <v>1064</v>
      </c>
    </row>
    <row r="445" spans="1:17" ht="15.5" x14ac:dyDescent="0.35">
      <c r="A445"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445" s="3" t="str">
        <f>HYPERLINK("https://edmondsonsupply.com/products/john-boy-neon-reflect-y-face-guard", "https://edmondsonsupply.com/products/john-boy-neon-reflect-y-face-guard")</f>
        <v>https://edmondsonsupply.com/products/john-boy-neon-reflect-y-face-guard</v>
      </c>
      <c r="C445" t="s">
        <v>1061</v>
      </c>
      <c r="D445" t="s">
        <v>1071</v>
      </c>
      <c r="E445" s="3" t="str">
        <f>HYPERLINK("https://www.amazon.com/JOHN-BOY-Construction-Face-Guard/dp/B0842X4J49/ref=sr_1_1?keywords=John+Boy+NEON+REFLECT-Y+Face+Guard&amp;qid=1695173256&amp;sr=8-1", "https://www.amazon.com/JOHN-BOY-Construction-Face-Guard/dp/B0842X4J49/ref=sr_1_1?keywords=John+Boy+NEON+REFLECT-Y+Face+Guard&amp;qid=1695173256&amp;sr=8-1")</f>
        <v>https://www.amazon.com/JOHN-BOY-Construction-Face-Guard/dp/B0842X4J49/ref=sr_1_1?keywords=John+Boy+NEON+REFLECT-Y+Face+Guard&amp;qid=1695173256&amp;sr=8-1</v>
      </c>
      <c r="F445" t="s">
        <v>1090</v>
      </c>
      <c r="G445" t="e">
        <f ca="1">_xludf.IMAGE("https://edmondsonsupply.com/cdn/shop/products/NEONREFLECT-Y.jpg?v=1633030720")</f>
        <v>#NAME?</v>
      </c>
      <c r="H445" t="e">
        <f ca="1">_xludf.IMAGE("https://m.media-amazon.com/images/I/71jlz6cbXSS._AC_UL320_.jpg")</f>
        <v>#NAME?</v>
      </c>
      <c r="I445" t="s">
        <v>1039</v>
      </c>
      <c r="J445">
        <v>10.95</v>
      </c>
      <c r="K445" s="4">
        <v>9.5000000000000001E-2</v>
      </c>
      <c r="L445">
        <v>4.0999999999999996</v>
      </c>
      <c r="M445">
        <v>15</v>
      </c>
      <c r="O445" t="s">
        <v>25</v>
      </c>
      <c r="P445" t="s">
        <v>138</v>
      </c>
      <c r="Q445" t="s">
        <v>1064</v>
      </c>
    </row>
    <row r="446" spans="1:17" ht="15.5" x14ac:dyDescent="0.35">
      <c r="A446"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446" s="3" t="str">
        <f>HYPERLINK("https://edmondsonsupply.com/products/john-boy-grass-face-guard", "https://edmondsonsupply.com/products/john-boy-grass-face-guard")</f>
        <v>https://edmondsonsupply.com/products/john-boy-grass-face-guard</v>
      </c>
      <c r="C446" t="s">
        <v>1065</v>
      </c>
      <c r="D446" t="s">
        <v>1077</v>
      </c>
      <c r="E446" s="3" t="str">
        <f>HYPERLINK("https://www.amazon.com/JOHN-BOY-Construction-Face-Guard/dp/B0896948Y4/ref=sr_1_5?keywords=John+Boy+GRASS+Face+Guard&amp;qid=1695173247&amp;sr=8-5", "https://www.amazon.com/JOHN-BOY-Construction-Face-Guard/dp/B0896948Y4/ref=sr_1_5?keywords=John+Boy+GRASS+Face+Guard&amp;qid=1695173247&amp;sr=8-5")</f>
        <v>https://www.amazon.com/JOHN-BOY-Construction-Face-Guard/dp/B0896948Y4/ref=sr_1_5?keywords=John+Boy+GRASS+Face+Guard&amp;qid=1695173247&amp;sr=8-5</v>
      </c>
      <c r="F446" t="s">
        <v>1078</v>
      </c>
      <c r="G446" t="e">
        <f ca="1">_xludf.IMAGE("https://edmondsonsupply.com/cdn/shop/products/grassMUcopy_900x_3dbec2e2-1ea2-46e7-b806-f05c0b3108b5.jpg?v=1633030897")</f>
        <v>#NAME?</v>
      </c>
      <c r="H446" t="e">
        <f ca="1">_xludf.IMAGE("https://m.media-amazon.com/images/I/61RzEW8naZL._AC_UL320_.jpg")</f>
        <v>#NAME?</v>
      </c>
      <c r="I446" t="s">
        <v>1039</v>
      </c>
      <c r="J446">
        <v>10.95</v>
      </c>
      <c r="K446" s="4">
        <v>9.5000000000000001E-2</v>
      </c>
      <c r="L446">
        <v>4.2</v>
      </c>
      <c r="M446">
        <v>7</v>
      </c>
      <c r="O446" t="s">
        <v>25</v>
      </c>
      <c r="P446" t="s">
        <v>138</v>
      </c>
      <c r="Q446" t="s">
        <v>1066</v>
      </c>
    </row>
    <row r="447" spans="1:17" ht="15.5" x14ac:dyDescent="0.35">
      <c r="A447"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47" s="3" t="str">
        <f>HYPERLINK("https://edmondsonsupply.com/products/john-boy-patriot-face-guard", "https://edmondsonsupply.com/products/john-boy-patriot-face-guard")</f>
        <v>https://edmondsonsupply.com/products/john-boy-patriot-face-guard</v>
      </c>
      <c r="C447" t="s">
        <v>1079</v>
      </c>
      <c r="D447" t="s">
        <v>1077</v>
      </c>
      <c r="E447" s="3" t="str">
        <f>HYPERLINK("https://www.amazon.com/JOHN-BOY-Construction-Face-Guard/dp/B0896948Y4/ref=sr_1_3?keywords=John+Boy+PATRIOT+Face+Guard&amp;qid=1695173254&amp;sr=8-3", "https://www.amazon.com/JOHN-BOY-Construction-Face-Guard/dp/B0896948Y4/ref=sr_1_3?keywords=John+Boy+PATRIOT+Face+Guard&amp;qid=1695173254&amp;sr=8-3")</f>
        <v>https://www.amazon.com/JOHN-BOY-Construction-Face-Guard/dp/B0896948Y4/ref=sr_1_3?keywords=John+Boy+PATRIOT+Face+Guard&amp;qid=1695173254&amp;sr=8-3</v>
      </c>
      <c r="F447" t="s">
        <v>1078</v>
      </c>
      <c r="G447" t="e">
        <f ca="1">_xludf.IMAGE("https://edmondsonsupply.com/cdn/shop/products/Patriotcopy.jpg?v=1633030716")</f>
        <v>#NAME?</v>
      </c>
      <c r="H447" t="e">
        <f ca="1">_xludf.IMAGE("https://m.media-amazon.com/images/I/61RzEW8naZL._AC_UL320_.jpg")</f>
        <v>#NAME?</v>
      </c>
      <c r="I447" t="s">
        <v>1039</v>
      </c>
      <c r="J447">
        <v>10.95</v>
      </c>
      <c r="K447" s="4">
        <v>9.5000000000000001E-2</v>
      </c>
      <c r="L447">
        <v>4.2</v>
      </c>
      <c r="M447">
        <v>7</v>
      </c>
      <c r="O447" t="s">
        <v>25</v>
      </c>
      <c r="P447" t="s">
        <v>138</v>
      </c>
      <c r="Q447" t="s">
        <v>1081</v>
      </c>
    </row>
    <row r="448" spans="1:17" ht="15.5" x14ac:dyDescent="0.35">
      <c r="A448"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448" s="3" t="str">
        <f>HYPERLINK("https://edmondsonsupply.com/products/john-boy-usa-face-guard", "https://edmondsonsupply.com/products/john-boy-usa-face-guard")</f>
        <v>https://edmondsonsupply.com/products/john-boy-usa-face-guard</v>
      </c>
      <c r="C448" t="s">
        <v>1058</v>
      </c>
      <c r="D448" t="s">
        <v>1071</v>
      </c>
      <c r="E448" s="3" t="str">
        <f>HYPERLINK("https://www.amazon.com/JOHN-BOY-Construction-Face-Guard/dp/B0843N88ML/ref=sr_1_6?keywords=John+Boy+USA+Face+Guard&amp;qid=1695173253&amp;sr=8-6", "https://www.amazon.com/JOHN-BOY-Construction-Face-Guard/dp/B0843N88ML/ref=sr_1_6?keywords=John+Boy+USA+Face+Guard&amp;qid=1695173253&amp;sr=8-6")</f>
        <v>https://www.amazon.com/JOHN-BOY-Construction-Face-Guard/dp/B0843N88ML/ref=sr_1_6?keywords=John+Boy+USA+Face+Guard&amp;qid=1695173253&amp;sr=8-6</v>
      </c>
      <c r="F448" t="s">
        <v>1082</v>
      </c>
      <c r="G448" t="e">
        <f ca="1">_xludf.IMAGE("https://edmondsonsupply.com/cdn/shop/products/USA-FG.jpg?v=1633030715")</f>
        <v>#NAME?</v>
      </c>
      <c r="H448" t="e">
        <f ca="1">_xludf.IMAGE("https://m.media-amazon.com/images/I/81tbpnaNPLL._AC_UL320_.jpg")</f>
        <v>#NAME?</v>
      </c>
      <c r="I448" t="s">
        <v>1039</v>
      </c>
      <c r="J448">
        <v>10.95</v>
      </c>
      <c r="K448" s="4">
        <v>9.5000000000000001E-2</v>
      </c>
      <c r="L448">
        <v>4.0999999999999996</v>
      </c>
      <c r="M448">
        <v>15</v>
      </c>
      <c r="O448" t="s">
        <v>25</v>
      </c>
      <c r="P448" t="s">
        <v>138</v>
      </c>
      <c r="Q448" t="s">
        <v>1060</v>
      </c>
    </row>
    <row r="449" spans="1:17" ht="15.5" x14ac:dyDescent="0.35">
      <c r="A449" s="3" t="str">
        <f>HYPERLINK("https://edmondsonsupply.com/collections/personal-protection-safety/products/john-boy-texas-face-guard", "https://edmondsonsupply.com/collections/personal-protection-safety/products/john-boy-texas-face-guard")</f>
        <v>https://edmondsonsupply.com/collections/personal-protection-safety/products/john-boy-texas-face-guard</v>
      </c>
      <c r="B449" s="3" t="str">
        <f>HYPERLINK("https://edmondsonsupply.com/products/john-boy-texas-face-guard", "https://edmondsonsupply.com/products/john-boy-texas-face-guard")</f>
        <v>https://edmondsonsupply.com/products/john-boy-texas-face-guard</v>
      </c>
      <c r="C449" t="s">
        <v>1091</v>
      </c>
      <c r="D449" t="s">
        <v>1077</v>
      </c>
      <c r="E449" s="3" t="str">
        <f>HYPERLINK("https://www.amazon.com/JOHN-BOY-Construction-Face-Guard/dp/B0896948Y4/ref=sr_1_2?keywords=John+Boy+TEXAS+Face+Guard&amp;qid=1695173282&amp;sr=8-2", "https://www.amazon.com/JOHN-BOY-Construction-Face-Guard/dp/B0896948Y4/ref=sr_1_2?keywords=John+Boy+TEXAS+Face+Guard&amp;qid=1695173282&amp;sr=8-2")</f>
        <v>https://www.amazon.com/JOHN-BOY-Construction-Face-Guard/dp/B0896948Y4/ref=sr_1_2?keywords=John+Boy+TEXAS+Face+Guard&amp;qid=1695173282&amp;sr=8-2</v>
      </c>
      <c r="F449" t="s">
        <v>1078</v>
      </c>
      <c r="G449" t="e">
        <f ca="1">_xludf.IMAGE("https://edmondsonsupply.com/cdn/shop/products/TX2-FG.jpg?v=1633030719")</f>
        <v>#NAME?</v>
      </c>
      <c r="H449" t="e">
        <f ca="1">_xludf.IMAGE("https://m.media-amazon.com/images/I/61RzEW8naZL._AC_UL320_.jpg")</f>
        <v>#NAME?</v>
      </c>
      <c r="I449" t="s">
        <v>1039</v>
      </c>
      <c r="J449">
        <v>10.95</v>
      </c>
      <c r="K449" s="4">
        <v>9.5000000000000001E-2</v>
      </c>
      <c r="L449">
        <v>4.2</v>
      </c>
      <c r="M449">
        <v>7</v>
      </c>
      <c r="O449" t="s">
        <v>171</v>
      </c>
      <c r="P449" t="s">
        <v>138</v>
      </c>
      <c r="Q449" t="s">
        <v>1092</v>
      </c>
    </row>
    <row r="450" spans="1:17" ht="15.5" x14ac:dyDescent="0.35">
      <c r="A450" s="3" t="str">
        <f>HYPERLINK("https://edmondsonsupply.com/collections/personal-protection-safety/products/john-boy-texas-face-guard", "https://edmondsonsupply.com/collections/personal-protection-safety/products/john-boy-texas-face-guard")</f>
        <v>https://edmondsonsupply.com/collections/personal-protection-safety/products/john-boy-texas-face-guard</v>
      </c>
      <c r="B450" s="3" t="str">
        <f>HYPERLINK("https://edmondsonsupply.com/products/john-boy-texas-face-guard", "https://edmondsonsupply.com/products/john-boy-texas-face-guard")</f>
        <v>https://edmondsonsupply.com/products/john-boy-texas-face-guard</v>
      </c>
      <c r="C450" t="s">
        <v>1091</v>
      </c>
      <c r="D450" t="s">
        <v>1083</v>
      </c>
      <c r="E450" s="3" t="str">
        <f>HYPERLINK("https://www.amazon.com/JOHN-BOY-Racing-Face-Guard/dp/B0842ZNDHF/ref=sr_1_3?keywords=John+Boy+TEXAS+Face+Guard&amp;qid=1695173282&amp;sr=8-3", "https://www.amazon.com/JOHN-BOY-Racing-Face-Guard/dp/B0842ZNDHF/ref=sr_1_3?keywords=John+Boy+TEXAS+Face+Guard&amp;qid=1695173282&amp;sr=8-3")</f>
        <v>https://www.amazon.com/JOHN-BOY-Racing-Face-Guard/dp/B0842ZNDHF/ref=sr_1_3?keywords=John+Boy+TEXAS+Face+Guard&amp;qid=1695173282&amp;sr=8-3</v>
      </c>
      <c r="F450" t="s">
        <v>1074</v>
      </c>
      <c r="G450" t="e">
        <f ca="1">_xludf.IMAGE("https://edmondsonsupply.com/cdn/shop/products/TX2-FG.jpg?v=1633030719")</f>
        <v>#NAME?</v>
      </c>
      <c r="H450" t="e">
        <f ca="1">_xludf.IMAGE("https://m.media-amazon.com/images/I/71biFN0HaSL._AC_UL320_.jpg")</f>
        <v>#NAME?</v>
      </c>
      <c r="I450" t="s">
        <v>1039</v>
      </c>
      <c r="J450">
        <v>10.95</v>
      </c>
      <c r="K450" s="4">
        <v>9.5000000000000001E-2</v>
      </c>
      <c r="L450">
        <v>4.4000000000000004</v>
      </c>
      <c r="M450">
        <v>3</v>
      </c>
      <c r="O450" t="s">
        <v>171</v>
      </c>
      <c r="P450" t="s">
        <v>138</v>
      </c>
      <c r="Q450" t="s">
        <v>1092</v>
      </c>
    </row>
    <row r="451" spans="1:17" ht="15.5" x14ac:dyDescent="0.35">
      <c r="A451" s="3" t="str">
        <f>HYPERLINK("https://edmondsonsupply.com/collections/personal-protection-safety/products/john-boy-texas-face-guard", "https://edmondsonsupply.com/collections/personal-protection-safety/products/john-boy-texas-face-guard")</f>
        <v>https://edmondsonsupply.com/collections/personal-protection-safety/products/john-boy-texas-face-guard</v>
      </c>
      <c r="B451" s="3" t="str">
        <f>HYPERLINK("https://edmondsonsupply.com/products/john-boy-texas-face-guard", "https://edmondsonsupply.com/products/john-boy-texas-face-guard")</f>
        <v>https://edmondsonsupply.com/products/john-boy-texas-face-guard</v>
      </c>
      <c r="C451" t="s">
        <v>1091</v>
      </c>
      <c r="D451" t="s">
        <v>1071</v>
      </c>
      <c r="E451" s="3" t="str">
        <f>HYPERLINK("https://www.amazon.com/JOHN-BOY-Construction-Face-Guard/dp/B0843N88ML/ref=sr_1_4?keywords=John+Boy+TEXAS+Face+Guard&amp;qid=1695173282&amp;sr=8-4", "https://www.amazon.com/JOHN-BOY-Construction-Face-Guard/dp/B0843N88ML/ref=sr_1_4?keywords=John+Boy+TEXAS+Face+Guard&amp;qid=1695173282&amp;sr=8-4")</f>
        <v>https://www.amazon.com/JOHN-BOY-Construction-Face-Guard/dp/B0843N88ML/ref=sr_1_4?keywords=John+Boy+TEXAS+Face+Guard&amp;qid=1695173282&amp;sr=8-4</v>
      </c>
      <c r="F451" t="s">
        <v>1082</v>
      </c>
      <c r="G451" t="e">
        <f ca="1">_xludf.IMAGE("https://edmondsonsupply.com/cdn/shop/products/TX2-FG.jpg?v=1633030719")</f>
        <v>#NAME?</v>
      </c>
      <c r="H451" t="e">
        <f ca="1">_xludf.IMAGE("https://m.media-amazon.com/images/I/81tbpnaNPLL._AC_UL320_.jpg")</f>
        <v>#NAME?</v>
      </c>
      <c r="I451" t="s">
        <v>1039</v>
      </c>
      <c r="J451">
        <v>10.95</v>
      </c>
      <c r="K451" s="4">
        <v>9.5000000000000001E-2</v>
      </c>
      <c r="L451">
        <v>4.0999999999999996</v>
      </c>
      <c r="M451">
        <v>15</v>
      </c>
      <c r="O451" t="s">
        <v>171</v>
      </c>
      <c r="P451" t="s">
        <v>138</v>
      </c>
      <c r="Q451" t="s">
        <v>1092</v>
      </c>
    </row>
    <row r="452" spans="1:17" ht="15.5" x14ac:dyDescent="0.35">
      <c r="A452" s="3" t="str">
        <f>HYPERLINK("https://edmondsonsupply.com/collections/personal-protection-safety/products/john-boy-sticks-face-guard", "https://edmondsonsupply.com/collections/personal-protection-safety/products/john-boy-sticks-face-guard")</f>
        <v>https://edmondsonsupply.com/collections/personal-protection-safety/products/john-boy-sticks-face-guard</v>
      </c>
      <c r="B452" s="3" t="str">
        <f>HYPERLINK("https://edmondsonsupply.com/products/john-boy-sticks-face-guard", "https://edmondsonsupply.com/products/john-boy-sticks-face-guard")</f>
        <v>https://edmondsonsupply.com/products/john-boy-sticks-face-guard</v>
      </c>
      <c r="C452" t="s">
        <v>1093</v>
      </c>
      <c r="D452" t="s">
        <v>1071</v>
      </c>
      <c r="E452" s="3" t="str">
        <f>HYPERLINK("https://www.amazon.com/JOHN-BOY-Construction-Face-Guard/dp/B08HSKXW6L/ref=sr_1_fkmr0_1?keywords=John+Boy+STICKS+Face+Guard&amp;qid=1695173249&amp;sr=8-1-fkmr0", "https://www.amazon.com/JOHN-BOY-Construction-Face-Guard/dp/B08HSKXW6L/ref=sr_1_fkmr0_1?keywords=John+Boy+STICKS+Face+Guard&amp;qid=1695173249&amp;sr=8-1-fkmr0")</f>
        <v>https://www.amazon.com/JOHN-BOY-Construction-Face-Guard/dp/B08HSKXW6L/ref=sr_1_fkmr0_1?keywords=John+Boy+STICKS+Face+Guard&amp;qid=1695173249&amp;sr=8-1-fkmr0</v>
      </c>
      <c r="F452" t="s">
        <v>1085</v>
      </c>
      <c r="G452" t="e">
        <f ca="1">_xludf.IMAGE("https://edmondsonsupply.com/cdn/shop/products/sticks-mockup_900x_46f7ccf9-cada-4af2-ba6b-b5f06f1a624e.jpg?v=1633030899")</f>
        <v>#NAME?</v>
      </c>
      <c r="H452" t="e">
        <f ca="1">_xludf.IMAGE("https://m.media-amazon.com/images/I/71x8Q+NujjL._AC_UL320_.jpg")</f>
        <v>#NAME?</v>
      </c>
      <c r="I452" t="s">
        <v>1039</v>
      </c>
      <c r="J452">
        <v>10.95</v>
      </c>
      <c r="K452" s="4">
        <v>9.5000000000000001E-2</v>
      </c>
      <c r="L452">
        <v>5</v>
      </c>
      <c r="M452">
        <v>7</v>
      </c>
      <c r="O452" t="s">
        <v>25</v>
      </c>
      <c r="P452" t="s">
        <v>138</v>
      </c>
      <c r="Q452" t="s">
        <v>1094</v>
      </c>
    </row>
    <row r="453" spans="1:17" ht="15.5" x14ac:dyDescent="0.35">
      <c r="A453" s="3" t="str">
        <f>HYPERLINK("https://edmondsonsupply.com/collections/personal-protection-safety/products/john-boy-sticks-face-guard", "https://edmondsonsupply.com/collections/personal-protection-safety/products/john-boy-sticks-face-guard")</f>
        <v>https://edmondsonsupply.com/collections/personal-protection-safety/products/john-boy-sticks-face-guard</v>
      </c>
      <c r="B453" s="3" t="str">
        <f>HYPERLINK("https://edmondsonsupply.com/products/john-boy-sticks-face-guard", "https://edmondsonsupply.com/products/john-boy-sticks-face-guard")</f>
        <v>https://edmondsonsupply.com/products/john-boy-sticks-face-guard</v>
      </c>
      <c r="C453" t="s">
        <v>1093</v>
      </c>
      <c r="D453" t="s">
        <v>1068</v>
      </c>
      <c r="E453" s="3" t="str">
        <f>HYPERLINK("https://www.amazon.com/JOHN-BOY-Construction-Face-Guard/dp/B0842ZPQ65/ref=sr_1_fkmr0_2?keywords=John+Boy+STICKS+Face+Guard&amp;qid=1695173249&amp;sr=8-2-fkmr0", "https://www.amazon.com/JOHN-BOY-Construction-Face-Guard/dp/B0842ZPQ65/ref=sr_1_fkmr0_2?keywords=John+Boy+STICKS+Face+Guard&amp;qid=1695173249&amp;sr=8-2-fkmr0")</f>
        <v>https://www.amazon.com/JOHN-BOY-Construction-Face-Guard/dp/B0842ZPQ65/ref=sr_1_fkmr0_2?keywords=John+Boy+STICKS+Face+Guard&amp;qid=1695173249&amp;sr=8-2-fkmr0</v>
      </c>
      <c r="F453" t="s">
        <v>1069</v>
      </c>
      <c r="G453" t="e">
        <f ca="1">_xludf.IMAGE("https://edmondsonsupply.com/cdn/shop/products/sticks-mockup_900x_46f7ccf9-cada-4af2-ba6b-b5f06f1a624e.jpg?v=1633030899")</f>
        <v>#NAME?</v>
      </c>
      <c r="H453" t="e">
        <f ca="1">_xludf.IMAGE("https://m.media-amazon.com/images/I/81msE1HdXVL._AC_UL320_.jpg")</f>
        <v>#NAME?</v>
      </c>
      <c r="I453" t="s">
        <v>1039</v>
      </c>
      <c r="J453">
        <v>10.95</v>
      </c>
      <c r="K453" s="4">
        <v>9.5000000000000001E-2</v>
      </c>
      <c r="L453">
        <v>3.5</v>
      </c>
      <c r="M453">
        <v>14</v>
      </c>
      <c r="O453" t="s">
        <v>25</v>
      </c>
      <c r="P453" t="s">
        <v>138</v>
      </c>
      <c r="Q453" t="s">
        <v>1094</v>
      </c>
    </row>
    <row r="454" spans="1:17" ht="15.5" x14ac:dyDescent="0.35">
      <c r="A454" s="3" t="str">
        <f>HYPERLINK("https://edmondsonsupply.com/collections/personal-protection-safety/products/john-boy-texas-face-guard", "https://edmondsonsupply.com/collections/personal-protection-safety/products/john-boy-texas-face-guard")</f>
        <v>https://edmondsonsupply.com/collections/personal-protection-safety/products/john-boy-texas-face-guard</v>
      </c>
      <c r="B454" s="3" t="str">
        <f>HYPERLINK("https://edmondsonsupply.com/products/john-boy-texas-face-guard", "https://edmondsonsupply.com/products/john-boy-texas-face-guard")</f>
        <v>https://edmondsonsupply.com/products/john-boy-texas-face-guard</v>
      </c>
      <c r="C454" t="s">
        <v>1091</v>
      </c>
      <c r="D454" t="s">
        <v>1071</v>
      </c>
      <c r="E454" s="3" t="str">
        <f>HYPERLINK("https://www.amazon.com/JOHN-BOY-Construction-Face-Guard/dp/B0842YWL6K/ref=sr_1_5?keywords=John+Boy+TEXAS+Face+Guard&amp;qid=1695173282&amp;sr=8-5", "https://www.amazon.com/JOHN-BOY-Construction-Face-Guard/dp/B0842YWL6K/ref=sr_1_5?keywords=John+Boy+TEXAS+Face+Guard&amp;qid=1695173282&amp;sr=8-5")</f>
        <v>https://www.amazon.com/JOHN-BOY-Construction-Face-Guard/dp/B0842YWL6K/ref=sr_1_5?keywords=John+Boy+TEXAS+Face+Guard&amp;qid=1695173282&amp;sr=8-5</v>
      </c>
      <c r="F454" t="s">
        <v>1095</v>
      </c>
      <c r="G454" t="e">
        <f ca="1">_xludf.IMAGE("https://edmondsonsupply.com/cdn/shop/products/TX2-FG.jpg?v=1633030719")</f>
        <v>#NAME?</v>
      </c>
      <c r="H454" t="e">
        <f ca="1">_xludf.IMAGE("https://m.media-amazon.com/images/I/71ZTS9fFlUL._AC_UL320_.jpg")</f>
        <v>#NAME?</v>
      </c>
      <c r="I454" t="s">
        <v>1039</v>
      </c>
      <c r="J454">
        <v>10.94</v>
      </c>
      <c r="K454" s="4">
        <v>9.4E-2</v>
      </c>
      <c r="L454">
        <v>3.5</v>
      </c>
      <c r="M454">
        <v>7</v>
      </c>
      <c r="O454" t="s">
        <v>171</v>
      </c>
      <c r="P454" t="s">
        <v>138</v>
      </c>
      <c r="Q454" t="s">
        <v>1092</v>
      </c>
    </row>
    <row r="455" spans="1:17" ht="15.5" x14ac:dyDescent="0.35">
      <c r="A455"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455" s="3" t="str">
        <f>HYPERLINK("https://edmondsonsupply.com/products/john-boy-patriot-face-guard", "https://edmondsonsupply.com/products/john-boy-patriot-face-guard")</f>
        <v>https://edmondsonsupply.com/products/john-boy-patriot-face-guard</v>
      </c>
      <c r="C455" t="s">
        <v>1079</v>
      </c>
      <c r="D455" t="s">
        <v>1071</v>
      </c>
      <c r="E455" s="3" t="str">
        <f>HYPERLINK("https://www.amazon.com/JOHN-BOY-Construction-Face-Guard/dp/B0842YWL6K/ref=sr_1_8?keywords=John+Boy+PATRIOT+Face+Guard&amp;qid=1695173254&amp;sr=8-8", "https://www.amazon.com/JOHN-BOY-Construction-Face-Guard/dp/B0842YWL6K/ref=sr_1_8?keywords=John+Boy+PATRIOT+Face+Guard&amp;qid=1695173254&amp;sr=8-8")</f>
        <v>https://www.amazon.com/JOHN-BOY-Construction-Face-Guard/dp/B0842YWL6K/ref=sr_1_8?keywords=John+Boy+PATRIOT+Face+Guard&amp;qid=1695173254&amp;sr=8-8</v>
      </c>
      <c r="F455" t="s">
        <v>1095</v>
      </c>
      <c r="G455" t="e">
        <f ca="1">_xludf.IMAGE("https://edmondsonsupply.com/cdn/shop/products/Patriotcopy.jpg?v=1633030716")</f>
        <v>#NAME?</v>
      </c>
      <c r="H455" t="e">
        <f ca="1">_xludf.IMAGE("https://m.media-amazon.com/images/I/71ZTS9fFlUL._AC_UL320_.jpg")</f>
        <v>#NAME?</v>
      </c>
      <c r="I455" t="s">
        <v>1039</v>
      </c>
      <c r="J455">
        <v>10.94</v>
      </c>
      <c r="K455" s="4">
        <v>9.4E-2</v>
      </c>
      <c r="L455">
        <v>3.5</v>
      </c>
      <c r="M455">
        <v>7</v>
      </c>
      <c r="O455" t="s">
        <v>25</v>
      </c>
      <c r="P455" t="s">
        <v>138</v>
      </c>
      <c r="Q455" t="s">
        <v>1081</v>
      </c>
    </row>
    <row r="456" spans="1:17" ht="15.5" x14ac:dyDescent="0.35">
      <c r="A456" s="3" t="str">
        <f>HYPERLINK("https://edmondsonsupply.com/collections/personal-protection-safety/products/copy-of-klein-tools-60189-leather-work-gloves-x-large-pair", "https://edmondsonsupply.com/collections/personal-protection-safety/products/copy-of-klein-tools-60189-leather-work-gloves-x-large-pair")</f>
        <v>https://edmondsonsupply.com/collections/personal-protection-safety/products/copy-of-klein-tools-60189-leather-work-gloves-x-large-pair</v>
      </c>
      <c r="B456" s="3" t="str">
        <f>HYPERLINK("https://edmondsonsupply.com/products/copy-of-klein-tools-60189-leather-work-gloves-x-large-pair", "https://edmondsonsupply.com/products/copy-of-klein-tools-60189-leather-work-gloves-x-large-pair")</f>
        <v>https://edmondsonsupply.com/products/copy-of-klein-tools-60189-leather-work-gloves-x-large-pair</v>
      </c>
      <c r="C456" t="s">
        <v>1096</v>
      </c>
      <c r="D456" t="s">
        <v>1052</v>
      </c>
      <c r="E456" s="3" t="str">
        <f>HYPERLINK("https://www.amazon.com/Lineman-Glove-Klein-Tools-40084/dp/B003OD8YX0/ref=sr_1_4?keywords=Klein+Tools+60188+Leather+Work+Gloves%2C+Large%2C+Pair&amp;qid=1695173260&amp;sr=8-4", "https://www.amazon.com/Lineman-Glove-Klein-Tools-40084/dp/B003OD8YX0/ref=sr_1_4?keywords=Klein+Tools+60188+Leather+Work+Gloves%2C+Large%2C+Pair&amp;qid=1695173260&amp;sr=8-4")</f>
        <v>https://www.amazon.com/Lineman-Glove-Klein-Tools-40084/dp/B003OD8YX0/ref=sr_1_4?keywords=Klein+Tools+60188+Leather+Work+Gloves%2C+Large%2C+Pair&amp;qid=1695173260&amp;sr=8-4</v>
      </c>
      <c r="F456" t="s">
        <v>1053</v>
      </c>
      <c r="G456" t="e">
        <f ca="1">_xludf.IMAGE("https://edmondsonsupply.com/cdn/shop/products/60188_7a7499e6-621a-4bc0-8883-0ddde9a9ada8.jpg?v=1588432588")</f>
        <v>#NAME?</v>
      </c>
      <c r="H456" t="e">
        <f ca="1">_xludf.IMAGE("https://m.media-amazon.com/images/I/61HoGcmMLGL._AC_UL320_.jpg")</f>
        <v>#NAME?</v>
      </c>
      <c r="I456" t="s">
        <v>362</v>
      </c>
      <c r="J456">
        <v>28.21</v>
      </c>
      <c r="K456" s="4">
        <v>8.5400000000000004E-2</v>
      </c>
      <c r="L456">
        <v>4.3</v>
      </c>
      <c r="M456">
        <v>666</v>
      </c>
      <c r="O456" t="s">
        <v>25</v>
      </c>
      <c r="P456" t="s">
        <v>1054</v>
      </c>
      <c r="Q456" t="s">
        <v>1097</v>
      </c>
    </row>
    <row r="457" spans="1:17" ht="15.5" x14ac:dyDescent="0.35">
      <c r="A457"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457"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457" t="s">
        <v>851</v>
      </c>
      <c r="D457" t="s">
        <v>927</v>
      </c>
      <c r="E457" s="3" t="str">
        <f>HYPERLINK("https://www.amazon.com/Klein-60470-Protection-Anti-Fog-Resistant/dp/B0B69KPRPF/ref=sr_1_2?keywords=Klein+Tools+60163+Professional+Safety+Glasses%2C+Full+Frame%2C+Clear+Lens&amp;qid=1695173243&amp;sr=8-2", "https://www.amazon.com/Klein-60470-Protection-Anti-Fog-Resistant/dp/B0B69KPRPF/ref=sr_1_2?keywords=Klein+Tools+60163+Professional+Safety+Glasses%2C+Full+Frame%2C+Clear+Lens&amp;qid=1695173243&amp;sr=8-2")</f>
        <v>https://www.amazon.com/Klein-60470-Protection-Anti-Fog-Resistant/dp/B0B69KPRPF/ref=sr_1_2?keywords=Klein+Tools+60163+Professional+Safety+Glasses%2C+Full+Frame%2C+Clear+Lens&amp;qid=1695173243&amp;sr=8-2</v>
      </c>
      <c r="F457" t="s">
        <v>928</v>
      </c>
      <c r="G457" t="e">
        <f ca="1">_xludf.IMAGE("https://edmondsonsupply.com/cdn/shop/products/60163.jpg?v=1633030848")</f>
        <v>#NAME?</v>
      </c>
      <c r="H457" t="e">
        <f ca="1">_xludf.IMAGE("https://m.media-amazon.com/images/I/51TkfiRMYgL._AC_UL320_.jpg")</f>
        <v>#NAME?</v>
      </c>
      <c r="I457" t="s">
        <v>276</v>
      </c>
      <c r="J457">
        <v>15.99</v>
      </c>
      <c r="K457" s="4">
        <v>6.6699999999999995E-2</v>
      </c>
      <c r="L457">
        <v>4</v>
      </c>
      <c r="M457">
        <v>29</v>
      </c>
      <c r="O457" t="s">
        <v>25</v>
      </c>
      <c r="P457" t="s">
        <v>277</v>
      </c>
      <c r="Q457" t="s">
        <v>852</v>
      </c>
    </row>
    <row r="458" spans="1:17" ht="15.5" x14ac:dyDescent="0.35">
      <c r="A458"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458"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458" t="s">
        <v>851</v>
      </c>
      <c r="D458" t="s">
        <v>922</v>
      </c>
      <c r="E458" s="3" t="str">
        <f>HYPERLINK("https://www.amazon.com/Klein-60161-Professional-Protective-Resistant/dp/B08B496F57/ref=sr_1_6?keywords=Klein+Tools+60163+Professional+Safety+Glasses%2C+Full+Frame%2C+Clear+Lens&amp;qid=1695173243&amp;sr=8-6", "https://www.amazon.com/Klein-60161-Professional-Protective-Resistant/dp/B08B496F57/ref=sr_1_6?keywords=Klein+Tools+60163+Professional+Safety+Glasses%2C+Full+Frame%2C+Clear+Lens&amp;qid=1695173243&amp;sr=8-6")</f>
        <v>https://www.amazon.com/Klein-60161-Professional-Protective-Resistant/dp/B08B496F57/ref=sr_1_6?keywords=Klein+Tools+60163+Professional+Safety+Glasses%2C+Full+Frame%2C+Clear+Lens&amp;qid=1695173243&amp;sr=8-6</v>
      </c>
      <c r="F458" t="s">
        <v>923</v>
      </c>
      <c r="G458" t="e">
        <f ca="1">_xludf.IMAGE("https://edmondsonsupply.com/cdn/shop/products/60163.jpg?v=1633030848")</f>
        <v>#NAME?</v>
      </c>
      <c r="H458" t="e">
        <f ca="1">_xludf.IMAGE("https://m.media-amazon.com/images/I/515pVZPvJ0L._AC_UL320_.jpg")</f>
        <v>#NAME?</v>
      </c>
      <c r="I458" t="s">
        <v>276</v>
      </c>
      <c r="J458">
        <v>15.99</v>
      </c>
      <c r="K458" s="4">
        <v>6.6699999999999995E-2</v>
      </c>
      <c r="L458">
        <v>4.4000000000000004</v>
      </c>
      <c r="M458">
        <v>374</v>
      </c>
      <c r="O458" t="s">
        <v>25</v>
      </c>
      <c r="P458" t="s">
        <v>277</v>
      </c>
      <c r="Q458" t="s">
        <v>852</v>
      </c>
    </row>
    <row r="459" spans="1:17" ht="15.5" x14ac:dyDescent="0.35">
      <c r="A459" s="3" t="str">
        <f>HYPERLINK("https://edmondsonsupply.com/collections/personal-protection-safety/products/milwaukee-48-73-2046-performance-safety-glasses-with-gaskets-polarized", "https://edmondsonsupply.com/collections/personal-protection-safety/products/milwaukee-48-73-2046-performance-safety-glasses-with-gaskets-polarized")</f>
        <v>https://edmondsonsupply.com/collections/personal-protection-safety/products/milwaukee-48-73-2046-performance-safety-glasses-with-gaskets-polarized</v>
      </c>
      <c r="B459" s="3" t="str">
        <f>HYPERLINK("https://edmondsonsupply.com/products/milwaukee-48-73-2046-performance-safety-glasses-with-gaskets-polarized", "https://edmondsonsupply.com/products/milwaukee-48-73-2046-performance-safety-glasses-with-gaskets-polarized")</f>
        <v>https://edmondsonsupply.com/products/milwaukee-48-73-2046-performance-safety-glasses-with-gaskets-polarized</v>
      </c>
      <c r="C459" t="s">
        <v>872</v>
      </c>
      <c r="D459" t="s">
        <v>1010</v>
      </c>
      <c r="E459" s="3" t="str">
        <f>HYPERLINK("https://www.amazon.com/Milwaukee-48-73-2045-Performance-Safety-Glasses/dp/B08DL9B6GP/ref=sr_1_1?keywords=Milwaukee+48-73-2046+Performance+Safety+Glasses+with+Gaskets%2C+Polarized&amp;qid=1695173262&amp;sr=8-1", "https://www.amazon.com/Milwaukee-48-73-2045-Performance-Safety-Glasses/dp/B08DL9B6GP/ref=sr_1_1?keywords=Milwaukee+48-73-2046+Performance+Safety+Glasses+with+Gaskets%2C+Polarized&amp;qid=1695173262&amp;sr=8-1")</f>
        <v>https://www.amazon.com/Milwaukee-48-73-2045-Performance-Safety-Glasses/dp/B08DL9B6GP/ref=sr_1_1?keywords=Milwaukee+48-73-2046+Performance+Safety+Glasses+with+Gaskets%2C+Polarized&amp;qid=1695173262&amp;sr=8-1</v>
      </c>
      <c r="F459" t="s">
        <v>1011</v>
      </c>
      <c r="G459" t="e">
        <f ca="1">_xludf.IMAGE("https://edmondsonsupply.com/cdn/shop/products/48-73-2045_7.png?v=1587147326")</f>
        <v>#NAME?</v>
      </c>
      <c r="H459" t="e">
        <f ca="1">_xludf.IMAGE("https://m.media-amazon.com/images/I/51ZDRlrCs9L._AC_UL320_.jpg")</f>
        <v>#NAME?</v>
      </c>
      <c r="I459" t="s">
        <v>246</v>
      </c>
      <c r="J459">
        <v>41.97</v>
      </c>
      <c r="K459" s="4">
        <v>0.05</v>
      </c>
      <c r="L459">
        <v>4.5999999999999996</v>
      </c>
      <c r="M459">
        <v>20</v>
      </c>
      <c r="O459" t="s">
        <v>25</v>
      </c>
      <c r="P459" t="s">
        <v>873</v>
      </c>
      <c r="Q459" t="s">
        <v>874</v>
      </c>
    </row>
    <row r="460" spans="1:17" ht="15.5" x14ac:dyDescent="0.35">
      <c r="A460" s="3" t="str">
        <f>HYPERLINK("https://edmondsonsupply.com/collections/personal-protection-safety/products/hellberg-safety-secure-3-headband-hearing-protection", "https://edmondsonsupply.com/collections/personal-protection-safety/products/hellberg-safety-secure-3-headband-hearing-protection")</f>
        <v>https://edmondsonsupply.com/collections/personal-protection-safety/products/hellberg-safety-secure-3-headband-hearing-protection</v>
      </c>
      <c r="B460" s="3" t="str">
        <f>HYPERLINK("https://edmondsonsupply.com/products/hellberg-safety-secure-3-headband-hearing-protection", "https://edmondsonsupply.com/products/hellberg-safety-secure-3-headband-hearing-protection")</f>
        <v>https://edmondsonsupply.com/products/hellberg-safety-secure-3-headband-hearing-protection</v>
      </c>
      <c r="C460" t="s">
        <v>1098</v>
      </c>
      <c r="D460" t="s">
        <v>978</v>
      </c>
      <c r="E460" s="3" t="str">
        <f>HYPERLINK("https://www.amazon.com/Hellberg-Safety-42003-001-Hearing-Protection/dp/B017DJJY02/ref=sr_1_1?keywords=Hellberg+Safety+Secure+3+Headband+Hearing+Protection&amp;qid=1695173241&amp;sr=8-1", "https://www.amazon.com/Hellberg-Safety-42003-001-Hearing-Protection/dp/B017DJJY02/ref=sr_1_1?keywords=Hellberg+Safety+Secure+3+Headband+Hearing+Protection&amp;qid=1695173241&amp;sr=8-1")</f>
        <v>https://www.amazon.com/Hellberg-Safety-42003-001-Hearing-Protection/dp/B017DJJY02/ref=sr_1_1?keywords=Hellberg+Safety+Secure+3+Headband+Hearing+Protection&amp;qid=1695173241&amp;sr=8-1</v>
      </c>
      <c r="F460" t="s">
        <v>979</v>
      </c>
      <c r="G460" t="e">
        <f ca="1">_xludf.IMAGE("https://edmondsonsupply.com/cdn/shop/products/41003-001_Original_637469277190930000.jpg?v=1635628443")</f>
        <v>#NAME?</v>
      </c>
      <c r="H460" t="e">
        <f ca="1">_xludf.IMAGE("https://m.media-amazon.com/images/I/51w8Q2seNJL._AC_UL320_.jpg")</f>
        <v>#NAME?</v>
      </c>
      <c r="I460" t="s">
        <v>1099</v>
      </c>
      <c r="J460">
        <v>39.369999999999997</v>
      </c>
      <c r="K460" s="4">
        <v>3.7400000000000003E-2</v>
      </c>
      <c r="L460">
        <v>5</v>
      </c>
      <c r="M460">
        <v>3</v>
      </c>
      <c r="O460" t="s">
        <v>25</v>
      </c>
      <c r="P460" t="s">
        <v>1100</v>
      </c>
      <c r="Q460" t="s">
        <v>1101</v>
      </c>
    </row>
    <row r="461" spans="1:17" ht="15.5" x14ac:dyDescent="0.35">
      <c r="A461" s="3" t="str">
        <f>HYPERLINK("https://edmondsonsupply.com/collections/personal-protection-safety/products/klein-tools-40233-journeyman-wire-pulling-gloves-size-large", "https://edmondsonsupply.com/collections/personal-protection-safety/products/klein-tools-40233-journeyman-wire-pulling-gloves-size-large")</f>
        <v>https://edmondsonsupply.com/collections/personal-protection-safety/products/klein-tools-40233-journeyman-wire-pulling-gloves-size-large</v>
      </c>
      <c r="B461" s="3" t="str">
        <f>HYPERLINK("https://edmondsonsupply.com/products/klein-tools-40233-journeyman-wire-pulling-gloves-size-large", "https://edmondsonsupply.com/products/klein-tools-40233-journeyman-wire-pulling-gloves-size-large")</f>
        <v>https://edmondsonsupply.com/products/klein-tools-40233-journeyman-wire-pulling-gloves-size-large</v>
      </c>
      <c r="C461" t="s">
        <v>1102</v>
      </c>
      <c r="D461" t="s">
        <v>1103</v>
      </c>
      <c r="E461" s="3" t="str">
        <f>HYPERLINK("https://www.amazon.com/Journeyman-Pulling-Klein-Tools-40232/dp/B01M6BV5H9/ref=sr_1_1?keywords=Klein+Tools+40233+Journeyman+Wire+Pulling+Gloves%2C+L&amp;qid=1695173277&amp;sr=8-1", "https://www.amazon.com/Journeyman-Pulling-Klein-Tools-40232/dp/B01M6BV5H9/ref=sr_1_1?keywords=Klein+Tools+40233+Journeyman+Wire+Pulling+Gloves%2C+L&amp;qid=1695173277&amp;sr=8-1")</f>
        <v>https://www.amazon.com/Journeyman-Pulling-Klein-Tools-40232/dp/B01M6BV5H9/ref=sr_1_1?keywords=Klein+Tools+40233+Journeyman+Wire+Pulling+Gloves%2C+L&amp;qid=1695173277&amp;sr=8-1</v>
      </c>
      <c r="F461" t="s">
        <v>1104</v>
      </c>
      <c r="G461" t="e">
        <f ca="1">_xludf.IMAGE("https://edmondsonsupply.com/cdn/shop/products/40233.jpg?v=1587145378")</f>
        <v>#NAME?</v>
      </c>
      <c r="H461" t="e">
        <f ca="1">_xludf.IMAGE("https://m.media-amazon.com/images/I/61KtxlVqHIL._AC_UL320_.jpg")</f>
        <v>#NAME?</v>
      </c>
      <c r="I461" t="s">
        <v>893</v>
      </c>
      <c r="J461">
        <v>19.989999999999998</v>
      </c>
      <c r="K461" s="4">
        <v>1E-3</v>
      </c>
      <c r="L461">
        <v>4.5</v>
      </c>
      <c r="M461">
        <v>317</v>
      </c>
      <c r="O461" t="s">
        <v>25</v>
      </c>
      <c r="P461" t="s">
        <v>1105</v>
      </c>
      <c r="Q461" t="s">
        <v>1106</v>
      </c>
    </row>
    <row r="462" spans="1:17" ht="15.5" x14ac:dyDescent="0.35">
      <c r="A462" s="3" t="str">
        <f>HYPERLINK("https://edmondsonsupply.com/collections/personal-protection-safety/products/klein-tools-60184-lightweight-gel-knee-pads", "https://edmondsonsupply.com/collections/personal-protection-safety/products/klein-tools-60184-lightweight-gel-knee-pads")</f>
        <v>https://edmondsonsupply.com/collections/personal-protection-safety/products/klein-tools-60184-lightweight-gel-knee-pads</v>
      </c>
      <c r="B462" s="3" t="str">
        <f>HYPERLINK("https://edmondsonsupply.com/products/klein-tools-60184-lightweight-gel-knee-pads", "https://edmondsonsupply.com/products/klein-tools-60184-lightweight-gel-knee-pads")</f>
        <v>https://edmondsonsupply.com/products/klein-tools-60184-lightweight-gel-knee-pads</v>
      </c>
      <c r="C462" t="s">
        <v>908</v>
      </c>
      <c r="D462" t="s">
        <v>1014</v>
      </c>
      <c r="E462" s="3" t="str">
        <f>HYPERLINK("https://www.amazon.com/Lightweight-Breathable-Slip-Resistant-Klein-Tools/dp/B0B6216HMW/ref=sr_1_5?keywords=Klein+Tools+60184+Lightweight+Gel+Knee+Pads&amp;qid=1695173226&amp;sr=8-5", "https://www.amazon.com/Lightweight-Breathable-Slip-Resistant-Klein-Tools/dp/B0B6216HMW/ref=sr_1_5?keywords=Klein+Tools+60184+Lightweight+Gel+Knee+Pads&amp;qid=1695173226&amp;sr=8-5")</f>
        <v>https://www.amazon.com/Lightweight-Breathable-Slip-Resistant-Klein-Tools/dp/B0B6216HMW/ref=sr_1_5?keywords=Klein+Tools+60184+Lightweight+Gel+Knee+Pads&amp;qid=1695173226&amp;sr=8-5</v>
      </c>
      <c r="F462" t="s">
        <v>1015</v>
      </c>
      <c r="G462" t="e">
        <f ca="1">_xludf.IMAGE("https://edmondsonsupply.com/cdn/shop/products/60184.jpg?v=1633030246")</f>
        <v>#NAME?</v>
      </c>
      <c r="H462" t="e">
        <f ca="1">_xludf.IMAGE("https://m.media-amazon.com/images/I/61pjcWSwQcL._AC_UL320_.jpg")</f>
        <v>#NAME?</v>
      </c>
      <c r="I462" t="s">
        <v>911</v>
      </c>
      <c r="J462">
        <v>25.99</v>
      </c>
      <c r="K462" s="4">
        <v>8.0000000000000004E-4</v>
      </c>
      <c r="L462">
        <v>4.5</v>
      </c>
      <c r="M462">
        <v>192</v>
      </c>
      <c r="O462" t="s">
        <v>25</v>
      </c>
      <c r="P462" t="s">
        <v>912</v>
      </c>
      <c r="Q462" t="s">
        <v>913</v>
      </c>
    </row>
    <row r="463" spans="1:17" ht="15.5" x14ac:dyDescent="0.35">
      <c r="A463" s="3" t="str">
        <f>HYPERLINK("https://edmondsonsupply.com/collections/personal-protection-safety/products/klein-tools-40229-high-dexterity-touchscreen-gloves-m", "https://edmondsonsupply.com/collections/personal-protection-safety/products/klein-tools-40229-high-dexterity-touchscreen-gloves-m")</f>
        <v>https://edmondsonsupply.com/collections/personal-protection-safety/products/klein-tools-40229-high-dexterity-touchscreen-gloves-m</v>
      </c>
      <c r="B463" s="3" t="str">
        <f>HYPERLINK("https://edmondsonsupply.com/products/klein-tools-40229-high-dexterity-touchscreen-gloves-m", "https://edmondsonsupply.com/products/klein-tools-40229-high-dexterity-touchscreen-gloves-m")</f>
        <v>https://edmondsonsupply.com/products/klein-tools-40229-high-dexterity-touchscreen-gloves-m</v>
      </c>
      <c r="C463" t="s">
        <v>1107</v>
      </c>
      <c r="D463" t="s">
        <v>1108</v>
      </c>
      <c r="E463" s="3" t="str">
        <f>HYPERLINK("https://www.amazon.com/Dexterity-Touchscreen-Klein-Tools-40229/dp/B01M68QAAK/ref=sr_1_1?keywords=Klein+Tools+40229+High+Dexterity+Touchscreen+Gloves%2C+Medium&amp;qid=1695173260&amp;sr=8-1", "https://www.amazon.com/Dexterity-Touchscreen-Klein-Tools-40229/dp/B01M68QAAK/ref=sr_1_1?keywords=Klein+Tools+40229+High+Dexterity+Touchscreen+Gloves%2C+Medium&amp;qid=1695173260&amp;sr=8-1")</f>
        <v>https://www.amazon.com/Dexterity-Touchscreen-Klein-Tools-40229/dp/B01M68QAAK/ref=sr_1_1?keywords=Klein+Tools+40229+High+Dexterity+Touchscreen+Gloves%2C+Medium&amp;qid=1695173260&amp;sr=8-1</v>
      </c>
      <c r="F463" t="s">
        <v>1109</v>
      </c>
      <c r="G463" t="e">
        <f ca="1">_xludf.IMAGE("https://edmondsonsupply.com/cdn/shop/products/40229.jpg?v=1587146788")</f>
        <v>#NAME?</v>
      </c>
      <c r="H463" t="e">
        <f ca="1">_xludf.IMAGE("https://m.media-amazon.com/images/I/51mom7WNCOL._AC_UL320_.jpg")</f>
        <v>#NAME?</v>
      </c>
      <c r="I463" t="s">
        <v>1110</v>
      </c>
      <c r="J463">
        <v>25.49</v>
      </c>
      <c r="K463" s="4">
        <v>0</v>
      </c>
      <c r="L463">
        <v>4.3</v>
      </c>
      <c r="M463">
        <v>56</v>
      </c>
      <c r="O463" t="s">
        <v>25</v>
      </c>
      <c r="P463" t="s">
        <v>1111</v>
      </c>
      <c r="Q463" t="s">
        <v>1112</v>
      </c>
    </row>
    <row r="464" spans="1:17" ht="15.5" x14ac:dyDescent="0.35">
      <c r="A464" s="3" t="str">
        <f>HYPERLINK("https://edmondsonsupply.com/collections/personal-protection-safety/products/klein-tools-60491-heavy-duty-hinged-knee-pads", "https://edmondsonsupply.com/collections/personal-protection-safety/products/klein-tools-60491-heavy-duty-hinged-knee-pads")</f>
        <v>https://edmondsonsupply.com/collections/personal-protection-safety/products/klein-tools-60491-heavy-duty-hinged-knee-pads</v>
      </c>
      <c r="B464" s="3" t="str">
        <f>HYPERLINK("https://edmondsonsupply.com/products/klein-tools-60491-heavy-duty-hinged-knee-pads", "https://edmondsonsupply.com/products/klein-tools-60491-heavy-duty-hinged-knee-pads")</f>
        <v>https://edmondsonsupply.com/products/klein-tools-60491-heavy-duty-hinged-knee-pads</v>
      </c>
      <c r="C464" t="s">
        <v>1113</v>
      </c>
      <c r="D464" t="s">
        <v>909</v>
      </c>
      <c r="E464" s="3" t="str">
        <f>HYPERLINK("https://www.amazon.com/Klein-Tools-60491-Protective-Quick-Fasten/dp/B0BHXBMBHP/ref=sr_1_1?keywords=Klein+Tools+60491+Heavy+Duty+Hinged+Knee+Pads&amp;qid=1695173225&amp;sr=8-1", "https://www.amazon.com/Klein-Tools-60491-Protective-Quick-Fasten/dp/B0BHXBMBHP/ref=sr_1_1?keywords=Klein+Tools+60491+Heavy+Duty+Hinged+Knee+Pads&amp;qid=1695173225&amp;sr=8-1")</f>
        <v>https://www.amazon.com/Klein-Tools-60491-Protective-Quick-Fasten/dp/B0BHXBMBHP/ref=sr_1_1?keywords=Klein+Tools+60491+Heavy+Duty+Hinged+Knee+Pads&amp;qid=1695173225&amp;sr=8-1</v>
      </c>
      <c r="F464" t="s">
        <v>910</v>
      </c>
      <c r="G464" t="e">
        <f ca="1">_xludf.IMAGE("https://edmondsonsupply.com/cdn/shop/products/60491.jpg?v=1667324200")</f>
        <v>#NAME?</v>
      </c>
      <c r="H464" t="e">
        <f ca="1">_xludf.IMAGE("https://m.media-amazon.com/images/I/718i4PDcjnL._AC_UL320_.jpg")</f>
        <v>#NAME?</v>
      </c>
      <c r="I464" t="s">
        <v>380</v>
      </c>
      <c r="J464">
        <v>49.97</v>
      </c>
      <c r="K464" s="4">
        <v>0</v>
      </c>
      <c r="L464">
        <v>4.4000000000000004</v>
      </c>
      <c r="M464">
        <v>289</v>
      </c>
      <c r="O464" t="s">
        <v>25</v>
      </c>
      <c r="P464" t="s">
        <v>1114</v>
      </c>
      <c r="Q464" t="s">
        <v>1115</v>
      </c>
    </row>
    <row r="465" spans="1:17" ht="15.5" x14ac:dyDescent="0.35">
      <c r="A465" s="3" t="str">
        <f>HYPERLINK("https://edmondsonsupply.com/collections/personal-protection-safety/products/klein-tools-60100-hard-hat-non-vented-cap-style-white", "https://edmondsonsupply.com/collections/personal-protection-safety/products/klein-tools-60100-hard-hat-non-vented-cap-style-white")</f>
        <v>https://edmondsonsupply.com/collections/personal-protection-safety/products/klein-tools-60100-hard-hat-non-vented-cap-style-white</v>
      </c>
      <c r="B465" s="3" t="str">
        <f>HYPERLINK("https://edmondsonsupply.com/products/klein-tools-60100-hard-hat-non-vented-cap-style-white", "https://edmondsonsupply.com/products/klein-tools-60100-hard-hat-non-vented-cap-style-white")</f>
        <v>https://edmondsonsupply.com/products/klein-tools-60100-hard-hat-non-vented-cap-style-white</v>
      </c>
      <c r="C465" t="s">
        <v>970</v>
      </c>
      <c r="D465" t="s">
        <v>1116</v>
      </c>
      <c r="E465" s="3" t="str">
        <f>HYPERLINK("https://www.amazon.com/Klein-Tools-Hard-Non-vented-Style/dp/B07TMHWDG5/ref=sr_1_1?keywords=Klein+Tools+60100+Hard+Hat%2C+Non-Vented%2C+Cap+Style%2C+White&amp;qid=1695173239&amp;sr=8-1", "https://www.amazon.com/Klein-Tools-Hard-Non-vented-Style/dp/B07TMHWDG5/ref=sr_1_1?keywords=Klein+Tools+60100+Hard+Hat%2C+Non-Vented%2C+Cap+Style%2C+White&amp;qid=1695173239&amp;sr=8-1")</f>
        <v>https://www.amazon.com/Klein-Tools-Hard-Non-vented-Style/dp/B07TMHWDG5/ref=sr_1_1?keywords=Klein+Tools+60100+Hard+Hat%2C+Non-Vented%2C+Cap+Style%2C+White&amp;qid=1695173239&amp;sr=8-1</v>
      </c>
      <c r="F465" t="s">
        <v>1117</v>
      </c>
      <c r="G465" t="e">
        <f ca="1">_xludf.IMAGE("https://edmondsonsupply.com/cdn/shop/products/60100_c.jpg?v=1648166061")</f>
        <v>#NAME?</v>
      </c>
      <c r="H465" t="e">
        <f ca="1">_xludf.IMAGE("https://m.media-amazon.com/images/I/51o+x2QNZ-L._AC_UL320_.jpg")</f>
        <v>#NAME?</v>
      </c>
      <c r="I465" t="s">
        <v>198</v>
      </c>
      <c r="J465">
        <v>39.99</v>
      </c>
      <c r="K465" s="4">
        <v>0</v>
      </c>
      <c r="L465">
        <v>4.5</v>
      </c>
      <c r="M465">
        <v>35</v>
      </c>
      <c r="O465" t="s">
        <v>171</v>
      </c>
      <c r="P465" t="s">
        <v>971</v>
      </c>
      <c r="Q465" t="s">
        <v>972</v>
      </c>
    </row>
    <row r="466" spans="1:17" ht="15.5" x14ac:dyDescent="0.35">
      <c r="A466" s="3" t="str">
        <f>HYPERLINK("https://edmondsonsupply.com/collections/personal-protection-safety/products/klein-tools-40232-journeyman-wire-pulling-gloves-m", "https://edmondsonsupply.com/collections/personal-protection-safety/products/klein-tools-40232-journeyman-wire-pulling-gloves-m")</f>
        <v>https://edmondsonsupply.com/collections/personal-protection-safety/products/klein-tools-40232-journeyman-wire-pulling-gloves-m</v>
      </c>
      <c r="B466" s="3" t="str">
        <f>HYPERLINK("https://edmondsonsupply.com/products/klein-tools-40232-journeyman-wire-pulling-gloves-m", "https://edmondsonsupply.com/products/klein-tools-40232-journeyman-wire-pulling-gloves-m")</f>
        <v>https://edmondsonsupply.com/products/klein-tools-40232-journeyman-wire-pulling-gloves-m</v>
      </c>
      <c r="C466" t="s">
        <v>1118</v>
      </c>
      <c r="D466" t="s">
        <v>1103</v>
      </c>
      <c r="E466" s="3" t="str">
        <f>HYPERLINK("https://www.amazon.com/Journeyman-Pulling-Klein-Tools-40232/dp/B01M6BV5H9/ref=sr_1_1?keywords=Klein+Tools+40232+Journeyman+Wire+Pulling+Gloves%2C+M&amp;qid=1695173257&amp;sr=8-1", "https://www.amazon.com/Journeyman-Pulling-Klein-Tools-40232/dp/B01M6BV5H9/ref=sr_1_1?keywords=Klein+Tools+40232+Journeyman+Wire+Pulling+Gloves%2C+M&amp;qid=1695173257&amp;sr=8-1")</f>
        <v>https://www.amazon.com/Journeyman-Pulling-Klein-Tools-40232/dp/B01M6BV5H9/ref=sr_1_1?keywords=Klein+Tools+40232+Journeyman+Wire+Pulling+Gloves%2C+M&amp;qid=1695173257&amp;sr=8-1</v>
      </c>
      <c r="F466" t="s">
        <v>1104</v>
      </c>
      <c r="G466" t="e">
        <f ca="1">_xludf.IMAGE("https://edmondsonsupply.com/cdn/shop/products/40233_cbb9306f-e2d5-416d-ae92-6eadc852998a.jpg?v=1603657224")</f>
        <v>#NAME?</v>
      </c>
      <c r="H466" t="e">
        <f ca="1">_xludf.IMAGE("https://m.media-amazon.com/images/I/61KtxlVqHIL._AC_UL320_.jpg")</f>
        <v>#NAME?</v>
      </c>
      <c r="I466" t="s">
        <v>577</v>
      </c>
      <c r="J466">
        <v>19.989999999999998</v>
      </c>
      <c r="K466" s="4">
        <v>0</v>
      </c>
      <c r="L466">
        <v>4.5</v>
      </c>
      <c r="M466">
        <v>317</v>
      </c>
      <c r="O466" t="s">
        <v>25</v>
      </c>
      <c r="P466" t="s">
        <v>1119</v>
      </c>
      <c r="Q466" t="s">
        <v>1120</v>
      </c>
    </row>
    <row r="467" spans="1:17" ht="15.5" x14ac:dyDescent="0.35">
      <c r="A467" s="3" t="str">
        <f>HYPERLINK("https://edmondsonsupply.com/collections/personal-protection-safety/products/klein-tools-56064-klein-tools-%C2%AE-new-rechargeable-headlamp-offers-multiple-modes-to-fit-any-task", "https://edmondsonsupply.com/collections/personal-protection-safety/products/klein-tools-56064-klein-tools-%C2%AE-new-rechargeable-headlamp-offers-multiple-modes-to-fit-any-task")</f>
        <v>https://edmondsonsupply.com/collections/personal-protection-safety/products/klein-tools-56064-klein-tools-%C2%AE-new-rechargeable-headlamp-offers-multiple-modes-to-fit-any-task</v>
      </c>
      <c r="B467" s="3" t="str">
        <f>HYPERLINK("https://edmondsonsupply.com/products/klein-tools-56064-klein-tools-%c2%ae-new-rechargeable-headlamp-offers-multiple-modes-to-fit-any-task", "https://edmondsonsupply.com/products/klein-tools-56064-klein-tools-%c2%ae-new-rechargeable-headlamp-offers-multiple-modes-to-fit-any-task")</f>
        <v>https://edmondsonsupply.com/products/klein-tools-56064-klein-tools-%c2%ae-new-rechargeable-headlamp-offers-multiple-modes-to-fit-any-task</v>
      </c>
      <c r="C467" t="s">
        <v>1031</v>
      </c>
      <c r="D467" t="s">
        <v>1121</v>
      </c>
      <c r="E467" s="3" t="str">
        <f>HYPERLINK("https://www.amazon.com/Klein-Tools-56064-Rechargeable-Auto-Off/dp/B08V5KZCM6/ref=sr_1_1?keywords=Klein+Tools+56064+Rechargeable+Headlamp+with+Silicone+Strap%2C+400+Lumens%2C+All-Day+Runtime&amp;qid=1695173254&amp;sr=8-1", "https://www.amazon.com/Klein-Tools-56064-Rechargeable-Auto-Off/dp/B08V5KZCM6/ref=sr_1_1?keywords=Klein+Tools+56064+Rechargeable+Headlamp+with+Silicone+Strap%2C+400+Lumens%2C+All-Day+Runtime&amp;qid=1695173254&amp;sr=8-1")</f>
        <v>https://www.amazon.com/Klein-Tools-56064-Rechargeable-Auto-Off/dp/B08V5KZCM6/ref=sr_1_1?keywords=Klein+Tools+56064+Rechargeable+Headlamp+with+Silicone+Strap%2C+400+Lumens%2C+All-Day+Runtime&amp;qid=1695173254&amp;sr=8-1</v>
      </c>
      <c r="F467" t="s">
        <v>1122</v>
      </c>
      <c r="G467" t="e">
        <f ca="1">_xludf.IMAGE("https://edmondsonsupply.com/cdn/shop/products/56064.png?v=1661362879")</f>
        <v>#NAME?</v>
      </c>
      <c r="H467" t="e">
        <f ca="1">_xludf.IMAGE("https://m.media-amazon.com/images/I/61XfkEMT74L._AC_UL320_.jpg")</f>
        <v>#NAME?</v>
      </c>
      <c r="I467" t="s">
        <v>246</v>
      </c>
      <c r="J467">
        <v>39.97</v>
      </c>
      <c r="K467" s="4">
        <v>0</v>
      </c>
      <c r="L467">
        <v>4.5</v>
      </c>
      <c r="M467">
        <v>396</v>
      </c>
      <c r="O467" t="s">
        <v>25</v>
      </c>
      <c r="P467" t="s">
        <v>1032</v>
      </c>
      <c r="Q467" t="s">
        <v>1033</v>
      </c>
    </row>
    <row r="468" spans="1:17" ht="15.5" x14ac:dyDescent="0.35">
      <c r="A468" s="3" t="str">
        <f>HYPERLINK("https://edmondsonsupply.com/collections/personal-protection-safety/products/klein-tools-60511-heavy-duty-knee-pad-sleeves-m-l", "https://edmondsonsupply.com/collections/personal-protection-safety/products/klein-tools-60511-heavy-duty-knee-pad-sleeves-m-l")</f>
        <v>https://edmondsonsupply.com/collections/personal-protection-safety/products/klein-tools-60511-heavy-duty-knee-pad-sleeves-m-l</v>
      </c>
      <c r="B468" s="3" t="str">
        <f>HYPERLINK("https://edmondsonsupply.com/products/klein-tools-60511-heavy-duty-knee-pad-sleeves-m-l", "https://edmondsonsupply.com/products/klein-tools-60511-heavy-duty-knee-pad-sleeves-m-l")</f>
        <v>https://edmondsonsupply.com/products/klein-tools-60511-heavy-duty-knee-pad-sleeves-m-l</v>
      </c>
      <c r="C468" t="s">
        <v>1024</v>
      </c>
      <c r="D468" t="s">
        <v>1123</v>
      </c>
      <c r="E468" s="3" t="str">
        <f>HYPERLINK("https://www.amazon.com/Klein-Tools-60511-Breathable-Slip-Resistant/dp/B0B7Z7YH75/ref=sr_1_1?keywords=Klein+Tools+60511+Heavy+Duty+Knee+Pad+Sleeves%2C+M%2FL&amp;qid=1695173225&amp;sr=8-1", "https://www.amazon.com/Klein-Tools-60511-Breathable-Slip-Resistant/dp/B0B7Z7YH75/ref=sr_1_1?keywords=Klein+Tools+60511+Heavy+Duty+Knee+Pad+Sleeves%2C+M%2FL&amp;qid=1695173225&amp;sr=8-1")</f>
        <v>https://www.amazon.com/Klein-Tools-60511-Breathable-Slip-Resistant/dp/B0B7Z7YH75/ref=sr_1_1?keywords=Klein+Tools+60511+Heavy+Duty+Knee+Pad+Sleeves%2C+M%2FL&amp;qid=1695173225&amp;sr=8-1</v>
      </c>
      <c r="F468" t="s">
        <v>1124</v>
      </c>
      <c r="G468" t="e">
        <f ca="1">_xludf.IMAGE("https://edmondsonsupply.com/cdn/shop/products/60511_60611_b.jpg?v=1663253024")</f>
        <v>#NAME?</v>
      </c>
      <c r="H468" t="e">
        <f ca="1">_xludf.IMAGE("https://m.media-amazon.com/images/I/61GkRqPok+L._AC_UL320_.jpg")</f>
        <v>#NAME?</v>
      </c>
      <c r="I468" t="s">
        <v>198</v>
      </c>
      <c r="J468">
        <v>39.99</v>
      </c>
      <c r="K468" s="4">
        <v>0</v>
      </c>
      <c r="L468">
        <v>4.2</v>
      </c>
      <c r="M468">
        <v>322</v>
      </c>
      <c r="O468" t="s">
        <v>25</v>
      </c>
      <c r="P468" t="s">
        <v>1027</v>
      </c>
      <c r="Q468" t="s">
        <v>1028</v>
      </c>
    </row>
    <row r="469" spans="1:17" ht="15.5" x14ac:dyDescent="0.35">
      <c r="A469" s="3" t="str">
        <f>HYPERLINK("https://edmondsonsupply.com/collections/personal-protection-safety/products/klein-tools-60344-hinged-gel-knee-pads", "https://edmondsonsupply.com/collections/personal-protection-safety/products/klein-tools-60344-hinged-gel-knee-pads")</f>
        <v>https://edmondsonsupply.com/collections/personal-protection-safety/products/klein-tools-60344-hinged-gel-knee-pads</v>
      </c>
      <c r="B469" s="3" t="str">
        <f>HYPERLINK("https://edmondsonsupply.com/products/klein-tools-60344-hinged-gel-knee-pads", "https://edmondsonsupply.com/products/klein-tools-60344-hinged-gel-knee-pads")</f>
        <v>https://edmondsonsupply.com/products/klein-tools-60344-hinged-gel-knee-pads</v>
      </c>
      <c r="C469" t="s">
        <v>1125</v>
      </c>
      <c r="D469" t="s">
        <v>1126</v>
      </c>
      <c r="E469" s="3" t="str">
        <f>HYPERLINK("https://www.amazon.com/Quick-Release-Adjustable-Klein-Tools-60344/dp/B099HB24TD/ref=sr_1_1?keywords=Klein+Tools+60344+Hinged+Gel+Knee+Pads&amp;qid=1695173228&amp;sr=8-1", "https://www.amazon.com/Quick-Release-Adjustable-Klein-Tools-60344/dp/B099HB24TD/ref=sr_1_1?keywords=Klein+Tools+60344+Hinged+Gel+Knee+Pads&amp;qid=1695173228&amp;sr=8-1")</f>
        <v>https://www.amazon.com/Quick-Release-Adjustable-Klein-Tools-60344/dp/B099HB24TD/ref=sr_1_1?keywords=Klein+Tools+60344+Hinged+Gel+Knee+Pads&amp;qid=1695173228&amp;sr=8-1</v>
      </c>
      <c r="F469" t="s">
        <v>1127</v>
      </c>
      <c r="G469" t="e">
        <f ca="1">_xludf.IMAGE("https://edmondsonsupply.com/cdn/shop/products/60344.jpg?v=1664386765")</f>
        <v>#NAME?</v>
      </c>
      <c r="H469" t="e">
        <f ca="1">_xludf.IMAGE("https://m.media-amazon.com/images/I/61a1YyyaXNS._AC_UL320_.jpg")</f>
        <v>#NAME?</v>
      </c>
      <c r="I469" t="s">
        <v>261</v>
      </c>
      <c r="J469">
        <v>35.99</v>
      </c>
      <c r="K469" s="4">
        <v>0</v>
      </c>
      <c r="L469">
        <v>4.4000000000000004</v>
      </c>
      <c r="M469">
        <v>289</v>
      </c>
      <c r="O469" t="s">
        <v>25</v>
      </c>
      <c r="P469" t="s">
        <v>1128</v>
      </c>
      <c r="Q469" t="s">
        <v>1129</v>
      </c>
    </row>
    <row r="470" spans="1:17" ht="15.5" x14ac:dyDescent="0.35">
      <c r="A470" s="3" t="str">
        <f>HYPERLINK("https://edmondsonsupply.com/collections/personal-protection-safety/products/klein-tools-60619-winter-thermal-gloves-m", "https://edmondsonsupply.com/collections/personal-protection-safety/products/klein-tools-60619-winter-thermal-gloves-m")</f>
        <v>https://edmondsonsupply.com/collections/personal-protection-safety/products/klein-tools-60619-winter-thermal-gloves-m</v>
      </c>
      <c r="B470" s="3" t="str">
        <f>HYPERLINK("https://edmondsonsupply.com/products/klein-tools-60619-winter-thermal-gloves-m", "https://edmondsonsupply.com/products/klein-tools-60619-winter-thermal-gloves-m")</f>
        <v>https://edmondsonsupply.com/products/klein-tools-60619-winter-thermal-gloves-m</v>
      </c>
      <c r="C470" t="s">
        <v>1130</v>
      </c>
      <c r="D470" t="s">
        <v>1131</v>
      </c>
      <c r="E470" s="3" t="str">
        <f>HYPERLINK("https://www.amazon.com/Klein-Tools-60619-Thinsulate-Thermal/dp/B0BPF4V69H/ref=sr_1_5?keywords=Klein+Tools+60619+Winter+Thermal+Gloves%2C+M&amp;qid=1695173224&amp;sr=8-5", "https://www.amazon.com/Klein-Tools-60619-Thinsulate-Thermal/dp/B0BPF4V69H/ref=sr_1_5?keywords=Klein+Tools+60619+Winter+Thermal+Gloves%2C+M&amp;qid=1695173224&amp;sr=8-5")</f>
        <v>https://www.amazon.com/Klein-Tools-60619-Thinsulate-Thermal/dp/B0BPF4V69H/ref=sr_1_5?keywords=Klein+Tools+60619+Winter+Thermal+Gloves%2C+M&amp;qid=1695173224&amp;sr=8-5</v>
      </c>
      <c r="F470" t="s">
        <v>1132</v>
      </c>
      <c r="G470" t="e">
        <f ca="1">_xludf.IMAGE("https://edmondsonsupply.com/cdn/shop/products/60619.jpg?v=1674497643")</f>
        <v>#NAME?</v>
      </c>
      <c r="H470" t="e">
        <f ca="1">_xludf.IMAGE("https://m.media-amazon.com/images/I/71yZfwKNZWL._AC_UL320_.jpg")</f>
        <v>#NAME?</v>
      </c>
      <c r="I470" t="s">
        <v>471</v>
      </c>
      <c r="J470">
        <v>24.99</v>
      </c>
      <c r="K470" s="4">
        <v>0</v>
      </c>
      <c r="L470">
        <v>4</v>
      </c>
      <c r="M470">
        <v>2</v>
      </c>
      <c r="O470" t="s">
        <v>25</v>
      </c>
      <c r="P470" t="s">
        <v>602</v>
      </c>
      <c r="Q470" t="s">
        <v>1133</v>
      </c>
    </row>
    <row r="471" spans="1:17" ht="15.5" x14ac:dyDescent="0.35">
      <c r="A471" s="3" t="str">
        <f>HYPERLINK("https://edmondsonsupply.com/collections/personal-protection-safety/products/klein-tools-60406rl-hard-hat-non-vented-full-brim-with-rechargeable-headlamp-white", "https://edmondsonsupply.com/collections/personal-protection-safety/products/klein-tools-60406rl-hard-hat-non-vented-full-brim-with-rechargeable-headlamp-white")</f>
        <v>https://edmondsonsupply.com/collections/personal-protection-safety/products/klein-tools-60406rl-hard-hat-non-vented-full-brim-with-rechargeable-headlamp-white</v>
      </c>
      <c r="B471" s="3" t="str">
        <f>HYPERLINK("https://edmondsonsupply.com/products/klein-tools-60406rl-hard-hat-non-vented-full-brim-with-rechargeable-headlamp-white", "https://edmondsonsupply.com/products/klein-tools-60406rl-hard-hat-non-vented-full-brim-with-rechargeable-headlamp-white")</f>
        <v>https://edmondsonsupply.com/products/klein-tools-60406rl-hard-hat-non-vented-full-brim-with-rechargeable-headlamp-white</v>
      </c>
      <c r="C471" t="s">
        <v>1134</v>
      </c>
      <c r="D471" t="s">
        <v>1045</v>
      </c>
      <c r="E471" s="3" t="str">
        <f>HYPERLINK("https://www.amazon.com/Klein-Tools-60406RL-Rechargeable-Odor-Resistant/dp/B08FBZT3BW/ref=sr_1_1?keywords=Klein+Tools+60406RL+Hard+Hat%2C+Non-Vented%2C+Full+Brim+with+Rechargeable+Headlamp%2C+White&amp;qid=1695173228&amp;sr=8-1", "https://www.amazon.com/Klein-Tools-60406RL-Rechargeable-Odor-Resistant/dp/B08FBZT3BW/ref=sr_1_1?keywords=Klein+Tools+60406RL+Hard+Hat%2C+Non-Vented%2C+Full+Brim+with+Rechargeable+Headlamp%2C+White&amp;qid=1695173228&amp;sr=8-1")</f>
        <v>https://www.amazon.com/Klein-Tools-60406RL-Rechargeable-Odor-Resistant/dp/B08FBZT3BW/ref=sr_1_1?keywords=Klein+Tools+60406RL+Hard+Hat%2C+Non-Vented%2C+Full+Brim+with+Rechargeable+Headlamp%2C+White&amp;qid=1695173228&amp;sr=8-1</v>
      </c>
      <c r="F471" t="s">
        <v>1046</v>
      </c>
      <c r="G471" t="e">
        <f ca="1">_xludf.IMAGE("https://edmondsonsupply.com/cdn/shop/products/60406rl_c.jpg?v=1665606616")</f>
        <v>#NAME?</v>
      </c>
      <c r="H471" t="e">
        <f ca="1">_xludf.IMAGE("https://m.media-amazon.com/images/I/61cNP5T1keL._AC_UL320_.jpg")</f>
        <v>#NAME?</v>
      </c>
      <c r="I471" t="s">
        <v>588</v>
      </c>
      <c r="J471">
        <v>69.989999999999995</v>
      </c>
      <c r="K471" s="4">
        <v>0</v>
      </c>
      <c r="L471">
        <v>4.7</v>
      </c>
      <c r="M471">
        <v>358</v>
      </c>
      <c r="O471" t="s">
        <v>25</v>
      </c>
      <c r="P471" t="s">
        <v>1135</v>
      </c>
      <c r="Q471" t="s">
        <v>1136</v>
      </c>
    </row>
    <row r="472" spans="1:17" ht="15.5" x14ac:dyDescent="0.35">
      <c r="A472" s="3" t="str">
        <f>HYPERLINK("https://edmondsonsupply.com/collections/personal-protection-safety/products/klein-tools-60176-safety-glasses-hard-case", "https://edmondsonsupply.com/collections/personal-protection-safety/products/klein-tools-60176-safety-glasses-hard-case")</f>
        <v>https://edmondsonsupply.com/collections/personal-protection-safety/products/klein-tools-60176-safety-glasses-hard-case</v>
      </c>
      <c r="B472" s="3" t="str">
        <f>HYPERLINK("https://edmondsonsupply.com/products/klein-tools-60176-safety-glasses-hard-case", "https://edmondsonsupply.com/products/klein-tools-60176-safety-glasses-hard-case")</f>
        <v>https://edmondsonsupply.com/products/klein-tools-60176-safety-glasses-hard-case</v>
      </c>
      <c r="C472" t="s">
        <v>1137</v>
      </c>
      <c r="D472" t="s">
        <v>1138</v>
      </c>
      <c r="E472" s="3" t="str">
        <f>HYPERLINK("https://www.amazon.com/Klein-Tools-60176-Glasses-Protection/dp/B08B7B7SH3/ref=sr_1_1?keywords=Klein+Tools+60176+Safety+Glasses+Hard+Case&amp;qid=1695173250&amp;sr=8-1", "https://www.amazon.com/Klein-Tools-60176-Glasses-Protection/dp/B08B7B7SH3/ref=sr_1_1?keywords=Klein+Tools+60176+Safety+Glasses+Hard+Case&amp;qid=1695173250&amp;sr=8-1")</f>
        <v>https://www.amazon.com/Klein-Tools-60176-Glasses-Protection/dp/B08B7B7SH3/ref=sr_1_1?keywords=Klein+Tools+60176+Safety+Glasses+Hard+Case&amp;qid=1695173250&amp;sr=8-1</v>
      </c>
      <c r="F472" t="s">
        <v>1139</v>
      </c>
      <c r="G472" t="e">
        <f ca="1">_xludf.IMAGE("https://edmondsonsupply.com/cdn/shop/products/60176.jpg?v=1633030856")</f>
        <v>#NAME?</v>
      </c>
      <c r="H472" t="e">
        <f ca="1">_xludf.IMAGE("https://m.media-amazon.com/images/I/71OJpcZ0B3L._AC_UL320_.jpg")</f>
        <v>#NAME?</v>
      </c>
      <c r="I472" t="s">
        <v>1003</v>
      </c>
      <c r="J472">
        <v>7.99</v>
      </c>
      <c r="K472" s="4">
        <v>0</v>
      </c>
      <c r="L472">
        <v>4.5999999999999996</v>
      </c>
      <c r="M472">
        <v>77</v>
      </c>
      <c r="O472" t="s">
        <v>25</v>
      </c>
      <c r="P472" t="s">
        <v>1140</v>
      </c>
      <c r="Q472" t="s">
        <v>1141</v>
      </c>
    </row>
    <row r="473" spans="1:17" ht="15.5" x14ac:dyDescent="0.35">
      <c r="A473" s="3" t="str">
        <f>HYPERLINK("https://edmondsonsupply.com/collections/personal-protection-safety/products/klein-tools-60113rl-hard-hat-vented-cap-style-with-rechargeable-headlamp-white", "https://edmondsonsupply.com/collections/personal-protection-safety/products/klein-tools-60113rl-hard-hat-vented-cap-style-with-rechargeable-headlamp-white")</f>
        <v>https://edmondsonsupply.com/collections/personal-protection-safety/products/klein-tools-60113rl-hard-hat-vented-cap-style-with-rechargeable-headlamp-white</v>
      </c>
      <c r="B473"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473" t="s">
        <v>1044</v>
      </c>
      <c r="D473" t="s">
        <v>900</v>
      </c>
      <c r="E473" s="3" t="str">
        <f>HYPERLINK("https://www.amazon.com/Klein-Tools-60407RL-Rechargeable-Odor-Resistant/dp/B08DDTV9M3/ref=sr_1_3?keywords=Klein+Tools+60113RL+Hard+Hat%2C+Vented%2C+Cap+Style+with+Rechargeable+Headlamp%2C+White&amp;qid=1695173239&amp;sr=8-3", "https://www.amazon.com/Klein-Tools-60407RL-Rechargeable-Odor-Resistant/dp/B08DDTV9M3/ref=sr_1_3?keywords=Klein+Tools+60113RL+Hard+Hat%2C+Vented%2C+Cap+Style+with+Rechargeable+Headlamp%2C+White&amp;qid=1695173239&amp;sr=8-3")</f>
        <v>https://www.amazon.com/Klein-Tools-60407RL-Rechargeable-Odor-Resistant/dp/B08DDTV9M3/ref=sr_1_3?keywords=Klein+Tools+60113RL+Hard+Hat%2C+Vented%2C+Cap+Style+with+Rechargeable+Headlamp%2C+White&amp;qid=1695173239&amp;sr=8-3</v>
      </c>
      <c r="F473" t="s">
        <v>901</v>
      </c>
      <c r="G473" t="e">
        <f ca="1">_xludf.IMAGE("https://edmondsonsupply.com/cdn/shop/products/60113rl_c.jpg?v=1647891186")</f>
        <v>#NAME?</v>
      </c>
      <c r="H473" t="e">
        <f ca="1">_xludf.IMAGE("https://m.media-amazon.com/images/I/61w2MM+yDgL._AC_UL320_.jpg")</f>
        <v>#NAME?</v>
      </c>
      <c r="I473" t="s">
        <v>905</v>
      </c>
      <c r="J473">
        <v>59.99</v>
      </c>
      <c r="K473" s="4">
        <v>0</v>
      </c>
      <c r="L473">
        <v>4.7</v>
      </c>
      <c r="M473">
        <v>1577</v>
      </c>
      <c r="O473" t="s">
        <v>25</v>
      </c>
      <c r="P473" t="s">
        <v>1047</v>
      </c>
      <c r="Q473" t="s">
        <v>1048</v>
      </c>
    </row>
    <row r="474" spans="1:17" ht="15.5" x14ac:dyDescent="0.35">
      <c r="A474" s="3" t="str">
        <f>HYPERLINK("https://edmondsonsupply.com/collections/personal-protection-safety/products/klein-tools-60492-lightweight-knee-pad-sleeves-m-l", "https://edmondsonsupply.com/collections/personal-protection-safety/products/klein-tools-60492-lightweight-knee-pad-sleeves-m-l")</f>
        <v>https://edmondsonsupply.com/collections/personal-protection-safety/products/klein-tools-60492-lightweight-knee-pad-sleeves-m-l</v>
      </c>
      <c r="B474" s="3" t="str">
        <f>HYPERLINK("https://edmondsonsupply.com/products/klein-tools-60492-lightweight-knee-pad-sleeves-m-l", "https://edmondsonsupply.com/products/klein-tools-60492-lightweight-knee-pad-sleeves-m-l")</f>
        <v>https://edmondsonsupply.com/products/klein-tools-60492-lightweight-knee-pad-sleeves-m-l</v>
      </c>
      <c r="C474" t="s">
        <v>890</v>
      </c>
      <c r="D474" t="s">
        <v>1142</v>
      </c>
      <c r="E474" s="3" t="str">
        <f>HYPERLINK("https://www.amazon.com/Klein-Tools-60592-Lightweight-Slip-Resistant/dp/B0B622FRN8/ref=sr_1_2?keywords=Klein+Tools+60492+Lightweight+Knee+Pad+Sleeves%2C+M%2FL&amp;qid=1695173231&amp;sr=8-2", "https://www.amazon.com/Klein-Tools-60592-Lightweight-Slip-Resistant/dp/B0B622FRN8/ref=sr_1_2?keywords=Klein+Tools+60492+Lightweight+Knee+Pad+Sleeves%2C+M%2FL&amp;qid=1695173231&amp;sr=8-2")</f>
        <v>https://www.amazon.com/Klein-Tools-60592-Lightweight-Slip-Resistant/dp/B0B622FRN8/ref=sr_1_2?keywords=Klein+Tools+60492+Lightweight+Knee+Pad+Sleeves%2C+M%2FL&amp;qid=1695173231&amp;sr=8-2</v>
      </c>
      <c r="F474" t="s">
        <v>1143</v>
      </c>
      <c r="G474" t="e">
        <f ca="1">_xludf.IMAGE("https://edmondsonsupply.com/cdn/shop/products/60492_60592_photo.jpg?v=1663255234")</f>
        <v>#NAME?</v>
      </c>
      <c r="H474" t="e">
        <f ca="1">_xludf.IMAGE("https://m.media-amazon.com/images/I/61SeDj1bXKL._AC_UL320_.jpg")</f>
        <v>#NAME?</v>
      </c>
      <c r="I474" t="s">
        <v>893</v>
      </c>
      <c r="J474">
        <v>19.97</v>
      </c>
      <c r="K474" s="4">
        <v>0</v>
      </c>
      <c r="L474">
        <v>4.0999999999999996</v>
      </c>
      <c r="M474">
        <v>147</v>
      </c>
      <c r="O474" t="s">
        <v>25</v>
      </c>
      <c r="P474" t="s">
        <v>894</v>
      </c>
      <c r="Q474" t="s">
        <v>895</v>
      </c>
    </row>
    <row r="475" spans="1:17" ht="15.5" x14ac:dyDescent="0.35">
      <c r="A475" s="3" t="str">
        <f>HYPERLINK("https://edmondsonsupply.com/collections/personal-protection-safety/products/klein-tools-40229-high-dexterity-touchscreen-gloves-m", "https://edmondsonsupply.com/collections/personal-protection-safety/products/klein-tools-40229-high-dexterity-touchscreen-gloves-m")</f>
        <v>https://edmondsonsupply.com/collections/personal-protection-safety/products/klein-tools-40229-high-dexterity-touchscreen-gloves-m</v>
      </c>
      <c r="B475" s="3" t="str">
        <f>HYPERLINK("https://edmondsonsupply.com/products/klein-tools-40229-high-dexterity-touchscreen-gloves-m", "https://edmondsonsupply.com/products/klein-tools-40229-high-dexterity-touchscreen-gloves-m")</f>
        <v>https://edmondsonsupply.com/products/klein-tools-40229-high-dexterity-touchscreen-gloves-m</v>
      </c>
      <c r="C475" t="s">
        <v>1107</v>
      </c>
      <c r="D475" t="s">
        <v>1144</v>
      </c>
      <c r="E475" s="3" t="str">
        <f>HYPERLINK("https://www.amazon.com/Dexterity-Touchscreen-Klein-Tools-40230/dp/B01M68QBRU/ref=sr_1_2?keywords=Klein+Tools+40229+High+Dexterity+Touchscreen+Gloves%2C+Medium&amp;qid=1695173260&amp;sr=8-2", "https://www.amazon.com/Dexterity-Touchscreen-Klein-Tools-40230/dp/B01M68QBRU/ref=sr_1_2?keywords=Klein+Tools+40229+High+Dexterity+Touchscreen+Gloves%2C+Medium&amp;qid=1695173260&amp;sr=8-2")</f>
        <v>https://www.amazon.com/Dexterity-Touchscreen-Klein-Tools-40230/dp/B01M68QBRU/ref=sr_1_2?keywords=Klein+Tools+40229+High+Dexterity+Touchscreen+Gloves%2C+Medium&amp;qid=1695173260&amp;sr=8-2</v>
      </c>
      <c r="F475" t="s">
        <v>1145</v>
      </c>
      <c r="G475" t="e">
        <f ca="1">_xludf.IMAGE("https://edmondsonsupply.com/cdn/shop/products/40229.jpg?v=1587146788")</f>
        <v>#NAME?</v>
      </c>
      <c r="H475" t="e">
        <f ca="1">_xludf.IMAGE("https://m.media-amazon.com/images/I/61OBeXb4irL._AC_UL320_.jpg")</f>
        <v>#NAME?</v>
      </c>
      <c r="I475" t="s">
        <v>1110</v>
      </c>
      <c r="J475">
        <v>25.49</v>
      </c>
      <c r="K475" s="4">
        <v>0</v>
      </c>
      <c r="L475">
        <v>3.9</v>
      </c>
      <c r="M475">
        <v>72</v>
      </c>
      <c r="O475" t="s">
        <v>25</v>
      </c>
      <c r="P475" t="s">
        <v>1111</v>
      </c>
      <c r="Q475" t="s">
        <v>1112</v>
      </c>
    </row>
    <row r="476" spans="1:17" ht="15.5" x14ac:dyDescent="0.35">
      <c r="A476"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476"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476" t="s">
        <v>851</v>
      </c>
      <c r="D476" t="s">
        <v>958</v>
      </c>
      <c r="E476" s="3" t="str">
        <f>HYPERLINK("https://www.amazon.com/Klein-60164-Professional-Protective-Resistant/dp/B08B4BNSHM/ref=sr_1_8?keywords=Klein+Tools+60163+Professional+Safety+Glasses%2C+Full+Frame%2C+Clear+Lens&amp;qid=1695173243&amp;sr=8-8", "https://www.amazon.com/Klein-60164-Professional-Protective-Resistant/dp/B08B4BNSHM/ref=sr_1_8?keywords=Klein+Tools+60163+Professional+Safety+Glasses%2C+Full+Frame%2C+Clear+Lens&amp;qid=1695173243&amp;sr=8-8")</f>
        <v>https://www.amazon.com/Klein-60164-Professional-Protective-Resistant/dp/B08B4BNSHM/ref=sr_1_8?keywords=Klein+Tools+60163+Professional+Safety+Glasses%2C+Full+Frame%2C+Clear+Lens&amp;qid=1695173243&amp;sr=8-8</v>
      </c>
      <c r="F476" t="s">
        <v>959</v>
      </c>
      <c r="G476" t="e">
        <f ca="1">_xludf.IMAGE("https://edmondsonsupply.com/cdn/shop/products/60163.jpg?v=1633030848")</f>
        <v>#NAME?</v>
      </c>
      <c r="H476" t="e">
        <f ca="1">_xludf.IMAGE("https://m.media-amazon.com/images/I/41bNrH9NnFL._AC_UL320_.jpg")</f>
        <v>#NAME?</v>
      </c>
      <c r="I476" t="s">
        <v>276</v>
      </c>
      <c r="J476">
        <v>14.99</v>
      </c>
      <c r="K476" s="4">
        <v>0</v>
      </c>
      <c r="L476">
        <v>4.4000000000000004</v>
      </c>
      <c r="M476">
        <v>463</v>
      </c>
      <c r="O476" t="s">
        <v>25</v>
      </c>
      <c r="P476" t="s">
        <v>277</v>
      </c>
      <c r="Q476" t="s">
        <v>852</v>
      </c>
    </row>
    <row r="477" spans="1:17" ht="15.5" x14ac:dyDescent="0.35">
      <c r="A477" s="3" t="str">
        <f>HYPERLINK("https://edmondsonsupply.com/collections/personal-protection-safety/products/klein-tools-6050350-corded-earplugs-50-pair-dispenser-pack", "https://edmondsonsupply.com/collections/personal-protection-safety/products/klein-tools-6050350-corded-earplugs-50-pair-dispenser-pack")</f>
        <v>https://edmondsonsupply.com/collections/personal-protection-safety/products/klein-tools-6050350-corded-earplugs-50-pair-dispenser-pack</v>
      </c>
      <c r="B477" s="3" t="str">
        <f>HYPERLINK("https://edmondsonsupply.com/products/klein-tools-6050350-corded-earplugs-50-pair-dispenser-pack", "https://edmondsonsupply.com/products/klein-tools-6050350-corded-earplugs-50-pair-dispenser-pack")</f>
        <v>https://edmondsonsupply.com/products/klein-tools-6050350-corded-earplugs-50-pair-dispenser-pack</v>
      </c>
      <c r="C477" t="s">
        <v>1146</v>
      </c>
      <c r="D477" t="s">
        <v>1147</v>
      </c>
      <c r="E477" s="3" t="str">
        <f>HYPERLINK("https://www.amazon.com/Klein-Tools-6050350-Dispenser-Construction/dp/B0BSXS7PQ4/ref=sr_1_1?keywords=Klein+Tools+6050350+Corded+Earplugs%2C+50-Pair+Dispenser+Pack&amp;qid=1695173237&amp;sr=8-1", "https://www.amazon.com/Klein-Tools-6050350-Dispenser-Construction/dp/B0BSXS7PQ4/ref=sr_1_1?keywords=Klein+Tools+6050350+Corded+Earplugs%2C+50-Pair+Dispenser+Pack&amp;qid=1695173237&amp;sr=8-1")</f>
        <v>https://www.amazon.com/Klein-Tools-6050350-Dispenser-Construction/dp/B0BSXS7PQ4/ref=sr_1_1?keywords=Klein+Tools+6050350+Corded+Earplugs%2C+50-Pair+Dispenser+Pack&amp;qid=1695173237&amp;sr=8-1</v>
      </c>
      <c r="F477" t="s">
        <v>1148</v>
      </c>
      <c r="G477" t="e">
        <f ca="1">_xludf.IMAGE("https://edmondsonsupply.com/cdn/shop/products/6050350.jpg?v=1677684633")</f>
        <v>#NAME?</v>
      </c>
      <c r="H477" t="e">
        <f ca="1">_xludf.IMAGE("https://m.media-amazon.com/images/I/6196swgyHPL._AC_UL320_.jpg")</f>
        <v>#NAME?</v>
      </c>
      <c r="I477" t="s">
        <v>26</v>
      </c>
      <c r="J477">
        <v>29.99</v>
      </c>
      <c r="K477" s="4">
        <v>0</v>
      </c>
      <c r="L477">
        <v>4.3</v>
      </c>
      <c r="M477">
        <v>15</v>
      </c>
      <c r="O477" t="s">
        <v>25</v>
      </c>
      <c r="P477" t="s">
        <v>562</v>
      </c>
      <c r="Q477" t="s">
        <v>1149</v>
      </c>
    </row>
    <row r="478" spans="1:17" ht="15.5" x14ac:dyDescent="0.35">
      <c r="A478" s="3" t="str">
        <f>HYPERLINK("https://edmondsonsupply.com/collections/personal-protection-safety/products/tajima-azs-rop-safety-rope%E2%84%A2", "https://edmondsonsupply.com/collections/personal-protection-safety/products/tajima-azs-rop-safety-rope%E2%84%A2")</f>
        <v>https://edmondsonsupply.com/collections/personal-protection-safety/products/tajima-azs-rop-safety-rope%E2%84%A2</v>
      </c>
      <c r="B478" s="3" t="str">
        <f>HYPERLINK("https://edmondsonsupply.com/products/tajima-azs-rop-safety-rope%e2%84%a2", "https://edmondsonsupply.com/products/tajima-azs-rop-safety-rope%e2%84%a2")</f>
        <v>https://edmondsonsupply.com/products/tajima-azs-rop-safety-rope%e2%84%a2</v>
      </c>
      <c r="C478" t="s">
        <v>1150</v>
      </c>
      <c r="D478" t="s">
        <v>1151</v>
      </c>
      <c r="E478" s="3" t="str">
        <f>HYPERLINK("https://www.amazon.com/TAJIMA-AZS-ROP-Safety-Rope-Measuring/dp/B07JZNFX1D/ref=sr_1_1?keywords=Tajima+AZS-ROP+SAFETY+ROPE%E2%84%A2+for+Tape+Measure&amp;qid=1695173237&amp;sr=8-1", "https://www.amazon.com/TAJIMA-AZS-ROP-Safety-Rope-Measuring/dp/B07JZNFX1D/ref=sr_1_1?keywords=Tajima+AZS-ROP+SAFETY+ROPE%E2%84%A2+for+Tape+Measure&amp;qid=1695173237&amp;sr=8-1")</f>
        <v>https://www.amazon.com/TAJIMA-AZS-ROP-Safety-Rope-Measuring/dp/B07JZNFX1D/ref=sr_1_1?keywords=Tajima+AZS-ROP+SAFETY+ROPE%E2%84%A2+for+Tape+Measure&amp;qid=1695173237&amp;sr=8-1</v>
      </c>
      <c r="F478" t="s">
        <v>1152</v>
      </c>
      <c r="G478" t="e">
        <f ca="1">_xludf.IMAGE("https://edmondsonsupply.com/cdn/shop/files/AZS-ROP.jpg?v=1693506139")</f>
        <v>#NAME?</v>
      </c>
      <c r="H478" t="e">
        <f ca="1">_xludf.IMAGE("https://m.media-amazon.com/images/I/31lq7AazHdL._AC_UL320_.jpg")</f>
        <v>#NAME?</v>
      </c>
      <c r="I478" t="s">
        <v>1153</v>
      </c>
      <c r="J478">
        <v>16.43</v>
      </c>
      <c r="K478" s="4">
        <v>0</v>
      </c>
      <c r="L478">
        <v>4.9000000000000004</v>
      </c>
      <c r="M478">
        <v>9</v>
      </c>
      <c r="O478" t="s">
        <v>25</v>
      </c>
      <c r="P478" t="s">
        <v>138</v>
      </c>
      <c r="Q478" t="s">
        <v>1154</v>
      </c>
    </row>
    <row r="479" spans="1:17" ht="15.5" x14ac:dyDescent="0.35">
      <c r="A479" s="3" t="str">
        <f>HYPERLINK("https://edmondsonsupply.com/collections/personal-protection-safety/products/klein-tools-60173-pro-safety-glasses-semi-frame-combo-pack", "https://edmondsonsupply.com/collections/personal-protection-safety/products/klein-tools-60173-pro-safety-glasses-semi-frame-combo-pack")</f>
        <v>https://edmondsonsupply.com/collections/personal-protection-safety/products/klein-tools-60173-pro-safety-glasses-semi-frame-combo-pack</v>
      </c>
      <c r="B479" s="3" t="str">
        <f>HYPERLINK("https://edmondsonsupply.com/products/klein-tools-60173-pro-safety-glasses-semi-frame-combo-pack", "https://edmondsonsupply.com/products/klein-tools-60173-pro-safety-glasses-semi-frame-combo-pack")</f>
        <v>https://edmondsonsupply.com/products/klein-tools-60173-pro-safety-glasses-semi-frame-combo-pack</v>
      </c>
      <c r="C479" t="s">
        <v>1155</v>
      </c>
      <c r="D479" t="s">
        <v>1156</v>
      </c>
      <c r="E479" s="3" t="str">
        <f>HYPERLINK("https://www.amazon.com/Klein-Tools-60173-Protective-Resistant/dp/B08B7BCQSX/ref=sr_1_1?keywords=Klein+Tools+60173+PRO+Safety+Glasses+Semi-Frame%2C+Combo+Pack&amp;qid=1695173242&amp;sr=8-1", "https://www.amazon.com/Klein-Tools-60173-Protective-Resistant/dp/B08B7BCQSX/ref=sr_1_1?keywords=Klein+Tools+60173+PRO+Safety+Glasses+Semi-Frame%2C+Combo+Pack&amp;qid=1695173242&amp;sr=8-1")</f>
        <v>https://www.amazon.com/Klein-Tools-60173-Protective-Resistant/dp/B08B7BCQSX/ref=sr_1_1?keywords=Klein+Tools+60173+PRO+Safety+Glasses+Semi-Frame%2C+Combo+Pack&amp;qid=1695173242&amp;sr=8-1</v>
      </c>
      <c r="F479" t="s">
        <v>1157</v>
      </c>
      <c r="G479" t="e">
        <f ca="1">_xludf.IMAGE("https://edmondsonsupply.com/cdn/shop/products/60173.jpg?v=1633030855")</f>
        <v>#NAME?</v>
      </c>
      <c r="H479" t="e">
        <f ca="1">_xludf.IMAGE("https://m.media-amazon.com/images/I/51A3qkx5B2L._AC_UL320_.jpg")</f>
        <v>#NAME?</v>
      </c>
      <c r="I479" t="s">
        <v>1158</v>
      </c>
      <c r="J479">
        <v>21.99</v>
      </c>
      <c r="K479" s="4">
        <v>0</v>
      </c>
      <c r="L479">
        <v>4.4000000000000004</v>
      </c>
      <c r="M479">
        <v>374</v>
      </c>
      <c r="O479" t="s">
        <v>25</v>
      </c>
      <c r="P479" t="s">
        <v>1159</v>
      </c>
      <c r="Q479" t="s">
        <v>1160</v>
      </c>
    </row>
    <row r="480" spans="1:17" ht="15.5" x14ac:dyDescent="0.35">
      <c r="A480" s="3" t="str">
        <f>HYPERLINK("https://edmondsonsupply.com/collections/personal-protection-safety/products/klein-tools-60163-professional-safety-glasses-full-frame-clear-lens", "https://edmondsonsupply.com/collections/personal-protection-safety/products/klein-tools-60163-professional-safety-glasses-full-frame-clear-lens")</f>
        <v>https://edmondsonsupply.com/collections/personal-protection-safety/products/klein-tools-60163-professional-safety-glasses-full-frame-clear-lens</v>
      </c>
      <c r="B480"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480" t="s">
        <v>851</v>
      </c>
      <c r="D480" t="s">
        <v>956</v>
      </c>
      <c r="E480" s="3" t="str">
        <f>HYPERLINK("https://www.amazon.com/Klein-60163-Professional-Protective-Resistant/dp/B08B48CZ5V/ref=sr_1_1?keywords=Klein+Tools+60163+Professional+Safety+Glasses%2C+Full+Frame%2C+Clear+Lens&amp;qid=1695173243&amp;sr=8-1", "https://www.amazon.com/Klein-60163-Professional-Protective-Resistant/dp/B08B48CZ5V/ref=sr_1_1?keywords=Klein+Tools+60163+Professional+Safety+Glasses%2C+Full+Frame%2C+Clear+Lens&amp;qid=1695173243&amp;sr=8-1")</f>
        <v>https://www.amazon.com/Klein-60163-Professional-Protective-Resistant/dp/B08B48CZ5V/ref=sr_1_1?keywords=Klein+Tools+60163+Professional+Safety+Glasses%2C+Full+Frame%2C+Clear+Lens&amp;qid=1695173243&amp;sr=8-1</v>
      </c>
      <c r="F480" t="s">
        <v>957</v>
      </c>
      <c r="G480" t="e">
        <f ca="1">_xludf.IMAGE("https://edmondsonsupply.com/cdn/shop/products/60163.jpg?v=1633030848")</f>
        <v>#NAME?</v>
      </c>
      <c r="H480" t="e">
        <f ca="1">_xludf.IMAGE("https://m.media-amazon.com/images/I/41IY8K6EFLL._AC_UL320_.jpg")</f>
        <v>#NAME?</v>
      </c>
      <c r="I480" t="s">
        <v>276</v>
      </c>
      <c r="J480">
        <v>14.99</v>
      </c>
      <c r="K480" s="4">
        <v>0</v>
      </c>
      <c r="L480">
        <v>4.4000000000000004</v>
      </c>
      <c r="M480">
        <v>198</v>
      </c>
      <c r="O480" t="s">
        <v>25</v>
      </c>
      <c r="P480" t="s">
        <v>277</v>
      </c>
      <c r="Q480" t="s">
        <v>852</v>
      </c>
    </row>
    <row r="481" spans="1:17" ht="15.5" x14ac:dyDescent="0.35">
      <c r="A481" s="3" t="str">
        <f>HYPERLINK("https://edmondsonsupply.com/collections/personal-protection-safety/products/klein-tools-60442-reusable-face-mask-with-replaceable-filters", "https://edmondsonsupply.com/collections/personal-protection-safety/products/klein-tools-60442-reusable-face-mask-with-replaceable-filters")</f>
        <v>https://edmondsonsupply.com/collections/personal-protection-safety/products/klein-tools-60442-reusable-face-mask-with-replaceable-filters</v>
      </c>
      <c r="B481" s="3" t="str">
        <f>HYPERLINK("https://edmondsonsupply.com/products/klein-tools-60442-reusable-face-mask-with-replaceable-filters", "https://edmondsonsupply.com/products/klein-tools-60442-reusable-face-mask-with-replaceable-filters")</f>
        <v>https://edmondsonsupply.com/products/klein-tools-60442-reusable-face-mask-with-replaceable-filters</v>
      </c>
      <c r="C481" t="s">
        <v>1161</v>
      </c>
      <c r="D481" t="s">
        <v>1162</v>
      </c>
      <c r="E481" s="3" t="str">
        <f>HYPERLINK("https://www.amazon.com/Klein-Tools-60442-Replaceable-Adjustable/dp/B08P3TF8LJ/ref=sr_1_1?keywords=Klein+Tools+60442+Reusable+Face+Mask+with+Replaceable+Filters&amp;qid=1695173236&amp;sr=8-1", "https://www.amazon.com/Klein-Tools-60442-Replaceable-Adjustable/dp/B08P3TF8LJ/ref=sr_1_1?keywords=Klein+Tools+60442+Reusable+Face+Mask+with+Replaceable+Filters&amp;qid=1695173236&amp;sr=8-1")</f>
        <v>https://www.amazon.com/Klein-Tools-60442-Replaceable-Adjustable/dp/B08P3TF8LJ/ref=sr_1_1?keywords=Klein+Tools+60442+Reusable+Face+Mask+with+Replaceable+Filters&amp;qid=1695173236&amp;sr=8-1</v>
      </c>
      <c r="F481" t="s">
        <v>1163</v>
      </c>
      <c r="G481" t="e">
        <f ca="1">_xludf.IMAGE("https://edmondsonsupply.com/cdn/shop/products/60442.jpg?v=1659117463")</f>
        <v>#NAME?</v>
      </c>
      <c r="H481" t="e">
        <f ca="1">_xludf.IMAGE("https://m.media-amazon.com/images/I/71k4fEShtZL._AC_UL320_.jpg")</f>
        <v>#NAME?</v>
      </c>
      <c r="I481" t="s">
        <v>276</v>
      </c>
      <c r="J481">
        <v>14.99</v>
      </c>
      <c r="K481" s="4">
        <v>0</v>
      </c>
      <c r="L481">
        <v>4.3</v>
      </c>
      <c r="M481">
        <v>167</v>
      </c>
      <c r="O481" t="s">
        <v>25</v>
      </c>
      <c r="P481" t="s">
        <v>1164</v>
      </c>
      <c r="Q481" t="s">
        <v>1165</v>
      </c>
    </row>
    <row r="482" spans="1:17" ht="15.5" x14ac:dyDescent="0.35">
      <c r="A482" s="3" t="str">
        <f>HYPERLINK("https://edmondsonsupply.com/collections/personal-protection-safety/products/klein-tools-60614-lightweight-knee-pad-sleeves-s-m", "https://edmondsonsupply.com/collections/personal-protection-safety/products/klein-tools-60614-lightweight-knee-pad-sleeves-s-m")</f>
        <v>https://edmondsonsupply.com/collections/personal-protection-safety/products/klein-tools-60614-lightweight-knee-pad-sleeves-s-m</v>
      </c>
      <c r="B482" s="3" t="str">
        <f>HYPERLINK("https://edmondsonsupply.com/products/klein-tools-60614-lightweight-knee-pad-sleeves-s-m", "https://edmondsonsupply.com/products/klein-tools-60614-lightweight-knee-pad-sleeves-s-m")</f>
        <v>https://edmondsonsupply.com/products/klein-tools-60614-lightweight-knee-pad-sleeves-s-m</v>
      </c>
      <c r="C482" t="s">
        <v>898</v>
      </c>
      <c r="D482" t="s">
        <v>1166</v>
      </c>
      <c r="E482" s="3" t="str">
        <f>HYPERLINK("https://www.amazon.com/Klein-Tools-60614-Lightweight-Slip-Resistant/dp/B0BW9WHCRJ/ref=sr_1_1?keywords=Klein+Tools+60614+Lightweight+Knee+Pad+Sleeves%2C+S%2FM&amp;qid=1695173221&amp;sr=8-1", "https://www.amazon.com/Klein-Tools-60614-Lightweight-Slip-Resistant/dp/B0BW9WHCRJ/ref=sr_1_1?keywords=Klein+Tools+60614+Lightweight+Knee+Pad+Sleeves%2C+S%2FM&amp;qid=1695173221&amp;sr=8-1")</f>
        <v>https://www.amazon.com/Klein-Tools-60614-Lightweight-Slip-Resistant/dp/B0BW9WHCRJ/ref=sr_1_1?keywords=Klein+Tools+60614+Lightweight+Knee+Pad+Sleeves%2C+S%2FM&amp;qid=1695173221&amp;sr=8-1</v>
      </c>
      <c r="F482" t="s">
        <v>1167</v>
      </c>
      <c r="G482" t="e">
        <f ca="1">_xludf.IMAGE("https://edmondsonsupply.com/cdn/shop/products/60492_60592_photo_4859ff57-33ad-45f9-87df-8dc6b9372281.jpg?v=1681742927")</f>
        <v>#NAME?</v>
      </c>
      <c r="H482" t="e">
        <f ca="1">_xludf.IMAGE("https://m.media-amazon.com/images/I/61pjcWSwQcL._AC_UL320_.jpg")</f>
        <v>#NAME?</v>
      </c>
      <c r="I482" t="s">
        <v>577</v>
      </c>
      <c r="J482">
        <v>19.989999999999998</v>
      </c>
      <c r="K482" s="4">
        <v>0</v>
      </c>
      <c r="L482">
        <v>4.5</v>
      </c>
      <c r="M482">
        <v>192</v>
      </c>
      <c r="O482" t="s">
        <v>25</v>
      </c>
      <c r="P482" t="s">
        <v>894</v>
      </c>
      <c r="Q482" t="s">
        <v>899</v>
      </c>
    </row>
    <row r="483" spans="1:17" ht="15.5" x14ac:dyDescent="0.35">
      <c r="A483" s="3" t="str">
        <f>HYPERLINK("https://edmondsonsupply.com/collections/personal-protection-safety/products/milwaukee-48-22-8733-demolition-gloves-xl", "https://edmondsonsupply.com/collections/personal-protection-safety/products/milwaukee-48-22-8733-demolition-gloves-xl")</f>
        <v>https://edmondsonsupply.com/collections/personal-protection-safety/products/milwaukee-48-22-8733-demolition-gloves-xl</v>
      </c>
      <c r="B483" s="3" t="str">
        <f>HYPERLINK("https://edmondsonsupply.com/products/milwaukee-48-22-8733-demolition-gloves-xl", "https://edmondsonsupply.com/products/milwaukee-48-22-8733-demolition-gloves-xl")</f>
        <v>https://edmondsonsupply.com/products/milwaukee-48-22-8733-demolition-gloves-xl</v>
      </c>
      <c r="C483" t="s">
        <v>1168</v>
      </c>
      <c r="D483" t="s">
        <v>1169</v>
      </c>
      <c r="E483" s="3" t="str">
        <f>HYPERLINK("https://www.amazon.com/Milwaukee-48-22-8733-Demolition-Gloves-X-Large/dp/B01BIE0G00/ref=sr_1_1?keywords=Milwaukee+48-22-8733+Demolition+Gloves%2C+XL&amp;qid=1695173261&amp;sr=8-1", "https://www.amazon.com/Milwaukee-48-22-8733-Demolition-Gloves-X-Large/dp/B01BIE0G00/ref=sr_1_1?keywords=Milwaukee+48-22-8733+Demolition+Gloves%2C+XL&amp;qid=1695173261&amp;sr=8-1")</f>
        <v>https://www.amazon.com/Milwaukee-48-22-8733-Demolition-Gloves-X-Large/dp/B01BIE0G00/ref=sr_1_1?keywords=Milwaukee+48-22-8733+Demolition+Gloves%2C+XL&amp;qid=1695173261&amp;sr=8-1</v>
      </c>
      <c r="F483" t="s">
        <v>1170</v>
      </c>
      <c r="G483" t="e">
        <f ca="1">_xludf.IMAGE("https://edmondsonsupply.com/cdn/shop/products/48-22-8732_A_d95025d2-b0a1-48f7-b75d-4b63fde4d3cf.png?v=1587150607")</f>
        <v>#NAME?</v>
      </c>
      <c r="H483" t="e">
        <f ca="1">_xludf.IMAGE("https://m.media-amazon.com/images/I/611kkPW3LcL._AC_UL320_.jpg")</f>
        <v>#NAME?</v>
      </c>
      <c r="I483" t="s">
        <v>859</v>
      </c>
      <c r="J483">
        <v>24.97</v>
      </c>
      <c r="K483" s="4">
        <v>0</v>
      </c>
      <c r="L483">
        <v>4.5999999999999996</v>
      </c>
      <c r="M483">
        <v>580</v>
      </c>
      <c r="O483" t="s">
        <v>25</v>
      </c>
      <c r="P483" t="s">
        <v>860</v>
      </c>
      <c r="Q483" t="s">
        <v>1171</v>
      </c>
    </row>
    <row r="484" spans="1:17" ht="15.5" x14ac:dyDescent="0.35">
      <c r="A484" s="3" t="str">
        <f>HYPERLINK("https://edmondsonsupply.com/collections/personal-protection-safety/products/klein-tools-60618-winter-thermal-gloves-s", "https://edmondsonsupply.com/collections/personal-protection-safety/products/klein-tools-60618-winter-thermal-gloves-s")</f>
        <v>https://edmondsonsupply.com/collections/personal-protection-safety/products/klein-tools-60618-winter-thermal-gloves-s</v>
      </c>
      <c r="B484" s="3" t="str">
        <f>HYPERLINK("https://edmondsonsupply.com/products/klein-tools-60618-winter-thermal-gloves-s", "https://edmondsonsupply.com/products/klein-tools-60618-winter-thermal-gloves-s")</f>
        <v>https://edmondsonsupply.com/products/klein-tools-60618-winter-thermal-gloves-s</v>
      </c>
      <c r="C484" t="s">
        <v>1172</v>
      </c>
      <c r="D484" t="s">
        <v>1173</v>
      </c>
      <c r="E484" s="3" t="str">
        <f>HYPERLINK("https://www.amazon.com/Klein-Tools-60618-Thinsulate-Thermal/dp/B0BPDVYGPY/ref=sr_1_1?keywords=Klein+Tools+60618+Winter+Thermal+Gloves%2C+S&amp;qid=1695173221&amp;sr=8-1", "https://www.amazon.com/Klein-Tools-60618-Thinsulate-Thermal/dp/B0BPDVYGPY/ref=sr_1_1?keywords=Klein+Tools+60618+Winter+Thermal+Gloves%2C+S&amp;qid=1695173221&amp;sr=8-1")</f>
        <v>https://www.amazon.com/Klein-Tools-60618-Thinsulate-Thermal/dp/B0BPDVYGPY/ref=sr_1_1?keywords=Klein+Tools+60618+Winter+Thermal+Gloves%2C+S&amp;qid=1695173221&amp;sr=8-1</v>
      </c>
      <c r="F484" t="s">
        <v>1174</v>
      </c>
      <c r="G484" t="e">
        <f ca="1">_xludf.IMAGE("https://edmondsonsupply.com/cdn/shop/products/60619_62a83fea-23b4-4533-9ced-7a430ce0c8cd.jpg?v=1678462690")</f>
        <v>#NAME?</v>
      </c>
      <c r="H484" t="e">
        <f ca="1">_xludf.IMAGE("https://m.media-amazon.com/images/I/71yZfwKNZWL._AC_UL320_.jpg")</f>
        <v>#NAME?</v>
      </c>
      <c r="I484" t="s">
        <v>471</v>
      </c>
      <c r="J484">
        <v>24.99</v>
      </c>
      <c r="K484" s="4">
        <v>0</v>
      </c>
      <c r="L484">
        <v>4</v>
      </c>
      <c r="M484">
        <v>2</v>
      </c>
      <c r="O484" t="s">
        <v>25</v>
      </c>
      <c r="P484" t="s">
        <v>602</v>
      </c>
      <c r="Q484" t="s">
        <v>1175</v>
      </c>
    </row>
    <row r="485" spans="1:17" ht="15.5" x14ac:dyDescent="0.35">
      <c r="A485" s="3" t="str">
        <f>HYPERLINK("https://edmondsonsupply.com/collections/personal-protection-safety/products/klein-tools-40234-journeyman-wire-pulling-gloves-xl", "https://edmondsonsupply.com/collections/personal-protection-safety/products/klein-tools-40234-journeyman-wire-pulling-gloves-xl")</f>
        <v>https://edmondsonsupply.com/collections/personal-protection-safety/products/klein-tools-40234-journeyman-wire-pulling-gloves-xl</v>
      </c>
      <c r="B485" s="3" t="str">
        <f>HYPERLINK("https://edmondsonsupply.com/products/klein-tools-40234-journeyman-wire-pulling-gloves-xl", "https://edmondsonsupply.com/products/klein-tools-40234-journeyman-wire-pulling-gloves-xl")</f>
        <v>https://edmondsonsupply.com/products/klein-tools-40234-journeyman-wire-pulling-gloves-xl</v>
      </c>
      <c r="C485" t="s">
        <v>1176</v>
      </c>
      <c r="D485" t="s">
        <v>1177</v>
      </c>
      <c r="E485" s="3" t="str">
        <f>HYPERLINK("https://www.amazon.com/Journeyman-Pulling-Klein-Tools-40234/dp/B01MQCC9IZ/ref=sr_1_1?keywords=Klein+Tools+40234+Journeyman+Wire+Pulling+Gloves%2C+XL&amp;qid=1695173232&amp;sr=8-1", "https://www.amazon.com/Journeyman-Pulling-Klein-Tools-40234/dp/B01MQCC9IZ/ref=sr_1_1?keywords=Klein+Tools+40234+Journeyman+Wire+Pulling+Gloves%2C+XL&amp;qid=1695173232&amp;sr=8-1")</f>
        <v>https://www.amazon.com/Journeyman-Pulling-Klein-Tools-40234/dp/B01MQCC9IZ/ref=sr_1_1?keywords=Klein+Tools+40234+Journeyman+Wire+Pulling+Gloves%2C+XL&amp;qid=1695173232&amp;sr=8-1</v>
      </c>
      <c r="F485" t="s">
        <v>1178</v>
      </c>
      <c r="G485" t="e">
        <f ca="1">_xludf.IMAGE("https://edmondsonsupply.com/cdn/shop/products/40234.jpg?v=1664126527")</f>
        <v>#NAME?</v>
      </c>
      <c r="H485" t="e">
        <f ca="1">_xludf.IMAGE("https://m.media-amazon.com/images/I/61KtxlVqHIL._AC_UL320_.jpg")</f>
        <v>#NAME?</v>
      </c>
      <c r="I485" t="s">
        <v>893</v>
      </c>
      <c r="J485">
        <v>19.97</v>
      </c>
      <c r="K485" s="4">
        <v>0</v>
      </c>
      <c r="L485">
        <v>4.5</v>
      </c>
      <c r="M485">
        <v>317</v>
      </c>
      <c r="O485" t="s">
        <v>25</v>
      </c>
      <c r="P485" t="s">
        <v>1105</v>
      </c>
      <c r="Q485" t="s">
        <v>1179</v>
      </c>
    </row>
    <row r="486" spans="1:17" ht="15.5" x14ac:dyDescent="0.35">
      <c r="A486" s="3" t="str">
        <f>HYPERLINK("https://edmondsonsupply.com/collections/personal-protection-safety/products/klein-tools-605036-corded-earplugs-6-pair-pack", "https://edmondsonsupply.com/collections/personal-protection-safety/products/klein-tools-605036-corded-earplugs-6-pair-pack")</f>
        <v>https://edmondsonsupply.com/collections/personal-protection-safety/products/klein-tools-605036-corded-earplugs-6-pair-pack</v>
      </c>
      <c r="B486" s="3" t="str">
        <f>HYPERLINK("https://edmondsonsupply.com/products/klein-tools-605036-corded-earplugs-6-pair-pack", "https://edmondsonsupply.com/products/klein-tools-605036-corded-earplugs-6-pair-pack")</f>
        <v>https://edmondsonsupply.com/products/klein-tools-605036-corded-earplugs-6-pair-pack</v>
      </c>
      <c r="C486" t="s">
        <v>1180</v>
      </c>
      <c r="D486" t="s">
        <v>1181</v>
      </c>
      <c r="E486" s="3" t="str">
        <f>HYPERLINK("https://www.amazon.com/Klein-Tools-605036-Construction-Industrial/dp/B0BSZH7YDX/ref=sr_1_1?keywords=Klein+Tools+605036+Corded+Earplugs%2C+6-Pair+Pack&amp;qid=1695173214&amp;sr=8-1", "https://www.amazon.com/Klein-Tools-605036-Construction-Industrial/dp/B0BSZH7YDX/ref=sr_1_1?keywords=Klein+Tools+605036+Corded+Earplugs%2C+6-Pair+Pack&amp;qid=1695173214&amp;sr=8-1")</f>
        <v>https://www.amazon.com/Klein-Tools-605036-Construction-Industrial/dp/B0BSZH7YDX/ref=sr_1_1?keywords=Klein+Tools+605036+Corded+Earplugs%2C+6-Pair+Pack&amp;qid=1695173214&amp;sr=8-1</v>
      </c>
      <c r="F486" t="s">
        <v>1182</v>
      </c>
      <c r="G486" t="e">
        <f ca="1">_xludf.IMAGE("https://edmondsonsupply.com/cdn/shop/products/605036.jpg?v=1677684007")</f>
        <v>#NAME?</v>
      </c>
      <c r="H486" t="e">
        <f ca="1">_xludf.IMAGE("https://m.media-amazon.com/images/I/61FbxYoqEnL._AC_UL320_.jpg")</f>
        <v>#NAME?</v>
      </c>
      <c r="I486" t="s">
        <v>1183</v>
      </c>
      <c r="J486">
        <v>5.97</v>
      </c>
      <c r="K486" s="4">
        <v>0</v>
      </c>
      <c r="L486">
        <v>4.3</v>
      </c>
      <c r="M486">
        <v>15</v>
      </c>
      <c r="O486" t="s">
        <v>25</v>
      </c>
      <c r="P486" t="s">
        <v>1184</v>
      </c>
      <c r="Q486" t="s">
        <v>1185</v>
      </c>
    </row>
    <row r="487" spans="1:17" ht="15.5" x14ac:dyDescent="0.35">
      <c r="A487" s="3" t="str">
        <f>HYPERLINK("https://edmondsonsupply.com/collections/personal-protection-safety/products/klein-tools-60615-heavy-duty-knee-pad-sleeves-s-m", "https://edmondsonsupply.com/collections/personal-protection-safety/products/klein-tools-60615-heavy-duty-knee-pad-sleeves-s-m")</f>
        <v>https://edmondsonsupply.com/collections/personal-protection-safety/products/klein-tools-60615-heavy-duty-knee-pad-sleeves-s-m</v>
      </c>
      <c r="B487" s="3" t="str">
        <f>HYPERLINK("https://edmondsonsupply.com/products/klein-tools-60615-heavy-duty-knee-pad-sleeves-s-m", "https://edmondsonsupply.com/products/klein-tools-60615-heavy-duty-knee-pad-sleeves-s-m")</f>
        <v>https://edmondsonsupply.com/products/klein-tools-60615-heavy-duty-knee-pad-sleeves-s-m</v>
      </c>
      <c r="C487" t="s">
        <v>1029</v>
      </c>
      <c r="D487" t="s">
        <v>891</v>
      </c>
      <c r="E487" s="3" t="str">
        <f>HYPERLINK("https://www.amazon.com/Klein-Tools-60615-Breathable-Slip-Resistant/dp/B0BWB8VW7J/ref=sr_1_1?keywords=Klein+Tools+60615+Heavy+Duty+Knee+Pad+Sleeves%2C+S%2FM&amp;qid=1695173224&amp;sr=8-1", "https://www.amazon.com/Klein-Tools-60615-Breathable-Slip-Resistant/dp/B0BWB8VW7J/ref=sr_1_1?keywords=Klein+Tools+60615+Heavy+Duty+Knee+Pad+Sleeves%2C+S%2FM&amp;qid=1695173224&amp;sr=8-1")</f>
        <v>https://www.amazon.com/Klein-Tools-60615-Breathable-Slip-Resistant/dp/B0BWB8VW7J/ref=sr_1_1?keywords=Klein+Tools+60615+Heavy+Duty+Knee+Pad+Sleeves%2C+S%2FM&amp;qid=1695173224&amp;sr=8-1</v>
      </c>
      <c r="F487" t="s">
        <v>892</v>
      </c>
      <c r="G487" t="e">
        <f ca="1">_xludf.IMAGE("https://edmondsonsupply.com/cdn/shop/products/60511_60611_b_f68c12ff-69e9-4ee5-9cc0-02cf7484e091.jpg?v=1681743847")</f>
        <v>#NAME?</v>
      </c>
      <c r="H487" t="e">
        <f ca="1">_xludf.IMAGE("https://m.media-amazon.com/images/I/61FKkSJ3xeL._AC_UL320_.jpg")</f>
        <v>#NAME?</v>
      </c>
      <c r="I487" t="s">
        <v>198</v>
      </c>
      <c r="J487">
        <v>39.99</v>
      </c>
      <c r="K487" s="4">
        <v>0</v>
      </c>
      <c r="L487">
        <v>4</v>
      </c>
      <c r="M487">
        <v>18</v>
      </c>
      <c r="O487" t="s">
        <v>25</v>
      </c>
      <c r="P487" t="s">
        <v>1027</v>
      </c>
      <c r="Q487" t="s">
        <v>1030</v>
      </c>
    </row>
    <row r="488" spans="1:17" ht="15.5" x14ac:dyDescent="0.35">
      <c r="A488" s="3" t="str">
        <f>HYPERLINK("https://edmondsonsupply.com/collections/personal-protection-safety/products/klein-tools-40231-high-dexterity-touchscreen-gloves-xl", "https://edmondsonsupply.com/collections/personal-protection-safety/products/klein-tools-40231-high-dexterity-touchscreen-gloves-xl")</f>
        <v>https://edmondsonsupply.com/collections/personal-protection-safety/products/klein-tools-40231-high-dexterity-touchscreen-gloves-xl</v>
      </c>
      <c r="B488" s="3" t="str">
        <f>HYPERLINK("https://edmondsonsupply.com/products/klein-tools-40231-high-dexterity-touchscreen-gloves-xl", "https://edmondsonsupply.com/products/klein-tools-40231-high-dexterity-touchscreen-gloves-xl")</f>
        <v>https://edmondsonsupply.com/products/klein-tools-40231-high-dexterity-touchscreen-gloves-xl</v>
      </c>
      <c r="C488" t="s">
        <v>1186</v>
      </c>
      <c r="D488" t="s">
        <v>1187</v>
      </c>
      <c r="E488" s="3" t="str">
        <f>HYPERLINK("https://www.amazon.com/Dexterity-Touchscreen-Klein-Tools-40231/dp/B01M5G3WA7/ref=sr_1_1?keywords=Klein+Tools+40231+High+Dexterity+Touchscreen+Gloves%2C+XL&amp;qid=1695173239&amp;sr=8-1", "https://www.amazon.com/Dexterity-Touchscreen-Klein-Tools-40231/dp/B01M5G3WA7/ref=sr_1_1?keywords=Klein+Tools+40231+High+Dexterity+Touchscreen+Gloves%2C+XL&amp;qid=1695173239&amp;sr=8-1")</f>
        <v>https://www.amazon.com/Dexterity-Touchscreen-Klein-Tools-40231/dp/B01M5G3WA7/ref=sr_1_1?keywords=Klein+Tools+40231+High+Dexterity+Touchscreen+Gloves%2C+XL&amp;qid=1695173239&amp;sr=8-1</v>
      </c>
      <c r="F488" t="s">
        <v>1188</v>
      </c>
      <c r="G488" t="e">
        <f ca="1">_xludf.IMAGE("https://edmondsonsupply.com/cdn/shop/products/40229_4ec43165-0eee-409f-b3e3-e0a2ee54b953.jpg?v=1659397421")</f>
        <v>#NAME?</v>
      </c>
      <c r="H488" t="e">
        <f ca="1">_xludf.IMAGE("https://m.media-amazon.com/images/I/61OBeXb4irL._AC_UL320_.jpg")</f>
        <v>#NAME?</v>
      </c>
      <c r="I488" t="s">
        <v>1110</v>
      </c>
      <c r="J488">
        <v>25.49</v>
      </c>
      <c r="K488" s="4">
        <v>0</v>
      </c>
      <c r="L488">
        <v>3.9</v>
      </c>
      <c r="M488">
        <v>72</v>
      </c>
      <c r="O488" t="s">
        <v>25</v>
      </c>
      <c r="P488" t="s">
        <v>1111</v>
      </c>
      <c r="Q488" t="s">
        <v>1189</v>
      </c>
    </row>
    <row r="489" spans="1:17" ht="15.5" x14ac:dyDescent="0.35">
      <c r="A489" s="3" t="str">
        <f>HYPERLINK("https://edmondsonsupply.com/collections/personal-protection-safety/products/klein-tools-60401-hard-hat-vented-full-brim-style", "https://edmondsonsupply.com/collections/personal-protection-safety/products/klein-tools-60401-hard-hat-vented-full-brim-style")</f>
        <v>https://edmondsonsupply.com/collections/personal-protection-safety/products/klein-tools-60401-hard-hat-vented-full-brim-style</v>
      </c>
      <c r="B489" s="3" t="str">
        <f>HYPERLINK("https://edmondsonsupply.com/products/klein-tools-60401-hard-hat-vented-full-brim-style", "https://edmondsonsupply.com/products/klein-tools-60401-hard-hat-vented-full-brim-style")</f>
        <v>https://edmondsonsupply.com/products/klein-tools-60401-hard-hat-vented-full-brim-style</v>
      </c>
      <c r="C489" t="s">
        <v>943</v>
      </c>
      <c r="D489" t="s">
        <v>991</v>
      </c>
      <c r="E489" s="3" t="str">
        <f>HYPERLINK("https://www.amazon.com/Klein-Tools-Hard-Non-vented-Style/dp/B07TQNTCKL/ref=sr_1_2?keywords=Klein+Tools+60401+Hard+Hat%2C+Vented%2C+Full+Brim+Style&amp;qid=1695173214&amp;sr=8-2", "https://www.amazon.com/Klein-Tools-Hard-Non-vented-Style/dp/B07TQNTCKL/ref=sr_1_2?keywords=Klein+Tools+60401+Hard+Hat%2C+Vented%2C+Full+Brim+Style&amp;qid=1695173214&amp;sr=8-2")</f>
        <v>https://www.amazon.com/Klein-Tools-Hard-Non-vented-Style/dp/B07TQNTCKL/ref=sr_1_2?keywords=Klein+Tools+60401+Hard+Hat%2C+Vented%2C+Full+Brim+Style&amp;qid=1695173214&amp;sr=8-2</v>
      </c>
      <c r="F489" t="s">
        <v>992</v>
      </c>
      <c r="G489" t="e">
        <f ca="1">_xludf.IMAGE("https://edmondsonsupply.com/cdn/shop/products/60401.jpg?v=1587143271")</f>
        <v>#NAME?</v>
      </c>
      <c r="H489" t="e">
        <f ca="1">_xludf.IMAGE("https://m.media-amazon.com/images/I/61IcdM8MBnL._AC_UL320_.jpg")</f>
        <v>#NAME?</v>
      </c>
      <c r="I489" t="s">
        <v>946</v>
      </c>
      <c r="J489">
        <v>44.99</v>
      </c>
      <c r="K489" s="4">
        <v>0</v>
      </c>
      <c r="L489">
        <v>4.7</v>
      </c>
      <c r="M489">
        <v>358</v>
      </c>
      <c r="O489" t="s">
        <v>25</v>
      </c>
      <c r="P489" t="s">
        <v>947</v>
      </c>
      <c r="Q489" t="s">
        <v>948</v>
      </c>
    </row>
    <row r="490" spans="1:17" ht="15.5" x14ac:dyDescent="0.35">
      <c r="A490" s="3" t="str">
        <f>HYPERLINK("https://edmondsonsupply.com/collections/personal-protection-safety/products/klein-tools-60620-winter-thermal-gloves-l", "https://edmondsonsupply.com/collections/personal-protection-safety/products/klein-tools-60620-winter-thermal-gloves-l")</f>
        <v>https://edmondsonsupply.com/collections/personal-protection-safety/products/klein-tools-60620-winter-thermal-gloves-l</v>
      </c>
      <c r="B490" s="3" t="str">
        <f>HYPERLINK("https://edmondsonsupply.com/products/klein-tools-60620-winter-thermal-gloves-l", "https://edmondsonsupply.com/products/klein-tools-60620-winter-thermal-gloves-l")</f>
        <v>https://edmondsonsupply.com/products/klein-tools-60620-winter-thermal-gloves-l</v>
      </c>
      <c r="C490" t="s">
        <v>1190</v>
      </c>
      <c r="D490" t="s">
        <v>1191</v>
      </c>
      <c r="E490" s="3" t="str">
        <f>HYPERLINK("https://www.amazon.com/Klein-Tools-60620-Thinsulate-Thermal/dp/B0BPDVBNYF/ref=sr_1_4?keywords=Klein+Tools+60620+Winter+Thermal+Gloves%2C+L&amp;qid=1695173229&amp;sr=8-4", "https://www.amazon.com/Klein-Tools-60620-Thinsulate-Thermal/dp/B0BPDVBNYF/ref=sr_1_4?keywords=Klein+Tools+60620+Winter+Thermal+Gloves%2C+L&amp;qid=1695173229&amp;sr=8-4")</f>
        <v>https://www.amazon.com/Klein-Tools-60620-Thinsulate-Thermal/dp/B0BPDVBNYF/ref=sr_1_4?keywords=Klein+Tools+60620+Winter+Thermal+Gloves%2C+L&amp;qid=1695173229&amp;sr=8-4</v>
      </c>
      <c r="F490" t="s">
        <v>1192</v>
      </c>
      <c r="G490" t="e">
        <f ca="1">_xludf.IMAGE("https://edmondsonsupply.com/cdn/shop/products/60619_d9a5b77e-323d-40d8-9bbc-c2b115e41e47.jpg?v=1674498060")</f>
        <v>#NAME?</v>
      </c>
      <c r="H490" t="e">
        <f ca="1">_xludf.IMAGE("https://m.media-amazon.com/images/I/71yZfwKNZWL._AC_UL320_.jpg")</f>
        <v>#NAME?</v>
      </c>
      <c r="I490" t="s">
        <v>471</v>
      </c>
      <c r="J490">
        <v>24.99</v>
      </c>
      <c r="K490" s="4">
        <v>0</v>
      </c>
      <c r="L490">
        <v>4</v>
      </c>
      <c r="M490">
        <v>2</v>
      </c>
      <c r="O490" t="s">
        <v>25</v>
      </c>
      <c r="P490" t="s">
        <v>602</v>
      </c>
      <c r="Q490" t="s">
        <v>1193</v>
      </c>
    </row>
    <row r="491" spans="1:17" ht="15.5" x14ac:dyDescent="0.35">
      <c r="A491" s="3" t="str">
        <f>HYPERLINK("https://edmondsonsupply.com/collections/personal-protection-safety/products/klein-tools-60172-pro-safety-glasses-wide-lens-2-pack", "https://edmondsonsupply.com/collections/personal-protection-safety/products/klein-tools-60172-pro-safety-glasses-wide-lens-2-pack")</f>
        <v>https://edmondsonsupply.com/collections/personal-protection-safety/products/klein-tools-60172-pro-safety-glasses-wide-lens-2-pack</v>
      </c>
      <c r="B491" s="3" t="str">
        <f>HYPERLINK("https://edmondsonsupply.com/products/klein-tools-60172-pro-safety-glasses-wide-lens-2-pack", "https://edmondsonsupply.com/products/klein-tools-60172-pro-safety-glasses-wide-lens-2-pack")</f>
        <v>https://edmondsonsupply.com/products/klein-tools-60172-pro-safety-glasses-wide-lens-2-pack</v>
      </c>
      <c r="C491" t="s">
        <v>1194</v>
      </c>
      <c r="D491" t="s">
        <v>1195</v>
      </c>
      <c r="E491" s="3" t="str">
        <f>HYPERLINK("https://www.amazon.com/Klein-Tools-60172-Professional-Protective/dp/B08B6ZZY8D/ref=sr_1_1?keywords=Klein+Tools+60172+PRO+Safety+Glasses%2C+Wide+Lens%2C+2-Pack&amp;qid=1695173249&amp;sr=8-1", "https://www.amazon.com/Klein-Tools-60172-Professional-Protective/dp/B08B6ZZY8D/ref=sr_1_1?keywords=Klein+Tools+60172+PRO+Safety+Glasses%2C+Wide+Lens%2C+2-Pack&amp;qid=1695173249&amp;sr=8-1")</f>
        <v>https://www.amazon.com/Klein-Tools-60172-Professional-Protective/dp/B08B6ZZY8D/ref=sr_1_1?keywords=Klein+Tools+60172+PRO+Safety+Glasses%2C+Wide+Lens%2C+2-Pack&amp;qid=1695173249&amp;sr=8-1</v>
      </c>
      <c r="F491" t="s">
        <v>1196</v>
      </c>
      <c r="G491" t="e">
        <f ca="1">_xludf.IMAGE("https://edmondsonsupply.com/cdn/shop/products/60172.jpg?v=1633030853")</f>
        <v>#NAME?</v>
      </c>
      <c r="H491" t="e">
        <f ca="1">_xludf.IMAGE("https://m.media-amazon.com/images/I/51NTbRtYx8L._AC_UL320_.jpg")</f>
        <v>#NAME?</v>
      </c>
      <c r="I491" t="s">
        <v>1158</v>
      </c>
      <c r="J491">
        <v>21.99</v>
      </c>
      <c r="K491" s="4">
        <v>0</v>
      </c>
      <c r="L491">
        <v>4.4000000000000004</v>
      </c>
      <c r="M491">
        <v>374</v>
      </c>
      <c r="O491" t="s">
        <v>25</v>
      </c>
      <c r="P491" t="s">
        <v>1159</v>
      </c>
      <c r="Q491" t="s">
        <v>1197</v>
      </c>
    </row>
    <row r="492" spans="1:17" ht="15.5" x14ac:dyDescent="0.35">
      <c r="A492" s="3" t="str">
        <f>HYPERLINK("https://edmondsonsupply.com/collections/personal-protection-safety/products/klein-tools-56062-rechargeable-headlamp-and-worklight-300-lumens-all-day-runtime", "https://edmondsonsupply.com/collections/personal-protection-safety/products/klein-tools-56062-rechargeable-headlamp-and-worklight-300-lumens-all-day-runtime")</f>
        <v>https://edmondsonsupply.com/collections/personal-protection-safety/products/klein-tools-56062-rechargeable-headlamp-and-worklight-300-lumens-all-day-runtime</v>
      </c>
      <c r="B492" s="3" t="str">
        <f>HYPERLINK("https://edmondsonsupply.com/products/klein-tools-56062-rechargeable-headlamp-and-worklight-300-lumens-all-day-runtime", "https://edmondsonsupply.com/products/klein-tools-56062-rechargeable-headlamp-and-worklight-300-lumens-all-day-runtime")</f>
        <v>https://edmondsonsupply.com/products/klein-tools-56062-rechargeable-headlamp-and-worklight-300-lumens-all-day-runtime</v>
      </c>
      <c r="C492" t="s">
        <v>821</v>
      </c>
      <c r="D492" t="s">
        <v>1198</v>
      </c>
      <c r="E492" s="3" t="str">
        <f>HYPERLINK("https://www.amazon.com/Klein-Tools-56062-Rechargeable-Worklight/dp/B089CHFBL3/ref=sr_1_5?keywords=Klein+Tools+56062+Rechargeable+Headlamp+and+Worklight%2C+300+Lumens+All-Day+Runtime&amp;qid=1695173250&amp;sr=8-5", "https://www.amazon.com/Klein-Tools-56062-Rechargeable-Worklight/dp/B089CHFBL3/ref=sr_1_5?keywords=Klein+Tools+56062+Rechargeable+Headlamp+and+Worklight%2C+300+Lumens+All-Day+Runtime&amp;qid=1695173250&amp;sr=8-5")</f>
        <v>https://www.amazon.com/Klein-Tools-56062-Rechargeable-Worklight/dp/B089CHFBL3/ref=sr_1_5?keywords=Klein+Tools+56062+Rechargeable+Headlamp+and+Worklight%2C+300+Lumens+All-Day+Runtime&amp;qid=1695173250&amp;sr=8-5</v>
      </c>
      <c r="F492" t="s">
        <v>1199</v>
      </c>
      <c r="G492" t="e">
        <f ca="1">_xludf.IMAGE("https://edmondsonsupply.com/cdn/shop/products/56062.jpg?v=1633030735")</f>
        <v>#NAME?</v>
      </c>
      <c r="H492" t="e">
        <f ca="1">_xludf.IMAGE("https://m.media-amazon.com/images/I/61bt1PAPvFL._AC_UL320_.jpg")</f>
        <v>#NAME?</v>
      </c>
      <c r="I492" t="s">
        <v>824</v>
      </c>
      <c r="J492">
        <v>29.97</v>
      </c>
      <c r="K492" s="4">
        <v>0</v>
      </c>
      <c r="L492">
        <v>4.5999999999999996</v>
      </c>
      <c r="M492">
        <v>1771</v>
      </c>
      <c r="O492" t="s">
        <v>25</v>
      </c>
      <c r="P492" t="s">
        <v>825</v>
      </c>
      <c r="Q492" t="s">
        <v>826</v>
      </c>
    </row>
    <row r="493" spans="1:17" ht="15.5" x14ac:dyDescent="0.35">
      <c r="A493"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493"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493" t="s">
        <v>853</v>
      </c>
      <c r="D493" t="s">
        <v>927</v>
      </c>
      <c r="E493" s="3" t="str">
        <f>HYPERLINK("https://www.amazon.com/Klein-60470-Protection-Anti-Fog-Resistant/dp/B0B69KPRPF/ref=sr_1_4?keywords=Klein+Tools+60471+Professional+Full-Frame+Gasket+Safety+Glasses%2C+Gray+Lens&amp;qid=1695173231&amp;sr=8-4", "https://www.amazon.com/Klein-60470-Protection-Anti-Fog-Resistant/dp/B0B69KPRPF/ref=sr_1_4?keywords=Klein+Tools+60471+Professional+Full-Frame+Gasket+Safety+Glasses%2C+Gray+Lens&amp;qid=1695173231&amp;sr=8-4")</f>
        <v>https://www.amazon.com/Klein-60470-Protection-Anti-Fog-Resistant/dp/B0B69KPRPF/ref=sr_1_4?keywords=Klein+Tools+60471+Professional+Full-Frame+Gasket+Safety+Glasses%2C+Gray+Lens&amp;qid=1695173231&amp;sr=8-4</v>
      </c>
      <c r="F493" t="s">
        <v>928</v>
      </c>
      <c r="G493" t="e">
        <f ca="1">_xludf.IMAGE("https://edmondsonsupply.com/cdn/shop/products/60471.jpg?v=1663257501")</f>
        <v>#NAME?</v>
      </c>
      <c r="H493" t="e">
        <f ca="1">_xludf.IMAGE("https://m.media-amazon.com/images/I/51TkfiRMYgL._AC_UL320_.jpg")</f>
        <v>#NAME?</v>
      </c>
      <c r="I493" t="s">
        <v>252</v>
      </c>
      <c r="J493">
        <v>15.99</v>
      </c>
      <c r="K493" s="4">
        <v>0</v>
      </c>
      <c r="L493">
        <v>4</v>
      </c>
      <c r="M493">
        <v>29</v>
      </c>
      <c r="O493" t="s">
        <v>25</v>
      </c>
      <c r="P493" t="s">
        <v>854</v>
      </c>
      <c r="Q493" t="s">
        <v>855</v>
      </c>
    </row>
    <row r="494" spans="1:17" ht="15.5" x14ac:dyDescent="0.35">
      <c r="A494" s="3" t="str">
        <f>HYPERLINK("https://edmondsonsupply.com/collections/personal-protection-safety/products/klein-tools-60537-professional-safety-glasses-full-frame-indoor-outdoor-lens", "https://edmondsonsupply.com/collections/personal-protection-safety/products/klein-tools-60537-professional-safety-glasses-full-frame-indoor-outdoor-lens")</f>
        <v>https://edmondsonsupply.com/collections/personal-protection-safety/products/klein-tools-60537-professional-safety-glasses-full-frame-indoor-outdoor-lens</v>
      </c>
      <c r="B494"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494" t="s">
        <v>896</v>
      </c>
      <c r="D494" t="s">
        <v>956</v>
      </c>
      <c r="E494" s="3" t="str">
        <f>HYPERLINK("https://www.amazon.com/Klein-60163-Professional-Protective-Resistant/dp/B08B48CZ5V/ref=sr_1_7?keywords=Klein+Tools+60537+Professional+Safety+Glasses%2C+Full-Frame%2C+Indoor%2FOutdoor+Lens&amp;qid=1695173230&amp;sr=8-7", "https://www.amazon.com/Klein-60163-Professional-Protective-Resistant/dp/B08B48CZ5V/ref=sr_1_7?keywords=Klein+Tools+60537+Professional+Safety+Glasses%2C+Full-Frame%2C+Indoor%2FOutdoor+Lens&amp;qid=1695173230&amp;sr=8-7")</f>
        <v>https://www.amazon.com/Klein-60163-Professional-Protective-Resistant/dp/B08B48CZ5V/ref=sr_1_7?keywords=Klein+Tools+60537+Professional+Safety+Glasses%2C+Full-Frame%2C+Indoor%2FOutdoor+Lens&amp;qid=1695173230&amp;sr=8-7</v>
      </c>
      <c r="F494" t="s">
        <v>957</v>
      </c>
      <c r="G494" t="e">
        <f ca="1">_xludf.IMAGE("https://edmondsonsupply.com/cdn/shop/products/60537.jpg?v=1670947087")</f>
        <v>#NAME?</v>
      </c>
      <c r="H494" t="e">
        <f ca="1">_xludf.IMAGE("https://m.media-amazon.com/images/I/41IY8K6EFLL._AC_UL320_.jpg")</f>
        <v>#NAME?</v>
      </c>
      <c r="I494" t="s">
        <v>276</v>
      </c>
      <c r="J494">
        <v>14.99</v>
      </c>
      <c r="K494" s="4">
        <v>0</v>
      </c>
      <c r="L494">
        <v>4.4000000000000004</v>
      </c>
      <c r="M494">
        <v>198</v>
      </c>
      <c r="O494" t="s">
        <v>25</v>
      </c>
      <c r="P494" t="s">
        <v>277</v>
      </c>
      <c r="Q494" t="s">
        <v>897</v>
      </c>
    </row>
    <row r="495" spans="1:17" ht="15.5" x14ac:dyDescent="0.35">
      <c r="A495" s="3" t="str">
        <f>HYPERLINK("https://edmondsonsupply.com/collections/personal-protection-safety/products/klein-tools-60537-professional-safety-glasses-full-frame-indoor-outdoor-lens", "https://edmondsonsupply.com/collections/personal-protection-safety/products/klein-tools-60537-professional-safety-glasses-full-frame-indoor-outdoor-lens")</f>
        <v>https://edmondsonsupply.com/collections/personal-protection-safety/products/klein-tools-60537-professional-safety-glasses-full-frame-indoor-outdoor-lens</v>
      </c>
      <c r="B495"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495" t="s">
        <v>896</v>
      </c>
      <c r="D495" t="s">
        <v>958</v>
      </c>
      <c r="E495" s="3" t="str">
        <f>HYPERLINK("https://www.amazon.com/Klein-60164-Professional-Protective-Resistant/dp/B08B4BNSHM/ref=sr_1_9?keywords=Klein+Tools+60537+Professional+Safety+Glasses%2C+Full-Frame%2C+Indoor%2FOutdoor+Lens&amp;qid=1695173230&amp;sr=8-9", "https://www.amazon.com/Klein-60164-Professional-Protective-Resistant/dp/B08B4BNSHM/ref=sr_1_9?keywords=Klein+Tools+60537+Professional+Safety+Glasses%2C+Full-Frame%2C+Indoor%2FOutdoor+Lens&amp;qid=1695173230&amp;sr=8-9")</f>
        <v>https://www.amazon.com/Klein-60164-Professional-Protective-Resistant/dp/B08B4BNSHM/ref=sr_1_9?keywords=Klein+Tools+60537+Professional+Safety+Glasses%2C+Full-Frame%2C+Indoor%2FOutdoor+Lens&amp;qid=1695173230&amp;sr=8-9</v>
      </c>
      <c r="F495" t="s">
        <v>959</v>
      </c>
      <c r="G495" t="e">
        <f ca="1">_xludf.IMAGE("https://edmondsonsupply.com/cdn/shop/products/60537.jpg?v=1670947087")</f>
        <v>#NAME?</v>
      </c>
      <c r="H495" t="e">
        <f ca="1">_xludf.IMAGE("https://m.media-amazon.com/images/I/41bNrH9NnFL._AC_UL320_.jpg")</f>
        <v>#NAME?</v>
      </c>
      <c r="I495" t="s">
        <v>276</v>
      </c>
      <c r="J495">
        <v>14.99</v>
      </c>
      <c r="K495" s="4">
        <v>0</v>
      </c>
      <c r="L495">
        <v>4.4000000000000004</v>
      </c>
      <c r="M495">
        <v>463</v>
      </c>
      <c r="O495" t="s">
        <v>25</v>
      </c>
      <c r="P495" t="s">
        <v>277</v>
      </c>
      <c r="Q495" t="s">
        <v>897</v>
      </c>
    </row>
    <row r="496" spans="1:17" ht="15.5" x14ac:dyDescent="0.35">
      <c r="A496" s="3" t="str">
        <f>HYPERLINK("https://edmondsonsupply.com/collections/personal-protection-safety/products/klein-tools-60532-hard-hat-earmuffs-for-cap-style-and-safety-helmets", "https://edmondsonsupply.com/collections/personal-protection-safety/products/klein-tools-60532-hard-hat-earmuffs-for-cap-style-and-safety-helmets")</f>
        <v>https://edmondsonsupply.com/collections/personal-protection-safety/products/klein-tools-60532-hard-hat-earmuffs-for-cap-style-and-safety-helmets</v>
      </c>
      <c r="B496" s="3" t="str">
        <f>HYPERLINK("https://edmondsonsupply.com/products/klein-tools-60532-hard-hat-earmuffs-for-cap-style-and-safety-helmets", "https://edmondsonsupply.com/products/klein-tools-60532-hard-hat-earmuffs-for-cap-style-and-safety-helmets")</f>
        <v>https://edmondsonsupply.com/products/klein-tools-60532-hard-hat-earmuffs-for-cap-style-and-safety-helmets</v>
      </c>
      <c r="C496" t="s">
        <v>1200</v>
      </c>
      <c r="D496" t="s">
        <v>1201</v>
      </c>
      <c r="E496" s="3" t="str">
        <f>HYPERLINK("https://www.amazon.com/Klein-Tools-60532-Attachment-Protection/dp/B0BMW81MN6/ref=sr_1_1?keywords=Klein+Tools+60532+Hard+Hat+Earmuffs+for+Cap+Style+and+Safety+Helmets&amp;qid=1695173222&amp;sr=8-1", "https://www.amazon.com/Klein-Tools-60532-Attachment-Protection/dp/B0BMW81MN6/ref=sr_1_1?keywords=Klein+Tools+60532+Hard+Hat+Earmuffs+for+Cap+Style+and+Safety+Helmets&amp;qid=1695173222&amp;sr=8-1")</f>
        <v>https://www.amazon.com/Klein-Tools-60532-Attachment-Protection/dp/B0BMW81MN6/ref=sr_1_1?keywords=Klein+Tools+60532+Hard+Hat+Earmuffs+for+Cap+Style+and+Safety+Helmets&amp;qid=1695173222&amp;sr=8-1</v>
      </c>
      <c r="F496" t="s">
        <v>1202</v>
      </c>
      <c r="G496" t="e">
        <f ca="1">_xludf.IMAGE("https://edmondsonsupply.com/cdn/shop/products/60532.jpg?v=1674488078")</f>
        <v>#NAME?</v>
      </c>
      <c r="H496" t="e">
        <f ca="1">_xludf.IMAGE("https://m.media-amazon.com/images/I/611HffL6OGL._AC_UL320_.jpg")</f>
        <v>#NAME?</v>
      </c>
      <c r="I496" t="s">
        <v>26</v>
      </c>
      <c r="J496">
        <v>29.99</v>
      </c>
      <c r="K496" s="4">
        <v>0</v>
      </c>
      <c r="L496">
        <v>3.9</v>
      </c>
      <c r="M496">
        <v>6</v>
      </c>
      <c r="O496" t="s">
        <v>25</v>
      </c>
      <c r="P496" t="s">
        <v>562</v>
      </c>
      <c r="Q496" t="s">
        <v>1203</v>
      </c>
    </row>
    <row r="497" spans="1:17" ht="15.5" x14ac:dyDescent="0.35">
      <c r="A497" s="3" t="str">
        <f>HYPERLINK("https://edmondsonsupply.com/collections/personal-protection-safety/products/klein-tools-60470-professional-full-frame-gasket-safety-glasses-clear-lens", "https://edmondsonsupply.com/collections/personal-protection-safety/products/klein-tools-60470-professional-full-frame-gasket-safety-glasses-clear-lens")</f>
        <v>https://edmondsonsupply.com/collections/personal-protection-safety/products/klein-tools-60470-professional-full-frame-gasket-safety-glasses-clear-lens</v>
      </c>
      <c r="B497"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497" t="s">
        <v>919</v>
      </c>
      <c r="D497" t="s">
        <v>927</v>
      </c>
      <c r="E497" s="3" t="str">
        <f>HYPERLINK("https://www.amazon.com/Klein-60470-Protection-Anti-Fog-Resistant/dp/B0B69KPRPF/ref=sr_1_1?keywords=Klein+Tools+60470+Professional+Full-Frame+Gasket+Safety+Glasses%2C+Clear+Lens&amp;qid=1695173234&amp;sr=8-1", "https://www.amazon.com/Klein-60470-Protection-Anti-Fog-Resistant/dp/B0B69KPRPF/ref=sr_1_1?keywords=Klein+Tools+60470+Professional+Full-Frame+Gasket+Safety+Glasses%2C+Clear+Lens&amp;qid=1695173234&amp;sr=8-1")</f>
        <v>https://www.amazon.com/Klein-60470-Protection-Anti-Fog-Resistant/dp/B0B69KPRPF/ref=sr_1_1?keywords=Klein+Tools+60470+Professional+Full-Frame+Gasket+Safety+Glasses%2C+Clear+Lens&amp;qid=1695173234&amp;sr=8-1</v>
      </c>
      <c r="F497" t="s">
        <v>928</v>
      </c>
      <c r="G497" t="e">
        <f ca="1">_xludf.IMAGE("https://edmondsonsupply.com/cdn/shop/products/60470.jpg?v=1663260659")</f>
        <v>#NAME?</v>
      </c>
      <c r="H497" t="e">
        <f ca="1">_xludf.IMAGE("https://m.media-amazon.com/images/I/51TkfiRMYgL._AC_UL320_.jpg")</f>
        <v>#NAME?</v>
      </c>
      <c r="I497" t="s">
        <v>252</v>
      </c>
      <c r="J497">
        <v>15.99</v>
      </c>
      <c r="K497" s="4">
        <v>0</v>
      </c>
      <c r="L497">
        <v>4</v>
      </c>
      <c r="M497">
        <v>29</v>
      </c>
      <c r="O497" t="s">
        <v>25</v>
      </c>
      <c r="P497" t="s">
        <v>854</v>
      </c>
      <c r="Q497" t="s">
        <v>920</v>
      </c>
    </row>
    <row r="498" spans="1:17" ht="15.5" x14ac:dyDescent="0.35">
      <c r="A498" s="3" t="str">
        <f>HYPERLINK("https://edmondsonsupply.com/collections/personal-protection-safety/products/klein-tools-60470-professional-full-frame-gasket-safety-glasses-clear-lens", "https://edmondsonsupply.com/collections/personal-protection-safety/products/klein-tools-60470-professional-full-frame-gasket-safety-glasses-clear-lens")</f>
        <v>https://edmondsonsupply.com/collections/personal-protection-safety/products/klein-tools-60470-professional-full-frame-gasket-safety-glasses-clear-lens</v>
      </c>
      <c r="B498"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498" t="s">
        <v>919</v>
      </c>
      <c r="D498" t="s">
        <v>930</v>
      </c>
      <c r="E498" s="3" t="str">
        <f>HYPERLINK("https://www.amazon.com/Klein-60471-Protection-Anti-Fog-Resistant/dp/B0B69LNT2Y/ref=sr_1_3?keywords=Klein+Tools+60470+Professional+Full-Frame+Gasket+Safety+Glasses%2C+Clear+Lens&amp;qid=1695173234&amp;sr=8-3", "https://www.amazon.com/Klein-60471-Protection-Anti-Fog-Resistant/dp/B0B69LNT2Y/ref=sr_1_3?keywords=Klein+Tools+60470+Professional+Full-Frame+Gasket+Safety+Glasses%2C+Clear+Lens&amp;qid=1695173234&amp;sr=8-3")</f>
        <v>https://www.amazon.com/Klein-60471-Protection-Anti-Fog-Resistant/dp/B0B69LNT2Y/ref=sr_1_3?keywords=Klein+Tools+60470+Professional+Full-Frame+Gasket+Safety+Glasses%2C+Clear+Lens&amp;qid=1695173234&amp;sr=8-3</v>
      </c>
      <c r="F498" t="s">
        <v>931</v>
      </c>
      <c r="G498" t="e">
        <f ca="1">_xludf.IMAGE("https://edmondsonsupply.com/cdn/shop/products/60470.jpg?v=1663260659")</f>
        <v>#NAME?</v>
      </c>
      <c r="H498" t="e">
        <f ca="1">_xludf.IMAGE("https://m.media-amazon.com/images/I/51z-a2tdJlL._AC_UL320_.jpg")</f>
        <v>#NAME?</v>
      </c>
      <c r="I498" t="s">
        <v>252</v>
      </c>
      <c r="J498">
        <v>15.99</v>
      </c>
      <c r="K498" s="4">
        <v>0</v>
      </c>
      <c r="L498">
        <v>4.3</v>
      </c>
      <c r="M498">
        <v>56</v>
      </c>
      <c r="O498" t="s">
        <v>25</v>
      </c>
      <c r="P498" t="s">
        <v>854</v>
      </c>
      <c r="Q498" t="s">
        <v>920</v>
      </c>
    </row>
    <row r="499" spans="1:17" ht="15.5" x14ac:dyDescent="0.35">
      <c r="A499" s="3" t="str">
        <f>HYPERLINK("https://edmondsonsupply.com/collections/personal-protection-safety/products/klein-tools-60162-professional-safety-glasses-gray-lens", "https://edmondsonsupply.com/collections/personal-protection-safety/products/klein-tools-60162-professional-safety-glasses-gray-lens")</f>
        <v>https://edmondsonsupply.com/collections/personal-protection-safety/products/klein-tools-60162-professional-safety-glasses-gray-lens</v>
      </c>
      <c r="B499" s="3" t="str">
        <f>HYPERLINK("https://edmondsonsupply.com/products/klein-tools-60162-professional-safety-glasses-gray-lens", "https://edmondsonsupply.com/products/klein-tools-60162-professional-safety-glasses-gray-lens")</f>
        <v>https://edmondsonsupply.com/products/klein-tools-60162-professional-safety-glasses-gray-lens</v>
      </c>
      <c r="C499" t="s">
        <v>833</v>
      </c>
      <c r="D499" t="s">
        <v>1204</v>
      </c>
      <c r="E499" s="3" t="str">
        <f>HYPERLINK("https://www.amazon.com/Klein-60162-Professional-Protective-Resistant/dp/B08B47MGR6/ref=sr_1_1?keywords=Klein+Tools+60162+Professional+Safety+Glasses%2C+Gray+Lens&amp;qid=1695173247&amp;sr=8-1", "https://www.amazon.com/Klein-60162-Professional-Protective-Resistant/dp/B08B47MGR6/ref=sr_1_1?keywords=Klein+Tools+60162+Professional+Safety+Glasses%2C+Gray+Lens&amp;qid=1695173247&amp;sr=8-1")</f>
        <v>https://www.amazon.com/Klein-60162-Professional-Protective-Resistant/dp/B08B47MGR6/ref=sr_1_1?keywords=Klein+Tools+60162+Professional+Safety+Glasses%2C+Gray+Lens&amp;qid=1695173247&amp;sr=8-1</v>
      </c>
      <c r="F499" t="s">
        <v>1205</v>
      </c>
      <c r="G499" t="e">
        <f ca="1">_xludf.IMAGE("https://edmondsonsupply.com/cdn/shop/products/60162.jpg?v=1633030847")</f>
        <v>#NAME?</v>
      </c>
      <c r="H499" t="e">
        <f ca="1">_xludf.IMAGE("https://m.media-amazon.com/images/I/51MQyUmXnZL._AC_UL320_.jpg")</f>
        <v>#NAME?</v>
      </c>
      <c r="I499" t="s">
        <v>834</v>
      </c>
      <c r="J499">
        <v>12.99</v>
      </c>
      <c r="K499" s="4">
        <v>0</v>
      </c>
      <c r="L499">
        <v>4.4000000000000004</v>
      </c>
      <c r="M499">
        <v>374</v>
      </c>
      <c r="O499" t="s">
        <v>25</v>
      </c>
      <c r="P499" t="s">
        <v>835</v>
      </c>
      <c r="Q499" t="s">
        <v>836</v>
      </c>
    </row>
    <row r="500" spans="1:17" ht="15.5" x14ac:dyDescent="0.35">
      <c r="A500" s="3" t="str">
        <f>HYPERLINK("https://edmondsonsupply.com/collections/personal-protection-safety/products/klein-tools-40231-high-dexterity-touchscreen-gloves-xl", "https://edmondsonsupply.com/collections/personal-protection-safety/products/klein-tools-40231-high-dexterity-touchscreen-gloves-xl")</f>
        <v>https://edmondsonsupply.com/collections/personal-protection-safety/products/klein-tools-40231-high-dexterity-touchscreen-gloves-xl</v>
      </c>
      <c r="B500" s="3" t="str">
        <f>HYPERLINK("https://edmondsonsupply.com/products/klein-tools-40231-high-dexterity-touchscreen-gloves-xl", "https://edmondsonsupply.com/products/klein-tools-40231-high-dexterity-touchscreen-gloves-xl")</f>
        <v>https://edmondsonsupply.com/products/klein-tools-40231-high-dexterity-touchscreen-gloves-xl</v>
      </c>
      <c r="C500" t="s">
        <v>1186</v>
      </c>
      <c r="D500" t="s">
        <v>1108</v>
      </c>
      <c r="E500" s="3" t="str">
        <f>HYPERLINK("https://www.amazon.com/Dexterity-Touchscreen-Klein-Tools-40229/dp/B01M68QAAK/ref=sr_1_2?keywords=Klein+Tools+40231+High+Dexterity+Touchscreen+Gloves%2C+XL&amp;qid=1695173239&amp;sr=8-2", "https://www.amazon.com/Dexterity-Touchscreen-Klein-Tools-40229/dp/B01M68QAAK/ref=sr_1_2?keywords=Klein+Tools+40231+High+Dexterity+Touchscreen+Gloves%2C+XL&amp;qid=1695173239&amp;sr=8-2")</f>
        <v>https://www.amazon.com/Dexterity-Touchscreen-Klein-Tools-40229/dp/B01M68QAAK/ref=sr_1_2?keywords=Klein+Tools+40231+High+Dexterity+Touchscreen+Gloves%2C+XL&amp;qid=1695173239&amp;sr=8-2</v>
      </c>
      <c r="F500" t="s">
        <v>1109</v>
      </c>
      <c r="G500" t="e">
        <f ca="1">_xludf.IMAGE("https://edmondsonsupply.com/cdn/shop/products/40229_4ec43165-0eee-409f-b3e3-e0a2ee54b953.jpg?v=1659397421")</f>
        <v>#NAME?</v>
      </c>
      <c r="H500" t="e">
        <f ca="1">_xludf.IMAGE("https://m.media-amazon.com/images/I/51mom7WNCOL._AC_UL320_.jpg")</f>
        <v>#NAME?</v>
      </c>
      <c r="I500" t="s">
        <v>1110</v>
      </c>
      <c r="J500">
        <v>25.49</v>
      </c>
      <c r="K500" s="4">
        <v>0</v>
      </c>
      <c r="L500">
        <v>4.3</v>
      </c>
      <c r="M500">
        <v>56</v>
      </c>
      <c r="O500" t="s">
        <v>25</v>
      </c>
      <c r="P500" t="s">
        <v>1111</v>
      </c>
      <c r="Q500" t="s">
        <v>1189</v>
      </c>
    </row>
    <row r="501" spans="1:17" ht="15.5" x14ac:dyDescent="0.35">
      <c r="A501" s="3" t="str">
        <f>HYPERLINK("https://edmondsonsupply.com/collections/personal-protection-safety/products/klein-tools-60345-hard-hat-earmuffs-full-brim-style", "https://edmondsonsupply.com/collections/personal-protection-safety/products/klein-tools-60345-hard-hat-earmuffs-full-brim-style")</f>
        <v>https://edmondsonsupply.com/collections/personal-protection-safety/products/klein-tools-60345-hard-hat-earmuffs-full-brim-style</v>
      </c>
      <c r="B501" s="3" t="str">
        <f>HYPERLINK("https://edmondsonsupply.com/products/klein-tools-60345-hard-hat-earmuffs-full-brim-style", "https://edmondsonsupply.com/products/klein-tools-60345-hard-hat-earmuffs-full-brim-style")</f>
        <v>https://edmondsonsupply.com/products/klein-tools-60345-hard-hat-earmuffs-full-brim-style</v>
      </c>
      <c r="C501" t="s">
        <v>868</v>
      </c>
      <c r="D501" t="s">
        <v>1206</v>
      </c>
      <c r="E501" s="3" t="str">
        <f>HYPERLINK("https://www.amazon.com/Klein-Tools-60502-Attachment-Protection/dp/B0BMW8YRD8/ref=sr_1_1?keywords=Klein+Tools+60502+Hard+Hat+Earmuffs%2C+Full+Brim+Style&amp;qid=1695173214&amp;sr=8-1", "https://www.amazon.com/Klein-Tools-60502-Attachment-Protection/dp/B0BMW8YRD8/ref=sr_1_1?keywords=Klein+Tools+60502+Hard+Hat+Earmuffs%2C+Full+Brim+Style&amp;qid=1695173214&amp;sr=8-1")</f>
        <v>https://www.amazon.com/Klein-Tools-60502-Attachment-Protection/dp/B0BMW8YRD8/ref=sr_1_1?keywords=Klein+Tools+60502+Hard+Hat+Earmuffs%2C+Full+Brim+Style&amp;qid=1695173214&amp;sr=8-1</v>
      </c>
      <c r="F501" t="s">
        <v>1207</v>
      </c>
      <c r="G501" t="e">
        <f ca="1">_xludf.IMAGE("https://edmondsonsupply.com/cdn/shop/products/60502.jpg?v=1674486730")</f>
        <v>#NAME?</v>
      </c>
      <c r="H501" t="e">
        <f ca="1">_xludf.IMAGE("https://m.media-amazon.com/images/I/61DVNl0vmFL._AC_UL320_.jpg")</f>
        <v>#NAME?</v>
      </c>
      <c r="I501" t="s">
        <v>26</v>
      </c>
      <c r="J501">
        <v>29.99</v>
      </c>
      <c r="K501" s="4">
        <v>0</v>
      </c>
      <c r="L501">
        <v>4.3</v>
      </c>
      <c r="M501">
        <v>41</v>
      </c>
      <c r="O501" t="s">
        <v>25</v>
      </c>
      <c r="P501" t="s">
        <v>562</v>
      </c>
      <c r="Q501" t="s">
        <v>871</v>
      </c>
    </row>
    <row r="502" spans="1:17" ht="15.5" x14ac:dyDescent="0.35">
      <c r="A502"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502"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02" t="s">
        <v>853</v>
      </c>
      <c r="D502" t="s">
        <v>930</v>
      </c>
      <c r="E502" s="3" t="str">
        <f>HYPERLINK("https://www.amazon.com/Klein-60471-Protection-Anti-Fog-Resistant/dp/B0B69LNT2Y/ref=sr_1_1?keywords=Klein+Tools+60471+Professional+Full-Frame+Gasket+Safety+Glasses%2C+Gray+Lens&amp;qid=1695173231&amp;sr=8-1", "https://www.amazon.com/Klein-60471-Protection-Anti-Fog-Resistant/dp/B0B69LNT2Y/ref=sr_1_1?keywords=Klein+Tools+60471+Professional+Full-Frame+Gasket+Safety+Glasses%2C+Gray+Lens&amp;qid=1695173231&amp;sr=8-1")</f>
        <v>https://www.amazon.com/Klein-60471-Protection-Anti-Fog-Resistant/dp/B0B69LNT2Y/ref=sr_1_1?keywords=Klein+Tools+60471+Professional+Full-Frame+Gasket+Safety+Glasses%2C+Gray+Lens&amp;qid=1695173231&amp;sr=8-1</v>
      </c>
      <c r="F502" t="s">
        <v>931</v>
      </c>
      <c r="G502" t="e">
        <f ca="1">_xludf.IMAGE("https://edmondsonsupply.com/cdn/shop/products/60471.jpg?v=1663257501")</f>
        <v>#NAME?</v>
      </c>
      <c r="H502" t="e">
        <f ca="1">_xludf.IMAGE("https://m.media-amazon.com/images/I/51z-a2tdJlL._AC_UL320_.jpg")</f>
        <v>#NAME?</v>
      </c>
      <c r="I502" t="s">
        <v>252</v>
      </c>
      <c r="J502">
        <v>15.99</v>
      </c>
      <c r="K502" s="4">
        <v>0</v>
      </c>
      <c r="L502">
        <v>4.3</v>
      </c>
      <c r="M502">
        <v>56</v>
      </c>
      <c r="O502" t="s">
        <v>25</v>
      </c>
      <c r="P502" t="s">
        <v>854</v>
      </c>
      <c r="Q502" t="s">
        <v>855</v>
      </c>
    </row>
    <row r="503" spans="1:17" ht="15.5" x14ac:dyDescent="0.35">
      <c r="A503" s="3" t="str">
        <f>HYPERLINK("https://edmondsonsupply.com/collections/personal-protection-safety/products/klein-tools-60185-work-gloves-cut-level-2-touchscreen-large-2-pair", "https://edmondsonsupply.com/collections/personal-protection-safety/products/klein-tools-60185-work-gloves-cut-level-2-touchscreen-large-2-pair")</f>
        <v>https://edmondsonsupply.com/collections/personal-protection-safety/products/klein-tools-60185-work-gloves-cut-level-2-touchscreen-large-2-pair</v>
      </c>
      <c r="B503" s="3" t="str">
        <f>HYPERLINK("https://edmondsonsupply.com/products/klein-tools-60185-work-gloves-cut-level-2-touchscreen-large-2-pair", "https://edmondsonsupply.com/products/klein-tools-60185-work-gloves-cut-level-2-touchscreen-large-2-pair")</f>
        <v>https://edmondsonsupply.com/products/klein-tools-60185-work-gloves-cut-level-2-touchscreen-large-2-pair</v>
      </c>
      <c r="C503" t="s">
        <v>1208</v>
      </c>
      <c r="D503" t="s">
        <v>1209</v>
      </c>
      <c r="E503" s="3" t="str">
        <f>HYPERLINK("https://www.amazon.com/Klein-Gloves-Cut-Resistant-Touchscreen-2-Pair/dp/B088NBRY3M/ref=sr_1_5?keywords=Klein+Tools+60185+Work+Gloves%2C+Cut+Level+2%2C+Touchscreen%2C+Large%2C+2-Pair&amp;qid=1695173214&amp;sr=8-5", "https://www.amazon.com/Klein-Gloves-Cut-Resistant-Touchscreen-2-Pair/dp/B088NBRY3M/ref=sr_1_5?keywords=Klein+Tools+60185+Work+Gloves%2C+Cut+Level+2%2C+Touchscreen%2C+Large%2C+2-Pair&amp;qid=1695173214&amp;sr=8-5")</f>
        <v>https://www.amazon.com/Klein-Gloves-Cut-Resistant-Touchscreen-2-Pair/dp/B088NBRY3M/ref=sr_1_5?keywords=Klein+Tools+60185+Work+Gloves%2C+Cut+Level+2%2C+Touchscreen%2C+Large%2C+2-Pair&amp;qid=1695173214&amp;sr=8-5</v>
      </c>
      <c r="F503" t="s">
        <v>1210</v>
      </c>
      <c r="G503" t="e">
        <f ca="1">_xludf.IMAGE("https://edmondsonsupply.com/cdn/shop/products/60185.jpg?v=1633030300")</f>
        <v>#NAME?</v>
      </c>
      <c r="H503" t="e">
        <f ca="1">_xludf.IMAGE("https://m.media-amazon.com/images/I/71GlG2Zt5fL._AC_UL320_.jpg")</f>
        <v>#NAME?</v>
      </c>
      <c r="I503" t="s">
        <v>1211</v>
      </c>
      <c r="J503">
        <v>12.97</v>
      </c>
      <c r="K503" s="4">
        <v>0</v>
      </c>
      <c r="L503">
        <v>4.5999999999999996</v>
      </c>
      <c r="M503">
        <v>135</v>
      </c>
      <c r="O503" t="s">
        <v>25</v>
      </c>
      <c r="P503" t="s">
        <v>1212</v>
      </c>
      <c r="Q503" t="s">
        <v>1213</v>
      </c>
    </row>
    <row r="504" spans="1:17" ht="15.5" x14ac:dyDescent="0.35">
      <c r="A504" s="3" t="str">
        <f>HYPERLINK("https://edmondsonsupply.com/collections/personal-protection-safety/products/milwaukee-48-22-8731-demolition-gloves-medium", "https://edmondsonsupply.com/collections/personal-protection-safety/products/milwaukee-48-22-8731-demolition-gloves-medium")</f>
        <v>https://edmondsonsupply.com/collections/personal-protection-safety/products/milwaukee-48-22-8731-demolition-gloves-medium</v>
      </c>
      <c r="B504" s="3" t="str">
        <f>HYPERLINK("https://edmondsonsupply.com/products/milwaukee-48-22-8731-demolition-gloves-medium", "https://edmondsonsupply.com/products/milwaukee-48-22-8731-demolition-gloves-medium")</f>
        <v>https://edmondsonsupply.com/products/milwaukee-48-22-8731-demolition-gloves-medium</v>
      </c>
      <c r="C504" t="s">
        <v>856</v>
      </c>
      <c r="D504" t="s">
        <v>1169</v>
      </c>
      <c r="E504" s="3" t="str">
        <f>HYPERLINK("https://www.amazon.com/Milwaukee-48-22-8733-Demolition-Gloves-X-Large/dp/B01BIE0G00/ref=sr_1_5?keywords=Milwaukee+48-22-8731+Demolition+Gloves%2C+Medium&amp;qid=1695173262&amp;sr=8-5", "https://www.amazon.com/Milwaukee-48-22-8733-Demolition-Gloves-X-Large/dp/B01BIE0G00/ref=sr_1_5?keywords=Milwaukee+48-22-8731+Demolition+Gloves%2C+Medium&amp;qid=1695173262&amp;sr=8-5")</f>
        <v>https://www.amazon.com/Milwaukee-48-22-8733-Demolition-Gloves-X-Large/dp/B01BIE0G00/ref=sr_1_5?keywords=Milwaukee+48-22-8731+Demolition+Gloves%2C+Medium&amp;qid=1695173262&amp;sr=8-5</v>
      </c>
      <c r="F504" t="s">
        <v>1170</v>
      </c>
      <c r="G504" t="e">
        <f ca="1">_xludf.IMAGE("https://edmondsonsupply.com/cdn/shop/products/48-22-8732_A.png?v=1587144555")</f>
        <v>#NAME?</v>
      </c>
      <c r="H504" t="e">
        <f ca="1">_xludf.IMAGE("https://m.media-amazon.com/images/I/611kkPW3LcL._AC_UL320_.jpg")</f>
        <v>#NAME?</v>
      </c>
      <c r="I504" t="s">
        <v>859</v>
      </c>
      <c r="J504">
        <v>24.97</v>
      </c>
      <c r="K504" s="4">
        <v>0</v>
      </c>
      <c r="L504">
        <v>4.5999999999999996</v>
      </c>
      <c r="M504">
        <v>580</v>
      </c>
      <c r="O504" t="s">
        <v>25</v>
      </c>
      <c r="P504" t="s">
        <v>860</v>
      </c>
      <c r="Q504" t="s">
        <v>861</v>
      </c>
    </row>
    <row r="505" spans="1:17" ht="15.5" x14ac:dyDescent="0.35">
      <c r="A505" s="3" t="str">
        <f>HYPERLINK("https://edmondsonsupply.com/collections/personal-protection-safety/products/klein-tools-60538-professional-full-frame-gasket-safety-glasses-indoor-outdoor-lens", "https://edmondsonsupply.com/collections/personal-protection-safety/products/klein-tools-60538-professional-full-frame-gasket-safety-glasses-indoor-outdoor-lens")</f>
        <v>https://edmondsonsupply.com/collections/personal-protection-safety/products/klein-tools-60538-professional-full-frame-gasket-safety-glasses-indoor-outdoor-lens</v>
      </c>
      <c r="B505" s="3" t="str">
        <f>HYPERLINK("https://edmondsonsupply.com/products/klein-tools-60538-professional-full-frame-gasket-safety-glasses-indoor-outdoor-lens", "https://edmondsonsupply.com/products/klein-tools-60538-professional-full-frame-gasket-safety-glasses-indoor-outdoor-lens")</f>
        <v>https://edmondsonsupply.com/products/klein-tools-60538-professional-full-frame-gasket-safety-glasses-indoor-outdoor-lens</v>
      </c>
      <c r="C505" t="s">
        <v>1012</v>
      </c>
      <c r="D505" t="s">
        <v>1214</v>
      </c>
      <c r="E505" s="3" t="str">
        <f>HYPERLINK("https://www.amazon.com/Klein-Tools-60538-Professional-Protective/dp/B0BLQ55RMQ/ref=sr_1_1?keywords=Klein+Tools+60538+Professional+Full-Frame+Gasket+Safety+Glasses%2C+Indoor%2FOutdoor+Lens&amp;qid=1695173221&amp;sr=8-1", "https://www.amazon.com/Klein-Tools-60538-Professional-Protective/dp/B0BLQ55RMQ/ref=sr_1_1?keywords=Klein+Tools+60538+Professional+Full-Frame+Gasket+Safety+Glasses%2C+Indoor%2FOutdoor+Lens&amp;qid=1695173221&amp;sr=8-1")</f>
        <v>https://www.amazon.com/Klein-Tools-60538-Professional-Protective/dp/B0BLQ55RMQ/ref=sr_1_1?keywords=Klein+Tools+60538+Professional+Full-Frame+Gasket+Safety+Glasses%2C+Indoor%2FOutdoor+Lens&amp;qid=1695173221&amp;sr=8-1</v>
      </c>
      <c r="F505" t="s">
        <v>1215</v>
      </c>
      <c r="G505" t="e">
        <f ca="1">_xludf.IMAGE("https://edmondsonsupply.com/cdn/shop/products/60470_1.jpg?v=1670947470")</f>
        <v>#NAME?</v>
      </c>
      <c r="H505" t="e">
        <f ca="1">_xludf.IMAGE("https://m.media-amazon.com/images/I/51TkfiRMYgL._AC_UL320_.jpg")</f>
        <v>#NAME?</v>
      </c>
      <c r="I505" t="s">
        <v>252</v>
      </c>
      <c r="J505">
        <v>15.99</v>
      </c>
      <c r="K505" s="4">
        <v>0</v>
      </c>
      <c r="L505">
        <v>4.2</v>
      </c>
      <c r="M505">
        <v>56</v>
      </c>
      <c r="O505" t="s">
        <v>25</v>
      </c>
      <c r="P505" t="s">
        <v>854</v>
      </c>
      <c r="Q505" t="s">
        <v>1013</v>
      </c>
    </row>
    <row r="506" spans="1:17" ht="15.5" x14ac:dyDescent="0.35">
      <c r="A506" s="3" t="str">
        <f>HYPERLINK("https://edmondsonsupply.com/collections/personal-protection-safety/products/klein-tools-60539-professional-safety-glasses-full-frame-polarized-lens", "https://edmondsonsupply.com/collections/personal-protection-safety/products/klein-tools-60539-professional-safety-glasses-full-frame-polarized-lens")</f>
        <v>https://edmondsonsupply.com/collections/personal-protection-safety/products/klein-tools-60539-professional-safety-glasses-full-frame-polarized-lens</v>
      </c>
      <c r="B506"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506" t="s">
        <v>960</v>
      </c>
      <c r="D506" t="s">
        <v>882</v>
      </c>
      <c r="E506" s="3" t="str">
        <f>HYPERLINK("https://www.amazon.com/Klein-Tools-60539-Professional-Protective/dp/B0BLQ6F4MQ/ref=sr_1_1?keywords=Klein+Tools+60539+Professional+Safety+Glasses%2C+Full+Frame%2C+Polarized+Lens&amp;qid=1695173226&amp;sr=8-1", "https://www.amazon.com/Klein-Tools-60539-Professional-Protective/dp/B0BLQ6F4MQ/ref=sr_1_1?keywords=Klein+Tools+60539+Professional+Safety+Glasses%2C+Full+Frame%2C+Polarized+Lens&amp;qid=1695173226&amp;sr=8-1")</f>
        <v>https://www.amazon.com/Klein-Tools-60539-Professional-Protective/dp/B0BLQ6F4MQ/ref=sr_1_1?keywords=Klein+Tools+60539+Professional+Safety+Glasses%2C+Full+Frame%2C+Polarized+Lens&amp;qid=1695173226&amp;sr=8-1</v>
      </c>
      <c r="F506" t="s">
        <v>883</v>
      </c>
      <c r="G506" t="e">
        <f ca="1">_xludf.IMAGE("https://edmondsonsupply.com/cdn/shop/products/60539.jpg?v=1670948006")</f>
        <v>#NAME?</v>
      </c>
      <c r="H506" t="e">
        <f ca="1">_xludf.IMAGE("https://m.media-amazon.com/images/I/41z93jotzdL._AC_UL320_.jpg")</f>
        <v>#NAME?</v>
      </c>
      <c r="I506" t="s">
        <v>26</v>
      </c>
      <c r="J506">
        <v>29.99</v>
      </c>
      <c r="K506" s="4">
        <v>0</v>
      </c>
      <c r="L506">
        <v>4.4000000000000004</v>
      </c>
      <c r="M506">
        <v>11</v>
      </c>
      <c r="O506" t="s">
        <v>25</v>
      </c>
      <c r="P506" t="s">
        <v>562</v>
      </c>
      <c r="Q506" t="s">
        <v>961</v>
      </c>
    </row>
    <row r="507" spans="1:17" ht="15.5" x14ac:dyDescent="0.35">
      <c r="A507" s="3" t="str">
        <f>HYPERLINK("https://edmondsonsupply.com/collections/personal-protection-safety/products/klein-tools-56048-rechargeable-headlamp-with-strap-400-lumen-all-day-runtime-auto-off", "https://edmondsonsupply.com/collections/personal-protection-safety/products/klein-tools-56048-rechargeable-headlamp-with-strap-400-lumen-all-day-runtime-auto-off")</f>
        <v>https://edmondsonsupply.com/collections/personal-protection-safety/products/klein-tools-56048-rechargeable-headlamp-with-strap-400-lumen-all-day-runtime-auto-off</v>
      </c>
      <c r="B507"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507" t="s">
        <v>1034</v>
      </c>
      <c r="D507" t="s">
        <v>1216</v>
      </c>
      <c r="E507" s="3" t="str">
        <f>HYPERLINK("https://www.amazon.com/Klein-Tools-56048-Rechargeable-Adjustable/dp/B08J4H5LCV/ref=sr_1_1?keywords=Klein+Tools+56048+Rechargeable+Headlamp+with+Fabric+Strap%2C+400+Lumens%2C+All-Day+Runtime&amp;qid=1695173217&amp;sr=8-1", "https://www.amazon.com/Klein-Tools-56048-Rechargeable-Adjustable/dp/B08J4H5LCV/ref=sr_1_1?keywords=Klein+Tools+56048+Rechargeable+Headlamp+with+Fabric+Strap%2C+400+Lumens%2C+All-Day+Runtime&amp;qid=1695173217&amp;sr=8-1")</f>
        <v>https://www.amazon.com/Klein-Tools-56048-Rechargeable-Adjustable/dp/B08J4H5LCV/ref=sr_1_1?keywords=Klein+Tools+56048+Rechargeable+Headlamp+with+Fabric+Strap%2C+400+Lumens%2C+All-Day+Runtime&amp;qid=1695173217&amp;sr=8-1</v>
      </c>
      <c r="F507" t="s">
        <v>1217</v>
      </c>
      <c r="G507" t="e">
        <f ca="1">_xludf.IMAGE("https://edmondsonsupply.com/cdn/shop/products/56048.jpg?v=1633030457")</f>
        <v>#NAME?</v>
      </c>
      <c r="H507" t="e">
        <f ca="1">_xludf.IMAGE("https://m.media-amazon.com/images/I/61MIndiWy-L._AC_UL320_.jpg")</f>
        <v>#NAME?</v>
      </c>
      <c r="I507" t="s">
        <v>246</v>
      </c>
      <c r="J507">
        <v>39.97</v>
      </c>
      <c r="K507" s="4">
        <v>0</v>
      </c>
      <c r="L507">
        <v>4.5999999999999996</v>
      </c>
      <c r="M507">
        <v>845</v>
      </c>
      <c r="O507" t="s">
        <v>25</v>
      </c>
      <c r="P507" t="s">
        <v>1032</v>
      </c>
      <c r="Q507" t="s">
        <v>1035</v>
      </c>
    </row>
    <row r="508" spans="1:17" ht="15.5" x14ac:dyDescent="0.35">
      <c r="A508" s="3" t="str">
        <f>HYPERLINK("https://edmondsonsupply.com/collections/personal-protection-safety/products/klein-tools-60100-hard-hat-non-vented-cap-style-white", "https://edmondsonsupply.com/collections/personal-protection-safety/products/klein-tools-60100-hard-hat-non-vented-cap-style-white")</f>
        <v>https://edmondsonsupply.com/collections/personal-protection-safety/products/klein-tools-60100-hard-hat-non-vented-cap-style-white</v>
      </c>
      <c r="B508" s="3" t="str">
        <f>HYPERLINK("https://edmondsonsupply.com/products/klein-tools-60100-hard-hat-non-vented-cap-style-white", "https://edmondsonsupply.com/products/klein-tools-60100-hard-hat-non-vented-cap-style-white")</f>
        <v>https://edmondsonsupply.com/products/klein-tools-60100-hard-hat-non-vented-cap-style-white</v>
      </c>
      <c r="C508" t="s">
        <v>970</v>
      </c>
      <c r="D508" t="s">
        <v>1218</v>
      </c>
      <c r="E508" s="3" t="str">
        <f>HYPERLINK("https://www.amazon.com/Klein-Tools-60107-Self-Wicking-Odor-Resistant/dp/B07TLG3VQJ/ref=sr_1_2?keywords=Klein+Tools+60100+Hard+Hat%2C+Non-Vented%2C+Cap+Style%2C+White&amp;qid=1695173239&amp;sr=8-2", "https://www.amazon.com/Klein-Tools-60107-Self-Wicking-Odor-Resistant/dp/B07TLG3VQJ/ref=sr_1_2?keywords=Klein+Tools+60100+Hard+Hat%2C+Non-Vented%2C+Cap+Style%2C+White&amp;qid=1695173239&amp;sr=8-2")</f>
        <v>https://www.amazon.com/Klein-Tools-60107-Self-Wicking-Odor-Resistant/dp/B07TLG3VQJ/ref=sr_1_2?keywords=Klein+Tools+60100+Hard+Hat%2C+Non-Vented%2C+Cap+Style%2C+White&amp;qid=1695173239&amp;sr=8-2</v>
      </c>
      <c r="F508" t="s">
        <v>1219</v>
      </c>
      <c r="G508" t="e">
        <f ca="1">_xludf.IMAGE("https://edmondsonsupply.com/cdn/shop/products/60100_c.jpg?v=1648166061")</f>
        <v>#NAME?</v>
      </c>
      <c r="H508" t="e">
        <f ca="1">_xludf.IMAGE("https://m.media-amazon.com/images/I/41PzDOmbcRS._AC_UL320_.jpg")</f>
        <v>#NAME?</v>
      </c>
      <c r="I508" t="s">
        <v>198</v>
      </c>
      <c r="J508">
        <v>39.97</v>
      </c>
      <c r="K508" s="4">
        <v>-5.0000000000000001E-4</v>
      </c>
      <c r="L508">
        <v>4.5999999999999996</v>
      </c>
      <c r="M508">
        <v>147</v>
      </c>
      <c r="O508" t="s">
        <v>171</v>
      </c>
      <c r="P508" t="s">
        <v>971</v>
      </c>
      <c r="Q508" t="s">
        <v>972</v>
      </c>
    </row>
    <row r="509" spans="1:17" ht="15.5" x14ac:dyDescent="0.35">
      <c r="A509" s="3" t="str">
        <f>HYPERLINK("https://edmondsonsupply.com/collections/personal-protection-safety/products/klein-tools-60100-hard-hat-non-vented-cap-style-white", "https://edmondsonsupply.com/collections/personal-protection-safety/products/klein-tools-60100-hard-hat-non-vented-cap-style-white")</f>
        <v>https://edmondsonsupply.com/collections/personal-protection-safety/products/klein-tools-60100-hard-hat-non-vented-cap-style-white</v>
      </c>
      <c r="B509" s="3" t="str">
        <f>HYPERLINK("https://edmondsonsupply.com/products/klein-tools-60100-hard-hat-non-vented-cap-style-white", "https://edmondsonsupply.com/products/klein-tools-60100-hard-hat-non-vented-cap-style-white")</f>
        <v>https://edmondsonsupply.com/products/klein-tools-60100-hard-hat-non-vented-cap-style-white</v>
      </c>
      <c r="C509" t="s">
        <v>970</v>
      </c>
      <c r="D509" t="s">
        <v>1220</v>
      </c>
      <c r="E509" s="3" t="str">
        <f>HYPERLINK("https://www.amazon.com/Klein-Tools-60248-Self-Wicking-Odor-Resistant/dp/B08FBZMLC7/ref=sr_1_3?keywords=Klein+Tools+60100+Hard+Hat%2C+Non-Vented%2C+Cap+Style%2C+White&amp;qid=1695173239&amp;sr=8-3", "https://www.amazon.com/Klein-Tools-60248-Self-Wicking-Odor-Resistant/dp/B08FBZMLC7/ref=sr_1_3?keywords=Klein+Tools+60100+Hard+Hat%2C+Non-Vented%2C+Cap+Style%2C+White&amp;qid=1695173239&amp;sr=8-3")</f>
        <v>https://www.amazon.com/Klein-Tools-60248-Self-Wicking-Odor-Resistant/dp/B08FBZMLC7/ref=sr_1_3?keywords=Klein+Tools+60100+Hard+Hat%2C+Non-Vented%2C+Cap+Style%2C+White&amp;qid=1695173239&amp;sr=8-3</v>
      </c>
      <c r="F509" t="s">
        <v>1221</v>
      </c>
      <c r="G509" t="e">
        <f ca="1">_xludf.IMAGE("https://edmondsonsupply.com/cdn/shop/products/60100_c.jpg?v=1648166061")</f>
        <v>#NAME?</v>
      </c>
      <c r="H509" t="e">
        <f ca="1">_xludf.IMAGE("https://m.media-amazon.com/images/I/51E5C0oSy6L._AC_UL320_.jpg")</f>
        <v>#NAME?</v>
      </c>
      <c r="I509" t="s">
        <v>198</v>
      </c>
      <c r="J509">
        <v>39.97</v>
      </c>
      <c r="K509" s="4">
        <v>-5.0000000000000001E-4</v>
      </c>
      <c r="L509">
        <v>4.4000000000000004</v>
      </c>
      <c r="M509">
        <v>34</v>
      </c>
      <c r="O509" t="s">
        <v>171</v>
      </c>
      <c r="P509" t="s">
        <v>971</v>
      </c>
      <c r="Q509" t="s">
        <v>972</v>
      </c>
    </row>
    <row r="510" spans="1:17" ht="15.5" x14ac:dyDescent="0.35">
      <c r="A510"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510" s="3" t="str">
        <f>HYPERLINK("https://edmondsonsupply.com/products/john-boy-desert-face-guard", "https://edmondsonsupply.com/products/john-boy-desert-face-guard")</f>
        <v>https://edmondsonsupply.com/products/john-boy-desert-face-guard</v>
      </c>
      <c r="C510" t="s">
        <v>1041</v>
      </c>
      <c r="D510" t="s">
        <v>1222</v>
      </c>
      <c r="E510" s="3" t="str">
        <f>HYPERLINK("https://www.amazon.com/JOHN-BOY-Hunting-Face-Guard/dp/B0842Z7QTK/ref=sr_1_2?keywords=John+Boy+DESERT+Face+Guard&amp;qid=1695173255&amp;sr=8-2", "https://www.amazon.com/JOHN-BOY-Hunting-Face-Guard/dp/B0842Z7QTK/ref=sr_1_2?keywords=John+Boy+DESERT+Face+Guard&amp;qid=1695173255&amp;sr=8-2")</f>
        <v>https://www.amazon.com/JOHN-BOY-Hunting-Face-Guard/dp/B0842Z7QTK/ref=sr_1_2?keywords=John+Boy+DESERT+Face+Guard&amp;qid=1695173255&amp;sr=8-2</v>
      </c>
      <c r="F510" t="s">
        <v>1223</v>
      </c>
      <c r="G510" t="e">
        <f ca="1">_xludf.IMAGE("https://edmondsonsupply.com/cdn/shop/products/Desertcopy.jpg?v=1633030720")</f>
        <v>#NAME?</v>
      </c>
      <c r="H510" t="e">
        <f ca="1">_xludf.IMAGE("https://m.media-amazon.com/images/I/71k-tnE6mlL._AC_UL320_.jpg")</f>
        <v>#NAME?</v>
      </c>
      <c r="I510" t="s">
        <v>1039</v>
      </c>
      <c r="J510">
        <v>9.99</v>
      </c>
      <c r="K510" s="4">
        <v>-1E-3</v>
      </c>
      <c r="L510">
        <v>4</v>
      </c>
      <c r="M510">
        <v>8</v>
      </c>
      <c r="O510" t="s">
        <v>25</v>
      </c>
      <c r="P510" t="s">
        <v>138</v>
      </c>
      <c r="Q510" t="s">
        <v>1043</v>
      </c>
    </row>
    <row r="511" spans="1:17" ht="15.5" x14ac:dyDescent="0.35">
      <c r="A511" s="3" t="str">
        <f>HYPERLINK("https://edmondsonsupply.com/collections/personal-protection-safety/products/john-boy-tree-blk-face-guard", "https://edmondsonsupply.com/collections/personal-protection-safety/products/john-boy-tree-blk-face-guard")</f>
        <v>https://edmondsonsupply.com/collections/personal-protection-safety/products/john-boy-tree-blk-face-guard</v>
      </c>
      <c r="B511" s="3" t="str">
        <f>HYPERLINK("https://edmondsonsupply.com/products/john-boy-tree-blk-face-guard", "https://edmondsonsupply.com/products/john-boy-tree-blk-face-guard")</f>
        <v>https://edmondsonsupply.com/products/john-boy-tree-blk-face-guard</v>
      </c>
      <c r="C511" t="s">
        <v>1224</v>
      </c>
      <c r="D511" t="s">
        <v>1225</v>
      </c>
      <c r="E511" s="3" t="str">
        <f>HYPERLINK("https://www.amazon.com/JOHN-BOY-Construction-Face-Guard/dp/B0842Z8BRJ/ref=sr_1_2?keywords=John+Boy+TREE-BLK+Face+Guard&amp;qid=1695173240&amp;sr=8-2", "https://www.amazon.com/JOHN-BOY-Construction-Face-Guard/dp/B0842Z8BRJ/ref=sr_1_2?keywords=John+Boy+TREE-BLK+Face+Guard&amp;qid=1695173240&amp;sr=8-2")</f>
        <v>https://www.amazon.com/JOHN-BOY-Construction-Face-Guard/dp/B0842Z8BRJ/ref=sr_1_2?keywords=John+Boy+TREE-BLK+Face+Guard&amp;qid=1695173240&amp;sr=8-2</v>
      </c>
      <c r="F511" t="s">
        <v>1226</v>
      </c>
      <c r="G511" t="e">
        <f ca="1">_xludf.IMAGE("https://edmondsonsupply.com/cdn/shop/products/TREEBLKcopy.jpg?v=1633030899")</f>
        <v>#NAME?</v>
      </c>
      <c r="H511" t="e">
        <f ca="1">_xludf.IMAGE("https://m.media-amazon.com/images/I/719fZ7kbhXS._AC_UL320_.jpg")</f>
        <v>#NAME?</v>
      </c>
      <c r="I511" t="s">
        <v>1039</v>
      </c>
      <c r="J511">
        <v>9.99</v>
      </c>
      <c r="K511" s="4">
        <v>-1E-3</v>
      </c>
      <c r="L511">
        <v>4.0999999999999996</v>
      </c>
      <c r="M511">
        <v>14</v>
      </c>
      <c r="O511" t="s">
        <v>25</v>
      </c>
      <c r="P511" t="s">
        <v>138</v>
      </c>
      <c r="Q511" t="s">
        <v>1227</v>
      </c>
    </row>
    <row r="512" spans="1:17" ht="15.5" x14ac:dyDescent="0.35">
      <c r="A512" s="3" t="str">
        <f>HYPERLINK("https://edmondsonsupply.com/collections/personal-protection-safety/products/john-boy-tree-face-guard", "https://edmondsonsupply.com/collections/personal-protection-safety/products/john-boy-tree-face-guard")</f>
        <v>https://edmondsonsupply.com/collections/personal-protection-safety/products/john-boy-tree-face-guard</v>
      </c>
      <c r="B512" s="3" t="str">
        <f>HYPERLINK("https://edmondsonsupply.com/products/john-boy-tree-face-guard", "https://edmondsonsupply.com/products/john-boy-tree-face-guard")</f>
        <v>https://edmondsonsupply.com/products/john-boy-tree-face-guard</v>
      </c>
      <c r="C512" t="s">
        <v>1228</v>
      </c>
      <c r="D512" t="s">
        <v>1062</v>
      </c>
      <c r="E512" s="3" t="str">
        <f>HYPERLINK("https://www.amazon.com/JOHN-BOY-Hunting-Face-Guard/dp/B0842Z7QTK/ref=sr_1_1?keywords=John+Boy+TREE+Face+Guard&amp;qid=1695173257&amp;sr=8-1", "https://www.amazon.com/JOHN-BOY-Hunting-Face-Guard/dp/B0842Z7QTK/ref=sr_1_1?keywords=John+Boy+TREE+Face+Guard&amp;qid=1695173257&amp;sr=8-1")</f>
        <v>https://www.amazon.com/JOHN-BOY-Hunting-Face-Guard/dp/B0842Z7QTK/ref=sr_1_1?keywords=John+Boy+TREE+Face+Guard&amp;qid=1695173257&amp;sr=8-1</v>
      </c>
      <c r="F512" t="s">
        <v>1223</v>
      </c>
      <c r="G512" t="e">
        <f ca="1">_xludf.IMAGE("https://edmondsonsupply.com/cdn/shop/products/tree-mockup.jpg?v=1633030898")</f>
        <v>#NAME?</v>
      </c>
      <c r="H512" t="e">
        <f ca="1">_xludf.IMAGE("https://m.media-amazon.com/images/I/71k-tnE6mlL._AC_UL320_.jpg")</f>
        <v>#NAME?</v>
      </c>
      <c r="I512" t="s">
        <v>1039</v>
      </c>
      <c r="J512">
        <v>9.99</v>
      </c>
      <c r="K512" s="4">
        <v>-1E-3</v>
      </c>
      <c r="L512">
        <v>4</v>
      </c>
      <c r="M512">
        <v>8</v>
      </c>
      <c r="O512" t="s">
        <v>25</v>
      </c>
      <c r="P512" t="s">
        <v>138</v>
      </c>
      <c r="Q512" t="s">
        <v>1229</v>
      </c>
    </row>
    <row r="513" spans="1:17" ht="15.5" x14ac:dyDescent="0.35">
      <c r="A513" s="3" t="str">
        <f>HYPERLINK("https://edmondsonsupply.com/collections/personal-protection-safety/products/john-boy-usa-blk-face-guard", "https://edmondsonsupply.com/collections/personal-protection-safety/products/john-boy-usa-blk-face-guard")</f>
        <v>https://edmondsonsupply.com/collections/personal-protection-safety/products/john-boy-usa-blk-face-guard</v>
      </c>
      <c r="B513" s="3" t="str">
        <f>HYPERLINK("https://edmondsonsupply.com/products/john-boy-usa-blk-face-guard", "https://edmondsonsupply.com/products/john-boy-usa-blk-face-guard")</f>
        <v>https://edmondsonsupply.com/products/john-boy-usa-blk-face-guard</v>
      </c>
      <c r="C513" t="s">
        <v>1230</v>
      </c>
      <c r="D513" t="s">
        <v>1225</v>
      </c>
      <c r="E513" s="3" t="str">
        <f>HYPERLINK("https://www.amazon.com/JOHN-BOY-Construction-Face-Guard/dp/B0842Z8BRJ/ref=sr_1_1?keywords=John+Boy+USA-BLK+Face+Guard&amp;qid=1695173263&amp;sr=8-1", "https://www.amazon.com/JOHN-BOY-Construction-Face-Guard/dp/B0842Z8BRJ/ref=sr_1_1?keywords=John+Boy+USA-BLK+Face+Guard&amp;qid=1695173263&amp;sr=8-1")</f>
        <v>https://www.amazon.com/JOHN-BOY-Construction-Face-Guard/dp/B0842Z8BRJ/ref=sr_1_1?keywords=John+Boy+USA-BLK+Face+Guard&amp;qid=1695173263&amp;sr=8-1</v>
      </c>
      <c r="F513" t="s">
        <v>1226</v>
      </c>
      <c r="G513" t="e">
        <f ca="1">_xludf.IMAGE("https://edmondsonsupply.com/cdn/shop/products/USA-BLKcopy.jpg?v=1633030714")</f>
        <v>#NAME?</v>
      </c>
      <c r="H513" t="e">
        <f ca="1">_xludf.IMAGE("https://m.media-amazon.com/images/I/719fZ7kbhXS._AC_UL320_.jpg")</f>
        <v>#NAME?</v>
      </c>
      <c r="I513" t="s">
        <v>1039</v>
      </c>
      <c r="J513">
        <v>9.99</v>
      </c>
      <c r="K513" s="4">
        <v>-1E-3</v>
      </c>
      <c r="L513">
        <v>4.0999999999999996</v>
      </c>
      <c r="M513">
        <v>14</v>
      </c>
      <c r="O513" t="s">
        <v>25</v>
      </c>
      <c r="P513" t="s">
        <v>138</v>
      </c>
      <c r="Q513" t="s">
        <v>1231</v>
      </c>
    </row>
    <row r="514" spans="1:17" ht="15.5" x14ac:dyDescent="0.35">
      <c r="A514" s="3" t="str">
        <f>HYPERLINK("https://edmondsonsupply.com/collections/personal-protection-safety/products/john-boy-usa-face-guard", "https://edmondsonsupply.com/collections/personal-protection-safety/products/john-boy-usa-face-guard")</f>
        <v>https://edmondsonsupply.com/collections/personal-protection-safety/products/john-boy-usa-face-guard</v>
      </c>
      <c r="B514" s="3" t="str">
        <f>HYPERLINK("https://edmondsonsupply.com/products/john-boy-usa-face-guard", "https://edmondsonsupply.com/products/john-boy-usa-face-guard")</f>
        <v>https://edmondsonsupply.com/products/john-boy-usa-face-guard</v>
      </c>
      <c r="C514" t="s">
        <v>1058</v>
      </c>
      <c r="D514" t="s">
        <v>1232</v>
      </c>
      <c r="E514" s="3" t="str">
        <f>HYPERLINK("https://www.amazon.com/JOHN-BOY-Construction-Face-Guard/dp/B0842Z7XGT/ref=sr_1_1?keywords=John+Boy+USA+Face+Guard&amp;qid=1695173253&amp;sr=8-1", "https://www.amazon.com/JOHN-BOY-Construction-Face-Guard/dp/B0842Z7XGT/ref=sr_1_1?keywords=John+Boy+USA+Face+Guard&amp;qid=1695173253&amp;sr=8-1")</f>
        <v>https://www.amazon.com/JOHN-BOY-Construction-Face-Guard/dp/B0842Z7XGT/ref=sr_1_1?keywords=John+Boy+USA+Face+Guard&amp;qid=1695173253&amp;sr=8-1</v>
      </c>
      <c r="F514" t="s">
        <v>1233</v>
      </c>
      <c r="G514" t="e">
        <f ca="1">_xludf.IMAGE("https://edmondsonsupply.com/cdn/shop/products/USA-FG.jpg?v=1633030715")</f>
        <v>#NAME?</v>
      </c>
      <c r="H514" t="e">
        <f ca="1">_xludf.IMAGE("https://m.media-amazon.com/images/I/61j94SsM3MS._AC_UL320_.jpg")</f>
        <v>#NAME?</v>
      </c>
      <c r="I514" t="s">
        <v>1039</v>
      </c>
      <c r="J514">
        <v>9.99</v>
      </c>
      <c r="K514" s="4">
        <v>-1E-3</v>
      </c>
      <c r="L514">
        <v>4.5</v>
      </c>
      <c r="M514">
        <v>3</v>
      </c>
      <c r="O514" t="s">
        <v>25</v>
      </c>
      <c r="P514" t="s">
        <v>138</v>
      </c>
      <c r="Q514" t="s">
        <v>1060</v>
      </c>
    </row>
    <row r="515" spans="1:17" ht="15.5" x14ac:dyDescent="0.35">
      <c r="A515" s="3" t="str">
        <f>HYPERLINK("https://edmondsonsupply.com/collections/personal-protection-safety/products/klein-tools-60614-lightweight-knee-pad-sleeves-s-m", "https://edmondsonsupply.com/collections/personal-protection-safety/products/klein-tools-60614-lightweight-knee-pad-sleeves-s-m")</f>
        <v>https://edmondsonsupply.com/collections/personal-protection-safety/products/klein-tools-60614-lightweight-knee-pad-sleeves-s-m</v>
      </c>
      <c r="B515" s="3" t="str">
        <f>HYPERLINK("https://edmondsonsupply.com/products/klein-tools-60614-lightweight-knee-pad-sleeves-s-m", "https://edmondsonsupply.com/products/klein-tools-60614-lightweight-knee-pad-sleeves-s-m")</f>
        <v>https://edmondsonsupply.com/products/klein-tools-60614-lightweight-knee-pad-sleeves-s-m</v>
      </c>
      <c r="C515" t="s">
        <v>898</v>
      </c>
      <c r="D515" t="s">
        <v>1142</v>
      </c>
      <c r="E515" s="3" t="str">
        <f>HYPERLINK("https://www.amazon.com/Klein-Tools-60592-Lightweight-Slip-Resistant/dp/B0B622FRN8/ref=sr_1_3?keywords=Klein+Tools+60614+Lightweight+Knee+Pad+Sleeves%2C+S%2FM&amp;qid=1695173221&amp;sr=8-3", "https://www.amazon.com/Klein-Tools-60592-Lightweight-Slip-Resistant/dp/B0B622FRN8/ref=sr_1_3?keywords=Klein+Tools+60614+Lightweight+Knee+Pad+Sleeves%2C+S%2FM&amp;qid=1695173221&amp;sr=8-3")</f>
        <v>https://www.amazon.com/Klein-Tools-60592-Lightweight-Slip-Resistant/dp/B0B622FRN8/ref=sr_1_3?keywords=Klein+Tools+60614+Lightweight+Knee+Pad+Sleeves%2C+S%2FM&amp;qid=1695173221&amp;sr=8-3</v>
      </c>
      <c r="F515" t="s">
        <v>1143</v>
      </c>
      <c r="G515" t="e">
        <f ca="1">_xludf.IMAGE("https://edmondsonsupply.com/cdn/shop/products/60492_60592_photo_4859ff57-33ad-45f9-87df-8dc6b9372281.jpg?v=1681742927")</f>
        <v>#NAME?</v>
      </c>
      <c r="H515" t="e">
        <f ca="1">_xludf.IMAGE("https://m.media-amazon.com/images/I/61SeDj1bXKL._AC_UL320_.jpg")</f>
        <v>#NAME?</v>
      </c>
      <c r="I515" t="s">
        <v>577</v>
      </c>
      <c r="J515">
        <v>19.97</v>
      </c>
      <c r="K515" s="4">
        <v>-1E-3</v>
      </c>
      <c r="L515">
        <v>4.0999999999999996</v>
      </c>
      <c r="M515">
        <v>147</v>
      </c>
      <c r="O515" t="s">
        <v>25</v>
      </c>
      <c r="P515" t="s">
        <v>894</v>
      </c>
      <c r="Q515" t="s">
        <v>899</v>
      </c>
    </row>
    <row r="516" spans="1:17" ht="15.5" x14ac:dyDescent="0.35">
      <c r="A516" s="3" t="str">
        <f>HYPERLINK("https://edmondsonsupply.com/collections/personal-protection-safety/products/john-boy-texas-face-guard", "https://edmondsonsupply.com/collections/personal-protection-safety/products/john-boy-texas-face-guard")</f>
        <v>https://edmondsonsupply.com/collections/personal-protection-safety/products/john-boy-texas-face-guard</v>
      </c>
      <c r="B516" s="3" t="str">
        <f>HYPERLINK("https://edmondsonsupply.com/products/john-boy-texas-face-guard", "https://edmondsonsupply.com/products/john-boy-texas-face-guard")</f>
        <v>https://edmondsonsupply.com/products/john-boy-texas-face-guard</v>
      </c>
      <c r="C516" t="s">
        <v>1091</v>
      </c>
      <c r="D516" t="s">
        <v>1234</v>
      </c>
      <c r="E516" s="3" t="str">
        <f>HYPERLINK("https://www.amazon.com/JOHN-BOY-Construction-Face-Guard/dp/B0842ZR926/ref=sr_1_1?keywords=John+Boy+TEXAS+Face+Guard&amp;qid=1695173282&amp;sr=8-1", "https://www.amazon.com/JOHN-BOY-Construction-Face-Guard/dp/B0842ZR926/ref=sr_1_1?keywords=John+Boy+TEXAS+Face+Guard&amp;qid=1695173282&amp;sr=8-1")</f>
        <v>https://www.amazon.com/JOHN-BOY-Construction-Face-Guard/dp/B0842ZR926/ref=sr_1_1?keywords=John+Boy+TEXAS+Face+Guard&amp;qid=1695173282&amp;sr=8-1</v>
      </c>
      <c r="F516" t="s">
        <v>1235</v>
      </c>
      <c r="G516" t="e">
        <f ca="1">_xludf.IMAGE("https://edmondsonsupply.com/cdn/shop/products/TX2-FG.jpg?v=1633030719")</f>
        <v>#NAME?</v>
      </c>
      <c r="H516" t="e">
        <f ca="1">_xludf.IMAGE("https://m.media-amazon.com/images/I/713F6nIS5IL._AC_UL320_.jpg")</f>
        <v>#NAME?</v>
      </c>
      <c r="I516" t="s">
        <v>1039</v>
      </c>
      <c r="J516">
        <v>9.98</v>
      </c>
      <c r="K516" s="4">
        <v>-2E-3</v>
      </c>
      <c r="L516">
        <v>5</v>
      </c>
      <c r="M516">
        <v>2</v>
      </c>
      <c r="O516" t="s">
        <v>171</v>
      </c>
      <c r="P516" t="s">
        <v>138</v>
      </c>
      <c r="Q516" t="s">
        <v>1092</v>
      </c>
    </row>
    <row r="517" spans="1:17" ht="15.5" x14ac:dyDescent="0.35">
      <c r="A517"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517" s="3" t="str">
        <f>HYPERLINK("https://edmondsonsupply.com/products/john-boy-grass-face-guard", "https://edmondsonsupply.com/products/john-boy-grass-face-guard")</f>
        <v>https://edmondsonsupply.com/products/john-boy-grass-face-guard</v>
      </c>
      <c r="C517" t="s">
        <v>1065</v>
      </c>
      <c r="D517" t="s">
        <v>1236</v>
      </c>
      <c r="E517" s="3" t="str">
        <f>HYPERLINK("https://www.amazon.com/JOHN-BOY-Construction-Face-Guard/dp/B0842ZGZCQ/ref=sr_1_4?keywords=John+Boy+GRASS+Face+Guard&amp;qid=1695173247&amp;sr=8-4", "https://www.amazon.com/JOHN-BOY-Construction-Face-Guard/dp/B0842ZGZCQ/ref=sr_1_4?keywords=John+Boy+GRASS+Face+Guard&amp;qid=1695173247&amp;sr=8-4")</f>
        <v>https://www.amazon.com/JOHN-BOY-Construction-Face-Guard/dp/B0842ZGZCQ/ref=sr_1_4?keywords=John+Boy+GRASS+Face+Guard&amp;qid=1695173247&amp;sr=8-4</v>
      </c>
      <c r="F517" t="s">
        <v>1237</v>
      </c>
      <c r="G517" t="e">
        <f ca="1">_xludf.IMAGE("https://edmondsonsupply.com/cdn/shop/products/grassMUcopy_900x_3dbec2e2-1ea2-46e7-b806-f05c0b3108b5.jpg?v=1633030897")</f>
        <v>#NAME?</v>
      </c>
      <c r="H517" t="e">
        <f ca="1">_xludf.IMAGE("https://m.media-amazon.com/images/I/71Op4Hsw9PL._AC_UL320_.jpg")</f>
        <v>#NAME?</v>
      </c>
      <c r="I517" t="s">
        <v>1039</v>
      </c>
      <c r="J517">
        <v>9.98</v>
      </c>
      <c r="K517" s="4">
        <v>-2E-3</v>
      </c>
      <c r="L517">
        <v>4.7</v>
      </c>
      <c r="M517">
        <v>5</v>
      </c>
      <c r="O517" t="s">
        <v>25</v>
      </c>
      <c r="P517" t="s">
        <v>138</v>
      </c>
      <c r="Q517" t="s">
        <v>1066</v>
      </c>
    </row>
    <row r="518" spans="1:17" ht="15.5" x14ac:dyDescent="0.35">
      <c r="A518" s="3" t="str">
        <f>HYPERLINK("https://edmondsonsupply.com/collections/personal-protection-safety/products/john-boy-desert-face-guard", "https://edmondsonsupply.com/collections/personal-protection-safety/products/john-boy-desert-face-guard")</f>
        <v>https://edmondsonsupply.com/collections/personal-protection-safety/products/john-boy-desert-face-guard</v>
      </c>
      <c r="B518" s="3" t="str">
        <f>HYPERLINK("https://edmondsonsupply.com/products/john-boy-desert-face-guard", "https://edmondsonsupply.com/products/john-boy-desert-face-guard")</f>
        <v>https://edmondsonsupply.com/products/john-boy-desert-face-guard</v>
      </c>
      <c r="C518" t="s">
        <v>1041</v>
      </c>
      <c r="D518" t="s">
        <v>1234</v>
      </c>
      <c r="E518" s="3" t="str">
        <f>HYPERLINK("https://www.amazon.com/JOHN-BOY-Construction-Face-Guard/dp/B0842ZR926/ref=sr_1_1?keywords=John+Boy+DESERT+Face+Guard&amp;qid=1695173255&amp;sr=8-1", "https://www.amazon.com/JOHN-BOY-Construction-Face-Guard/dp/B0842ZR926/ref=sr_1_1?keywords=John+Boy+DESERT+Face+Guard&amp;qid=1695173255&amp;sr=8-1")</f>
        <v>https://www.amazon.com/JOHN-BOY-Construction-Face-Guard/dp/B0842ZR926/ref=sr_1_1?keywords=John+Boy+DESERT+Face+Guard&amp;qid=1695173255&amp;sr=8-1</v>
      </c>
      <c r="F518" t="s">
        <v>1235</v>
      </c>
      <c r="G518" t="e">
        <f ca="1">_xludf.IMAGE("https://edmondsonsupply.com/cdn/shop/products/Desertcopy.jpg?v=1633030720")</f>
        <v>#NAME?</v>
      </c>
      <c r="H518" t="e">
        <f ca="1">_xludf.IMAGE("https://m.media-amazon.com/images/I/713F6nIS5IL._AC_UL320_.jpg")</f>
        <v>#NAME?</v>
      </c>
      <c r="I518" t="s">
        <v>1039</v>
      </c>
      <c r="J518">
        <v>9.98</v>
      </c>
      <c r="K518" s="4">
        <v>-2E-3</v>
      </c>
      <c r="L518">
        <v>5</v>
      </c>
      <c r="M518">
        <v>2</v>
      </c>
      <c r="O518" t="s">
        <v>25</v>
      </c>
      <c r="P518" t="s">
        <v>138</v>
      </c>
      <c r="Q518" t="s">
        <v>1043</v>
      </c>
    </row>
    <row r="519" spans="1:17" ht="15.5" x14ac:dyDescent="0.35">
      <c r="A519" s="3" t="str">
        <f>HYPERLINK("https://edmondsonsupply.com/collections/personal-protection-safety/products/john-boy-army-face-guard", "https://edmondsonsupply.com/collections/personal-protection-safety/products/john-boy-army-face-guard")</f>
        <v>https://edmondsonsupply.com/collections/personal-protection-safety/products/john-boy-army-face-guard</v>
      </c>
      <c r="B519" s="3" t="str">
        <f>HYPERLINK("https://edmondsonsupply.com/products/john-boy-army-face-guard", "https://edmondsonsupply.com/products/john-boy-army-face-guard")</f>
        <v>https://edmondsonsupply.com/products/john-boy-army-face-guard</v>
      </c>
      <c r="C519" t="s">
        <v>1036</v>
      </c>
      <c r="D519" t="s">
        <v>1236</v>
      </c>
      <c r="E519" s="3" t="str">
        <f>HYPERLINK("https://www.amazon.com/JOHN-BOY-Construction-Face-Guard/dp/B0842ZGZCQ/ref=sr_1_4?keywords=John+Boy+ARMY+Face+Guard&amp;qid=1695173251&amp;sr=8-4", "https://www.amazon.com/JOHN-BOY-Construction-Face-Guard/dp/B0842ZGZCQ/ref=sr_1_4?keywords=John+Boy+ARMY+Face+Guard&amp;qid=1695173251&amp;sr=8-4")</f>
        <v>https://www.amazon.com/JOHN-BOY-Construction-Face-Guard/dp/B0842ZGZCQ/ref=sr_1_4?keywords=John+Boy+ARMY+Face+Guard&amp;qid=1695173251&amp;sr=8-4</v>
      </c>
      <c r="F519" t="s">
        <v>1237</v>
      </c>
      <c r="G519" t="e">
        <f ca="1">_xludf.IMAGE("https://edmondsonsupply.com/cdn/shop/products/Armycopy.jpg?v=1633030720")</f>
        <v>#NAME?</v>
      </c>
      <c r="H519" t="e">
        <f ca="1">_xludf.IMAGE("https://m.media-amazon.com/images/I/71Op4Hsw9PL._AC_UL320_.jpg")</f>
        <v>#NAME?</v>
      </c>
      <c r="I519" t="s">
        <v>1039</v>
      </c>
      <c r="J519">
        <v>9.98</v>
      </c>
      <c r="K519" s="4">
        <v>-2E-3</v>
      </c>
      <c r="L519">
        <v>4.7</v>
      </c>
      <c r="M519">
        <v>5</v>
      </c>
      <c r="O519" t="s">
        <v>25</v>
      </c>
      <c r="P519" t="s">
        <v>138</v>
      </c>
      <c r="Q519" t="s">
        <v>1040</v>
      </c>
    </row>
    <row r="520" spans="1:17" ht="15.5" x14ac:dyDescent="0.35">
      <c r="A520" s="3" t="str">
        <f>HYPERLINK("https://edmondsonsupply.com/collections/personal-protection-safety/products/john-boy-mexico-face-guard", "https://edmondsonsupply.com/collections/personal-protection-safety/products/john-boy-mexico-face-guard")</f>
        <v>https://edmondsonsupply.com/collections/personal-protection-safety/products/john-boy-mexico-face-guard</v>
      </c>
      <c r="B520" s="3" t="str">
        <f>HYPERLINK("https://edmondsonsupply.com/products/john-boy-mexico-face-guard", "https://edmondsonsupply.com/products/john-boy-mexico-face-guard")</f>
        <v>https://edmondsonsupply.com/products/john-boy-mexico-face-guard</v>
      </c>
      <c r="C520" t="s">
        <v>1086</v>
      </c>
      <c r="D520" t="s">
        <v>1234</v>
      </c>
      <c r="E520" s="3" t="str">
        <f>HYPERLINK("https://www.amazon.com/JOHN-BOY-Construction-Face-Guard/dp/B0842ZR926/ref=sr_1_8?keywords=John+Boy+MEXICO+Face+Guard&amp;qid=1695173253&amp;sr=8-8", "https://www.amazon.com/JOHN-BOY-Construction-Face-Guard/dp/B0842ZR926/ref=sr_1_8?keywords=John+Boy+MEXICO+Face+Guard&amp;qid=1695173253&amp;sr=8-8")</f>
        <v>https://www.amazon.com/JOHN-BOY-Construction-Face-Guard/dp/B0842ZR926/ref=sr_1_8?keywords=John+Boy+MEXICO+Face+Guard&amp;qid=1695173253&amp;sr=8-8</v>
      </c>
      <c r="F520" t="s">
        <v>1235</v>
      </c>
      <c r="G520" t="e">
        <f ca="1">_xludf.IMAGE("https://edmondsonsupply.com/cdn/shop/products/Mexicocopy.jpg?v=1633030719")</f>
        <v>#NAME?</v>
      </c>
      <c r="H520" t="e">
        <f ca="1">_xludf.IMAGE("https://m.media-amazon.com/images/I/713F6nIS5IL._AC_UL320_.jpg")</f>
        <v>#NAME?</v>
      </c>
      <c r="I520" t="s">
        <v>1039</v>
      </c>
      <c r="J520">
        <v>9.98</v>
      </c>
      <c r="K520" s="4">
        <v>-2E-3</v>
      </c>
      <c r="L520">
        <v>5</v>
      </c>
      <c r="M520">
        <v>2</v>
      </c>
      <c r="O520" t="s">
        <v>25</v>
      </c>
      <c r="P520" t="s">
        <v>138</v>
      </c>
      <c r="Q520" t="s">
        <v>1087</v>
      </c>
    </row>
    <row r="521" spans="1:17" ht="15.5" x14ac:dyDescent="0.35">
      <c r="A521" s="3" t="str">
        <f>HYPERLINK("https://edmondsonsupply.com/collections/personal-protection-safety/products/john-boy-patriot-face-guard", "https://edmondsonsupply.com/collections/personal-protection-safety/products/john-boy-patriot-face-guard")</f>
        <v>https://edmondsonsupply.com/collections/personal-protection-safety/products/john-boy-patriot-face-guard</v>
      </c>
      <c r="B521" s="3" t="str">
        <f>HYPERLINK("https://edmondsonsupply.com/products/john-boy-patriot-face-guard", "https://edmondsonsupply.com/products/john-boy-patriot-face-guard")</f>
        <v>https://edmondsonsupply.com/products/john-boy-patriot-face-guard</v>
      </c>
      <c r="C521" t="s">
        <v>1079</v>
      </c>
      <c r="D521" t="s">
        <v>1236</v>
      </c>
      <c r="E521" s="3" t="str">
        <f>HYPERLINK("https://www.amazon.com/JOHN-BOY-Construction-Face-Guard/dp/B0842ZGZCQ/ref=sr_1_1?keywords=John+Boy+PATRIOT+Face+Guard&amp;qid=1695173254&amp;sr=8-1", "https://www.amazon.com/JOHN-BOY-Construction-Face-Guard/dp/B0842ZGZCQ/ref=sr_1_1?keywords=John+Boy+PATRIOT+Face+Guard&amp;qid=1695173254&amp;sr=8-1")</f>
        <v>https://www.amazon.com/JOHN-BOY-Construction-Face-Guard/dp/B0842ZGZCQ/ref=sr_1_1?keywords=John+Boy+PATRIOT+Face+Guard&amp;qid=1695173254&amp;sr=8-1</v>
      </c>
      <c r="F521" t="s">
        <v>1237</v>
      </c>
      <c r="G521" t="e">
        <f ca="1">_xludf.IMAGE("https://edmondsonsupply.com/cdn/shop/products/Patriotcopy.jpg?v=1633030716")</f>
        <v>#NAME?</v>
      </c>
      <c r="H521" t="e">
        <f ca="1">_xludf.IMAGE("https://m.media-amazon.com/images/I/71Op4Hsw9PL._AC_UL320_.jpg")</f>
        <v>#NAME?</v>
      </c>
      <c r="I521" t="s">
        <v>1039</v>
      </c>
      <c r="J521">
        <v>9.98</v>
      </c>
      <c r="K521" s="4">
        <v>-2E-3</v>
      </c>
      <c r="L521">
        <v>4.7</v>
      </c>
      <c r="M521">
        <v>5</v>
      </c>
      <c r="O521" t="s">
        <v>25</v>
      </c>
      <c r="P521" t="s">
        <v>138</v>
      </c>
      <c r="Q521" t="s">
        <v>1081</v>
      </c>
    </row>
    <row r="522" spans="1:17" ht="15.5" x14ac:dyDescent="0.35">
      <c r="A522"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522" s="3" t="str">
        <f>HYPERLINK("https://edmondsonsupply.com/products/john-boy-neon-reflect-y-face-guard", "https://edmondsonsupply.com/products/john-boy-neon-reflect-y-face-guard")</f>
        <v>https://edmondsonsupply.com/products/john-boy-neon-reflect-y-face-guard</v>
      </c>
      <c r="C522" t="s">
        <v>1061</v>
      </c>
      <c r="D522" t="s">
        <v>1236</v>
      </c>
      <c r="E522" s="3" t="str">
        <f>HYPERLINK("https://www.amazon.com/JOHN-BOY-Construction-Face-Guard/dp/B0842ZGZCQ/ref=sr_1_7?keywords=John+Boy+NEON+REFLECT-Y+Face+Guard&amp;qid=1695173256&amp;sr=8-7", "https://www.amazon.com/JOHN-BOY-Construction-Face-Guard/dp/B0842ZGZCQ/ref=sr_1_7?keywords=John+Boy+NEON+REFLECT-Y+Face+Guard&amp;qid=1695173256&amp;sr=8-7")</f>
        <v>https://www.amazon.com/JOHN-BOY-Construction-Face-Guard/dp/B0842ZGZCQ/ref=sr_1_7?keywords=John+Boy+NEON+REFLECT-Y+Face+Guard&amp;qid=1695173256&amp;sr=8-7</v>
      </c>
      <c r="F522" t="s">
        <v>1237</v>
      </c>
      <c r="G522" t="e">
        <f ca="1">_xludf.IMAGE("https://edmondsonsupply.com/cdn/shop/products/NEONREFLECT-Y.jpg?v=1633030720")</f>
        <v>#NAME?</v>
      </c>
      <c r="H522" t="e">
        <f ca="1">_xludf.IMAGE("https://m.media-amazon.com/images/I/71Op4Hsw9PL._AC_UL320_.jpg")</f>
        <v>#NAME?</v>
      </c>
      <c r="I522" t="s">
        <v>1039</v>
      </c>
      <c r="J522">
        <v>9.98</v>
      </c>
      <c r="K522" s="4">
        <v>-2E-3</v>
      </c>
      <c r="L522">
        <v>4.7</v>
      </c>
      <c r="M522">
        <v>5</v>
      </c>
      <c r="O522" t="s">
        <v>25</v>
      </c>
      <c r="P522" t="s">
        <v>138</v>
      </c>
      <c r="Q522" t="s">
        <v>1064</v>
      </c>
    </row>
    <row r="523" spans="1:17" ht="15.5" x14ac:dyDescent="0.35">
      <c r="A523" s="3" t="str">
        <f>HYPERLINK("https://edmondsonsupply.com/collections/personal-protection-safety/products/hellberg-safety-secure-3-headband-hearing-protection", "https://edmondsonsupply.com/collections/personal-protection-safety/products/hellberg-safety-secure-3-headband-hearing-protection")</f>
        <v>https://edmondsonsupply.com/collections/personal-protection-safety/products/hellberg-safety-secure-3-headband-hearing-protection</v>
      </c>
      <c r="B523" s="3" t="str">
        <f>HYPERLINK("https://edmondsonsupply.com/products/hellberg-safety-secure-3-headband-hearing-protection", "https://edmondsonsupply.com/products/hellberg-safety-secure-3-headband-hearing-protection")</f>
        <v>https://edmondsonsupply.com/products/hellberg-safety-secure-3-headband-hearing-protection</v>
      </c>
      <c r="C523" t="s">
        <v>1098</v>
      </c>
      <c r="D523" t="s">
        <v>863</v>
      </c>
      <c r="E523" s="3" t="str">
        <f>HYPERLINK("https://www.amazon.com/Hellberg-Safety-41002-001-Protection-Frequency/dp/B017DJJXOE/ref=sr_1_2?keywords=Hellberg+Safety+Secure+3+Headband+Hearing+Protection&amp;qid=1695173241&amp;sr=8-2", "https://www.amazon.com/Hellberg-Safety-41002-001-Protection-Frequency/dp/B017DJJXOE/ref=sr_1_2?keywords=Hellberg+Safety+Secure+3+Headband+Hearing+Protection&amp;qid=1695173241&amp;sr=8-2")</f>
        <v>https://www.amazon.com/Hellberg-Safety-41002-001-Protection-Frequency/dp/B017DJJXOE/ref=sr_1_2?keywords=Hellberg+Safety+Secure+3+Headband+Hearing+Protection&amp;qid=1695173241&amp;sr=8-2</v>
      </c>
      <c r="F523" t="s">
        <v>864</v>
      </c>
      <c r="G523" t="e">
        <f ca="1">_xludf.IMAGE("https://edmondsonsupply.com/cdn/shop/products/41003-001_Original_637469277190930000.jpg?v=1635628443")</f>
        <v>#NAME?</v>
      </c>
      <c r="H523" t="e">
        <f ca="1">_xludf.IMAGE("https://m.media-amazon.com/images/I/716bzdxEJHL._AC_UL320_.jpg")</f>
        <v>#NAME?</v>
      </c>
      <c r="I523" t="s">
        <v>1099</v>
      </c>
      <c r="J523">
        <v>37.090000000000003</v>
      </c>
      <c r="K523" s="4">
        <v>-2.2700000000000001E-2</v>
      </c>
      <c r="L523">
        <v>4.5</v>
      </c>
      <c r="M523">
        <v>52</v>
      </c>
      <c r="O523" t="s">
        <v>25</v>
      </c>
      <c r="P523" t="s">
        <v>1100</v>
      </c>
      <c r="Q523" t="s">
        <v>1101</v>
      </c>
    </row>
    <row r="524" spans="1:17" ht="15.5" x14ac:dyDescent="0.35">
      <c r="A524" s="3" t="str">
        <f>HYPERLINK("https://edmondsonsupply.com/collections/personal-protection-safety/products/klein-tools-60198-work-gloves-cut-level-4-touchscreen-x-large-2-pair", "https://edmondsonsupply.com/collections/personal-protection-safety/products/klein-tools-60198-work-gloves-cut-level-4-touchscreen-x-large-2-pair")</f>
        <v>https://edmondsonsupply.com/collections/personal-protection-safety/products/klein-tools-60198-work-gloves-cut-level-4-touchscreen-x-large-2-pair</v>
      </c>
      <c r="B524" s="3" t="str">
        <f>HYPERLINK("https://edmondsonsupply.com/products/klein-tools-60198-work-gloves-cut-level-4-touchscreen-x-large-2-pair", "https://edmondsonsupply.com/products/klein-tools-60198-work-gloves-cut-level-4-touchscreen-x-large-2-pair")</f>
        <v>https://edmondsonsupply.com/products/klein-tools-60198-work-gloves-cut-level-4-touchscreen-x-large-2-pair</v>
      </c>
      <c r="C524" t="s">
        <v>1238</v>
      </c>
      <c r="D524" t="s">
        <v>1239</v>
      </c>
      <c r="E524" s="3" t="str">
        <f>HYPERLINK("https://www.amazon.com/Klein-60198-Cut-Resistant-Touchscreen-X-Large/dp/B086TTXF5C/ref=sr_1_1?keywords=Klein+Tools+60198+Work+Gloves%2C+Cut+Level+4%2C+Touchscreen%2C+X-Large%2C+2-Pair&amp;qid=1695173265&amp;sr=8-1", "https://www.amazon.com/Klein-60198-Cut-Resistant-Touchscreen-X-Large/dp/B086TTXF5C/ref=sr_1_1?keywords=Klein+Tools+60198+Work+Gloves%2C+Cut+Level+4%2C+Touchscreen%2C+X-Large%2C+2-Pair&amp;qid=1695173265&amp;sr=8-1")</f>
        <v>https://www.amazon.com/Klein-60198-Cut-Resistant-Touchscreen-X-Large/dp/B086TTXF5C/ref=sr_1_1?keywords=Klein+Tools+60198+Work+Gloves%2C+Cut+Level+4%2C+Touchscreen%2C+X-Large%2C+2-Pair&amp;qid=1695173265&amp;sr=8-1</v>
      </c>
      <c r="F524" t="s">
        <v>1240</v>
      </c>
      <c r="G524" t="e">
        <f ca="1">_xludf.IMAGE("https://edmondsonsupply.com/cdn/shop/products/60198.jpg?v=1633030304")</f>
        <v>#NAME?</v>
      </c>
      <c r="H524" t="e">
        <f ca="1">_xludf.IMAGE("https://m.media-amazon.com/images/I/718nysP6TqL._AC_UL320_.jpg")</f>
        <v>#NAME?</v>
      </c>
      <c r="I524" t="s">
        <v>1241</v>
      </c>
      <c r="J524">
        <v>18.420000000000002</v>
      </c>
      <c r="K524" s="4">
        <v>-2.4899999999999999E-2</v>
      </c>
      <c r="L524">
        <v>4.5999999999999996</v>
      </c>
      <c r="M524">
        <v>135</v>
      </c>
      <c r="O524" t="s">
        <v>25</v>
      </c>
      <c r="P524" t="s">
        <v>1242</v>
      </c>
      <c r="Q524" t="s">
        <v>1243</v>
      </c>
    </row>
    <row r="525" spans="1:17" ht="15.5" x14ac:dyDescent="0.35">
      <c r="A525" s="3" t="str">
        <f>HYPERLINK("https://edmondsonsupply.com/collections/personal-protection-safety/products/klein-tools-40230-high-dexterity-touchscreen-gloves-l", "https://edmondsonsupply.com/collections/personal-protection-safety/products/klein-tools-40230-high-dexterity-touchscreen-gloves-l")</f>
        <v>https://edmondsonsupply.com/collections/personal-protection-safety/products/klein-tools-40230-high-dexterity-touchscreen-gloves-l</v>
      </c>
      <c r="B525" s="3" t="str">
        <f>HYPERLINK("https://edmondsonsupply.com/products/klein-tools-40230-high-dexterity-touchscreen-gloves-l", "https://edmondsonsupply.com/products/klein-tools-40230-high-dexterity-touchscreen-gloves-l")</f>
        <v>https://edmondsonsupply.com/products/klein-tools-40230-high-dexterity-touchscreen-gloves-l</v>
      </c>
      <c r="C525" t="s">
        <v>1244</v>
      </c>
      <c r="D525" t="s">
        <v>1108</v>
      </c>
      <c r="E525" s="3" t="str">
        <f>HYPERLINK("https://www.amazon.com/Dexterity-Touchscreen-Klein-Tools-40229/dp/B01M68QAAK/ref=sr_1_5?keywords=Klein+Tools+40230+High+Dexterity+Touchscreen+Gloves%2C+L&amp;qid=1695173249&amp;sr=8-5", "https://www.amazon.com/Dexterity-Touchscreen-Klein-Tools-40229/dp/B01M68QAAK/ref=sr_1_5?keywords=Klein+Tools+40230+High+Dexterity+Touchscreen+Gloves%2C+L&amp;qid=1695173249&amp;sr=8-5")</f>
        <v>https://www.amazon.com/Dexterity-Touchscreen-Klein-Tools-40229/dp/B01M68QAAK/ref=sr_1_5?keywords=Klein+Tools+40230+High+Dexterity+Touchscreen+Gloves%2C+L&amp;qid=1695173249&amp;sr=8-5</v>
      </c>
      <c r="F525" t="s">
        <v>1109</v>
      </c>
      <c r="G525" t="e">
        <f ca="1">_xludf.IMAGE("https://edmondsonsupply.com/cdn/shop/products/40229_20313513-1362-4da0-bac4-01d30a71590d.jpg?v=1604003560")</f>
        <v>#NAME?</v>
      </c>
      <c r="H525" t="e">
        <f ca="1">_xludf.IMAGE("https://m.media-amazon.com/images/I/51mom7WNCOL._AC_UL320_.jpg")</f>
        <v>#NAME?</v>
      </c>
      <c r="I525" t="s">
        <v>1245</v>
      </c>
      <c r="J525">
        <v>25.49</v>
      </c>
      <c r="K525" s="4">
        <v>-3.78E-2</v>
      </c>
      <c r="L525">
        <v>4.3</v>
      </c>
      <c r="M525">
        <v>56</v>
      </c>
      <c r="O525" t="s">
        <v>25</v>
      </c>
      <c r="P525" t="s">
        <v>1246</v>
      </c>
      <c r="Q525" t="s">
        <v>1247</v>
      </c>
    </row>
    <row r="526" spans="1:17" ht="15.5" x14ac:dyDescent="0.35">
      <c r="A526" s="3" t="str">
        <f>HYPERLINK("https://edmondsonsupply.com/collections/personal-protection-safety/products/klein-tools-40230-high-dexterity-touchscreen-gloves-l", "https://edmondsonsupply.com/collections/personal-protection-safety/products/klein-tools-40230-high-dexterity-touchscreen-gloves-l")</f>
        <v>https://edmondsonsupply.com/collections/personal-protection-safety/products/klein-tools-40230-high-dexterity-touchscreen-gloves-l</v>
      </c>
      <c r="B526" s="3" t="str">
        <f>HYPERLINK("https://edmondsonsupply.com/products/klein-tools-40230-high-dexterity-touchscreen-gloves-l", "https://edmondsonsupply.com/products/klein-tools-40230-high-dexterity-touchscreen-gloves-l")</f>
        <v>https://edmondsonsupply.com/products/klein-tools-40230-high-dexterity-touchscreen-gloves-l</v>
      </c>
      <c r="C526" t="s">
        <v>1244</v>
      </c>
      <c r="D526" t="s">
        <v>1144</v>
      </c>
      <c r="E526" s="3" t="str">
        <f>HYPERLINK("https://www.amazon.com/Dexterity-Touchscreen-Klein-Tools-40230/dp/B01M68QBRU/ref=sr_1_4?keywords=Klein+Tools+40230+High+Dexterity+Touchscreen+Gloves%2C+L&amp;qid=1695173249&amp;sr=8-4", "https://www.amazon.com/Dexterity-Touchscreen-Klein-Tools-40230/dp/B01M68QBRU/ref=sr_1_4?keywords=Klein+Tools+40230+High+Dexterity+Touchscreen+Gloves%2C+L&amp;qid=1695173249&amp;sr=8-4")</f>
        <v>https://www.amazon.com/Dexterity-Touchscreen-Klein-Tools-40230/dp/B01M68QBRU/ref=sr_1_4?keywords=Klein+Tools+40230+High+Dexterity+Touchscreen+Gloves%2C+L&amp;qid=1695173249&amp;sr=8-4</v>
      </c>
      <c r="F526" t="s">
        <v>1145</v>
      </c>
      <c r="G526" t="e">
        <f ca="1">_xludf.IMAGE("https://edmondsonsupply.com/cdn/shop/products/40229_20313513-1362-4da0-bac4-01d30a71590d.jpg?v=1604003560")</f>
        <v>#NAME?</v>
      </c>
      <c r="H526" t="e">
        <f ca="1">_xludf.IMAGE("https://m.media-amazon.com/images/I/61OBeXb4irL._AC_UL320_.jpg")</f>
        <v>#NAME?</v>
      </c>
      <c r="I526" t="s">
        <v>1245</v>
      </c>
      <c r="J526">
        <v>25.49</v>
      </c>
      <c r="K526" s="4">
        <v>-3.78E-2</v>
      </c>
      <c r="L526">
        <v>3.9</v>
      </c>
      <c r="M526">
        <v>72</v>
      </c>
      <c r="O526" t="s">
        <v>25</v>
      </c>
      <c r="P526" t="s">
        <v>1246</v>
      </c>
      <c r="Q526" t="s">
        <v>1247</v>
      </c>
    </row>
    <row r="527" spans="1:17" ht="15.5" x14ac:dyDescent="0.35">
      <c r="A527" s="3" t="str">
        <f>HYPERLINK("https://edmondsonsupply.com/collections/personal-protection-safety/products/klein-tools-60184-lightweight-gel-knee-pads", "https://edmondsonsupply.com/collections/personal-protection-safety/products/klein-tools-60184-lightweight-gel-knee-pads")</f>
        <v>https://edmondsonsupply.com/collections/personal-protection-safety/products/klein-tools-60184-lightweight-gel-knee-pads</v>
      </c>
      <c r="B527" s="3" t="str">
        <f>HYPERLINK("https://edmondsonsupply.com/products/klein-tools-60184-lightweight-gel-knee-pads", "https://edmondsonsupply.com/products/klein-tools-60184-lightweight-gel-knee-pads")</f>
        <v>https://edmondsonsupply.com/products/klein-tools-60184-lightweight-gel-knee-pads</v>
      </c>
      <c r="C527" t="s">
        <v>908</v>
      </c>
      <c r="D527" t="s">
        <v>1248</v>
      </c>
      <c r="E527" s="3" t="str">
        <f>HYPERLINK("https://www.amazon.com/Klein-Tools-60184-Lightweight-Resistant/dp/B088N5Q59S/ref=sr_1_1?keywords=Klein+Tools+60184+Lightweight+Gel+Knee+Pads&amp;qid=1695173226&amp;sr=8-1", "https://www.amazon.com/Klein-Tools-60184-Lightweight-Resistant/dp/B088N5Q59S/ref=sr_1_1?keywords=Klein+Tools+60184+Lightweight+Gel+Knee+Pads&amp;qid=1695173226&amp;sr=8-1")</f>
        <v>https://www.amazon.com/Klein-Tools-60184-Lightweight-Resistant/dp/B088N5Q59S/ref=sr_1_1?keywords=Klein+Tools+60184+Lightweight+Gel+Knee+Pads&amp;qid=1695173226&amp;sr=8-1</v>
      </c>
      <c r="F527" t="s">
        <v>1249</v>
      </c>
      <c r="G527" t="e">
        <f ca="1">_xludf.IMAGE("https://edmondsonsupply.com/cdn/shop/products/60184.jpg?v=1633030246")</f>
        <v>#NAME?</v>
      </c>
      <c r="H527" t="e">
        <f ca="1">_xludf.IMAGE("https://m.media-amazon.com/images/I/71vmG1tRBLL._AC_UL320_.jpg")</f>
        <v>#NAME?</v>
      </c>
      <c r="I527" t="s">
        <v>911</v>
      </c>
      <c r="J527">
        <v>24.97</v>
      </c>
      <c r="K527" s="4">
        <v>-3.85E-2</v>
      </c>
      <c r="L527">
        <v>4.2</v>
      </c>
      <c r="M527">
        <v>156</v>
      </c>
      <c r="O527" t="s">
        <v>25</v>
      </c>
      <c r="P527" t="s">
        <v>912</v>
      </c>
      <c r="Q527" t="s">
        <v>913</v>
      </c>
    </row>
    <row r="528" spans="1:17" ht="15.5" x14ac:dyDescent="0.35">
      <c r="A528" s="3" t="str">
        <f>HYPERLINK("https://edmondsonsupply.com/collections/personal-protection-safety/products/copy-of-klein-tools-60189-leather-work-gloves-x-large-pair", "https://edmondsonsupply.com/collections/personal-protection-safety/products/copy-of-klein-tools-60189-leather-work-gloves-x-large-pair")</f>
        <v>https://edmondsonsupply.com/collections/personal-protection-safety/products/copy-of-klein-tools-60189-leather-work-gloves-x-large-pair</v>
      </c>
      <c r="B528" s="3" t="str">
        <f>HYPERLINK("https://edmondsonsupply.com/products/copy-of-klein-tools-60189-leather-work-gloves-x-large-pair", "https://edmondsonsupply.com/products/copy-of-klein-tools-60189-leather-work-gloves-x-large-pair")</f>
        <v>https://edmondsonsupply.com/products/copy-of-klein-tools-60189-leather-work-gloves-x-large-pair</v>
      </c>
      <c r="C528" t="s">
        <v>1096</v>
      </c>
      <c r="D528" t="s">
        <v>1250</v>
      </c>
      <c r="E528" s="3" t="str">
        <f>HYPERLINK("https://www.amazon.com/Klein-60188-Professional-Protection-Reinforcement/dp/B086V4NCVL/ref=sr_1_1?keywords=Klein+Tools+60188+Leather+Work+Gloves%2C+Large%2C+Pair&amp;qid=1695173260&amp;sr=8-1", "https://www.amazon.com/Klein-60188-Professional-Protection-Reinforcement/dp/B086V4NCVL/ref=sr_1_1?keywords=Klein+Tools+60188+Leather+Work+Gloves%2C+Large%2C+Pair&amp;qid=1695173260&amp;sr=8-1")</f>
        <v>https://www.amazon.com/Klein-60188-Professional-Protection-Reinforcement/dp/B086V4NCVL/ref=sr_1_1?keywords=Klein+Tools+60188+Leather+Work+Gloves%2C+Large%2C+Pair&amp;qid=1695173260&amp;sr=8-1</v>
      </c>
      <c r="F528" t="s">
        <v>1251</v>
      </c>
      <c r="G528" t="e">
        <f ca="1">_xludf.IMAGE("https://edmondsonsupply.com/cdn/shop/products/60188_7a7499e6-621a-4bc0-8883-0ddde9a9ada8.jpg?v=1588432588")</f>
        <v>#NAME?</v>
      </c>
      <c r="H528" t="e">
        <f ca="1">_xludf.IMAGE("https://m.media-amazon.com/images/I/71jIX+oeWqL._AC_UL320_.jpg")</f>
        <v>#NAME?</v>
      </c>
      <c r="I528" t="s">
        <v>362</v>
      </c>
      <c r="J528">
        <v>24.97</v>
      </c>
      <c r="K528" s="4">
        <v>-3.9199999999999999E-2</v>
      </c>
      <c r="L528">
        <v>4.0999999999999996</v>
      </c>
      <c r="M528">
        <v>156</v>
      </c>
      <c r="O528" t="s">
        <v>25</v>
      </c>
      <c r="P528" t="s">
        <v>1054</v>
      </c>
      <c r="Q528" t="s">
        <v>1097</v>
      </c>
    </row>
    <row r="529" spans="1:17" ht="15.5" x14ac:dyDescent="0.35">
      <c r="A529" s="3" t="str">
        <f>HYPERLINK("https://edmondsonsupply.com/collections/personal-protection-safety/products/edge-eyewear-txb246", "https://edmondsonsupply.com/collections/personal-protection-safety/products/edge-eyewear-txb246")</f>
        <v>https://edmondsonsupply.com/collections/personal-protection-safety/products/edge-eyewear-txb246</v>
      </c>
      <c r="B529" s="3" t="str">
        <f>HYPERLINK("https://edmondsonsupply.com/products/edge-eyewear-txb246", "https://edmondsonsupply.com/products/edge-eyewear-txb246")</f>
        <v>https://edmondsonsupply.com/products/edge-eyewear-txb246</v>
      </c>
      <c r="C529" t="s">
        <v>1252</v>
      </c>
      <c r="D529" t="s">
        <v>1253</v>
      </c>
      <c r="E529" s="3" t="str">
        <f>HYPERLINK("https://www.amazon.com/Edge-Eyewear-TXB246-P2-Brazeau-Polarized/dp/B00V3YQOKW/ref=sr_1_1?keywords=Edge+Eyewear+TXB246-P2+Brazeau+Patriot+2+-+White+%26+Black+Bald+Eagle%2FPolarized+Smoke&amp;qid=1695173264&amp;sr=8-1", "https://www.amazon.com/Edge-Eyewear-TXB246-P2-Brazeau-Polarized/dp/B00V3YQOKW/ref=sr_1_1?keywords=Edge+Eyewear+TXB246-P2+Brazeau+Patriot+2+-+White+%26+Black+Bald+Eagle%2FPolarized+Smoke&amp;qid=1695173264&amp;sr=8-1")</f>
        <v>https://www.amazon.com/Edge-Eyewear-TXB246-P2-Brazeau-Polarized/dp/B00V3YQOKW/ref=sr_1_1?keywords=Edge+Eyewear+TXB246-P2+Brazeau+Patriot+2+-+White+%26+Black+Bald+Eagle%2FPolarized+Smoke&amp;qid=1695173264&amp;sr=8-1</v>
      </c>
      <c r="F529" t="s">
        <v>1254</v>
      </c>
      <c r="G529" t="e">
        <f ca="1">_xludf.IMAGE("https://edmondsonsupply.com/cdn/shop/products/TXB246-P2-B.jpg?v=1587145742")</f>
        <v>#NAME?</v>
      </c>
      <c r="H529" t="e">
        <f ca="1">_xludf.IMAGE("https://m.media-amazon.com/images/I/51enoi73w6L._AC_UL320_.jpg")</f>
        <v>#NAME?</v>
      </c>
      <c r="I529" t="s">
        <v>1255</v>
      </c>
      <c r="J529">
        <v>26.34</v>
      </c>
      <c r="K529" s="4">
        <v>-4.1099999999999998E-2</v>
      </c>
      <c r="L529">
        <v>4</v>
      </c>
      <c r="M529">
        <v>29</v>
      </c>
      <c r="O529" t="s">
        <v>25</v>
      </c>
      <c r="P529" t="s">
        <v>1256</v>
      </c>
      <c r="Q529" t="s">
        <v>1257</v>
      </c>
    </row>
    <row r="530" spans="1:17" ht="15.5" x14ac:dyDescent="0.35">
      <c r="A530" s="3" t="str">
        <f>HYPERLINK("https://edmondsonsupply.com/collections/personal-protection-safety/products/klein-tools-29025-modular-battery-for-klein-tools-cat-no-60155-hard-hat-cooling-fan", "https://edmondsonsupply.com/collections/personal-protection-safety/products/klein-tools-29025-modular-battery-for-klein-tools-cat-no-60155-hard-hat-cooling-fan")</f>
        <v>https://edmondsonsupply.com/collections/personal-protection-safety/products/klein-tools-29025-modular-battery-for-klein-tools-cat-no-60155-hard-hat-cooling-fan</v>
      </c>
      <c r="B530"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530" t="s">
        <v>827</v>
      </c>
      <c r="D530" t="s">
        <v>1258</v>
      </c>
      <c r="E530" s="3" t="str">
        <f>HYPERLINK("https://www.amazon.com/Klein-Tools-29025-Rechargeable-Lithium-ion/dp/B09H3MYQ95/ref=sr_1_1?keywords=Klein+Tools+29025+Modular+Battery+for+Klein+Tools+Cat.+No.+60155+Hard+Hat+Cooling+Fan&amp;qid=1695173223&amp;sr=8-1", "https://www.amazon.com/Klein-Tools-29025-Rechargeable-Lithium-ion/dp/B09H3MYQ95/ref=sr_1_1?keywords=Klein+Tools+29025+Modular+Battery+for+Klein+Tools+Cat.+No.+60155+Hard+Hat+Cooling+Fan&amp;qid=1695173223&amp;sr=8-1")</f>
        <v>https://www.amazon.com/Klein-Tools-29025-Rechargeable-Lithium-ion/dp/B09H3MYQ95/ref=sr_1_1?keywords=Klein+Tools+29025+Modular+Battery+for+Klein+Tools+Cat.+No.+60155+Hard+Hat+Cooling+Fan&amp;qid=1695173223&amp;sr=8-1</v>
      </c>
      <c r="F530" t="s">
        <v>1259</v>
      </c>
      <c r="G530" t="e">
        <f ca="1">_xludf.IMAGE("https://edmondsonsupply.com/cdn/shop/products/29025.jpg?v=1664802987")</f>
        <v>#NAME?</v>
      </c>
      <c r="H530" t="e">
        <f ca="1">_xludf.IMAGE("https://m.media-amazon.com/images/I/41+jmEnDWdL._AC_UL320_.jpg")</f>
        <v>#NAME?</v>
      </c>
      <c r="I530" t="s">
        <v>830</v>
      </c>
      <c r="J530">
        <v>34.99</v>
      </c>
      <c r="K530" s="4">
        <v>-5.4100000000000002E-2</v>
      </c>
      <c r="L530">
        <v>4</v>
      </c>
      <c r="M530">
        <v>148</v>
      </c>
      <c r="O530" t="s">
        <v>25</v>
      </c>
      <c r="P530" t="s">
        <v>831</v>
      </c>
      <c r="Q530" t="s">
        <v>832</v>
      </c>
    </row>
    <row r="531" spans="1:17" ht="15.5" x14ac:dyDescent="0.35">
      <c r="A531" s="3" t="str">
        <f>HYPERLINK("https://edmondsonsupply.com/collections/personal-protection-safety/products/klein-tools-40226-journeyman-leather-utility-gloves-medium", "https://edmondsonsupply.com/collections/personal-protection-safety/products/klein-tools-40226-journeyman-leather-utility-gloves-medium")</f>
        <v>https://edmondsonsupply.com/collections/personal-protection-safety/products/klein-tools-40226-journeyman-leather-utility-gloves-medium</v>
      </c>
      <c r="B531" s="3" t="str">
        <f>HYPERLINK("https://edmondsonsupply.com/products/klein-tools-40226-journeyman-leather-utility-gloves-medium", "https://edmondsonsupply.com/products/klein-tools-40226-journeyman-leather-utility-gloves-medium")</f>
        <v>https://edmondsonsupply.com/products/klein-tools-40226-journeyman-leather-utility-gloves-medium</v>
      </c>
      <c r="C531" t="s">
        <v>1260</v>
      </c>
      <c r="D531" t="s">
        <v>1261</v>
      </c>
      <c r="E531" s="3" t="str">
        <f>HYPERLINK("https://www.amazon.com/Journeyman-Leather-Klein-Tools-40227/dp/B01MCYW7TO/ref=sr_1_3?keywords=Klein+Tools+40226+Journeyman+Leather+Utility+Gloves%2C+Medium&amp;qid=1695173261&amp;sr=8-3", "https://www.amazon.com/Journeyman-Leather-Klein-Tools-40227/dp/B01MCYW7TO/ref=sr_1_3?keywords=Klein+Tools+40226+Journeyman+Leather+Utility+Gloves%2C+Medium&amp;qid=1695173261&amp;sr=8-3")</f>
        <v>https://www.amazon.com/Journeyman-Leather-Klein-Tools-40227/dp/B01MCYW7TO/ref=sr_1_3?keywords=Klein+Tools+40226+Journeyman+Leather+Utility+Gloves%2C+Medium&amp;qid=1695173261&amp;sr=8-3</v>
      </c>
      <c r="F531" t="s">
        <v>1262</v>
      </c>
      <c r="G531" t="e">
        <f ca="1">_xludf.IMAGE("https://edmondsonsupply.com/cdn/shop/products/40226.jpg?v=1633030617")</f>
        <v>#NAME?</v>
      </c>
      <c r="H531" t="e">
        <f ca="1">_xludf.IMAGE("https://m.media-amazon.com/images/I/6151iadzGOL._AC_UL320_.jpg")</f>
        <v>#NAME?</v>
      </c>
      <c r="I531" t="s">
        <v>967</v>
      </c>
      <c r="J531">
        <v>25.49</v>
      </c>
      <c r="K531" s="4">
        <v>-5.5599999999999997E-2</v>
      </c>
      <c r="L531">
        <v>4.4000000000000004</v>
      </c>
      <c r="M531">
        <v>156</v>
      </c>
      <c r="O531" t="s">
        <v>25</v>
      </c>
      <c r="P531" t="s">
        <v>968</v>
      </c>
      <c r="Q531" t="s">
        <v>1263</v>
      </c>
    </row>
    <row r="532" spans="1:17" ht="15.5" x14ac:dyDescent="0.35">
      <c r="A532" s="3" t="str">
        <f>HYPERLINK("https://edmondsonsupply.com/collections/personal-protection-safety/products/klein-tools-40227-journeyman-leather-utility-gloves-large", "https://edmondsonsupply.com/collections/personal-protection-safety/products/klein-tools-40227-journeyman-leather-utility-gloves-large")</f>
        <v>https://edmondsonsupply.com/collections/personal-protection-safety/products/klein-tools-40227-journeyman-leather-utility-gloves-large</v>
      </c>
      <c r="B532" s="3" t="str">
        <f>HYPERLINK("https://edmondsonsupply.com/products/klein-tools-40227-journeyman-leather-utility-gloves-large", "https://edmondsonsupply.com/products/klein-tools-40227-journeyman-leather-utility-gloves-large")</f>
        <v>https://edmondsonsupply.com/products/klein-tools-40227-journeyman-leather-utility-gloves-large</v>
      </c>
      <c r="C532" t="s">
        <v>964</v>
      </c>
      <c r="D532" t="s">
        <v>1261</v>
      </c>
      <c r="E532" s="3" t="str">
        <f>HYPERLINK("https://www.amazon.com/Journeyman-Leather-Klein-Tools-40227/dp/B01MCYW7TO/ref=sr_1_1?keywords=Klein+Tools+40227+Journeyman+Leather+Utility+Gloves%2C+Large&amp;qid=1695173267&amp;sr=8-1", "https://www.amazon.com/Journeyman-Leather-Klein-Tools-40227/dp/B01MCYW7TO/ref=sr_1_1?keywords=Klein+Tools+40227+Journeyman+Leather+Utility+Gloves%2C+Large&amp;qid=1695173267&amp;sr=8-1")</f>
        <v>https://www.amazon.com/Journeyman-Leather-Klein-Tools-40227/dp/B01MCYW7TO/ref=sr_1_1?keywords=Klein+Tools+40227+Journeyman+Leather+Utility+Gloves%2C+Large&amp;qid=1695173267&amp;sr=8-1</v>
      </c>
      <c r="F532" t="s">
        <v>1262</v>
      </c>
      <c r="G532" t="e">
        <f ca="1">_xludf.IMAGE("https://edmondsonsupply.com/cdn/shop/products/40227.jpg?v=1633030298")</f>
        <v>#NAME?</v>
      </c>
      <c r="H532" t="e">
        <f ca="1">_xludf.IMAGE("https://m.media-amazon.com/images/I/6151iadzGOL._AC_UL320_.jpg")</f>
        <v>#NAME?</v>
      </c>
      <c r="I532" t="s">
        <v>967</v>
      </c>
      <c r="J532">
        <v>25.49</v>
      </c>
      <c r="K532" s="4">
        <v>-5.5599999999999997E-2</v>
      </c>
      <c r="L532">
        <v>4.4000000000000004</v>
      </c>
      <c r="M532">
        <v>156</v>
      </c>
      <c r="O532" t="s">
        <v>25</v>
      </c>
      <c r="P532" t="s">
        <v>968</v>
      </c>
      <c r="Q532" t="s">
        <v>969</v>
      </c>
    </row>
    <row r="533" spans="1:17" ht="15.5" x14ac:dyDescent="0.35">
      <c r="A533" s="3" t="str">
        <f>HYPERLINK("https://edmondsonsupply.com/collections/personal-protection-safety/products/klein-tools-55487-tradesman-pro%E2%84%A2-shoe-covers-medium", "https://edmondsonsupply.com/collections/personal-protection-safety/products/klein-tools-55487-tradesman-pro%E2%84%A2-shoe-covers-medium")</f>
        <v>https://edmondsonsupply.com/collections/personal-protection-safety/products/klein-tools-55487-tradesman-pro%E2%84%A2-shoe-covers-medium</v>
      </c>
      <c r="B533" s="3" t="str">
        <f>HYPERLINK("https://edmondsonsupply.com/products/klein-tools-55487-tradesman-pro%e2%84%a2-shoe-covers-medium", "https://edmondsonsupply.com/products/klein-tools-55487-tradesman-pro%e2%84%a2-shoe-covers-medium")</f>
        <v>https://edmondsonsupply.com/products/klein-tools-55487-tradesman-pro%e2%84%a2-shoe-covers-medium</v>
      </c>
      <c r="C533" t="s">
        <v>1264</v>
      </c>
      <c r="D533" t="s">
        <v>1265</v>
      </c>
      <c r="E533" s="3" t="str">
        <f>HYPERLINK("https://www.amazon.com/Tradesman-Covers-Klein-Tools-55487/dp/B075ZYTQHP/ref=sr_1_1?keywords=Klein+Tools+55487+Tradesman+Pro%E2%84%A2+Shoe+Covers%2C+Medium&amp;qid=1695173240&amp;sr=8-1", "https://www.amazon.com/Tradesman-Covers-Klein-Tools-55487/dp/B075ZYTQHP/ref=sr_1_1?keywords=Klein+Tools+55487+Tradesman+Pro%E2%84%A2+Shoe+Covers%2C+Medium&amp;qid=1695173240&amp;sr=8-1")</f>
        <v>https://www.amazon.com/Tradesman-Covers-Klein-Tools-55487/dp/B075ZYTQHP/ref=sr_1_1?keywords=Klein+Tools+55487+Tradesman+Pro%E2%84%A2+Shoe+Covers%2C+Medium&amp;qid=1695173240&amp;sr=8-1</v>
      </c>
      <c r="F533" t="s">
        <v>1266</v>
      </c>
      <c r="G533" t="e">
        <f ca="1">_xludf.IMAGE("https://edmondsonsupply.com/cdn/shop/products/57_1_01b2e386-9864-4289-a57c-b41e4b283567.jpg?v=1633031042")</f>
        <v>#NAME?</v>
      </c>
      <c r="H533" t="e">
        <f ca="1">_xludf.IMAGE("https://m.media-amazon.com/images/I/71Sw-BaYREL._AC_UL320_.jpg")</f>
        <v>#NAME?</v>
      </c>
      <c r="I533" t="s">
        <v>866</v>
      </c>
      <c r="J533">
        <v>15.99</v>
      </c>
      <c r="K533" s="4">
        <v>-5.8900000000000001E-2</v>
      </c>
      <c r="L533">
        <v>4.7</v>
      </c>
      <c r="M533">
        <v>257</v>
      </c>
      <c r="O533" t="s">
        <v>25</v>
      </c>
      <c r="P533" t="s">
        <v>996</v>
      </c>
      <c r="Q533" t="s">
        <v>1267</v>
      </c>
    </row>
    <row r="534" spans="1:17" ht="15.5" x14ac:dyDescent="0.35">
      <c r="A534"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534"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34" t="s">
        <v>853</v>
      </c>
      <c r="D534" t="s">
        <v>956</v>
      </c>
      <c r="E534" s="3" t="str">
        <f>HYPERLINK("https://www.amazon.com/Klein-60163-Professional-Protective-Resistant/dp/B08B48CZ5V/ref=sr_1_7?keywords=Klein+Tools+60471+Professional+Full-Frame+Gasket+Safety+Glasses%2C+Gray+Lens&amp;qid=1695173231&amp;sr=8-7", "https://www.amazon.com/Klein-60163-Professional-Protective-Resistant/dp/B08B48CZ5V/ref=sr_1_7?keywords=Klein+Tools+60471+Professional+Full-Frame+Gasket+Safety+Glasses%2C+Gray+Lens&amp;qid=1695173231&amp;sr=8-7")</f>
        <v>https://www.amazon.com/Klein-60163-Professional-Protective-Resistant/dp/B08B48CZ5V/ref=sr_1_7?keywords=Klein+Tools+60471+Professional+Full-Frame+Gasket+Safety+Glasses%2C+Gray+Lens&amp;qid=1695173231&amp;sr=8-7</v>
      </c>
      <c r="F534" t="s">
        <v>957</v>
      </c>
      <c r="G534" t="e">
        <f ca="1">_xludf.IMAGE("https://edmondsonsupply.com/cdn/shop/products/60471.jpg?v=1663257501")</f>
        <v>#NAME?</v>
      </c>
      <c r="H534" t="e">
        <f ca="1">_xludf.IMAGE("https://m.media-amazon.com/images/I/41IY8K6EFLL._AC_UL320_.jpg")</f>
        <v>#NAME?</v>
      </c>
      <c r="I534" t="s">
        <v>252</v>
      </c>
      <c r="J534">
        <v>14.99</v>
      </c>
      <c r="K534" s="4">
        <v>-6.25E-2</v>
      </c>
      <c r="L534">
        <v>4.4000000000000004</v>
      </c>
      <c r="M534">
        <v>198</v>
      </c>
      <c r="O534" t="s">
        <v>25</v>
      </c>
      <c r="P534" t="s">
        <v>854</v>
      </c>
      <c r="Q534" t="s">
        <v>855</v>
      </c>
    </row>
    <row r="535" spans="1:17" ht="15.5" x14ac:dyDescent="0.35">
      <c r="A535" s="3" t="str">
        <f>HYPERLINK("https://edmondsonsupply.com/collections/personal-protection-safety/products/klein-tools-60471-professional-full-frame-gasket-safety-glasses-gray-lens", "https://edmondsonsupply.com/collections/personal-protection-safety/products/klein-tools-60471-professional-full-frame-gasket-safety-glasses-gray-lens")</f>
        <v>https://edmondsonsupply.com/collections/personal-protection-safety/products/klein-tools-60471-professional-full-frame-gasket-safety-glasses-gray-lens</v>
      </c>
      <c r="B535"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35" t="s">
        <v>853</v>
      </c>
      <c r="D535" t="s">
        <v>958</v>
      </c>
      <c r="E535" s="3" t="str">
        <f>HYPERLINK("https://www.amazon.com/Klein-60164-Professional-Protective-Resistant/dp/B08B4BNSHM/ref=sr_1_5?keywords=Klein+Tools+60471+Professional+Full-Frame+Gasket+Safety+Glasses%2C+Gray+Lens&amp;qid=1695173231&amp;sr=8-5", "https://www.amazon.com/Klein-60164-Professional-Protective-Resistant/dp/B08B4BNSHM/ref=sr_1_5?keywords=Klein+Tools+60471+Professional+Full-Frame+Gasket+Safety+Glasses%2C+Gray+Lens&amp;qid=1695173231&amp;sr=8-5")</f>
        <v>https://www.amazon.com/Klein-60164-Professional-Protective-Resistant/dp/B08B4BNSHM/ref=sr_1_5?keywords=Klein+Tools+60471+Professional+Full-Frame+Gasket+Safety+Glasses%2C+Gray+Lens&amp;qid=1695173231&amp;sr=8-5</v>
      </c>
      <c r="F535" t="s">
        <v>959</v>
      </c>
      <c r="G535" t="e">
        <f ca="1">_xludf.IMAGE("https://edmondsonsupply.com/cdn/shop/products/60471.jpg?v=1663257501")</f>
        <v>#NAME?</v>
      </c>
      <c r="H535" t="e">
        <f ca="1">_xludf.IMAGE("https://m.media-amazon.com/images/I/41bNrH9NnFL._AC_UL320_.jpg")</f>
        <v>#NAME?</v>
      </c>
      <c r="I535" t="s">
        <v>252</v>
      </c>
      <c r="J535">
        <v>14.99</v>
      </c>
      <c r="K535" s="4">
        <v>-6.25E-2</v>
      </c>
      <c r="L535">
        <v>4.4000000000000004</v>
      </c>
      <c r="M535">
        <v>463</v>
      </c>
      <c r="O535" t="s">
        <v>25</v>
      </c>
      <c r="P535" t="s">
        <v>854</v>
      </c>
      <c r="Q535" t="s">
        <v>855</v>
      </c>
    </row>
    <row r="536" spans="1:17" ht="15.5" x14ac:dyDescent="0.35">
      <c r="A536" s="3" t="str">
        <f>HYPERLINK("https://edmondsonsupply.com/collections/personal-protection-safety/products/klein-tools-60470-professional-full-frame-gasket-safety-glasses-clear-lens", "https://edmondsonsupply.com/collections/personal-protection-safety/products/klein-tools-60470-professional-full-frame-gasket-safety-glasses-clear-lens")</f>
        <v>https://edmondsonsupply.com/collections/personal-protection-safety/products/klein-tools-60470-professional-full-frame-gasket-safety-glasses-clear-lens</v>
      </c>
      <c r="B536"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536" t="s">
        <v>919</v>
      </c>
      <c r="D536" t="s">
        <v>958</v>
      </c>
      <c r="E536" s="3" t="str">
        <f>HYPERLINK("https://www.amazon.com/Klein-60164-Professional-Protective-Resistant/dp/B08B4BNSHM/ref=sr_1_9?keywords=Klein+Tools+60470+Professional+Full-Frame+Gasket+Safety+Glasses%2C+Clear+Lens&amp;qid=1695173234&amp;sr=8-9", "https://www.amazon.com/Klein-60164-Professional-Protective-Resistant/dp/B08B4BNSHM/ref=sr_1_9?keywords=Klein+Tools+60470+Professional+Full-Frame+Gasket+Safety+Glasses%2C+Clear+Lens&amp;qid=1695173234&amp;sr=8-9")</f>
        <v>https://www.amazon.com/Klein-60164-Professional-Protective-Resistant/dp/B08B4BNSHM/ref=sr_1_9?keywords=Klein+Tools+60470+Professional+Full-Frame+Gasket+Safety+Glasses%2C+Clear+Lens&amp;qid=1695173234&amp;sr=8-9</v>
      </c>
      <c r="F536" t="s">
        <v>959</v>
      </c>
      <c r="G536" t="e">
        <f ca="1">_xludf.IMAGE("https://edmondsonsupply.com/cdn/shop/products/60470.jpg?v=1663260659")</f>
        <v>#NAME?</v>
      </c>
      <c r="H536" t="e">
        <f ca="1">_xludf.IMAGE("https://m.media-amazon.com/images/I/41bNrH9NnFL._AC_UL320_.jpg")</f>
        <v>#NAME?</v>
      </c>
      <c r="I536" t="s">
        <v>252</v>
      </c>
      <c r="J536">
        <v>14.99</v>
      </c>
      <c r="K536" s="4">
        <v>-6.25E-2</v>
      </c>
      <c r="L536">
        <v>4.4000000000000004</v>
      </c>
      <c r="M536">
        <v>463</v>
      </c>
      <c r="O536" t="s">
        <v>25</v>
      </c>
      <c r="P536" t="s">
        <v>854</v>
      </c>
      <c r="Q536" t="s">
        <v>920</v>
      </c>
    </row>
    <row r="537" spans="1:17" ht="15.5" x14ac:dyDescent="0.35">
      <c r="A537" s="3" t="str">
        <f>HYPERLINK("https://edmondsonsupply.com/collections/personal-protection-safety/products/klein-tools-60470-professional-full-frame-gasket-safety-glasses-clear-lens", "https://edmondsonsupply.com/collections/personal-protection-safety/products/klein-tools-60470-professional-full-frame-gasket-safety-glasses-clear-lens")</f>
        <v>https://edmondsonsupply.com/collections/personal-protection-safety/products/klein-tools-60470-professional-full-frame-gasket-safety-glasses-clear-lens</v>
      </c>
      <c r="B537"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537" t="s">
        <v>919</v>
      </c>
      <c r="D537" t="s">
        <v>956</v>
      </c>
      <c r="E537" s="3" t="str">
        <f>HYPERLINK("https://www.amazon.com/Klein-60163-Professional-Protective-Resistant/dp/B08B48CZ5V/ref=sr_1_4?keywords=Klein+Tools+60470+Professional+Full-Frame+Gasket+Safety+Glasses%2C+Clear+Lens&amp;qid=1695173234&amp;sr=8-4", "https://www.amazon.com/Klein-60163-Professional-Protective-Resistant/dp/B08B48CZ5V/ref=sr_1_4?keywords=Klein+Tools+60470+Professional+Full-Frame+Gasket+Safety+Glasses%2C+Clear+Lens&amp;qid=1695173234&amp;sr=8-4")</f>
        <v>https://www.amazon.com/Klein-60163-Professional-Protective-Resistant/dp/B08B48CZ5V/ref=sr_1_4?keywords=Klein+Tools+60470+Professional+Full-Frame+Gasket+Safety+Glasses%2C+Clear+Lens&amp;qid=1695173234&amp;sr=8-4</v>
      </c>
      <c r="F537" t="s">
        <v>957</v>
      </c>
      <c r="G537" t="e">
        <f ca="1">_xludf.IMAGE("https://edmondsonsupply.com/cdn/shop/products/60470.jpg?v=1663260659")</f>
        <v>#NAME?</v>
      </c>
      <c r="H537" t="e">
        <f ca="1">_xludf.IMAGE("https://m.media-amazon.com/images/I/41IY8K6EFLL._AC_UL320_.jpg")</f>
        <v>#NAME?</v>
      </c>
      <c r="I537" t="s">
        <v>252</v>
      </c>
      <c r="J537">
        <v>14.99</v>
      </c>
      <c r="K537" s="4">
        <v>-6.25E-2</v>
      </c>
      <c r="L537">
        <v>4.4000000000000004</v>
      </c>
      <c r="M537">
        <v>198</v>
      </c>
      <c r="O537" t="s">
        <v>25</v>
      </c>
      <c r="P537" t="s">
        <v>854</v>
      </c>
      <c r="Q537" t="s">
        <v>920</v>
      </c>
    </row>
    <row r="538" spans="1:17" ht="15.5" x14ac:dyDescent="0.35">
      <c r="A538" s="3" t="str">
        <f>HYPERLINK("https://edmondsonsupply.com/collections/personal-protection-safety/products/klein-tools-60269-safety-vest-high-visibility-reflective-vest-m-l", "https://edmondsonsupply.com/collections/personal-protection-safety/products/klein-tools-60269-safety-vest-high-visibility-reflective-vest-m-l")</f>
        <v>https://edmondsonsupply.com/collections/personal-protection-safety/products/klein-tools-60269-safety-vest-high-visibility-reflective-vest-m-l</v>
      </c>
      <c r="B538" s="3" t="str">
        <f>HYPERLINK("https://edmondsonsupply.com/products/klein-tools-60269-safety-vest-high-visibility-reflective-vest-m-l", "https://edmondsonsupply.com/products/klein-tools-60269-safety-vest-high-visibility-reflective-vest-m-l")</f>
        <v>https://edmondsonsupply.com/products/klein-tools-60269-safety-vest-high-visibility-reflective-vest-m-l</v>
      </c>
      <c r="C538" t="s">
        <v>1268</v>
      </c>
      <c r="D538" t="s">
        <v>1269</v>
      </c>
      <c r="E538" s="3" t="str">
        <f>HYPERLINK("https://www.amazon.com/Klein-60269-High-Vis-Reflective-8-Pockets/dp/B086V43Y28/ref=sr_1_1?keywords=Klein+Tools+60269+Safety+Vest%2C+High-Visibility+Reflective+Vest%2C+M%2FL&amp;qid=1695173252&amp;sr=8-1", "https://www.amazon.com/Klein-60269-High-Vis-Reflective-8-Pockets/dp/B086V43Y28/ref=sr_1_1?keywords=Klein+Tools+60269+Safety+Vest%2C+High-Visibility+Reflective+Vest%2C+M%2FL&amp;qid=1695173252&amp;sr=8-1")</f>
        <v>https://www.amazon.com/Klein-60269-High-Vis-Reflective-8-Pockets/dp/B086V43Y28/ref=sr_1_1?keywords=Klein+Tools+60269+Safety+Vest%2C+High-Visibility+Reflective+Vest%2C+M%2FL&amp;qid=1695173252&amp;sr=8-1</v>
      </c>
      <c r="F538" t="s">
        <v>1270</v>
      </c>
      <c r="G538" t="e">
        <f ca="1">_xludf.IMAGE("https://edmondsonsupply.com/cdn/shop/products/60269.jpg?v=1633030615")</f>
        <v>#NAME?</v>
      </c>
      <c r="H538" t="e">
        <f ca="1">_xludf.IMAGE("https://m.media-amazon.com/images/I/51f+YKiJ7KL._AC_UL320_.jpg")</f>
        <v>#NAME?</v>
      </c>
      <c r="I538" t="s">
        <v>834</v>
      </c>
      <c r="J538">
        <v>12.11</v>
      </c>
      <c r="K538" s="4">
        <v>-6.7699999999999996E-2</v>
      </c>
      <c r="L538">
        <v>4.4000000000000004</v>
      </c>
      <c r="M538">
        <v>27</v>
      </c>
      <c r="O538" t="s">
        <v>25</v>
      </c>
      <c r="P538" t="s">
        <v>1271</v>
      </c>
      <c r="Q538" t="s">
        <v>1272</v>
      </c>
    </row>
    <row r="539" spans="1:17" ht="15.5" x14ac:dyDescent="0.35">
      <c r="A539" s="3" t="str">
        <f>HYPERLINK("https://edmondsonsupply.com/collections/personal-protection-safety/products/klein-tools-40216-journeyman-grip-gloves-size-extra-large-xl", "https://edmondsonsupply.com/collections/personal-protection-safety/products/klein-tools-40216-journeyman-grip-gloves-size-extra-large-xl")</f>
        <v>https://edmondsonsupply.com/collections/personal-protection-safety/products/klein-tools-40216-journeyman-grip-gloves-size-extra-large-xl</v>
      </c>
      <c r="B539" s="3" t="str">
        <f>HYPERLINK("https://edmondsonsupply.com/products/klein-tools-40216-journeyman-grip-gloves-size-extra-large-xl", "https://edmondsonsupply.com/products/klein-tools-40216-journeyman-grip-gloves-size-extra-large-xl")</f>
        <v>https://edmondsonsupply.com/products/klein-tools-40216-journeyman-grip-gloves-size-extra-large-xl</v>
      </c>
      <c r="C539" t="s">
        <v>1273</v>
      </c>
      <c r="D539" t="s">
        <v>1274</v>
      </c>
      <c r="E539" s="3" t="str">
        <f>HYPERLINK("https://www.amazon.com/Journeyman-X-Large-Klein-Tools-40216/dp/B00KZL59DW/ref=sr_1_1?keywords=Klein+Tools+40216+Journeyman+Grip+Gloves%2C+Size+Extra-Large+XL&amp;qid=1695173293&amp;sr=8-1", "https://www.amazon.com/Journeyman-X-Large-Klein-Tools-40216/dp/B00KZL59DW/ref=sr_1_1?keywords=Klein+Tools+40216+Journeyman+Grip+Gloves%2C+Size+Extra-Large+XL&amp;qid=1695173293&amp;sr=8-1")</f>
        <v>https://www.amazon.com/Journeyman-X-Large-Klein-Tools-40216/dp/B00KZL59DW/ref=sr_1_1?keywords=Klein+Tools+40216+Journeyman+Grip+Gloves%2C+Size+Extra-Large+XL&amp;qid=1695173293&amp;sr=8-1</v>
      </c>
      <c r="F539" t="s">
        <v>1275</v>
      </c>
      <c r="G539" t="e">
        <f ca="1">_xludf.IMAGE("https://edmondsonsupply.com/cdn/shop/products/40216.jpg?v=1587143581")</f>
        <v>#NAME?</v>
      </c>
      <c r="H539" t="e">
        <f ca="1">_xludf.IMAGE("https://m.media-amazon.com/images/I/61nJpHze96S._AC_UL320_.jpg")</f>
        <v>#NAME?</v>
      </c>
      <c r="I539" t="s">
        <v>1276</v>
      </c>
      <c r="J539">
        <v>33.49</v>
      </c>
      <c r="K539" s="4">
        <v>-6.8400000000000002E-2</v>
      </c>
      <c r="L539">
        <v>4.0999999999999996</v>
      </c>
      <c r="M539">
        <v>34</v>
      </c>
      <c r="O539" t="s">
        <v>25</v>
      </c>
      <c r="P539" t="s">
        <v>138</v>
      </c>
      <c r="Q539" t="s">
        <v>1277</v>
      </c>
    </row>
    <row r="540" spans="1:17" ht="15.5" x14ac:dyDescent="0.35">
      <c r="A540" s="3" t="str">
        <f>HYPERLINK("https://edmondsonsupply.com/collections/personal-protection-safety/products/klein-tools-60269-safety-vest-high-visibility-reflective-vest-m-l", "https://edmondsonsupply.com/collections/personal-protection-safety/products/klein-tools-60269-safety-vest-high-visibility-reflective-vest-m-l")</f>
        <v>https://edmondsonsupply.com/collections/personal-protection-safety/products/klein-tools-60269-safety-vest-high-visibility-reflective-vest-m-l</v>
      </c>
      <c r="B540" s="3" t="str">
        <f>HYPERLINK("https://edmondsonsupply.com/products/klein-tools-60269-safety-vest-high-visibility-reflective-vest-m-l", "https://edmondsonsupply.com/products/klein-tools-60269-safety-vest-high-visibility-reflective-vest-m-l")</f>
        <v>https://edmondsonsupply.com/products/klein-tools-60269-safety-vest-high-visibility-reflective-vest-m-l</v>
      </c>
      <c r="C540" t="s">
        <v>1268</v>
      </c>
      <c r="D540" t="s">
        <v>1278</v>
      </c>
      <c r="E540" s="3" t="str">
        <f>HYPERLINK("https://www.amazon.com/Visibility-MESH-BACK-Standards-Construction-Reflective/dp/B098JJFDKD/ref=sr_1_9?keywords=Klein+Tools+60269+Safety+Vest%2C+High-Visibility+Reflective+Vest%2C+M%2FL&amp;qid=1695173252&amp;sr=8-9", "https://www.amazon.com/Visibility-MESH-BACK-Standards-Construction-Reflective/dp/B098JJFDKD/ref=sr_1_9?keywords=Klein+Tools+60269+Safety+Vest%2C+High-Visibility+Reflective+Vest%2C+M%2FL&amp;qid=1695173252&amp;sr=8-9")</f>
        <v>https://www.amazon.com/Visibility-MESH-BACK-Standards-Construction-Reflective/dp/B098JJFDKD/ref=sr_1_9?keywords=Klein+Tools+60269+Safety+Vest%2C+High-Visibility+Reflective+Vest%2C+M%2FL&amp;qid=1695173252&amp;sr=8-9</v>
      </c>
      <c r="F540" t="s">
        <v>1279</v>
      </c>
      <c r="G540" t="e">
        <f ca="1">_xludf.IMAGE("https://edmondsonsupply.com/cdn/shop/products/60269.jpg?v=1633030615")</f>
        <v>#NAME?</v>
      </c>
      <c r="H540" t="e">
        <f ca="1">_xludf.IMAGE("https://m.media-amazon.com/images/I/71kWdyzegTS._AC_UL320_.jpg")</f>
        <v>#NAME?</v>
      </c>
      <c r="I540" t="s">
        <v>834</v>
      </c>
      <c r="J540">
        <v>11.99</v>
      </c>
      <c r="K540" s="4">
        <v>-7.6999999999999999E-2</v>
      </c>
      <c r="L540">
        <v>4.4000000000000004</v>
      </c>
      <c r="M540">
        <v>1630</v>
      </c>
      <c r="O540" t="s">
        <v>25</v>
      </c>
      <c r="P540" t="s">
        <v>1271</v>
      </c>
      <c r="Q540" t="s">
        <v>1272</v>
      </c>
    </row>
    <row r="541" spans="1:17" ht="15.5" x14ac:dyDescent="0.35">
      <c r="A541" s="3" t="str">
        <f>HYPERLINK("https://edmondsonsupply.com/collections/personal-protection-safety/products/klein-tools-60113rl-hard-hat-vented-cap-style-with-rechargeable-headlamp-white", "https://edmondsonsupply.com/collections/personal-protection-safety/products/klein-tools-60113rl-hard-hat-vented-cap-style-with-rechargeable-headlamp-white")</f>
        <v>https://edmondsonsupply.com/collections/personal-protection-safety/products/klein-tools-60113rl-hard-hat-vented-cap-style-with-rechargeable-headlamp-white</v>
      </c>
      <c r="B541"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541" t="s">
        <v>1044</v>
      </c>
      <c r="D541" t="s">
        <v>1280</v>
      </c>
      <c r="E541" s="3" t="str">
        <f>HYPERLINK("https://www.amazon.com/Klein-Tools-60107RL-Rechargeable-Odor-Resistant/dp/B08FC2DMCY/ref=sr_1_2?keywords=Klein+Tools+60113RL+Hard+Hat%2C+Vented%2C+Cap+Style+with+Rechargeable+Headlamp%2C+White&amp;qid=1695173239&amp;sr=8-2", "https://www.amazon.com/Klein-Tools-60107RL-Rechargeable-Odor-Resistant/dp/B08FC2DMCY/ref=sr_1_2?keywords=Klein+Tools+60113RL+Hard+Hat%2C+Vented%2C+Cap+Style+with+Rechargeable+Headlamp%2C+White&amp;qid=1695173239&amp;sr=8-2")</f>
        <v>https://www.amazon.com/Klein-Tools-60107RL-Rechargeable-Odor-Resistant/dp/B08FC2DMCY/ref=sr_1_2?keywords=Klein+Tools+60113RL+Hard+Hat%2C+Vented%2C+Cap+Style+with+Rechargeable+Headlamp%2C+White&amp;qid=1695173239&amp;sr=8-2</v>
      </c>
      <c r="F541" t="s">
        <v>1281</v>
      </c>
      <c r="G541" t="e">
        <f ca="1">_xludf.IMAGE("https://edmondsonsupply.com/cdn/shop/products/60113rl_c.jpg?v=1647891186")</f>
        <v>#NAME?</v>
      </c>
      <c r="H541" t="e">
        <f ca="1">_xludf.IMAGE("https://m.media-amazon.com/images/I/51q6h8gGqXL._AC_UL320_.jpg")</f>
        <v>#NAME?</v>
      </c>
      <c r="I541" t="s">
        <v>905</v>
      </c>
      <c r="J541">
        <v>54.99</v>
      </c>
      <c r="K541" s="4">
        <v>-8.3299999999999999E-2</v>
      </c>
      <c r="L541">
        <v>4.5999999999999996</v>
      </c>
      <c r="M541">
        <v>101</v>
      </c>
      <c r="O541" t="s">
        <v>25</v>
      </c>
      <c r="P541" t="s">
        <v>1047</v>
      </c>
      <c r="Q541" t="s">
        <v>1048</v>
      </c>
    </row>
    <row r="542" spans="1:17" ht="15.5" x14ac:dyDescent="0.35">
      <c r="A542" s="3" t="str">
        <f>HYPERLINK("https://edmondsonsupply.com/collections/personal-protection-safety/products/klein-tools-60268-safety-vest-high-visibility-reflective-vest-xl", "https://edmondsonsupply.com/collections/personal-protection-safety/products/klein-tools-60268-safety-vest-high-visibility-reflective-vest-xl")</f>
        <v>https://edmondsonsupply.com/collections/personal-protection-safety/products/klein-tools-60268-safety-vest-high-visibility-reflective-vest-xl</v>
      </c>
      <c r="B542" s="3" t="str">
        <f>HYPERLINK("https://edmondsonsupply.com/products/klein-tools-60268-safety-vest-high-visibility-reflective-vest-xl", "https://edmondsonsupply.com/products/klein-tools-60268-safety-vest-high-visibility-reflective-vest-xl")</f>
        <v>https://edmondsonsupply.com/products/klein-tools-60268-safety-vest-high-visibility-reflective-vest-xl</v>
      </c>
      <c r="C542" t="s">
        <v>875</v>
      </c>
      <c r="D542" t="s">
        <v>1282</v>
      </c>
      <c r="E542" s="3" t="str">
        <f>HYPERLINK("https://www.amazon.com/Klein-60268-High-Vis-Reflective-8-Pockets/dp/B086TTX1DN/ref=sr_1_5?keywords=Klein+Tools+60268+Safety+Vest%2C+High-Visibility+Reflective+Vest%2C+XL&amp;qid=1695173256&amp;sr=8-5", "https://www.amazon.com/Klein-60268-High-Vis-Reflective-8-Pockets/dp/B086TTX1DN/ref=sr_1_5?keywords=Klein+Tools+60268+Safety+Vest%2C+High-Visibility+Reflective+Vest%2C+XL&amp;qid=1695173256&amp;sr=8-5")</f>
        <v>https://www.amazon.com/Klein-60268-High-Vis-Reflective-8-Pockets/dp/B086TTX1DN/ref=sr_1_5?keywords=Klein+Tools+60268+Safety+Vest%2C+High-Visibility+Reflective+Vest%2C+XL&amp;qid=1695173256&amp;sr=8-5</v>
      </c>
      <c r="F542" t="s">
        <v>1283</v>
      </c>
      <c r="G542" t="e">
        <f ca="1">_xludf.IMAGE("https://edmondsonsupply.com/cdn/shop/products/60269_666bd473-3a48-44df-be76-72b410ea4070.jpg?v=1633030721")</f>
        <v>#NAME?</v>
      </c>
      <c r="H542" t="e">
        <f ca="1">_xludf.IMAGE("https://m.media-amazon.com/images/I/51f+YKiJ7KL._AC_UL320_.jpg")</f>
        <v>#NAME?</v>
      </c>
      <c r="I542" t="s">
        <v>834</v>
      </c>
      <c r="J542">
        <v>11.83</v>
      </c>
      <c r="K542" s="4">
        <v>-8.9300000000000004E-2</v>
      </c>
      <c r="L542">
        <v>4.4000000000000004</v>
      </c>
      <c r="M542">
        <v>27</v>
      </c>
      <c r="O542" t="s">
        <v>25</v>
      </c>
      <c r="P542" t="s">
        <v>878</v>
      </c>
      <c r="Q542" t="s">
        <v>879</v>
      </c>
    </row>
    <row r="543" spans="1:17" ht="15.5" x14ac:dyDescent="0.35">
      <c r="A543" s="3" t="str">
        <f>HYPERLINK("https://edmondsonsupply.com/collections/personal-protection-safety/products/klein-tools-60186-work-gloves-cut-level-4-touchscreen-large-2-pair", "https://edmondsonsupply.com/collections/personal-protection-safety/products/klein-tools-60186-work-gloves-cut-level-4-touchscreen-large-2-pair")</f>
        <v>https://edmondsonsupply.com/collections/personal-protection-safety/products/klein-tools-60186-work-gloves-cut-level-4-touchscreen-large-2-pair</v>
      </c>
      <c r="B543" s="3" t="str">
        <f>HYPERLINK("https://edmondsonsupply.com/products/klein-tools-60186-work-gloves-cut-level-4-touchscreen-large-2-pair", "https://edmondsonsupply.com/products/klein-tools-60186-work-gloves-cut-level-4-touchscreen-large-2-pair")</f>
        <v>https://edmondsonsupply.com/products/klein-tools-60186-work-gloves-cut-level-4-touchscreen-large-2-pair</v>
      </c>
      <c r="C543" t="s">
        <v>1284</v>
      </c>
      <c r="D543" t="s">
        <v>1285</v>
      </c>
      <c r="E543" s="3" t="str">
        <f>HYPERLINK("https://www.amazon.com/Klein-60186-Gloves-Cut-Resistant-Touchscreen/dp/B086V5W257/ref=sr_1_1?keywords=Klein+Tools+60186+Work+Gloves%2C+Cut+Level+4%2C+Touchscreen%2C+Large%2C+2-Pair&amp;qid=1695173214&amp;sr=8-1", "https://www.amazon.com/Klein-60186-Gloves-Cut-Resistant-Touchscreen/dp/B086V5W257/ref=sr_1_1?keywords=Klein+Tools+60186+Work+Gloves%2C+Cut+Level+4%2C+Touchscreen%2C+Large%2C+2-Pair&amp;qid=1695173214&amp;sr=8-1")</f>
        <v>https://www.amazon.com/Klein-60186-Gloves-Cut-Resistant-Touchscreen/dp/B086V5W257/ref=sr_1_1?keywords=Klein+Tools+60186+Work+Gloves%2C+Cut+Level+4%2C+Touchscreen%2C+Large%2C+2-Pair&amp;qid=1695173214&amp;sr=8-1</v>
      </c>
      <c r="F543" t="s">
        <v>1286</v>
      </c>
      <c r="G543" t="e">
        <f ca="1">_xludf.IMAGE("https://edmondsonsupply.com/cdn/shop/products/60186.jpg?v=1633030303")</f>
        <v>#NAME?</v>
      </c>
      <c r="H543" t="e">
        <f ca="1">_xludf.IMAGE("https://m.media-amazon.com/images/I/71lOoZmdSgL._AC_UL320_.jpg")</f>
        <v>#NAME?</v>
      </c>
      <c r="I543" t="s">
        <v>1287</v>
      </c>
      <c r="J543">
        <v>16.989999999999998</v>
      </c>
      <c r="K543" s="4">
        <v>-9.9599999999999994E-2</v>
      </c>
      <c r="L543">
        <v>4.5999999999999996</v>
      </c>
      <c r="M543">
        <v>135</v>
      </c>
      <c r="O543" t="s">
        <v>25</v>
      </c>
      <c r="P543" t="s">
        <v>1288</v>
      </c>
      <c r="Q543" t="s">
        <v>1289</v>
      </c>
    </row>
    <row r="544" spans="1:17" ht="15.5" x14ac:dyDescent="0.35">
      <c r="A544" s="3" t="str">
        <f>HYPERLINK("https://edmondsonsupply.com/collections/personal-protection-safety/products/klein-tools-60189-leather-work-gloves-x-large-pair", "https://edmondsonsupply.com/collections/personal-protection-safety/products/klein-tools-60189-leather-work-gloves-x-large-pair")</f>
        <v>https://edmondsonsupply.com/collections/personal-protection-safety/products/klein-tools-60189-leather-work-gloves-x-large-pair</v>
      </c>
      <c r="B544" s="3" t="str">
        <f>HYPERLINK("https://edmondsonsupply.com/products/klein-tools-60189-leather-work-gloves-x-large-pair", "https://edmondsonsupply.com/products/klein-tools-60189-leather-work-gloves-x-large-pair")</f>
        <v>https://edmondsonsupply.com/products/klein-tools-60189-leather-work-gloves-x-large-pair</v>
      </c>
      <c r="C544" t="s">
        <v>1051</v>
      </c>
      <c r="D544" t="s">
        <v>1290</v>
      </c>
      <c r="E544" s="3" t="str">
        <f>HYPERLINK("https://www.amazon.com/Klein-60189-Professional-Protection-Reinforcement/dp/B086V3DD9H/ref=sr_1_1?keywords=Klein+Tools+60189+Leather+Work+Gloves%2C+X-Large%2C+Pair&amp;qid=1695173266&amp;sr=8-1", "https://www.amazon.com/Klein-60189-Professional-Protection-Reinforcement/dp/B086V3DD9H/ref=sr_1_1?keywords=Klein+Tools+60189+Leather+Work+Gloves%2C+X-Large%2C+Pair&amp;qid=1695173266&amp;sr=8-1")</f>
        <v>https://www.amazon.com/Klein-60189-Professional-Protection-Reinforcement/dp/B086V3DD9H/ref=sr_1_1?keywords=Klein+Tools+60189+Leather+Work+Gloves%2C+X-Large%2C+Pair&amp;qid=1695173266&amp;sr=8-1</v>
      </c>
      <c r="F544" t="s">
        <v>1291</v>
      </c>
      <c r="G544" t="e">
        <f ca="1">_xludf.IMAGE("https://edmondsonsupply.com/cdn/shop/products/60188.jpg?v=1587143489")</f>
        <v>#NAME?</v>
      </c>
      <c r="H544" t="e">
        <f ca="1">_xludf.IMAGE("https://m.media-amazon.com/images/I/71jIX+oeWqL._AC_UL320_.jpg")</f>
        <v>#NAME?</v>
      </c>
      <c r="I544" t="s">
        <v>471</v>
      </c>
      <c r="J544">
        <v>22.12</v>
      </c>
      <c r="K544" s="4">
        <v>-0.1148</v>
      </c>
      <c r="L544">
        <v>4.0999999999999996</v>
      </c>
      <c r="M544">
        <v>156</v>
      </c>
      <c r="O544" t="s">
        <v>25</v>
      </c>
      <c r="P544" t="s">
        <v>1054</v>
      </c>
      <c r="Q544" t="s">
        <v>1055</v>
      </c>
    </row>
    <row r="545" spans="1:17" ht="15.5" x14ac:dyDescent="0.35">
      <c r="A545" s="3" t="str">
        <f>HYPERLINK("https://edmondsonsupply.com/collections/personal-protection-safety/products/milwaukee-48-22-8732-demolition-gloves-large", "https://edmondsonsupply.com/collections/personal-protection-safety/products/milwaukee-48-22-8732-demolition-gloves-large")</f>
        <v>https://edmondsonsupply.com/collections/personal-protection-safety/products/milwaukee-48-22-8732-demolition-gloves-large</v>
      </c>
      <c r="B545" s="3" t="str">
        <f>HYPERLINK("https://edmondsonsupply.com/products/milwaukee-48-22-8732-demolition-gloves-large", "https://edmondsonsupply.com/products/milwaukee-48-22-8732-demolition-gloves-large")</f>
        <v>https://edmondsonsupply.com/products/milwaukee-48-22-8732-demolition-gloves-large</v>
      </c>
      <c r="C545" t="s">
        <v>939</v>
      </c>
      <c r="D545" t="s">
        <v>1292</v>
      </c>
      <c r="E545" s="3" t="str">
        <f>HYPERLINK("https://www.amazon.com/Milwaukee-48-22-8732-Demolition-Gloves-Large/dp/B01BICDCYY/ref=sr_1_1?keywords=Milwaukee+48-22-8732+Demolition+Gloves%2C+Large&amp;qid=1695173258&amp;sr=8-1", "https://www.amazon.com/Milwaukee-48-22-8732-Demolition-Gloves-Large/dp/B01BICDCYY/ref=sr_1_1?keywords=Milwaukee+48-22-8732+Demolition+Gloves%2C+Large&amp;qid=1695173258&amp;sr=8-1")</f>
        <v>https://www.amazon.com/Milwaukee-48-22-8732-Demolition-Gloves-Large/dp/B01BICDCYY/ref=sr_1_1?keywords=Milwaukee+48-22-8732+Demolition+Gloves%2C+Large&amp;qid=1695173258&amp;sr=8-1</v>
      </c>
      <c r="F545" t="s">
        <v>1293</v>
      </c>
      <c r="G545" t="e">
        <f ca="1">_xludf.IMAGE("https://edmondsonsupply.com/cdn/shop/products/48-22-8732_A_3bfe7555-9162-400a-8a46-4ac8d4a27ffc.png?v=1587146162")</f>
        <v>#NAME?</v>
      </c>
      <c r="H545" t="e">
        <f ca="1">_xludf.IMAGE("https://m.media-amazon.com/images/I/61-8Bk18SwL._AC_UL320_.jpg")</f>
        <v>#NAME?</v>
      </c>
      <c r="I545" t="s">
        <v>859</v>
      </c>
      <c r="J545">
        <v>22</v>
      </c>
      <c r="K545" s="4">
        <v>-0.11890000000000001</v>
      </c>
      <c r="L545">
        <v>4.5999999999999996</v>
      </c>
      <c r="M545">
        <v>580</v>
      </c>
      <c r="O545" t="s">
        <v>25</v>
      </c>
      <c r="P545" t="s">
        <v>860</v>
      </c>
      <c r="Q545" t="s">
        <v>942</v>
      </c>
    </row>
    <row r="546" spans="1:17" ht="15.5" x14ac:dyDescent="0.35">
      <c r="A546" s="3" t="str">
        <f>HYPERLINK("https://edmondsonsupply.com/collections/personal-protection-safety/products/klein-tools-56063-rechargeable-safety-lamp-with-magnet", "https://edmondsonsupply.com/collections/personal-protection-safety/products/klein-tools-56063-rechargeable-safety-lamp-with-magnet")</f>
        <v>https://edmondsonsupply.com/collections/personal-protection-safety/products/klein-tools-56063-rechargeable-safety-lamp-with-magnet</v>
      </c>
      <c r="B546" s="3" t="str">
        <f>HYPERLINK("https://edmondsonsupply.com/products/klein-tools-56063-rechargeable-safety-lamp-with-magnet", "https://edmondsonsupply.com/products/klein-tools-56063-rechargeable-safety-lamp-with-magnet")</f>
        <v>https://edmondsonsupply.com/products/klein-tools-56063-rechargeable-safety-lamp-with-magnet</v>
      </c>
      <c r="C546" t="s">
        <v>1294</v>
      </c>
      <c r="D546" t="s">
        <v>1295</v>
      </c>
      <c r="E546" s="3" t="str">
        <f>HYPERLINK("https://www.amazon.com/Rechargeable-Safety-Lamp-with-Magnet/dp/B09BTCMVN6/ref=sr_1_1?keywords=Klein+Tools+56063+Rechargeable+Safety+Lamp+with+Magnet&amp;qid=1695173226&amp;sr=8-1", "https://www.amazon.com/Rechargeable-Safety-Lamp-with-Magnet/dp/B09BTCMVN6/ref=sr_1_1?keywords=Klein+Tools+56063+Rechargeable+Safety+Lamp+with+Magnet&amp;qid=1695173226&amp;sr=8-1")</f>
        <v>https://www.amazon.com/Rechargeable-Safety-Lamp-with-Magnet/dp/B09BTCMVN6/ref=sr_1_1?keywords=Klein+Tools+56063+Rechargeable+Safety+Lamp+with+Magnet&amp;qid=1695173226&amp;sr=8-1</v>
      </c>
      <c r="F546" t="s">
        <v>1296</v>
      </c>
      <c r="G546" t="e">
        <f ca="1">_xludf.IMAGE("https://edmondsonsupply.com/cdn/shop/products/56063_c.jpg?v=1664458608")</f>
        <v>#NAME?</v>
      </c>
      <c r="H546" t="e">
        <f ca="1">_xludf.IMAGE("https://m.media-amazon.com/images/I/61Exhc5oLeL._AC_UL320_.jpg")</f>
        <v>#NAME?</v>
      </c>
      <c r="I546" t="s">
        <v>1297</v>
      </c>
      <c r="J546">
        <v>29.99</v>
      </c>
      <c r="K546" s="4">
        <v>-0.1305</v>
      </c>
      <c r="L546">
        <v>4.5999999999999996</v>
      </c>
      <c r="M546">
        <v>81</v>
      </c>
      <c r="O546" t="s">
        <v>25</v>
      </c>
      <c r="P546" t="s">
        <v>1298</v>
      </c>
      <c r="Q546" t="s">
        <v>1299</v>
      </c>
    </row>
    <row r="547" spans="1:17" ht="15.5" x14ac:dyDescent="0.35">
      <c r="A547" s="3" t="str">
        <f>HYPERLINK("https://edmondsonsupply.com/collections/personal-protection-safety/products/klein-tools-60406rl-hard-hat-non-vented-full-brim-with-rechargeable-headlamp-white", "https://edmondsonsupply.com/collections/personal-protection-safety/products/klein-tools-60406rl-hard-hat-non-vented-full-brim-with-rechargeable-headlamp-white")</f>
        <v>https://edmondsonsupply.com/collections/personal-protection-safety/products/klein-tools-60406rl-hard-hat-non-vented-full-brim-with-rechargeable-headlamp-white</v>
      </c>
      <c r="B547" s="3" t="str">
        <f>HYPERLINK("https://edmondsonsupply.com/products/klein-tools-60406rl-hard-hat-non-vented-full-brim-with-rechargeable-headlamp-white", "https://edmondsonsupply.com/products/klein-tools-60406rl-hard-hat-non-vented-full-brim-with-rechargeable-headlamp-white")</f>
        <v>https://edmondsonsupply.com/products/klein-tools-60406rl-hard-hat-non-vented-full-brim-with-rechargeable-headlamp-white</v>
      </c>
      <c r="C547" t="s">
        <v>1134</v>
      </c>
      <c r="D547" t="s">
        <v>900</v>
      </c>
      <c r="E547" s="3" t="str">
        <f>HYPERLINK("https://www.amazon.com/Klein-Tools-60407RL-Rechargeable-Odor-Resistant/dp/B08DDTV9M3/ref=sr_1_2?keywords=Klein+Tools+60406RL+Hard+Hat%2C+Non-Vented%2C+Full+Brim+with+Rechargeable+Headlamp%2C+White&amp;qid=1695173228&amp;sr=8-2", "https://www.amazon.com/Klein-Tools-60407RL-Rechargeable-Odor-Resistant/dp/B08DDTV9M3/ref=sr_1_2?keywords=Klein+Tools+60406RL+Hard+Hat%2C+Non-Vented%2C+Full+Brim+with+Rechargeable+Headlamp%2C+White&amp;qid=1695173228&amp;sr=8-2")</f>
        <v>https://www.amazon.com/Klein-Tools-60407RL-Rechargeable-Odor-Resistant/dp/B08DDTV9M3/ref=sr_1_2?keywords=Klein+Tools+60406RL+Hard+Hat%2C+Non-Vented%2C+Full+Brim+with+Rechargeable+Headlamp%2C+White&amp;qid=1695173228&amp;sr=8-2</v>
      </c>
      <c r="F547" t="s">
        <v>901</v>
      </c>
      <c r="G547" t="e">
        <f ca="1">_xludf.IMAGE("https://edmondsonsupply.com/cdn/shop/products/60406rl_c.jpg?v=1665606616")</f>
        <v>#NAME?</v>
      </c>
      <c r="H547" t="e">
        <f ca="1">_xludf.IMAGE("https://m.media-amazon.com/images/I/61w2MM+yDgL._AC_UL320_.jpg")</f>
        <v>#NAME?</v>
      </c>
      <c r="I547" t="s">
        <v>588</v>
      </c>
      <c r="J547">
        <v>59.99</v>
      </c>
      <c r="K547" s="4">
        <v>-0.1429</v>
      </c>
      <c r="L547">
        <v>4.7</v>
      </c>
      <c r="M547">
        <v>1577</v>
      </c>
      <c r="O547" t="s">
        <v>25</v>
      </c>
      <c r="P547" t="s">
        <v>1135</v>
      </c>
      <c r="Q547" t="s">
        <v>1136</v>
      </c>
    </row>
    <row r="548" spans="1:17" ht="15.5" x14ac:dyDescent="0.35">
      <c r="A548" s="3" t="str">
        <f>HYPERLINK("https://edmondsonsupply.com/collections/personal-protection-safety/products/edge-eyewear-sr116-reclus-black-frame-smoke-lens-safety-glasses", "https://edmondsonsupply.com/collections/personal-protection-safety/products/edge-eyewear-sr116-reclus-black-frame-smoke-lens-safety-glasses")</f>
        <v>https://edmondsonsupply.com/collections/personal-protection-safety/products/edge-eyewear-sr116-reclus-black-frame-smoke-lens-safety-glasses</v>
      </c>
      <c r="B548"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548" t="s">
        <v>985</v>
      </c>
      <c r="D548" t="s">
        <v>1300</v>
      </c>
      <c r="E548" s="3" t="str">
        <f>HYPERLINK("https://www.amazon.com/SR116-Wrap-Around-Anti-Scratch-Non-Slip-Compliant/dp/B002R98J1E/ref=sr_1_1?keywords=Edge+Eyewear+SR116+Reclus+-+Black+Frame%2FSmoke+Lens%2C+Safety+Glasses&amp;qid=1695173246&amp;sr=8-1", "https://www.amazon.com/SR116-Wrap-Around-Anti-Scratch-Non-Slip-Compliant/dp/B002R98J1E/ref=sr_1_1?keywords=Edge+Eyewear+SR116+Reclus+-+Black+Frame%2FSmoke+Lens%2C+Safety+Glasses&amp;qid=1695173246&amp;sr=8-1")</f>
        <v>https://www.amazon.com/SR116-Wrap-Around-Anti-Scratch-Non-Slip-Compliant/dp/B002R98J1E/ref=sr_1_1?keywords=Edge+Eyewear+SR116+Reclus+-+Black+Frame%2FSmoke+Lens%2C+Safety+Glasses&amp;qid=1695173246&amp;sr=8-1</v>
      </c>
      <c r="F548" t="s">
        <v>1301</v>
      </c>
      <c r="G548" t="e">
        <f ca="1">_xludf.IMAGE("https://edmondsonsupply.com/cdn/shop/products/SR116_1512x_cc8649c7-14e6-4c1c-9513-7dd61f5f7eb9.png?v=1633030940")</f>
        <v>#NAME?</v>
      </c>
      <c r="H548" t="e">
        <f ca="1">_xludf.IMAGE("https://m.media-amazon.com/images/I/41LN-T2NQaL._AC_UL320_.jpg")</f>
        <v>#NAME?</v>
      </c>
      <c r="I548" t="s">
        <v>988</v>
      </c>
      <c r="J548">
        <v>13.99</v>
      </c>
      <c r="K548" s="4">
        <v>-0.15060000000000001</v>
      </c>
      <c r="L548">
        <v>4.3</v>
      </c>
      <c r="M548">
        <v>2672</v>
      </c>
      <c r="O548" t="s">
        <v>25</v>
      </c>
      <c r="P548" t="s">
        <v>989</v>
      </c>
      <c r="Q548" t="s">
        <v>990</v>
      </c>
    </row>
    <row r="549" spans="1:17" ht="15.5" x14ac:dyDescent="0.35">
      <c r="A549" s="3" t="str">
        <f>HYPERLINK("https://edmondsonsupply.com/collections/personal-protection-safety/products/john-boy-tree-face-guard", "https://edmondsonsupply.com/collections/personal-protection-safety/products/john-boy-tree-face-guard")</f>
        <v>https://edmondsonsupply.com/collections/personal-protection-safety/products/john-boy-tree-face-guard</v>
      </c>
      <c r="B549" s="3" t="str">
        <f>HYPERLINK("https://edmondsonsupply.com/products/john-boy-tree-face-guard", "https://edmondsonsupply.com/products/john-boy-tree-face-guard")</f>
        <v>https://edmondsonsupply.com/products/john-boy-tree-face-guard</v>
      </c>
      <c r="C549" t="s">
        <v>1228</v>
      </c>
      <c r="D549" t="s">
        <v>1302</v>
      </c>
      <c r="E549" s="3" t="str">
        <f>HYPERLINK("https://www.amazon.com/JOHN-BOY-Racing-Face-Guard/dp/B0842ZPD8B/ref=sr_1_2?keywords=John+Boy+TREE+Face+Guard&amp;qid=1695173257&amp;sr=8-2", "https://www.amazon.com/JOHN-BOY-Racing-Face-Guard/dp/B0842ZPD8B/ref=sr_1_2?keywords=John+Boy+TREE+Face+Guard&amp;qid=1695173257&amp;sr=8-2")</f>
        <v>https://www.amazon.com/JOHN-BOY-Racing-Face-Guard/dp/B0842ZPD8B/ref=sr_1_2?keywords=John+Boy+TREE+Face+Guard&amp;qid=1695173257&amp;sr=8-2</v>
      </c>
      <c r="F549" t="s">
        <v>1303</v>
      </c>
      <c r="G549" t="e">
        <f ca="1">_xludf.IMAGE("https://edmondsonsupply.com/cdn/shop/products/tree-mockup.jpg?v=1633030898")</f>
        <v>#NAME?</v>
      </c>
      <c r="H549" t="e">
        <f ca="1">_xludf.IMAGE("https://m.media-amazon.com/images/I/71yOG1wKzSL._AC_UL320_.jpg")</f>
        <v>#NAME?</v>
      </c>
      <c r="I549" t="s">
        <v>1039</v>
      </c>
      <c r="J549">
        <v>8.49</v>
      </c>
      <c r="K549" s="4">
        <v>-0.151</v>
      </c>
      <c r="L549">
        <v>4.2</v>
      </c>
      <c r="M549">
        <v>6</v>
      </c>
      <c r="O549" t="s">
        <v>25</v>
      </c>
      <c r="P549" t="s">
        <v>138</v>
      </c>
      <c r="Q549" t="s">
        <v>1229</v>
      </c>
    </row>
    <row r="550" spans="1:17" ht="15.5" x14ac:dyDescent="0.35">
      <c r="A550" s="3" t="str">
        <f>HYPERLINK("https://edmondsonsupply.com/collections/personal-protection-safety/products/john-boy-neon-reflect-y-face-guard", "https://edmondsonsupply.com/collections/personal-protection-safety/products/john-boy-neon-reflect-y-face-guard")</f>
        <v>https://edmondsonsupply.com/collections/personal-protection-safety/products/john-boy-neon-reflect-y-face-guard</v>
      </c>
      <c r="B550" s="3" t="str">
        <f>HYPERLINK("https://edmondsonsupply.com/products/john-boy-neon-reflect-y-face-guard", "https://edmondsonsupply.com/products/john-boy-neon-reflect-y-face-guard")</f>
        <v>https://edmondsonsupply.com/products/john-boy-neon-reflect-y-face-guard</v>
      </c>
      <c r="C550" t="s">
        <v>1061</v>
      </c>
      <c r="D550" t="s">
        <v>1302</v>
      </c>
      <c r="E550" s="3" t="str">
        <f>HYPERLINK("https://www.amazon.com/JOHN-BOY-Racing-Face-Guard/dp/B0842ZPD8B/ref=sr_1_2?keywords=John+Boy+NEON+REFLECT-Y+Face+Guard&amp;qid=1695173256&amp;sr=8-2", "https://www.amazon.com/JOHN-BOY-Racing-Face-Guard/dp/B0842ZPD8B/ref=sr_1_2?keywords=John+Boy+NEON+REFLECT-Y+Face+Guard&amp;qid=1695173256&amp;sr=8-2")</f>
        <v>https://www.amazon.com/JOHN-BOY-Racing-Face-Guard/dp/B0842ZPD8B/ref=sr_1_2?keywords=John+Boy+NEON+REFLECT-Y+Face+Guard&amp;qid=1695173256&amp;sr=8-2</v>
      </c>
      <c r="F550" t="s">
        <v>1303</v>
      </c>
      <c r="G550" t="e">
        <f ca="1">_xludf.IMAGE("https://edmondsonsupply.com/cdn/shop/products/NEONREFLECT-Y.jpg?v=1633030720")</f>
        <v>#NAME?</v>
      </c>
      <c r="H550" t="e">
        <f ca="1">_xludf.IMAGE("https://m.media-amazon.com/images/I/71yOG1wKzSL._AC_UL320_.jpg")</f>
        <v>#NAME?</v>
      </c>
      <c r="I550" t="s">
        <v>1039</v>
      </c>
      <c r="J550">
        <v>8.49</v>
      </c>
      <c r="K550" s="4">
        <v>-0.151</v>
      </c>
      <c r="L550">
        <v>4.2</v>
      </c>
      <c r="M550">
        <v>6</v>
      </c>
      <c r="O550" t="s">
        <v>25</v>
      </c>
      <c r="P550" t="s">
        <v>138</v>
      </c>
      <c r="Q550" t="s">
        <v>1064</v>
      </c>
    </row>
    <row r="551" spans="1:17" ht="15.5" x14ac:dyDescent="0.35">
      <c r="A551" s="3" t="str">
        <f>HYPERLINK("https://edmondsonsupply.com/collections/personal-protection-safety/products/john-boy-grass-face-guard", "https://edmondsonsupply.com/collections/personal-protection-safety/products/john-boy-grass-face-guard")</f>
        <v>https://edmondsonsupply.com/collections/personal-protection-safety/products/john-boy-grass-face-guard</v>
      </c>
      <c r="B551" s="3" t="str">
        <f>HYPERLINK("https://edmondsonsupply.com/products/john-boy-grass-face-guard", "https://edmondsonsupply.com/products/john-boy-grass-face-guard")</f>
        <v>https://edmondsonsupply.com/products/john-boy-grass-face-guard</v>
      </c>
      <c r="C551" t="s">
        <v>1065</v>
      </c>
      <c r="D551" t="s">
        <v>1302</v>
      </c>
      <c r="E551" s="3" t="str">
        <f>HYPERLINK("https://www.amazon.com/JOHN-BOY-Racing-Face-Guard/dp/B0842ZPD8B/ref=sr_1_3?keywords=John+Boy+GRASS+Face+Guard&amp;qid=1695173247&amp;sr=8-3", "https://www.amazon.com/JOHN-BOY-Racing-Face-Guard/dp/B0842ZPD8B/ref=sr_1_3?keywords=John+Boy+GRASS+Face+Guard&amp;qid=1695173247&amp;sr=8-3")</f>
        <v>https://www.amazon.com/JOHN-BOY-Racing-Face-Guard/dp/B0842ZPD8B/ref=sr_1_3?keywords=John+Boy+GRASS+Face+Guard&amp;qid=1695173247&amp;sr=8-3</v>
      </c>
      <c r="F551" t="s">
        <v>1303</v>
      </c>
      <c r="G551" t="e">
        <f ca="1">_xludf.IMAGE("https://edmondsonsupply.com/cdn/shop/products/grassMUcopy_900x_3dbec2e2-1ea2-46e7-b806-f05c0b3108b5.jpg?v=1633030897")</f>
        <v>#NAME?</v>
      </c>
      <c r="H551" t="e">
        <f ca="1">_xludf.IMAGE("https://m.media-amazon.com/images/I/71yOG1wKzSL._AC_UL320_.jpg")</f>
        <v>#NAME?</v>
      </c>
      <c r="I551" t="s">
        <v>1039</v>
      </c>
      <c r="J551">
        <v>8.49</v>
      </c>
      <c r="K551" s="4">
        <v>-0.151</v>
      </c>
      <c r="L551">
        <v>4.2</v>
      </c>
      <c r="M551">
        <v>6</v>
      </c>
      <c r="O551" t="s">
        <v>25</v>
      </c>
      <c r="P551" t="s">
        <v>138</v>
      </c>
      <c r="Q551" t="s">
        <v>1066</v>
      </c>
    </row>
    <row r="552" spans="1:17" ht="15.5" x14ac:dyDescent="0.35">
      <c r="A552" s="3" t="str">
        <f>HYPERLINK("https://edmondsonsupply.com/collections/personal-protection-safety/products/clc-361", "https://edmondsonsupply.com/collections/personal-protection-safety/products/clc-361")</f>
        <v>https://edmondsonsupply.com/collections/personal-protection-safety/products/clc-361</v>
      </c>
      <c r="B552" s="3" t="str">
        <f>HYPERLINK("https://edmondsonsupply.com/products/clc-361", "https://edmondsonsupply.com/products/clc-361")</f>
        <v>https://edmondsonsupply.com/products/clc-361</v>
      </c>
      <c r="C552" t="s">
        <v>1304</v>
      </c>
      <c r="D552" t="s">
        <v>1305</v>
      </c>
      <c r="E552" s="3" t="str">
        <f>HYPERLINK("https://www.amazon.com/Custom-Leathercraft-361-Ultraflex-Non-Skid/dp/B0000DYVAI/ref=sr_1_1?keywords=CLC+361+ULTRAFLEX+Non-Skid+Kneepads&amp;qid=1695173260&amp;sr=8-1", "https://www.amazon.com/Custom-Leathercraft-361-Ultraflex-Non-Skid/dp/B0000DYVAI/ref=sr_1_1?keywords=CLC+361+ULTRAFLEX+Non-Skid+Kneepads&amp;qid=1695173260&amp;sr=8-1")</f>
        <v>https://www.amazon.com/Custom-Leathercraft-361-Ultraflex-Non-Skid/dp/B0000DYVAI/ref=sr_1_1?keywords=CLC+361+ULTRAFLEX+Non-Skid+Kneepads&amp;qid=1695173260&amp;sr=8-1</v>
      </c>
      <c r="F552" t="s">
        <v>1306</v>
      </c>
      <c r="G552" t="e">
        <f ca="1">_xludf.IMAGE("https://edmondsonsupply.com/cdn/shop/products/361.png?v=1633030342")</f>
        <v>#NAME?</v>
      </c>
      <c r="H552" t="e">
        <f ca="1">_xludf.IMAGE("https://m.media-amazon.com/images/I/71ul4SJoLSS._AC_UL320_.jpg")</f>
        <v>#NAME?</v>
      </c>
      <c r="I552" t="s">
        <v>121</v>
      </c>
      <c r="J552">
        <v>25.13</v>
      </c>
      <c r="K552" s="4">
        <v>-0.16089999999999999</v>
      </c>
      <c r="L552">
        <v>4.5999999999999996</v>
      </c>
      <c r="M552">
        <v>721</v>
      </c>
      <c r="O552" t="s">
        <v>25</v>
      </c>
      <c r="P552" t="s">
        <v>1307</v>
      </c>
      <c r="Q552" t="s">
        <v>1308</v>
      </c>
    </row>
    <row r="553" spans="1:17" ht="15.5" x14ac:dyDescent="0.35">
      <c r="A553" s="3" t="str">
        <f>HYPERLINK("https://edmondsonsupply.com/collections/personal-protection-safety/products/klein-tools-40219-journeyman-extreme-gloves-size-extra-large-xl", "https://edmondsonsupply.com/collections/personal-protection-safety/products/klein-tools-40219-journeyman-extreme-gloves-size-extra-large-xl")</f>
        <v>https://edmondsonsupply.com/collections/personal-protection-safety/products/klein-tools-40219-journeyman-extreme-gloves-size-extra-large-xl</v>
      </c>
      <c r="B553" s="3" t="str">
        <f>HYPERLINK("https://edmondsonsupply.com/products/klein-tools-40219-journeyman-extreme-gloves-size-extra-large-xl", "https://edmondsonsupply.com/products/klein-tools-40219-journeyman-extreme-gloves-size-extra-large-xl")</f>
        <v>https://edmondsonsupply.com/products/klein-tools-40219-journeyman-extreme-gloves-size-extra-large-xl</v>
      </c>
      <c r="C553" t="s">
        <v>1309</v>
      </c>
      <c r="D553" t="s">
        <v>1274</v>
      </c>
      <c r="E553" s="3" t="str">
        <f>HYPERLINK("https://www.amazon.com/Journeyman-X-Large-Klein-Tools-40216/dp/B00KZL59DW/ref=sr_1_4?keywords=Klein+Tools+40219+Journeyman+Extreme+Gloves%2C+X-Large&amp;qid=1695173261&amp;sr=8-4", "https://www.amazon.com/Journeyman-X-Large-Klein-Tools-40216/dp/B00KZL59DW/ref=sr_1_4?keywords=Klein+Tools+40219+Journeyman+Extreme+Gloves%2C+X-Large&amp;qid=1695173261&amp;sr=8-4")</f>
        <v>https://www.amazon.com/Journeyman-X-Large-Klein-Tools-40216/dp/B00KZL59DW/ref=sr_1_4?keywords=Klein+Tools+40219+Journeyman+Extreme+Gloves%2C+X-Large&amp;qid=1695173261&amp;sr=8-4</v>
      </c>
      <c r="F553" t="s">
        <v>1275</v>
      </c>
      <c r="G553" t="e">
        <f ca="1">_xludf.IMAGE("https://edmondsonsupply.com/cdn/shop/products/40219.jpg?v=1587148707")</f>
        <v>#NAME?</v>
      </c>
      <c r="H553" t="e">
        <f ca="1">_xludf.IMAGE("https://m.media-amazon.com/images/I/61nJpHze96S._AC_UL320_.jpg")</f>
        <v>#NAME?</v>
      </c>
      <c r="I553" t="s">
        <v>198</v>
      </c>
      <c r="J553">
        <v>33.49</v>
      </c>
      <c r="K553" s="4">
        <v>-0.16250000000000001</v>
      </c>
      <c r="L553">
        <v>4.0999999999999996</v>
      </c>
      <c r="M553">
        <v>34</v>
      </c>
      <c r="O553" t="s">
        <v>25</v>
      </c>
      <c r="P553" t="s">
        <v>1310</v>
      </c>
      <c r="Q553" t="s">
        <v>1311</v>
      </c>
    </row>
    <row r="554" spans="1:17" ht="15.5" x14ac:dyDescent="0.35">
      <c r="A554"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554" s="3" t="str">
        <f>HYPERLINK("https://edmondsonsupply.com/products/klein-tools-40218-journeyman-extreme-gloves-large", "https://edmondsonsupply.com/products/klein-tools-40218-journeyman-extreme-gloves-large")</f>
        <v>https://edmondsonsupply.com/products/klein-tools-40218-journeyman-extreme-gloves-large</v>
      </c>
      <c r="C554" t="s">
        <v>1056</v>
      </c>
      <c r="D554" t="s">
        <v>1274</v>
      </c>
      <c r="E554" s="3" t="str">
        <f>HYPERLINK("https://www.amazon.com/Journeyman-X-Large-Klein-Tools-40216/dp/B00KZL59DW/ref=sr_1_3?keywords=Klein+Tools+40218+Journeyman+Extreme+Gloves%2C+Large&amp;qid=1695173251&amp;sr=8-3", "https://www.amazon.com/Journeyman-X-Large-Klein-Tools-40216/dp/B00KZL59DW/ref=sr_1_3?keywords=Klein+Tools+40218+Journeyman+Extreme+Gloves%2C+Large&amp;qid=1695173251&amp;sr=8-3")</f>
        <v>https://www.amazon.com/Journeyman-X-Large-Klein-Tools-40216/dp/B00KZL59DW/ref=sr_1_3?keywords=Klein+Tools+40218+Journeyman+Extreme+Gloves%2C+Large&amp;qid=1695173251&amp;sr=8-3</v>
      </c>
      <c r="F554" t="s">
        <v>1275</v>
      </c>
      <c r="G554" t="e">
        <f ca="1">_xludf.IMAGE("https://edmondsonsupply.com/cdn/shop/products/40219_0a592222-828d-4257-9e62-1df98be50c8b.jpg?v=1600025215")</f>
        <v>#NAME?</v>
      </c>
      <c r="H554" t="e">
        <f ca="1">_xludf.IMAGE("https://m.media-amazon.com/images/I/61nJpHze96S._AC_UL320_.jpg")</f>
        <v>#NAME?</v>
      </c>
      <c r="I554" t="s">
        <v>198</v>
      </c>
      <c r="J554">
        <v>33.49</v>
      </c>
      <c r="K554" s="4">
        <v>-0.16250000000000001</v>
      </c>
      <c r="L554">
        <v>4.0999999999999996</v>
      </c>
      <c r="M554">
        <v>34</v>
      </c>
      <c r="O554" t="s">
        <v>25</v>
      </c>
      <c r="P554" t="s">
        <v>971</v>
      </c>
      <c r="Q554" t="s">
        <v>1057</v>
      </c>
    </row>
    <row r="555" spans="1:17" ht="15.5" x14ac:dyDescent="0.35">
      <c r="A555" s="3" t="str">
        <f>HYPERLINK("https://edmondsonsupply.com/collections/personal-protection-safety/products/dewalt-dg5203", "https://edmondsonsupply.com/collections/personal-protection-safety/products/dewalt-dg5203")</f>
        <v>https://edmondsonsupply.com/collections/personal-protection-safety/products/dewalt-dg5203</v>
      </c>
      <c r="B555" s="3" t="str">
        <f>HYPERLINK("https://edmondsonsupply.com/products/dewalt-dg5203", "https://edmondsonsupply.com/products/dewalt-dg5203")</f>
        <v>https://edmondsonsupply.com/products/dewalt-dg5203</v>
      </c>
      <c r="C555" t="s">
        <v>1312</v>
      </c>
      <c r="D555" t="s">
        <v>1313</v>
      </c>
      <c r="E555" s="3" t="str">
        <f>HYPERLINK("https://www.amazon.com/DeWalt-DG5203-Heavy-Smooth-Kneepads/dp/B001P30BQ4/ref=sr_1_1?keywords=CLC+DeWALT+DG5203+Heavy-Duty+Smooth+Cap+Kneepads&amp;qid=1695173264&amp;sr=8-1", "https://www.amazon.com/DeWalt-DG5203-Heavy-Smooth-Kneepads/dp/B001P30BQ4/ref=sr_1_1?keywords=CLC+DeWALT+DG5203+Heavy-Duty+Smooth+Cap+Kneepads&amp;qid=1695173264&amp;sr=8-1")</f>
        <v>https://www.amazon.com/DeWalt-DG5203-Heavy-Smooth-Kneepads/dp/B001P30BQ4/ref=sr_1_1?keywords=CLC+DeWALT+DG5203+Heavy-Duty+Smooth+Cap+Kneepads&amp;qid=1695173264&amp;sr=8-1</v>
      </c>
      <c r="F555" t="s">
        <v>1314</v>
      </c>
      <c r="G555" t="e">
        <f ca="1">_xludf.IMAGE("https://edmondsonsupply.com/cdn/shop/products/DG5203-1.png?v=1609778867")</f>
        <v>#NAME?</v>
      </c>
      <c r="H555" t="e">
        <f ca="1">_xludf.IMAGE("https://m.media-amazon.com/images/I/81ZSzq03BIS._AC_UL320_.jpg")</f>
        <v>#NAME?</v>
      </c>
      <c r="I555" t="s">
        <v>981</v>
      </c>
      <c r="J555">
        <v>22.56</v>
      </c>
      <c r="K555" s="4">
        <v>-0.1928</v>
      </c>
      <c r="L555">
        <v>3.5</v>
      </c>
      <c r="M555">
        <v>137</v>
      </c>
      <c r="O555" t="s">
        <v>25</v>
      </c>
      <c r="P555" t="s">
        <v>1307</v>
      </c>
      <c r="Q555" t="s">
        <v>1315</v>
      </c>
    </row>
    <row r="556" spans="1:17" ht="15.5" x14ac:dyDescent="0.35">
      <c r="A556" s="3" t="str">
        <f>HYPERLINK("https://edmondsonsupply.com/collections/personal-protection-safety/products/klein-tools-40219-journeyman-extreme-gloves-size-extra-large-xl", "https://edmondsonsupply.com/collections/personal-protection-safety/products/klein-tools-40219-journeyman-extreme-gloves-size-extra-large-xl")</f>
        <v>https://edmondsonsupply.com/collections/personal-protection-safety/products/klein-tools-40219-journeyman-extreme-gloves-size-extra-large-xl</v>
      </c>
      <c r="B556" s="3" t="str">
        <f>HYPERLINK("https://edmondsonsupply.com/products/klein-tools-40219-journeyman-extreme-gloves-size-extra-large-xl", "https://edmondsonsupply.com/products/klein-tools-40219-journeyman-extreme-gloves-size-extra-large-xl")</f>
        <v>https://edmondsonsupply.com/products/klein-tools-40219-journeyman-extreme-gloves-size-extra-large-xl</v>
      </c>
      <c r="C556" t="s">
        <v>1309</v>
      </c>
      <c r="D556" t="s">
        <v>1056</v>
      </c>
      <c r="E556" s="3" t="str">
        <f>HYPERLINK("https://www.amazon.com/Journeyman-Extreme-Klein-Tools-40218/dp/B00KXDQGZC/ref=sr_1_3?keywords=Klein+Tools+40219+Journeyman+Extreme+Gloves%2C+X-Large&amp;qid=1695173261&amp;sr=8-3", "https://www.amazon.com/Journeyman-Extreme-Klein-Tools-40218/dp/B00KXDQGZC/ref=sr_1_3?keywords=Klein+Tools+40219+Journeyman+Extreme+Gloves%2C+X-Large&amp;qid=1695173261&amp;sr=8-3")</f>
        <v>https://www.amazon.com/Journeyman-Extreme-Klein-Tools-40218/dp/B00KXDQGZC/ref=sr_1_3?keywords=Klein+Tools+40219+Journeyman+Extreme+Gloves%2C+X-Large&amp;qid=1695173261&amp;sr=8-3</v>
      </c>
      <c r="F556" t="s">
        <v>1316</v>
      </c>
      <c r="G556" t="e">
        <f ca="1">_xludf.IMAGE("https://edmondsonsupply.com/cdn/shop/products/40219.jpg?v=1587148707")</f>
        <v>#NAME?</v>
      </c>
      <c r="H556" t="e">
        <f ca="1">_xludf.IMAGE("https://m.media-amazon.com/images/I/61dsHBtRn0L._AC_UL320_.jpg")</f>
        <v>#NAME?</v>
      </c>
      <c r="I556" t="s">
        <v>198</v>
      </c>
      <c r="J556">
        <v>32.25</v>
      </c>
      <c r="K556" s="4">
        <v>-0.19350000000000001</v>
      </c>
      <c r="L556">
        <v>4.4000000000000004</v>
      </c>
      <c r="M556">
        <v>54</v>
      </c>
      <c r="O556" t="s">
        <v>25</v>
      </c>
      <c r="P556" t="s">
        <v>1310</v>
      </c>
      <c r="Q556" t="s">
        <v>1311</v>
      </c>
    </row>
    <row r="557" spans="1:17" ht="15.5" x14ac:dyDescent="0.35">
      <c r="A557"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557" s="3" t="str">
        <f>HYPERLINK("https://edmondsonsupply.com/products/klein-tools-40218-journeyman-extreme-gloves-large", "https://edmondsonsupply.com/products/klein-tools-40218-journeyman-extreme-gloves-large")</f>
        <v>https://edmondsonsupply.com/products/klein-tools-40218-journeyman-extreme-gloves-large</v>
      </c>
      <c r="C557" t="s">
        <v>1056</v>
      </c>
      <c r="D557" t="s">
        <v>1056</v>
      </c>
      <c r="E557" s="3" t="str">
        <f>HYPERLINK("https://www.amazon.com/Journeyman-Extreme-Klein-Tools-40218/dp/B00KXDQGZC/ref=sr_1_1?keywords=Klein+Tools+40218+Journeyman+Extreme+Gloves%2C+Large&amp;qid=1695173251&amp;sr=8-1", "https://www.amazon.com/Journeyman-Extreme-Klein-Tools-40218/dp/B00KXDQGZC/ref=sr_1_1?keywords=Klein+Tools+40218+Journeyman+Extreme+Gloves%2C+Large&amp;qid=1695173251&amp;sr=8-1")</f>
        <v>https://www.amazon.com/Journeyman-Extreme-Klein-Tools-40218/dp/B00KXDQGZC/ref=sr_1_1?keywords=Klein+Tools+40218+Journeyman+Extreme+Gloves%2C+Large&amp;qid=1695173251&amp;sr=8-1</v>
      </c>
      <c r="F557" t="s">
        <v>1316</v>
      </c>
      <c r="G557" t="e">
        <f ca="1">_xludf.IMAGE("https://edmondsonsupply.com/cdn/shop/products/40219_0a592222-828d-4257-9e62-1df98be50c8b.jpg?v=1600025215")</f>
        <v>#NAME?</v>
      </c>
      <c r="H557" t="e">
        <f ca="1">_xludf.IMAGE("https://m.media-amazon.com/images/I/61dsHBtRn0L._AC_UL320_.jpg")</f>
        <v>#NAME?</v>
      </c>
      <c r="I557" t="s">
        <v>198</v>
      </c>
      <c r="J557">
        <v>32.25</v>
      </c>
      <c r="K557" s="4">
        <v>-0.19350000000000001</v>
      </c>
      <c r="L557">
        <v>4.4000000000000004</v>
      </c>
      <c r="M557">
        <v>54</v>
      </c>
      <c r="O557" t="s">
        <v>25</v>
      </c>
      <c r="P557" t="s">
        <v>971</v>
      </c>
      <c r="Q557" t="s">
        <v>1057</v>
      </c>
    </row>
    <row r="558" spans="1:17" ht="15.5" x14ac:dyDescent="0.35">
      <c r="A558" s="3" t="str">
        <f>HYPERLINK("https://edmondsonsupply.com/collections/personal-protection-safety/products/klein-tools-60184-lightweight-gel-knee-pads", "https://edmondsonsupply.com/collections/personal-protection-safety/products/klein-tools-60184-lightweight-gel-knee-pads")</f>
        <v>https://edmondsonsupply.com/collections/personal-protection-safety/products/klein-tools-60184-lightweight-gel-knee-pads</v>
      </c>
      <c r="B558" s="3" t="str">
        <f>HYPERLINK("https://edmondsonsupply.com/products/klein-tools-60184-lightweight-gel-knee-pads", "https://edmondsonsupply.com/products/klein-tools-60184-lightweight-gel-knee-pads")</f>
        <v>https://edmondsonsupply.com/products/klein-tools-60184-lightweight-gel-knee-pads</v>
      </c>
      <c r="C558" t="s">
        <v>908</v>
      </c>
      <c r="D558" t="s">
        <v>1142</v>
      </c>
      <c r="E558" s="3" t="str">
        <f>HYPERLINK("https://www.amazon.com/Klein-Tools-60592-Lightweight-Slip-Resistant/dp/B0B622FRN8/ref=sr_1_4?keywords=Klein+Tools+60184+Lightweight+Gel+Knee+Pads&amp;qid=1695173226&amp;sr=8-4", "https://www.amazon.com/Klein-Tools-60592-Lightweight-Slip-Resistant/dp/B0B622FRN8/ref=sr_1_4?keywords=Klein+Tools+60184+Lightweight+Gel+Knee+Pads&amp;qid=1695173226&amp;sr=8-4")</f>
        <v>https://www.amazon.com/Klein-Tools-60592-Lightweight-Slip-Resistant/dp/B0B622FRN8/ref=sr_1_4?keywords=Klein+Tools+60184+Lightweight+Gel+Knee+Pads&amp;qid=1695173226&amp;sr=8-4</v>
      </c>
      <c r="F558" t="s">
        <v>1143</v>
      </c>
      <c r="G558" t="e">
        <f ca="1">_xludf.IMAGE("https://edmondsonsupply.com/cdn/shop/products/60184.jpg?v=1633030246")</f>
        <v>#NAME?</v>
      </c>
      <c r="H558" t="e">
        <f ca="1">_xludf.IMAGE("https://m.media-amazon.com/images/I/61SeDj1bXKL._AC_UL320_.jpg")</f>
        <v>#NAME?</v>
      </c>
      <c r="I558" t="s">
        <v>911</v>
      </c>
      <c r="J558">
        <v>19.97</v>
      </c>
      <c r="K558" s="4">
        <v>-0.23100000000000001</v>
      </c>
      <c r="L558">
        <v>4.0999999999999996</v>
      </c>
      <c r="M558">
        <v>147</v>
      </c>
      <c r="O558" t="s">
        <v>25</v>
      </c>
      <c r="P558" t="s">
        <v>912</v>
      </c>
      <c r="Q558" t="s">
        <v>913</v>
      </c>
    </row>
    <row r="559" spans="1:17" ht="15.5" x14ac:dyDescent="0.35">
      <c r="A559" s="3" t="str">
        <f>HYPERLINK("https://edmondsonsupply.com/collections/personal-protection-safety/products/klein-tools-40226-journeyman-leather-utility-gloves-medium", "https://edmondsonsupply.com/collections/personal-protection-safety/products/klein-tools-40226-journeyman-leather-utility-gloves-medium")</f>
        <v>https://edmondsonsupply.com/collections/personal-protection-safety/products/klein-tools-40226-journeyman-leather-utility-gloves-medium</v>
      </c>
      <c r="B559" s="3" t="str">
        <f>HYPERLINK("https://edmondsonsupply.com/products/klein-tools-40226-journeyman-leather-utility-gloves-medium", "https://edmondsonsupply.com/products/klein-tools-40226-journeyman-leather-utility-gloves-medium")</f>
        <v>https://edmondsonsupply.com/products/klein-tools-40226-journeyman-leather-utility-gloves-medium</v>
      </c>
      <c r="C559" t="s">
        <v>1260</v>
      </c>
      <c r="D559" t="s">
        <v>1317</v>
      </c>
      <c r="E559" s="3" t="str">
        <f>HYPERLINK("https://www.amazon.com/Journeyman-Utility-Klein-Tools-40205/dp/B00KZL59W8/ref=sr_1_4?keywords=Klein+Tools+40226+Journeyman+Leather+Utility+Gloves%2C+Medium&amp;qid=1695173261&amp;sr=8-4", "https://www.amazon.com/Journeyman-Utility-Klein-Tools-40205/dp/B00KZL59W8/ref=sr_1_4?keywords=Klein+Tools+40226+Journeyman+Leather+Utility+Gloves%2C+Medium&amp;qid=1695173261&amp;sr=8-4")</f>
        <v>https://www.amazon.com/Journeyman-Utility-Klein-Tools-40205/dp/B00KZL59W8/ref=sr_1_4?keywords=Klein+Tools+40226+Journeyman+Leather+Utility+Gloves%2C+Medium&amp;qid=1695173261&amp;sr=8-4</v>
      </c>
      <c r="F559" t="s">
        <v>1318</v>
      </c>
      <c r="G559" t="e">
        <f ca="1">_xludf.IMAGE("https://edmondsonsupply.com/cdn/shop/products/40226.jpg?v=1633030617")</f>
        <v>#NAME?</v>
      </c>
      <c r="H559" t="e">
        <f ca="1">_xludf.IMAGE("https://m.media-amazon.com/images/I/61phTkyxh5L._AC_UL320_.jpg")</f>
        <v>#NAME?</v>
      </c>
      <c r="I559" t="s">
        <v>967</v>
      </c>
      <c r="J559">
        <v>19.989999999999998</v>
      </c>
      <c r="K559" s="4">
        <v>-0.25940000000000002</v>
      </c>
      <c r="L559">
        <v>4.5</v>
      </c>
      <c r="M559">
        <v>18</v>
      </c>
      <c r="O559" t="s">
        <v>25</v>
      </c>
      <c r="P559" t="s">
        <v>968</v>
      </c>
      <c r="Q559" t="s">
        <v>1263</v>
      </c>
    </row>
    <row r="560" spans="1:17" ht="15.5" x14ac:dyDescent="0.35">
      <c r="A560" s="3" t="str">
        <f>HYPERLINK("https://edmondsonsupply.com/collections/personal-protection-safety/products/klein-tools-40227-journeyman-leather-utility-gloves-large", "https://edmondsonsupply.com/collections/personal-protection-safety/products/klein-tools-40227-journeyman-leather-utility-gloves-large")</f>
        <v>https://edmondsonsupply.com/collections/personal-protection-safety/products/klein-tools-40227-journeyman-leather-utility-gloves-large</v>
      </c>
      <c r="B560" s="3" t="str">
        <f>HYPERLINK("https://edmondsonsupply.com/products/klein-tools-40227-journeyman-leather-utility-gloves-large", "https://edmondsonsupply.com/products/klein-tools-40227-journeyman-leather-utility-gloves-large")</f>
        <v>https://edmondsonsupply.com/products/klein-tools-40227-journeyman-leather-utility-gloves-large</v>
      </c>
      <c r="C560" t="s">
        <v>964</v>
      </c>
      <c r="D560" t="s">
        <v>1319</v>
      </c>
      <c r="E560" s="3" t="str">
        <f>HYPERLINK("https://www.amazon.com/Journeyman-Utility-Klein-Tools-40206/dp/B00KZL5AEK/ref=sr_1_4?keywords=Klein+Tools+40227+Journeyman+Leather+Utility+Gloves%2C+Large&amp;qid=1695173267&amp;sr=8-4", "https://www.amazon.com/Journeyman-Utility-Klein-Tools-40206/dp/B00KZL5AEK/ref=sr_1_4?keywords=Klein+Tools+40227+Journeyman+Leather+Utility+Gloves%2C+Large&amp;qid=1695173267&amp;sr=8-4")</f>
        <v>https://www.amazon.com/Journeyman-Utility-Klein-Tools-40206/dp/B00KZL5AEK/ref=sr_1_4?keywords=Klein+Tools+40227+Journeyman+Leather+Utility+Gloves%2C+Large&amp;qid=1695173267&amp;sr=8-4</v>
      </c>
      <c r="F560" t="s">
        <v>1320</v>
      </c>
      <c r="G560" t="e">
        <f ca="1">_xludf.IMAGE("https://edmondsonsupply.com/cdn/shop/products/40227.jpg?v=1633030298")</f>
        <v>#NAME?</v>
      </c>
      <c r="H560" t="e">
        <f ca="1">_xludf.IMAGE("https://m.media-amazon.com/images/I/61r-l13tqiL._AC_UL320_.jpg")</f>
        <v>#NAME?</v>
      </c>
      <c r="I560" t="s">
        <v>967</v>
      </c>
      <c r="J560">
        <v>19.489999999999998</v>
      </c>
      <c r="K560" s="4">
        <v>-0.27789999999999998</v>
      </c>
      <c r="L560">
        <v>4.0999999999999996</v>
      </c>
      <c r="M560">
        <v>27</v>
      </c>
      <c r="O560" t="s">
        <v>25</v>
      </c>
      <c r="P560" t="s">
        <v>968</v>
      </c>
      <c r="Q560" t="s">
        <v>969</v>
      </c>
    </row>
    <row r="561" spans="1:17" ht="15.5" x14ac:dyDescent="0.35">
      <c r="A561" s="3" t="str">
        <f>HYPERLINK("https://edmondsonsupply.com/collections/personal-protection-safety/products/klein-tools-40219-journeyman-extreme-gloves-size-extra-large-xl", "https://edmondsonsupply.com/collections/personal-protection-safety/products/klein-tools-40219-journeyman-extreme-gloves-size-extra-large-xl")</f>
        <v>https://edmondsonsupply.com/collections/personal-protection-safety/products/klein-tools-40219-journeyman-extreme-gloves-size-extra-large-xl</v>
      </c>
      <c r="B561" s="3" t="str">
        <f>HYPERLINK("https://edmondsonsupply.com/products/klein-tools-40219-journeyman-extreme-gloves-size-extra-large-xl", "https://edmondsonsupply.com/products/klein-tools-40219-journeyman-extreme-gloves-size-extra-large-xl")</f>
        <v>https://edmondsonsupply.com/products/klein-tools-40219-journeyman-extreme-gloves-size-extra-large-xl</v>
      </c>
      <c r="C561" t="s">
        <v>1309</v>
      </c>
      <c r="D561" t="s">
        <v>1321</v>
      </c>
      <c r="E561" s="3" t="str">
        <f>HYPERLINK("https://www.amazon.com/Klein-Tools-40213-Journeyman-Weather/dp/B00KZL5C3E/ref=sr_1_2?keywords=Klein+Tools+40219+Journeyman+Extreme+Gloves%2C+X-Large&amp;qid=1695173261&amp;sr=8-2", "https://www.amazon.com/Klein-Tools-40213-Journeyman-Weather/dp/B00KZL5C3E/ref=sr_1_2?keywords=Klein+Tools+40219+Journeyman+Extreme+Gloves%2C+X-Large&amp;qid=1695173261&amp;sr=8-2")</f>
        <v>https://www.amazon.com/Klein-Tools-40213-Journeyman-Weather/dp/B00KZL5C3E/ref=sr_1_2?keywords=Klein+Tools+40219+Journeyman+Extreme+Gloves%2C+X-Large&amp;qid=1695173261&amp;sr=8-2</v>
      </c>
      <c r="F561" t="s">
        <v>1322</v>
      </c>
      <c r="G561" t="e">
        <f ca="1">_xludf.IMAGE("https://edmondsonsupply.com/cdn/shop/products/40219.jpg?v=1587148707")</f>
        <v>#NAME?</v>
      </c>
      <c r="H561" t="e">
        <f ca="1">_xludf.IMAGE("https://m.media-amazon.com/images/I/618zq13hU6L._AC_UL320_.jpg")</f>
        <v>#NAME?</v>
      </c>
      <c r="I561" t="s">
        <v>198</v>
      </c>
      <c r="J561">
        <v>28.31</v>
      </c>
      <c r="K561" s="4">
        <v>-0.29210000000000003</v>
      </c>
      <c r="L561">
        <v>4</v>
      </c>
      <c r="M561">
        <v>66</v>
      </c>
      <c r="O561" t="s">
        <v>25</v>
      </c>
      <c r="P561" t="s">
        <v>1310</v>
      </c>
      <c r="Q561" t="s">
        <v>1311</v>
      </c>
    </row>
    <row r="562" spans="1:17" ht="15.5" x14ac:dyDescent="0.35">
      <c r="A562"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562" s="3" t="str">
        <f>HYPERLINK("https://edmondsonsupply.com/products/klein-tools-40218-journeyman-extreme-gloves-large", "https://edmondsonsupply.com/products/klein-tools-40218-journeyman-extreme-gloves-large")</f>
        <v>https://edmondsonsupply.com/products/klein-tools-40218-journeyman-extreme-gloves-large</v>
      </c>
      <c r="C562" t="s">
        <v>1056</v>
      </c>
      <c r="D562" t="s">
        <v>1321</v>
      </c>
      <c r="E562" s="3" t="str">
        <f>HYPERLINK("https://www.amazon.com/Klein-Tools-40213-Journeyman-Weather/dp/B00KZL5C3E/ref=sr_1_6?keywords=Klein+Tools+40218+Journeyman+Extreme+Gloves%2C+Large&amp;qid=1695173251&amp;sr=8-6", "https://www.amazon.com/Klein-Tools-40213-Journeyman-Weather/dp/B00KZL5C3E/ref=sr_1_6?keywords=Klein+Tools+40218+Journeyman+Extreme+Gloves%2C+Large&amp;qid=1695173251&amp;sr=8-6")</f>
        <v>https://www.amazon.com/Klein-Tools-40213-Journeyman-Weather/dp/B00KZL5C3E/ref=sr_1_6?keywords=Klein+Tools+40218+Journeyman+Extreme+Gloves%2C+Large&amp;qid=1695173251&amp;sr=8-6</v>
      </c>
      <c r="F562" t="s">
        <v>1322</v>
      </c>
      <c r="G562" t="e">
        <f ca="1">_xludf.IMAGE("https://edmondsonsupply.com/cdn/shop/products/40219_0a592222-828d-4257-9e62-1df98be50c8b.jpg?v=1600025215")</f>
        <v>#NAME?</v>
      </c>
      <c r="H562" t="e">
        <f ca="1">_xludf.IMAGE("https://m.media-amazon.com/images/I/618zq13hU6L._AC_UL320_.jpg")</f>
        <v>#NAME?</v>
      </c>
      <c r="I562" t="s">
        <v>198</v>
      </c>
      <c r="J562">
        <v>28.31</v>
      </c>
      <c r="K562" s="4">
        <v>-0.29210000000000003</v>
      </c>
      <c r="L562">
        <v>4</v>
      </c>
      <c r="M562">
        <v>66</v>
      </c>
      <c r="O562" t="s">
        <v>25</v>
      </c>
      <c r="P562" t="s">
        <v>971</v>
      </c>
      <c r="Q562" t="s">
        <v>1057</v>
      </c>
    </row>
    <row r="563" spans="1:17" ht="15.5" x14ac:dyDescent="0.35">
      <c r="A563" s="3" t="str">
        <f>HYPERLINK("https://edmondsonsupply.com/collections/personal-protection-safety/products/klein-tools-60539-professional-safety-glasses-full-frame-polarized-lens", "https://edmondsonsupply.com/collections/personal-protection-safety/products/klein-tools-60539-professional-safety-glasses-full-frame-polarized-lens")</f>
        <v>https://edmondsonsupply.com/collections/personal-protection-safety/products/klein-tools-60539-professional-safety-glasses-full-frame-polarized-lens</v>
      </c>
      <c r="B563"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563" t="s">
        <v>960</v>
      </c>
      <c r="D563" t="s">
        <v>974</v>
      </c>
      <c r="E563" s="3" t="str">
        <f>HYPERLINK("https://www.amazon.com/Klein-Tools-60537-Professional-Protective/dp/B0BLQM26TJ/ref=sr_1_4?keywords=Klein+Tools+60539+Professional+Safety+Glasses%2C+Full+Frame%2C+Polarized+Lens&amp;qid=1695173226&amp;sr=8-4", "https://www.amazon.com/Klein-Tools-60537-Professional-Protective/dp/B0BLQM26TJ/ref=sr_1_4?keywords=Klein+Tools+60539+Professional+Safety+Glasses%2C+Full+Frame%2C+Polarized+Lens&amp;qid=1695173226&amp;sr=8-4")</f>
        <v>https://www.amazon.com/Klein-Tools-60537-Professional-Protective/dp/B0BLQM26TJ/ref=sr_1_4?keywords=Klein+Tools+60539+Professional+Safety+Glasses%2C+Full+Frame%2C+Polarized+Lens&amp;qid=1695173226&amp;sr=8-4</v>
      </c>
      <c r="F563" t="s">
        <v>975</v>
      </c>
      <c r="G563" t="e">
        <f ca="1">_xludf.IMAGE("https://edmondsonsupply.com/cdn/shop/products/60539.jpg?v=1670948006")</f>
        <v>#NAME?</v>
      </c>
      <c r="H563" t="e">
        <f ca="1">_xludf.IMAGE("https://m.media-amazon.com/images/I/41ZbdEu2lCL._AC_UL320_.jpg")</f>
        <v>#NAME?</v>
      </c>
      <c r="I563" t="s">
        <v>26</v>
      </c>
      <c r="J563">
        <v>20.99</v>
      </c>
      <c r="K563" s="4">
        <v>-0.30009999999999998</v>
      </c>
      <c r="L563">
        <v>4.5</v>
      </c>
      <c r="M563">
        <v>15</v>
      </c>
      <c r="O563" t="s">
        <v>25</v>
      </c>
      <c r="P563" t="s">
        <v>562</v>
      </c>
      <c r="Q563" t="s">
        <v>961</v>
      </c>
    </row>
    <row r="564" spans="1:17" ht="15.5" x14ac:dyDescent="0.35">
      <c r="A564" s="3" t="str">
        <f>HYPERLINK("https://edmondsonsupply.com/collections/personal-protection-safety/products/klein-tools-60344-hinged-gel-knee-pads", "https://edmondsonsupply.com/collections/personal-protection-safety/products/klein-tools-60344-hinged-gel-knee-pads")</f>
        <v>https://edmondsonsupply.com/collections/personal-protection-safety/products/klein-tools-60344-hinged-gel-knee-pads</v>
      </c>
      <c r="B564" s="3" t="str">
        <f>HYPERLINK("https://edmondsonsupply.com/products/klein-tools-60344-hinged-gel-knee-pads", "https://edmondsonsupply.com/products/klein-tools-60344-hinged-gel-knee-pads")</f>
        <v>https://edmondsonsupply.com/products/klein-tools-60344-hinged-gel-knee-pads</v>
      </c>
      <c r="C564" t="s">
        <v>1125</v>
      </c>
      <c r="D564" t="s">
        <v>1248</v>
      </c>
      <c r="E564" s="3" t="str">
        <f>HYPERLINK("https://www.amazon.com/Klein-Tools-60184-Lightweight-Resistant/dp/B088N5Q59S/ref=sr_1_3?keywords=Klein+Tools+60344+Hinged+Gel+Knee+Pads&amp;qid=1695173228&amp;sr=8-3", "https://www.amazon.com/Klein-Tools-60184-Lightweight-Resistant/dp/B088N5Q59S/ref=sr_1_3?keywords=Klein+Tools+60344+Hinged+Gel+Knee+Pads&amp;qid=1695173228&amp;sr=8-3")</f>
        <v>https://www.amazon.com/Klein-Tools-60184-Lightweight-Resistant/dp/B088N5Q59S/ref=sr_1_3?keywords=Klein+Tools+60344+Hinged+Gel+Knee+Pads&amp;qid=1695173228&amp;sr=8-3</v>
      </c>
      <c r="F564" t="s">
        <v>1249</v>
      </c>
      <c r="G564" t="e">
        <f ca="1">_xludf.IMAGE("https://edmondsonsupply.com/cdn/shop/products/60344.jpg?v=1664386765")</f>
        <v>#NAME?</v>
      </c>
      <c r="H564" t="e">
        <f ca="1">_xludf.IMAGE("https://m.media-amazon.com/images/I/71vmG1tRBLL._AC_UL320_.jpg")</f>
        <v>#NAME?</v>
      </c>
      <c r="I564" t="s">
        <v>261</v>
      </c>
      <c r="J564">
        <v>24.97</v>
      </c>
      <c r="K564" s="4">
        <v>-0.30620000000000003</v>
      </c>
      <c r="L564">
        <v>4.2</v>
      </c>
      <c r="M564">
        <v>156</v>
      </c>
      <c r="O564" t="s">
        <v>25</v>
      </c>
      <c r="P564" t="s">
        <v>1128</v>
      </c>
      <c r="Q564" t="s">
        <v>1129</v>
      </c>
    </row>
    <row r="565" spans="1:17" ht="15.5" x14ac:dyDescent="0.35">
      <c r="A565" s="3" t="str">
        <f>HYPERLINK("https://edmondsonsupply.com/collections/personal-protection-safety/products/hellberg-safety-secure-2-headband-hearing-protection", "https://edmondsonsupply.com/collections/personal-protection-safety/products/hellberg-safety-secure-2-headband-hearing-protection")</f>
        <v>https://edmondsonsupply.com/collections/personal-protection-safety/products/hellberg-safety-secure-2-headband-hearing-protection</v>
      </c>
      <c r="B565" s="3" t="str">
        <f>HYPERLINK("https://edmondsonsupply.com/products/hellberg-safety-secure-2-headband-hearing-protection", "https://edmondsonsupply.com/products/hellberg-safety-secure-2-headband-hearing-protection")</f>
        <v>https://edmondsonsupply.com/products/hellberg-safety-secure-2-headband-hearing-protection</v>
      </c>
      <c r="C565" t="s">
        <v>1006</v>
      </c>
      <c r="D565" t="s">
        <v>1323</v>
      </c>
      <c r="E565" s="3" t="str">
        <f>HYPERLINK("https://www.amazon.com/ProCase-Protection-Adjustable-Construction-Manufacturing/dp/B09W25LK3W/ref=sr_1_10?keywords=Hellberg+Safety+Secure+2+Headband+Hearing+Protection&amp;qid=1695173254&amp;sr=8-10", "https://www.amazon.com/ProCase-Protection-Adjustable-Construction-Manufacturing/dp/B09W25LK3W/ref=sr_1_10?keywords=Hellberg+Safety+Secure+2+Headband+Hearing+Protection&amp;qid=1695173254&amp;sr=8-10")</f>
        <v>https://www.amazon.com/ProCase-Protection-Adjustable-Construction-Manufacturing/dp/B09W25LK3W/ref=sr_1_10?keywords=Hellberg+Safety+Secure+2+Headband+Hearing+Protection&amp;qid=1695173254&amp;sr=8-10</v>
      </c>
      <c r="F565" t="s">
        <v>1324</v>
      </c>
      <c r="G565" t="e">
        <f ca="1">_xludf.IMAGE("https://edmondsonsupply.com/cdn/shop/products/41002-001_Original_637469232543030000.jpg?v=1635627040")</f>
        <v>#NAME?</v>
      </c>
      <c r="H565" t="e">
        <f ca="1">_xludf.IMAGE("https://m.media-amazon.com/images/I/619aaQcA58L._AC_UL320_.jpg")</f>
        <v>#NAME?</v>
      </c>
      <c r="I565" t="s">
        <v>981</v>
      </c>
      <c r="J565">
        <v>18.989999999999998</v>
      </c>
      <c r="K565" s="4">
        <v>-0.3206</v>
      </c>
      <c r="L565">
        <v>4.5</v>
      </c>
      <c r="M565">
        <v>769</v>
      </c>
      <c r="O565" t="s">
        <v>25</v>
      </c>
      <c r="P565" t="s">
        <v>121</v>
      </c>
      <c r="Q565" t="s">
        <v>1007</v>
      </c>
    </row>
    <row r="566" spans="1:17" ht="15.5" x14ac:dyDescent="0.35">
      <c r="A566" s="3" t="str">
        <f>HYPERLINK("https://edmondsonsupply.com/collections/personal-protection-safety/products/klein-tools-40212-journeyman-cold-weather-pro-gloves-large", "https://edmondsonsupply.com/collections/personal-protection-safety/products/klein-tools-40212-journeyman-cold-weather-pro-gloves-large")</f>
        <v>https://edmondsonsupply.com/collections/personal-protection-safety/products/klein-tools-40212-journeyman-cold-weather-pro-gloves-large</v>
      </c>
      <c r="B566" s="3" t="str">
        <f>HYPERLINK("https://edmondsonsupply.com/products/klein-tools-40212-journeyman-cold-weather-pro-gloves-large", "https://edmondsonsupply.com/products/klein-tools-40212-journeyman-cold-weather-pro-gloves-large")</f>
        <v>https://edmondsonsupply.com/products/klein-tools-40212-journeyman-cold-weather-pro-gloves-large</v>
      </c>
      <c r="C566" t="s">
        <v>1325</v>
      </c>
      <c r="D566" t="s">
        <v>1325</v>
      </c>
      <c r="E566" s="3" t="str">
        <f>HYPERLINK("https://www.amazon.com/Journeyman-Weather-Klein-Tools-40212/dp/B00KZL5BLW/ref=sr_1_1?keywords=Klein+Tools+40212+Journeyman+Cold+Weather+Pro+Gloves%2C+Large&amp;qid=1695173245&amp;sr=8-1", "https://www.amazon.com/Journeyman-Weather-Klein-Tools-40212/dp/B00KZL5BLW/ref=sr_1_1?keywords=Klein+Tools+40212+Journeyman+Cold+Weather+Pro+Gloves%2C+Large&amp;qid=1695173245&amp;sr=8-1")</f>
        <v>https://www.amazon.com/Journeyman-Weather-Klein-Tools-40212/dp/B00KZL5BLW/ref=sr_1_1?keywords=Klein+Tools+40212+Journeyman+Cold+Weather+Pro+Gloves%2C+Large&amp;qid=1695173245&amp;sr=8-1</v>
      </c>
      <c r="F566" t="s">
        <v>1326</v>
      </c>
      <c r="G566" t="e">
        <f ca="1">_xludf.IMAGE("https://edmondsonsupply.com/cdn/shop/products/40212.jpg?v=1665683791")</f>
        <v>#NAME?</v>
      </c>
      <c r="H566" t="e">
        <f ca="1">_xludf.IMAGE("https://m.media-amazon.com/images/I/61UX4G3JNKL._AC_UL320_.jpg")</f>
        <v>#NAME?</v>
      </c>
      <c r="I566" t="s">
        <v>26</v>
      </c>
      <c r="J566">
        <v>19.989999999999998</v>
      </c>
      <c r="K566" s="4">
        <v>-0.33339999999999997</v>
      </c>
      <c r="L566">
        <v>4</v>
      </c>
      <c r="M566">
        <v>66</v>
      </c>
      <c r="O566" t="s">
        <v>25</v>
      </c>
      <c r="P566" t="s">
        <v>1327</v>
      </c>
      <c r="Q566" t="s">
        <v>1328</v>
      </c>
    </row>
    <row r="567" spans="1:17" ht="15.5" x14ac:dyDescent="0.35">
      <c r="A567" s="3" t="str">
        <f>HYPERLINK("https://edmondsonsupply.com/collections/personal-protection-safety/products/klein-tools-60615-heavy-duty-knee-pad-sleeves-s-m", "https://edmondsonsupply.com/collections/personal-protection-safety/products/klein-tools-60615-heavy-duty-knee-pad-sleeves-s-m")</f>
        <v>https://edmondsonsupply.com/collections/personal-protection-safety/products/klein-tools-60615-heavy-duty-knee-pad-sleeves-s-m</v>
      </c>
      <c r="B567" s="3" t="str">
        <f>HYPERLINK("https://edmondsonsupply.com/products/klein-tools-60615-heavy-duty-knee-pad-sleeves-s-m", "https://edmondsonsupply.com/products/klein-tools-60615-heavy-duty-knee-pad-sleeves-s-m")</f>
        <v>https://edmondsonsupply.com/products/klein-tools-60615-heavy-duty-knee-pad-sleeves-s-m</v>
      </c>
      <c r="C567" t="s">
        <v>1029</v>
      </c>
      <c r="D567" t="s">
        <v>1014</v>
      </c>
      <c r="E567" s="3" t="str">
        <f>HYPERLINK("https://www.amazon.com/Lightweight-Breathable-Slip-Resistant-Klein-Tools/dp/B0B6216HMW/ref=sr_1_2?keywords=Klein+Tools+60615+Heavy+Duty+Knee+Pad+Sleeves%2C+S%2FM&amp;qid=1695173224&amp;sr=8-2", "https://www.amazon.com/Lightweight-Breathable-Slip-Resistant-Klein-Tools/dp/B0B6216HMW/ref=sr_1_2?keywords=Klein+Tools+60615+Heavy+Duty+Knee+Pad+Sleeves%2C+S%2FM&amp;qid=1695173224&amp;sr=8-2")</f>
        <v>https://www.amazon.com/Lightweight-Breathable-Slip-Resistant-Klein-Tools/dp/B0B6216HMW/ref=sr_1_2?keywords=Klein+Tools+60615+Heavy+Duty+Knee+Pad+Sleeves%2C+S%2FM&amp;qid=1695173224&amp;sr=8-2</v>
      </c>
      <c r="F567" t="s">
        <v>1015</v>
      </c>
      <c r="G567" t="e">
        <f ca="1">_xludf.IMAGE("https://edmondsonsupply.com/cdn/shop/products/60511_60611_b_f68c12ff-69e9-4ee5-9cc0-02cf7484e091.jpg?v=1681743847")</f>
        <v>#NAME?</v>
      </c>
      <c r="H567" t="e">
        <f ca="1">_xludf.IMAGE("https://m.media-amazon.com/images/I/61pjcWSwQcL._AC_UL320_.jpg")</f>
        <v>#NAME?</v>
      </c>
      <c r="I567" t="s">
        <v>198</v>
      </c>
      <c r="J567">
        <v>25.99</v>
      </c>
      <c r="K567" s="4">
        <v>-0.35010000000000002</v>
      </c>
      <c r="L567">
        <v>4.5</v>
      </c>
      <c r="M567">
        <v>192</v>
      </c>
      <c r="O567" t="s">
        <v>25</v>
      </c>
      <c r="P567" t="s">
        <v>1027</v>
      </c>
      <c r="Q567" t="s">
        <v>1030</v>
      </c>
    </row>
    <row r="568" spans="1:17" ht="15.5" x14ac:dyDescent="0.35">
      <c r="A568" s="3" t="str">
        <f>HYPERLINK("https://edmondsonsupply.com/collections/personal-protection-safety/products/klein-tools-60511-heavy-duty-knee-pad-sleeves-m-l", "https://edmondsonsupply.com/collections/personal-protection-safety/products/klein-tools-60511-heavy-duty-knee-pad-sleeves-m-l")</f>
        <v>https://edmondsonsupply.com/collections/personal-protection-safety/products/klein-tools-60511-heavy-duty-knee-pad-sleeves-m-l</v>
      </c>
      <c r="B568" s="3" t="str">
        <f>HYPERLINK("https://edmondsonsupply.com/products/klein-tools-60511-heavy-duty-knee-pad-sleeves-m-l", "https://edmondsonsupply.com/products/klein-tools-60511-heavy-duty-knee-pad-sleeves-m-l")</f>
        <v>https://edmondsonsupply.com/products/klein-tools-60511-heavy-duty-knee-pad-sleeves-m-l</v>
      </c>
      <c r="C568" t="s">
        <v>1024</v>
      </c>
      <c r="D568" t="s">
        <v>1014</v>
      </c>
      <c r="E568" s="3" t="str">
        <f>HYPERLINK("https://www.amazon.com/Lightweight-Breathable-Slip-Resistant-Klein-Tools/dp/B0B6216HMW/ref=sr_1_2?keywords=Klein+Tools+60511+Heavy+Duty+Knee+Pad+Sleeves%2C+M%2FL&amp;qid=1695173225&amp;sr=8-2", "https://www.amazon.com/Lightweight-Breathable-Slip-Resistant-Klein-Tools/dp/B0B6216HMW/ref=sr_1_2?keywords=Klein+Tools+60511+Heavy+Duty+Knee+Pad+Sleeves%2C+M%2FL&amp;qid=1695173225&amp;sr=8-2")</f>
        <v>https://www.amazon.com/Lightweight-Breathable-Slip-Resistant-Klein-Tools/dp/B0B6216HMW/ref=sr_1_2?keywords=Klein+Tools+60511+Heavy+Duty+Knee+Pad+Sleeves%2C+M%2FL&amp;qid=1695173225&amp;sr=8-2</v>
      </c>
      <c r="F568" t="s">
        <v>1015</v>
      </c>
      <c r="G568" t="e">
        <f ca="1">_xludf.IMAGE("https://edmondsonsupply.com/cdn/shop/products/60511_60611_b.jpg?v=1663253024")</f>
        <v>#NAME?</v>
      </c>
      <c r="H568" t="e">
        <f ca="1">_xludf.IMAGE("https://m.media-amazon.com/images/I/61pjcWSwQcL._AC_UL320_.jpg")</f>
        <v>#NAME?</v>
      </c>
      <c r="I568" t="s">
        <v>198</v>
      </c>
      <c r="J568">
        <v>25.99</v>
      </c>
      <c r="K568" s="4">
        <v>-0.35010000000000002</v>
      </c>
      <c r="L568">
        <v>4.5</v>
      </c>
      <c r="M568">
        <v>192</v>
      </c>
      <c r="O568" t="s">
        <v>25</v>
      </c>
      <c r="P568" t="s">
        <v>1027</v>
      </c>
      <c r="Q568" t="s">
        <v>1028</v>
      </c>
    </row>
    <row r="569" spans="1:17" ht="15.5" x14ac:dyDescent="0.35">
      <c r="A569"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569" s="3" t="str">
        <f>HYPERLINK("https://edmondsonsupply.com/products/klein-tools-40218-journeyman-extreme-gloves-large", "https://edmondsonsupply.com/products/klein-tools-40218-journeyman-extreme-gloves-large")</f>
        <v>https://edmondsonsupply.com/products/klein-tools-40218-journeyman-extreme-gloves-large</v>
      </c>
      <c r="C569" t="s">
        <v>1056</v>
      </c>
      <c r="D569" t="s">
        <v>1329</v>
      </c>
      <c r="E569" s="3" t="str">
        <f>HYPERLINK("https://www.amazon.com/Journeyman-Camouflage-Klein-Tools-40209/dp/B00KWN4QIC/ref=sr_1_9?keywords=Klein+Tools+40218+Journeyman+Extreme+Gloves%2C+Large&amp;qid=1695173251&amp;sr=8-9", "https://www.amazon.com/Journeyman-Camouflage-Klein-Tools-40209/dp/B00KWN4QIC/ref=sr_1_9?keywords=Klein+Tools+40218+Journeyman+Extreme+Gloves%2C+Large&amp;qid=1695173251&amp;sr=8-9")</f>
        <v>https://www.amazon.com/Journeyman-Camouflage-Klein-Tools-40209/dp/B00KWN4QIC/ref=sr_1_9?keywords=Klein+Tools+40218+Journeyman+Extreme+Gloves%2C+Large&amp;qid=1695173251&amp;sr=8-9</v>
      </c>
      <c r="F569" t="s">
        <v>1330</v>
      </c>
      <c r="G569" t="e">
        <f ca="1">_xludf.IMAGE("https://edmondsonsupply.com/cdn/shop/products/40219_0a592222-828d-4257-9e62-1df98be50c8b.jpg?v=1600025215")</f>
        <v>#NAME?</v>
      </c>
      <c r="H569" t="e">
        <f ca="1">_xludf.IMAGE("https://m.media-amazon.com/images/I/610uZHzTckL._AC_UL320_.jpg")</f>
        <v>#NAME?</v>
      </c>
      <c r="I569" t="s">
        <v>198</v>
      </c>
      <c r="J569">
        <v>25.96</v>
      </c>
      <c r="K569" s="4">
        <v>-0.3508</v>
      </c>
      <c r="L569">
        <v>4.3</v>
      </c>
      <c r="M569">
        <v>23</v>
      </c>
      <c r="O569" t="s">
        <v>25</v>
      </c>
      <c r="P569" t="s">
        <v>971</v>
      </c>
      <c r="Q569" t="s">
        <v>1057</v>
      </c>
    </row>
    <row r="570" spans="1:17" ht="15.5" x14ac:dyDescent="0.35">
      <c r="A570"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570" s="3" t="str">
        <f>HYPERLINK("https://edmondsonsupply.com/products/klein-tools-40218-journeyman-extreme-gloves-large", "https://edmondsonsupply.com/products/klein-tools-40218-journeyman-extreme-gloves-large")</f>
        <v>https://edmondsonsupply.com/products/klein-tools-40218-journeyman-extreme-gloves-large</v>
      </c>
      <c r="C570" t="s">
        <v>1056</v>
      </c>
      <c r="D570" t="s">
        <v>1261</v>
      </c>
      <c r="E570" s="3" t="str">
        <f>HYPERLINK("https://www.amazon.com/Journeyman-Leather-Klein-Tools-40227/dp/B01MCYW7TO/ref=sr_1_5?keywords=Klein+Tools+40218+Journeyman+Extreme+Gloves%2C+Large&amp;qid=1695173251&amp;sr=8-5", "https://www.amazon.com/Journeyman-Leather-Klein-Tools-40227/dp/B01MCYW7TO/ref=sr_1_5?keywords=Klein+Tools+40218+Journeyman+Extreme+Gloves%2C+Large&amp;qid=1695173251&amp;sr=8-5")</f>
        <v>https://www.amazon.com/Journeyman-Leather-Klein-Tools-40227/dp/B01MCYW7TO/ref=sr_1_5?keywords=Klein+Tools+40218+Journeyman+Extreme+Gloves%2C+Large&amp;qid=1695173251&amp;sr=8-5</v>
      </c>
      <c r="F570" t="s">
        <v>1262</v>
      </c>
      <c r="G570" t="e">
        <f ca="1">_xludf.IMAGE("https://edmondsonsupply.com/cdn/shop/products/40219_0a592222-828d-4257-9e62-1df98be50c8b.jpg?v=1600025215")</f>
        <v>#NAME?</v>
      </c>
      <c r="H570" t="e">
        <f ca="1">_xludf.IMAGE("https://m.media-amazon.com/images/I/6151iadzGOL._AC_UL320_.jpg")</f>
        <v>#NAME?</v>
      </c>
      <c r="I570" t="s">
        <v>198</v>
      </c>
      <c r="J570">
        <v>25.49</v>
      </c>
      <c r="K570" s="4">
        <v>-0.36259999999999998</v>
      </c>
      <c r="L570">
        <v>4.4000000000000004</v>
      </c>
      <c r="M570">
        <v>156</v>
      </c>
      <c r="O570" t="s">
        <v>25</v>
      </c>
      <c r="P570" t="s">
        <v>971</v>
      </c>
      <c r="Q570" t="s">
        <v>1057</v>
      </c>
    </row>
    <row r="571" spans="1:17" ht="15.5" x14ac:dyDescent="0.35">
      <c r="A571" s="3" t="str">
        <f>HYPERLINK("https://edmondsonsupply.com/collections/personal-protection-safety/products/klein-tools-60615-heavy-duty-knee-pad-sleeves-s-m", "https://edmondsonsupply.com/collections/personal-protection-safety/products/klein-tools-60615-heavy-duty-knee-pad-sleeves-s-m")</f>
        <v>https://edmondsonsupply.com/collections/personal-protection-safety/products/klein-tools-60615-heavy-duty-knee-pad-sleeves-s-m</v>
      </c>
      <c r="B571" s="3" t="str">
        <f>HYPERLINK("https://edmondsonsupply.com/products/klein-tools-60615-heavy-duty-knee-pad-sleeves-s-m", "https://edmondsonsupply.com/products/klein-tools-60615-heavy-duty-knee-pad-sleeves-s-m")</f>
        <v>https://edmondsonsupply.com/products/klein-tools-60615-heavy-duty-knee-pad-sleeves-s-m</v>
      </c>
      <c r="C571" t="s">
        <v>1029</v>
      </c>
      <c r="D571" t="s">
        <v>1331</v>
      </c>
      <c r="E571" s="3" t="str">
        <f>HYPERLINK("https://www.amazon.com/Construction-REXBETI-Comfortable-Anti-slip-Stretchable/dp/B07BPWV83H/ref=sr_1_7?keywords=Klein+Tools+60615+Heavy+Duty+Knee+Pad+Sleeves%2C+S%2FM&amp;qid=1695173224&amp;sr=8-7", "https://www.amazon.com/Construction-REXBETI-Comfortable-Anti-slip-Stretchable/dp/B07BPWV83H/ref=sr_1_7?keywords=Klein+Tools+60615+Heavy+Duty+Knee+Pad+Sleeves%2C+S%2FM&amp;qid=1695173224&amp;sr=8-7")</f>
        <v>https://www.amazon.com/Construction-REXBETI-Comfortable-Anti-slip-Stretchable/dp/B07BPWV83H/ref=sr_1_7?keywords=Klein+Tools+60615+Heavy+Duty+Knee+Pad+Sleeves%2C+S%2FM&amp;qid=1695173224&amp;sr=8-7</v>
      </c>
      <c r="F571" t="s">
        <v>1332</v>
      </c>
      <c r="G571" t="e">
        <f ca="1">_xludf.IMAGE("https://edmondsonsupply.com/cdn/shop/products/60511_60611_b_f68c12ff-69e9-4ee5-9cc0-02cf7484e091.jpg?v=1681743847")</f>
        <v>#NAME?</v>
      </c>
      <c r="H571" t="e">
        <f ca="1">_xludf.IMAGE("https://m.media-amazon.com/images/I/81thqdRMknL._AC_UL320_.jpg")</f>
        <v>#NAME?</v>
      </c>
      <c r="I571" t="s">
        <v>198</v>
      </c>
      <c r="J571">
        <v>25.19</v>
      </c>
      <c r="K571" s="4">
        <v>-0.37009999999999998</v>
      </c>
      <c r="L571">
        <v>4.5999999999999996</v>
      </c>
      <c r="M571">
        <v>11541</v>
      </c>
      <c r="O571" t="s">
        <v>25</v>
      </c>
      <c r="P571" t="s">
        <v>1027</v>
      </c>
      <c r="Q571" t="s">
        <v>1030</v>
      </c>
    </row>
    <row r="572" spans="1:17" ht="15.5" x14ac:dyDescent="0.35">
      <c r="A572" s="3" t="str">
        <f>HYPERLINK("https://edmondsonsupply.com/collections/personal-protection-safety/products/klein-tools-60511-heavy-duty-knee-pad-sleeves-m-l", "https://edmondsonsupply.com/collections/personal-protection-safety/products/klein-tools-60511-heavy-duty-knee-pad-sleeves-m-l")</f>
        <v>https://edmondsonsupply.com/collections/personal-protection-safety/products/klein-tools-60511-heavy-duty-knee-pad-sleeves-m-l</v>
      </c>
      <c r="B572" s="3" t="str">
        <f>HYPERLINK("https://edmondsonsupply.com/products/klein-tools-60511-heavy-duty-knee-pad-sleeves-m-l", "https://edmondsonsupply.com/products/klein-tools-60511-heavy-duty-knee-pad-sleeves-m-l")</f>
        <v>https://edmondsonsupply.com/products/klein-tools-60511-heavy-duty-knee-pad-sleeves-m-l</v>
      </c>
      <c r="C572" t="s">
        <v>1024</v>
      </c>
      <c r="D572" t="s">
        <v>1331</v>
      </c>
      <c r="E572" s="3" t="str">
        <f>HYPERLINK("https://www.amazon.com/Construction-REXBETI-Comfortable-Anti-slip-Stretchable/dp/B07BPWV83H/ref=sr_1_10?keywords=Klein+Tools+60511+Heavy+Duty+Knee+Pad+Sleeves%2C+M%2FL&amp;qid=1695173225&amp;sr=8-10", "https://www.amazon.com/Construction-REXBETI-Comfortable-Anti-slip-Stretchable/dp/B07BPWV83H/ref=sr_1_10?keywords=Klein+Tools+60511+Heavy+Duty+Knee+Pad+Sleeves%2C+M%2FL&amp;qid=1695173225&amp;sr=8-10")</f>
        <v>https://www.amazon.com/Construction-REXBETI-Comfortable-Anti-slip-Stretchable/dp/B07BPWV83H/ref=sr_1_10?keywords=Klein+Tools+60511+Heavy+Duty+Knee+Pad+Sleeves%2C+M%2FL&amp;qid=1695173225&amp;sr=8-10</v>
      </c>
      <c r="F572" t="s">
        <v>1332</v>
      </c>
      <c r="G572" t="e">
        <f ca="1">_xludf.IMAGE("https://edmondsonsupply.com/cdn/shop/products/60511_60611_b.jpg?v=1663253024")</f>
        <v>#NAME?</v>
      </c>
      <c r="H572" t="e">
        <f ca="1">_xludf.IMAGE("https://m.media-amazon.com/images/I/81thqdRMknL._AC_UL320_.jpg")</f>
        <v>#NAME?</v>
      </c>
      <c r="I572" t="s">
        <v>198</v>
      </c>
      <c r="J572">
        <v>25.19</v>
      </c>
      <c r="K572" s="4">
        <v>-0.37009999999999998</v>
      </c>
      <c r="L572">
        <v>4.5999999999999996</v>
      </c>
      <c r="M572">
        <v>11541</v>
      </c>
      <c r="O572" t="s">
        <v>25</v>
      </c>
      <c r="P572" t="s">
        <v>1027</v>
      </c>
      <c r="Q572" t="s">
        <v>1028</v>
      </c>
    </row>
    <row r="573" spans="1:17" ht="15.5" x14ac:dyDescent="0.35">
      <c r="A573" s="3" t="str">
        <f>HYPERLINK("https://edmondsonsupply.com/collections/personal-protection-safety/products/klein-tools-60539-professional-safety-glasses-full-frame-polarized-lens", "https://edmondsonsupply.com/collections/personal-protection-safety/products/klein-tools-60539-professional-safety-glasses-full-frame-polarized-lens")</f>
        <v>https://edmondsonsupply.com/collections/personal-protection-safety/products/klein-tools-60539-professional-safety-glasses-full-frame-polarized-lens</v>
      </c>
      <c r="B573"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573" t="s">
        <v>960</v>
      </c>
      <c r="D573" t="s">
        <v>1022</v>
      </c>
      <c r="E573" s="3" t="str">
        <f>HYPERLINK("https://www.amazon.com/Klein-Tools-60536-Professional-Protective/dp/B0BLQWVJDB/ref=sr_1_2?keywords=Klein+Tools+60539+Professional+Safety+Glasses%2C+Full+Frame%2C+Polarized+Lens&amp;qid=1695173226&amp;sr=8-2", "https://www.amazon.com/Klein-Tools-60536-Professional-Protective/dp/B0BLQWVJDB/ref=sr_1_2?keywords=Klein+Tools+60539+Professional+Safety+Glasses%2C+Full+Frame%2C+Polarized+Lens&amp;qid=1695173226&amp;sr=8-2")</f>
        <v>https://www.amazon.com/Klein-Tools-60536-Professional-Protective/dp/B0BLQWVJDB/ref=sr_1_2?keywords=Klein+Tools+60539+Professional+Safety+Glasses%2C+Full+Frame%2C+Polarized+Lens&amp;qid=1695173226&amp;sr=8-2</v>
      </c>
      <c r="F573" t="s">
        <v>1023</v>
      </c>
      <c r="G573" t="e">
        <f ca="1">_xludf.IMAGE("https://edmondsonsupply.com/cdn/shop/products/60539.jpg?v=1670948006")</f>
        <v>#NAME?</v>
      </c>
      <c r="H573" t="e">
        <f ca="1">_xludf.IMAGE("https://m.media-amazon.com/images/I/41rAXCZifQL._AC_UL320_.jpg")</f>
        <v>#NAME?</v>
      </c>
      <c r="I573" t="s">
        <v>26</v>
      </c>
      <c r="J573">
        <v>16.600000000000001</v>
      </c>
      <c r="K573" s="4">
        <v>-0.44650000000000001</v>
      </c>
      <c r="L573">
        <v>4.4000000000000004</v>
      </c>
      <c r="M573">
        <v>374</v>
      </c>
      <c r="O573" t="s">
        <v>25</v>
      </c>
      <c r="P573" t="s">
        <v>562</v>
      </c>
      <c r="Q573" t="s">
        <v>961</v>
      </c>
    </row>
    <row r="574" spans="1:17" ht="15.5" x14ac:dyDescent="0.35">
      <c r="A574" s="3" t="str">
        <f>HYPERLINK("https://edmondsonsupply.com/collections/personal-protection-safety/products/klein-tools-60539-professional-safety-glasses-full-frame-polarized-lens", "https://edmondsonsupply.com/collections/personal-protection-safety/products/klein-tools-60539-professional-safety-glasses-full-frame-polarized-lens")</f>
        <v>https://edmondsonsupply.com/collections/personal-protection-safety/products/klein-tools-60539-professional-safety-glasses-full-frame-polarized-lens</v>
      </c>
      <c r="B574"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574" t="s">
        <v>960</v>
      </c>
      <c r="D574" t="s">
        <v>956</v>
      </c>
      <c r="E574" s="3" t="str">
        <f>HYPERLINK("https://www.amazon.com/Klein-60163-Professional-Protective-Resistant/dp/B08B48CZ5V/ref=sr_1_8?keywords=Klein+Tools+60539+Professional+Safety+Glasses%2C+Full+Frame%2C+Polarized+Lens&amp;qid=1695173226&amp;sr=8-8", "https://www.amazon.com/Klein-60163-Professional-Protective-Resistant/dp/B08B48CZ5V/ref=sr_1_8?keywords=Klein+Tools+60539+Professional+Safety+Glasses%2C+Full+Frame%2C+Polarized+Lens&amp;qid=1695173226&amp;sr=8-8")</f>
        <v>https://www.amazon.com/Klein-60163-Professional-Protective-Resistant/dp/B08B48CZ5V/ref=sr_1_8?keywords=Klein+Tools+60539+Professional+Safety+Glasses%2C+Full+Frame%2C+Polarized+Lens&amp;qid=1695173226&amp;sr=8-8</v>
      </c>
      <c r="F574" t="s">
        <v>957</v>
      </c>
      <c r="G574" t="e">
        <f ca="1">_xludf.IMAGE("https://edmondsonsupply.com/cdn/shop/products/60539.jpg?v=1670948006")</f>
        <v>#NAME?</v>
      </c>
      <c r="H574" t="e">
        <f ca="1">_xludf.IMAGE("https://m.media-amazon.com/images/I/41IY8K6EFLL._AC_UL320_.jpg")</f>
        <v>#NAME?</v>
      </c>
      <c r="I574" t="s">
        <v>26</v>
      </c>
      <c r="J574">
        <v>14.99</v>
      </c>
      <c r="K574" s="4">
        <v>-0.50019999999999998</v>
      </c>
      <c r="L574">
        <v>4.4000000000000004</v>
      </c>
      <c r="M574">
        <v>198</v>
      </c>
      <c r="O574" t="s">
        <v>25</v>
      </c>
      <c r="P574" t="s">
        <v>562</v>
      </c>
      <c r="Q574" t="s">
        <v>961</v>
      </c>
    </row>
    <row r="575" spans="1:17" ht="15.5" x14ac:dyDescent="0.35">
      <c r="A575" s="3" t="str">
        <f>HYPERLINK("https://edmondsonsupply.com/collections/personal-protection-safety/products/klein-tools-60539-professional-safety-glasses-full-frame-polarized-lens", "https://edmondsonsupply.com/collections/personal-protection-safety/products/klein-tools-60539-professional-safety-glasses-full-frame-polarized-lens")</f>
        <v>https://edmondsonsupply.com/collections/personal-protection-safety/products/klein-tools-60539-professional-safety-glasses-full-frame-polarized-lens</v>
      </c>
      <c r="B575"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575" t="s">
        <v>960</v>
      </c>
      <c r="D575" t="s">
        <v>958</v>
      </c>
      <c r="E575" s="3" t="str">
        <f>HYPERLINK("https://www.amazon.com/Klein-60164-Professional-Protective-Resistant/dp/B08B4BNSHM/ref=sr_1_9?keywords=Klein+Tools+60539+Professional+Safety+Glasses%2C+Full+Frame%2C+Polarized+Lens&amp;qid=1695173226&amp;sr=8-9", "https://www.amazon.com/Klein-60164-Professional-Protective-Resistant/dp/B08B4BNSHM/ref=sr_1_9?keywords=Klein+Tools+60539+Professional+Safety+Glasses%2C+Full+Frame%2C+Polarized+Lens&amp;qid=1695173226&amp;sr=8-9")</f>
        <v>https://www.amazon.com/Klein-60164-Professional-Protective-Resistant/dp/B08B4BNSHM/ref=sr_1_9?keywords=Klein+Tools+60539+Professional+Safety+Glasses%2C+Full+Frame%2C+Polarized+Lens&amp;qid=1695173226&amp;sr=8-9</v>
      </c>
      <c r="F575" t="s">
        <v>959</v>
      </c>
      <c r="G575" t="e">
        <f ca="1">_xludf.IMAGE("https://edmondsonsupply.com/cdn/shop/products/60539.jpg?v=1670948006")</f>
        <v>#NAME?</v>
      </c>
      <c r="H575" t="e">
        <f ca="1">_xludf.IMAGE("https://m.media-amazon.com/images/I/41bNrH9NnFL._AC_UL320_.jpg")</f>
        <v>#NAME?</v>
      </c>
      <c r="I575" t="s">
        <v>26</v>
      </c>
      <c r="J575">
        <v>14.99</v>
      </c>
      <c r="K575" s="4">
        <v>-0.50019999999999998</v>
      </c>
      <c r="L575">
        <v>4.4000000000000004</v>
      </c>
      <c r="M575">
        <v>463</v>
      </c>
      <c r="O575" t="s">
        <v>25</v>
      </c>
      <c r="P575" t="s">
        <v>562</v>
      </c>
      <c r="Q575" t="s">
        <v>961</v>
      </c>
    </row>
    <row r="576" spans="1:17" ht="15.5" x14ac:dyDescent="0.35">
      <c r="A576" s="3" t="str">
        <f>HYPERLINK("https://edmondsonsupply.com/collections/personal-protection-safety/products/klein-tools-60615-heavy-duty-knee-pad-sleeves-s-m", "https://edmondsonsupply.com/collections/personal-protection-safety/products/klein-tools-60615-heavy-duty-knee-pad-sleeves-s-m")</f>
        <v>https://edmondsonsupply.com/collections/personal-protection-safety/products/klein-tools-60615-heavy-duty-knee-pad-sleeves-s-m</v>
      </c>
      <c r="B576" s="3" t="str">
        <f>HYPERLINK("https://edmondsonsupply.com/products/klein-tools-60615-heavy-duty-knee-pad-sleeves-s-m", "https://edmondsonsupply.com/products/klein-tools-60615-heavy-duty-knee-pad-sleeves-s-m")</f>
        <v>https://edmondsonsupply.com/products/klein-tools-60615-heavy-duty-knee-pad-sleeves-s-m</v>
      </c>
      <c r="C576" t="s">
        <v>1029</v>
      </c>
      <c r="D576" t="s">
        <v>1142</v>
      </c>
      <c r="E576" s="3" t="str">
        <f>HYPERLINK("https://www.amazon.com/Klein-Tools-60592-Lightweight-Slip-Resistant/dp/B0B622FRN8/ref=sr_1_3?keywords=Klein+Tools+60615+Heavy+Duty+Knee+Pad+Sleeves%2C+S%2FM&amp;qid=1695173224&amp;sr=8-3", "https://www.amazon.com/Klein-Tools-60592-Lightweight-Slip-Resistant/dp/B0B622FRN8/ref=sr_1_3?keywords=Klein+Tools+60615+Heavy+Duty+Knee+Pad+Sleeves%2C+S%2FM&amp;qid=1695173224&amp;sr=8-3")</f>
        <v>https://www.amazon.com/Klein-Tools-60592-Lightweight-Slip-Resistant/dp/B0B622FRN8/ref=sr_1_3?keywords=Klein+Tools+60615+Heavy+Duty+Knee+Pad+Sleeves%2C+S%2FM&amp;qid=1695173224&amp;sr=8-3</v>
      </c>
      <c r="F576" t="s">
        <v>1143</v>
      </c>
      <c r="G576" t="e">
        <f ca="1">_xludf.IMAGE("https://edmondsonsupply.com/cdn/shop/products/60511_60611_b_f68c12ff-69e9-4ee5-9cc0-02cf7484e091.jpg?v=1681743847")</f>
        <v>#NAME?</v>
      </c>
      <c r="H576" t="e">
        <f ca="1">_xludf.IMAGE("https://m.media-amazon.com/images/I/61SeDj1bXKL._AC_UL320_.jpg")</f>
        <v>#NAME?</v>
      </c>
      <c r="I576" t="s">
        <v>198</v>
      </c>
      <c r="J576">
        <v>19.97</v>
      </c>
      <c r="K576" s="4">
        <v>-0.50060000000000004</v>
      </c>
      <c r="L576">
        <v>4.0999999999999996</v>
      </c>
      <c r="M576">
        <v>147</v>
      </c>
      <c r="O576" t="s">
        <v>25</v>
      </c>
      <c r="P576" t="s">
        <v>1027</v>
      </c>
      <c r="Q576" t="s">
        <v>1030</v>
      </c>
    </row>
    <row r="577" spans="1:17" ht="15.5" x14ac:dyDescent="0.35">
      <c r="A577" s="3" t="str">
        <f>HYPERLINK("https://edmondsonsupply.com/collections/personal-protection-safety/products/klein-tools-60511-heavy-duty-knee-pad-sleeves-m-l", "https://edmondsonsupply.com/collections/personal-protection-safety/products/klein-tools-60511-heavy-duty-knee-pad-sleeves-m-l")</f>
        <v>https://edmondsonsupply.com/collections/personal-protection-safety/products/klein-tools-60511-heavy-duty-knee-pad-sleeves-m-l</v>
      </c>
      <c r="B577" s="3" t="str">
        <f>HYPERLINK("https://edmondsonsupply.com/products/klein-tools-60511-heavy-duty-knee-pad-sleeves-m-l", "https://edmondsonsupply.com/products/klein-tools-60511-heavy-duty-knee-pad-sleeves-m-l")</f>
        <v>https://edmondsonsupply.com/products/klein-tools-60511-heavy-duty-knee-pad-sleeves-m-l</v>
      </c>
      <c r="C577" t="s">
        <v>1024</v>
      </c>
      <c r="D577" t="s">
        <v>1142</v>
      </c>
      <c r="E577" s="3" t="str">
        <f>HYPERLINK("https://www.amazon.com/Klein-Tools-60592-Lightweight-Slip-Resistant/dp/B0B622FRN8/ref=sr_1_3?keywords=Klein+Tools+60511+Heavy+Duty+Knee+Pad+Sleeves%2C+M%2FL&amp;qid=1695173225&amp;sr=8-3", "https://www.amazon.com/Klein-Tools-60592-Lightweight-Slip-Resistant/dp/B0B622FRN8/ref=sr_1_3?keywords=Klein+Tools+60511+Heavy+Duty+Knee+Pad+Sleeves%2C+M%2FL&amp;qid=1695173225&amp;sr=8-3")</f>
        <v>https://www.amazon.com/Klein-Tools-60592-Lightweight-Slip-Resistant/dp/B0B622FRN8/ref=sr_1_3?keywords=Klein+Tools+60511+Heavy+Duty+Knee+Pad+Sleeves%2C+M%2FL&amp;qid=1695173225&amp;sr=8-3</v>
      </c>
      <c r="F577" t="s">
        <v>1143</v>
      </c>
      <c r="G577" t="e">
        <f ca="1">_xludf.IMAGE("https://edmondsonsupply.com/cdn/shop/products/60511_60611_b.jpg?v=1663253024")</f>
        <v>#NAME?</v>
      </c>
      <c r="H577" t="e">
        <f ca="1">_xludf.IMAGE("https://m.media-amazon.com/images/I/61SeDj1bXKL._AC_UL320_.jpg")</f>
        <v>#NAME?</v>
      </c>
      <c r="I577" t="s">
        <v>198</v>
      </c>
      <c r="J577">
        <v>19.97</v>
      </c>
      <c r="K577" s="4">
        <v>-0.50060000000000004</v>
      </c>
      <c r="L577">
        <v>4.0999999999999996</v>
      </c>
      <c r="M577">
        <v>147</v>
      </c>
      <c r="O577" t="s">
        <v>25</v>
      </c>
      <c r="P577" t="s">
        <v>1027</v>
      </c>
      <c r="Q577" t="s">
        <v>1028</v>
      </c>
    </row>
    <row r="578" spans="1:17" ht="15.5" x14ac:dyDescent="0.35">
      <c r="A578" s="3" t="str">
        <f>HYPERLINK("https://edmondsonsupply.com/collections/personal-protection-safety/products/copy-of-klein-tools-60189-leather-work-gloves-x-large-pair", "https://edmondsonsupply.com/collections/personal-protection-safety/products/copy-of-klein-tools-60189-leather-work-gloves-x-large-pair")</f>
        <v>https://edmondsonsupply.com/collections/personal-protection-safety/products/copy-of-klein-tools-60189-leather-work-gloves-x-large-pair</v>
      </c>
      <c r="B578" s="3" t="str">
        <f>HYPERLINK("https://edmondsonsupply.com/products/copy-of-klein-tools-60189-leather-work-gloves-x-large-pair", "https://edmondsonsupply.com/products/copy-of-klein-tools-60189-leather-work-gloves-x-large-pair")</f>
        <v>https://edmondsonsupply.com/products/copy-of-klein-tools-60189-leather-work-gloves-x-large-pair</v>
      </c>
      <c r="C578" t="s">
        <v>1096</v>
      </c>
      <c r="D578" t="s">
        <v>1209</v>
      </c>
      <c r="E578" s="3" t="str">
        <f>HYPERLINK("https://www.amazon.com/Klein-Gloves-Cut-Resistant-Touchscreen-2-Pair/dp/B088NBRY3M/ref=sr_1_5?keywords=Klein+Tools+60188+Leather+Work+Gloves%2C+Large%2C+Pair&amp;qid=1695173260&amp;sr=8-5", "https://www.amazon.com/Klein-Gloves-Cut-Resistant-Touchscreen-2-Pair/dp/B088NBRY3M/ref=sr_1_5?keywords=Klein+Tools+60188+Leather+Work+Gloves%2C+Large%2C+Pair&amp;qid=1695173260&amp;sr=8-5")</f>
        <v>https://www.amazon.com/Klein-Gloves-Cut-Resistant-Touchscreen-2-Pair/dp/B088NBRY3M/ref=sr_1_5?keywords=Klein+Tools+60188+Leather+Work+Gloves%2C+Large%2C+Pair&amp;qid=1695173260&amp;sr=8-5</v>
      </c>
      <c r="F578" t="s">
        <v>1210</v>
      </c>
      <c r="G578" t="e">
        <f ca="1">_xludf.IMAGE("https://edmondsonsupply.com/cdn/shop/products/60188_7a7499e6-621a-4bc0-8883-0ddde9a9ada8.jpg?v=1588432588")</f>
        <v>#NAME?</v>
      </c>
      <c r="H578" t="e">
        <f ca="1">_xludf.IMAGE("https://m.media-amazon.com/images/I/71GlG2Zt5fL._AC_UL320_.jpg")</f>
        <v>#NAME?</v>
      </c>
      <c r="I578" t="s">
        <v>362</v>
      </c>
      <c r="J578">
        <v>12.97</v>
      </c>
      <c r="K578" s="4">
        <v>-0.501</v>
      </c>
      <c r="L578">
        <v>4.5999999999999996</v>
      </c>
      <c r="M578">
        <v>135</v>
      </c>
      <c r="O578" t="s">
        <v>25</v>
      </c>
      <c r="P578" t="s">
        <v>1054</v>
      </c>
      <c r="Q578" t="s">
        <v>1097</v>
      </c>
    </row>
    <row r="579" spans="1:17" ht="15.5" x14ac:dyDescent="0.35">
      <c r="A579" s="3" t="str">
        <f>HYPERLINK("https://edmondsonsupply.com/collections/personal-protection-safety/products/klein-tools-40218-journeyman-extreme-gloves-large", "https://edmondsonsupply.com/collections/personal-protection-safety/products/klein-tools-40218-journeyman-extreme-gloves-large")</f>
        <v>https://edmondsonsupply.com/collections/personal-protection-safety/products/klein-tools-40218-journeyman-extreme-gloves-large</v>
      </c>
      <c r="B579" s="3" t="str">
        <f>HYPERLINK("https://edmondsonsupply.com/products/klein-tools-40218-journeyman-extreme-gloves-large", "https://edmondsonsupply.com/products/klein-tools-40218-journeyman-extreme-gloves-large")</f>
        <v>https://edmondsonsupply.com/products/klein-tools-40218-journeyman-extreme-gloves-large</v>
      </c>
      <c r="C579" t="s">
        <v>1056</v>
      </c>
      <c r="D579" t="s">
        <v>1319</v>
      </c>
      <c r="E579" s="3" t="str">
        <f>HYPERLINK("https://www.amazon.com/Journeyman-Utility-Klein-Tools-40206/dp/B00KZL5AEK/ref=sr_1_8?keywords=Klein+Tools+40218+Journeyman+Extreme+Gloves%2C+Large&amp;qid=1695173251&amp;sr=8-8", "https://www.amazon.com/Journeyman-Utility-Klein-Tools-40206/dp/B00KZL5AEK/ref=sr_1_8?keywords=Klein+Tools+40218+Journeyman+Extreme+Gloves%2C+Large&amp;qid=1695173251&amp;sr=8-8")</f>
        <v>https://www.amazon.com/Journeyman-Utility-Klein-Tools-40206/dp/B00KZL5AEK/ref=sr_1_8?keywords=Klein+Tools+40218+Journeyman+Extreme+Gloves%2C+Large&amp;qid=1695173251&amp;sr=8-8</v>
      </c>
      <c r="F579" t="s">
        <v>1320</v>
      </c>
      <c r="G579" t="e">
        <f ca="1">_xludf.IMAGE("https://edmondsonsupply.com/cdn/shop/products/40219_0a592222-828d-4257-9e62-1df98be50c8b.jpg?v=1600025215")</f>
        <v>#NAME?</v>
      </c>
      <c r="H579" t="e">
        <f ca="1">_xludf.IMAGE("https://m.media-amazon.com/images/I/61r-l13tqiL._AC_UL320_.jpg")</f>
        <v>#NAME?</v>
      </c>
      <c r="I579" t="s">
        <v>198</v>
      </c>
      <c r="J579">
        <v>19.489999999999998</v>
      </c>
      <c r="K579" s="4">
        <v>-0.51259999999999994</v>
      </c>
      <c r="L579">
        <v>4.0999999999999996</v>
      </c>
      <c r="M579">
        <v>27</v>
      </c>
      <c r="O579" t="s">
        <v>25</v>
      </c>
      <c r="P579" t="s">
        <v>971</v>
      </c>
      <c r="Q579" t="s">
        <v>1057</v>
      </c>
    </row>
    <row r="580" spans="1:17" ht="15.5" x14ac:dyDescent="0.35">
      <c r="A580" s="3" t="str">
        <f>HYPERLINK("https://edmondsonsupply.com/collections/personal-protection-safety/products/hellberg-safety-secure-1-headband-hearing-protection", "https://edmondsonsupply.com/collections/personal-protection-safety/products/hellberg-safety-secure-1-headband-hearing-protection")</f>
        <v>https://edmondsonsupply.com/collections/personal-protection-safety/products/hellberg-safety-secure-1-headband-hearing-protection</v>
      </c>
      <c r="B580" s="3" t="str">
        <f>HYPERLINK("https://edmondsonsupply.com/products/hellberg-safety-secure-1-headband-hearing-protection", "https://edmondsonsupply.com/products/hellberg-safety-secure-1-headband-hearing-protection")</f>
        <v>https://edmondsonsupply.com/products/hellberg-safety-secure-1-headband-hearing-protection</v>
      </c>
      <c r="C580" t="s">
        <v>977</v>
      </c>
      <c r="D580" t="s">
        <v>1333</v>
      </c>
      <c r="E580" s="3" t="str">
        <f>HYPERLINK("https://www.amazon.com/12010BL-Muffs-Professional-Defenders-Adjustable-Protection/dp/B01AFOJ3I0/ref=sr_1_8?keywords=Hellberg+Safety+Secure+1+Headband+Hearing+Protection&amp;qid=1695173240&amp;sr=8-8", "https://www.amazon.com/12010BL-Muffs-Professional-Defenders-Adjustable-Protection/dp/B01AFOJ3I0/ref=sr_1_8?keywords=Hellberg+Safety+Secure+1+Headband+Hearing+Protection&amp;qid=1695173240&amp;sr=8-8")</f>
        <v>https://www.amazon.com/12010BL-Muffs-Professional-Defenders-Adjustable-Protection/dp/B01AFOJ3I0/ref=sr_1_8?keywords=Hellberg+Safety+Secure+1+Headband+Hearing+Protection&amp;qid=1695173240&amp;sr=8-8</v>
      </c>
      <c r="F580" t="s">
        <v>1334</v>
      </c>
      <c r="G580" t="e">
        <f ca="1">_xludf.IMAGE("https://edmondsonsupply.com/cdn/shop/products/41001-001_Original_637469216954400000.jpg?v=1635625313")</f>
        <v>#NAME?</v>
      </c>
      <c r="H580" t="e">
        <f ca="1">_xludf.IMAGE("https://m.media-amazon.com/images/I/6183cL-s2NL._AC_UL320_.jpg")</f>
        <v>#NAME?</v>
      </c>
      <c r="I580" t="s">
        <v>980</v>
      </c>
      <c r="J580">
        <v>11.99</v>
      </c>
      <c r="K580" s="4">
        <v>-0.51939999999999997</v>
      </c>
      <c r="L580">
        <v>4.5999999999999996</v>
      </c>
      <c r="M580">
        <v>1349</v>
      </c>
      <c r="O580" t="s">
        <v>25</v>
      </c>
      <c r="P580" t="s">
        <v>981</v>
      </c>
      <c r="Q580" t="s">
        <v>982</v>
      </c>
    </row>
    <row r="581" spans="1:17" ht="15.5" x14ac:dyDescent="0.35">
      <c r="A581" s="3" t="str">
        <f>HYPERLINK("https://edmondsonsupply.com/collections/personal-protection-safety/products/hellberg-safety-secure-2-headband-hearing-protection", "https://edmondsonsupply.com/collections/personal-protection-safety/products/hellberg-safety-secure-2-headband-hearing-protection")</f>
        <v>https://edmondsonsupply.com/collections/personal-protection-safety/products/hellberg-safety-secure-2-headband-hearing-protection</v>
      </c>
      <c r="B581" s="3" t="str">
        <f>HYPERLINK("https://edmondsonsupply.com/products/hellberg-safety-secure-2-headband-hearing-protection", "https://edmondsonsupply.com/products/hellberg-safety-secure-2-headband-hearing-protection")</f>
        <v>https://edmondsonsupply.com/products/hellberg-safety-secure-2-headband-hearing-protection</v>
      </c>
      <c r="C581" t="s">
        <v>1006</v>
      </c>
      <c r="D581" t="s">
        <v>1333</v>
      </c>
      <c r="E581" s="3" t="str">
        <f>HYPERLINK("https://www.amazon.com/12010BL-Muffs-Professional-Defenders-Adjustable-Protection/dp/B01AFOJ3I0/ref=sr_1_9?keywords=Hellberg+Safety+Secure+2+Headband+Hearing+Protection&amp;qid=1695173254&amp;sr=8-9", "https://www.amazon.com/12010BL-Muffs-Professional-Defenders-Adjustable-Protection/dp/B01AFOJ3I0/ref=sr_1_9?keywords=Hellberg+Safety+Secure+2+Headband+Hearing+Protection&amp;qid=1695173254&amp;sr=8-9")</f>
        <v>https://www.amazon.com/12010BL-Muffs-Professional-Defenders-Adjustable-Protection/dp/B01AFOJ3I0/ref=sr_1_9?keywords=Hellberg+Safety+Secure+2+Headband+Hearing+Protection&amp;qid=1695173254&amp;sr=8-9</v>
      </c>
      <c r="F581" t="s">
        <v>1334</v>
      </c>
      <c r="G581" t="e">
        <f ca="1">_xludf.IMAGE("https://edmondsonsupply.com/cdn/shop/products/41002-001_Original_637469232543030000.jpg?v=1635627040")</f>
        <v>#NAME?</v>
      </c>
      <c r="H581" t="e">
        <f ca="1">_xludf.IMAGE("https://m.media-amazon.com/images/I/6183cL-s2NL._AC_UL320_.jpg")</f>
        <v>#NAME?</v>
      </c>
      <c r="I581" t="s">
        <v>981</v>
      </c>
      <c r="J581">
        <v>11.99</v>
      </c>
      <c r="K581" s="4">
        <v>-0.57099999999999995</v>
      </c>
      <c r="L581">
        <v>4.5999999999999996</v>
      </c>
      <c r="M581">
        <v>1349</v>
      </c>
      <c r="O581" t="s">
        <v>25</v>
      </c>
      <c r="P581" t="s">
        <v>121</v>
      </c>
      <c r="Q581" t="s">
        <v>1007</v>
      </c>
    </row>
    <row r="582" spans="1:17" ht="15.5" x14ac:dyDescent="0.35">
      <c r="A582" s="3" t="str">
        <f>HYPERLINK("https://edmondsonsupply.com/collections/personal-protection-safety/products/edge-eyewear-sr116-reclus-black-frame-smoke-lens-safety-glasses", "https://edmondsonsupply.com/collections/personal-protection-safety/products/edge-eyewear-sr116-reclus-black-frame-smoke-lens-safety-glasses")</f>
        <v>https://edmondsonsupply.com/collections/personal-protection-safety/products/edge-eyewear-sr116-reclus-black-frame-smoke-lens-safety-glasses</v>
      </c>
      <c r="B582"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582" t="s">
        <v>985</v>
      </c>
      <c r="D582" t="s">
        <v>1335</v>
      </c>
      <c r="E582" s="3" t="str">
        <f>HYPERLINK("https://www.amazon.com/Edge-Eyewear-DZ116-G2-Safety-Glasses/dp/B00OYIMUDE/ref=sr_1_5?keywords=Edge+Eyewear+SR116+Reclus+-+Black+Frame%2FSmoke+Lens%2C+Safety+Glasses&amp;qid=1695173246&amp;sr=8-5", "https://www.amazon.com/Edge-Eyewear-DZ116-G2-Safety-Glasses/dp/B00OYIMUDE/ref=sr_1_5?keywords=Edge+Eyewear+SR116+Reclus+-+Black+Frame%2FSmoke+Lens%2C+Safety+Glasses&amp;qid=1695173246&amp;sr=8-5")</f>
        <v>https://www.amazon.com/Edge-Eyewear-DZ116-G2-Safety-Glasses/dp/B00OYIMUDE/ref=sr_1_5?keywords=Edge+Eyewear+SR116+Reclus+-+Black+Frame%2FSmoke+Lens%2C+Safety+Glasses&amp;qid=1695173246&amp;sr=8-5</v>
      </c>
      <c r="F582" t="s">
        <v>1336</v>
      </c>
      <c r="G582" t="e">
        <f ca="1">_xludf.IMAGE("https://edmondsonsupply.com/cdn/shop/products/SR116_1512x_cc8649c7-14e6-4c1c-9513-7dd61f5f7eb9.png?v=1633030940")</f>
        <v>#NAME?</v>
      </c>
      <c r="H582" t="e">
        <f ca="1">_xludf.IMAGE("https://m.media-amazon.com/images/I/41bqa6uxQlL._AC_UL320_.jpg")</f>
        <v>#NAME?</v>
      </c>
      <c r="I582" t="s">
        <v>988</v>
      </c>
      <c r="J582">
        <v>5.99</v>
      </c>
      <c r="K582" s="4">
        <v>-0.63629999999999998</v>
      </c>
      <c r="L582">
        <v>4.3</v>
      </c>
      <c r="M582">
        <v>468</v>
      </c>
      <c r="O582" t="s">
        <v>25</v>
      </c>
      <c r="P582" t="s">
        <v>989</v>
      </c>
      <c r="Q582" t="s">
        <v>990</v>
      </c>
    </row>
    <row r="583" spans="1:17" ht="15.5" x14ac:dyDescent="0.35">
      <c r="A583" s="3" t="str">
        <f>HYPERLINK("https://edmondsonsupply.com/collections/personal-protection-safety/products/hellberg-safety-xstream-headband-hearing-protection", "https://edmondsonsupply.com/collections/personal-protection-safety/products/hellberg-safety-xstream-headband-hearing-protection")</f>
        <v>https://edmondsonsupply.com/collections/personal-protection-safety/products/hellberg-safety-xstream-headband-hearing-protection</v>
      </c>
      <c r="B583" s="3" t="str">
        <f>HYPERLINK("https://edmondsonsupply.com/products/hellberg-safety-xstream-headband-hearing-protection", "https://edmondsonsupply.com/products/hellberg-safety-xstream-headband-hearing-protection")</f>
        <v>https://edmondsonsupply.com/products/hellberg-safety-xstream-headband-hearing-protection</v>
      </c>
      <c r="C583" t="s">
        <v>1337</v>
      </c>
      <c r="D583" t="s">
        <v>863</v>
      </c>
      <c r="E583" s="3" t="str">
        <f>HYPERLINK("https://www.amazon.com/Hellberg-Safety-41002-001-Protection-Frequency/dp/B017DJJXOE/ref=sr_1_1?keywords=Hellberg+Safety+Xstream+Headband+Hearing+Protection&amp;qid=1695173238&amp;sr=8-1", "https://www.amazon.com/Hellberg-Safety-41002-001-Protection-Frequency/dp/B017DJJXOE/ref=sr_1_1?keywords=Hellberg+Safety+Xstream+Headband+Hearing+Protection&amp;qid=1695173238&amp;sr=8-1")</f>
        <v>https://www.amazon.com/Hellberg-Safety-41002-001-Protection-Frequency/dp/B017DJJXOE/ref=sr_1_1?keywords=Hellberg+Safety+Xstream+Headband+Hearing+Protection&amp;qid=1695173238&amp;sr=8-1</v>
      </c>
      <c r="F583" t="s">
        <v>864</v>
      </c>
      <c r="G583" t="e">
        <f ca="1">_xludf.IMAGE("https://edmondsonsupply.com/cdn/shop/products/48000-001.png_Original_637690306034800000.jpg?v=1635630457")</f>
        <v>#NAME?</v>
      </c>
      <c r="H583" t="e">
        <f ca="1">_xludf.IMAGE("https://m.media-amazon.com/images/I/716bzdxEJHL._AC_UL320_.jpg")</f>
        <v>#NAME?</v>
      </c>
      <c r="I583" t="s">
        <v>1338</v>
      </c>
      <c r="J583">
        <v>37.090000000000003</v>
      </c>
      <c r="K583" s="4">
        <v>-0.79279999999999995</v>
      </c>
      <c r="L583">
        <v>4.5</v>
      </c>
      <c r="M583">
        <v>52</v>
      </c>
      <c r="O583" t="s">
        <v>25</v>
      </c>
      <c r="P583" t="s">
        <v>715</v>
      </c>
      <c r="Q583" t="s">
        <v>1339</v>
      </c>
    </row>
    <row r="584" spans="1:17" ht="15.5" x14ac:dyDescent="0.35">
      <c r="A584"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84" s="3" t="str">
        <f>HYPERLINK("https://edmondsonsupply.com/products/cambridge-3-4-pvc-liquid-tight-conduit-fitting-straight", "https://edmondsonsupply.com/products/cambridge-3-4-pvc-liquid-tight-conduit-fitting-straight")</f>
        <v>https://edmondsonsupply.com/products/cambridge-3-4-pvc-liquid-tight-conduit-fitting-straight</v>
      </c>
      <c r="C584" t="s">
        <v>1340</v>
      </c>
      <c r="D584" t="s">
        <v>1341</v>
      </c>
      <c r="E584" s="3" t="str">
        <f>HYPERLINK("https://www.amazon.com/Connector-Non-Metallic-Electrical-Fittings-Flexible/dp/B0BWTZR72Z/ref=sr_1_3?keywords=Cambridge+3%2F4%22+PVC+Liquid+Tight+Conduit+Fitting+-+Straight&amp;qid=1695173710&amp;sr=8-3", "https://www.amazon.com/Connector-Non-Metallic-Electrical-Fittings-Flexible/dp/B0BWTZR72Z/ref=sr_1_3?keywords=Cambridge+3%2F4%22+PVC+Liquid+Tight+Conduit+Fitting+-+Straight&amp;qid=1695173710&amp;sr=8-3")</f>
        <v>https://www.amazon.com/Connector-Non-Metallic-Electrical-Fittings-Flexible/dp/B0BWTZR72Z/ref=sr_1_3?keywords=Cambridge+3%2F4%22+PVC+Liquid+Tight+Conduit+Fitting+-+Straight&amp;qid=1695173710&amp;sr=8-3</v>
      </c>
      <c r="F584" t="s">
        <v>1342</v>
      </c>
      <c r="G584" t="e">
        <f ca="1">_xludf.IMAGE("https://edmondsonsupply.com/cdn/shop/files/W14656_01.jpg?v=1692277615")</f>
        <v>#NAME?</v>
      </c>
      <c r="H584" t="e">
        <f ca="1">_xludf.IMAGE("https://m.media-amazon.com/images/I/714VhrQG2fL._AC_UL320_.jpg")</f>
        <v>#NAME?</v>
      </c>
      <c r="I584" t="s">
        <v>1343</v>
      </c>
      <c r="J584">
        <v>99.99</v>
      </c>
      <c r="K584" s="4">
        <v>65.66</v>
      </c>
      <c r="L584">
        <v>5</v>
      </c>
      <c r="M584">
        <v>6</v>
      </c>
      <c r="O584" t="s">
        <v>25</v>
      </c>
      <c r="P584" t="s">
        <v>138</v>
      </c>
      <c r="Q584" t="s">
        <v>1344</v>
      </c>
    </row>
    <row r="585" spans="1:17" ht="15.5" x14ac:dyDescent="0.35">
      <c r="A585"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585" s="3" t="str">
        <f>HYPERLINK("https://edmondsonsupply.com/products/cambridge-1-2-pvc-liquid-tight-conduit-fitting-90-degree", "https://edmondsonsupply.com/products/cambridge-1-2-pvc-liquid-tight-conduit-fitting-90-degree")</f>
        <v>https://edmondsonsupply.com/products/cambridge-1-2-pvc-liquid-tight-conduit-fitting-90-degree</v>
      </c>
      <c r="C585" t="s">
        <v>1345</v>
      </c>
      <c r="D585" t="s">
        <v>1346</v>
      </c>
      <c r="E585" s="3" t="str">
        <f>HYPERLINK("https://www.amazon.com/Connector-Nonmetallic-Electrical-Fittings-Flexible/dp/B0C282NCDC/ref=sr_1_4?keywords=Cambridge+1%2F2%22+PVC+Liquid+Tight+Conduit+Fitting+-+90+Degree&amp;qid=1695173714&amp;sr=8-4", "https://www.amazon.com/Connector-Nonmetallic-Electrical-Fittings-Flexible/dp/B0C282NCDC/ref=sr_1_4?keywords=Cambridge+1%2F2%22+PVC+Liquid+Tight+Conduit+Fitting+-+90+Degree&amp;qid=1695173714&amp;sr=8-4")</f>
        <v>https://www.amazon.com/Connector-Nonmetallic-Electrical-Fittings-Flexible/dp/B0C282NCDC/ref=sr_1_4?keywords=Cambridge+1%2F2%22+PVC+Liquid+Tight+Conduit+Fitting+-+90+Degree&amp;qid=1695173714&amp;sr=8-4</v>
      </c>
      <c r="F585" t="s">
        <v>1347</v>
      </c>
      <c r="G585" t="e">
        <f ca="1">_xludf.IMAGE("https://edmondsonsupply.com/cdn/shop/files/W14659_01.jpg?v=1692278106")</f>
        <v>#NAME?</v>
      </c>
      <c r="H585" t="e">
        <f ca="1">_xludf.IMAGE("https://m.media-amazon.com/images/I/81GCJT7neDL._AC_UL320_.jpg")</f>
        <v>#NAME?</v>
      </c>
      <c r="I585" t="s">
        <v>1348</v>
      </c>
      <c r="J585">
        <v>81.99</v>
      </c>
      <c r="K585" s="4">
        <v>54.398600000000002</v>
      </c>
      <c r="L585">
        <v>5</v>
      </c>
      <c r="M585">
        <v>6</v>
      </c>
      <c r="O585" t="s">
        <v>25</v>
      </c>
      <c r="P585" t="s">
        <v>138</v>
      </c>
      <c r="Q585" t="s">
        <v>1349</v>
      </c>
    </row>
    <row r="586" spans="1:17" ht="15.5" x14ac:dyDescent="0.35">
      <c r="A586"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86" s="3" t="str">
        <f>HYPERLINK("https://edmondsonsupply.com/products/cambridge-3-4-pvc-liquid-tight-conduit-fitting-straight", "https://edmondsonsupply.com/products/cambridge-3-4-pvc-liquid-tight-conduit-fitting-straight")</f>
        <v>https://edmondsonsupply.com/products/cambridge-3-4-pvc-liquid-tight-conduit-fitting-straight</v>
      </c>
      <c r="C586" t="s">
        <v>1340</v>
      </c>
      <c r="D586" t="s">
        <v>1350</v>
      </c>
      <c r="E586" s="3" t="str">
        <f>HYPERLINK("https://www.amazon.com/Connector-Non-Metallic-Electrical-Fittings-Flexible/dp/B0B76D3XQX/ref=sr_1_6?keywords=Cambridge+3%2F4%22+PVC+Liquid+Tight+Conduit+Fitting+-+Straight&amp;qid=1695173710&amp;sr=8-6", "https://www.amazon.com/Connector-Non-Metallic-Electrical-Fittings-Flexible/dp/B0B76D3XQX/ref=sr_1_6?keywords=Cambridge+3%2F4%22+PVC+Liquid+Tight+Conduit+Fitting+-+Straight&amp;qid=1695173710&amp;sr=8-6")</f>
        <v>https://www.amazon.com/Connector-Non-Metallic-Electrical-Fittings-Flexible/dp/B0B76D3XQX/ref=sr_1_6?keywords=Cambridge+3%2F4%22+PVC+Liquid+Tight+Conduit+Fitting+-+Straight&amp;qid=1695173710&amp;sr=8-6</v>
      </c>
      <c r="F586" t="s">
        <v>1351</v>
      </c>
      <c r="G586" t="e">
        <f ca="1">_xludf.IMAGE("https://edmondsonsupply.com/cdn/shop/files/W14656_01.jpg?v=1692277615")</f>
        <v>#NAME?</v>
      </c>
      <c r="H586" t="e">
        <f ca="1">_xludf.IMAGE("https://m.media-amazon.com/images/I/71DWeG-B51L._AC_UL320_.jpg")</f>
        <v>#NAME?</v>
      </c>
      <c r="I586" t="s">
        <v>1343</v>
      </c>
      <c r="J586">
        <v>55.99</v>
      </c>
      <c r="K586" s="4">
        <v>36.326700000000002</v>
      </c>
      <c r="L586">
        <v>4.5999999999999996</v>
      </c>
      <c r="M586">
        <v>24</v>
      </c>
      <c r="O586" t="s">
        <v>25</v>
      </c>
      <c r="P586" t="s">
        <v>138</v>
      </c>
      <c r="Q586" t="s">
        <v>1344</v>
      </c>
    </row>
    <row r="587" spans="1:17" ht="15.5" x14ac:dyDescent="0.35">
      <c r="A587"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587" s="3" t="str">
        <f>HYPERLINK("https://edmondsonsupply.com/products/cambridge-1-2-pvc-liquid-tight-conduit-fitting-straight", "https://edmondsonsupply.com/products/cambridge-1-2-pvc-liquid-tight-conduit-fitting-straight")</f>
        <v>https://edmondsonsupply.com/products/cambridge-1-2-pvc-liquid-tight-conduit-fitting-straight</v>
      </c>
      <c r="C587" t="s">
        <v>1352</v>
      </c>
      <c r="D587" t="s">
        <v>1353</v>
      </c>
      <c r="E587" s="3" t="str">
        <f>HYPERLINK("https://www.amazon.com/Connector-Straight-Fittings-Included-Electrical/dp/B0BS3SQ16M/ref=sr_1_10?keywords=Cambridge+1%2F2%22+PVC+Liquid+Tight+Conduit+Fitting+-+Straight&amp;qid=1695173710&amp;sr=8-10", "https://www.amazon.com/Connector-Straight-Fittings-Included-Electrical/dp/B0BS3SQ16M/ref=sr_1_10?keywords=Cambridge+1%2F2%22+PVC+Liquid+Tight+Conduit+Fitting+-+Straight&amp;qid=1695173710&amp;sr=8-10")</f>
        <v>https://www.amazon.com/Connector-Straight-Fittings-Included-Electrical/dp/B0BS3SQ16M/ref=sr_1_10?keywords=Cambridge+1%2F2%22+PVC+Liquid+Tight+Conduit+Fitting+-+Straight&amp;qid=1695173710&amp;sr=8-10</v>
      </c>
      <c r="F587" t="s">
        <v>1354</v>
      </c>
      <c r="G587" t="e">
        <f ca="1">_xludf.IMAGE("https://edmondsonsupply.com/cdn/shop/files/W14658_01.jpg?v=1692277178")</f>
        <v>#NAME?</v>
      </c>
      <c r="H587" t="e">
        <f ca="1">_xludf.IMAGE("https://m.media-amazon.com/images/I/71zyWpGSWWL._AC_UL320_.jpg")</f>
        <v>#NAME?</v>
      </c>
      <c r="I587" t="s">
        <v>1355</v>
      </c>
      <c r="J587">
        <v>42.99</v>
      </c>
      <c r="K587" s="4">
        <v>35.126100000000001</v>
      </c>
      <c r="L587">
        <v>5</v>
      </c>
      <c r="M587">
        <v>7</v>
      </c>
      <c r="O587" t="s">
        <v>25</v>
      </c>
      <c r="P587" t="s">
        <v>138</v>
      </c>
      <c r="Q587" t="s">
        <v>1356</v>
      </c>
    </row>
    <row r="588" spans="1:17" ht="15.5" x14ac:dyDescent="0.35">
      <c r="A588"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588" s="3" t="str">
        <f>HYPERLINK("https://edmondsonsupply.com/products/cambridge-1-2-pvc-liquid-tight-conduit-fitting-90-degree", "https://edmondsonsupply.com/products/cambridge-1-2-pvc-liquid-tight-conduit-fitting-90-degree")</f>
        <v>https://edmondsonsupply.com/products/cambridge-1-2-pvc-liquid-tight-conduit-fitting-90-degree</v>
      </c>
      <c r="C588" t="s">
        <v>1345</v>
      </c>
      <c r="D588" t="s">
        <v>1357</v>
      </c>
      <c r="E588" s="3" t="str">
        <f>HYPERLINK("https://www.amazon.com/Connector-Electrical-Fittings-Straight-Flexible/dp/B0BQ728PVW/ref=sr_1_3?keywords=Cambridge+1%2F2%22+PVC+Liquid+Tight+Conduit+Fitting+-+90+Degree&amp;qid=1695173714&amp;sr=8-3", "https://www.amazon.com/Connector-Electrical-Fittings-Straight-Flexible/dp/B0BQ728PVW/ref=sr_1_3?keywords=Cambridge+1%2F2%22+PVC+Liquid+Tight+Conduit+Fitting+-+90+Degree&amp;qid=1695173714&amp;sr=8-3")</f>
        <v>https://www.amazon.com/Connector-Electrical-Fittings-Straight-Flexible/dp/B0BQ728PVW/ref=sr_1_3?keywords=Cambridge+1%2F2%22+PVC+Liquid+Tight+Conduit+Fitting+-+90+Degree&amp;qid=1695173714&amp;sr=8-3</v>
      </c>
      <c r="F588" t="s">
        <v>1358</v>
      </c>
      <c r="G588" t="e">
        <f ca="1">_xludf.IMAGE("https://edmondsonsupply.com/cdn/shop/files/W14659_01.jpg?v=1692278106")</f>
        <v>#NAME?</v>
      </c>
      <c r="H588" t="e">
        <f ca="1">_xludf.IMAGE("https://m.media-amazon.com/images/I/71vE2ThH+kL._AC_UL320_.jpg")</f>
        <v>#NAME?</v>
      </c>
      <c r="I588" t="s">
        <v>1348</v>
      </c>
      <c r="J588">
        <v>37.99</v>
      </c>
      <c r="K588" s="4">
        <v>24.668900000000001</v>
      </c>
      <c r="L588">
        <v>5</v>
      </c>
      <c r="M588">
        <v>6</v>
      </c>
      <c r="O588" t="s">
        <v>25</v>
      </c>
      <c r="P588" t="s">
        <v>138</v>
      </c>
      <c r="Q588" t="s">
        <v>1349</v>
      </c>
    </row>
    <row r="589" spans="1:17" ht="15.5" x14ac:dyDescent="0.35">
      <c r="A589" s="3" t="str">
        <f>HYPERLINK("https://edmondsonsupply.com/collections/hvac/products/klein-tools-60177-breakaway-lanyard-for-safety-glasses", "https://edmondsonsupply.com/collections/hvac/products/klein-tools-60177-breakaway-lanyard-for-safety-glasses")</f>
        <v>https://edmondsonsupply.com/collections/hvac/products/klein-tools-60177-breakaway-lanyard-for-safety-glasses</v>
      </c>
      <c r="B589" s="3" t="str">
        <f>HYPERLINK("https://edmondsonsupply.com/products/klein-tools-60177-breakaway-lanyard-for-safety-glasses", "https://edmondsonsupply.com/products/klein-tools-60177-breakaway-lanyard-for-safety-glasses")</f>
        <v>https://edmondsonsupply.com/products/klein-tools-60177-breakaway-lanyard-for-safety-glasses</v>
      </c>
      <c r="C589" t="s">
        <v>815</v>
      </c>
      <c r="D589" t="s">
        <v>816</v>
      </c>
      <c r="E589" s="3" t="str">
        <f>HYPERLINK("https://www.amazon.com/Klein-80055-Glasses-Professional-Breakaway/dp/B09HR9RV4H/ref=sr_1_2?keywords=Klein+Tools+60177+Breakaway+Lanyard+for+Safety+Glasses&amp;qid=1695173531&amp;sr=8-2", "https://www.amazon.com/Klein-80055-Glasses-Professional-Breakaway/dp/B09HR9RV4H/ref=sr_1_2?keywords=Klein+Tools+60177+Breakaway+Lanyard+for+Safety+Glasses&amp;qid=1695173531&amp;sr=8-2")</f>
        <v>https://www.amazon.com/Klein-80055-Glasses-Professional-Breakaway/dp/B09HR9RV4H/ref=sr_1_2?keywords=Klein+Tools+60177+Breakaway+Lanyard+for+Safety+Glasses&amp;qid=1695173531&amp;sr=8-2</v>
      </c>
      <c r="F589" t="s">
        <v>817</v>
      </c>
      <c r="G589" t="e">
        <f ca="1">_xludf.IMAGE("https://edmondsonsupply.com/cdn/shop/products/60177.jpg?v=1633030858")</f>
        <v>#NAME?</v>
      </c>
      <c r="H589" t="e">
        <f ca="1">_xludf.IMAGE("https://m.media-amazon.com/images/I/61L5l7dmmiL._AC_UL320_.jpg")</f>
        <v>#NAME?</v>
      </c>
      <c r="I589" t="s">
        <v>818</v>
      </c>
      <c r="J589">
        <v>49.99</v>
      </c>
      <c r="K589" s="4">
        <v>24.1206</v>
      </c>
      <c r="L589">
        <v>4.5</v>
      </c>
      <c r="M589">
        <v>13</v>
      </c>
      <c r="O589" t="s">
        <v>25</v>
      </c>
      <c r="P589" t="s">
        <v>819</v>
      </c>
      <c r="Q589" t="s">
        <v>820</v>
      </c>
    </row>
    <row r="590" spans="1:17" ht="15.5" x14ac:dyDescent="0.35">
      <c r="A590"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90" s="3" t="str">
        <f>HYPERLINK("https://edmondsonsupply.com/products/cambridge-3-4-pvc-liquid-tight-conduit-fitting-straight", "https://edmondsonsupply.com/products/cambridge-3-4-pvc-liquid-tight-conduit-fitting-straight")</f>
        <v>https://edmondsonsupply.com/products/cambridge-3-4-pvc-liquid-tight-conduit-fitting-straight</v>
      </c>
      <c r="C590" t="s">
        <v>1340</v>
      </c>
      <c r="D590" t="s">
        <v>1359</v>
      </c>
      <c r="E590" s="3" t="str">
        <f>HYPERLINK("https://www.amazon.com/Yaomiao-Connector-Electrical-Fittings-Metallic/dp/B0C3LGVCB2/ref=sr_1_7?keywords=Cambridge+3%2F4%22+PVC+Liquid+Tight+Conduit+Fitting+-+Straight&amp;qid=1695173710&amp;sr=8-7", "https://www.amazon.com/Yaomiao-Connector-Electrical-Fittings-Metallic/dp/B0C3LGVCB2/ref=sr_1_7?keywords=Cambridge+3%2F4%22+PVC+Liquid+Tight+Conduit+Fitting+-+Straight&amp;qid=1695173710&amp;sr=8-7")</f>
        <v>https://www.amazon.com/Yaomiao-Connector-Electrical-Fittings-Metallic/dp/B0C3LGVCB2/ref=sr_1_7?keywords=Cambridge+3%2F4%22+PVC+Liquid+Tight+Conduit+Fitting+-+Straight&amp;qid=1695173710&amp;sr=8-7</v>
      </c>
      <c r="F590" t="s">
        <v>1360</v>
      </c>
      <c r="G590" t="e">
        <f ca="1">_xludf.IMAGE("https://edmondsonsupply.com/cdn/shop/files/W14656_01.jpg?v=1692277615")</f>
        <v>#NAME?</v>
      </c>
      <c r="H590" t="e">
        <f ca="1">_xludf.IMAGE("https://m.media-amazon.com/images/I/714BhaNaTLL._AC_UL320_.jpg")</f>
        <v>#NAME?</v>
      </c>
      <c r="I590" t="s">
        <v>1343</v>
      </c>
      <c r="J590">
        <v>34.99</v>
      </c>
      <c r="K590" s="4">
        <v>22.326699999999999</v>
      </c>
      <c r="L590">
        <v>5</v>
      </c>
      <c r="M590">
        <v>3</v>
      </c>
      <c r="O590" t="s">
        <v>25</v>
      </c>
      <c r="P590" t="s">
        <v>138</v>
      </c>
      <c r="Q590" t="s">
        <v>1344</v>
      </c>
    </row>
    <row r="591" spans="1:17" ht="15.5" x14ac:dyDescent="0.35">
      <c r="A591"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591" s="3" t="str">
        <f>HYPERLINK("https://edmondsonsupply.com/products/cambridge-1-2-pvc-liquid-tight-conduit-fitting-90-degree", "https://edmondsonsupply.com/products/cambridge-1-2-pvc-liquid-tight-conduit-fitting-90-degree")</f>
        <v>https://edmondsonsupply.com/products/cambridge-1-2-pvc-liquid-tight-conduit-fitting-90-degree</v>
      </c>
      <c r="C591" t="s">
        <v>1345</v>
      </c>
      <c r="D591" t="s">
        <v>1361</v>
      </c>
      <c r="E591" s="3" t="str">
        <f>HYPERLINK("https://www.amazon.com/Connector-Flexible-Metallic-Electrical-Fittings/dp/B0BGR7DWR5/ref=sr_1_9?keywords=Cambridge+1%2F2%22+PVC+Liquid+Tight+Conduit+Fitting+-+90+Degree&amp;qid=1695173714&amp;sr=8-9", "https://www.amazon.com/Connector-Flexible-Metallic-Electrical-Fittings/dp/B0BGR7DWR5/ref=sr_1_9?keywords=Cambridge+1%2F2%22+PVC+Liquid+Tight+Conduit+Fitting+-+90+Degree&amp;qid=1695173714&amp;sr=8-9")</f>
        <v>https://www.amazon.com/Connector-Flexible-Metallic-Electrical-Fittings/dp/B0BGR7DWR5/ref=sr_1_9?keywords=Cambridge+1%2F2%22+PVC+Liquid+Tight+Conduit+Fitting+-+90+Degree&amp;qid=1695173714&amp;sr=8-9</v>
      </c>
      <c r="F591" t="s">
        <v>1362</v>
      </c>
      <c r="G591" t="e">
        <f ca="1">_xludf.IMAGE("https://edmondsonsupply.com/cdn/shop/files/W14659_01.jpg?v=1692278106")</f>
        <v>#NAME?</v>
      </c>
      <c r="H591" t="e">
        <f ca="1">_xludf.IMAGE("https://m.media-amazon.com/images/I/71zhn+CbHML._AC_UL320_.jpg")</f>
        <v>#NAME?</v>
      </c>
      <c r="I591" t="s">
        <v>1348</v>
      </c>
      <c r="J591">
        <v>31.99</v>
      </c>
      <c r="K591" s="4">
        <v>20.614899999999999</v>
      </c>
      <c r="L591">
        <v>4.5999999999999996</v>
      </c>
      <c r="M591">
        <v>24</v>
      </c>
      <c r="O591" t="s">
        <v>25</v>
      </c>
      <c r="P591" t="s">
        <v>138</v>
      </c>
      <c r="Q591" t="s">
        <v>1349</v>
      </c>
    </row>
    <row r="592" spans="1:17" ht="15.5" x14ac:dyDescent="0.35">
      <c r="A592"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592" s="3" t="str">
        <f>HYPERLINK("https://edmondsonsupply.com/products/cambridge-1-2-pvc-liquid-tight-conduit-fitting-straight", "https://edmondsonsupply.com/products/cambridge-1-2-pvc-liquid-tight-conduit-fitting-straight")</f>
        <v>https://edmondsonsupply.com/products/cambridge-1-2-pvc-liquid-tight-conduit-fitting-straight</v>
      </c>
      <c r="C592" t="s">
        <v>1352</v>
      </c>
      <c r="D592" t="s">
        <v>1363</v>
      </c>
      <c r="E592" s="3" t="str">
        <f>HYPERLINK("https://www.amazon.com/Neorexon-Conduit-Connector-2inch-25ft/dp/B0BJKD7KNP/ref=sr_1_4?keywords=Cambridge+1%2F2%22+PVC+Liquid+Tight+Conduit+Fitting+-+Straight&amp;qid=1695173710&amp;sr=8-4", "https://www.amazon.com/Neorexon-Conduit-Connector-2inch-25ft/dp/B0BJKD7KNP/ref=sr_1_4?keywords=Cambridge+1%2F2%22+PVC+Liquid+Tight+Conduit+Fitting+-+Straight&amp;qid=1695173710&amp;sr=8-4")</f>
        <v>https://www.amazon.com/Neorexon-Conduit-Connector-2inch-25ft/dp/B0BJKD7KNP/ref=sr_1_4?keywords=Cambridge+1%2F2%22+PVC+Liquid+Tight+Conduit+Fitting+-+Straight&amp;qid=1695173710&amp;sr=8-4</v>
      </c>
      <c r="F592" t="s">
        <v>1364</v>
      </c>
      <c r="G592" t="e">
        <f ca="1">_xludf.IMAGE("https://edmondsonsupply.com/cdn/shop/files/W14658_01.jpg?v=1692277178")</f>
        <v>#NAME?</v>
      </c>
      <c r="H592" t="e">
        <f ca="1">_xludf.IMAGE("https://m.media-amazon.com/images/I/712k85eDRqL._AC_UL320_.jpg")</f>
        <v>#NAME?</v>
      </c>
      <c r="I592" t="s">
        <v>1355</v>
      </c>
      <c r="J592">
        <v>24.99</v>
      </c>
      <c r="K592" s="4">
        <v>20</v>
      </c>
      <c r="L592">
        <v>4.5999999999999996</v>
      </c>
      <c r="M592">
        <v>52</v>
      </c>
      <c r="O592" t="s">
        <v>25</v>
      </c>
      <c r="P592" t="s">
        <v>138</v>
      </c>
      <c r="Q592" t="s">
        <v>1356</v>
      </c>
    </row>
    <row r="593" spans="1:17" ht="15.5" x14ac:dyDescent="0.35">
      <c r="A593" s="3" t="str">
        <f>HYPERLINK("https://edmondsonsupply.com/collections/hvac/products/cambridge-1-4-o-d-acr-copper-90-long-turn-elbow", "https://edmondsonsupply.com/collections/hvac/products/cambridge-1-4-o-d-acr-copper-90-long-turn-elbow")</f>
        <v>https://edmondsonsupply.com/collections/hvac/products/cambridge-1-4-o-d-acr-copper-90-long-turn-elbow</v>
      </c>
      <c r="B593" s="3" t="str">
        <f>HYPERLINK("https://edmondsonsupply.com/products/cambridge-1-4-o-d-acr-copper-90-long-turn-elbow", "https://edmondsonsupply.com/products/cambridge-1-4-o-d-acr-copper-90-long-turn-elbow")</f>
        <v>https://edmondsonsupply.com/products/cambridge-1-4-o-d-acr-copper-90-long-turn-elbow</v>
      </c>
      <c r="C593" t="s">
        <v>1365</v>
      </c>
      <c r="D593" t="s">
        <v>1366</v>
      </c>
      <c r="E593" s="3" t="str">
        <f>HYPERLINK("https://www.amazon.com/Wrot-Copper-Elbow-PAKA-TOOLS/dp/B09DXNF2ZH/ref=sr_1_1?keywords=Cambridge+1%2F4%22+O.D.+ACR+Copper+90%C2%B0+Long+Turn+Elbow&amp;qid=1695173709&amp;sr=8-1", "https://www.amazon.com/Wrot-Copper-Elbow-PAKA-TOOLS/dp/B09DXNF2ZH/ref=sr_1_1?keywords=Cambridge+1%2F4%22+O.D.+ACR+Copper+90%C2%B0+Long+Turn+Elbow&amp;qid=1695173709&amp;sr=8-1")</f>
        <v>https://www.amazon.com/Wrot-Copper-Elbow-PAKA-TOOLS/dp/B09DXNF2ZH/ref=sr_1_1?keywords=Cambridge+1%2F4%22+O.D.+ACR+Copper+90%C2%B0+Long+Turn+Elbow&amp;qid=1695173709&amp;sr=8-1</v>
      </c>
      <c r="F593" t="s">
        <v>1367</v>
      </c>
      <c r="G593" t="e">
        <f ca="1">_xludf.IMAGE("https://edmondsonsupply.com/cdn/shop/files/ACR90LongTurnElbows_01.jpg?v=1692626799")</f>
        <v>#NAME?</v>
      </c>
      <c r="H593" t="e">
        <f ca="1">_xludf.IMAGE("https://m.media-amazon.com/images/I/317gXsjrfSL._AC_UY218_.jpg")</f>
        <v>#NAME?</v>
      </c>
      <c r="I593" t="s">
        <v>1368</v>
      </c>
      <c r="J593">
        <v>17.989999999999998</v>
      </c>
      <c r="K593" s="4">
        <v>19.2135</v>
      </c>
      <c r="L593">
        <v>5</v>
      </c>
      <c r="M593">
        <v>1</v>
      </c>
      <c r="O593" t="s">
        <v>25</v>
      </c>
      <c r="P593" t="s">
        <v>138</v>
      </c>
      <c r="Q593" t="s">
        <v>1369</v>
      </c>
    </row>
    <row r="594" spans="1:17" ht="15.5" x14ac:dyDescent="0.35">
      <c r="A594"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594" s="3" t="str">
        <f>HYPERLINK("https://edmondsonsupply.com/products/cambridge-3-4-pvc-liquid-tight-conduit-fitting-90-degree", "https://edmondsonsupply.com/products/cambridge-3-4-pvc-liquid-tight-conduit-fitting-90-degree")</f>
        <v>https://edmondsonsupply.com/products/cambridge-3-4-pvc-liquid-tight-conduit-fitting-90-degree</v>
      </c>
      <c r="C594" t="s">
        <v>1370</v>
      </c>
      <c r="D594" t="s">
        <v>1371</v>
      </c>
      <c r="E594" s="3" t="str">
        <f>HYPERLINK("https://www.amazon.com/Connector-Metallic-Electrical-Conduit-Fittings/dp/B0B5TYFB73/ref=sr_1_3?keywords=Cambridge+3%2F4%22+PVC+Liquid+Tight+Conduit+Fitting+-+90+Degree&amp;qid=1695173711&amp;sr=8-3", "https://www.amazon.com/Connector-Metallic-Electrical-Conduit-Fittings/dp/B0B5TYFB73/ref=sr_1_3?keywords=Cambridge+3%2F4%22+PVC+Liquid+Tight+Conduit+Fitting+-+90+Degree&amp;qid=1695173711&amp;sr=8-3")</f>
        <v>https://www.amazon.com/Connector-Metallic-Electrical-Conduit-Fittings/dp/B0B5TYFB73/ref=sr_1_3?keywords=Cambridge+3%2F4%22+PVC+Liquid+Tight+Conduit+Fitting+-+90+Degree&amp;qid=1695173711&amp;sr=8-3</v>
      </c>
      <c r="F594" t="s">
        <v>1372</v>
      </c>
      <c r="G594" t="e">
        <f ca="1">_xludf.IMAGE("https://edmondsonsupply.com/cdn/shop/files/W14657_01.jpg?v=1692278537")</f>
        <v>#NAME?</v>
      </c>
      <c r="H594" t="e">
        <f ca="1">_xludf.IMAGE("https://m.media-amazon.com/images/I/81Q8m-JjN0L._AC_UL320_.jpg")</f>
        <v>#NAME?</v>
      </c>
      <c r="I594" t="s">
        <v>1373</v>
      </c>
      <c r="J594">
        <v>35.99</v>
      </c>
      <c r="K594" s="4">
        <v>18.994399999999999</v>
      </c>
      <c r="L594">
        <v>5</v>
      </c>
      <c r="M594">
        <v>14</v>
      </c>
      <c r="O594" t="s">
        <v>25</v>
      </c>
      <c r="P594" t="s">
        <v>138</v>
      </c>
      <c r="Q594" t="s">
        <v>1374</v>
      </c>
    </row>
    <row r="595" spans="1:17" ht="15.5" x14ac:dyDescent="0.35">
      <c r="A595"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95" s="3" t="str">
        <f>HYPERLINK("https://edmondsonsupply.com/products/cambridge-3-4-pvc-liquid-tight-conduit-fitting-straight", "https://edmondsonsupply.com/products/cambridge-3-4-pvc-liquid-tight-conduit-fitting-straight")</f>
        <v>https://edmondsonsupply.com/products/cambridge-3-4-pvc-liquid-tight-conduit-fitting-straight</v>
      </c>
      <c r="C595" t="s">
        <v>1340</v>
      </c>
      <c r="D595" t="s">
        <v>1375</v>
      </c>
      <c r="E595" s="3" t="str">
        <f>HYPERLINK("https://www.amazon.com/Liquid-Tight-Connector-Flexible-Metallic-Electrical/dp/B0C7QVWQ2X/ref=sr_1_2?keywords=Cambridge+3%2F4%22+PVC+Liquid+Tight+Conduit+Fitting+-+Straight&amp;qid=1695173710&amp;sr=8-2", "https://www.amazon.com/Liquid-Tight-Connector-Flexible-Metallic-Electrical/dp/B0C7QVWQ2X/ref=sr_1_2?keywords=Cambridge+3%2F4%22+PVC+Liquid+Tight+Conduit+Fitting+-+Straight&amp;qid=1695173710&amp;sr=8-2")</f>
        <v>https://www.amazon.com/Liquid-Tight-Connector-Flexible-Metallic-Electrical/dp/B0C7QVWQ2X/ref=sr_1_2?keywords=Cambridge+3%2F4%22+PVC+Liquid+Tight+Conduit+Fitting+-+Straight&amp;qid=1695173710&amp;sr=8-2</v>
      </c>
      <c r="F595" t="s">
        <v>1376</v>
      </c>
      <c r="G595" t="e">
        <f ca="1">_xludf.IMAGE("https://edmondsonsupply.com/cdn/shop/files/W14656_01.jpg?v=1692277615")</f>
        <v>#NAME?</v>
      </c>
      <c r="H595" t="e">
        <f ca="1">_xludf.IMAGE("https://m.media-amazon.com/images/I/718juYAoBJL._AC_UL320_.jpg")</f>
        <v>#NAME?</v>
      </c>
      <c r="I595" t="s">
        <v>1343</v>
      </c>
      <c r="J595">
        <v>27.99</v>
      </c>
      <c r="K595" s="4">
        <v>17.66</v>
      </c>
      <c r="L595">
        <v>3</v>
      </c>
      <c r="M595">
        <v>4</v>
      </c>
      <c r="O595" t="s">
        <v>25</v>
      </c>
      <c r="P595" t="s">
        <v>138</v>
      </c>
      <c r="Q595" t="s">
        <v>1344</v>
      </c>
    </row>
    <row r="596" spans="1:17" ht="15.5" x14ac:dyDescent="0.35">
      <c r="A596"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96" s="3" t="str">
        <f>HYPERLINK("https://edmondsonsupply.com/products/cambridge-3-4-pvc-liquid-tight-conduit-fitting-straight", "https://edmondsonsupply.com/products/cambridge-3-4-pvc-liquid-tight-conduit-fitting-straight")</f>
        <v>https://edmondsonsupply.com/products/cambridge-3-4-pvc-liquid-tight-conduit-fitting-straight</v>
      </c>
      <c r="C596" t="s">
        <v>1340</v>
      </c>
      <c r="D596" t="s">
        <v>1377</v>
      </c>
      <c r="E596" s="3" t="str">
        <f>HYPERLINK("https://www.amazon.com/Liquid-Tight-Conduit-Flexible-Electrical-Included/dp/B0B7R6R75T/ref=sr_1_4?keywords=Cambridge+3%2F4%22+PVC+Liquid+Tight+Conduit+Fitting+-+Straight&amp;qid=1695173710&amp;sr=8-4", "https://www.amazon.com/Liquid-Tight-Conduit-Flexible-Electrical-Included/dp/B0B7R6R75T/ref=sr_1_4?keywords=Cambridge+3%2F4%22+PVC+Liquid+Tight+Conduit+Fitting+-+Straight&amp;qid=1695173710&amp;sr=8-4")</f>
        <v>https://www.amazon.com/Liquid-Tight-Conduit-Flexible-Electrical-Included/dp/B0B7R6R75T/ref=sr_1_4?keywords=Cambridge+3%2F4%22+PVC+Liquid+Tight+Conduit+Fitting+-+Straight&amp;qid=1695173710&amp;sr=8-4</v>
      </c>
      <c r="F596" t="s">
        <v>1378</v>
      </c>
      <c r="G596" t="e">
        <f ca="1">_xludf.IMAGE("https://edmondsonsupply.com/cdn/shop/files/W14656_01.jpg?v=1692277615")</f>
        <v>#NAME?</v>
      </c>
      <c r="H596" t="e">
        <f ca="1">_xludf.IMAGE("https://m.media-amazon.com/images/I/91qnk8RhHWL._AC_UL320_.jpg")</f>
        <v>#NAME?</v>
      </c>
      <c r="I596" t="s">
        <v>1343</v>
      </c>
      <c r="J596">
        <v>26.99</v>
      </c>
      <c r="K596" s="4">
        <v>16.993300000000001</v>
      </c>
      <c r="L596">
        <v>4.5999999999999996</v>
      </c>
      <c r="M596">
        <v>149</v>
      </c>
      <c r="O596" t="s">
        <v>25</v>
      </c>
      <c r="P596" t="s">
        <v>138</v>
      </c>
      <c r="Q596" t="s">
        <v>1344</v>
      </c>
    </row>
    <row r="597" spans="1:17" ht="15.5" x14ac:dyDescent="0.35">
      <c r="A597"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97" s="3" t="str">
        <f>HYPERLINK("https://edmondsonsupply.com/products/cambridge-3-4-pvc-liquid-tight-conduit-fitting-straight", "https://edmondsonsupply.com/products/cambridge-3-4-pvc-liquid-tight-conduit-fitting-straight")</f>
        <v>https://edmondsonsupply.com/products/cambridge-3-4-pvc-liquid-tight-conduit-fitting-straight</v>
      </c>
      <c r="C597" t="s">
        <v>1340</v>
      </c>
      <c r="D597" t="s">
        <v>1379</v>
      </c>
      <c r="E597" s="3" t="str">
        <f>HYPERLINK("https://www.amazon.com/Feotech-Liquid-Tight-Conduit-Connector-Kit/dp/B0BY7SYDFJ/ref=sr_1_9?keywords=Cambridge+3%2F4%22+PVC+Liquid+Tight+Conduit+Fitting+-+Straight&amp;qid=1695173710&amp;sr=8-9", "https://www.amazon.com/Feotech-Liquid-Tight-Conduit-Connector-Kit/dp/B0BY7SYDFJ/ref=sr_1_9?keywords=Cambridge+3%2F4%22+PVC+Liquid+Tight+Conduit+Fitting+-+Straight&amp;qid=1695173710&amp;sr=8-9")</f>
        <v>https://www.amazon.com/Feotech-Liquid-Tight-Conduit-Connector-Kit/dp/B0BY7SYDFJ/ref=sr_1_9?keywords=Cambridge+3%2F4%22+PVC+Liquid+Tight+Conduit+Fitting+-+Straight&amp;qid=1695173710&amp;sr=8-9</v>
      </c>
      <c r="F597" t="s">
        <v>1380</v>
      </c>
      <c r="G597" t="e">
        <f ca="1">_xludf.IMAGE("https://edmondsonsupply.com/cdn/shop/files/W14656_01.jpg?v=1692277615")</f>
        <v>#NAME?</v>
      </c>
      <c r="H597" t="e">
        <f ca="1">_xludf.IMAGE("https://m.media-amazon.com/images/I/71Qf7yCQMEL._AC_UL320_.jpg")</f>
        <v>#NAME?</v>
      </c>
      <c r="I597" t="s">
        <v>1343</v>
      </c>
      <c r="J597">
        <v>24.99</v>
      </c>
      <c r="K597" s="4">
        <v>15.66</v>
      </c>
      <c r="L597">
        <v>5</v>
      </c>
      <c r="M597">
        <v>1</v>
      </c>
      <c r="O597" t="s">
        <v>25</v>
      </c>
      <c r="P597" t="s">
        <v>138</v>
      </c>
      <c r="Q597" t="s">
        <v>1344</v>
      </c>
    </row>
    <row r="598" spans="1:17" ht="15.5" x14ac:dyDescent="0.35">
      <c r="A598"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598" s="3" t="str">
        <f>HYPERLINK("https://edmondsonsupply.com/products/cambridge-3-4-pvc-liquid-tight-conduit-fitting-straight", "https://edmondsonsupply.com/products/cambridge-3-4-pvc-liquid-tight-conduit-fitting-straight")</f>
        <v>https://edmondsonsupply.com/products/cambridge-3-4-pvc-liquid-tight-conduit-fitting-straight</v>
      </c>
      <c r="C598" t="s">
        <v>1340</v>
      </c>
      <c r="D598" t="s">
        <v>1381</v>
      </c>
      <c r="E598" s="3" t="str">
        <f>HYPERLINK("https://www.amazon.com/FirmiBang-Liquid-Tight-Connector-Non-Metallic/dp/B0BW5MGW55/ref=sr_1_5?keywords=Cambridge+3%2F4%22+PVC+Liquid+Tight+Conduit+Fitting+-+Straight&amp;qid=1695173710&amp;sr=8-5", "https://www.amazon.com/FirmiBang-Liquid-Tight-Connector-Non-Metallic/dp/B0BW5MGW55/ref=sr_1_5?keywords=Cambridge+3%2F4%22+PVC+Liquid+Tight+Conduit+Fitting+-+Straight&amp;qid=1695173710&amp;sr=8-5")</f>
        <v>https://www.amazon.com/FirmiBang-Liquid-Tight-Connector-Non-Metallic/dp/B0BW5MGW55/ref=sr_1_5?keywords=Cambridge+3%2F4%22+PVC+Liquid+Tight+Conduit+Fitting+-+Straight&amp;qid=1695173710&amp;sr=8-5</v>
      </c>
      <c r="F598" t="s">
        <v>1382</v>
      </c>
      <c r="G598" t="e">
        <f ca="1">_xludf.IMAGE("https://edmondsonsupply.com/cdn/shop/files/W14656_01.jpg?v=1692277615")</f>
        <v>#NAME?</v>
      </c>
      <c r="H598" t="e">
        <f ca="1">_xludf.IMAGE("https://m.media-amazon.com/images/I/71y5Z39AOmL._AC_UL320_.jpg")</f>
        <v>#NAME?</v>
      </c>
      <c r="I598" t="s">
        <v>1343</v>
      </c>
      <c r="J598">
        <v>24.99</v>
      </c>
      <c r="K598" s="4">
        <v>15.66</v>
      </c>
      <c r="L598">
        <v>4.8</v>
      </c>
      <c r="M598">
        <v>93</v>
      </c>
      <c r="O598" t="s">
        <v>25</v>
      </c>
      <c r="P598" t="s">
        <v>138</v>
      </c>
      <c r="Q598" t="s">
        <v>1344</v>
      </c>
    </row>
    <row r="599" spans="1:17" ht="15.5" x14ac:dyDescent="0.35">
      <c r="A599" s="3" t="str">
        <f>HYPERLINK("https://edmondsonsupply.com/collections/hvac/products/supco-bpv31-bullet%C2%AE-piercing-valve-1-4-5-16-3-8-o-d", "https://edmondsonsupply.com/collections/hvac/products/supco-bpv31-bullet%C2%AE-piercing-valve-1-4-5-16-3-8-o-d")</f>
        <v>https://edmondsonsupply.com/collections/hvac/products/supco-bpv31-bullet%C2%AE-piercing-valve-1-4-5-16-3-8-o-d</v>
      </c>
      <c r="B599" s="3" t="str">
        <f>HYPERLINK("https://edmondsonsupply.com/products/supco-bpv31-bullet%c2%ae-piercing-valve-1-4-5-16-3-8-o-d", "https://edmondsonsupply.com/products/supco-bpv31-bullet%c2%ae-piercing-valve-1-4-5-16-3-8-o-d")</f>
        <v>https://edmondsonsupply.com/products/supco-bpv31-bullet%c2%ae-piercing-valve-1-4-5-16-3-8-o-d</v>
      </c>
      <c r="C599" t="s">
        <v>1383</v>
      </c>
      <c r="D599" t="s">
        <v>1384</v>
      </c>
      <c r="E599" s="3" t="str">
        <f>HYPERLINK("https://www.amazon.com/SUPCO-BPV-31-Bullet-Piercing-Pressure/dp/B071GRBXNP/ref=sr_1_10?keywords=Supco+BPV31+BULLET%C2%AE+Piercing+Valve+-+1%2F4%22%2C+5%2F16+%26+3%2F8%22+O.D.&amp;qid=1695173399&amp;sr=8-10", "https://www.amazon.com/SUPCO-BPV-31-Bullet-Piercing-Pressure/dp/B071GRBXNP/ref=sr_1_10?keywords=Supco+BPV31+BULLET%C2%AE+Piercing+Valve+-+1%2F4%22%2C+5%2F16+%26+3%2F8%22+O.D.&amp;qid=1695173399&amp;sr=8-10")</f>
        <v>https://www.amazon.com/SUPCO-BPV-31-Bullet-Piercing-Pressure/dp/B071GRBXNP/ref=sr_1_10?keywords=Supco+BPV31+BULLET%C2%AE+Piercing+Valve+-+1%2F4%22%2C+5%2F16+%26+3%2F8%22+O.D.&amp;qid=1695173399&amp;sr=8-10</v>
      </c>
      <c r="F599" t="s">
        <v>1385</v>
      </c>
      <c r="G599" t="e">
        <f ca="1">_xludf.IMAGE("https://edmondsonsupply.com/cdn/shop/products/B11-039-2.jpg?v=1633030031")</f>
        <v>#NAME?</v>
      </c>
      <c r="H599" t="e">
        <f ca="1">_xludf.IMAGE("https://m.media-amazon.com/images/I/81om-uJujKL._AC_UY218_.jpg")</f>
        <v>#NAME?</v>
      </c>
      <c r="I599" t="s">
        <v>1386</v>
      </c>
      <c r="J599">
        <v>51.93</v>
      </c>
      <c r="K599" s="4">
        <v>13.8797</v>
      </c>
      <c r="L599">
        <v>4.5999999999999996</v>
      </c>
      <c r="M599">
        <v>194</v>
      </c>
      <c r="O599" t="s">
        <v>25</v>
      </c>
      <c r="P599" t="s">
        <v>138</v>
      </c>
      <c r="Q599" t="s">
        <v>1387</v>
      </c>
    </row>
    <row r="600" spans="1:17" ht="15.5" x14ac:dyDescent="0.35">
      <c r="A600" s="3" t="str">
        <f>HYPERLINK("https://edmondsonsupply.com/collections/hvac/products/klein-tools-55437-tradesman-pro%E2%84%A2-work-light", "https://edmondsonsupply.com/collections/hvac/products/klein-tools-55437-tradesman-pro%E2%84%A2-work-light")</f>
        <v>https://edmondsonsupply.com/collections/hvac/products/klein-tools-55437-tradesman-pro%E2%84%A2-work-light</v>
      </c>
      <c r="B600" s="3" t="str">
        <f>HYPERLINK("https://edmondsonsupply.com/products/klein-tools-55437-tradesman-pro%e2%84%a2-work-light", "https://edmondsonsupply.com/products/klein-tools-55437-tradesman-pro%e2%84%a2-work-light")</f>
        <v>https://edmondsonsupply.com/products/klein-tools-55437-tradesman-pro%e2%84%a2-work-light</v>
      </c>
      <c r="C600" t="s">
        <v>1388</v>
      </c>
      <c r="D600" t="s">
        <v>1389</v>
      </c>
      <c r="E600" s="3" t="str">
        <f>HYPERLINK("https://www.amazon.com/Klein-Tools-55473RTB-Rolling-Tradesman/dp/B0BC83F3HC/ref=sr_1_3?keywords=Klein+Tools+55437+Tradesman+Pro%E2%84%A2+Work+Light+%2F+Tool+Bag+Light+%2F+Cooler+Light&amp;qid=1695173666&amp;sr=8-3", "https://www.amazon.com/Klein-Tools-55473RTB-Rolling-Tradesman/dp/B0BC83F3HC/ref=sr_1_3?keywords=Klein+Tools+55437+Tradesman+Pro%E2%84%A2+Work+Light+%2F+Tool+Bag+Light+%2F+Cooler+Light&amp;qid=1695173666&amp;sr=8-3")</f>
        <v>https://www.amazon.com/Klein-Tools-55473RTB-Rolling-Tradesman/dp/B0BC83F3HC/ref=sr_1_3?keywords=Klein+Tools+55437+Tradesman+Pro%E2%84%A2+Work+Light+%2F+Tool+Bag+Light+%2F+Cooler+Light&amp;qid=1695173666&amp;sr=8-3</v>
      </c>
      <c r="F600" t="s">
        <v>1390</v>
      </c>
      <c r="G600" t="e">
        <f ca="1">_xludf.IMAGE("https://edmondsonsupply.com/cdn/shop/products/55437.jpg?v=1587143511")</f>
        <v>#NAME?</v>
      </c>
      <c r="H600" t="e">
        <f ca="1">_xludf.IMAGE("https://m.media-amazon.com/images/I/412ptACTswL._AC_UL320_.jpg")</f>
        <v>#NAME?</v>
      </c>
      <c r="I600" t="s">
        <v>1391</v>
      </c>
      <c r="J600">
        <v>271.99</v>
      </c>
      <c r="K600" s="4">
        <v>13.210599999999999</v>
      </c>
      <c r="L600">
        <v>5</v>
      </c>
      <c r="M600">
        <v>1</v>
      </c>
      <c r="O600" t="s">
        <v>25</v>
      </c>
      <c r="P600" t="s">
        <v>138</v>
      </c>
      <c r="Q600" t="s">
        <v>1392</v>
      </c>
    </row>
    <row r="601" spans="1:17" ht="15.5" x14ac:dyDescent="0.35">
      <c r="A601"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601" s="3" t="str">
        <f>HYPERLINK("https://edmondsonsupply.com/products/cambridge-1-2-pvc-liquid-tight-conduit-fitting-90-degree", "https://edmondsonsupply.com/products/cambridge-1-2-pvc-liquid-tight-conduit-fitting-90-degree")</f>
        <v>https://edmondsonsupply.com/products/cambridge-1-2-pvc-liquid-tight-conduit-fitting-90-degree</v>
      </c>
      <c r="C601" t="s">
        <v>1345</v>
      </c>
      <c r="D601" t="s">
        <v>1393</v>
      </c>
      <c r="E601" s="3" t="str">
        <f>HYPERLINK("https://www.amazon.com/BBTO-Connector-Flexible-Metallic-Electrical/dp/B09PTFZ341/ref=sr_1_5?keywords=Cambridge+1%2F2%22+PVC+Liquid+Tight+Conduit+Fitting+-+90+Degree&amp;qid=1695173714&amp;sr=8-5", "https://www.amazon.com/BBTO-Connector-Flexible-Metallic-Electrical/dp/B09PTFZ341/ref=sr_1_5?keywords=Cambridge+1%2F2%22+PVC+Liquid+Tight+Conduit+Fitting+-+90+Degree&amp;qid=1695173714&amp;sr=8-5")</f>
        <v>https://www.amazon.com/BBTO-Connector-Flexible-Metallic-Electrical/dp/B09PTFZ341/ref=sr_1_5?keywords=Cambridge+1%2F2%22+PVC+Liquid+Tight+Conduit+Fitting+-+90+Degree&amp;qid=1695173714&amp;sr=8-5</v>
      </c>
      <c r="F601" t="s">
        <v>1394</v>
      </c>
      <c r="G601" t="e">
        <f ca="1">_xludf.IMAGE("https://edmondsonsupply.com/cdn/shop/files/W14659_01.jpg?v=1692278106")</f>
        <v>#NAME?</v>
      </c>
      <c r="H601" t="e">
        <f ca="1">_xludf.IMAGE("https://m.media-amazon.com/images/I/71tLpqsoSWL._AC_UL320_.jpg")</f>
        <v>#NAME?</v>
      </c>
      <c r="I601" t="s">
        <v>1348</v>
      </c>
      <c r="J601">
        <v>20.98</v>
      </c>
      <c r="K601" s="4">
        <v>13.175700000000001</v>
      </c>
      <c r="L601">
        <v>4.8</v>
      </c>
      <c r="M601">
        <v>92</v>
      </c>
      <c r="O601" t="s">
        <v>25</v>
      </c>
      <c r="P601" t="s">
        <v>138</v>
      </c>
      <c r="Q601" t="s">
        <v>1349</v>
      </c>
    </row>
    <row r="602" spans="1:17" ht="15.5" x14ac:dyDescent="0.35">
      <c r="A602" s="3" t="str">
        <f>HYPERLINK("https://edmondsonsupply.com/collections/hvac/products/kroil-ks132-original-penetrant-aerosol-13oz-can", "https://edmondsonsupply.com/collections/hvac/products/kroil-ks132-original-penetrant-aerosol-13oz-can")</f>
        <v>https://edmondsonsupply.com/collections/hvac/products/kroil-ks132-original-penetrant-aerosol-13oz-can</v>
      </c>
      <c r="B602" s="3" t="str">
        <f>HYPERLINK("https://edmondsonsupply.com/products/kroil-ks132-original-penetrant-aerosol-13oz-can", "https://edmondsonsupply.com/products/kroil-ks132-original-penetrant-aerosol-13oz-can")</f>
        <v>https://edmondsonsupply.com/products/kroil-ks132-original-penetrant-aerosol-13oz-can</v>
      </c>
      <c r="C602" t="s">
        <v>1395</v>
      </c>
      <c r="D602" t="s">
        <v>1396</v>
      </c>
      <c r="E602" s="3" t="str">
        <f>HYPERLINK("https://www.amazon.com/Penetrating-Spray-13oz-Penetrant-Corrosion-KS132C/dp/B08ZSZ82YY/ref=sr_1_8?keywords=Kroil+KS132+Original+Penetrant+Aerosol+13oz+can&amp;qid=1695173755&amp;sr=8-8", "https://www.amazon.com/Penetrating-Spray-13oz-Penetrant-Corrosion-KS132C/dp/B08ZSZ82YY/ref=sr_1_8?keywords=Kroil+KS132+Original+Penetrant+Aerosol+13oz+can&amp;qid=1695173755&amp;sr=8-8")</f>
        <v>https://www.amazon.com/Penetrating-Spray-13oz-Penetrant-Corrosion-KS132C/dp/B08ZSZ82YY/ref=sr_1_8?keywords=Kroil+KS132+Original+Penetrant+Aerosol+13oz+can&amp;qid=1695173755&amp;sr=8-8</v>
      </c>
      <c r="F602" t="s">
        <v>1397</v>
      </c>
      <c r="G602" t="e">
        <f ca="1">_xludf.IMAGE("https://edmondsonsupply.com/cdn/shop/files/ks132.webp?v=1686779771")</f>
        <v>#NAME?</v>
      </c>
      <c r="H602" t="e">
        <f ca="1">_xludf.IMAGE("https://m.media-amazon.com/images/I/71M3oNQE9pL._AC_UY218_.jpg")</f>
        <v>#NAME?</v>
      </c>
      <c r="I602" t="s">
        <v>1398</v>
      </c>
      <c r="J602">
        <v>328.8</v>
      </c>
      <c r="K602" s="4">
        <v>12.8209</v>
      </c>
      <c r="L602">
        <v>5</v>
      </c>
      <c r="M602">
        <v>2</v>
      </c>
      <c r="O602" t="s">
        <v>25</v>
      </c>
      <c r="P602" t="s">
        <v>1399</v>
      </c>
      <c r="Q602" t="s">
        <v>1400</v>
      </c>
    </row>
    <row r="603" spans="1:17" ht="15.5" x14ac:dyDescent="0.35">
      <c r="A603" s="3" t="str">
        <f>HYPERLINK("https://edmondsonsupply.com/collections/hvac/products/trion-266649-101-pleated-16x25x3-merv-13-air-filter-media-1-filter", "https://edmondsonsupply.com/collections/hvac/products/trion-266649-101-pleated-16x25x3-merv-13-air-filter-media-1-filter")</f>
        <v>https://edmondsonsupply.com/collections/hvac/products/trion-266649-101-pleated-16x25x3-merv-13-air-filter-media-1-filter</v>
      </c>
      <c r="B603" s="3" t="str">
        <f>HYPERLINK("https://edmondsonsupply.com/products/trion-266649-101-pleated-16x25x3-merv-13-air-filter-media-1-filter", "https://edmondsonsupply.com/products/trion-266649-101-pleated-16x25x3-merv-13-air-filter-media-1-filter")</f>
        <v>https://edmondsonsupply.com/products/trion-266649-101-pleated-16x25x3-merv-13-air-filter-media-1-filter</v>
      </c>
      <c r="C603" t="s">
        <v>1401</v>
      </c>
      <c r="D603" t="s">
        <v>1402</v>
      </c>
      <c r="E603" s="3" t="str">
        <f>HYPERLINK("https://www.amazon.com/Nordic-Pure-16x25x3ABM15-7-Furnace-Filter/dp/B07B7PNMBH/ref=sr_1_2?keywords=Trion+266649-101+Pleated+16x25x3+MERV-13+Air+Filter+Media+%281+filter%29&amp;qid=1695173598&amp;sr=8-2", "https://www.amazon.com/Nordic-Pure-16x25x3ABM15-7-Furnace-Filter/dp/B07B7PNMBH/ref=sr_1_2?keywords=Trion+266649-101+Pleated+16x25x3+MERV-13+Air+Filter+Media+%281+filter%29&amp;qid=1695173598&amp;sr=8-2")</f>
        <v>https://www.amazon.com/Nordic-Pure-16x25x3ABM15-7-Furnace-Filter/dp/B07B7PNMBH/ref=sr_1_2?keywords=Trion+266649-101+Pleated+16x25x3+MERV-13+Air+Filter+Media+%281+filter%29&amp;qid=1695173598&amp;sr=8-2</v>
      </c>
      <c r="F603" t="s">
        <v>1403</v>
      </c>
      <c r="G603" t="e">
        <f ca="1">_xludf.IMAGE("https://edmondsonsupply.com/cdn/shop/products/AirBearMain_3b1ff07e-0f7c-460a-b436-9ba151fa29ca.png?v=1661444961")</f>
        <v>#NAME?</v>
      </c>
      <c r="H603" t="e">
        <f ca="1">_xludf.IMAGE("https://m.media-amazon.com/images/I/71uv28FGdPL._AC_UL320_.jpg")</f>
        <v>#NAME?</v>
      </c>
      <c r="I603" t="s">
        <v>1404</v>
      </c>
      <c r="J603">
        <v>355.3</v>
      </c>
      <c r="K603" s="4">
        <v>11.1015</v>
      </c>
      <c r="L603">
        <v>5</v>
      </c>
      <c r="M603">
        <v>1</v>
      </c>
      <c r="O603" t="s">
        <v>25</v>
      </c>
      <c r="P603" t="s">
        <v>138</v>
      </c>
      <c r="Q603" t="s">
        <v>1405</v>
      </c>
    </row>
    <row r="604" spans="1:17" ht="15.5" x14ac:dyDescent="0.35">
      <c r="A604"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604" s="3" t="str">
        <f>HYPERLINK("https://edmondsonsupply.com/products/cambridge-1-2-pvc-liquid-tight-conduit-fitting-90-degree", "https://edmondsonsupply.com/products/cambridge-1-2-pvc-liquid-tight-conduit-fitting-90-degree")</f>
        <v>https://edmondsonsupply.com/products/cambridge-1-2-pvc-liquid-tight-conduit-fitting-90-degree</v>
      </c>
      <c r="C604" t="s">
        <v>1345</v>
      </c>
      <c r="D604" t="s">
        <v>1406</v>
      </c>
      <c r="E604" s="3" t="str">
        <f>HYPERLINK("https://www.amazon.com/Moicstiy-Connector-Nonmetallic-Electrical-Flexible/dp/B0B2VV972D/ref=sr_1_8?keywords=Cambridge+1%2F2%22+PVC+Liquid+Tight+Conduit+Fitting+-+90+Degree&amp;qid=1695173714&amp;sr=8-8", "https://www.amazon.com/Moicstiy-Connector-Nonmetallic-Electrical-Flexible/dp/B0B2VV972D/ref=sr_1_8?keywords=Cambridge+1%2F2%22+PVC+Liquid+Tight+Conduit+Fitting+-+90+Degree&amp;qid=1695173714&amp;sr=8-8")</f>
        <v>https://www.amazon.com/Moicstiy-Connector-Nonmetallic-Electrical-Flexible/dp/B0B2VV972D/ref=sr_1_8?keywords=Cambridge+1%2F2%22+PVC+Liquid+Tight+Conduit+Fitting+-+90+Degree&amp;qid=1695173714&amp;sr=8-8</v>
      </c>
      <c r="F604" t="s">
        <v>1407</v>
      </c>
      <c r="G604" t="e">
        <f ca="1">_xludf.IMAGE("https://edmondsonsupply.com/cdn/shop/files/W14659_01.jpg?v=1692278106")</f>
        <v>#NAME?</v>
      </c>
      <c r="H604" t="e">
        <f ca="1">_xludf.IMAGE("https://m.media-amazon.com/images/I/61iKdaC9eHL._AC_UL320_.jpg")</f>
        <v>#NAME?</v>
      </c>
      <c r="I604" t="s">
        <v>1348</v>
      </c>
      <c r="J604">
        <v>17.489999999999998</v>
      </c>
      <c r="K604" s="4">
        <v>10.817600000000001</v>
      </c>
      <c r="L604">
        <v>4</v>
      </c>
      <c r="M604">
        <v>10</v>
      </c>
      <c r="O604" t="s">
        <v>25</v>
      </c>
      <c r="P604" t="s">
        <v>138</v>
      </c>
      <c r="Q604" t="s">
        <v>1349</v>
      </c>
    </row>
    <row r="605" spans="1:17" ht="15.5" x14ac:dyDescent="0.35">
      <c r="A605" s="3" t="str">
        <f>HYPERLINK("https://edmondsonsupply.com/collections/hvac/products/klein-tools-69445-rare-earth-magnetic-hanger-no-strap", "https://edmondsonsupply.com/collections/hvac/products/klein-tools-69445-rare-earth-magnetic-hanger-no-strap")</f>
        <v>https://edmondsonsupply.com/collections/hvac/products/klein-tools-69445-rare-earth-magnetic-hanger-no-strap</v>
      </c>
      <c r="B605" s="3" t="str">
        <f>HYPERLINK("https://edmondsonsupply.com/products/klein-tools-69445-rare-earth-magnetic-hanger-no-strap", "https://edmondsonsupply.com/products/klein-tools-69445-rare-earth-magnetic-hanger-no-strap")</f>
        <v>https://edmondsonsupply.com/products/klein-tools-69445-rare-earth-magnetic-hanger-no-strap</v>
      </c>
      <c r="C605" t="s">
        <v>1408</v>
      </c>
      <c r="D605" t="s">
        <v>1409</v>
      </c>
      <c r="E605" s="3" t="str">
        <f>HYPERLINK("https://www.amazon.com/Klein-Tools-Megohmmeter-Insulation-Ohms-Resistance-Auto-Ranging/dp/B0B7NFMBPZ/ref=sr_1_7?keywords=Klein+Tools+69445+Rare+Earth+Magnetic+Hanger%2C+no+Strap&amp;qid=1695173527&amp;sr=8-7", "https://www.amazon.com/Klein-Tools-Megohmmeter-Insulation-Ohms-Resistance-Auto-Ranging/dp/B0B7NFMBPZ/ref=sr_1_7?keywords=Klein+Tools+69445+Rare+Earth+Magnetic+Hanger%2C+no+Strap&amp;qid=1695173527&amp;sr=8-7")</f>
        <v>https://www.amazon.com/Klein-Tools-Megohmmeter-Insulation-Ohms-Resistance-Auto-Ranging/dp/B0B7NFMBPZ/ref=sr_1_7?keywords=Klein+Tools+69445+Rare+Earth+Magnetic+Hanger%2C+no+Strap&amp;qid=1695173527&amp;sr=8-7</v>
      </c>
      <c r="F605" t="s">
        <v>1410</v>
      </c>
      <c r="G605" t="e">
        <f ca="1">_xludf.IMAGE("https://edmondsonsupply.com/cdn/shop/products/69445.jpg?v=1633030859")</f>
        <v>#NAME?</v>
      </c>
      <c r="H605" t="e">
        <f ca="1">_xludf.IMAGE("https://m.media-amazon.com/images/I/61U-LeAD05L._AC_UL320_.jpg")</f>
        <v>#NAME?</v>
      </c>
      <c r="I605" t="s">
        <v>252</v>
      </c>
      <c r="J605">
        <v>183.24</v>
      </c>
      <c r="K605" s="4">
        <v>10.4597</v>
      </c>
      <c r="L605">
        <v>4.3</v>
      </c>
      <c r="M605">
        <v>4</v>
      </c>
      <c r="O605" t="s">
        <v>25</v>
      </c>
      <c r="P605" t="s">
        <v>1411</v>
      </c>
      <c r="Q605" t="s">
        <v>1412</v>
      </c>
    </row>
    <row r="606" spans="1:17" ht="15.5" x14ac:dyDescent="0.35">
      <c r="A606"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606" s="3" t="str">
        <f>HYPERLINK("https://edmondsonsupply.com/products/klein-tools-69417-rare-earth-magnetic-meter-hanger", "https://edmondsonsupply.com/products/klein-tools-69417-rare-earth-magnetic-meter-hanger")</f>
        <v>https://edmondsonsupply.com/products/klein-tools-69417-rare-earth-magnetic-meter-hanger</v>
      </c>
      <c r="C606" t="s">
        <v>1413</v>
      </c>
      <c r="D606" t="s">
        <v>1414</v>
      </c>
      <c r="E606" s="3" t="str">
        <f>HYPERLINK("https://www.amazon.com/Klein-Tools-Autoranging-Splitter-Rare-Earth/dp/B0C99CGRNM/ref=sr_1_8?keywords=Klein+Tools+69417+Rare+Earth+Magnetic+Meter+Hanger%2C+with+Strap&amp;qid=1695173681&amp;sr=8-8", "https://www.amazon.com/Klein-Tools-Autoranging-Splitter-Rare-Earth/dp/B0C99CGRNM/ref=sr_1_8?keywords=Klein+Tools+69417+Rare+Earth+Magnetic+Meter+Hanger%2C+with+Strap&amp;qid=1695173681&amp;sr=8-8")</f>
        <v>https://www.amazon.com/Klein-Tools-Autoranging-Splitter-Rare-Earth/dp/B0C99CGRNM/ref=sr_1_8?keywords=Klein+Tools+69417+Rare+Earth+Magnetic+Meter+Hanger%2C+with+Strap&amp;qid=1695173681&amp;sr=8-8</v>
      </c>
      <c r="F606" t="s">
        <v>1415</v>
      </c>
      <c r="G606" t="e">
        <f ca="1">_xludf.IMAGE("https://edmondsonsupply.com/cdn/shop/products/69417.jpg?v=1587150163")</f>
        <v>#NAME?</v>
      </c>
      <c r="H606" t="e">
        <f ca="1">_xludf.IMAGE("https://m.media-amazon.com/images/I/51cRT-bTN5L._AC_UL320_.jpg")</f>
        <v>#NAME?</v>
      </c>
      <c r="I606" t="s">
        <v>288</v>
      </c>
      <c r="J606">
        <v>159.93</v>
      </c>
      <c r="K606" s="4">
        <v>10.431699999999999</v>
      </c>
      <c r="L606">
        <v>5</v>
      </c>
      <c r="M606">
        <v>3</v>
      </c>
      <c r="O606" t="s">
        <v>25</v>
      </c>
      <c r="P606" t="s">
        <v>845</v>
      </c>
      <c r="Q606" t="s">
        <v>1416</v>
      </c>
    </row>
    <row r="607" spans="1:17" ht="15.5" x14ac:dyDescent="0.35">
      <c r="A607" s="3" t="str">
        <f>HYPERLINK("https://edmondsonsupply.com/collections/hvac/products/nu-calgon-4289-05", "https://edmondsonsupply.com/collections/hvac/products/nu-calgon-4289-05")</f>
        <v>https://edmondsonsupply.com/collections/hvac/products/nu-calgon-4289-05</v>
      </c>
      <c r="B607" s="3" t="str">
        <f>HYPERLINK("https://edmondsonsupply.com/products/nu-calgon-4289-05", "https://edmondsonsupply.com/products/nu-calgon-4289-05")</f>
        <v>https://edmondsonsupply.com/products/nu-calgon-4289-05</v>
      </c>
      <c r="C607" t="s">
        <v>1417</v>
      </c>
      <c r="D607" t="s">
        <v>1418</v>
      </c>
      <c r="E607" s="3" t="str">
        <f>HYPERLINK("https://www.amazon.com/Nu-Calgon-4050-11-EasySeal-Inject-UV-Refrigerant/dp/B072Q3MX47/ref=sr_1_4?keywords=Nu-Calgon+4289-05+Refrigerant+Sealant+10ml&amp;qid=1695173754&amp;sr=8-4", "https://www.amazon.com/Nu-Calgon-4050-11-EasySeal-Inject-UV-Refrigerant/dp/B072Q3MX47/ref=sr_1_4?keywords=Nu-Calgon+4289-05+Refrigerant+Sealant+10ml&amp;qid=1695173754&amp;sr=8-4")</f>
        <v>https://www.amazon.com/Nu-Calgon-4050-11-EasySeal-Inject-UV-Refrigerant/dp/B072Q3MX47/ref=sr_1_4?keywords=Nu-Calgon+4289-05+Refrigerant+Sealant+10ml&amp;qid=1695173754&amp;sr=8-4</v>
      </c>
      <c r="F607" t="s">
        <v>1419</v>
      </c>
      <c r="G607" t="e">
        <f ca="1">_xludf.IMAGE("https://edmondsonsupply.com/cdn/shop/files/4289-05_20201019.jpg?v=1687444499")</f>
        <v>#NAME?</v>
      </c>
      <c r="H607" t="e">
        <f ca="1">_xludf.IMAGE("https://m.media-amazon.com/images/I/51kJOZZkRVL._AC_UL320_.jpg")</f>
        <v>#NAME?</v>
      </c>
      <c r="I607" t="s">
        <v>137</v>
      </c>
      <c r="J607">
        <v>66.09</v>
      </c>
      <c r="K607" s="4">
        <v>10.220700000000001</v>
      </c>
      <c r="L607">
        <v>4.4000000000000004</v>
      </c>
      <c r="M607">
        <v>209</v>
      </c>
      <c r="O607" t="s">
        <v>25</v>
      </c>
      <c r="P607" t="s">
        <v>1420</v>
      </c>
      <c r="Q607" t="s">
        <v>1421</v>
      </c>
    </row>
    <row r="608" spans="1:17" ht="15.5" x14ac:dyDescent="0.35">
      <c r="A608"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608" s="3" t="str">
        <f>HYPERLINK("https://edmondsonsupply.com/products/cambridge-1-2-pvc-liquid-tight-conduit-fitting-90-degree", "https://edmondsonsupply.com/products/cambridge-1-2-pvc-liquid-tight-conduit-fitting-90-degree")</f>
        <v>https://edmondsonsupply.com/products/cambridge-1-2-pvc-liquid-tight-conduit-fitting-90-degree</v>
      </c>
      <c r="C608" t="s">
        <v>1345</v>
      </c>
      <c r="D608" t="s">
        <v>1422</v>
      </c>
      <c r="E608" s="3" t="str">
        <f>HYPERLINK("https://www.amazon.com/Nonmetallic-Electrical-Conduit-Conector-Fitting/dp/B08RX49Y2R/ref=sr_1_1?keywords=Cambridge+1%2F2%22+PVC+Liquid+Tight+Conduit+Fitting+-+90+Degree&amp;qid=1695173714&amp;sr=8-1", "https://www.amazon.com/Nonmetallic-Electrical-Conduit-Conector-Fitting/dp/B08RX49Y2R/ref=sr_1_1?keywords=Cambridge+1%2F2%22+PVC+Liquid+Tight+Conduit+Fitting+-+90+Degree&amp;qid=1695173714&amp;sr=8-1")</f>
        <v>https://www.amazon.com/Nonmetallic-Electrical-Conduit-Conector-Fitting/dp/B08RX49Y2R/ref=sr_1_1?keywords=Cambridge+1%2F2%22+PVC+Liquid+Tight+Conduit+Fitting+-+90+Degree&amp;qid=1695173714&amp;sr=8-1</v>
      </c>
      <c r="F608" t="s">
        <v>1423</v>
      </c>
      <c r="G608" t="e">
        <f ca="1">_xludf.IMAGE("https://edmondsonsupply.com/cdn/shop/files/W14659_01.jpg?v=1692278106")</f>
        <v>#NAME?</v>
      </c>
      <c r="H608" t="e">
        <f ca="1">_xludf.IMAGE("https://m.media-amazon.com/images/I/71kMHjhtrrL._AC_UL320_.jpg")</f>
        <v>#NAME?</v>
      </c>
      <c r="I608" t="s">
        <v>1348</v>
      </c>
      <c r="J608">
        <v>14.99</v>
      </c>
      <c r="K608" s="4">
        <v>9.1283999999999992</v>
      </c>
      <c r="L608">
        <v>4.5</v>
      </c>
      <c r="M608">
        <v>2</v>
      </c>
      <c r="O608" t="s">
        <v>25</v>
      </c>
      <c r="P608" t="s">
        <v>138</v>
      </c>
      <c r="Q608" t="s">
        <v>1349</v>
      </c>
    </row>
    <row r="609" spans="1:17" ht="15.5" x14ac:dyDescent="0.35">
      <c r="A609" s="3" t="str">
        <f>HYPERLINK("https://edmondsonsupply.com/collections/hvac/products/diablo-tools-dmapl4210-5-8-in-x-4-in-x-6-in-rebar-demon%E2%84%A2-sds-plus-4-cutter-full-carbide-head-hammer-bit", "https://edmondsonsupply.com/collections/hvac/products/diablo-tools-dmapl4210-5-8-in-x-4-in-x-6-in-rebar-demon%E2%84%A2-sds-plus-4-cutter-full-carbide-head-hammer-bit")</f>
        <v>https://edmondsonsupply.com/collections/hvac/products/diablo-tools-dmapl4210-5-8-in-x-4-in-x-6-in-rebar-demon%E2%84%A2-sds-plus-4-cutter-full-carbide-head-hammer-bit</v>
      </c>
      <c r="B609"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609" t="s">
        <v>1424</v>
      </c>
      <c r="D609" t="s">
        <v>1425</v>
      </c>
      <c r="E609" s="3" t="str">
        <f>HYPERLINK("https://www.amazon.com/Diablo-Rebar-4-Cutter-Carbide-Hammer/dp/B089LGWV7F/ref=sr_1_6?keywords=Diablo+Tools+DMAPL4210+5%2F8+in.+x+4+in.+x+6+in.+Rebar+Demon%E2%84%A2+SDS%E2%80%91Plus+4%E2%80%91Cutter+Full+Carbide+Head+Hammer+Bit&amp;qid=1695173544&amp;sr=8-6", "https://www.amazon.com/Diablo-Rebar-4-Cutter-Carbide-Hammer/dp/B089LGWV7F/ref=sr_1_6?keywords=Diablo+Tools+DMAPL4210+5%2F8+in.+x+4+in.+x+6+in.+Rebar+Demon%E2%84%A2+SDS%E2%80%91Plus+4%E2%80%91Cutter+Full+Carbide+Head+Hammer+Bit&amp;qid=1695173544&amp;sr=8-6")</f>
        <v>https://www.amazon.com/Diablo-Rebar-4-Cutter-Carbide-Hammer/dp/B089LGWV7F/ref=sr_1_6?keywords=Diablo+Tools+DMAPL4210+5%2F8+in.+x+4+in.+x+6+in.+Rebar+Demon%E2%84%A2+SDS%E2%80%91Plus+4%E2%80%91Cutter+Full+Carbide+Head+Hammer+Bit&amp;qid=1695173544&amp;sr=8-6</v>
      </c>
      <c r="F609" t="s">
        <v>1426</v>
      </c>
      <c r="G609" t="e">
        <f ca="1">_xludf.IMAGE("https://edmondsonsupply.com/cdn/shop/products/DMAPL4210_Main-Image20200701.png?v=1633030426")</f>
        <v>#NAME?</v>
      </c>
      <c r="H609" t="e">
        <f ca="1">_xludf.IMAGE("https://m.media-amazon.com/images/I/61q9iw+mKpL._AC_UL320_.jpg")</f>
        <v>#NAME?</v>
      </c>
      <c r="I609" t="s">
        <v>1427</v>
      </c>
      <c r="J609">
        <v>99.99</v>
      </c>
      <c r="K609" s="4">
        <v>9.0290999999999997</v>
      </c>
      <c r="L609">
        <v>5</v>
      </c>
      <c r="M609">
        <v>2</v>
      </c>
      <c r="O609" t="s">
        <v>25</v>
      </c>
      <c r="P609" t="s">
        <v>1428</v>
      </c>
      <c r="Q609" t="s">
        <v>1429</v>
      </c>
    </row>
    <row r="610" spans="1:17" ht="15.5" x14ac:dyDescent="0.35">
      <c r="A610"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610" s="3" t="str">
        <f>HYPERLINK("https://edmondsonsupply.com/products/cambridge-3-4-pvc-liquid-tight-conduit-fitting-90-degree", "https://edmondsonsupply.com/products/cambridge-3-4-pvc-liquid-tight-conduit-fitting-90-degree")</f>
        <v>https://edmondsonsupply.com/products/cambridge-3-4-pvc-liquid-tight-conduit-fitting-90-degree</v>
      </c>
      <c r="C610" t="s">
        <v>1370</v>
      </c>
      <c r="D610" t="s">
        <v>1430</v>
      </c>
      <c r="E610" s="3" t="str">
        <f>HYPERLINK("https://www.amazon.com/Nonmetallic-Liquid-Tight-90-Degree-Electrical-Connector/dp/B0828V3HJQ/ref=sr_1_1?keywords=Cambridge+3%2F4%22+PVC+Liquid+Tight+Conduit+Fitting+-+90+Degree&amp;qid=1695173711&amp;sr=8-1", "https://www.amazon.com/Nonmetallic-Liquid-Tight-90-Degree-Electrical-Connector/dp/B0828V3HJQ/ref=sr_1_1?keywords=Cambridge+3%2F4%22+PVC+Liquid+Tight+Conduit+Fitting+-+90+Degree&amp;qid=1695173711&amp;sr=8-1")</f>
        <v>https://www.amazon.com/Nonmetallic-Liquid-Tight-90-Degree-Electrical-Connector/dp/B0828V3HJQ/ref=sr_1_1?keywords=Cambridge+3%2F4%22+PVC+Liquid+Tight+Conduit+Fitting+-+90+Degree&amp;qid=1695173711&amp;sr=8-1</v>
      </c>
      <c r="F610" t="s">
        <v>1431</v>
      </c>
      <c r="G610" t="e">
        <f ca="1">_xludf.IMAGE("https://edmondsonsupply.com/cdn/shop/files/W14657_01.jpg?v=1692278537")</f>
        <v>#NAME?</v>
      </c>
      <c r="H610" t="e">
        <f ca="1">_xludf.IMAGE("https://m.media-amazon.com/images/I/41swJ00rP9L._AC_UL320_.jpg")</f>
        <v>#NAME?</v>
      </c>
      <c r="I610" t="s">
        <v>1373</v>
      </c>
      <c r="J610">
        <v>17.89</v>
      </c>
      <c r="K610" s="4">
        <v>8.9389000000000003</v>
      </c>
      <c r="L610">
        <v>4.8</v>
      </c>
      <c r="M610">
        <v>321</v>
      </c>
      <c r="O610" t="s">
        <v>25</v>
      </c>
      <c r="P610" t="s">
        <v>138</v>
      </c>
      <c r="Q610" t="s">
        <v>1374</v>
      </c>
    </row>
    <row r="611" spans="1:17" ht="15.5" x14ac:dyDescent="0.35">
      <c r="A611" s="3" t="str">
        <f>HYPERLINK("https://edmondsonsupply.com/collections/hvac/products/nu-calgon-4300-50-rx11-flush-line-set-flushing-tool", "https://edmondsonsupply.com/collections/hvac/products/nu-calgon-4300-50-rx11-flush-line-set-flushing-tool")</f>
        <v>https://edmondsonsupply.com/collections/hvac/products/nu-calgon-4300-50-rx11-flush-line-set-flushing-tool</v>
      </c>
      <c r="B611" s="3" t="str">
        <f>HYPERLINK("https://edmondsonsupply.com/products/nu-calgon-4300-50-rx11-flush-line-set-flushing-tool", "https://edmondsonsupply.com/products/nu-calgon-4300-50-rx11-flush-line-set-flushing-tool")</f>
        <v>https://edmondsonsupply.com/products/nu-calgon-4300-50-rx11-flush-line-set-flushing-tool</v>
      </c>
      <c r="C611" t="s">
        <v>1432</v>
      </c>
      <c r="D611" t="s">
        <v>1433</v>
      </c>
      <c r="E611" s="3" t="str">
        <f>HYPERLINK("https://www.amazon.com/Nu-Calgon-4300-11-Rx11-Flush-Canister/dp/B007IB7NY0/ref=sr_1_4?keywords=Nu-Calgon+4300-50+Rx11-Flush+Line+Set+Flushing+Tool&amp;qid=1695173433&amp;sr=8-4", "https://www.amazon.com/Nu-Calgon-4300-11-Rx11-Flush-Canister/dp/B007IB7NY0/ref=sr_1_4?keywords=Nu-Calgon+4300-50+Rx11-Flush+Line+Set+Flushing+Tool&amp;qid=1695173433&amp;sr=8-4")</f>
        <v>https://www.amazon.com/Nu-Calgon-4300-11-Rx11-Flush-Canister/dp/B007IB7NY0/ref=sr_1_4?keywords=Nu-Calgon+4300-50+Rx11-Flush+Line+Set+Flushing+Tool&amp;qid=1695173433&amp;sr=8-4</v>
      </c>
      <c r="F611" t="s">
        <v>1434</v>
      </c>
      <c r="G611" t="e">
        <f ca="1">_xludf.IMAGE("https://edmondsonsupply.com/cdn/shop/products/4300-50.jpg?v=1658784510")</f>
        <v>#NAME?</v>
      </c>
      <c r="H611" t="e">
        <f ca="1">_xludf.IMAGE("https://m.media-amazon.com/images/I/71IhoPdEsHL._AC_UL320_.jpg")</f>
        <v>#NAME?</v>
      </c>
      <c r="I611" t="s">
        <v>1435</v>
      </c>
      <c r="J611">
        <v>130</v>
      </c>
      <c r="K611" s="4">
        <v>8.6082999999999998</v>
      </c>
      <c r="L611">
        <v>5</v>
      </c>
      <c r="M611">
        <v>1</v>
      </c>
      <c r="O611" t="s">
        <v>25</v>
      </c>
      <c r="P611" t="s">
        <v>1436</v>
      </c>
      <c r="Q611" t="s">
        <v>1437</v>
      </c>
    </row>
    <row r="612" spans="1:17" ht="15.5" x14ac:dyDescent="0.35">
      <c r="A612" s="3" t="str">
        <f>HYPERLINK("https://edmondsonsupply.com/collections/hvac/products/klein-tools-69445-rare-earth-magnetic-hanger-no-strap", "https://edmondsonsupply.com/collections/hvac/products/klein-tools-69445-rare-earth-magnetic-hanger-no-strap")</f>
        <v>https://edmondsonsupply.com/collections/hvac/products/klein-tools-69445-rare-earth-magnetic-hanger-no-strap</v>
      </c>
      <c r="B612" s="3" t="str">
        <f>HYPERLINK("https://edmondsonsupply.com/products/klein-tools-69445-rare-earth-magnetic-hanger-no-strap", "https://edmondsonsupply.com/products/klein-tools-69445-rare-earth-magnetic-hanger-no-strap")</f>
        <v>https://edmondsonsupply.com/products/klein-tools-69445-rare-earth-magnetic-hanger-no-strap</v>
      </c>
      <c r="C612" t="s">
        <v>1408</v>
      </c>
      <c r="D612" t="s">
        <v>1438</v>
      </c>
      <c r="E612" s="3" t="str">
        <f>HYPERLINK("https://www.amazon.com/Klein-Tools-Autoranging-Continuity-Capacitance/dp/B0BFXMP222/ref=sr_1_5?keywords=Klein+Tools+69445+Rare+Earth+Magnetic+Hanger%2C+no+Strap&amp;qid=1695173527&amp;sr=8-5", "https://www.amazon.com/Klein-Tools-Autoranging-Continuity-Capacitance/dp/B0BFXMP222/ref=sr_1_5?keywords=Klein+Tools+69445+Rare+Earth+Magnetic+Hanger%2C+no+Strap&amp;qid=1695173527&amp;sr=8-5")</f>
        <v>https://www.amazon.com/Klein-Tools-Autoranging-Continuity-Capacitance/dp/B0BFXMP222/ref=sr_1_5?keywords=Klein+Tools+69445+Rare+Earth+Magnetic+Hanger%2C+no+Strap&amp;qid=1695173527&amp;sr=8-5</v>
      </c>
      <c r="F612" t="s">
        <v>1439</v>
      </c>
      <c r="G612" t="e">
        <f ca="1">_xludf.IMAGE("https://edmondsonsupply.com/cdn/shop/products/69445.jpg?v=1633030859")</f>
        <v>#NAME?</v>
      </c>
      <c r="H612" t="e">
        <f ca="1">_xludf.IMAGE("https://m.media-amazon.com/images/I/61-gHKKfiPL._AC_UL320_.jpg")</f>
        <v>#NAME?</v>
      </c>
      <c r="I612" t="s">
        <v>252</v>
      </c>
      <c r="J612">
        <v>148.22</v>
      </c>
      <c r="K612" s="4">
        <v>8.2695000000000007</v>
      </c>
      <c r="L612">
        <v>4.7</v>
      </c>
      <c r="M612">
        <v>15</v>
      </c>
      <c r="O612" t="s">
        <v>25</v>
      </c>
      <c r="P612" t="s">
        <v>1411</v>
      </c>
      <c r="Q612" t="s">
        <v>1412</v>
      </c>
    </row>
    <row r="613" spans="1:17" ht="15.5" x14ac:dyDescent="0.35">
      <c r="A613"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613" s="3" t="str">
        <f>HYPERLINK("https://edmondsonsupply.com/products/cambridge-1-2-pvc-liquid-tight-conduit-fitting-straight", "https://edmondsonsupply.com/products/cambridge-1-2-pvc-liquid-tight-conduit-fitting-straight")</f>
        <v>https://edmondsonsupply.com/products/cambridge-1-2-pvc-liquid-tight-conduit-fitting-straight</v>
      </c>
      <c r="C613" t="s">
        <v>1352</v>
      </c>
      <c r="D613" t="s">
        <v>1440</v>
      </c>
      <c r="E613" s="3" t="str">
        <f>HYPERLINK("https://www.amazon.com/Maitys-Connector-Electrical-Fittings-Straight/dp/B0BF5G5X78/ref=sr_1_1?keywords=Cambridge+1%2F2%22+PVC+Liquid+Tight+Conduit+Fitting+-+Straight&amp;qid=1695173710&amp;sr=8-1", "https://www.amazon.com/Maitys-Connector-Electrical-Fittings-Straight/dp/B0BF5G5X78/ref=sr_1_1?keywords=Cambridge+1%2F2%22+PVC+Liquid+Tight+Conduit+Fitting+-+Straight&amp;qid=1695173710&amp;sr=8-1")</f>
        <v>https://www.amazon.com/Maitys-Connector-Electrical-Fittings-Straight/dp/B0BF5G5X78/ref=sr_1_1?keywords=Cambridge+1%2F2%22+PVC+Liquid+Tight+Conduit+Fitting+-+Straight&amp;qid=1695173710&amp;sr=8-1</v>
      </c>
      <c r="F613" t="s">
        <v>1441</v>
      </c>
      <c r="G613" t="e">
        <f ca="1">_xludf.IMAGE("https://edmondsonsupply.com/cdn/shop/files/W14658_01.jpg?v=1692277178")</f>
        <v>#NAME?</v>
      </c>
      <c r="H613" t="e">
        <f ca="1">_xludf.IMAGE("https://m.media-amazon.com/images/I/81f-aeE88zL._AC_UL320_.jpg")</f>
        <v>#NAME?</v>
      </c>
      <c r="I613" t="s">
        <v>1355</v>
      </c>
      <c r="J613">
        <v>10.99</v>
      </c>
      <c r="K613" s="4">
        <v>8.2353000000000005</v>
      </c>
      <c r="L613">
        <v>4.9000000000000004</v>
      </c>
      <c r="M613">
        <v>69</v>
      </c>
      <c r="O613" t="s">
        <v>25</v>
      </c>
      <c r="P613" t="s">
        <v>138</v>
      </c>
      <c r="Q613" t="s">
        <v>1356</v>
      </c>
    </row>
    <row r="614" spans="1:17" ht="15.5" x14ac:dyDescent="0.35">
      <c r="A614"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614" s="3" t="str">
        <f>HYPERLINK("https://edmondsonsupply.com/products/cambridge-3-4-pvc-liquid-tight-conduit-fitting-90-degree", "https://edmondsonsupply.com/products/cambridge-3-4-pvc-liquid-tight-conduit-fitting-90-degree")</f>
        <v>https://edmondsonsupply.com/products/cambridge-3-4-pvc-liquid-tight-conduit-fitting-90-degree</v>
      </c>
      <c r="C614" t="s">
        <v>1370</v>
      </c>
      <c r="D614" t="s">
        <v>1442</v>
      </c>
      <c r="E614" s="3" t="str">
        <f>HYPERLINK("https://www.amazon.com/Moicstiy-Connector-Nonmetallic-Electrical-Flexible/dp/B0B2VDMQ8D/ref=sr_1_7?keywords=Cambridge+3%2F4%22+PVC+Liquid+Tight+Conduit+Fitting+-+90+Degree&amp;qid=1695173711&amp;sr=8-7", "https://www.amazon.com/Moicstiy-Connector-Nonmetallic-Electrical-Flexible/dp/B0B2VDMQ8D/ref=sr_1_7?keywords=Cambridge+3%2F4%22+PVC+Liquid+Tight+Conduit+Fitting+-+90+Degree&amp;qid=1695173711&amp;sr=8-7")</f>
        <v>https://www.amazon.com/Moicstiy-Connector-Nonmetallic-Electrical-Flexible/dp/B0B2VDMQ8D/ref=sr_1_7?keywords=Cambridge+3%2F4%22+PVC+Liquid+Tight+Conduit+Fitting+-+90+Degree&amp;qid=1695173711&amp;sr=8-7</v>
      </c>
      <c r="F614" t="s">
        <v>1443</v>
      </c>
      <c r="G614" t="e">
        <f ca="1">_xludf.IMAGE("https://edmondsonsupply.com/cdn/shop/files/W14657_01.jpg?v=1692278537")</f>
        <v>#NAME?</v>
      </c>
      <c r="H614" t="e">
        <f ca="1">_xludf.IMAGE("https://m.media-amazon.com/images/I/61YzGobupRL._AC_UL320_.jpg")</f>
        <v>#NAME?</v>
      </c>
      <c r="I614" t="s">
        <v>1373</v>
      </c>
      <c r="J614">
        <v>15.79</v>
      </c>
      <c r="K614" s="4">
        <v>7.7721999999999998</v>
      </c>
      <c r="L614">
        <v>4</v>
      </c>
      <c r="M614">
        <v>10</v>
      </c>
      <c r="O614" t="s">
        <v>25</v>
      </c>
      <c r="P614" t="s">
        <v>138</v>
      </c>
      <c r="Q614" t="s">
        <v>1374</v>
      </c>
    </row>
    <row r="615" spans="1:17" ht="15.5" x14ac:dyDescent="0.35">
      <c r="A615"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615" s="3" t="str">
        <f>HYPERLINK("https://edmondsonsupply.com/products/cambridge-1-2-pvc-liquid-tight-conduit-fitting-straight", "https://edmondsonsupply.com/products/cambridge-1-2-pvc-liquid-tight-conduit-fitting-straight")</f>
        <v>https://edmondsonsupply.com/products/cambridge-1-2-pvc-liquid-tight-conduit-fitting-straight</v>
      </c>
      <c r="C615" t="s">
        <v>1352</v>
      </c>
      <c r="D615" t="s">
        <v>1444</v>
      </c>
      <c r="E615" s="3" t="str">
        <f>HYPERLINK("https://www.amazon.com/Flexible-Conduit-Liquid-Tight-Connector/dp/B09BZ6195M/ref=sr_1_2?keywords=Cambridge+1%2F2%22+PVC+Liquid+Tight+Conduit+Fitting+-+Straight&amp;qid=1695173710&amp;sr=8-2", "https://www.amazon.com/Flexible-Conduit-Liquid-Tight-Connector/dp/B09BZ6195M/ref=sr_1_2?keywords=Cambridge+1%2F2%22+PVC+Liquid+Tight+Conduit+Fitting+-+Straight&amp;qid=1695173710&amp;sr=8-2")</f>
        <v>https://www.amazon.com/Flexible-Conduit-Liquid-Tight-Connector/dp/B09BZ6195M/ref=sr_1_2?keywords=Cambridge+1%2F2%22+PVC+Liquid+Tight+Conduit+Fitting+-+Straight&amp;qid=1695173710&amp;sr=8-2</v>
      </c>
      <c r="F615" t="s">
        <v>1445</v>
      </c>
      <c r="G615" t="e">
        <f ca="1">_xludf.IMAGE("https://edmondsonsupply.com/cdn/shop/files/W14658_01.jpg?v=1692277178")</f>
        <v>#NAME?</v>
      </c>
      <c r="H615" t="e">
        <f ca="1">_xludf.IMAGE("https://m.media-amazon.com/images/I/61HL1y6quFL._AC_UL320_.jpg")</f>
        <v>#NAME?</v>
      </c>
      <c r="I615" t="s">
        <v>1355</v>
      </c>
      <c r="J615">
        <v>9.99</v>
      </c>
      <c r="K615" s="4">
        <v>7.3949999999999996</v>
      </c>
      <c r="L615">
        <v>4.8</v>
      </c>
      <c r="M615">
        <v>93</v>
      </c>
      <c r="O615" t="s">
        <v>25</v>
      </c>
      <c r="P615" t="s">
        <v>138</v>
      </c>
      <c r="Q615" t="s">
        <v>1356</v>
      </c>
    </row>
    <row r="616" spans="1:17" ht="15.5" x14ac:dyDescent="0.35">
      <c r="A616"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616" s="3" t="str">
        <f>HYPERLINK("https://edmondsonsupply.com/products/cambridge-1-2-pvc-liquid-tight-conduit-fitting-straight", "https://edmondsonsupply.com/products/cambridge-1-2-pvc-liquid-tight-conduit-fitting-straight")</f>
        <v>https://edmondsonsupply.com/products/cambridge-1-2-pvc-liquid-tight-conduit-fitting-straight</v>
      </c>
      <c r="C616" t="s">
        <v>1352</v>
      </c>
      <c r="D616" t="s">
        <v>1446</v>
      </c>
      <c r="E616" s="3" t="str">
        <f>HYPERLINK("https://www.amazon.com/Sealproof-Non-metallic-Straight-Electrical-Connector/dp/B0756MCT9P/ref=sr_1_5?keywords=Cambridge+1%2F2%22+PVC+Liquid+Tight+Conduit+Fitting+-+Straight&amp;qid=1695173710&amp;sr=8-5", "https://www.amazon.com/Sealproof-Non-metallic-Straight-Electrical-Connector/dp/B0756MCT9P/ref=sr_1_5?keywords=Cambridge+1%2F2%22+PVC+Liquid+Tight+Conduit+Fitting+-+Straight&amp;qid=1695173710&amp;sr=8-5")</f>
        <v>https://www.amazon.com/Sealproof-Non-metallic-Straight-Electrical-Connector/dp/B0756MCT9P/ref=sr_1_5?keywords=Cambridge+1%2F2%22+PVC+Liquid+Tight+Conduit+Fitting+-+Straight&amp;qid=1695173710&amp;sr=8-5</v>
      </c>
      <c r="F616" t="s">
        <v>1447</v>
      </c>
      <c r="G616" t="e">
        <f ca="1">_xludf.IMAGE("https://edmondsonsupply.com/cdn/shop/files/W14658_01.jpg?v=1692277178")</f>
        <v>#NAME?</v>
      </c>
      <c r="H616" t="e">
        <f ca="1">_xludf.IMAGE("https://m.media-amazon.com/images/I/81AMhiohj6L._AC_UL320_.jpg")</f>
        <v>#NAME?</v>
      </c>
      <c r="I616" t="s">
        <v>1355</v>
      </c>
      <c r="J616">
        <v>9.99</v>
      </c>
      <c r="K616" s="4">
        <v>7.3949999999999996</v>
      </c>
      <c r="L616">
        <v>4.7</v>
      </c>
      <c r="M616">
        <v>504</v>
      </c>
      <c r="O616" t="s">
        <v>25</v>
      </c>
      <c r="P616" t="s">
        <v>138</v>
      </c>
      <c r="Q616" t="s">
        <v>1356</v>
      </c>
    </row>
    <row r="617" spans="1:17" ht="15.5" x14ac:dyDescent="0.35">
      <c r="A617"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617" s="3" t="str">
        <f>HYPERLINK("https://edmondsonsupply.com/products/cambridge-1-2-pvc-liquid-tight-conduit-fitting-90-degree", "https://edmondsonsupply.com/products/cambridge-1-2-pvc-liquid-tight-conduit-fitting-90-degree")</f>
        <v>https://edmondsonsupply.com/products/cambridge-1-2-pvc-liquid-tight-conduit-fitting-90-degree</v>
      </c>
      <c r="C617" t="s">
        <v>1345</v>
      </c>
      <c r="D617" t="s">
        <v>1448</v>
      </c>
      <c r="E617" s="3" t="str">
        <f>HYPERLINK("https://www.amazon.com/Connector-Electrical-Flexible-Bathroom-Supplies/dp/B0C621G3ZP/ref=sr_1_7?keywords=Cambridge+1%2F2%22+PVC+Liquid+Tight+Conduit+Fitting+-+90+Degree&amp;qid=1695173714&amp;sr=8-7", "https://www.amazon.com/Connector-Electrical-Flexible-Bathroom-Supplies/dp/B0C621G3ZP/ref=sr_1_7?keywords=Cambridge+1%2F2%22+PVC+Liquid+Tight+Conduit+Fitting+-+90+Degree&amp;qid=1695173714&amp;sr=8-7")</f>
        <v>https://www.amazon.com/Connector-Electrical-Flexible-Bathroom-Supplies/dp/B0C621G3ZP/ref=sr_1_7?keywords=Cambridge+1%2F2%22+PVC+Liquid+Tight+Conduit+Fitting+-+90+Degree&amp;qid=1695173714&amp;sr=8-7</v>
      </c>
      <c r="F617" t="s">
        <v>1449</v>
      </c>
      <c r="G617" t="e">
        <f ca="1">_xludf.IMAGE("https://edmondsonsupply.com/cdn/shop/files/W14659_01.jpg?v=1692278106")</f>
        <v>#NAME?</v>
      </c>
      <c r="H617" t="e">
        <f ca="1">_xludf.IMAGE("https://m.media-amazon.com/images/I/61t+CtU7I1L._AC_UL320_.jpg")</f>
        <v>#NAME?</v>
      </c>
      <c r="I617" t="s">
        <v>1348</v>
      </c>
      <c r="J617">
        <v>11.99</v>
      </c>
      <c r="K617" s="4">
        <v>7.1013999999999999</v>
      </c>
      <c r="L617">
        <v>4.9000000000000004</v>
      </c>
      <c r="M617">
        <v>20</v>
      </c>
      <c r="O617" t="s">
        <v>25</v>
      </c>
      <c r="P617" t="s">
        <v>138</v>
      </c>
      <c r="Q617" t="s">
        <v>1349</v>
      </c>
    </row>
    <row r="618" spans="1:17" ht="15.5" x14ac:dyDescent="0.35">
      <c r="A618"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618" s="3" t="str">
        <f>HYPERLINK("https://edmondsonsupply.com/products/cambridge-3-4-pvc-liquid-tight-conduit-fitting-90-degree", "https://edmondsonsupply.com/products/cambridge-3-4-pvc-liquid-tight-conduit-fitting-90-degree")</f>
        <v>https://edmondsonsupply.com/products/cambridge-3-4-pvc-liquid-tight-conduit-fitting-90-degree</v>
      </c>
      <c r="C618" t="s">
        <v>1370</v>
      </c>
      <c r="D618" t="s">
        <v>1450</v>
      </c>
      <c r="E618" s="3" t="str">
        <f>HYPERLINK("https://www.amazon.com/Fuzbaxy-Connector-Electrical-Conduit-Fitting-6PACK/dp/B09SCM9FQK/ref=sr_1_5?keywords=Cambridge+3%2F4%22+PVC+Liquid+Tight+Conduit+Fitting+-+90+Degree&amp;qid=1695173711&amp;sr=8-5", "https://www.amazon.com/Fuzbaxy-Connector-Electrical-Conduit-Fitting-6PACK/dp/B09SCM9FQK/ref=sr_1_5?keywords=Cambridge+3%2F4%22+PVC+Liquid+Tight+Conduit+Fitting+-+90+Degree&amp;qid=1695173711&amp;sr=8-5")</f>
        <v>https://www.amazon.com/Fuzbaxy-Connector-Electrical-Conduit-Fitting-6PACK/dp/B09SCM9FQK/ref=sr_1_5?keywords=Cambridge+3%2F4%22+PVC+Liquid+Tight+Conduit+Fitting+-+90+Degree&amp;qid=1695173711&amp;sr=8-5</v>
      </c>
      <c r="F618" t="s">
        <v>1451</v>
      </c>
      <c r="G618" t="e">
        <f ca="1">_xludf.IMAGE("https://edmondsonsupply.com/cdn/shop/files/W14657_01.jpg?v=1692278537")</f>
        <v>#NAME?</v>
      </c>
      <c r="H618" t="e">
        <f ca="1">_xludf.IMAGE("https://m.media-amazon.com/images/I/61qI9XEzX+L._AC_UL320_.jpg")</f>
        <v>#NAME?</v>
      </c>
      <c r="I618" t="s">
        <v>1373</v>
      </c>
      <c r="J618">
        <v>14.55</v>
      </c>
      <c r="K618" s="4">
        <v>7.0833000000000004</v>
      </c>
      <c r="L618">
        <v>4.5999999999999996</v>
      </c>
      <c r="M618">
        <v>105</v>
      </c>
      <c r="O618" t="s">
        <v>25</v>
      </c>
      <c r="P618" t="s">
        <v>138</v>
      </c>
      <c r="Q618" t="s">
        <v>1374</v>
      </c>
    </row>
    <row r="619" spans="1:17" ht="15.5" x14ac:dyDescent="0.35">
      <c r="A619" s="3" t="str">
        <f>HYPERLINK("https://edmondsonsupply.com/collections/hvac/products/diablo-tools-dmapl4210-5-8-in-x-4-in-x-6-in-rebar-demon%E2%84%A2-sds-plus-4-cutter-full-carbide-head-hammer-bit", "https://edmondsonsupply.com/collections/hvac/products/diablo-tools-dmapl4210-5-8-in-x-4-in-x-6-in-rebar-demon%E2%84%A2-sds-plus-4-cutter-full-carbide-head-hammer-bit")</f>
        <v>https://edmondsonsupply.com/collections/hvac/products/diablo-tools-dmapl4210-5-8-in-x-4-in-x-6-in-rebar-demon%E2%84%A2-sds-plus-4-cutter-full-carbide-head-hammer-bit</v>
      </c>
      <c r="B619"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619" t="s">
        <v>1424</v>
      </c>
      <c r="D619" t="s">
        <v>1452</v>
      </c>
      <c r="E619" s="3"/>
      <c r="F619" t="s">
        <v>1453</v>
      </c>
      <c r="G619" t="e">
        <f ca="1">_xludf.IMAGE("https://edmondsonsupply.com/cdn/shop/products/DMAPL4210_Main-Image20200701.png?v=1633030426")</f>
        <v>#NAME?</v>
      </c>
      <c r="H619" t="e">
        <f ca="1">_xludf.IMAGE("https://m.media-amazon.com/images/I/61WAyx865hL._AC_UL320_.jpg")</f>
        <v>#NAME?</v>
      </c>
      <c r="I619" t="s">
        <v>1427</v>
      </c>
      <c r="J619">
        <v>79.63</v>
      </c>
      <c r="K619" s="4">
        <v>6.9870000000000001</v>
      </c>
      <c r="L619">
        <v>5</v>
      </c>
      <c r="M619">
        <v>2</v>
      </c>
      <c r="O619" t="s">
        <v>25</v>
      </c>
      <c r="P619" t="s">
        <v>1428</v>
      </c>
      <c r="Q619" t="s">
        <v>1429</v>
      </c>
    </row>
    <row r="620" spans="1:17" ht="15.5" x14ac:dyDescent="0.35">
      <c r="A620"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620" s="3" t="str">
        <f>HYPERLINK("https://edmondsonsupply.com/products/cambridge-1-2-pvc-liquid-tight-conduit-fitting-straight", "https://edmondsonsupply.com/products/cambridge-1-2-pvc-liquid-tight-conduit-fitting-straight")</f>
        <v>https://edmondsonsupply.com/products/cambridge-1-2-pvc-liquid-tight-conduit-fitting-straight</v>
      </c>
      <c r="C620" t="s">
        <v>1352</v>
      </c>
      <c r="D620" t="s">
        <v>1454</v>
      </c>
      <c r="E620" s="3" t="str">
        <f>HYPERLINK("https://www.amazon.com/Connector-Flexible-Non-Metallic-Electrical-Fittings/dp/B0BX9J9PJV/ref=sr_1_8?keywords=Cambridge+1%2F2%22+PVC+Liquid+Tight+Conduit+Fitting+-+Straight&amp;qid=1695173710&amp;sr=8-8", "https://www.amazon.com/Connector-Flexible-Non-Metallic-Electrical-Fittings/dp/B0BX9J9PJV/ref=sr_1_8?keywords=Cambridge+1%2F2%22+PVC+Liquid+Tight+Conduit+Fitting+-+Straight&amp;qid=1695173710&amp;sr=8-8")</f>
        <v>https://www.amazon.com/Connector-Flexible-Non-Metallic-Electrical-Fittings/dp/B0BX9J9PJV/ref=sr_1_8?keywords=Cambridge+1%2F2%22+PVC+Liquid+Tight+Conduit+Fitting+-+Straight&amp;qid=1695173710&amp;sr=8-8</v>
      </c>
      <c r="F620" t="s">
        <v>1455</v>
      </c>
      <c r="G620" t="e">
        <f ca="1">_xludf.IMAGE("https://edmondsonsupply.com/cdn/shop/files/W14658_01.jpg?v=1692277178")</f>
        <v>#NAME?</v>
      </c>
      <c r="H620" t="e">
        <f ca="1">_xludf.IMAGE("https://m.media-amazon.com/images/I/51vn4jJ6ulL._AC_UL320_.jpg")</f>
        <v>#NAME?</v>
      </c>
      <c r="I620" t="s">
        <v>1355</v>
      </c>
      <c r="J620">
        <v>9.49</v>
      </c>
      <c r="K620" s="4">
        <v>6.9748000000000001</v>
      </c>
      <c r="L620">
        <v>4.9000000000000004</v>
      </c>
      <c r="M620">
        <v>26</v>
      </c>
      <c r="O620" t="s">
        <v>25</v>
      </c>
      <c r="P620" t="s">
        <v>138</v>
      </c>
      <c r="Q620" t="s">
        <v>1356</v>
      </c>
    </row>
    <row r="621" spans="1:17" ht="15.5" x14ac:dyDescent="0.35">
      <c r="A621" s="3" t="str">
        <f>HYPERLINK("https://edmondsonsupply.com/collections/hvac/products/packard-titan-pro-toc5-motor-run-capacitor-5-mfd-370-volt-oval", "https://edmondsonsupply.com/collections/hvac/products/packard-titan-pro-toc5-motor-run-capacitor-5-mfd-370-volt-oval")</f>
        <v>https://edmondsonsupply.com/collections/hvac/products/packard-titan-pro-toc5-motor-run-capacitor-5-mfd-370-volt-oval</v>
      </c>
      <c r="B621" s="3" t="str">
        <f>HYPERLINK("https://edmondsonsupply.com/products/packard-titan-pro-toc5-motor-run-capacitor-5-mfd-370-volt-oval", "https://edmondsonsupply.com/products/packard-titan-pro-toc5-motor-run-capacitor-5-mfd-370-volt-oval")</f>
        <v>https://edmondsonsupply.com/products/packard-titan-pro-toc5-motor-run-capacitor-5-mfd-370-volt-oval</v>
      </c>
      <c r="C621" t="s">
        <v>1456</v>
      </c>
      <c r="D621" t="s">
        <v>1457</v>
      </c>
      <c r="E621" s="3" t="str">
        <f>HYPERLINK("https://www.amazon.com/Packard-TOCFD255-Titan-Motor-Capacitor/dp/B009558O8G/ref=sr_1_1?keywords=Packard+Titan+PRO+TOC5+Motor+Run+Capacitor+5+MFD+370+Volt+Oval&amp;qid=1695173382&amp;sr=8-1", "https://www.amazon.com/Packard-TOCFD255-Titan-Motor-Capacitor/dp/B009558O8G/ref=sr_1_1?keywords=Packard+Titan+PRO+TOC5+Motor+Run+Capacitor+5+MFD+370+Volt+Oval&amp;qid=1695173382&amp;sr=8-1")</f>
        <v>https://www.amazon.com/Packard-TOCFD255-Titan-Motor-Capacitor/dp/B009558O8G/ref=sr_1_1?keywords=Packard+Titan+PRO+TOC5+Motor+Run+Capacitor+5+MFD+370+Volt+Oval&amp;qid=1695173382&amp;sr=8-1</v>
      </c>
      <c r="F621" t="s">
        <v>1458</v>
      </c>
      <c r="G621" t="e">
        <f ca="1">_xludf.IMAGE("https://edmondsonsupply.com/cdn/shop/products/TOC5-2_cb7d381d-e381-4aa5-9246-56c19cd39747.jpg?v=1587146064")</f>
        <v>#NAME?</v>
      </c>
      <c r="H621" t="e">
        <f ca="1">_xludf.IMAGE("https://m.media-amazon.com/images/I/51ZHG4pO0nL._AC_UY218_.jpg")</f>
        <v>#NAME?</v>
      </c>
      <c r="I621" t="s">
        <v>1459</v>
      </c>
      <c r="J621">
        <v>13.91</v>
      </c>
      <c r="K621" s="4">
        <v>6.5598000000000001</v>
      </c>
      <c r="L621">
        <v>4.5</v>
      </c>
      <c r="M621">
        <v>42</v>
      </c>
      <c r="O621" t="s">
        <v>25</v>
      </c>
      <c r="P621" t="s">
        <v>138</v>
      </c>
      <c r="Q621" t="s">
        <v>1460</v>
      </c>
    </row>
    <row r="622" spans="1:17" ht="15.5" x14ac:dyDescent="0.35">
      <c r="A622"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622" s="3" t="str">
        <f>HYPERLINK("https://edmondsonsupply.com/products/klein-tools-69417-rare-earth-magnetic-meter-hanger", "https://edmondsonsupply.com/products/klein-tools-69417-rare-earth-magnetic-meter-hanger")</f>
        <v>https://edmondsonsupply.com/products/klein-tools-69417-rare-earth-magnetic-meter-hanger</v>
      </c>
      <c r="C622" t="s">
        <v>1413</v>
      </c>
      <c r="D622" t="s">
        <v>1461</v>
      </c>
      <c r="E622" s="3" t="str">
        <f>HYPERLINK("https://www.amazon.com/Klein-Tools-Autoranging-Continuity-Rare-Earth/dp/B0BFXLZRVQ/ref=sr_1_6?keywords=Klein+Tools+69417+Rare+Earth+Magnetic+Meter+Hanger%2C+with+Strap&amp;qid=1695173681&amp;sr=8-6", "https://www.amazon.com/Klein-Tools-Autoranging-Continuity-Rare-Earth/dp/B0BFXLZRVQ/ref=sr_1_6?keywords=Klein+Tools+69417+Rare+Earth+Magnetic+Meter+Hanger%2C+with+Strap&amp;qid=1695173681&amp;sr=8-6")</f>
        <v>https://www.amazon.com/Klein-Tools-Autoranging-Continuity-Rare-Earth/dp/B0BFXLZRVQ/ref=sr_1_6?keywords=Klein+Tools+69417+Rare+Earth+Magnetic+Meter+Hanger%2C+with+Strap&amp;qid=1695173681&amp;sr=8-6</v>
      </c>
      <c r="F622" t="s">
        <v>1462</v>
      </c>
      <c r="G622" t="e">
        <f ca="1">_xludf.IMAGE("https://edmondsonsupply.com/cdn/shop/products/69417.jpg?v=1587150163")</f>
        <v>#NAME?</v>
      </c>
      <c r="H622" t="e">
        <f ca="1">_xludf.IMAGE("https://m.media-amazon.com/images/I/512fcqciBhL._AC_UL320_.jpg")</f>
        <v>#NAME?</v>
      </c>
      <c r="I622" t="s">
        <v>288</v>
      </c>
      <c r="J622">
        <v>105.38</v>
      </c>
      <c r="K622" s="4">
        <v>6.5324999999999998</v>
      </c>
      <c r="L622">
        <v>4.7</v>
      </c>
      <c r="M622">
        <v>550</v>
      </c>
      <c r="O622" t="s">
        <v>25</v>
      </c>
      <c r="P622" t="s">
        <v>845</v>
      </c>
      <c r="Q622" t="s">
        <v>1416</v>
      </c>
    </row>
    <row r="623" spans="1:17" ht="15.5" x14ac:dyDescent="0.35">
      <c r="A623" s="3" t="str">
        <f>HYPERLINK("https://edmondsonsupply.com/collections/hvac/products/klein-tools-69410-replacement-test-lead-set-right-angle", "https://edmondsonsupply.com/collections/hvac/products/klein-tools-69410-replacement-test-lead-set-right-angle")</f>
        <v>https://edmondsonsupply.com/collections/hvac/products/klein-tools-69410-replacement-test-lead-set-right-angle</v>
      </c>
      <c r="B623" s="3" t="str">
        <f>HYPERLINK("https://edmondsonsupply.com/products/klein-tools-69410-replacement-test-lead-set-right-angle", "https://edmondsonsupply.com/products/klein-tools-69410-replacement-test-lead-set-right-angle")</f>
        <v>https://edmondsonsupply.com/products/klein-tools-69410-replacement-test-lead-set-right-angle</v>
      </c>
      <c r="C623" t="s">
        <v>1463</v>
      </c>
      <c r="D623" t="s">
        <v>1464</v>
      </c>
      <c r="E623" s="3" t="str">
        <f>HYPERLINK("https://www.amazon.com/Klein-Tools-Autoranging-Continuity-Capacitance/dp/B0B2D3PJS9/ref=sr_1_9?keywords=Klein+Tools+69410+Replacement+Test+Lead+Set%2C+Right+Angle&amp;qid=1695173692&amp;sr=8-9", "https://www.amazon.com/Klein-Tools-Autoranging-Continuity-Capacitance/dp/B0B2D3PJS9/ref=sr_1_9?keywords=Klein+Tools+69410+Replacement+Test+Lead+Set%2C+Right+Angle&amp;qid=1695173692&amp;sr=8-9")</f>
        <v>https://www.amazon.com/Klein-Tools-Autoranging-Continuity-Capacitance/dp/B0B2D3PJS9/ref=sr_1_9?keywords=Klein+Tools+69410+Replacement+Test+Lead+Set%2C+Right+Angle&amp;qid=1695173692&amp;sr=8-9</v>
      </c>
      <c r="F623" t="s">
        <v>1465</v>
      </c>
      <c r="G623" t="e">
        <f ca="1">_xludf.IMAGE("https://edmondsonsupply.com/cdn/shop/products/69410.jpg?v=1587143393")</f>
        <v>#NAME?</v>
      </c>
      <c r="H623" t="e">
        <f ca="1">_xludf.IMAGE("https://m.media-amazon.com/images/I/61lou4CYiIL._AC_UY218_.jpg")</f>
        <v>#NAME?</v>
      </c>
      <c r="I623" t="s">
        <v>893</v>
      </c>
      <c r="J623">
        <v>149.94</v>
      </c>
      <c r="K623" s="4">
        <v>6.5083000000000002</v>
      </c>
      <c r="L623">
        <v>4.7</v>
      </c>
      <c r="M623">
        <v>15</v>
      </c>
      <c r="O623" t="s">
        <v>25</v>
      </c>
      <c r="P623" t="s">
        <v>1466</v>
      </c>
      <c r="Q623" t="s">
        <v>1467</v>
      </c>
    </row>
    <row r="624" spans="1:17" ht="15.5" x14ac:dyDescent="0.35">
      <c r="A624"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624" s="3" t="str">
        <f>HYPERLINK("https://edmondsonsupply.com/products/klein-tools-5141-canvas-bag-4-pk-brown-black-gray-red", "https://edmondsonsupply.com/products/klein-tools-5141-canvas-bag-4-pk-brown-black-gray-red")</f>
        <v>https://edmondsonsupply.com/products/klein-tools-5141-canvas-bag-4-pk-brown-black-gray-red</v>
      </c>
      <c r="C624" t="s">
        <v>243</v>
      </c>
      <c r="D624" t="s">
        <v>244</v>
      </c>
      <c r="E624" s="3" t="str">
        <f>HYPERLINK("https://www.amazon.com/Klein-Tools-55473RTB-Rolling-Utility/dp/B0BC868BJY/ref=sr_1_8?keywords=Klein+Tools+5141+Zipper+Bags%2C+Canvas+Tool+Pouches+Brown%2FBlack%2FGray%2FRed%2C+4-Pack&amp;qid=1695173635&amp;sr=8-8", "https://www.amazon.com/Klein-Tools-55473RTB-Rolling-Utility/dp/B0BC868BJY/ref=sr_1_8?keywords=Klein+Tools+5141+Zipper+Bags%2C+Canvas+Tool+Pouches+Brown%2FBlack%2FGray%2FRed%2C+4-Pack&amp;qid=1695173635&amp;sr=8-8")</f>
        <v>https://www.amazon.com/Klein-Tools-55473RTB-Rolling-Utility/dp/B0BC868BJY/ref=sr_1_8?keywords=Klein+Tools+5141+Zipper+Bags%2C+Canvas+Tool+Pouches+Brown%2FBlack%2FGray%2FRed%2C+4-Pack&amp;qid=1695173635&amp;sr=8-8</v>
      </c>
      <c r="F624" t="s">
        <v>245</v>
      </c>
      <c r="G624" t="e">
        <f ca="1">_xludf.IMAGE("https://edmondsonsupply.com/cdn/shop/products/5141.jpg?v=1633030517")</f>
        <v>#NAME?</v>
      </c>
      <c r="H624" t="e">
        <f ca="1">_xludf.IMAGE("https://m.media-amazon.com/images/I/5136Of2hQEL._AC_UL320_.jpg")</f>
        <v>#NAME?</v>
      </c>
      <c r="I624" t="s">
        <v>246</v>
      </c>
      <c r="J624">
        <v>298</v>
      </c>
      <c r="K624" s="4">
        <v>6.4555999999999996</v>
      </c>
      <c r="L624">
        <v>5</v>
      </c>
      <c r="M624">
        <v>1</v>
      </c>
      <c r="O624" t="s">
        <v>25</v>
      </c>
      <c r="P624" t="s">
        <v>247</v>
      </c>
      <c r="Q624" t="s">
        <v>248</v>
      </c>
    </row>
    <row r="625" spans="1:17" ht="15.5" x14ac:dyDescent="0.35">
      <c r="A625" s="3" t="str">
        <f>HYPERLINK("https://edmondsonsupply.com/collections/hvac/products/lucas-milhaupt-95177-sil-fos-15-7-rods-15-silver-1", "https://edmondsonsupply.com/collections/hvac/products/lucas-milhaupt-95177-sil-fos-15-7-rods-15-silver-1")</f>
        <v>https://edmondsonsupply.com/collections/hvac/products/lucas-milhaupt-95177-sil-fos-15-7-rods-15-silver-1</v>
      </c>
      <c r="B625" s="3" t="str">
        <f>HYPERLINK("https://edmondsonsupply.com/products/lucas-milhaupt-95177-sil-fos-15-7-rods-15-silver-1", "https://edmondsonsupply.com/products/lucas-milhaupt-95177-sil-fos-15-7-rods-15-silver-1")</f>
        <v>https://edmondsonsupply.com/products/lucas-milhaupt-95177-sil-fos-15-7-rods-15-silver-1</v>
      </c>
      <c r="C625" t="s">
        <v>1468</v>
      </c>
      <c r="D625" t="s">
        <v>1469</v>
      </c>
      <c r="E625" s="3" t="str">
        <f>HYPERLINK("https://www.amazon.com/Lucas-Milhaupt-99088-Flux-Cored-Aluminum/dp/B0B22K311X/ref=sr_1_5?keywords=Lucas+Milhaupt+99088+AL+822+Aluminum+Solder%2C+4+Rods&amp;qid=1695173332&amp;sr=8-5", "https://www.amazon.com/Lucas-Milhaupt-99088-Flux-Cored-Aluminum/dp/B0B22K311X/ref=sr_1_5?keywords=Lucas+Milhaupt+99088+AL+822+Aluminum+Solder%2C+4+Rods&amp;qid=1695173332&amp;sr=8-5")</f>
        <v>https://www.amazon.com/Lucas-Milhaupt-99088-Flux-Cored-Aluminum/dp/B0B22K311X/ref=sr_1_5?keywords=Lucas+Milhaupt+99088+AL+822+Aluminum+Solder%2C+4+Rods&amp;qid=1695173332&amp;sr=8-5</v>
      </c>
      <c r="F625" t="s">
        <v>1470</v>
      </c>
      <c r="G625" t="e">
        <f ca="1">_xludf.IMAGE("https://edmondsonsupply.com/cdn/shop/products/99088-2.jpg?v=1587147488")</f>
        <v>#NAME?</v>
      </c>
      <c r="H625" t="e">
        <f ca="1">_xludf.IMAGE("https://m.media-amazon.com/images/I/61rhKzg5d7L._AC_UL320_.jpg")</f>
        <v>#NAME?</v>
      </c>
      <c r="I625" t="s">
        <v>1471</v>
      </c>
      <c r="J625">
        <v>190.33</v>
      </c>
      <c r="K625" s="4">
        <v>6.4405999999999999</v>
      </c>
      <c r="L625">
        <v>4.7</v>
      </c>
      <c r="M625">
        <v>51</v>
      </c>
      <c r="O625" t="s">
        <v>25</v>
      </c>
      <c r="P625" t="s">
        <v>138</v>
      </c>
      <c r="Q625" t="s">
        <v>1472</v>
      </c>
    </row>
    <row r="626" spans="1:17" ht="15.5" x14ac:dyDescent="0.35">
      <c r="A626"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626" s="3" t="str">
        <f>HYPERLINK("https://edmondsonsupply.com/products/packard-ttmj108-motor-start-capacitor-108-130-mfd-220-250-vac", "https://edmondsonsupply.com/products/packard-ttmj108-motor-start-capacitor-108-130-mfd-220-250-vac")</f>
        <v>https://edmondsonsupply.com/products/packard-ttmj108-motor-start-capacitor-108-130-mfd-220-250-vac</v>
      </c>
      <c r="C626" t="s">
        <v>1473</v>
      </c>
      <c r="D626" t="s">
        <v>1474</v>
      </c>
      <c r="E626" s="3" t="str">
        <f>HYPERLINK("https://www.amazon.com/Pooltek-Start-Capacitor-108-130-220v/dp/B07D71163G/ref=sr_1_5?keywords=Packard+TTMJ108+Motor+Start+Capacitor+108-130+MFD+220-250+VAC&amp;qid=1695173723&amp;sr=8-5", "https://www.amazon.com/Pooltek-Start-Capacitor-108-130-220v/dp/B07D71163G/ref=sr_1_5?keywords=Packard+TTMJ108+Motor+Start+Capacitor+108-130+MFD+220-250+VAC&amp;qid=1695173723&amp;sr=8-5")</f>
        <v>https://www.amazon.com/Pooltek-Start-Capacitor-108-130-220v/dp/B07D71163G/ref=sr_1_5?keywords=Packard+TTMJ108+Motor+Start+Capacitor+108-130+MFD+220-250+VAC&amp;qid=1695173723&amp;sr=8-5</v>
      </c>
      <c r="F626" t="s">
        <v>1475</v>
      </c>
      <c r="G626" t="e">
        <f ca="1">_xludf.IMAGE("https://edmondsonsupply.com/cdn/shop/files/PTMJ108-2_c3537879-2bfc-401f-867d-9ee4aaa5c4bb.jpg?v=1692220228")</f>
        <v>#NAME?</v>
      </c>
      <c r="H626" t="e">
        <f ca="1">_xludf.IMAGE("https://m.media-amazon.com/images/I/51sr2-VxrUL._AC_UY218_.jpg")</f>
        <v>#NAME?</v>
      </c>
      <c r="I626" t="s">
        <v>1476</v>
      </c>
      <c r="J626">
        <v>32.4</v>
      </c>
      <c r="K626" s="4">
        <v>6.3803999999999998</v>
      </c>
      <c r="L626">
        <v>5</v>
      </c>
      <c r="M626">
        <v>1</v>
      </c>
      <c r="O626" t="s">
        <v>25</v>
      </c>
      <c r="P626" t="s">
        <v>138</v>
      </c>
      <c r="Q626" t="s">
        <v>1477</v>
      </c>
    </row>
    <row r="627" spans="1:17" ht="15.5" x14ac:dyDescent="0.35">
      <c r="A627"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627" s="3" t="str">
        <f>HYPERLINK("https://edmondsonsupply.com/products/klein-tools-646-1-4-1-4-inch-nut-driver-with-6-inch-hollow-shaft", "https://edmondsonsupply.com/products/klein-tools-646-1-4-1-4-inch-nut-driver-with-6-inch-hollow-shaft")</f>
        <v>https://edmondsonsupply.com/products/klein-tools-646-1-4-1-4-inch-nut-driver-with-6-inch-hollow-shaft</v>
      </c>
      <c r="C627" t="s">
        <v>1478</v>
      </c>
      <c r="D627" t="s">
        <v>1479</v>
      </c>
      <c r="E627" s="3" t="str">
        <f>HYPERLINK("https://www.amazon.com/Driver-6-Inch-Klein-Tools-647/dp/B0014KRVXO/ref=sr_1_10?keywords=Klein+Tools+646-1%2F4+1%2F4-Inch+Nut+Driver+with+6-Inch+Hollow+Shaft&amp;qid=1695173548&amp;sr=8-10", "https://www.amazon.com/Driver-6-Inch-Klein-Tools-647/dp/B0014KRVXO/ref=sr_1_10?keywords=Klein+Tools+646-1%2F4+1%2F4-Inch+Nut+Driver+with+6-Inch+Hollow+Shaft&amp;qid=1695173548&amp;sr=8-10")</f>
        <v>https://www.amazon.com/Driver-6-Inch-Klein-Tools-647/dp/B0014KRVXO/ref=sr_1_10?keywords=Klein+Tools+646-1%2F4+1%2F4-Inch+Nut+Driver+with+6-Inch+Hollow+Shaft&amp;qid=1695173548&amp;sr=8-10</v>
      </c>
      <c r="F627" t="s">
        <v>1480</v>
      </c>
      <c r="G627" t="e">
        <f ca="1">_xludf.IMAGE("https://edmondsonsupply.com/cdn/shop/products/646-1-2_08d87fa9-eac4-4869-8d3b-bb680d4b1d53.jpg?v=1587150676")</f>
        <v>#NAME?</v>
      </c>
      <c r="H627" t="e">
        <f ca="1">_xludf.IMAGE("https://m.media-amazon.com/images/I/51usUk-EpGL._AC_UL320_.jpg")</f>
        <v>#NAME?</v>
      </c>
      <c r="I627" t="s">
        <v>1003</v>
      </c>
      <c r="J627">
        <v>57.99</v>
      </c>
      <c r="K627" s="4">
        <v>6.2577999999999996</v>
      </c>
      <c r="L627">
        <v>4.8</v>
      </c>
      <c r="M627">
        <v>735</v>
      </c>
      <c r="O627" t="s">
        <v>25</v>
      </c>
      <c r="P627" t="s">
        <v>1481</v>
      </c>
      <c r="Q627" t="s">
        <v>1482</v>
      </c>
    </row>
    <row r="628" spans="1:17" ht="15.5" x14ac:dyDescent="0.35">
      <c r="A628"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628" s="3" t="str">
        <f>HYPERLINK("https://edmondsonsupply.com/products/cambridge-3-4-pvc-liquid-tight-conduit-fitting-90-degree", "https://edmondsonsupply.com/products/cambridge-3-4-pvc-liquid-tight-conduit-fitting-90-degree")</f>
        <v>https://edmondsonsupply.com/products/cambridge-3-4-pvc-liquid-tight-conduit-fitting-90-degree</v>
      </c>
      <c r="C628" t="s">
        <v>1370</v>
      </c>
      <c r="D628" t="s">
        <v>1483</v>
      </c>
      <c r="E628" s="3" t="str">
        <f>HYPERLINK("https://www.amazon.com/Nonmetallic-Electrical-Conduit-Conector-Fitting/dp/B08RX4KXND/ref=sr_1_2?keywords=Cambridge+3%2F4%22+PVC+Liquid+Tight+Conduit+Fitting+-+90+Degree&amp;qid=1695173711&amp;sr=8-2", "https://www.amazon.com/Nonmetallic-Electrical-Conduit-Conector-Fitting/dp/B08RX4KXND/ref=sr_1_2?keywords=Cambridge+3%2F4%22+PVC+Liquid+Tight+Conduit+Fitting+-+90+Degree&amp;qid=1695173711&amp;sr=8-2")</f>
        <v>https://www.amazon.com/Nonmetallic-Electrical-Conduit-Conector-Fitting/dp/B08RX4KXND/ref=sr_1_2?keywords=Cambridge+3%2F4%22+PVC+Liquid+Tight+Conduit+Fitting+-+90+Degree&amp;qid=1695173711&amp;sr=8-2</v>
      </c>
      <c r="F628" t="s">
        <v>1484</v>
      </c>
      <c r="G628" t="e">
        <f ca="1">_xludf.IMAGE("https://edmondsonsupply.com/cdn/shop/files/W14657_01.jpg?v=1692278537")</f>
        <v>#NAME?</v>
      </c>
      <c r="H628" t="e">
        <f ca="1">_xludf.IMAGE("https://m.media-amazon.com/images/I/71pA2gZF6rL._AC_UL320_.jpg")</f>
        <v>#NAME?</v>
      </c>
      <c r="I628" t="s">
        <v>1373</v>
      </c>
      <c r="J628">
        <v>12.99</v>
      </c>
      <c r="K628" s="4">
        <v>6.2167000000000003</v>
      </c>
      <c r="L628">
        <v>4.4000000000000004</v>
      </c>
      <c r="M628">
        <v>2</v>
      </c>
      <c r="O628" t="s">
        <v>25</v>
      </c>
      <c r="P628" t="s">
        <v>138</v>
      </c>
      <c r="Q628" t="s">
        <v>1374</v>
      </c>
    </row>
    <row r="629" spans="1:17" ht="15.5" x14ac:dyDescent="0.35">
      <c r="A629"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629" s="3" t="str">
        <f>HYPERLINK("https://edmondsonsupply.com/products/cambridge-1-2-pvc-liquid-tight-conduit-fitting-straight", "https://edmondsonsupply.com/products/cambridge-1-2-pvc-liquid-tight-conduit-fitting-straight")</f>
        <v>https://edmondsonsupply.com/products/cambridge-1-2-pvc-liquid-tight-conduit-fitting-straight</v>
      </c>
      <c r="C629" t="s">
        <v>1352</v>
      </c>
      <c r="D629" t="s">
        <v>1485</v>
      </c>
      <c r="E629" s="3" t="str">
        <f>HYPERLINK("https://www.amazon.com/LifCratms-Electrical-Connector-Fittings-Non-metallic/dp/B0BJKDYGF8/ref=sr_1_9?keywords=Cambridge+1%2F2%22+PVC+Liquid+Tight+Conduit+Fitting+-+Straight&amp;qid=1695173710&amp;sr=8-9", "https://www.amazon.com/LifCratms-Electrical-Connector-Fittings-Non-metallic/dp/B0BJKDYGF8/ref=sr_1_9?keywords=Cambridge+1%2F2%22+PVC+Liquid+Tight+Conduit+Fitting+-+Straight&amp;qid=1695173710&amp;sr=8-9")</f>
        <v>https://www.amazon.com/LifCratms-Electrical-Connector-Fittings-Non-metallic/dp/B0BJKDYGF8/ref=sr_1_9?keywords=Cambridge+1%2F2%22+PVC+Liquid+Tight+Conduit+Fitting+-+Straight&amp;qid=1695173710&amp;sr=8-9</v>
      </c>
      <c r="F629" t="s">
        <v>1486</v>
      </c>
      <c r="G629" t="e">
        <f ca="1">_xludf.IMAGE("https://edmondsonsupply.com/cdn/shop/files/W14658_01.jpg?v=1692277178")</f>
        <v>#NAME?</v>
      </c>
      <c r="H629" t="e">
        <f ca="1">_xludf.IMAGE("https://m.media-amazon.com/images/I/61sbEKpugbL._AC_UL320_.jpg")</f>
        <v>#NAME?</v>
      </c>
      <c r="I629" t="s">
        <v>1355</v>
      </c>
      <c r="J629">
        <v>8.49</v>
      </c>
      <c r="K629" s="4">
        <v>6.1345000000000001</v>
      </c>
      <c r="L629">
        <v>5</v>
      </c>
      <c r="M629">
        <v>4</v>
      </c>
      <c r="O629" t="s">
        <v>25</v>
      </c>
      <c r="P629" t="s">
        <v>138</v>
      </c>
      <c r="Q629" t="s">
        <v>1356</v>
      </c>
    </row>
    <row r="630" spans="1:17" ht="15.5" x14ac:dyDescent="0.35">
      <c r="A630" s="3" t="str">
        <f>HYPERLINK("https://edmondsonsupply.com/collections/hvac/products/cambridge-1-2-pvc-liquid-tight-conduit-fitting-straight", "https://edmondsonsupply.com/collections/hvac/products/cambridge-1-2-pvc-liquid-tight-conduit-fitting-straight")</f>
        <v>https://edmondsonsupply.com/collections/hvac/products/cambridge-1-2-pvc-liquid-tight-conduit-fitting-straight</v>
      </c>
      <c r="B630" s="3" t="str">
        <f>HYPERLINK("https://edmondsonsupply.com/products/cambridge-1-2-pvc-liquid-tight-conduit-fitting-straight", "https://edmondsonsupply.com/products/cambridge-1-2-pvc-liquid-tight-conduit-fitting-straight")</f>
        <v>https://edmondsonsupply.com/products/cambridge-1-2-pvc-liquid-tight-conduit-fitting-straight</v>
      </c>
      <c r="C630" t="s">
        <v>1352</v>
      </c>
      <c r="D630" t="s">
        <v>1487</v>
      </c>
      <c r="E630" s="3" t="str">
        <f>HYPERLINK("https://www.amazon.com/Connector-90-Degree-Electrical-Non-Metallic-Connectors/dp/B0C6D6HV36/ref=sr_1_7?keywords=Cambridge+1%2F2%22+PVC+Liquid+Tight+Conduit+Fitting+-+Straight&amp;qid=1695173710&amp;sr=8-7", "https://www.amazon.com/Connector-90-Degree-Electrical-Non-Metallic-Connectors/dp/B0C6D6HV36/ref=sr_1_7?keywords=Cambridge+1%2F2%22+PVC+Liquid+Tight+Conduit+Fitting+-+Straight&amp;qid=1695173710&amp;sr=8-7")</f>
        <v>https://www.amazon.com/Connector-90-Degree-Electrical-Non-Metallic-Connectors/dp/B0C6D6HV36/ref=sr_1_7?keywords=Cambridge+1%2F2%22+PVC+Liquid+Tight+Conduit+Fitting+-+Straight&amp;qid=1695173710&amp;sr=8-7</v>
      </c>
      <c r="F630" t="s">
        <v>1488</v>
      </c>
      <c r="G630" t="e">
        <f ca="1">_xludf.IMAGE("https://edmondsonsupply.com/cdn/shop/files/W14658_01.jpg?v=1692277178")</f>
        <v>#NAME?</v>
      </c>
      <c r="H630" t="e">
        <f ca="1">_xludf.IMAGE("https://m.media-amazon.com/images/I/61gEfCjEoCL._AC_UL320_.jpg")</f>
        <v>#NAME?</v>
      </c>
      <c r="I630" t="s">
        <v>1355</v>
      </c>
      <c r="J630">
        <v>8.49</v>
      </c>
      <c r="K630" s="4">
        <v>6.1345000000000001</v>
      </c>
      <c r="L630">
        <v>5</v>
      </c>
      <c r="M630">
        <v>4</v>
      </c>
      <c r="O630" t="s">
        <v>25</v>
      </c>
      <c r="P630" t="s">
        <v>138</v>
      </c>
      <c r="Q630" t="s">
        <v>1356</v>
      </c>
    </row>
    <row r="631" spans="1:17" ht="15.5" x14ac:dyDescent="0.35">
      <c r="A631" s="3" t="str">
        <f>HYPERLINK("https://edmondsonsupply.com/collections/hvac/products/packard-ptmj56-motor-start-capacitor-53-64-mfd-220-250-vac", "https://edmondsonsupply.com/collections/hvac/products/packard-ptmj56-motor-start-capacitor-53-64-mfd-220-250-vac")</f>
        <v>https://edmondsonsupply.com/collections/hvac/products/packard-ptmj56-motor-start-capacitor-53-64-mfd-220-250-vac</v>
      </c>
      <c r="B631" s="3" t="str">
        <f>HYPERLINK("https://edmondsonsupply.com/products/packard-ptmj56-motor-start-capacitor-53-64-mfd-220-250-vac", "https://edmondsonsupply.com/products/packard-ptmj56-motor-start-capacitor-53-64-mfd-220-250-vac")</f>
        <v>https://edmondsonsupply.com/products/packard-ptmj56-motor-start-capacitor-53-64-mfd-220-250-vac</v>
      </c>
      <c r="C631" t="s">
        <v>1489</v>
      </c>
      <c r="D631" t="s">
        <v>1490</v>
      </c>
      <c r="E631" s="3" t="str">
        <f>HYPERLINK("https://www.amazon.com/PTMJ460-Packard-Upgraded-Replacement-Capacitor/dp/B0773VHK69/ref=sr_1_5?keywords=Packard+PTMJ56+Motor+Start+Capacitor+53-64+MFD+220-250+VAC&amp;qid=1695173456&amp;sr=8-5", "https://www.amazon.com/PTMJ460-Packard-Upgraded-Replacement-Capacitor/dp/B0773VHK69/ref=sr_1_5?keywords=Packard+PTMJ56+Motor+Start+Capacitor+53-64+MFD+220-250+VAC&amp;qid=1695173456&amp;sr=8-5")</f>
        <v>https://www.amazon.com/PTMJ460-Packard-Upgraded-Replacement-Capacitor/dp/B0773VHK69/ref=sr_1_5?keywords=Packard+PTMJ56+Motor+Start+Capacitor+53-64+MFD+220-250+VAC&amp;qid=1695173456&amp;sr=8-5</v>
      </c>
      <c r="F631" t="s">
        <v>1491</v>
      </c>
      <c r="G631" t="e">
        <f ca="1">_xludf.IMAGE("https://edmondsonsupply.com/cdn/shop/products/PTMJ56-2.jpg?v=1633030199")</f>
        <v>#NAME?</v>
      </c>
      <c r="H631" t="e">
        <f ca="1">_xludf.IMAGE("https://m.media-amazon.com/images/I/41fqQrQgJaL._AC_UY218_.jpg")</f>
        <v>#NAME?</v>
      </c>
      <c r="I631" t="s">
        <v>1492</v>
      </c>
      <c r="J631">
        <v>24.7</v>
      </c>
      <c r="K631" s="4">
        <v>5.8802000000000003</v>
      </c>
      <c r="L631">
        <v>5</v>
      </c>
      <c r="M631">
        <v>4</v>
      </c>
      <c r="O631" t="s">
        <v>25</v>
      </c>
      <c r="P631" t="s">
        <v>138</v>
      </c>
      <c r="Q631" t="s">
        <v>1493</v>
      </c>
    </row>
    <row r="632" spans="1:17" ht="15.5" x14ac:dyDescent="0.35">
      <c r="A632"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632" s="3" t="str">
        <f>HYPERLINK("https://edmondsonsupply.com/products/klein-tools-69417-rare-earth-magnetic-meter-hanger", "https://edmondsonsupply.com/products/klein-tools-69417-rare-earth-magnetic-meter-hanger")</f>
        <v>https://edmondsonsupply.com/products/klein-tools-69417-rare-earth-magnetic-meter-hanger</v>
      </c>
      <c r="C632" t="s">
        <v>1413</v>
      </c>
      <c r="D632" t="s">
        <v>1494</v>
      </c>
      <c r="E632" s="3" t="str">
        <f>HYPERLINK("https://www.amazon.com/Klein-Tools-Electrical-Resistance-Rare-Earth/dp/B0BFXMTPBR/ref=sr_1_7?keywords=Klein+Tools+69417+Rare+Earth+Magnetic+Meter+Hanger%2C+with+Strap&amp;qid=1695173681&amp;sr=8-7", "https://www.amazon.com/Klein-Tools-Electrical-Resistance-Rare-Earth/dp/B0BFXMTPBR/ref=sr_1_7?keywords=Klein+Tools+69417+Rare+Earth+Magnetic+Meter+Hanger%2C+with+Strap&amp;qid=1695173681&amp;sr=8-7")</f>
        <v>https://www.amazon.com/Klein-Tools-Electrical-Resistance-Rare-Earth/dp/B0BFXMTPBR/ref=sr_1_7?keywords=Klein+Tools+69417+Rare+Earth+Magnetic+Meter+Hanger%2C+with+Strap&amp;qid=1695173681&amp;sr=8-7</v>
      </c>
      <c r="F632" t="s">
        <v>1495</v>
      </c>
      <c r="G632" t="e">
        <f ca="1">_xludf.IMAGE("https://edmondsonsupply.com/cdn/shop/products/69417.jpg?v=1587150163")</f>
        <v>#NAME?</v>
      </c>
      <c r="H632" t="e">
        <f ca="1">_xludf.IMAGE("https://m.media-amazon.com/images/I/51msS05sJzL._AC_UL320_.jpg")</f>
        <v>#NAME?</v>
      </c>
      <c r="I632" t="s">
        <v>288</v>
      </c>
      <c r="J632">
        <v>93.96</v>
      </c>
      <c r="K632" s="4">
        <v>5.7161999999999997</v>
      </c>
      <c r="L632">
        <v>5</v>
      </c>
      <c r="M632">
        <v>2</v>
      </c>
      <c r="O632" t="s">
        <v>25</v>
      </c>
      <c r="P632" t="s">
        <v>845</v>
      </c>
      <c r="Q632" t="s">
        <v>1416</v>
      </c>
    </row>
    <row r="633" spans="1:17" ht="15.5" x14ac:dyDescent="0.35">
      <c r="A633" s="3" t="str">
        <f>HYPERLINK("https://edmondsonsupply.com/collections/hvac/products/uei-dmg150-digital-micron-gauge", "https://edmondsonsupply.com/collections/hvac/products/uei-dmg150-digital-micron-gauge")</f>
        <v>https://edmondsonsupply.com/collections/hvac/products/uei-dmg150-digital-micron-gauge</v>
      </c>
      <c r="B633" s="3" t="str">
        <f>HYPERLINK("https://edmondsonsupply.com/products/uei-dmg150-digital-micron-gauge", "https://edmondsonsupply.com/products/uei-dmg150-digital-micron-gauge")</f>
        <v>https://edmondsonsupply.com/products/uei-dmg150-digital-micron-gauge</v>
      </c>
      <c r="C633" t="s">
        <v>1496</v>
      </c>
      <c r="D633" t="s">
        <v>1497</v>
      </c>
      <c r="E633" s="3" t="str">
        <f>HYPERLINK("https://www.amazon.com/Instruments-PDT650-Folding-Digital-Thermometer/dp/B07N44VYFP/ref=sr_1_7?keywords=UEi+PDT650+Digital+Folding+Pocket+Thermometer&amp;qid=1695173385&amp;sr=8-7", "https://www.amazon.com/Instruments-PDT650-Folding-Digital-Thermometer/dp/B07N44VYFP/ref=sr_1_7?keywords=UEi+PDT650+Digital+Folding+Pocket+Thermometer&amp;qid=1695173385&amp;sr=8-7")</f>
        <v>https://www.amazon.com/Instruments-PDT650-Folding-Digital-Thermometer/dp/B07N44VYFP/ref=sr_1_7?keywords=UEi+PDT650+Digital+Folding+Pocket+Thermometer&amp;qid=1695173385&amp;sr=8-7</v>
      </c>
      <c r="F633" t="s">
        <v>1498</v>
      </c>
      <c r="G633" t="e">
        <f ca="1">_xludf.IMAGE("https://edmondsonsupply.com/cdn/shop/products/PDT650-1.png?v=1633030101")</f>
        <v>#NAME?</v>
      </c>
      <c r="H633" t="e">
        <f ca="1">_xludf.IMAGE("https://m.media-amazon.com/images/I/314IvUJKTrL._AC_UY218_.jpg")</f>
        <v>#NAME?</v>
      </c>
      <c r="I633" t="s">
        <v>1499</v>
      </c>
      <c r="J633">
        <v>130.18</v>
      </c>
      <c r="K633" s="4">
        <v>5.6725000000000003</v>
      </c>
      <c r="L633">
        <v>4.5</v>
      </c>
      <c r="M633">
        <v>2</v>
      </c>
      <c r="O633" t="s">
        <v>25</v>
      </c>
      <c r="P633" t="s">
        <v>1500</v>
      </c>
      <c r="Q633" t="s">
        <v>1501</v>
      </c>
    </row>
    <row r="634" spans="1:17" ht="15.5" x14ac:dyDescent="0.35">
      <c r="A634"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634" s="3" t="str">
        <f>HYPERLINK("https://edmondsonsupply.com/products/cambridge-3-4-pvc-liquid-tight-conduit-fitting-straight", "https://edmondsonsupply.com/products/cambridge-3-4-pvc-liquid-tight-conduit-fitting-straight")</f>
        <v>https://edmondsonsupply.com/products/cambridge-3-4-pvc-liquid-tight-conduit-fitting-straight</v>
      </c>
      <c r="C634" t="s">
        <v>1340</v>
      </c>
      <c r="D634" t="s">
        <v>1502</v>
      </c>
      <c r="E634" s="3" t="str">
        <f>HYPERLINK("https://www.amazon.com/Moicstiy-Connector-Nonmetallic-Straight-Electrical/dp/B0B2V8G73L/ref=sr_1_1?keywords=Cambridge+3%2F4%22+PVC+Liquid+Tight+Conduit+Fitting+-+Straight&amp;qid=1695173710&amp;sr=8-1", "https://www.amazon.com/Moicstiy-Connector-Nonmetallic-Straight-Electrical/dp/B0B2V8G73L/ref=sr_1_1?keywords=Cambridge+3%2F4%22+PVC+Liquid+Tight+Conduit+Fitting+-+Straight&amp;qid=1695173710&amp;sr=8-1")</f>
        <v>https://www.amazon.com/Moicstiy-Connector-Nonmetallic-Straight-Electrical/dp/B0B2V8G73L/ref=sr_1_1?keywords=Cambridge+3%2F4%22+PVC+Liquid+Tight+Conduit+Fitting+-+Straight&amp;qid=1695173710&amp;sr=8-1</v>
      </c>
      <c r="F634" t="s">
        <v>1503</v>
      </c>
      <c r="G634" t="e">
        <f ca="1">_xludf.IMAGE("https://edmondsonsupply.com/cdn/shop/files/W14656_01.jpg?v=1692277615")</f>
        <v>#NAME?</v>
      </c>
      <c r="H634" t="e">
        <f ca="1">_xludf.IMAGE("https://m.media-amazon.com/images/I/61O5NXqyR9L._AC_UL320_.jpg")</f>
        <v>#NAME?</v>
      </c>
      <c r="I634" t="s">
        <v>1343</v>
      </c>
      <c r="J634">
        <v>9.99</v>
      </c>
      <c r="K634" s="4">
        <v>5.66</v>
      </c>
      <c r="L634">
        <v>4</v>
      </c>
      <c r="M634">
        <v>10</v>
      </c>
      <c r="O634" t="s">
        <v>25</v>
      </c>
      <c r="P634" t="s">
        <v>138</v>
      </c>
      <c r="Q634" t="s">
        <v>1344</v>
      </c>
    </row>
    <row r="635" spans="1:17" ht="15.5" x14ac:dyDescent="0.35">
      <c r="A635" s="3" t="str">
        <f>HYPERLINK("https://edmondsonsupply.com/collections/hvac/products/bacharach-3015-0486-h-10-pro-refrigerant-leak-detector-replacement-sensor", "https://edmondsonsupply.com/collections/hvac/products/bacharach-3015-0486-h-10-pro-refrigerant-leak-detector-replacement-sensor")</f>
        <v>https://edmondsonsupply.com/collections/hvac/products/bacharach-3015-0486-h-10-pro-refrigerant-leak-detector-replacement-sensor</v>
      </c>
      <c r="B635" s="3" t="str">
        <f>HYPERLINK("https://edmondsonsupply.com/products/bacharach-3015-0486-h-10-pro-refrigerant-leak-detector-replacement-sensor", "https://edmondsonsupply.com/products/bacharach-3015-0486-h-10-pro-refrigerant-leak-detector-replacement-sensor")</f>
        <v>https://edmondsonsupply.com/products/bacharach-3015-0486-h-10-pro-refrigerant-leak-detector-replacement-sensor</v>
      </c>
      <c r="C635" t="s">
        <v>1504</v>
      </c>
      <c r="D635" t="s">
        <v>1505</v>
      </c>
      <c r="E635" s="3" t="str">
        <f>HYPERLINK("https://www.amazon.com/Bacharach-3015-8004-H-10-Refrigerant-Detectors/dp/B017PEZAUI/ref=sr_1_2?keywords=Bacharach+3015-0486+H-10+PRO+Refrigerant+Leak+Detector+Replacement+Sensor&amp;qid=1695173505&amp;sr=8-2", "https://www.amazon.com/Bacharach-3015-8004-H-10-Refrigerant-Detectors/dp/B017PEZAUI/ref=sr_1_2?keywords=Bacharach+3015-0486+H-10+PRO+Refrigerant+Leak+Detector+Replacement+Sensor&amp;qid=1695173505&amp;sr=8-2")</f>
        <v>https://www.amazon.com/Bacharach-3015-8004-H-10-Refrigerant-Detectors/dp/B017PEZAUI/ref=sr_1_2?keywords=Bacharach+3015-0486+H-10+PRO+Refrigerant+Leak+Detector+Replacement+Sensor&amp;qid=1695173505&amp;sr=8-2</v>
      </c>
      <c r="F635" t="s">
        <v>1506</v>
      </c>
      <c r="G635" t="e">
        <f ca="1">_xludf.IMAGE("https://edmondsonsupply.com/cdn/shop/products/3015.png?v=1664282949")</f>
        <v>#NAME?</v>
      </c>
      <c r="H635" t="e">
        <f ca="1">_xludf.IMAGE("https://m.media-amazon.com/images/I/81t1EHtEgPS._AC_UL320_.jpg")</f>
        <v>#NAME?</v>
      </c>
      <c r="I635" t="s">
        <v>1507</v>
      </c>
      <c r="J635">
        <v>974.99</v>
      </c>
      <c r="K635" s="4">
        <v>5.6460999999999997</v>
      </c>
      <c r="L635">
        <v>4</v>
      </c>
      <c r="M635">
        <v>21</v>
      </c>
      <c r="O635" t="s">
        <v>25</v>
      </c>
      <c r="P635" t="s">
        <v>1508</v>
      </c>
      <c r="Q635" t="s">
        <v>1509</v>
      </c>
    </row>
    <row r="636" spans="1:17" ht="15.5" x14ac:dyDescent="0.35">
      <c r="A636"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636" s="3" t="str">
        <f>HYPERLINK("https://edmondsonsupply.com/products/cambridge-1-2-pvc-liquid-tight-conduit-fitting-90-degree", "https://edmondsonsupply.com/products/cambridge-1-2-pvc-liquid-tight-conduit-fitting-90-degree")</f>
        <v>https://edmondsonsupply.com/products/cambridge-1-2-pvc-liquid-tight-conduit-fitting-90-degree</v>
      </c>
      <c r="C636" t="s">
        <v>1345</v>
      </c>
      <c r="D636" t="s">
        <v>1454</v>
      </c>
      <c r="E636" s="3" t="str">
        <f>HYPERLINK("https://www.amazon.com/Connector-Flexible-Non-Metallic-Electrical-Fittings/dp/B0BX9J9PJV/ref=sr_1_10?keywords=Cambridge+1%2F2%22+PVC+Liquid+Tight+Conduit+Fitting+-+90+Degree&amp;qid=1695173714&amp;sr=8-10", "https://www.amazon.com/Connector-Flexible-Non-Metallic-Electrical-Fittings/dp/B0BX9J9PJV/ref=sr_1_10?keywords=Cambridge+1%2F2%22+PVC+Liquid+Tight+Conduit+Fitting+-+90+Degree&amp;qid=1695173714&amp;sr=8-10")</f>
        <v>https://www.amazon.com/Connector-Flexible-Non-Metallic-Electrical-Fittings/dp/B0BX9J9PJV/ref=sr_1_10?keywords=Cambridge+1%2F2%22+PVC+Liquid+Tight+Conduit+Fitting+-+90+Degree&amp;qid=1695173714&amp;sr=8-10</v>
      </c>
      <c r="F636" t="s">
        <v>1455</v>
      </c>
      <c r="G636" t="e">
        <f ca="1">_xludf.IMAGE("https://edmondsonsupply.com/cdn/shop/files/W14659_01.jpg?v=1692278106")</f>
        <v>#NAME?</v>
      </c>
      <c r="H636" t="e">
        <f ca="1">_xludf.IMAGE("https://m.media-amazon.com/images/I/51vn4jJ6ulL._AC_UL320_.jpg")</f>
        <v>#NAME?</v>
      </c>
      <c r="I636" t="s">
        <v>1348</v>
      </c>
      <c r="J636">
        <v>9.49</v>
      </c>
      <c r="K636" s="4">
        <v>5.4122000000000003</v>
      </c>
      <c r="L636">
        <v>4.9000000000000004</v>
      </c>
      <c r="M636">
        <v>26</v>
      </c>
      <c r="O636" t="s">
        <v>25</v>
      </c>
      <c r="P636" t="s">
        <v>138</v>
      </c>
      <c r="Q636" t="s">
        <v>1349</v>
      </c>
    </row>
    <row r="637" spans="1:17" ht="15.5" x14ac:dyDescent="0.35">
      <c r="A637" s="3" t="str">
        <f>HYPERLINK("https://edmondsonsupply.com/collections/hvac/products/kroil-ks132-original-penetrant-aerosol-13oz-can", "https://edmondsonsupply.com/collections/hvac/products/kroil-ks132-original-penetrant-aerosol-13oz-can")</f>
        <v>https://edmondsonsupply.com/collections/hvac/products/kroil-ks132-original-penetrant-aerosol-13oz-can</v>
      </c>
      <c r="B637" s="3" t="str">
        <f>HYPERLINK("https://edmondsonsupply.com/products/kroil-ks132-original-penetrant-aerosol-13oz-can", "https://edmondsonsupply.com/products/kroil-ks132-original-penetrant-aerosol-13oz-can")</f>
        <v>https://edmondsonsupply.com/products/kroil-ks132-original-penetrant-aerosol-13oz-can</v>
      </c>
      <c r="C637" t="s">
        <v>1395</v>
      </c>
      <c r="D637" t="s">
        <v>1510</v>
      </c>
      <c r="E637" s="3" t="str">
        <f>HYPERLINK("https://www.amazon.com/Penetrant-Spray-13oz-Temperature-Penetrating-AZPH132C6/dp/B0B31ZX4SZ/ref=sr_1_7?keywords=Kroil+KS132+Original+Penetrant+Aerosol+13oz+can&amp;qid=1695173755&amp;sr=8-7", "https://www.amazon.com/Penetrant-Spray-13oz-Temperature-Penetrating-AZPH132C6/dp/B0B31ZX4SZ/ref=sr_1_7?keywords=Kroil+KS132+Original+Penetrant+Aerosol+13oz+can&amp;qid=1695173755&amp;sr=8-7")</f>
        <v>https://www.amazon.com/Penetrant-Spray-13oz-Temperature-Penetrating-AZPH132C6/dp/B0B31ZX4SZ/ref=sr_1_7?keywords=Kroil+KS132+Original+Penetrant+Aerosol+13oz+can&amp;qid=1695173755&amp;sr=8-7</v>
      </c>
      <c r="F637" t="s">
        <v>1511</v>
      </c>
      <c r="G637" t="e">
        <f ca="1">_xludf.IMAGE("https://edmondsonsupply.com/cdn/shop/files/ks132.webp?v=1686779771")</f>
        <v>#NAME?</v>
      </c>
      <c r="H637" t="e">
        <f ca="1">_xludf.IMAGE("https://m.media-amazon.com/images/I/518-tX6kD8L._AC_UY218_.jpg")</f>
        <v>#NAME?</v>
      </c>
      <c r="I637" t="s">
        <v>1398</v>
      </c>
      <c r="J637">
        <v>149.99</v>
      </c>
      <c r="K637" s="4">
        <v>5.3047000000000004</v>
      </c>
      <c r="L637">
        <v>5</v>
      </c>
      <c r="M637">
        <v>4</v>
      </c>
      <c r="O637" t="s">
        <v>25</v>
      </c>
      <c r="P637" t="s">
        <v>1399</v>
      </c>
      <c r="Q637" t="s">
        <v>1400</v>
      </c>
    </row>
    <row r="638" spans="1:17" ht="15.5" x14ac:dyDescent="0.35">
      <c r="A638" s="3" t="str">
        <f>HYPERLINK("https://edmondsonsupply.com/collections/hvac/products/klein-tools-65200-electricians-mini-ratchet-set-5-piece", "https://edmondsonsupply.com/collections/hvac/products/klein-tools-65200-electricians-mini-ratchet-set-5-piece")</f>
        <v>https://edmondsonsupply.com/collections/hvac/products/klein-tools-65200-electricians-mini-ratchet-set-5-piece</v>
      </c>
      <c r="B638" s="3" t="str">
        <f>HYPERLINK("https://edmondsonsupply.com/products/klein-tools-65200-electricians-mini-ratchet-set-5-piece", "https://edmondsonsupply.com/products/klein-tools-65200-electricians-mini-ratchet-set-5-piece")</f>
        <v>https://edmondsonsupply.com/products/klein-tools-65200-electricians-mini-ratchet-set-5-piece</v>
      </c>
      <c r="C638" t="s">
        <v>140</v>
      </c>
      <c r="D638" t="s">
        <v>141</v>
      </c>
      <c r="E638" s="3" t="str">
        <f>HYPERLINK("https://www.amazon.com/KNIPEX-Tools-9K0080121US-Ratchet-Phillips/dp/B0C9ZYJDDN/ref=sr_1_5?keywords=Klein+Tools+65200+Slim-Profile+Mini+Ratchet+Set%2C+5-Piece&amp;qid=1695173348&amp;sr=8-5", "https://www.amazon.com/KNIPEX-Tools-9K0080121US-Ratchet-Phillips/dp/B0C9ZYJDDN/ref=sr_1_5?keywords=Klein+Tools+65200+Slim-Profile+Mini+Ratchet+Set%2C+5-Piece&amp;qid=1695173348&amp;sr=8-5")</f>
        <v>https://www.amazon.com/KNIPEX-Tools-9K0080121US-Ratchet-Phillips/dp/B0C9ZYJDDN/ref=sr_1_5?keywords=Klein+Tools+65200+Slim-Profile+Mini+Ratchet+Set%2C+5-Piece&amp;qid=1695173348&amp;sr=8-5</v>
      </c>
      <c r="F638" t="s">
        <v>142</v>
      </c>
      <c r="G638" t="e">
        <f ca="1">_xludf.IMAGE("https://edmondsonsupply.com/cdn/shop/products/65200.jpg?v=1633030630")</f>
        <v>#NAME?</v>
      </c>
      <c r="H638" t="e">
        <f ca="1">_xludf.IMAGE("https://m.media-amazon.com/images/I/516RxJHqDiL._AC_UL320_.jpg")</f>
        <v>#NAME?</v>
      </c>
      <c r="I638" t="s">
        <v>143</v>
      </c>
      <c r="J638">
        <v>100.02</v>
      </c>
      <c r="K638" s="4">
        <v>5.2629999999999999</v>
      </c>
      <c r="L638">
        <v>4.8</v>
      </c>
      <c r="M638">
        <v>1148</v>
      </c>
      <c r="O638" t="s">
        <v>25</v>
      </c>
      <c r="P638" t="s">
        <v>144</v>
      </c>
      <c r="Q638" t="s">
        <v>145</v>
      </c>
    </row>
    <row r="639" spans="1:17" ht="15.5" x14ac:dyDescent="0.35">
      <c r="A639" s="3" t="str">
        <f>HYPERLINK("https://edmondsonsupply.com/collections/hvac/products/kroil-original-penetrant-8oz-can", "https://edmondsonsupply.com/collections/hvac/products/kroil-original-penetrant-8oz-can")</f>
        <v>https://edmondsonsupply.com/collections/hvac/products/kroil-original-penetrant-8oz-can</v>
      </c>
      <c r="B639" s="3" t="str">
        <f>HYPERLINK("https://edmondsonsupply.com/products/kroil-original-penetrant-8oz-can", "https://edmondsonsupply.com/products/kroil-original-penetrant-8oz-can")</f>
        <v>https://edmondsonsupply.com/products/kroil-original-penetrant-8oz-can</v>
      </c>
      <c r="C639" t="s">
        <v>1512</v>
      </c>
      <c r="D639" t="s">
        <v>1513</v>
      </c>
      <c r="E639" s="3" t="str">
        <f>HYPERLINK("https://www.amazon.com/Kroil-Penetrating-Ounce-Liquid-Pack/dp/B08ZM7PPK3/ref=sr_1_2?keywords=Kroil+KL081+Original+Penetrant+8oz+can&amp;qid=1695173765&amp;sr=8-2", "https://www.amazon.com/Kroil-Penetrating-Ounce-Liquid-Pack/dp/B08ZM7PPK3/ref=sr_1_2?keywords=Kroil+KL081+Original+Penetrant+8oz+can&amp;qid=1695173765&amp;sr=8-2")</f>
        <v>https://www.amazon.com/Kroil-Penetrating-Ounce-Liquid-Pack/dp/B08ZM7PPK3/ref=sr_1_2?keywords=Kroil+KL081+Original+Penetrant+8oz+can&amp;qid=1695173765&amp;sr=8-2</v>
      </c>
      <c r="F639" t="s">
        <v>1514</v>
      </c>
      <c r="G639" t="e">
        <f ca="1">_xludf.IMAGE("https://edmondsonsupply.com/cdn/shop/files/KL081.webp?v=1686775465")</f>
        <v>#NAME?</v>
      </c>
      <c r="H639" t="e">
        <f ca="1">_xludf.IMAGE("https://m.media-amazon.com/images/I/61j2exxCqWL._AC_UY218_.jpg")</f>
        <v>#NAME?</v>
      </c>
      <c r="I639" t="s">
        <v>1515</v>
      </c>
      <c r="J639">
        <v>99.99</v>
      </c>
      <c r="K639" s="4">
        <v>5.2144000000000004</v>
      </c>
      <c r="L639">
        <v>5</v>
      </c>
      <c r="M639">
        <v>2</v>
      </c>
      <c r="O639" t="s">
        <v>25</v>
      </c>
      <c r="P639" t="s">
        <v>1516</v>
      </c>
      <c r="Q639" t="s">
        <v>1517</v>
      </c>
    </row>
    <row r="640" spans="1:17" ht="15.5" x14ac:dyDescent="0.35">
      <c r="A640" s="3" t="str">
        <f>HYPERLINK("https://edmondsonsupply.com/collections/hvac/products/uei-dmg150-digital-micron-gauge", "https://edmondsonsupply.com/collections/hvac/products/uei-dmg150-digital-micron-gauge")</f>
        <v>https://edmondsonsupply.com/collections/hvac/products/uei-dmg150-digital-micron-gauge</v>
      </c>
      <c r="B640" s="3" t="str">
        <f>HYPERLINK("https://edmondsonsupply.com/products/uei-dmg150-digital-micron-gauge", "https://edmondsonsupply.com/products/uei-dmg150-digital-micron-gauge")</f>
        <v>https://edmondsonsupply.com/products/uei-dmg150-digital-micron-gauge</v>
      </c>
      <c r="C640" t="s">
        <v>1496</v>
      </c>
      <c r="D640" t="s">
        <v>1518</v>
      </c>
      <c r="E640" s="3" t="str">
        <f>HYPERLINK("https://www.amazon.com/UEi-Test-Instruments-Folding-Thermometer/dp/B085PTFRPH/ref=sr_1_8?keywords=UEi+PDT650+Digital+Folding+Pocket+Thermometer&amp;qid=1695173385&amp;sr=8-8", "https://www.amazon.com/UEi-Test-Instruments-Folding-Thermometer/dp/B085PTFRPH/ref=sr_1_8?keywords=UEi+PDT650+Digital+Folding+Pocket+Thermometer&amp;qid=1695173385&amp;sr=8-8")</f>
        <v>https://www.amazon.com/UEi-Test-Instruments-Folding-Thermometer/dp/B085PTFRPH/ref=sr_1_8?keywords=UEi+PDT650+Digital+Folding+Pocket+Thermometer&amp;qid=1695173385&amp;sr=8-8</v>
      </c>
      <c r="F640" t="s">
        <v>1519</v>
      </c>
      <c r="G640" t="e">
        <f ca="1">_xludf.IMAGE("https://edmondsonsupply.com/cdn/shop/products/PDT650-1.png?v=1633030101")</f>
        <v>#NAME?</v>
      </c>
      <c r="H640" t="e">
        <f ca="1">_xludf.IMAGE("https://m.media-amazon.com/images/I/51BxK6XC4vL._AC_UY218_.jpg")</f>
        <v>#NAME?</v>
      </c>
      <c r="I640" t="s">
        <v>1499</v>
      </c>
      <c r="J640">
        <v>118</v>
      </c>
      <c r="K640" s="4">
        <v>5.0481999999999996</v>
      </c>
      <c r="L640">
        <v>5</v>
      </c>
      <c r="M640">
        <v>3</v>
      </c>
      <c r="O640" t="s">
        <v>25</v>
      </c>
      <c r="P640" t="s">
        <v>1500</v>
      </c>
      <c r="Q640" t="s">
        <v>1501</v>
      </c>
    </row>
    <row r="641" spans="1:17" ht="15.5" x14ac:dyDescent="0.35">
      <c r="A641" s="3" t="str">
        <f>HYPERLINK("https://edmondsonsupply.com/collections/hvac/products/klein-tools-mag2-magnetizer-demagnetizer", "https://edmondsonsupply.com/collections/hvac/products/klein-tools-mag2-magnetizer-demagnetizer")</f>
        <v>https://edmondsonsupply.com/collections/hvac/products/klein-tools-mag2-magnetizer-demagnetizer</v>
      </c>
      <c r="B641" s="3" t="str">
        <f>HYPERLINK("https://edmondsonsupply.com/products/klein-tools-mag2-magnetizer-demagnetizer", "https://edmondsonsupply.com/products/klein-tools-mag2-magnetizer-demagnetizer")</f>
        <v>https://edmondsonsupply.com/products/klein-tools-mag2-magnetizer-demagnetizer</v>
      </c>
      <c r="C641" t="s">
        <v>1520</v>
      </c>
      <c r="D641" t="s">
        <v>1521</v>
      </c>
      <c r="E641" s="3" t="str">
        <f>HYPERLINK("https://www.amazon.com/Klein-Tools-Screwdriver-Demagnetizer-Magnetizer/dp/B0BXK8RB9N/ref=sr_1_7?keywords=Klein+Tools+MAG2+Magnetizer+%2F+Demagnetizer&amp;qid=1695173451&amp;sr=8-7", "https://www.amazon.com/Klein-Tools-Screwdriver-Demagnetizer-Magnetizer/dp/B0BXK8RB9N/ref=sr_1_7?keywords=Klein+Tools+MAG2+Magnetizer+%2F+Demagnetizer&amp;qid=1695173451&amp;sr=8-7")</f>
        <v>https://www.amazon.com/Klein-Tools-Screwdriver-Demagnetizer-Magnetizer/dp/B0BXK8RB9N/ref=sr_1_7?keywords=Klein+Tools+MAG2+Magnetizer+%2F+Demagnetizer&amp;qid=1695173451&amp;sr=8-7</v>
      </c>
      <c r="F641" t="s">
        <v>1522</v>
      </c>
      <c r="G641" t="e">
        <f ca="1">_xludf.IMAGE("https://edmondsonsupply.com/cdn/shop/products/mag2.jpg?v=1587145008")</f>
        <v>#NAME?</v>
      </c>
      <c r="H641" t="e">
        <f ca="1">_xludf.IMAGE("https://m.media-amazon.com/images/I/51OwgO9uq9L._AC_UL320_.jpg")</f>
        <v>#NAME?</v>
      </c>
      <c r="I641" t="s">
        <v>1427</v>
      </c>
      <c r="J641">
        <v>59.96</v>
      </c>
      <c r="K641" s="4">
        <v>5.0140000000000002</v>
      </c>
      <c r="L641">
        <v>4.5</v>
      </c>
      <c r="M641">
        <v>11</v>
      </c>
      <c r="O641" t="s">
        <v>25</v>
      </c>
      <c r="P641" t="s">
        <v>1523</v>
      </c>
      <c r="Q641" t="s">
        <v>1524</v>
      </c>
    </row>
    <row r="642" spans="1:17" ht="15.5" x14ac:dyDescent="0.35">
      <c r="A642" s="3" t="str">
        <f>HYPERLINK("https://edmondsonsupply.com/collections/hvac/products/klein-tools-69410-replacement-test-lead-set-right-angle", "https://edmondsonsupply.com/collections/hvac/products/klein-tools-69410-replacement-test-lead-set-right-angle")</f>
        <v>https://edmondsonsupply.com/collections/hvac/products/klein-tools-69410-replacement-test-lead-set-right-angle</v>
      </c>
      <c r="B642" s="3" t="str">
        <f>HYPERLINK("https://edmondsonsupply.com/products/klein-tools-69410-replacement-test-lead-set-right-angle", "https://edmondsonsupply.com/products/klein-tools-69410-replacement-test-lead-set-right-angle")</f>
        <v>https://edmondsonsupply.com/products/klein-tools-69410-replacement-test-lead-set-right-angle</v>
      </c>
      <c r="C642" t="s">
        <v>1463</v>
      </c>
      <c r="D642" t="s">
        <v>1525</v>
      </c>
      <c r="E642" s="3" t="str">
        <f>HYPERLINK("https://www.amazon.com/Klein-Tools-Multimeter-Autoranging-Capacitance/dp/B0BD3XZ29K/ref=sr_1_10?keywords=Klein+Tools+69410+Replacement+Test+Lead+Set%2C+Right+Angle&amp;qid=1695173692&amp;sr=8-10", "https://www.amazon.com/Klein-Tools-Multimeter-Autoranging-Capacitance/dp/B0BD3XZ29K/ref=sr_1_10?keywords=Klein+Tools+69410+Replacement+Test+Lead+Set%2C+Right+Angle&amp;qid=1695173692&amp;sr=8-10")</f>
        <v>https://www.amazon.com/Klein-Tools-Multimeter-Autoranging-Capacitance/dp/B0BD3XZ29K/ref=sr_1_10?keywords=Klein+Tools+69410+Replacement+Test+Lead+Set%2C+Right+Angle&amp;qid=1695173692&amp;sr=8-10</v>
      </c>
      <c r="F642" t="s">
        <v>1526</v>
      </c>
      <c r="G642" t="e">
        <f ca="1">_xludf.IMAGE("https://edmondsonsupply.com/cdn/shop/products/69410.jpg?v=1587143393")</f>
        <v>#NAME?</v>
      </c>
      <c r="H642" t="e">
        <f ca="1">_xludf.IMAGE("https://m.media-amazon.com/images/I/61J30bl5fxL._AC_UY218_.jpg")</f>
        <v>#NAME?</v>
      </c>
      <c r="I642" t="s">
        <v>893</v>
      </c>
      <c r="J642">
        <v>119.94</v>
      </c>
      <c r="K642" s="4">
        <v>5.0060000000000002</v>
      </c>
      <c r="L642">
        <v>4.8</v>
      </c>
      <c r="M642">
        <v>5</v>
      </c>
      <c r="O642" t="s">
        <v>25</v>
      </c>
      <c r="P642" t="s">
        <v>1466</v>
      </c>
      <c r="Q642" t="s">
        <v>1467</v>
      </c>
    </row>
    <row r="643" spans="1:17" ht="15.5" x14ac:dyDescent="0.35">
      <c r="A643" s="3" t="str">
        <f>HYPERLINK("https://edmondsonsupply.com/collections/hvac/products/klein-tools-69410-replacement-test-lead-set-right-angle", "https://edmondsonsupply.com/collections/hvac/products/klein-tools-69410-replacement-test-lead-set-right-angle")</f>
        <v>https://edmondsonsupply.com/collections/hvac/products/klein-tools-69410-replacement-test-lead-set-right-angle</v>
      </c>
      <c r="B643" s="3" t="str">
        <f>HYPERLINK("https://edmondsonsupply.com/products/klein-tools-69410-replacement-test-lead-set-right-angle", "https://edmondsonsupply.com/products/klein-tools-69410-replacement-test-lead-set-right-angle")</f>
        <v>https://edmondsonsupply.com/products/klein-tools-69410-replacement-test-lead-set-right-angle</v>
      </c>
      <c r="C643" t="s">
        <v>1463</v>
      </c>
      <c r="D643" t="s">
        <v>1527</v>
      </c>
      <c r="E643" s="3" t="str">
        <f>HYPERLINK("https://www.amazon.com/Klein-Tools-Auto-Ranging-MOhms-Resistance-Replacement/dp/B0C7QB94HG/ref=sr_1_4?keywords=Klein+Tools+69410+Replacement+Test+Lead+Set%2C+Right+Angle&amp;qid=1695173692&amp;sr=8-4", "https://www.amazon.com/Klein-Tools-Auto-Ranging-MOhms-Resistance-Replacement/dp/B0C7QB94HG/ref=sr_1_4?keywords=Klein+Tools+69410+Replacement+Test+Lead+Set%2C+Right+Angle&amp;qid=1695173692&amp;sr=8-4")</f>
        <v>https://www.amazon.com/Klein-Tools-Auto-Ranging-MOhms-Resistance-Replacement/dp/B0C7QB94HG/ref=sr_1_4?keywords=Klein+Tools+69410+Replacement+Test+Lead+Set%2C+Right+Angle&amp;qid=1695173692&amp;sr=8-4</v>
      </c>
      <c r="F643" t="s">
        <v>1528</v>
      </c>
      <c r="G643" t="e">
        <f ca="1">_xludf.IMAGE("https://edmondsonsupply.com/cdn/shop/products/69410.jpg?v=1587143393")</f>
        <v>#NAME?</v>
      </c>
      <c r="H643" t="e">
        <f ca="1">_xludf.IMAGE("https://m.media-amazon.com/images/I/51iZGkiWnZL._AC_UY218_.jpg")</f>
        <v>#NAME?</v>
      </c>
      <c r="I643" t="s">
        <v>893</v>
      </c>
      <c r="J643">
        <v>119.94</v>
      </c>
      <c r="K643" s="4">
        <v>5.0060000000000002</v>
      </c>
      <c r="L643">
        <v>5</v>
      </c>
      <c r="M643">
        <v>1</v>
      </c>
      <c r="O643" t="s">
        <v>25</v>
      </c>
      <c r="P643" t="s">
        <v>1466</v>
      </c>
      <c r="Q643" t="s">
        <v>1467</v>
      </c>
    </row>
    <row r="644" spans="1:17" ht="15.5" x14ac:dyDescent="0.35">
      <c r="A644"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644" s="3" t="str">
        <f>HYPERLINK("https://edmondsonsupply.com/products/klein-tools-5141-canvas-bag-4-pk-brown-black-gray-red", "https://edmondsonsupply.com/products/klein-tools-5141-canvas-bag-4-pk-brown-black-gray-red")</f>
        <v>https://edmondsonsupply.com/products/klein-tools-5141-canvas-bag-4-pk-brown-black-gray-red</v>
      </c>
      <c r="C644" t="s">
        <v>243</v>
      </c>
      <c r="D644" t="s">
        <v>255</v>
      </c>
      <c r="E644" s="3" t="str">
        <f>HYPERLINK("https://www.amazon.com/Klein-Tools-Backpack-Durable-Electrician/dp/B0BVGCG8DM/ref=sr_1_6?keywords=Klein+Tools+5141+Zipper+Bags%2C+Canvas+Tool+Pouches+Brown%2FBlack%2FGray%2FRed%2C+4-Pack&amp;qid=1695173635&amp;sr=8-6", "https://www.amazon.com/Klein-Tools-Backpack-Durable-Electrician/dp/B0BVGCG8DM/ref=sr_1_6?keywords=Klein+Tools+5141+Zipper+Bags%2C+Canvas+Tool+Pouches+Brown%2FBlack%2FGray%2FRed%2C+4-Pack&amp;qid=1695173635&amp;sr=8-6")</f>
        <v>https://www.amazon.com/Klein-Tools-Backpack-Durable-Electrician/dp/B0BVGCG8DM/ref=sr_1_6?keywords=Klein+Tools+5141+Zipper+Bags%2C+Canvas+Tool+Pouches+Brown%2FBlack%2FGray%2FRed%2C+4-Pack&amp;qid=1695173635&amp;sr=8-6</v>
      </c>
      <c r="F644" t="s">
        <v>256</v>
      </c>
      <c r="G644" t="e">
        <f ca="1">_xludf.IMAGE("https://edmondsonsupply.com/cdn/shop/products/5141.jpg?v=1633030517")</f>
        <v>#NAME?</v>
      </c>
      <c r="H644" t="e">
        <f ca="1">_xludf.IMAGE("https://m.media-amazon.com/images/I/516y6qytWIL._AC_UL320_.jpg")</f>
        <v>#NAME?</v>
      </c>
      <c r="I644" t="s">
        <v>246</v>
      </c>
      <c r="J644">
        <v>238</v>
      </c>
      <c r="K644" s="4">
        <v>4.9545000000000003</v>
      </c>
      <c r="L644">
        <v>5</v>
      </c>
      <c r="M644">
        <v>3</v>
      </c>
      <c r="O644" t="s">
        <v>25</v>
      </c>
      <c r="P644" t="s">
        <v>247</v>
      </c>
      <c r="Q644" t="s">
        <v>248</v>
      </c>
    </row>
    <row r="645" spans="1:17" ht="15.5" x14ac:dyDescent="0.35">
      <c r="A645"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645" s="3" t="str">
        <f>HYPERLINK("https://edmondsonsupply.com/products/klein-tools-et120-combustible-gas-leak-detector", "https://edmondsonsupply.com/products/klein-tools-et120-combustible-gas-leak-detector")</f>
        <v>https://edmondsonsupply.com/products/klein-tools-et120-combustible-gas-leak-detector</v>
      </c>
      <c r="C645" t="s">
        <v>1529</v>
      </c>
      <c r="D645" t="s">
        <v>1530</v>
      </c>
      <c r="E645" s="3" t="str">
        <f>HYPERLINK("https://www.amazon.com/FLIR-Inspection-Combustible-Gooseneck-Batteries/dp/B09Q663FQ5/ref=sr_1_8?keywords=Klein+Tools+ET120+Combustible+Gas+Leak+Detector&amp;qid=1695173669&amp;sr=8-8", "https://www.amazon.com/FLIR-Inspection-Combustible-Gooseneck-Batteries/dp/B09Q663FQ5/ref=sr_1_8?keywords=Klein+Tools+ET120+Combustible+Gas+Leak+Detector&amp;qid=1695173669&amp;sr=8-8")</f>
        <v>https://www.amazon.com/FLIR-Inspection-Combustible-Gooseneck-Batteries/dp/B09Q663FQ5/ref=sr_1_8?keywords=Klein+Tools+ET120+Combustible+Gas+Leak+Detector&amp;qid=1695173669&amp;sr=8-8</v>
      </c>
      <c r="F645" t="s">
        <v>1531</v>
      </c>
      <c r="G645" t="e">
        <f ca="1">_xludf.IMAGE("https://edmondsonsupply.com/cdn/shop/products/et120.jpg?v=1587149243")</f>
        <v>#NAME?</v>
      </c>
      <c r="H645" t="e">
        <f ca="1">_xludf.IMAGE("https://m.media-amazon.com/images/I/51hLn1JmlEL._AC_UL320_.jpg")</f>
        <v>#NAME?</v>
      </c>
      <c r="I645" t="s">
        <v>74</v>
      </c>
      <c r="J645">
        <v>706.43</v>
      </c>
      <c r="K645" s="4">
        <v>4.8874000000000004</v>
      </c>
      <c r="L645">
        <v>4.5</v>
      </c>
      <c r="M645">
        <v>6</v>
      </c>
      <c r="O645" t="s">
        <v>25</v>
      </c>
      <c r="P645" t="s">
        <v>1532</v>
      </c>
      <c r="Q645" t="s">
        <v>1533</v>
      </c>
    </row>
    <row r="646" spans="1:17" ht="15.5" x14ac:dyDescent="0.35">
      <c r="A646" s="3" t="str">
        <f>HYPERLINK("https://edmondsonsupply.com/collections/hvac/products/refrigeration-technologies-rt175b-viper-big-blu-brush-on-micro-leak-detector", "https://edmondsonsupply.com/collections/hvac/products/refrigeration-technologies-rt175b-viper-big-blu-brush-on-micro-leak-detector")</f>
        <v>https://edmondsonsupply.com/collections/hvac/products/refrigeration-technologies-rt175b-viper-big-blu-brush-on-micro-leak-detector</v>
      </c>
      <c r="B646" s="3" t="str">
        <f>HYPERLINK("https://edmondsonsupply.com/products/refrigeration-technologies-rt175b-viper-big-blu-brush-on-micro-leak-detector", "https://edmondsonsupply.com/products/refrigeration-technologies-rt175b-viper-big-blu-brush-on-micro-leak-detector")</f>
        <v>https://edmondsonsupply.com/products/refrigeration-technologies-rt175b-viper-big-blu-brush-on-micro-leak-detector</v>
      </c>
      <c r="C646" t="s">
        <v>1534</v>
      </c>
      <c r="D646" t="s">
        <v>1535</v>
      </c>
      <c r="E646" s="3" t="str">
        <f>HYPERLINK("https://www.amazon.com/Refrigeration-Technologies-RT400P-Blocking-Detector/dp/B0CB13Q956/ref=sr_1_8?keywords=Refrigeration+Technologies+RT175B+Viper+Big+Blu+-+Brush+On+Micro+Leak+Detector&amp;qid=1695173358&amp;sr=8-8", "https://www.amazon.com/Refrigeration-Technologies-RT400P-Blocking-Detector/dp/B0CB13Q956/ref=sr_1_8?keywords=Refrigeration+Technologies+RT175B+Viper+Big+Blu+-+Brush+On+Micro+Leak+Detector&amp;qid=1695173358&amp;sr=8-8")</f>
        <v>https://www.amazon.com/Refrigeration-Technologies-RT400P-Blocking-Detector/dp/B0CB13Q956/ref=sr_1_8?keywords=Refrigeration+Technologies+RT175B+Viper+Big+Blu+-+Brush+On+Micro+Leak+Detector&amp;qid=1695173358&amp;sr=8-8</v>
      </c>
      <c r="F646" t="s">
        <v>1536</v>
      </c>
      <c r="G646" t="e">
        <f ca="1">_xludf.IMAGE("https://edmondsonsupply.com/cdn/shop/products/brush_on_blu_reflection-o17r8mukbu9smr8id6u6yq699brmo1twijfcclnbpc.jpg?v=1633030388")</f>
        <v>#NAME?</v>
      </c>
      <c r="H646" t="e">
        <f ca="1">_xludf.IMAGE("https://m.media-amazon.com/images/I/51QyBBUyWOL._AC_UY218_.jpg")</f>
        <v>#NAME?</v>
      </c>
      <c r="I646" t="s">
        <v>1537</v>
      </c>
      <c r="J646">
        <v>49.2</v>
      </c>
      <c r="K646" s="4">
        <v>4.8640999999999996</v>
      </c>
      <c r="L646">
        <v>4.5</v>
      </c>
      <c r="M646">
        <v>416</v>
      </c>
      <c r="O646" t="s">
        <v>25</v>
      </c>
      <c r="P646" t="s">
        <v>1538</v>
      </c>
      <c r="Q646" t="s">
        <v>1539</v>
      </c>
    </row>
    <row r="647" spans="1:17" ht="15.5" x14ac:dyDescent="0.35">
      <c r="A647"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647"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647" t="s">
        <v>1540</v>
      </c>
      <c r="D647" t="s">
        <v>1541</v>
      </c>
      <c r="E647" s="3" t="str">
        <f>HYPERLINK("https://www.amazon.com/ICM-Replacement-Including-B18099-xx-Multicolor/dp/B0893PWC76/ref=sr_1_10?keywords=ICM+Controls+ICM2811+Furnace+Control+Board+-+Replacement+for+Goodman&amp;qid=1695173453&amp;sr=8-10", "https://www.amazon.com/ICM-Replacement-Including-B18099-xx-Multicolor/dp/B0893PWC76/ref=sr_1_10?keywords=ICM+Controls+ICM2811+Furnace+Control+Board+-+Replacement+for+Goodman&amp;qid=1695173453&amp;sr=8-10")</f>
        <v>https://www.amazon.com/ICM-Replacement-Including-B18099-xx-Multicolor/dp/B0893PWC76/ref=sr_1_10?keywords=ICM+Controls+ICM2811+Furnace+Control+Board+-+Replacement+for+Goodman&amp;qid=1695173453&amp;sr=8-10</v>
      </c>
      <c r="F647" t="s">
        <v>1542</v>
      </c>
      <c r="G647" t="e">
        <f ca="1">_xludf.IMAGE("https://edmondsonsupply.com/cdn/shop/products/photo_3800_medium_86f45e25-a764-4839-bc84-759a6ce1c7bd.jpg?v=1659910436")</f>
        <v>#NAME?</v>
      </c>
      <c r="H647" t="e">
        <f ca="1">_xludf.IMAGE("https://m.media-amazon.com/images/I/61JykELT0fL._AC_UL320_.jpg")</f>
        <v>#NAME?</v>
      </c>
      <c r="I647" t="s">
        <v>1543</v>
      </c>
      <c r="J647">
        <v>403.68</v>
      </c>
      <c r="K647" s="4">
        <v>4.8513000000000002</v>
      </c>
      <c r="L647">
        <v>4.5</v>
      </c>
      <c r="M647">
        <v>457</v>
      </c>
      <c r="O647" t="s">
        <v>25</v>
      </c>
      <c r="P647" t="s">
        <v>1544</v>
      </c>
      <c r="Q647" t="s">
        <v>1545</v>
      </c>
    </row>
    <row r="648" spans="1:17" ht="15.5" x14ac:dyDescent="0.35">
      <c r="A648"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648" s="3" t="str">
        <f>HYPERLINK("https://edmondsonsupply.com/products/nu-calgon-44171-75-evap-foam-no-rinse-aerosol-coil-cleaner", "https://edmondsonsupply.com/products/nu-calgon-44171-75-evap-foam-no-rinse-aerosol-coil-cleaner")</f>
        <v>https://edmondsonsupply.com/products/nu-calgon-44171-75-evap-foam-no-rinse-aerosol-coil-cleaner</v>
      </c>
      <c r="C648" t="s">
        <v>1546</v>
      </c>
      <c r="D648" t="s">
        <v>1547</v>
      </c>
      <c r="E648" s="3" t="str">
        <f>HYPERLINK("https://www.amazon.com/Nu-Calgon-4171-75-Rinse-Evaporator-Cleaner/dp/B07H26XW8D/ref=sr_1_6?keywords=Nu-Calgon+4171-75+Evap+Foam+No+Rinse%2C+Aerosol+Coil+Cleaner+%2818+oz.+can%29&amp;qid=1695173370&amp;sr=8-6", "https://www.amazon.com/Nu-Calgon-4171-75-Rinse-Evaporator-Cleaner/dp/B07H26XW8D/ref=sr_1_6?keywords=Nu-Calgon+4171-75+Evap+Foam+No+Rinse%2C+Aerosol+Coil+Cleaner+%2818+oz.+can%29&amp;qid=1695173370&amp;sr=8-6")</f>
        <v>https://www.amazon.com/Nu-Calgon-4171-75-Rinse-Evaporator-Cleaner/dp/B07H26XW8D/ref=sr_1_6?keywords=Nu-Calgon+4171-75+Evap+Foam+No+Rinse%2C+Aerosol+Coil+Cleaner+%2818+oz.+can%29&amp;qid=1695173370&amp;sr=8-6</v>
      </c>
      <c r="F648" t="s">
        <v>1548</v>
      </c>
      <c r="G648" t="e">
        <f ca="1">_xludf.IMAGE("https://edmondsonsupply.com/cdn/shop/products/4171-75.jpg?v=1659099515")</f>
        <v>#NAME?</v>
      </c>
      <c r="H648" t="e">
        <f ca="1">_xludf.IMAGE("https://m.media-amazon.com/images/I/61khcN5DFdL._AC_UL320_.jpg")</f>
        <v>#NAME?</v>
      </c>
      <c r="I648" t="s">
        <v>234</v>
      </c>
      <c r="J648">
        <v>67.989999999999995</v>
      </c>
      <c r="K648" s="4">
        <v>4.7864000000000004</v>
      </c>
      <c r="L648">
        <v>4.7</v>
      </c>
      <c r="M648">
        <v>143</v>
      </c>
      <c r="O648" t="s">
        <v>25</v>
      </c>
      <c r="P648" t="s">
        <v>1549</v>
      </c>
      <c r="Q648" t="s">
        <v>1550</v>
      </c>
    </row>
    <row r="649" spans="1:17" ht="15.5" x14ac:dyDescent="0.35">
      <c r="A649" s="3" t="str">
        <f>HYPERLINK("https://edmondsonsupply.com/collections/hvac/products/channellock-804", "https://edmondsonsupply.com/collections/hvac/products/channellock-804")</f>
        <v>https://edmondsonsupply.com/collections/hvac/products/channellock-804</v>
      </c>
      <c r="B649" s="3" t="str">
        <f>HYPERLINK("https://edmondsonsupply.com/products/channellock-804", "https://edmondsonsupply.com/products/channellock-804")</f>
        <v>https://edmondsonsupply.com/products/channellock-804</v>
      </c>
      <c r="C649" t="s">
        <v>1551</v>
      </c>
      <c r="D649" t="s">
        <v>1552</v>
      </c>
      <c r="E649" s="3" t="str">
        <f>HYPERLINK("https://www.amazon.com/CHANNELLOCK-Adjustable-Capacity-Laser-Etched-Measurement/dp/B0891JNCRL/ref=sr_1_2?keywords=Channellock+804+4-Inch+Chrome+Adjustable+Wrench&amp;qid=1695173641&amp;sr=8-2", "https://www.amazon.com/CHANNELLOCK-Adjustable-Capacity-Laser-Etched-Measurement/dp/B0891JNCRL/ref=sr_1_2?keywords=Channellock+804+4-Inch+Chrome+Adjustable+Wrench&amp;qid=1695173641&amp;sr=8-2")</f>
        <v>https://www.amazon.com/CHANNELLOCK-Adjustable-Capacity-Laser-Etched-Measurement/dp/B0891JNCRL/ref=sr_1_2?keywords=Channellock+804+4-Inch+Chrome+Adjustable+Wrench&amp;qid=1695173641&amp;sr=8-2</v>
      </c>
      <c r="F649" t="s">
        <v>1553</v>
      </c>
      <c r="G649" t="e">
        <f ca="1">_xludf.IMAGE("https://edmondsonsupply.com/cdn/shop/products/804-683x1024.jpg?v=1587145853")</f>
        <v>#NAME?</v>
      </c>
      <c r="H649" t="e">
        <f ca="1">_xludf.IMAGE("https://m.media-amazon.com/images/I/51-CWTrf9CL._AC_UL320_.jpg")</f>
        <v>#NAME?</v>
      </c>
      <c r="I649" t="s">
        <v>1554</v>
      </c>
      <c r="J649">
        <v>97.88</v>
      </c>
      <c r="K649" s="4">
        <v>4.7746000000000004</v>
      </c>
      <c r="L649">
        <v>4.8</v>
      </c>
      <c r="M649">
        <v>10</v>
      </c>
      <c r="O649" t="s">
        <v>25</v>
      </c>
      <c r="P649" t="s">
        <v>1555</v>
      </c>
      <c r="Q649" t="s">
        <v>1556</v>
      </c>
    </row>
    <row r="650" spans="1:17" ht="15.5" x14ac:dyDescent="0.35">
      <c r="A650" s="3" t="str">
        <f>HYPERLINK("https://edmondsonsupply.com/collections/hvac/products/packard-pmj88-motor-start-capacitor-88-108-mfd-110-125-vac", "https://edmondsonsupply.com/collections/hvac/products/packard-pmj88-motor-start-capacitor-88-108-mfd-110-125-vac")</f>
        <v>https://edmondsonsupply.com/collections/hvac/products/packard-pmj88-motor-start-capacitor-88-108-mfd-110-125-vac</v>
      </c>
      <c r="B650" s="3" t="str">
        <f>HYPERLINK("https://edmondsonsupply.com/products/packard-pmj88-motor-start-capacitor-88-108-mfd-110-125-vac", "https://edmondsonsupply.com/products/packard-pmj88-motor-start-capacitor-88-108-mfd-110-125-vac")</f>
        <v>https://edmondsonsupply.com/products/packard-pmj88-motor-start-capacitor-88-108-mfd-110-125-vac</v>
      </c>
      <c r="C650" t="s">
        <v>1557</v>
      </c>
      <c r="D650" t="s">
        <v>1558</v>
      </c>
      <c r="E650" s="3" t="str">
        <f>HYPERLINK("https://www.amazon.com/PMJ850-Upgraded-Replacement-Capacitor-850-1020/dp/B0773VT257/ref=sr_1_5?keywords=Packard+PMJ88+Motor+Start+Capacitor+88-108+MFD+110-125+VAC&amp;qid=1695173521&amp;sr=8-5", "https://www.amazon.com/PMJ850-Upgraded-Replacement-Capacitor-850-1020/dp/B0773VT257/ref=sr_1_5?keywords=Packard+PMJ88+Motor+Start+Capacitor+88-108+MFD+110-125+VAC&amp;qid=1695173521&amp;sr=8-5")</f>
        <v>https://www.amazon.com/PMJ850-Upgraded-Replacement-Capacitor-850-1020/dp/B0773VT257/ref=sr_1_5?keywords=Packard+PMJ88+Motor+Start+Capacitor+88-108+MFD+110-125+VAC&amp;qid=1695173521&amp;sr=8-5</v>
      </c>
      <c r="F650" t="s">
        <v>1559</v>
      </c>
      <c r="G650" t="e">
        <f ca="1">_xludf.IMAGE("https://edmondsonsupply.com/cdn/shop/products/PMJ88-2.jpg?v=1633030893")</f>
        <v>#NAME?</v>
      </c>
      <c r="H650" t="e">
        <f ca="1">_xludf.IMAGE("https://m.media-amazon.com/images/I/41fqQrQgJaL._AC_UY218_.jpg")</f>
        <v>#NAME?</v>
      </c>
      <c r="I650" t="s">
        <v>1560</v>
      </c>
      <c r="J650">
        <v>17.739999999999998</v>
      </c>
      <c r="K650" s="4">
        <v>4.7225999999999999</v>
      </c>
      <c r="L650">
        <v>5</v>
      </c>
      <c r="M650">
        <v>4</v>
      </c>
      <c r="O650" t="s">
        <v>25</v>
      </c>
      <c r="P650" t="s">
        <v>138</v>
      </c>
      <c r="Q650" t="s">
        <v>1561</v>
      </c>
    </row>
    <row r="651" spans="1:17" ht="15.5" x14ac:dyDescent="0.35">
      <c r="A651" s="3" t="str">
        <f>HYPERLINK("https://edmondsonsupply.com/collections/hvac/products/cambridge-3-4-pvc-liquid-tight-conduit-fitting-straight", "https://edmondsonsupply.com/collections/hvac/products/cambridge-3-4-pvc-liquid-tight-conduit-fitting-straight")</f>
        <v>https://edmondsonsupply.com/collections/hvac/products/cambridge-3-4-pvc-liquid-tight-conduit-fitting-straight</v>
      </c>
      <c r="B651" s="3" t="str">
        <f>HYPERLINK("https://edmondsonsupply.com/products/cambridge-3-4-pvc-liquid-tight-conduit-fitting-straight", "https://edmondsonsupply.com/products/cambridge-3-4-pvc-liquid-tight-conduit-fitting-straight")</f>
        <v>https://edmondsonsupply.com/products/cambridge-3-4-pvc-liquid-tight-conduit-fitting-straight</v>
      </c>
      <c r="C651" t="s">
        <v>1340</v>
      </c>
      <c r="D651" t="s">
        <v>1562</v>
      </c>
      <c r="E651" s="3" t="str">
        <f>HYPERLINK("https://www.amazon.com/LifCratms-Electrical-Connector-Fittings-Nonmetallic/dp/B0BJJM3CZ5/ref=sr_1_10?keywords=Cambridge+3%2F4%22+PVC+Liquid+Tight+Conduit+Fitting+-+Straight&amp;qid=1695173710&amp;sr=8-10", "https://www.amazon.com/LifCratms-Electrical-Connector-Fittings-Nonmetallic/dp/B0BJJM3CZ5/ref=sr_1_10?keywords=Cambridge+3%2F4%22+PVC+Liquid+Tight+Conduit+Fitting+-+Straight&amp;qid=1695173710&amp;sr=8-10")</f>
        <v>https://www.amazon.com/LifCratms-Electrical-Connector-Fittings-Nonmetallic/dp/B0BJJM3CZ5/ref=sr_1_10?keywords=Cambridge+3%2F4%22+PVC+Liquid+Tight+Conduit+Fitting+-+Straight&amp;qid=1695173710&amp;sr=8-10</v>
      </c>
      <c r="F651" t="s">
        <v>1563</v>
      </c>
      <c r="G651" t="e">
        <f ca="1">_xludf.IMAGE("https://edmondsonsupply.com/cdn/shop/files/W14656_01.jpg?v=1692277615")</f>
        <v>#NAME?</v>
      </c>
      <c r="H651" t="e">
        <f ca="1">_xludf.IMAGE("https://m.media-amazon.com/images/I/619+NFIpeEL._AC_UL320_.jpg")</f>
        <v>#NAME?</v>
      </c>
      <c r="I651" t="s">
        <v>1343</v>
      </c>
      <c r="J651">
        <v>8.5399999999999991</v>
      </c>
      <c r="K651" s="4">
        <v>4.6932999999999998</v>
      </c>
      <c r="L651">
        <v>5</v>
      </c>
      <c r="M651">
        <v>4</v>
      </c>
      <c r="O651" t="s">
        <v>25</v>
      </c>
      <c r="P651" t="s">
        <v>138</v>
      </c>
      <c r="Q651" t="s">
        <v>1344</v>
      </c>
    </row>
    <row r="652" spans="1:17" ht="15.5" x14ac:dyDescent="0.35">
      <c r="A652" s="3" t="str">
        <f>HYPERLINK("https://edmondsonsupply.com/collections/hvac/products/packard-titan-pro-toc5-motor-run-capacitor-5-mfd-370-volt-oval", "https://edmondsonsupply.com/collections/hvac/products/packard-titan-pro-toc5-motor-run-capacitor-5-mfd-370-volt-oval")</f>
        <v>https://edmondsonsupply.com/collections/hvac/products/packard-titan-pro-toc5-motor-run-capacitor-5-mfd-370-volt-oval</v>
      </c>
      <c r="B652" s="3" t="str">
        <f>HYPERLINK("https://edmondsonsupply.com/products/packard-titan-pro-toc5-motor-run-capacitor-5-mfd-370-volt-oval", "https://edmondsonsupply.com/products/packard-titan-pro-toc5-motor-run-capacitor-5-mfd-370-volt-oval")</f>
        <v>https://edmondsonsupply.com/products/packard-titan-pro-toc5-motor-run-capacitor-5-mfd-370-volt-oval</v>
      </c>
      <c r="C652" t="s">
        <v>1456</v>
      </c>
      <c r="D652" t="s">
        <v>1564</v>
      </c>
      <c r="E652" s="3" t="str">
        <f>HYPERLINK("https://www.amazon.com/Capacitor-Microfarad-Rating-370-440VAC-Voltage/dp/B08TTKHC9D/ref=sr_1_4?keywords=Packard+Titan+PRO+TOC5+Motor+Run+Capacitor+5+MFD+370+Volt+Oval&amp;qid=1695173382&amp;sr=8-4", "https://www.amazon.com/Capacitor-Microfarad-Rating-370-440VAC-Voltage/dp/B08TTKHC9D/ref=sr_1_4?keywords=Packard+Titan+PRO+TOC5+Motor+Run+Capacitor+5+MFD+370+Volt+Oval&amp;qid=1695173382&amp;sr=8-4")</f>
        <v>https://www.amazon.com/Capacitor-Microfarad-Rating-370-440VAC-Voltage/dp/B08TTKHC9D/ref=sr_1_4?keywords=Packard+Titan+PRO+TOC5+Motor+Run+Capacitor+5+MFD+370+Volt+Oval&amp;qid=1695173382&amp;sr=8-4</v>
      </c>
      <c r="F652" t="s">
        <v>1565</v>
      </c>
      <c r="G652" t="e">
        <f ca="1">_xludf.IMAGE("https://edmondsonsupply.com/cdn/shop/products/TOC5-2_cb7d381d-e381-4aa5-9246-56c19cd39747.jpg?v=1587146064")</f>
        <v>#NAME?</v>
      </c>
      <c r="H652" t="e">
        <f ca="1">_xludf.IMAGE("https://m.media-amazon.com/images/I/61OqR2WJMrL._AC_UY218_.jpg")</f>
        <v>#NAME?</v>
      </c>
      <c r="I652" t="s">
        <v>1459</v>
      </c>
      <c r="J652">
        <v>10.35</v>
      </c>
      <c r="K652" s="4">
        <v>4.625</v>
      </c>
      <c r="L652">
        <v>4.5999999999999996</v>
      </c>
      <c r="M652">
        <v>50</v>
      </c>
      <c r="O652" t="s">
        <v>25</v>
      </c>
      <c r="P652" t="s">
        <v>138</v>
      </c>
      <c r="Q652" t="s">
        <v>1460</v>
      </c>
    </row>
    <row r="653" spans="1:17" ht="15.5" x14ac:dyDescent="0.35">
      <c r="A653" s="3" t="str">
        <f>HYPERLINK("https://edmondsonsupply.com/collections/hvac/products/klein-tools-ncvt-2pkit-dual-range-non-contact-voltage-tester-with-receptacle-tester", "https://edmondsonsupply.com/collections/hvac/products/klein-tools-ncvt-2pkit-dual-range-non-contact-voltage-tester-with-receptacle-tester")</f>
        <v>https://edmondsonsupply.com/collections/hvac/products/klein-tools-ncvt-2pkit-dual-range-non-contact-voltage-tester-with-receptacle-tester</v>
      </c>
      <c r="B653"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653" t="s">
        <v>1566</v>
      </c>
      <c r="D653" t="s">
        <v>1567</v>
      </c>
      <c r="E653" s="3" t="str">
        <f>HYPERLINK("https://www.amazon.com/Voltage-Tester-Klein-Tools-HVNCVT-1/dp/B015KU2EXU/ref=sr_1_8?keywords=Klein+Tools+NCVT-2PKIT+Dual+Range+Non-Contact+Voltage+Tester+with+Receptacle+Tester&amp;qid=1695173669&amp;sr=8-8", "https://www.amazon.com/Voltage-Tester-Klein-Tools-HVNCVT-1/dp/B015KU2EXU/ref=sr_1_8?keywords=Klein+Tools+NCVT-2PKIT+Dual+Range+Non-Contact+Voltage+Tester+with+Receptacle+Tester&amp;qid=1695173669&amp;sr=8-8")</f>
        <v>https://www.amazon.com/Voltage-Tester-Klein-Tools-HVNCVT-1/dp/B015KU2EXU/ref=sr_1_8?keywords=Klein+Tools+NCVT-2PKIT+Dual+Range+Non-Contact+Voltage+Tester+with+Receptacle+Tester&amp;qid=1695173669&amp;sr=8-8</v>
      </c>
      <c r="F653" t="s">
        <v>1568</v>
      </c>
      <c r="G653" t="e">
        <f ca="1">_xludf.IMAGE("https://edmondsonsupply.com/cdn/shop/products/ncvt2pkit.jpg?v=1633030827")</f>
        <v>#NAME?</v>
      </c>
      <c r="H653" t="e">
        <f ca="1">_xludf.IMAGE("https://m.media-amazon.com/images/I/51vp8USEpSL._AC_UL320_.jpg")</f>
        <v>#NAME?</v>
      </c>
      <c r="I653" t="s">
        <v>26</v>
      </c>
      <c r="J653">
        <v>168.19</v>
      </c>
      <c r="K653" s="4">
        <v>4.6082000000000001</v>
      </c>
      <c r="L653">
        <v>4.4000000000000004</v>
      </c>
      <c r="M653">
        <v>86</v>
      </c>
      <c r="O653" t="s">
        <v>25</v>
      </c>
      <c r="P653" t="s">
        <v>1569</v>
      </c>
      <c r="Q653" t="s">
        <v>1570</v>
      </c>
    </row>
    <row r="654" spans="1:17" ht="15.5" x14ac:dyDescent="0.35">
      <c r="A654"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654" s="3" t="str">
        <f>HYPERLINK("https://edmondsonsupply.com/products/cambridge-3-4-pvc-liquid-tight-conduit-fitting-90-degree", "https://edmondsonsupply.com/products/cambridge-3-4-pvc-liquid-tight-conduit-fitting-90-degree")</f>
        <v>https://edmondsonsupply.com/products/cambridge-3-4-pvc-liquid-tight-conduit-fitting-90-degree</v>
      </c>
      <c r="C654" t="s">
        <v>1370</v>
      </c>
      <c r="D654" t="s">
        <v>1571</v>
      </c>
      <c r="E654" s="3" t="str">
        <f>HYPERLINK("https://www.amazon.com/heyous-Connector-Electrical-Conduit-Fittings/dp/B0BKRRG1QV/ref=sr_1_9?keywords=Cambridge+3%2F4%22+PVC+Liquid+Tight+Conduit+Fitting+-+90+Degree&amp;qid=1695173711&amp;sr=8-9", "https://www.amazon.com/heyous-Connector-Electrical-Conduit-Fittings/dp/B0BKRRG1QV/ref=sr_1_9?keywords=Cambridge+3%2F4%22+PVC+Liquid+Tight+Conduit+Fitting+-+90+Degree&amp;qid=1695173711&amp;sr=8-9")</f>
        <v>https://www.amazon.com/heyous-Connector-Electrical-Conduit-Fittings/dp/B0BKRRG1QV/ref=sr_1_9?keywords=Cambridge+3%2F4%22+PVC+Liquid+Tight+Conduit+Fitting+-+90+Degree&amp;qid=1695173711&amp;sr=8-9</v>
      </c>
      <c r="F654" t="s">
        <v>1572</v>
      </c>
      <c r="G654" t="e">
        <f ca="1">_xludf.IMAGE("https://edmondsonsupply.com/cdn/shop/files/W14657_01.jpg?v=1692278537")</f>
        <v>#NAME?</v>
      </c>
      <c r="H654" t="e">
        <f ca="1">_xludf.IMAGE("https://m.media-amazon.com/images/I/610+OZaFd8L._AC_UL320_.jpg")</f>
        <v>#NAME?</v>
      </c>
      <c r="I654" t="s">
        <v>1373</v>
      </c>
      <c r="J654">
        <v>9.99</v>
      </c>
      <c r="K654" s="4">
        <v>4.55</v>
      </c>
      <c r="L654">
        <v>5</v>
      </c>
      <c r="M654">
        <v>2</v>
      </c>
      <c r="O654" t="s">
        <v>25</v>
      </c>
      <c r="P654" t="s">
        <v>138</v>
      </c>
      <c r="Q654" t="s">
        <v>1374</v>
      </c>
    </row>
    <row r="655" spans="1:17" ht="15.5" x14ac:dyDescent="0.35">
      <c r="A655" s="3" t="str">
        <f>HYPERLINK("https://edmondsonsupply.com/collections/hvac/products/cambridge-3-4-pvc-liquid-tight-conduit-fitting-90-degree", "https://edmondsonsupply.com/collections/hvac/products/cambridge-3-4-pvc-liquid-tight-conduit-fitting-90-degree")</f>
        <v>https://edmondsonsupply.com/collections/hvac/products/cambridge-3-4-pvc-liquid-tight-conduit-fitting-90-degree</v>
      </c>
      <c r="B655" s="3" t="str">
        <f>HYPERLINK("https://edmondsonsupply.com/products/cambridge-3-4-pvc-liquid-tight-conduit-fitting-90-degree", "https://edmondsonsupply.com/products/cambridge-3-4-pvc-liquid-tight-conduit-fitting-90-degree")</f>
        <v>https://edmondsonsupply.com/products/cambridge-3-4-pvc-liquid-tight-conduit-fitting-90-degree</v>
      </c>
      <c r="C655" t="s">
        <v>1370</v>
      </c>
      <c r="D655" t="s">
        <v>1573</v>
      </c>
      <c r="E655" s="3" t="str">
        <f>HYPERLINK("https://www.amazon.com/ISPINNER-Nonmetallic-Electrical-Connector-Fittings/dp/B097GNQNTP/ref=sr_1_8?keywords=Cambridge+3%2F4%22+PVC+Liquid+Tight+Conduit+Fitting+-+90+Degree&amp;qid=1695173711&amp;sr=8-8", "https://www.amazon.com/ISPINNER-Nonmetallic-Electrical-Connector-Fittings/dp/B097GNQNTP/ref=sr_1_8?keywords=Cambridge+3%2F4%22+PVC+Liquid+Tight+Conduit+Fitting+-+90+Degree&amp;qid=1695173711&amp;sr=8-8")</f>
        <v>https://www.amazon.com/ISPINNER-Nonmetallic-Electrical-Connector-Fittings/dp/B097GNQNTP/ref=sr_1_8?keywords=Cambridge+3%2F4%22+PVC+Liquid+Tight+Conduit+Fitting+-+90+Degree&amp;qid=1695173711&amp;sr=8-8</v>
      </c>
      <c r="F655" t="s">
        <v>1574</v>
      </c>
      <c r="G655" t="e">
        <f ca="1">_xludf.IMAGE("https://edmondsonsupply.com/cdn/shop/files/W14657_01.jpg?v=1692278537")</f>
        <v>#NAME?</v>
      </c>
      <c r="H655" t="e">
        <f ca="1">_xludf.IMAGE("https://m.media-amazon.com/images/I/71pAprchM7S._AC_UL320_.jpg")</f>
        <v>#NAME?</v>
      </c>
      <c r="I655" t="s">
        <v>1373</v>
      </c>
      <c r="J655">
        <v>9.99</v>
      </c>
      <c r="K655" s="4">
        <v>4.55</v>
      </c>
      <c r="L655">
        <v>4.5999999999999996</v>
      </c>
      <c r="M655">
        <v>31</v>
      </c>
      <c r="O655" t="s">
        <v>25</v>
      </c>
      <c r="P655" t="s">
        <v>138</v>
      </c>
      <c r="Q655" t="s">
        <v>1374</v>
      </c>
    </row>
    <row r="656" spans="1:17" ht="15.5" x14ac:dyDescent="0.35">
      <c r="A656" s="3" t="str">
        <f>HYPERLINK("https://edmondsonsupply.com/collections/hvac/products/viega-25011-1-x-1-megapressg-coupling-with-stop", "https://edmondsonsupply.com/collections/hvac/products/viega-25011-1-x-1-megapressg-coupling-with-stop")</f>
        <v>https://edmondsonsupply.com/collections/hvac/products/viega-25011-1-x-1-megapressg-coupling-with-stop</v>
      </c>
      <c r="B656" s="3" t="str">
        <f>HYPERLINK("https://edmondsonsupply.com/products/viega-25011-1-x-1-megapressg-coupling-with-stop", "https://edmondsonsupply.com/products/viega-25011-1-x-1-megapressg-coupling-with-stop")</f>
        <v>https://edmondsonsupply.com/products/viega-25011-1-x-1-megapressg-coupling-with-stop</v>
      </c>
      <c r="C656" t="s">
        <v>1575</v>
      </c>
      <c r="D656" t="s">
        <v>1576</v>
      </c>
      <c r="E656" s="3" t="str">
        <f>HYPERLINK("https://www.amazon.com/78182-Propress-Coupling-without-10-Pack/dp/B017BVXM0U/ref=sr_1_5?keywords=Viega+25011+1%22+x+1%22+MegaPressG+Coupling+with+Stop&amp;qid=1695173702&amp;sr=8-5", "https://www.amazon.com/78182-Propress-Coupling-without-10-Pack/dp/B017BVXM0U/ref=sr_1_5?keywords=Viega+25011+1%22+x+1%22+MegaPressG+Coupling+with+Stop&amp;qid=1695173702&amp;sr=8-5")</f>
        <v>https://www.amazon.com/78182-Propress-Coupling-without-10-Pack/dp/B017BVXM0U/ref=sr_1_5?keywords=Viega+25011+1%22+x+1%22+MegaPressG+Coupling+with+Stop&amp;qid=1695173702&amp;sr=8-5</v>
      </c>
      <c r="F656" t="s">
        <v>1577</v>
      </c>
      <c r="G656" t="e">
        <f ca="1">_xludf.IMAGE("https://edmondsonsupply.com/cdn/shop/files/PPm6615_d05a817b-7c50-4fcb-92d7-ae64f0563602.jpg?v=1692651489")</f>
        <v>#NAME?</v>
      </c>
      <c r="H656" t="e">
        <f ca="1">_xludf.IMAGE("https://m.media-amazon.com/images/I/61nJGjpHLVL._AC_UL320_.jpg")</f>
        <v>#NAME?</v>
      </c>
      <c r="I656" t="s">
        <v>1578</v>
      </c>
      <c r="J656">
        <v>109</v>
      </c>
      <c r="K656" s="4">
        <v>4.5274000000000001</v>
      </c>
      <c r="L656">
        <v>4.7</v>
      </c>
      <c r="M656">
        <v>6</v>
      </c>
      <c r="O656" t="s">
        <v>25</v>
      </c>
      <c r="P656" t="s">
        <v>1579</v>
      </c>
      <c r="Q656" t="s">
        <v>1580</v>
      </c>
    </row>
    <row r="657" spans="1:17" ht="15.5" x14ac:dyDescent="0.35">
      <c r="A657"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657" s="3" t="str">
        <f>HYPERLINK("https://edmondsonsupply.com/products/packard-pmj216-motor-start-capacitor-216-259-mfd-110-125-vac", "https://edmondsonsupply.com/products/packard-pmj216-motor-start-capacitor-216-259-mfd-110-125-vac")</f>
        <v>https://edmondsonsupply.com/products/packard-pmj216-motor-start-capacitor-216-259-mfd-110-125-vac</v>
      </c>
      <c r="C657" t="s">
        <v>1581</v>
      </c>
      <c r="D657" t="s">
        <v>1582</v>
      </c>
      <c r="E657" s="3" t="str">
        <f>HYPERLINK("https://www.amazon.com/216-259-110-125V-Round-Capacitor-Replacement/dp/B0BRSMS7M2/ref=sr_1_5?keywords=Packard+PMJ216+Motor+Start+Capacitor+216-259+MFD+110-125+VAC&amp;qid=1695173457&amp;sr=8-5", "https://www.amazon.com/216-259-110-125V-Round-Capacitor-Replacement/dp/B0BRSMS7M2/ref=sr_1_5?keywords=Packard+PMJ216+Motor+Start+Capacitor+216-259+MFD+110-125+VAC&amp;qid=1695173457&amp;sr=8-5")</f>
        <v>https://www.amazon.com/216-259-110-125V-Round-Capacitor-Replacement/dp/B0BRSMS7M2/ref=sr_1_5?keywords=Packard+PMJ216+Motor+Start+Capacitor+216-259+MFD+110-125+VAC&amp;qid=1695173457&amp;sr=8-5</v>
      </c>
      <c r="F657" t="s">
        <v>1583</v>
      </c>
      <c r="G657" t="e">
        <f ca="1">_xludf.IMAGE("https://edmondsonsupply.com/cdn/shop/products/PMJ216-2.jpg?v=1633030107")</f>
        <v>#NAME?</v>
      </c>
      <c r="H657" t="e">
        <f ca="1">_xludf.IMAGE("https://m.media-amazon.com/images/I/815I46XUdJL._AC_UY218_.jpg")</f>
        <v>#NAME?</v>
      </c>
      <c r="I657" t="s">
        <v>1584</v>
      </c>
      <c r="J657">
        <v>19.989999999999998</v>
      </c>
      <c r="K657" s="4">
        <v>4.5068999999999999</v>
      </c>
      <c r="L657">
        <v>5</v>
      </c>
      <c r="M657">
        <v>1</v>
      </c>
      <c r="O657" t="s">
        <v>25</v>
      </c>
      <c r="P657" t="s">
        <v>138</v>
      </c>
      <c r="Q657" t="s">
        <v>1585</v>
      </c>
    </row>
    <row r="658" spans="1:17" ht="15.5" x14ac:dyDescent="0.35">
      <c r="A658" s="3" t="str">
        <f>HYPERLINK("https://edmondsonsupply.com/collections/hvac/products/klein-tools-et10-magnetic-digital-pocket-thermometer", "https://edmondsonsupply.com/collections/hvac/products/klein-tools-et10-magnetic-digital-pocket-thermometer")</f>
        <v>https://edmondsonsupply.com/collections/hvac/products/klein-tools-et10-magnetic-digital-pocket-thermometer</v>
      </c>
      <c r="B658" s="3" t="str">
        <f>HYPERLINK("https://edmondsonsupply.com/products/klein-tools-et10-magnetic-digital-pocket-thermometer", "https://edmondsonsupply.com/products/klein-tools-et10-magnetic-digital-pocket-thermometer")</f>
        <v>https://edmondsonsupply.com/products/klein-tools-et10-magnetic-digital-pocket-thermometer</v>
      </c>
      <c r="C658" t="s">
        <v>1586</v>
      </c>
      <c r="D658" t="s">
        <v>1587</v>
      </c>
      <c r="E658" s="3" t="str">
        <f>HYPERLINK("https://www.amazon.com/Klein-Tools-Infrared-Thermometer-Targeting/dp/B0BGJ6JX2Q/ref=sr_1_7?keywords=Klein+Tools+ET10+Magnetic+Digital+Pocket+Thermometer&amp;qid=1695173549&amp;sr=8-7", "https://www.amazon.com/Klein-Tools-Infrared-Thermometer-Targeting/dp/B0BGJ6JX2Q/ref=sr_1_7?keywords=Klein+Tools+ET10+Magnetic+Digital+Pocket+Thermometer&amp;qid=1695173549&amp;sr=8-7")</f>
        <v>https://www.amazon.com/Klein-Tools-Infrared-Thermometer-Targeting/dp/B0BGJ6JX2Q/ref=sr_1_7?keywords=Klein+Tools+ET10+Magnetic+Digital+Pocket+Thermometer&amp;qid=1695173549&amp;sr=8-7</v>
      </c>
      <c r="F658" t="s">
        <v>1588</v>
      </c>
      <c r="G658" t="e">
        <f ca="1">_xludf.IMAGE("https://edmondsonsupply.com/cdn/shop/products/et10.jpg?v=1587142916")</f>
        <v>#NAME?</v>
      </c>
      <c r="H658" t="e">
        <f ca="1">_xludf.IMAGE("https://m.media-amazon.com/images/I/51I0Gu41RPL._AC_UY218_.jpg")</f>
        <v>#NAME?</v>
      </c>
      <c r="I658" t="s">
        <v>1589</v>
      </c>
      <c r="J658">
        <v>123.98</v>
      </c>
      <c r="K658" s="4">
        <v>4.3928000000000003</v>
      </c>
      <c r="L658">
        <v>5</v>
      </c>
      <c r="M658">
        <v>2</v>
      </c>
      <c r="O658" t="s">
        <v>25</v>
      </c>
      <c r="P658" t="s">
        <v>1590</v>
      </c>
      <c r="Q658" t="s">
        <v>1591</v>
      </c>
    </row>
    <row r="659" spans="1:17" ht="15.5" x14ac:dyDescent="0.35">
      <c r="A659" s="3" t="str">
        <f>HYPERLINK("https://edmondsonsupply.com/collections/hvac/products/packard-prmj130-motor-start-capacitor-130-158-mfd-330-vac", "https://edmondsonsupply.com/collections/hvac/products/packard-prmj130-motor-start-capacitor-130-158-mfd-330-vac")</f>
        <v>https://edmondsonsupply.com/collections/hvac/products/packard-prmj130-motor-start-capacitor-130-158-mfd-330-vac</v>
      </c>
      <c r="B659" s="3" t="str">
        <f>HYPERLINK("https://edmondsonsupply.com/products/packard-prmj130-motor-start-capacitor-130-158-mfd-330-vac", "https://edmondsonsupply.com/products/packard-prmj130-motor-start-capacitor-130-158-mfd-330-vac")</f>
        <v>https://edmondsonsupply.com/products/packard-prmj130-motor-start-capacitor-130-158-mfd-330-vac</v>
      </c>
      <c r="C659" t="s">
        <v>1592</v>
      </c>
      <c r="D659" t="s">
        <v>1593</v>
      </c>
      <c r="E659" s="3" t="str">
        <f>HYPERLINK("https://www.amazon.com/Packard-Motor-Capacitor-135-162-PRMJ135/dp/B07FKSRJSW/ref=sr_1_5?keywords=Packard+PRMJ130+Motor+Start+Capacitor+130-158+MFD+330+VAC&amp;qid=1695173658&amp;sr=8-5", "https://www.amazon.com/Packard-Motor-Capacitor-135-162-PRMJ135/dp/B07FKSRJSW/ref=sr_1_5?keywords=Packard+PRMJ130+Motor+Start+Capacitor+130-158+MFD+330+VAC&amp;qid=1695173658&amp;sr=8-5")</f>
        <v>https://www.amazon.com/Packard-Motor-Capacitor-135-162-PRMJ135/dp/B07FKSRJSW/ref=sr_1_5?keywords=Packard+PRMJ130+Motor+Start+Capacitor+130-158+MFD+330+VAC&amp;qid=1695173658&amp;sr=8-5</v>
      </c>
      <c r="F659" t="s">
        <v>1594</v>
      </c>
      <c r="G659" t="e">
        <f ca="1">_xludf.IMAGE("https://edmondsonsupply.com/cdn/shop/products/PRMJ130-2.jpg?v=1587144436")</f>
        <v>#NAME?</v>
      </c>
      <c r="H659" t="e">
        <f ca="1">_xludf.IMAGE("https://m.media-amazon.com/images/I/31s6NjtEgLL._AC_UY218_.jpg")</f>
        <v>#NAME?</v>
      </c>
      <c r="I659" t="s">
        <v>1595</v>
      </c>
      <c r="J659">
        <v>20.99</v>
      </c>
      <c r="K659" s="4">
        <v>4.3821000000000003</v>
      </c>
      <c r="L659">
        <v>4.5</v>
      </c>
      <c r="M659">
        <v>132</v>
      </c>
      <c r="O659" t="s">
        <v>25</v>
      </c>
      <c r="P659" t="s">
        <v>138</v>
      </c>
      <c r="Q659" t="s">
        <v>1596</v>
      </c>
    </row>
    <row r="660" spans="1:17" ht="15.5" x14ac:dyDescent="0.35">
      <c r="A660" s="3" t="str">
        <f>HYPERLINK("https://edmondsonsupply.com/collections/hvac/products/packard-prmj130-motor-start-capacitor-130-158-mfd-330-vac", "https://edmondsonsupply.com/collections/hvac/products/packard-prmj130-motor-start-capacitor-130-158-mfd-330-vac")</f>
        <v>https://edmondsonsupply.com/collections/hvac/products/packard-prmj130-motor-start-capacitor-130-158-mfd-330-vac</v>
      </c>
      <c r="B660" s="3" t="str">
        <f>HYPERLINK("https://edmondsonsupply.com/products/packard-prmj130-motor-start-capacitor-130-158-mfd-330-vac", "https://edmondsonsupply.com/products/packard-prmj130-motor-start-capacitor-130-158-mfd-330-vac")</f>
        <v>https://edmondsonsupply.com/products/packard-prmj130-motor-start-capacitor-130-158-mfd-330-vac</v>
      </c>
      <c r="C660" t="s">
        <v>1592</v>
      </c>
      <c r="D660" t="s">
        <v>1597</v>
      </c>
      <c r="E660" s="3" t="str">
        <f>HYPERLINK("https://www.amazon.com/130-156-330-VAC-Replacement-092A130B330CE7A/dp/B00TKQ2B6Q/ref=sr_1_4?keywords=Packard+PRMJ130+Motor+Start+Capacitor+130-158+MFD+330+VAC&amp;qid=1695173658&amp;sr=8-4", "https://www.amazon.com/130-156-330-VAC-Replacement-092A130B330CE7A/dp/B00TKQ2B6Q/ref=sr_1_4?keywords=Packard+PRMJ130+Motor+Start+Capacitor+130-158+MFD+330+VAC&amp;qid=1695173658&amp;sr=8-4")</f>
        <v>https://www.amazon.com/130-156-330-VAC-Replacement-092A130B330CE7A/dp/B00TKQ2B6Q/ref=sr_1_4?keywords=Packard+PRMJ130+Motor+Start+Capacitor+130-158+MFD+330+VAC&amp;qid=1695173658&amp;sr=8-4</v>
      </c>
      <c r="F660" t="s">
        <v>1598</v>
      </c>
      <c r="G660" t="e">
        <f ca="1">_xludf.IMAGE("https://edmondsonsupply.com/cdn/shop/products/PRMJ130-2.jpg?v=1587144436")</f>
        <v>#NAME?</v>
      </c>
      <c r="H660" t="e">
        <f ca="1">_xludf.IMAGE("https://m.media-amazon.com/images/I/41G8bEFHCZL._AC_UY218_.jpg")</f>
        <v>#NAME?</v>
      </c>
      <c r="I660" t="s">
        <v>1595</v>
      </c>
      <c r="J660">
        <v>20.6</v>
      </c>
      <c r="K660" s="4">
        <v>4.2820999999999998</v>
      </c>
      <c r="L660">
        <v>5</v>
      </c>
      <c r="M660">
        <v>1</v>
      </c>
      <c r="O660" t="s">
        <v>25</v>
      </c>
      <c r="P660" t="s">
        <v>138</v>
      </c>
      <c r="Q660" t="s">
        <v>1596</v>
      </c>
    </row>
    <row r="661" spans="1:17" ht="15.5" x14ac:dyDescent="0.35">
      <c r="A661"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661" s="3" t="str">
        <f>HYPERLINK("https://edmondsonsupply.com/products/klein-tools-69417-rare-earth-magnetic-meter-hanger", "https://edmondsonsupply.com/products/klein-tools-69417-rare-earth-magnetic-meter-hanger")</f>
        <v>https://edmondsonsupply.com/products/klein-tools-69417-rare-earth-magnetic-meter-hanger</v>
      </c>
      <c r="C661" t="s">
        <v>1413</v>
      </c>
      <c r="D661" t="s">
        <v>1599</v>
      </c>
      <c r="E661" s="3" t="str">
        <f>HYPERLINK("https://www.amazon.com/Klein-Tools-Multimeter-Auto-Ranging-Resistance/dp/B0CF1LF84V/ref=sr_1_5?keywords=Klein+Tools+69417+Rare+Earth+Magnetic+Meter+Hanger%2C+with+Strap&amp;qid=1695173681&amp;sr=8-5", "https://www.amazon.com/Klein-Tools-Multimeter-Auto-Ranging-Resistance/dp/B0CF1LF84V/ref=sr_1_5?keywords=Klein+Tools+69417+Rare+Earth+Magnetic+Meter+Hanger%2C+with+Strap&amp;qid=1695173681&amp;sr=8-5")</f>
        <v>https://www.amazon.com/Klein-Tools-Multimeter-Auto-Ranging-Resistance/dp/B0CF1LF84V/ref=sr_1_5?keywords=Klein+Tools+69417+Rare+Earth+Magnetic+Meter+Hanger%2C+with+Strap&amp;qid=1695173681&amp;sr=8-5</v>
      </c>
      <c r="F661" t="s">
        <v>1600</v>
      </c>
      <c r="G661" t="e">
        <f ca="1">_xludf.IMAGE("https://edmondsonsupply.com/cdn/shop/products/69417.jpg?v=1587150163")</f>
        <v>#NAME?</v>
      </c>
      <c r="H661" t="e">
        <f ca="1">_xludf.IMAGE("https://m.media-amazon.com/images/I/51jBNo1wv+L._AC_UL320_.jpg")</f>
        <v>#NAME?</v>
      </c>
      <c r="I661" t="s">
        <v>288</v>
      </c>
      <c r="J661">
        <v>73.290000000000006</v>
      </c>
      <c r="K661" s="4">
        <v>4.2386999999999997</v>
      </c>
      <c r="L661">
        <v>4.7</v>
      </c>
      <c r="M661">
        <v>3817</v>
      </c>
      <c r="O661" t="s">
        <v>25</v>
      </c>
      <c r="P661" t="s">
        <v>845</v>
      </c>
      <c r="Q661" t="s">
        <v>1416</v>
      </c>
    </row>
    <row r="662" spans="1:17" ht="15.5" x14ac:dyDescent="0.35">
      <c r="A662"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662" s="3" t="str">
        <f>HYPERLINK("https://edmondsonsupply.com/products/packard-pmj216-motor-start-capacitor-216-259-mfd-110-125-vac", "https://edmondsonsupply.com/products/packard-pmj216-motor-start-capacitor-216-259-mfd-110-125-vac")</f>
        <v>https://edmondsonsupply.com/products/packard-pmj216-motor-start-capacitor-216-259-mfd-110-125-vac</v>
      </c>
      <c r="C662" t="s">
        <v>1581</v>
      </c>
      <c r="D662" t="s">
        <v>1601</v>
      </c>
      <c r="E662" s="3" t="str">
        <f>HYPERLINK("https://www.amazon.com/PRMJ216-Packard-Upgraded-Replacement-Capacitor/dp/B0773SJML1/ref=sr_1_3?keywords=Packard+PMJ216+Motor+Start+Capacitor+216-259+MFD+110-125+VAC&amp;qid=1695173457&amp;sr=8-3", "https://www.amazon.com/PRMJ216-Packard-Upgraded-Replacement-Capacitor/dp/B0773SJML1/ref=sr_1_3?keywords=Packard+PMJ216+Motor+Start+Capacitor+216-259+MFD+110-125+VAC&amp;qid=1695173457&amp;sr=8-3")</f>
        <v>https://www.amazon.com/PRMJ216-Packard-Upgraded-Replacement-Capacitor/dp/B0773SJML1/ref=sr_1_3?keywords=Packard+PMJ216+Motor+Start+Capacitor+216-259+MFD+110-125+VAC&amp;qid=1695173457&amp;sr=8-3</v>
      </c>
      <c r="F662" t="s">
        <v>1602</v>
      </c>
      <c r="G662" t="e">
        <f ca="1">_xludf.IMAGE("https://edmondsonsupply.com/cdn/shop/products/PMJ216-2.jpg?v=1633030107")</f>
        <v>#NAME?</v>
      </c>
      <c r="H662" t="e">
        <f ca="1">_xludf.IMAGE("https://m.media-amazon.com/images/I/41fqQrQgJaL._AC_UY218_.jpg")</f>
        <v>#NAME?</v>
      </c>
      <c r="I662" t="s">
        <v>1584</v>
      </c>
      <c r="J662">
        <v>18.989999999999998</v>
      </c>
      <c r="K662" s="4">
        <v>4.2313999999999998</v>
      </c>
      <c r="L662">
        <v>5</v>
      </c>
      <c r="M662">
        <v>1</v>
      </c>
      <c r="O662" t="s">
        <v>25</v>
      </c>
      <c r="P662" t="s">
        <v>138</v>
      </c>
      <c r="Q662" t="s">
        <v>1585</v>
      </c>
    </row>
    <row r="663" spans="1:17" ht="15.5" x14ac:dyDescent="0.35">
      <c r="A663" s="3" t="str">
        <f>HYPERLINK("https://edmondsonsupply.com/collections/hvac/products/klein-tools-mag2-magnetizer-demagnetizer", "https://edmondsonsupply.com/collections/hvac/products/klein-tools-mag2-magnetizer-demagnetizer")</f>
        <v>https://edmondsonsupply.com/collections/hvac/products/klein-tools-mag2-magnetizer-demagnetizer</v>
      </c>
      <c r="B663" s="3" t="str">
        <f>HYPERLINK("https://edmondsonsupply.com/products/klein-tools-mag2-magnetizer-demagnetizer", "https://edmondsonsupply.com/products/klein-tools-mag2-magnetizer-demagnetizer")</f>
        <v>https://edmondsonsupply.com/products/klein-tools-mag2-magnetizer-demagnetizer</v>
      </c>
      <c r="C663" t="s">
        <v>1520</v>
      </c>
      <c r="D663" t="s">
        <v>1603</v>
      </c>
      <c r="E663" s="3" t="str">
        <f>HYPERLINK("https://www.amazon.com/Klein-Tools-Demagnetizer-Magnetizer-Screwdriver/dp/B09Z918LTW/ref=sr_1_8?keywords=Klein+Tools+MAG2+Magnetizer+%2F+Demagnetizer&amp;qid=1695173451&amp;sr=8-8", "https://www.amazon.com/Klein-Tools-Demagnetizer-Magnetizer-Screwdriver/dp/B09Z918LTW/ref=sr_1_8?keywords=Klein+Tools+MAG2+Magnetizer+%2F+Demagnetizer&amp;qid=1695173451&amp;sr=8-8")</f>
        <v>https://www.amazon.com/Klein-Tools-Demagnetizer-Magnetizer-Screwdriver/dp/B09Z918LTW/ref=sr_1_8?keywords=Klein+Tools+MAG2+Magnetizer+%2F+Demagnetizer&amp;qid=1695173451&amp;sr=8-8</v>
      </c>
      <c r="F663" t="s">
        <v>1604</v>
      </c>
      <c r="G663" t="e">
        <f ca="1">_xludf.IMAGE("https://edmondsonsupply.com/cdn/shop/products/mag2.jpg?v=1587145008")</f>
        <v>#NAME?</v>
      </c>
      <c r="H663" t="e">
        <f ca="1">_xludf.IMAGE("https://m.media-amazon.com/images/I/51W0D7+MmSL._AC_UL320_.jpg")</f>
        <v>#NAME?</v>
      </c>
      <c r="I663" t="s">
        <v>1427</v>
      </c>
      <c r="J663">
        <v>49.94</v>
      </c>
      <c r="K663" s="4">
        <v>4.0090000000000003</v>
      </c>
      <c r="L663">
        <v>5</v>
      </c>
      <c r="M663">
        <v>2</v>
      </c>
      <c r="O663" t="s">
        <v>25</v>
      </c>
      <c r="P663" t="s">
        <v>1523</v>
      </c>
      <c r="Q663" t="s">
        <v>1524</v>
      </c>
    </row>
    <row r="664" spans="1:17" ht="15.5" x14ac:dyDescent="0.35">
      <c r="A664" s="3" t="str">
        <f>HYPERLINK("https://edmondsonsupply.com/collections/hvac/products/packard-trc40-titan-pro-run-capacitor-40-mfd-370-volt-round", "https://edmondsonsupply.com/collections/hvac/products/packard-trc40-titan-pro-run-capacitor-40-mfd-370-volt-round")</f>
        <v>https://edmondsonsupply.com/collections/hvac/products/packard-trc40-titan-pro-run-capacitor-40-mfd-370-volt-round</v>
      </c>
      <c r="B664" s="3" t="str">
        <f>HYPERLINK("https://edmondsonsupply.com/products/packard-trc40-titan-pro-run-capacitor-40-mfd-370-volt-round", "https://edmondsonsupply.com/products/packard-trc40-titan-pro-run-capacitor-40-mfd-370-volt-round")</f>
        <v>https://edmondsonsupply.com/products/packard-trc40-titan-pro-run-capacitor-40-mfd-370-volt-round</v>
      </c>
      <c r="C664" t="s">
        <v>1605</v>
      </c>
      <c r="D664" t="s">
        <v>1606</v>
      </c>
      <c r="E664" s="3" t="str">
        <f>HYPERLINK("https://www.amazon.com/Packard-Trcfd403-Titan-Capacitor-Round/dp/B01JMAXOL0/ref=sr_1_1?keywords=Packard+TRC40+Titan+PRO+Run+Capacitor+40+MFD+370+Volt+Round&amp;qid=1695173675&amp;sr=8-1", "https://www.amazon.com/Packard-Trcfd403-Titan-Capacitor-Round/dp/B01JMAXOL0/ref=sr_1_1?keywords=Packard+TRC40+Titan+PRO+Run+Capacitor+40+MFD+370+Volt+Round&amp;qid=1695173675&amp;sr=8-1")</f>
        <v>https://www.amazon.com/Packard-Trcfd403-Titan-Capacitor-Round/dp/B01JMAXOL0/ref=sr_1_1?keywords=Packard+TRC40+Titan+PRO+Run+Capacitor+40+MFD+370+Volt+Round&amp;qid=1695173675&amp;sr=8-1</v>
      </c>
      <c r="F664" t="s">
        <v>1607</v>
      </c>
      <c r="G664" t="e">
        <f ca="1">_xludf.IMAGE("https://edmondsonsupply.com/cdn/shop/products/tp370-2_xl_1.jpg?v=1587148259")</f>
        <v>#NAME?</v>
      </c>
      <c r="H664" t="e">
        <f ca="1">_xludf.IMAGE("https://m.media-amazon.com/images/I/61ZOaIfuaxL._AC_UY218_.jpg")</f>
        <v>#NAME?</v>
      </c>
      <c r="I664" t="s">
        <v>1608</v>
      </c>
      <c r="J664">
        <v>22.91</v>
      </c>
      <c r="K664" s="4">
        <v>3.9803999999999999</v>
      </c>
      <c r="L664">
        <v>5</v>
      </c>
      <c r="M664">
        <v>1</v>
      </c>
      <c r="O664" t="s">
        <v>25</v>
      </c>
      <c r="P664" t="s">
        <v>138</v>
      </c>
      <c r="Q664" t="s">
        <v>1609</v>
      </c>
    </row>
    <row r="665" spans="1:17" ht="15.5" x14ac:dyDescent="0.35">
      <c r="A665" s="3" t="str">
        <f>HYPERLINK("https://edmondsonsupply.com/collections/hvac/products/holyoke-fittings-41fpsw-4-1-4-swivel-forged-nut", "https://edmondsonsupply.com/collections/hvac/products/holyoke-fittings-41fpsw-4-1-4-swivel-forged-nut")</f>
        <v>https://edmondsonsupply.com/collections/hvac/products/holyoke-fittings-41fpsw-4-1-4-swivel-forged-nut</v>
      </c>
      <c r="B665" s="3" t="str">
        <f>HYPERLINK("https://edmondsonsupply.com/products/holyoke-fittings-41fpsw-4-1-4-swivel-forged-nut", "https://edmondsonsupply.com/products/holyoke-fittings-41fpsw-4-1-4-swivel-forged-nut")</f>
        <v>https://edmondsonsupply.com/products/holyoke-fittings-41fpsw-4-1-4-swivel-forged-nut</v>
      </c>
      <c r="C665" t="s">
        <v>1610</v>
      </c>
      <c r="D665" t="s">
        <v>1611</v>
      </c>
      <c r="E665" s="3" t="str">
        <f>HYPERLINK("https://www.amazon.com/Highcraft-G41GT-14-10-Forged-Fittings-Connection/dp/B09JTTYXCY/ref=sr_1_3?keywords=Holyoke+Fittings+41FPSW-4+1%2F4%22+Swivel+Forged+Flare+Nut&amp;qid=1695173744&amp;sr=8-3", "https://www.amazon.com/Highcraft-G41GT-14-10-Forged-Fittings-Connection/dp/B09JTTYXCY/ref=sr_1_3?keywords=Holyoke+Fittings+41FPSW-4+1%2F4%22+Swivel+Forged+Flare+Nut&amp;qid=1695173744&amp;sr=8-3")</f>
        <v>https://www.amazon.com/Highcraft-G41GT-14-10-Forged-Fittings-Connection/dp/B09JTTYXCY/ref=sr_1_3?keywords=Holyoke+Fittings+41FPSW-4+1%2F4%22+Swivel+Forged+Flare+Nut&amp;qid=1695173744&amp;sr=8-3</v>
      </c>
      <c r="F665" t="s">
        <v>1612</v>
      </c>
      <c r="G665" t="e">
        <f ca="1">_xludf.IMAGE("https://edmondsonsupply.com/cdn/shop/files/41FPSW.jpg?v=1687988341")</f>
        <v>#NAME?</v>
      </c>
      <c r="H665" t="e">
        <f ca="1">_xludf.IMAGE("https://m.media-amazon.com/images/I/71wOkzziXwL._AC_UL320_.jpg")</f>
        <v>#NAME?</v>
      </c>
      <c r="I665" t="s">
        <v>1613</v>
      </c>
      <c r="J665">
        <v>14.32</v>
      </c>
      <c r="K665" s="4">
        <v>3.9722</v>
      </c>
      <c r="L665">
        <v>5</v>
      </c>
      <c r="M665">
        <v>3</v>
      </c>
      <c r="O665" t="s">
        <v>25</v>
      </c>
      <c r="P665" t="s">
        <v>1614</v>
      </c>
      <c r="Q665" t="s">
        <v>1615</v>
      </c>
    </row>
    <row r="666" spans="1:17" ht="15.5" x14ac:dyDescent="0.35">
      <c r="A666" s="3" t="str">
        <f>HYPERLINK("https://edmondsonsupply.com/collections/hvac/products/nu-calgon-4291-18-nu-brite-aerosol-coil-cleaner", "https://edmondsonsupply.com/collections/hvac/products/nu-calgon-4291-18-nu-brite-aerosol-coil-cleaner")</f>
        <v>https://edmondsonsupply.com/collections/hvac/products/nu-calgon-4291-18-nu-brite-aerosol-coil-cleaner</v>
      </c>
      <c r="B666" s="3" t="str">
        <f>HYPERLINK("https://edmondsonsupply.com/products/nu-calgon-4291-18-nu-brite-aerosol-coil-cleaner", "https://edmondsonsupply.com/products/nu-calgon-4291-18-nu-brite-aerosol-coil-cleaner")</f>
        <v>https://edmondsonsupply.com/products/nu-calgon-4291-18-nu-brite-aerosol-coil-cleaner</v>
      </c>
      <c r="C666" t="s">
        <v>1616</v>
      </c>
      <c r="D666" t="s">
        <v>1617</v>
      </c>
      <c r="E666" s="3" t="str">
        <f>HYPERLINK("https://www.amazon.com/Nu-Calgon-4291-18-Brite-Aerosol/dp/B07TYJJDKB/ref=sr_1_1?keywords=Nu-Calgon+4291-18+Nu-Brite+Aerosol+Coil+Cleaner&amp;qid=1695173432&amp;sr=8-1", "https://www.amazon.com/Nu-Calgon-4291-18-Brite-Aerosol/dp/B07TYJJDKB/ref=sr_1_1?keywords=Nu-Calgon+4291-18+Nu-Brite+Aerosol+Coil+Cleaner&amp;qid=1695173432&amp;sr=8-1")</f>
        <v>https://www.amazon.com/Nu-Calgon-4291-18-Brite-Aerosol/dp/B07TYJJDKB/ref=sr_1_1?keywords=Nu-Calgon+4291-18+Nu-Brite+Aerosol+Coil+Cleaner&amp;qid=1695173432&amp;sr=8-1</v>
      </c>
      <c r="F666" t="s">
        <v>1618</v>
      </c>
      <c r="G666" t="e">
        <f ca="1">_xludf.IMAGE("https://edmondsonsupply.com/cdn/shop/products/4291-18.jpg?v=1658772777")</f>
        <v>#NAME?</v>
      </c>
      <c r="H666" t="e">
        <f ca="1">_xludf.IMAGE("https://m.media-amazon.com/images/I/41Ne6MOuuYL._AC_UL320_.jpg")</f>
        <v>#NAME?</v>
      </c>
      <c r="I666" t="s">
        <v>1619</v>
      </c>
      <c r="J666">
        <v>55.95</v>
      </c>
      <c r="K666" s="4">
        <v>3.9121999999999999</v>
      </c>
      <c r="L666">
        <v>4.3</v>
      </c>
      <c r="M666">
        <v>34</v>
      </c>
      <c r="O666" t="s">
        <v>25</v>
      </c>
      <c r="P666" t="s">
        <v>1620</v>
      </c>
      <c r="Q666" t="s">
        <v>1621</v>
      </c>
    </row>
    <row r="667" spans="1:17" ht="15.5" x14ac:dyDescent="0.35">
      <c r="A667"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667" s="3" t="str">
        <f>HYPERLINK("https://edmondsonsupply.com/products/packard-pmj460-motor-start-capacitor-460-552-mfd-110-125-vac", "https://edmondsonsupply.com/products/packard-pmj460-motor-start-capacitor-460-552-mfd-110-125-vac")</f>
        <v>https://edmondsonsupply.com/products/packard-pmj460-motor-start-capacitor-460-552-mfd-110-125-vac</v>
      </c>
      <c r="C667" t="s">
        <v>1622</v>
      </c>
      <c r="D667" t="s">
        <v>1490</v>
      </c>
      <c r="E667" s="3" t="str">
        <f>HYPERLINK("https://www.amazon.com/PTMJ460-Packard-Upgraded-Replacement-Capacitor/dp/B0773VHK69/ref=sr_1_4?keywords=Packard+PMJ460+Motor+Start+Capacitor+460-552+MFD+110-125+VAC&amp;qid=1695173457&amp;sr=8-4", "https://www.amazon.com/PTMJ460-Packard-Upgraded-Replacement-Capacitor/dp/B0773VHK69/ref=sr_1_4?keywords=Packard+PMJ460+Motor+Start+Capacitor+460-552+MFD+110-125+VAC&amp;qid=1695173457&amp;sr=8-4")</f>
        <v>https://www.amazon.com/PTMJ460-Packard-Upgraded-Replacement-Capacitor/dp/B0773VHK69/ref=sr_1_4?keywords=Packard+PMJ460+Motor+Start+Capacitor+460-552+MFD+110-125+VAC&amp;qid=1695173457&amp;sr=8-4</v>
      </c>
      <c r="F667" t="s">
        <v>1491</v>
      </c>
      <c r="G667" t="e">
        <f ca="1">_xludf.IMAGE("https://edmondsonsupply.com/cdn/shop/products/PMJ460-2.jpg?v=1633030333")</f>
        <v>#NAME?</v>
      </c>
      <c r="H667" t="e">
        <f ca="1">_xludf.IMAGE("https://m.media-amazon.com/images/I/41fqQrQgJaL._AC_UY218_.jpg")</f>
        <v>#NAME?</v>
      </c>
      <c r="I667" t="s">
        <v>1623</v>
      </c>
      <c r="J667">
        <v>24.7</v>
      </c>
      <c r="K667" s="4">
        <v>3.8814000000000002</v>
      </c>
      <c r="L667">
        <v>5</v>
      </c>
      <c r="M667">
        <v>4</v>
      </c>
      <c r="O667" t="s">
        <v>171</v>
      </c>
      <c r="P667" t="s">
        <v>138</v>
      </c>
      <c r="Q667" t="s">
        <v>1624</v>
      </c>
    </row>
    <row r="668" spans="1:17" ht="15.5" x14ac:dyDescent="0.35">
      <c r="A668" s="3" t="str">
        <f>HYPERLINK("https://edmondsonsupply.com/collections/hvac/products/wiha-tools-70486-6-piece-color-coded-magnetic-nut-setter-sae-set", "https://edmondsonsupply.com/collections/hvac/products/wiha-tools-70486-6-piece-color-coded-magnetic-nut-setter-sae-set")</f>
        <v>https://edmondsonsupply.com/collections/hvac/products/wiha-tools-70486-6-piece-color-coded-magnetic-nut-setter-sae-set</v>
      </c>
      <c r="B668"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668" t="s">
        <v>1625</v>
      </c>
      <c r="D668" t="s">
        <v>1626</v>
      </c>
      <c r="E668" s="3" t="str">
        <f>HYPERLINK("https://www.amazon.com/Wiha-Phillips-Insulated-Screwdriver-Magnetic/dp/B0CB14SYQX/ref=sr_1_7?keywords=Wiha+Tools+70486+6+Piece+Color+Coded+Magnetic+Nut+Setter+SAE+Set&amp;qid=1695173732&amp;sr=8-7", "https://www.amazon.com/Wiha-Phillips-Insulated-Screwdriver-Magnetic/dp/B0CB14SYQX/ref=sr_1_7?keywords=Wiha+Tools+70486+6+Piece+Color+Coded+Magnetic+Nut+Setter+SAE+Set&amp;qid=1695173732&amp;sr=8-7")</f>
        <v>https://www.amazon.com/Wiha-Phillips-Insulated-Screwdriver-Magnetic/dp/B0CB14SYQX/ref=sr_1_7?keywords=Wiha+Tools+70486+6+Piece+Color+Coded+Magnetic+Nut+Setter+SAE+Set&amp;qid=1695173732&amp;sr=8-7</v>
      </c>
      <c r="F668" t="s">
        <v>1627</v>
      </c>
      <c r="G668" t="e">
        <f ca="1">_xludf.IMAGE("https://edmondsonsupply.com/cdn/shop/files/yd5nbnqyuwli1mnwhztl_1000x_327efac2-5e06-44b8-a018-f96fc21e85ad.webp?v=1690908507")</f>
        <v>#NAME?</v>
      </c>
      <c r="H668" t="e">
        <f ca="1">_xludf.IMAGE("https://m.media-amazon.com/images/I/511D0NYOQgL._AC_UL320_.jpg")</f>
        <v>#NAME?</v>
      </c>
      <c r="I668" t="s">
        <v>1628</v>
      </c>
      <c r="J668">
        <v>192.85</v>
      </c>
      <c r="K668" s="4">
        <v>3.8237000000000001</v>
      </c>
      <c r="L668">
        <v>4.8</v>
      </c>
      <c r="M668">
        <v>58</v>
      </c>
      <c r="O668" t="s">
        <v>25</v>
      </c>
      <c r="P668" t="s">
        <v>1629</v>
      </c>
      <c r="Q668" t="s">
        <v>1630</v>
      </c>
    </row>
    <row r="669" spans="1:17" ht="15.5" x14ac:dyDescent="0.35">
      <c r="A669" s="3" t="str">
        <f>HYPERLINK("https://edmondsonsupply.com/collections/hvac/products/packard-titan-pro-toc7-55-motor-run-capacitor-7-5-mfd-370-volt-oval", "https://edmondsonsupply.com/collections/hvac/products/packard-titan-pro-toc7-55-motor-run-capacitor-7-5-mfd-370-volt-oval")</f>
        <v>https://edmondsonsupply.com/collections/hvac/products/packard-titan-pro-toc7-55-motor-run-capacitor-7-5-mfd-370-volt-oval</v>
      </c>
      <c r="B669" s="3" t="str">
        <f>HYPERLINK("https://edmondsonsupply.com/products/packard-titan-pro-toc7-55-motor-run-capacitor-7-5-mfd-370-volt-oval", "https://edmondsonsupply.com/products/packard-titan-pro-toc7-55-motor-run-capacitor-7-5-mfd-370-volt-oval")</f>
        <v>https://edmondsonsupply.com/products/packard-titan-pro-toc7-55-motor-run-capacitor-7-5-mfd-370-volt-oval</v>
      </c>
      <c r="C669" t="s">
        <v>1631</v>
      </c>
      <c r="D669" t="s">
        <v>1632</v>
      </c>
      <c r="E669" s="3" t="str">
        <f>HYPERLINK("https://www.amazon.com/Capacitor-Microfarad-Rating-370-440VAC-Voltage/dp/B08TT47VFZ/ref=sr_1_4?keywords=Packard+Titan+PRO+TOC7.5+Motor+Run+Capacitor+7.5+MFD+370+Volt+Oval&amp;qid=1695173359&amp;sr=8-4", "https://www.amazon.com/Capacitor-Microfarad-Rating-370-440VAC-Voltage/dp/B08TT47VFZ/ref=sr_1_4?keywords=Packard+Titan+PRO+TOC7.5+Motor+Run+Capacitor+7.5+MFD+370+Volt+Oval&amp;qid=1695173359&amp;sr=8-4")</f>
        <v>https://www.amazon.com/Capacitor-Microfarad-Rating-370-440VAC-Voltage/dp/B08TT47VFZ/ref=sr_1_4?keywords=Packard+Titan+PRO+TOC7.5+Motor+Run+Capacitor+7.5+MFD+370+Volt+Oval&amp;qid=1695173359&amp;sr=8-4</v>
      </c>
      <c r="F669" t="s">
        <v>1633</v>
      </c>
      <c r="G669" t="e">
        <f ca="1">_xludf.IMAGE("https://edmondsonsupply.com/cdn/shop/products/TOC7.5-2.jpg?v=1633030268")</f>
        <v>#NAME?</v>
      </c>
      <c r="H669" t="e">
        <f ca="1">_xludf.IMAGE("https://m.media-amazon.com/images/I/61OqR2WJMrL._AC_UY218_.jpg")</f>
        <v>#NAME?</v>
      </c>
      <c r="I669" t="s">
        <v>1634</v>
      </c>
      <c r="J669">
        <v>10.41</v>
      </c>
      <c r="K669" s="4">
        <v>3.8193999999999999</v>
      </c>
      <c r="L669">
        <v>4.5</v>
      </c>
      <c r="M669">
        <v>29</v>
      </c>
      <c r="O669" t="s">
        <v>25</v>
      </c>
      <c r="P669" t="s">
        <v>138</v>
      </c>
      <c r="Q669" t="s">
        <v>1635</v>
      </c>
    </row>
    <row r="670" spans="1:17" ht="15.5" x14ac:dyDescent="0.35">
      <c r="A670" s="3" t="str">
        <f>HYPERLINK("https://edmondsonsupply.com/collections/hvac/products/rack-a-tiers-65300-ladder-mate", "https://edmondsonsupply.com/collections/hvac/products/rack-a-tiers-65300-ladder-mate")</f>
        <v>https://edmondsonsupply.com/collections/hvac/products/rack-a-tiers-65300-ladder-mate</v>
      </c>
      <c r="B670" s="3" t="str">
        <f>HYPERLINK("https://edmondsonsupply.com/products/rack-a-tiers-65300-ladder-mate", "https://edmondsonsupply.com/products/rack-a-tiers-65300-ladder-mate")</f>
        <v>https://edmondsonsupply.com/products/rack-a-tiers-65300-ladder-mate</v>
      </c>
      <c r="C670" t="s">
        <v>257</v>
      </c>
      <c r="D670" t="s">
        <v>258</v>
      </c>
      <c r="E670" s="3" t="str">
        <f>HYPERLINK("https://www.amazon.com/Rack-Tiers-Ladder-Mate-Robust/dp/B09XLRBG8D/ref=sr_1_3?keywords=Rack-A-Tiers+65300+Ladder+Mate&amp;qid=1695173329&amp;sr=8-3", "https://www.amazon.com/Rack-Tiers-Ladder-Mate-Robust/dp/B09XLRBG8D/ref=sr_1_3?keywords=Rack-A-Tiers+65300+Ladder+Mate&amp;qid=1695173329&amp;sr=8-3")</f>
        <v>https://www.amazon.com/Rack-Tiers-Ladder-Mate-Robust/dp/B09XLRBG8D/ref=sr_1_3?keywords=Rack-A-Tiers+65300+Ladder+Mate&amp;qid=1695173329&amp;sr=8-3</v>
      </c>
      <c r="F670" t="s">
        <v>259</v>
      </c>
      <c r="G670" t="e">
        <f ca="1">_xludf.IMAGE("https://edmondsonsupply.com/cdn/shop/products/65300-Ladder-Mate.png?v=1633031066")</f>
        <v>#NAME?</v>
      </c>
      <c r="H670" t="e">
        <f ca="1">_xludf.IMAGE("https://m.media-amazon.com/images/I/41fRbR1BozL._AC_UL320_.jpg")</f>
        <v>#NAME?</v>
      </c>
      <c r="I670" t="s">
        <v>260</v>
      </c>
      <c r="J670">
        <v>160.35</v>
      </c>
      <c r="K670" s="4">
        <v>3.7879999999999998</v>
      </c>
      <c r="L670">
        <v>5</v>
      </c>
      <c r="M670">
        <v>2</v>
      </c>
      <c r="O670" t="s">
        <v>25</v>
      </c>
      <c r="P670" t="s">
        <v>261</v>
      </c>
      <c r="Q670" t="s">
        <v>262</v>
      </c>
    </row>
    <row r="671" spans="1:17" ht="15.5" x14ac:dyDescent="0.35">
      <c r="A671" s="3" t="str">
        <f>HYPERLINK("https://edmondsonsupply.com/collections/hvac/products/packard-prmj108-motor-start-capacitor-108-130-mfd-330-volt", "https://edmondsonsupply.com/collections/hvac/products/packard-prmj108-motor-start-capacitor-108-130-mfd-330-volt")</f>
        <v>https://edmondsonsupply.com/collections/hvac/products/packard-prmj108-motor-start-capacitor-108-130-mfd-330-volt</v>
      </c>
      <c r="B671" s="3" t="str">
        <f>HYPERLINK("https://edmondsonsupply.com/products/packard-prmj108-motor-start-capacitor-108-130-mfd-330-volt", "https://edmondsonsupply.com/products/packard-prmj108-motor-start-capacitor-108-130-mfd-330-volt")</f>
        <v>https://edmondsonsupply.com/products/packard-prmj108-motor-start-capacitor-108-130-mfd-330-volt</v>
      </c>
      <c r="C671" t="s">
        <v>1636</v>
      </c>
      <c r="D671" t="s">
        <v>1637</v>
      </c>
      <c r="E671" s="3" t="str">
        <f>HYPERLINK("https://www.amazon.com/BlueStars-108-130-Capacitor-Electric-Replacement/dp/B0C2CTGWJ8/ref=sr_1_9?keywords=Packard+PRMJ108+Motor+Start+Capacitor+108-130+MFD+330+Volt&amp;qid=1695173650&amp;sr=8-9", "https://www.amazon.com/BlueStars-108-130-Capacitor-Electric-Replacement/dp/B0C2CTGWJ8/ref=sr_1_9?keywords=Packard+PRMJ108+Motor+Start+Capacitor+108-130+MFD+330+Volt&amp;qid=1695173650&amp;sr=8-9")</f>
        <v>https://www.amazon.com/BlueStars-108-130-Capacitor-Electric-Replacement/dp/B0C2CTGWJ8/ref=sr_1_9?keywords=Packard+PRMJ108+Motor+Start+Capacitor+108-130+MFD+330+Volt&amp;qid=1695173650&amp;sr=8-9</v>
      </c>
      <c r="F671" t="s">
        <v>1638</v>
      </c>
      <c r="G671" t="e">
        <f ca="1">_xludf.IMAGE("https://edmondsonsupply.com/cdn/shop/products/PRMJ108-2.jpg?v=1633030309")</f>
        <v>#NAME?</v>
      </c>
      <c r="H671" t="e">
        <f ca="1">_xludf.IMAGE("https://m.media-amazon.com/images/I/81omF63dGJL._AC_UY218_.jpg")</f>
        <v>#NAME?</v>
      </c>
      <c r="I671" t="s">
        <v>1476</v>
      </c>
      <c r="J671">
        <v>20.99</v>
      </c>
      <c r="K671" s="4">
        <v>3.7812999999999999</v>
      </c>
      <c r="L671">
        <v>5</v>
      </c>
      <c r="M671">
        <v>2</v>
      </c>
      <c r="O671" t="s">
        <v>25</v>
      </c>
      <c r="P671" t="s">
        <v>138</v>
      </c>
      <c r="Q671" t="s">
        <v>1639</v>
      </c>
    </row>
    <row r="672" spans="1:17" ht="15.5" x14ac:dyDescent="0.35">
      <c r="A672" s="3" t="str">
        <f>HYPERLINK("https://edmondsonsupply.com/collections/hvac/products/refrigeration-technologies-rt175b-viper-big-blu-brush-on-micro-leak-detector", "https://edmondsonsupply.com/collections/hvac/products/refrigeration-technologies-rt175b-viper-big-blu-brush-on-micro-leak-detector")</f>
        <v>https://edmondsonsupply.com/collections/hvac/products/refrigeration-technologies-rt175b-viper-big-blu-brush-on-micro-leak-detector</v>
      </c>
      <c r="B672" s="3" t="str">
        <f>HYPERLINK("https://edmondsonsupply.com/products/refrigeration-technologies-rt175b-viper-big-blu-brush-on-micro-leak-detector", "https://edmondsonsupply.com/products/refrigeration-technologies-rt175b-viper-big-blu-brush-on-micro-leak-detector")</f>
        <v>https://edmondsonsupply.com/products/refrigeration-technologies-rt175b-viper-big-blu-brush-on-micro-leak-detector</v>
      </c>
      <c r="C672" t="s">
        <v>1534</v>
      </c>
      <c r="D672" t="s">
        <v>1640</v>
      </c>
      <c r="E672" s="3" t="str">
        <f>HYPERLINK("https://www.amazon.com/Refrigeration-Technologies-Micro-Detector-RT100G/dp/B0BLT99ZPX/ref=sr_1_2?keywords=Refrigeration+Technologies+RT175B+Viper+Big+Blu+-+Brush+On+Micro+Leak+Detector&amp;qid=1695173358&amp;sr=8-2", "https://www.amazon.com/Refrigeration-Technologies-Micro-Detector-RT100G/dp/B0BLT99ZPX/ref=sr_1_2?keywords=Refrigeration+Technologies+RT175B+Viper+Big+Blu+-+Brush+On+Micro+Leak+Detector&amp;qid=1695173358&amp;sr=8-2")</f>
        <v>https://www.amazon.com/Refrigeration-Technologies-Micro-Detector-RT100G/dp/B0BLT99ZPX/ref=sr_1_2?keywords=Refrigeration+Technologies+RT175B+Viper+Big+Blu+-+Brush+On+Micro+Leak+Detector&amp;qid=1695173358&amp;sr=8-2</v>
      </c>
      <c r="F672" t="s">
        <v>1641</v>
      </c>
      <c r="G672" t="e">
        <f ca="1">_xludf.IMAGE("https://edmondsonsupply.com/cdn/shop/products/brush_on_blu_reflection-o17r8mukbu9smr8id6u6yq699brmo1twijfcclnbpc.jpg?v=1633030388")</f>
        <v>#NAME?</v>
      </c>
      <c r="H672" t="e">
        <f ca="1">_xludf.IMAGE("https://m.media-amazon.com/images/I/718lzq5vWlL._AC_UY218_.jpg")</f>
        <v>#NAME?</v>
      </c>
      <c r="I672" t="s">
        <v>1537</v>
      </c>
      <c r="J672">
        <v>39.99</v>
      </c>
      <c r="K672" s="4">
        <v>3.7664</v>
      </c>
      <c r="L672">
        <v>5</v>
      </c>
      <c r="M672">
        <v>1</v>
      </c>
      <c r="O672" t="s">
        <v>25</v>
      </c>
      <c r="P672" t="s">
        <v>1538</v>
      </c>
      <c r="Q672" t="s">
        <v>1539</v>
      </c>
    </row>
    <row r="673" spans="1:17" ht="15.5" x14ac:dyDescent="0.35">
      <c r="A673"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673" s="3" t="str">
        <f>HYPERLINK("https://edmondsonsupply.com/products/klein-tools-69417-rare-earth-magnetic-meter-hanger", "https://edmondsonsupply.com/products/klein-tools-69417-rare-earth-magnetic-meter-hanger")</f>
        <v>https://edmondsonsupply.com/products/klein-tools-69417-rare-earth-magnetic-meter-hanger</v>
      </c>
      <c r="C673" t="s">
        <v>1413</v>
      </c>
      <c r="D673" t="s">
        <v>1642</v>
      </c>
      <c r="E673" s="3" t="str">
        <f>HYPERLINK("https://www.amazon.com/Multimeter-Electrical-Non-Contact-Klein-Tools/dp/B0CF2CFS1D/ref=sr_1_4?keywords=Klein+Tools+69417+Rare+Earth+Magnetic+Meter+Hanger%2C+with+Strap&amp;qid=1695173681&amp;sr=8-4", "https://www.amazon.com/Multimeter-Electrical-Non-Contact-Klein-Tools/dp/B0CF2CFS1D/ref=sr_1_4?keywords=Klein+Tools+69417+Rare+Earth+Magnetic+Meter+Hanger%2C+with+Strap&amp;qid=1695173681&amp;sr=8-4")</f>
        <v>https://www.amazon.com/Multimeter-Electrical-Non-Contact-Klein-Tools/dp/B0CF2CFS1D/ref=sr_1_4?keywords=Klein+Tools+69417+Rare+Earth+Magnetic+Meter+Hanger%2C+with+Strap&amp;qid=1695173681&amp;sr=8-4</v>
      </c>
      <c r="F673" t="s">
        <v>1643</v>
      </c>
      <c r="G673" t="e">
        <f ca="1">_xludf.IMAGE("https://edmondsonsupply.com/cdn/shop/products/69417.jpg?v=1587150163")</f>
        <v>#NAME?</v>
      </c>
      <c r="H673" t="e">
        <f ca="1">_xludf.IMAGE("https://m.media-amazon.com/images/I/5182bo0BHaL._AC_UL320_.jpg")</f>
        <v>#NAME?</v>
      </c>
      <c r="I673" t="s">
        <v>288</v>
      </c>
      <c r="J673">
        <v>66.48</v>
      </c>
      <c r="K673" s="4">
        <v>3.7519999999999998</v>
      </c>
      <c r="L673">
        <v>4.8</v>
      </c>
      <c r="M673">
        <v>1458</v>
      </c>
      <c r="O673" t="s">
        <v>25</v>
      </c>
      <c r="P673" t="s">
        <v>845</v>
      </c>
      <c r="Q673" t="s">
        <v>1416</v>
      </c>
    </row>
    <row r="674" spans="1:17" ht="15.5" x14ac:dyDescent="0.35">
      <c r="A674" s="3" t="str">
        <f>HYPERLINK("https://edmondsonsupply.com/collections/hvac/products/malco-tools-12f-12-inch-sheet-metal-folding-tool", "https://edmondsonsupply.com/collections/hvac/products/malco-tools-12f-12-inch-sheet-metal-folding-tool")</f>
        <v>https://edmondsonsupply.com/collections/hvac/products/malco-tools-12f-12-inch-sheet-metal-folding-tool</v>
      </c>
      <c r="B674" s="3" t="str">
        <f>HYPERLINK("https://edmondsonsupply.com/products/malco-tools-12f-12-inch-sheet-metal-folding-tool", "https://edmondsonsupply.com/products/malco-tools-12f-12-inch-sheet-metal-folding-tool")</f>
        <v>https://edmondsonsupply.com/products/malco-tools-12f-12-inch-sheet-metal-folding-tool</v>
      </c>
      <c r="C674" t="s">
        <v>1644</v>
      </c>
      <c r="D674" t="s">
        <v>1645</v>
      </c>
      <c r="E674" s="3" t="str">
        <f>HYPERLINK("https://www.amazon.com/Malco-Capacity-Cutting-Attachment-Folding/dp/B0BD3XBZKC/ref=sr_1_3?keywords=Malco+Tools+12F+12-Inch+Sheet+Metal+Folding+Tool&amp;qid=1695173570&amp;sr=8-3", "https://www.amazon.com/Malco-Capacity-Cutting-Attachment-Folding/dp/B0BD3XBZKC/ref=sr_1_3?keywords=Malco+Tools+12F+12-Inch+Sheet+Metal+Folding+Tool&amp;qid=1695173570&amp;sr=8-3")</f>
        <v>https://www.amazon.com/Malco-Capacity-Cutting-Attachment-Folding/dp/B0BD3XBZKC/ref=sr_1_3?keywords=Malco+Tools+12F+12-Inch+Sheet+Metal+Folding+Tool&amp;qid=1695173570&amp;sr=8-3</v>
      </c>
      <c r="F674" t="s">
        <v>1646</v>
      </c>
      <c r="G674" t="e">
        <f ca="1">_xludf.IMAGE("https://edmondsonsupply.com/cdn/shop/products/12f-big.jpg?v=1587148427")</f>
        <v>#NAME?</v>
      </c>
      <c r="H674" t="e">
        <f ca="1">_xludf.IMAGE("https://m.media-amazon.com/images/I/51R5Crrl4LL._AC_UL320_.jpg")</f>
        <v>#NAME?</v>
      </c>
      <c r="I674" t="s">
        <v>1647</v>
      </c>
      <c r="J674">
        <v>79.67</v>
      </c>
      <c r="K674" s="4">
        <v>3.7450999999999999</v>
      </c>
      <c r="L674">
        <v>4.7</v>
      </c>
      <c r="M674">
        <v>2475</v>
      </c>
      <c r="O674" t="s">
        <v>25</v>
      </c>
      <c r="P674" t="s">
        <v>1648</v>
      </c>
      <c r="Q674" t="s">
        <v>1649</v>
      </c>
    </row>
    <row r="675" spans="1:17" ht="15.5" x14ac:dyDescent="0.35">
      <c r="A675" s="3" t="str">
        <f>HYPERLINK("https://edmondsonsupply.com/collections/hvac/products/icm-controls-icm401-3-phase-line-voltage-monitor", "https://edmondsonsupply.com/collections/hvac/products/icm-controls-icm401-3-phase-line-voltage-monitor")</f>
        <v>https://edmondsonsupply.com/collections/hvac/products/icm-controls-icm401-3-phase-line-voltage-monitor</v>
      </c>
      <c r="B675" s="3" t="str">
        <f>HYPERLINK("https://edmondsonsupply.com/products/icm-controls-icm401-3-phase-line-voltage-monitor", "https://edmondsonsupply.com/products/icm-controls-icm401-3-phase-line-voltage-monitor")</f>
        <v>https://edmondsonsupply.com/products/icm-controls-icm401-3-phase-line-voltage-monitor</v>
      </c>
      <c r="C675" t="s">
        <v>1650</v>
      </c>
      <c r="D675" t="s">
        <v>1651</v>
      </c>
      <c r="E675" s="3" t="str">
        <f>HYPERLINK("https://www.amazon.com/ICM-Controls-Three-Phase-Protection-Unbalance/dp/B00DGB4PQU/ref=sr_1_2?keywords=ICM+Controls+ICM401+3+Phase+Line+Voltage+Monitor&amp;qid=1695173605&amp;sr=8-2", "https://www.amazon.com/ICM-Controls-Three-Phase-Protection-Unbalance/dp/B00DGB4PQU/ref=sr_1_2?keywords=ICM+Controls+ICM401+3+Phase+Line+Voltage+Monitor&amp;qid=1695173605&amp;sr=8-2")</f>
        <v>https://www.amazon.com/ICM-Controls-Three-Phase-Protection-Unbalance/dp/B00DGB4PQU/ref=sr_1_2?keywords=ICM+Controls+ICM401+3+Phase+Line+Voltage+Monitor&amp;qid=1695173605&amp;sr=8-2</v>
      </c>
      <c r="F675" t="s">
        <v>1652</v>
      </c>
      <c r="G675" t="e">
        <f ca="1">_xludf.IMAGE("https://edmondsonsupply.com/cdn/shop/products/photo_3653_medium_52cb7f2c-e5f0-4da1-ac53-d344fb2403c9.png?v=1665087171")</f>
        <v>#NAME?</v>
      </c>
      <c r="H675" t="e">
        <f ca="1">_xludf.IMAGE("https://m.media-amazon.com/images/I/61og6zGDF+L._AC_UL320_.jpg")</f>
        <v>#NAME?</v>
      </c>
      <c r="I675" t="s">
        <v>1653</v>
      </c>
      <c r="J675">
        <v>164.38</v>
      </c>
      <c r="K675" s="4">
        <v>3.7248999999999999</v>
      </c>
      <c r="L675">
        <v>5</v>
      </c>
      <c r="M675">
        <v>2</v>
      </c>
      <c r="O675" t="s">
        <v>25</v>
      </c>
      <c r="P675" t="s">
        <v>1654</v>
      </c>
      <c r="Q675" t="s">
        <v>1655</v>
      </c>
    </row>
    <row r="676" spans="1:17" ht="15.5" x14ac:dyDescent="0.35">
      <c r="A676" s="3" t="str">
        <f>HYPERLINK("https://edmondsonsupply.com/collections/hvac/products/refrigeration-technologies-rt175b-viper-big-blu-brush-on-micro-leak-detector", "https://edmondsonsupply.com/collections/hvac/products/refrigeration-technologies-rt175b-viper-big-blu-brush-on-micro-leak-detector")</f>
        <v>https://edmondsonsupply.com/collections/hvac/products/refrigeration-technologies-rt175b-viper-big-blu-brush-on-micro-leak-detector</v>
      </c>
      <c r="B676" s="3" t="str">
        <f>HYPERLINK("https://edmondsonsupply.com/products/refrigeration-technologies-rt175b-viper-big-blu-brush-on-micro-leak-detector", "https://edmondsonsupply.com/products/refrigeration-technologies-rt175b-viper-big-blu-brush-on-micro-leak-detector")</f>
        <v>https://edmondsonsupply.com/products/refrigeration-technologies-rt175b-viper-big-blu-brush-on-micro-leak-detector</v>
      </c>
      <c r="C676" t="s">
        <v>1534</v>
      </c>
      <c r="D676" t="s">
        <v>1656</v>
      </c>
      <c r="E676" s="3" t="str">
        <f>HYPERLINK("https://www.amazon.com/Refrigeration-Technology-REFRIGERATION-TECHNOLOGIES-RT100G/dp/B0058E0Q0M/ref=sr_1_6?keywords=Refrigeration+Technologies+RT175B+Viper+Big+Blu+-+Brush+On+Micro+Leak+Detector&amp;qid=1695173358&amp;sr=8-6", "https://www.amazon.com/Refrigeration-Technology-REFRIGERATION-TECHNOLOGIES-RT100G/dp/B0058E0Q0M/ref=sr_1_6?keywords=Refrigeration+Technologies+RT175B+Viper+Big+Blu+-+Brush+On+Micro+Leak+Detector&amp;qid=1695173358&amp;sr=8-6")</f>
        <v>https://www.amazon.com/Refrigeration-Technology-REFRIGERATION-TECHNOLOGIES-RT100G/dp/B0058E0Q0M/ref=sr_1_6?keywords=Refrigeration+Technologies+RT175B+Viper+Big+Blu+-+Brush+On+Micro+Leak+Detector&amp;qid=1695173358&amp;sr=8-6</v>
      </c>
      <c r="F676" t="s">
        <v>1657</v>
      </c>
      <c r="G676" t="e">
        <f ca="1">_xludf.IMAGE("https://edmondsonsupply.com/cdn/shop/products/brush_on_blu_reflection-o17r8mukbu9smr8id6u6yq699brmo1twijfcclnbpc.jpg?v=1633030388")</f>
        <v>#NAME?</v>
      </c>
      <c r="H676" t="e">
        <f ca="1">_xludf.IMAGE("https://m.media-amazon.com/images/I/51CD8l6IzFL._AC_UY218_.jpg")</f>
        <v>#NAME?</v>
      </c>
      <c r="I676" t="s">
        <v>1537</v>
      </c>
      <c r="J676">
        <v>38.49</v>
      </c>
      <c r="K676" s="4">
        <v>3.5876000000000001</v>
      </c>
      <c r="L676">
        <v>4.5</v>
      </c>
      <c r="M676">
        <v>14</v>
      </c>
      <c r="O676" t="s">
        <v>25</v>
      </c>
      <c r="P676" t="s">
        <v>1538</v>
      </c>
      <c r="Q676" t="s">
        <v>1539</v>
      </c>
    </row>
    <row r="677" spans="1:17" ht="15.5" x14ac:dyDescent="0.35">
      <c r="A677"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677" s="3" t="str">
        <f>HYPERLINK("https://edmondsonsupply.com/products/nu-calgon-44171-75-evap-foam-no-rinse-aerosol-coil-cleaner", "https://edmondsonsupply.com/products/nu-calgon-44171-75-evap-foam-no-rinse-aerosol-coil-cleaner")</f>
        <v>https://edmondsonsupply.com/products/nu-calgon-44171-75-evap-foam-no-rinse-aerosol-coil-cleaner</v>
      </c>
      <c r="C677" t="s">
        <v>1546</v>
      </c>
      <c r="D677" t="s">
        <v>1658</v>
      </c>
      <c r="E677" s="3" t="str">
        <f>HYPERLINK("https://www.amazon.com/Nu-Calgon-4171-75-Evaporator-Cleaner-4-Pack/dp/B07MYMC7YH/ref=sr_1_2?keywords=Nu-Calgon+4171-75+Evap+Foam+No+Rinse%2C+Aerosol+Coil+Cleaner+%2818+oz.+can%29&amp;qid=1695173370&amp;sr=8-2", "https://www.amazon.com/Nu-Calgon-4171-75-Evaporator-Cleaner-4-Pack/dp/B07MYMC7YH/ref=sr_1_2?keywords=Nu-Calgon+4171-75+Evap+Foam+No+Rinse%2C+Aerosol+Coil+Cleaner+%2818+oz.+can%29&amp;qid=1695173370&amp;sr=8-2")</f>
        <v>https://www.amazon.com/Nu-Calgon-4171-75-Evaporator-Cleaner-4-Pack/dp/B07MYMC7YH/ref=sr_1_2?keywords=Nu-Calgon+4171-75+Evap+Foam+No+Rinse%2C+Aerosol+Coil+Cleaner+%2818+oz.+can%29&amp;qid=1695173370&amp;sr=8-2</v>
      </c>
      <c r="F677" t="s">
        <v>1659</v>
      </c>
      <c r="G677" t="e">
        <f ca="1">_xludf.IMAGE("https://edmondsonsupply.com/cdn/shop/products/4171-75.jpg?v=1659099515")</f>
        <v>#NAME?</v>
      </c>
      <c r="H677" t="e">
        <f ca="1">_xludf.IMAGE("https://m.media-amazon.com/images/I/81IAXS6OMOL._AC_UL320_.jpg")</f>
        <v>#NAME?</v>
      </c>
      <c r="I677" t="s">
        <v>234</v>
      </c>
      <c r="J677">
        <v>52.91</v>
      </c>
      <c r="K677" s="4">
        <v>3.5030000000000001</v>
      </c>
      <c r="L677">
        <v>4.7</v>
      </c>
      <c r="M677">
        <v>429</v>
      </c>
      <c r="O677" t="s">
        <v>25</v>
      </c>
      <c r="P677" t="s">
        <v>1549</v>
      </c>
      <c r="Q677" t="s">
        <v>1550</v>
      </c>
    </row>
    <row r="678" spans="1:17" ht="15.5" x14ac:dyDescent="0.35">
      <c r="A678" s="3" t="str">
        <f>HYPERLINK("https://edmondsonsupply.com/collections/hvac/products/packard-titan-pro-toc10-motor-run-capacitor-10-mfd-370-volt-oval", "https://edmondsonsupply.com/collections/hvac/products/packard-titan-pro-toc10-motor-run-capacitor-10-mfd-370-volt-oval")</f>
        <v>https://edmondsonsupply.com/collections/hvac/products/packard-titan-pro-toc10-motor-run-capacitor-10-mfd-370-volt-oval</v>
      </c>
      <c r="B678" s="3" t="str">
        <f>HYPERLINK("https://edmondsonsupply.com/products/packard-titan-pro-toc10-motor-run-capacitor-10-mfd-370-volt-oval", "https://edmondsonsupply.com/products/packard-titan-pro-toc10-motor-run-capacitor-10-mfd-370-volt-oval")</f>
        <v>https://edmondsonsupply.com/products/packard-titan-pro-toc10-motor-run-capacitor-10-mfd-370-volt-oval</v>
      </c>
      <c r="C678" t="s">
        <v>1660</v>
      </c>
      <c r="D678" t="s">
        <v>1661</v>
      </c>
      <c r="E678" s="3" t="str">
        <f>HYPERLINK("https://www.amazon.com/Capacitor-Microfarad-Rating-370-440VAC-Voltage/dp/B08TTWXTVG/ref=sr_1_4?keywords=Packard+Titan+PRO+TOC10+Motor+Run+Capacitor+10+MFD+370+Volt+Oval&amp;qid=1695173365&amp;sr=8-4", "https://www.amazon.com/Capacitor-Microfarad-Rating-370-440VAC-Voltage/dp/B08TTWXTVG/ref=sr_1_4?keywords=Packard+Titan+PRO+TOC10+Motor+Run+Capacitor+10+MFD+370+Volt+Oval&amp;qid=1695173365&amp;sr=8-4")</f>
        <v>https://www.amazon.com/Capacitor-Microfarad-Rating-370-440VAC-Voltage/dp/B08TTWXTVG/ref=sr_1_4?keywords=Packard+Titan+PRO+TOC10+Motor+Run+Capacitor+10+MFD+370+Volt+Oval&amp;qid=1695173365&amp;sr=8-4</v>
      </c>
      <c r="F678" t="s">
        <v>1662</v>
      </c>
      <c r="G678" t="e">
        <f ca="1">_xludf.IMAGE("https://edmondsonsupply.com/cdn/shop/products/TOC10-2.jpg?v=1647209707")</f>
        <v>#NAME?</v>
      </c>
      <c r="H678" t="e">
        <f ca="1">_xludf.IMAGE("https://m.media-amazon.com/images/I/61OqR2WJMrL._AC_UY218_.jpg")</f>
        <v>#NAME?</v>
      </c>
      <c r="I678" t="s">
        <v>1663</v>
      </c>
      <c r="J678">
        <v>9.99</v>
      </c>
      <c r="K678" s="4">
        <v>3.5</v>
      </c>
      <c r="L678">
        <v>4.8</v>
      </c>
      <c r="M678">
        <v>6</v>
      </c>
      <c r="O678" t="s">
        <v>25</v>
      </c>
      <c r="P678" t="s">
        <v>138</v>
      </c>
      <c r="Q678" t="s">
        <v>1664</v>
      </c>
    </row>
    <row r="679" spans="1:17" ht="15.5" x14ac:dyDescent="0.35">
      <c r="A679" s="3" t="str">
        <f>HYPERLINK("https://edmondsonsupply.com/collections/hvac/products/kroil-ks132-original-penetrant-aerosol-13oz-can", "https://edmondsonsupply.com/collections/hvac/products/kroil-ks132-original-penetrant-aerosol-13oz-can")</f>
        <v>https://edmondsonsupply.com/collections/hvac/products/kroil-ks132-original-penetrant-aerosol-13oz-can</v>
      </c>
      <c r="B679" s="3" t="str">
        <f>HYPERLINK("https://edmondsonsupply.com/products/kroil-ks132-original-penetrant-aerosol-13oz-can", "https://edmondsonsupply.com/products/kroil-ks132-original-penetrant-aerosol-13oz-can")</f>
        <v>https://edmondsonsupply.com/products/kroil-ks132-original-penetrant-aerosol-13oz-can</v>
      </c>
      <c r="C679" t="s">
        <v>1395</v>
      </c>
      <c r="D679" t="s">
        <v>1665</v>
      </c>
      <c r="E679" s="3" t="str">
        <f>HYPERLINK("https://www.amazon.com/Penetrating-Spray-13oz-Penetrant-Corrosion-AZKS132C4/dp/B08ZM7198N/ref=sr_1_2?keywords=Kroil+KS132+Original+Penetrant+Aerosol+13oz+can&amp;qid=1695173755&amp;sr=8-2", "https://www.amazon.com/Penetrating-Spray-13oz-Penetrant-Corrosion-AZKS132C4/dp/B08ZM7198N/ref=sr_1_2?keywords=Kroil+KS132+Original+Penetrant+Aerosol+13oz+can&amp;qid=1695173755&amp;sr=8-2")</f>
        <v>https://www.amazon.com/Penetrating-Spray-13oz-Penetrant-Corrosion-AZKS132C4/dp/B08ZM7198N/ref=sr_1_2?keywords=Kroil+KS132+Original+Penetrant+Aerosol+13oz+can&amp;qid=1695173755&amp;sr=8-2</v>
      </c>
      <c r="F679" t="s">
        <v>1666</v>
      </c>
      <c r="G679" t="e">
        <f ca="1">_xludf.IMAGE("https://edmondsonsupply.com/cdn/shop/files/ks132.webp?v=1686779771")</f>
        <v>#NAME?</v>
      </c>
      <c r="H679" t="e">
        <f ca="1">_xludf.IMAGE("https://m.media-amazon.com/images/I/61LjyRT-EEL._AC_UY218_.jpg")</f>
        <v>#NAME?</v>
      </c>
      <c r="I679" t="s">
        <v>1398</v>
      </c>
      <c r="J679">
        <v>105.99</v>
      </c>
      <c r="K679" s="4">
        <v>3.4552</v>
      </c>
      <c r="L679">
        <v>4.8</v>
      </c>
      <c r="M679">
        <v>24</v>
      </c>
      <c r="O679" t="s">
        <v>25</v>
      </c>
      <c r="P679" t="s">
        <v>1399</v>
      </c>
      <c r="Q679" t="s">
        <v>1400</v>
      </c>
    </row>
    <row r="680" spans="1:17" ht="15.5" x14ac:dyDescent="0.35">
      <c r="A680" s="3" t="str">
        <f>HYPERLINK("https://edmondsonsupply.com/collections/hvac/products/packard-pmj88-motor-start-capacitor-88-108-mfd-110-125-vac", "https://edmondsonsupply.com/collections/hvac/products/packard-pmj88-motor-start-capacitor-88-108-mfd-110-125-vac")</f>
        <v>https://edmondsonsupply.com/collections/hvac/products/packard-pmj88-motor-start-capacitor-88-108-mfd-110-125-vac</v>
      </c>
      <c r="B680" s="3" t="str">
        <f>HYPERLINK("https://edmondsonsupply.com/products/packard-pmj88-motor-start-capacitor-88-108-mfd-110-125-vac", "https://edmondsonsupply.com/products/packard-pmj88-motor-start-capacitor-88-108-mfd-110-125-vac")</f>
        <v>https://edmondsonsupply.com/products/packard-pmj88-motor-start-capacitor-88-108-mfd-110-125-vac</v>
      </c>
      <c r="C680" t="s">
        <v>1557</v>
      </c>
      <c r="D680" t="s">
        <v>1667</v>
      </c>
      <c r="E680" s="3" t="str">
        <f>HYPERLINK("https://www.amazon.com/PTMJ88-Packard-Upgraded-Replacement-Capacitor/dp/B0773WVSB6/ref=sr_1_4?keywords=Packard+PMJ88+Motor+Start+Capacitor+88-108+MFD+110-125+VAC&amp;qid=1695173521&amp;sr=8-4", "https://www.amazon.com/PTMJ88-Packard-Upgraded-Replacement-Capacitor/dp/B0773WVSB6/ref=sr_1_4?keywords=Packard+PMJ88+Motor+Start+Capacitor+88-108+MFD+110-125+VAC&amp;qid=1695173521&amp;sr=8-4")</f>
        <v>https://www.amazon.com/PTMJ88-Packard-Upgraded-Replacement-Capacitor/dp/B0773WVSB6/ref=sr_1_4?keywords=Packard+PMJ88+Motor+Start+Capacitor+88-108+MFD+110-125+VAC&amp;qid=1695173521&amp;sr=8-4</v>
      </c>
      <c r="F680" t="s">
        <v>1668</v>
      </c>
      <c r="G680" t="e">
        <f ca="1">_xludf.IMAGE("https://edmondsonsupply.com/cdn/shop/products/PMJ88-2.jpg?v=1633030893")</f>
        <v>#NAME?</v>
      </c>
      <c r="H680" t="e">
        <f ca="1">_xludf.IMAGE("https://m.media-amazon.com/images/I/41fqQrQgJaL._AC_UY218_.jpg")</f>
        <v>#NAME?</v>
      </c>
      <c r="I680" t="s">
        <v>1560</v>
      </c>
      <c r="J680">
        <v>13.7</v>
      </c>
      <c r="K680" s="4">
        <v>3.4194</v>
      </c>
      <c r="L680">
        <v>5</v>
      </c>
      <c r="M680">
        <v>1</v>
      </c>
      <c r="O680" t="s">
        <v>25</v>
      </c>
      <c r="P680" t="s">
        <v>138</v>
      </c>
      <c r="Q680" t="s">
        <v>1561</v>
      </c>
    </row>
    <row r="681" spans="1:17" ht="15.5" x14ac:dyDescent="0.35">
      <c r="A681" s="3" t="str">
        <f>HYPERLINK("https://edmondsonsupply.com/collections/hvac/products/hilmor-1839046", "https://edmondsonsupply.com/collections/hvac/products/hilmor-1839046")</f>
        <v>https://edmondsonsupply.com/collections/hvac/products/hilmor-1839046</v>
      </c>
      <c r="B681" s="3" t="str">
        <f>HYPERLINK("https://edmondsonsupply.com/products/hilmor-1839046", "https://edmondsonsupply.com/products/hilmor-1839046")</f>
        <v>https://edmondsonsupply.com/products/hilmor-1839046</v>
      </c>
      <c r="C681" t="s">
        <v>146</v>
      </c>
      <c r="D681" t="s">
        <v>151</v>
      </c>
      <c r="E681" s="3" t="str">
        <f>HYPERLINK("https://www.amazon.com/Uniweld-DHW316/dp/B00ECC6DR6/ref=sr_1_5?keywords=Hilmor+1839046+Service+Wrench+Hex+Key+Adapter&amp;qid=1695173450&amp;sr=8-5", "https://www.amazon.com/Uniweld-DHW316/dp/B00ECC6DR6/ref=sr_1_5?keywords=Hilmor+1839046+Service+Wrench+Hex+Key+Adapter&amp;qid=1695173450&amp;sr=8-5")</f>
        <v>https://www.amazon.com/Uniweld-DHW316/dp/B00ECC6DR6/ref=sr_1_5?keywords=Hilmor+1839046+Service+Wrench+Hex+Key+Adapter&amp;qid=1695173450&amp;sr=8-5</v>
      </c>
      <c r="F681" t="s">
        <v>152</v>
      </c>
      <c r="G681" t="e">
        <f ca="1">_xludf.IMAGE("https://edmondsonsupply.com/cdn/shop/products/s-l500.jpg?v=1633030254")</f>
        <v>#NAME?</v>
      </c>
      <c r="H681" t="e">
        <f ca="1">_xludf.IMAGE("https://m.media-amazon.com/images/I/61AUWm45d4L._AC_UL320_.jpg")</f>
        <v>#NAME?</v>
      </c>
      <c r="I681" t="s">
        <v>149</v>
      </c>
      <c r="J681">
        <v>14.19</v>
      </c>
      <c r="K681" s="4">
        <v>3.4068000000000001</v>
      </c>
      <c r="L681">
        <v>3.9</v>
      </c>
      <c r="M681">
        <v>26</v>
      </c>
      <c r="O681" t="s">
        <v>25</v>
      </c>
      <c r="P681" t="s">
        <v>138</v>
      </c>
      <c r="Q681" t="s">
        <v>150</v>
      </c>
    </row>
    <row r="682" spans="1:17" ht="15.5" x14ac:dyDescent="0.35">
      <c r="A682" s="3" t="str">
        <f>HYPERLINK("https://edmondsonsupply.com/collections/hvac/products/packard-titan-pro-toc7-55-motor-run-capacitor-7-5-mfd-370-volt-oval", "https://edmondsonsupply.com/collections/hvac/products/packard-titan-pro-toc7-55-motor-run-capacitor-7-5-mfd-370-volt-oval")</f>
        <v>https://edmondsonsupply.com/collections/hvac/products/packard-titan-pro-toc7-55-motor-run-capacitor-7-5-mfd-370-volt-oval</v>
      </c>
      <c r="B682" s="3" t="str">
        <f>HYPERLINK("https://edmondsonsupply.com/products/packard-titan-pro-toc7-55-motor-run-capacitor-7-5-mfd-370-volt-oval", "https://edmondsonsupply.com/products/packard-titan-pro-toc7-55-motor-run-capacitor-7-5-mfd-370-volt-oval")</f>
        <v>https://edmondsonsupply.com/products/packard-titan-pro-toc7-55-motor-run-capacitor-7-5-mfd-370-volt-oval</v>
      </c>
      <c r="C682" t="s">
        <v>1631</v>
      </c>
      <c r="D682" t="s">
        <v>1669</v>
      </c>
      <c r="E682" s="3" t="str">
        <f>HYPERLINK("https://www.amazon.com/Ship-TITAN-TOCF7-5-Capacitor-UE-EW23D210882/dp/B01IBV3OW0/ref=sr_1_3?keywords=Packard+Titan+PRO+TOC7.5+Motor+Run+Capacitor+7.5+MFD+370+Volt+Oval&amp;qid=1695173359&amp;sr=8-3", "https://www.amazon.com/Ship-TITAN-TOCF7-5-Capacitor-UE-EW23D210882/dp/B01IBV3OW0/ref=sr_1_3?keywords=Packard+Titan+PRO+TOC7.5+Motor+Run+Capacitor+7.5+MFD+370+Volt+Oval&amp;qid=1695173359&amp;sr=8-3")</f>
        <v>https://www.amazon.com/Ship-TITAN-TOCF7-5-Capacitor-UE-EW23D210882/dp/B01IBV3OW0/ref=sr_1_3?keywords=Packard+Titan+PRO+TOC7.5+Motor+Run+Capacitor+7.5+MFD+370+Volt+Oval&amp;qid=1695173359&amp;sr=8-3</v>
      </c>
      <c r="F682" t="s">
        <v>1670</v>
      </c>
      <c r="G682" t="e">
        <f ca="1">_xludf.IMAGE("https://edmondsonsupply.com/cdn/shop/products/TOC7.5-2.jpg?v=1633030268")</f>
        <v>#NAME?</v>
      </c>
      <c r="H682" t="e">
        <f ca="1">_xludf.IMAGE("https://m.media-amazon.com/images/I/31sjomcmQxL._AC_UY218_.jpg")</f>
        <v>#NAME?</v>
      </c>
      <c r="I682" t="s">
        <v>1634</v>
      </c>
      <c r="J682">
        <v>9.43</v>
      </c>
      <c r="K682" s="4">
        <v>3.3656999999999999</v>
      </c>
      <c r="L682">
        <v>4.3</v>
      </c>
      <c r="M682">
        <v>4327</v>
      </c>
      <c r="O682" t="s">
        <v>25</v>
      </c>
      <c r="P682" t="s">
        <v>138</v>
      </c>
      <c r="Q682" t="s">
        <v>1635</v>
      </c>
    </row>
    <row r="683" spans="1:17" ht="15.5" x14ac:dyDescent="0.35">
      <c r="A683" s="3" t="str">
        <f>HYPERLINK("https://edmondsonsupply.com/collections/hvac/products/kroil-sk102-penetrant-with-silicone-aka-silikroil-10oz-can", "https://edmondsonsupply.com/collections/hvac/products/kroil-sk102-penetrant-with-silicone-aka-silikroil-10oz-can")</f>
        <v>https://edmondsonsupply.com/collections/hvac/products/kroil-sk102-penetrant-with-silicone-aka-silikroil-10oz-can</v>
      </c>
      <c r="B683" s="3" t="str">
        <f>HYPERLINK("https://edmondsonsupply.com/products/kroil-sk102-penetrant-with-silicone-aka-silikroil-10oz-can", "https://edmondsonsupply.com/products/kroil-sk102-penetrant-with-silicone-aka-silikroil-10oz-can")</f>
        <v>https://edmondsonsupply.com/products/kroil-sk102-penetrant-with-silicone-aka-silikroil-10oz-can</v>
      </c>
      <c r="C683" t="s">
        <v>1671</v>
      </c>
      <c r="D683" t="s">
        <v>1672</v>
      </c>
      <c r="E683" s="3" t="str">
        <f>HYPERLINK("https://www.amazon.com/Penetrating-Spray-10oz-Penetrant-Lubricant-AZSK102C4/dp/B08ZM6ND3L/ref=sr_1_1?keywords=Kroil+SK102+Penetrant+With+Silicone+%28AKA+Silikroil%29+Aerosol+10oz+Can&amp;qid=1695173756&amp;sr=8-1", "https://www.amazon.com/Penetrating-Spray-10oz-Penetrant-Lubricant-AZSK102C4/dp/B08ZM6ND3L/ref=sr_1_1?keywords=Kroil+SK102+Penetrant+With+Silicone+%28AKA+Silikroil%29+Aerosol+10oz+Can&amp;qid=1695173756&amp;sr=8-1")</f>
        <v>https://www.amazon.com/Penetrating-Spray-10oz-Penetrant-Lubricant-AZSK102C4/dp/B08ZM6ND3L/ref=sr_1_1?keywords=Kroil+SK102+Penetrant+With+Silicone+%28AKA+Silikroil%29+Aerosol+10oz+Can&amp;qid=1695173756&amp;sr=8-1</v>
      </c>
      <c r="F683" t="s">
        <v>1673</v>
      </c>
      <c r="G683" t="e">
        <f ca="1">_xludf.IMAGE("https://edmondsonsupply.com/cdn/shop/files/SK102.webp?v=1686780967")</f>
        <v>#NAME?</v>
      </c>
      <c r="H683" t="e">
        <f ca="1">_xludf.IMAGE("https://m.media-amazon.com/images/I/71MJwRmkqzS._AC_UY218_.jpg")</f>
        <v>#NAME?</v>
      </c>
      <c r="I683" t="s">
        <v>1674</v>
      </c>
      <c r="J683">
        <v>99.99</v>
      </c>
      <c r="K683" s="4">
        <v>3.3512</v>
      </c>
      <c r="L683">
        <v>4.5</v>
      </c>
      <c r="M683">
        <v>16</v>
      </c>
      <c r="O683" t="s">
        <v>25</v>
      </c>
      <c r="P683" t="s">
        <v>1675</v>
      </c>
      <c r="Q683" t="s">
        <v>1676</v>
      </c>
    </row>
    <row r="684" spans="1:17" ht="15.5" x14ac:dyDescent="0.35">
      <c r="A684" s="3" t="str">
        <f>HYPERLINK("https://edmondsonsupply.com/collections/hvac/products/yellow-jacket-25002-9-flexflow%E2%84%A2-1-4-adaper-hose-with-ball-valve-yellow", "https://edmondsonsupply.com/collections/hvac/products/yellow-jacket-25002-9-flexflow%E2%84%A2-1-4-adaper-hose-with-ball-valve-yellow")</f>
        <v>https://edmondsonsupply.com/collections/hvac/products/yellow-jacket-25002-9-flexflow%E2%84%A2-1-4-adaper-hose-with-ball-valve-yellow</v>
      </c>
      <c r="B684" s="3" t="str">
        <f>HYPERLINK("https://edmondsonsupply.com/products/yellow-jacket-25002-9-flexflow%e2%84%a2-1-4-adaper-hose-with-ball-valve-yellow", "https://edmondsonsupply.com/products/yellow-jacket-25002-9-flexflow%e2%84%a2-1-4-adaper-hose-with-ball-valve-yellow")</f>
        <v>https://edmondsonsupply.com/products/yellow-jacket-25002-9-flexflow%e2%84%a2-1-4-adaper-hose-with-ball-valve-yellow</v>
      </c>
      <c r="C684" t="s">
        <v>1677</v>
      </c>
      <c r="D684" t="s">
        <v>1678</v>
      </c>
      <c r="E684" s="3" t="str">
        <f>HYPERLINK("https://www.amazon.com/Yellow-Jacket-29985-Compact-Length/dp/B007ID1HK4/ref=sr_1_2?keywords=Yellow+Jacket+25002+9%22+FLEXFLOW%E2%84%A2+1%2F4%22+Adaper+Hose+with+Ball+Valve+-+Yellow&amp;qid=1695173563&amp;sr=8-2", "https://www.amazon.com/Yellow-Jacket-29985-Compact-Length/dp/B007ID1HK4/ref=sr_1_2?keywords=Yellow+Jacket+25002+9%22+FLEXFLOW%E2%84%A2+1%2F4%22+Adaper+Hose+with+Ball+Valve+-+Yellow&amp;qid=1695173563&amp;sr=8-2")</f>
        <v>https://www.amazon.com/Yellow-Jacket-29985-Compact-Length/dp/B007ID1HK4/ref=sr_1_2?keywords=Yellow+Jacket+25002+9%22+FLEXFLOW%E2%84%A2+1%2F4%22+Adaper+Hose+with+Ball+Valve+-+Yellow&amp;qid=1695173563&amp;sr=8-2</v>
      </c>
      <c r="F684" t="s">
        <v>1679</v>
      </c>
      <c r="G684" t="e">
        <f ca="1">_xludf.IMAGE("https://edmondsonsupply.com/cdn/shop/products/Yellow_Jacket_25002.jpg?v=1587150917")</f>
        <v>#NAME?</v>
      </c>
      <c r="H684" t="e">
        <f ca="1">_xludf.IMAGE("https://m.media-amazon.com/images/I/61JYQM06zqL._AC_UL320_.jpg")</f>
        <v>#NAME?</v>
      </c>
      <c r="I684" t="s">
        <v>1680</v>
      </c>
      <c r="J684">
        <v>154</v>
      </c>
      <c r="K684" s="4">
        <v>3.3331</v>
      </c>
      <c r="L684">
        <v>4.7</v>
      </c>
      <c r="M684">
        <v>228</v>
      </c>
      <c r="O684" t="s">
        <v>25</v>
      </c>
      <c r="P684" t="s">
        <v>138</v>
      </c>
      <c r="Q684" t="s">
        <v>1681</v>
      </c>
    </row>
    <row r="685" spans="1:17" ht="15.5" x14ac:dyDescent="0.35">
      <c r="A685" s="3" t="str">
        <f>HYPERLINK("https://edmondsonsupply.com/collections/hvac/products/packard-titan-pro-toc5-motor-run-capacitor-5-mfd-370-volt-oval", "https://edmondsonsupply.com/collections/hvac/products/packard-titan-pro-toc5-motor-run-capacitor-5-mfd-370-volt-oval")</f>
        <v>https://edmondsonsupply.com/collections/hvac/products/packard-titan-pro-toc5-motor-run-capacitor-5-mfd-370-volt-oval</v>
      </c>
      <c r="B685" s="3" t="str">
        <f>HYPERLINK("https://edmondsonsupply.com/products/packard-titan-pro-toc5-motor-run-capacitor-5-mfd-370-volt-oval", "https://edmondsonsupply.com/products/packard-titan-pro-toc5-motor-run-capacitor-5-mfd-370-volt-oval")</f>
        <v>https://edmondsonsupply.com/products/packard-titan-pro-toc5-motor-run-capacitor-5-mfd-370-volt-oval</v>
      </c>
      <c r="C685" t="s">
        <v>1456</v>
      </c>
      <c r="D685" t="s">
        <v>1682</v>
      </c>
      <c r="E685" s="3" t="str">
        <f>HYPERLINK("https://www.amazon.com/Packard-10-MFD-Motor-Capacitor/dp/B01KARDZTK/ref=sr_1_9?keywords=Packard+Titan+PRO+TOC5+Motor+Run+Capacitor+5+MFD+370+Volt+Oval&amp;qid=1695173382&amp;sr=8-9", "https://www.amazon.com/Packard-10-MFD-Motor-Capacitor/dp/B01KARDZTK/ref=sr_1_9?keywords=Packard+Titan+PRO+TOC5+Motor+Run+Capacitor+5+MFD+370+Volt+Oval&amp;qid=1695173382&amp;sr=8-9")</f>
        <v>https://www.amazon.com/Packard-10-MFD-Motor-Capacitor/dp/B01KARDZTK/ref=sr_1_9?keywords=Packard+Titan+PRO+TOC5+Motor+Run+Capacitor+5+MFD+370+Volt+Oval&amp;qid=1695173382&amp;sr=8-9</v>
      </c>
      <c r="F685" t="s">
        <v>1683</v>
      </c>
      <c r="G685" t="e">
        <f ca="1">_xludf.IMAGE("https://edmondsonsupply.com/cdn/shop/products/TOC5-2_cb7d381d-e381-4aa5-9246-56c19cd39747.jpg?v=1587146064")</f>
        <v>#NAME?</v>
      </c>
      <c r="H685" t="e">
        <f ca="1">_xludf.IMAGE("https://m.media-amazon.com/images/I/715PjsYFipL._AC_UY218_.jpg")</f>
        <v>#NAME?</v>
      </c>
      <c r="I685" t="s">
        <v>1459</v>
      </c>
      <c r="J685">
        <v>7.84</v>
      </c>
      <c r="K685" s="4">
        <v>3.2608999999999999</v>
      </c>
      <c r="L685">
        <v>4.5</v>
      </c>
      <c r="M685">
        <v>38</v>
      </c>
      <c r="O685" t="s">
        <v>25</v>
      </c>
      <c r="P685" t="s">
        <v>138</v>
      </c>
      <c r="Q685" t="s">
        <v>1460</v>
      </c>
    </row>
    <row r="686" spans="1:17" ht="15.5" x14ac:dyDescent="0.35">
      <c r="A686" s="3" t="str">
        <f>HYPERLINK("https://edmondsonsupply.com/collections/hvac/products/klein-tools-pnd-12-5-1-2-inch-power-nut-driver-5-inch-length", "https://edmondsonsupply.com/collections/hvac/products/klein-tools-pnd-12-5-1-2-inch-power-nut-driver-5-inch-length")</f>
        <v>https://edmondsonsupply.com/collections/hvac/products/klein-tools-pnd-12-5-1-2-inch-power-nut-driver-5-inch-length</v>
      </c>
      <c r="B686" s="3" t="str">
        <f>HYPERLINK("https://edmondsonsupply.com/products/klein-tools-pnd-12-5-1-2-inch-power-nut-driver-5-inch-length", "https://edmondsonsupply.com/products/klein-tools-pnd-12-5-1-2-inch-power-nut-driver-5-inch-length")</f>
        <v>https://edmondsonsupply.com/products/klein-tools-pnd-12-5-1-2-inch-power-nut-driver-5-inch-length</v>
      </c>
      <c r="C686" t="s">
        <v>1684</v>
      </c>
      <c r="D686" t="s">
        <v>1685</v>
      </c>
      <c r="E686" s="3" t="str">
        <f>HYPERLINK("https://www.amazon.com/Heavy-Duty-Driver-6-Piece-Klein-Tools/dp/B01DKNDHGM/ref=sr_1_7?keywords=Klein+Tools+PND-12-5+1%2F2-Inch+Power+Nut+Driver+5-Inch+Length&amp;qid=1695173525&amp;sr=8-7", "https://www.amazon.com/Heavy-Duty-Driver-6-Piece-Klein-Tools/dp/B01DKNDHGM/ref=sr_1_7?keywords=Klein+Tools+PND-12-5+1%2F2-Inch+Power+Nut+Driver+5-Inch+Length&amp;qid=1695173525&amp;sr=8-7")</f>
        <v>https://www.amazon.com/Heavy-Duty-Driver-6-Piece-Klein-Tools/dp/B01DKNDHGM/ref=sr_1_7?keywords=Klein+Tools+PND-12-5+1%2F2-Inch+Power+Nut+Driver+5-Inch+Length&amp;qid=1695173525&amp;sr=8-7</v>
      </c>
      <c r="F686" t="s">
        <v>1686</v>
      </c>
      <c r="G686" t="e">
        <f ca="1">_xludf.IMAGE("https://edmondsonsupply.com/cdn/shop/products/pnd125.jpg?v=1633031028")</f>
        <v>#NAME?</v>
      </c>
      <c r="H686" t="e">
        <f ca="1">_xludf.IMAGE("https://m.media-amazon.com/images/I/61eypCy1RLL._AC_UL320_.jpg")</f>
        <v>#NAME?</v>
      </c>
      <c r="I686" t="s">
        <v>1687</v>
      </c>
      <c r="J686">
        <v>79.989999999999995</v>
      </c>
      <c r="K686" s="4">
        <v>3.2122000000000002</v>
      </c>
      <c r="L686">
        <v>4.7</v>
      </c>
      <c r="M686">
        <v>943</v>
      </c>
      <c r="O686" t="s">
        <v>25</v>
      </c>
      <c r="P686" t="s">
        <v>1688</v>
      </c>
      <c r="Q686" t="s">
        <v>1689</v>
      </c>
    </row>
    <row r="687" spans="1:17" ht="15.5" x14ac:dyDescent="0.35">
      <c r="A687" s="3" t="str">
        <f>HYPERLINK("https://edmondsonsupply.com/collections/hvac/products/klein-tools-630m-magnetic-nut-driver-set-3-inch-shafts-2-piece", "https://edmondsonsupply.com/collections/hvac/products/klein-tools-630m-magnetic-nut-driver-set-3-inch-shafts-2-piece")</f>
        <v>https://edmondsonsupply.com/collections/hvac/products/klein-tools-630m-magnetic-nut-driver-set-3-inch-shafts-2-piece</v>
      </c>
      <c r="B687" s="3" t="str">
        <f>HYPERLINK("https://edmondsonsupply.com/products/klein-tools-630m-magnetic-nut-driver-set-3-inch-shafts-2-piece", "https://edmondsonsupply.com/products/klein-tools-630m-magnetic-nut-driver-set-3-inch-shafts-2-piece")</f>
        <v>https://edmondsonsupply.com/products/klein-tools-630m-magnetic-nut-driver-set-3-inch-shafts-2-piece</v>
      </c>
      <c r="C687" t="s">
        <v>1690</v>
      </c>
      <c r="D687" t="s">
        <v>1691</v>
      </c>
      <c r="E687" s="3" t="str">
        <f>HYPERLINK("https://www.amazon.com/Klein-Tools-647M-Magnetic-7-Piece/dp/B000MKIUYQ/ref=sr_1_5?keywords=Klein+Tools+630M+Magnetic+Nut+Driver+Set%2C+3-Inch+Shafts%2C+2-Piece&amp;qid=1695173650&amp;sr=8-5", "https://www.amazon.com/Klein-Tools-647M-Magnetic-7-Piece/dp/B000MKIUYQ/ref=sr_1_5?keywords=Klein+Tools+630M+Magnetic+Nut+Driver+Set%2C+3-Inch+Shafts%2C+2-Piece&amp;qid=1695173650&amp;sr=8-5")</f>
        <v>https://www.amazon.com/Klein-Tools-647M-Magnetic-7-Piece/dp/B000MKIUYQ/ref=sr_1_5?keywords=Klein+Tools+630M+Magnetic+Nut+Driver+Set%2C+3-Inch+Shafts%2C+2-Piece&amp;qid=1695173650&amp;sr=8-5</v>
      </c>
      <c r="F687" t="s">
        <v>1692</v>
      </c>
      <c r="G687" t="e">
        <f ca="1">_xludf.IMAGE("https://edmondsonsupply.com/cdn/shop/products/630m.jpg?v=1587143237")</f>
        <v>#NAME?</v>
      </c>
      <c r="H687" t="e">
        <f ca="1">_xludf.IMAGE("https://m.media-amazon.com/images/I/61PNUE211uL._AC_UL320_.jpg")</f>
        <v>#NAME?</v>
      </c>
      <c r="I687" t="s">
        <v>1687</v>
      </c>
      <c r="J687">
        <v>79.989999999999995</v>
      </c>
      <c r="K687" s="4">
        <v>3.2122000000000002</v>
      </c>
      <c r="L687">
        <v>4.8</v>
      </c>
      <c r="M687">
        <v>985</v>
      </c>
      <c r="O687" t="s">
        <v>25</v>
      </c>
      <c r="P687" t="s">
        <v>1693</v>
      </c>
      <c r="Q687" t="s">
        <v>1694</v>
      </c>
    </row>
    <row r="688" spans="1:17" ht="15.5" x14ac:dyDescent="0.35">
      <c r="A688" s="3" t="str">
        <f>HYPERLINK("https://edmondsonsupply.com/collections/hvac/products/packard-pmj88-motor-start-capacitor-88-108-mfd-110-125-vac", "https://edmondsonsupply.com/collections/hvac/products/packard-pmj88-motor-start-capacitor-88-108-mfd-110-125-vac")</f>
        <v>https://edmondsonsupply.com/collections/hvac/products/packard-pmj88-motor-start-capacitor-88-108-mfd-110-125-vac</v>
      </c>
      <c r="B688" s="3" t="str">
        <f>HYPERLINK("https://edmondsonsupply.com/products/packard-pmj88-motor-start-capacitor-88-108-mfd-110-125-vac", "https://edmondsonsupply.com/products/packard-pmj88-motor-start-capacitor-88-108-mfd-110-125-vac")</f>
        <v>https://edmondsonsupply.com/products/packard-pmj88-motor-start-capacitor-88-108-mfd-110-125-vac</v>
      </c>
      <c r="C688" t="s">
        <v>1557</v>
      </c>
      <c r="D688" t="s">
        <v>1695</v>
      </c>
      <c r="E688" s="3" t="str">
        <f>HYPERLINK("https://www.amazon.com/108-130-110-125-Capacitor-Electric-Replacement/dp/B09C8MTD36/ref=sr_1_7?keywords=Packard+PMJ88+Motor+Start+Capacitor+88-108+MFD+110-125+VAC&amp;qid=1695173521&amp;sr=8-7", "https://www.amazon.com/108-130-110-125-Capacitor-Electric-Replacement/dp/B09C8MTD36/ref=sr_1_7?keywords=Packard+PMJ88+Motor+Start+Capacitor+88-108+MFD+110-125+VAC&amp;qid=1695173521&amp;sr=8-7")</f>
        <v>https://www.amazon.com/108-130-110-125-Capacitor-Electric-Replacement/dp/B09C8MTD36/ref=sr_1_7?keywords=Packard+PMJ88+Motor+Start+Capacitor+88-108+MFD+110-125+VAC&amp;qid=1695173521&amp;sr=8-7</v>
      </c>
      <c r="F688" t="s">
        <v>1696</v>
      </c>
      <c r="G688" t="e">
        <f ca="1">_xludf.IMAGE("https://edmondsonsupply.com/cdn/shop/products/PMJ88-2.jpg?v=1633030893")</f>
        <v>#NAME?</v>
      </c>
      <c r="H688" t="e">
        <f ca="1">_xludf.IMAGE("https://m.media-amazon.com/images/I/81dkaLbJLXL._AC_UY218_.jpg")</f>
        <v>#NAME?</v>
      </c>
      <c r="I688" t="s">
        <v>1560</v>
      </c>
      <c r="J688">
        <v>12.99</v>
      </c>
      <c r="K688" s="4">
        <v>3.1903000000000001</v>
      </c>
      <c r="L688">
        <v>4.5999999999999996</v>
      </c>
      <c r="M688">
        <v>78</v>
      </c>
      <c r="O688" t="s">
        <v>25</v>
      </c>
      <c r="P688" t="s">
        <v>138</v>
      </c>
      <c r="Q688" t="s">
        <v>1561</v>
      </c>
    </row>
    <row r="689" spans="1:17" ht="15.5" x14ac:dyDescent="0.35">
      <c r="A689" s="3" t="str">
        <f>HYPERLINK("https://edmondsonsupply.com/collections/hvac/products/jb-industries-dvo-12-black-gold-vacuum-pump-oil", "https://edmondsonsupply.com/collections/hvac/products/jb-industries-dvo-12-black-gold-vacuum-pump-oil")</f>
        <v>https://edmondsonsupply.com/collections/hvac/products/jb-industries-dvo-12-black-gold-vacuum-pump-oil</v>
      </c>
      <c r="B689" s="3" t="str">
        <f>HYPERLINK("https://edmondsonsupply.com/products/jb-industries-dvo-12-black-gold-vacuum-pump-oil", "https://edmondsonsupply.com/products/jb-industries-dvo-12-black-gold-vacuum-pump-oil")</f>
        <v>https://edmondsonsupply.com/products/jb-industries-dvo-12-black-gold-vacuum-pump-oil</v>
      </c>
      <c r="C689" t="s">
        <v>1697</v>
      </c>
      <c r="D689" t="s">
        <v>1698</v>
      </c>
      <c r="E689" s="3" t="str">
        <f>HYPERLINK("https://www.amazon.com/JB-Industries-DVO-24-Bottle-Vacuum/dp/B001UH3L8K/ref=sr_1_1?keywords=JB+Industries+DVO-12+BLACK+GOLD+Vacuum+Pump+Oil+%281+Quart%29&amp;qid=1695173454&amp;sr=8-1", "https://www.amazon.com/JB-Industries-DVO-24-Bottle-Vacuum/dp/B001UH3L8K/ref=sr_1_1?keywords=JB+Industries+DVO-12+BLACK+GOLD+Vacuum+Pump+Oil+%281+Quart%29&amp;qid=1695173454&amp;sr=8-1")</f>
        <v>https://www.amazon.com/JB-Industries-DVO-24-Bottle-Vacuum/dp/B001UH3L8K/ref=sr_1_1?keywords=JB+Industries+DVO-12+BLACK+GOLD+Vacuum+Pump+Oil+%281+Quart%29&amp;qid=1695173454&amp;sr=8-1</v>
      </c>
      <c r="F689" t="s">
        <v>1699</v>
      </c>
      <c r="G689" t="e">
        <f ca="1">_xludf.IMAGE("https://edmondsonsupply.com/cdn/shop/files/DVO-12-JB-Black-Gold-Vacuum-Pump-Oil-Quart_ccff144a-8836-43fe-b210-6b78cd839be8.webp?v=1687556840")</f>
        <v>#NAME?</v>
      </c>
      <c r="H689" t="e">
        <f ca="1">_xludf.IMAGE("https://m.media-amazon.com/images/I/81QYb8rGB9L._AC_UL320_.jpg")</f>
        <v>#NAME?</v>
      </c>
      <c r="I689" t="s">
        <v>1700</v>
      </c>
      <c r="J689">
        <v>59.99</v>
      </c>
      <c r="K689" s="4">
        <v>3.0451999999999999</v>
      </c>
      <c r="L689">
        <v>4.8</v>
      </c>
      <c r="M689">
        <v>796</v>
      </c>
      <c r="O689" t="s">
        <v>25</v>
      </c>
      <c r="P689" t="s">
        <v>1701</v>
      </c>
      <c r="Q689" t="s">
        <v>1702</v>
      </c>
    </row>
    <row r="690" spans="1:17" ht="15.5" x14ac:dyDescent="0.35">
      <c r="A690" s="3" t="str">
        <f>HYPERLINK("https://edmondsonsupply.com/collections/hvac/products/viega-22009-3-4-x-3-4-megapressg-coupling-with-stop", "https://edmondsonsupply.com/collections/hvac/products/viega-22009-3-4-x-3-4-megapressg-coupling-with-stop")</f>
        <v>https://edmondsonsupply.com/collections/hvac/products/viega-22009-3-4-x-3-4-megapressg-coupling-with-stop</v>
      </c>
      <c r="B690" s="3" t="str">
        <f>HYPERLINK("https://edmondsonsupply.com/products/viega-22009-3-4-x-3-4-megapressg-coupling-with-stop", "https://edmondsonsupply.com/products/viega-22009-3-4-x-3-4-megapressg-coupling-with-stop")</f>
        <v>https://edmondsonsupply.com/products/viega-22009-3-4-x-3-4-megapressg-coupling-with-stop</v>
      </c>
      <c r="C690" t="s">
        <v>1703</v>
      </c>
      <c r="D690" t="s">
        <v>1704</v>
      </c>
      <c r="E690" s="3" t="str">
        <f>HYPERLINK("https://www.amazon.com/78177-Propress-Copper-Coupling-without/dp/B017BVY81W/ref=sr_1_5?keywords=Viega+22009+3%2F4%22+x+3%2F4%22+MegaPressG+Coupling+with+Stop&amp;qid=1695173712&amp;sr=8-5", "https://www.amazon.com/78177-Propress-Copper-Coupling-without/dp/B017BVY81W/ref=sr_1_5?keywords=Viega+22009+3%2F4%22+x+3%2F4%22+MegaPressG+Coupling+with+Stop&amp;qid=1695173712&amp;sr=8-5")</f>
        <v>https://www.amazon.com/78177-Propress-Copper-Coupling-without/dp/B017BVY81W/ref=sr_1_5?keywords=Viega+22009+3%2F4%22+x+3%2F4%22+MegaPressG+Coupling+with+Stop&amp;qid=1695173712&amp;sr=8-5</v>
      </c>
      <c r="F690" t="s">
        <v>1705</v>
      </c>
      <c r="G690" t="e">
        <f ca="1">_xludf.IMAGE("https://edmondsonsupply.com/cdn/shop/files/PPm6615_850b9b62-d5db-4976-98a0-e6bf0baba94e.jpg?v=1692650922")</f>
        <v>#NAME?</v>
      </c>
      <c r="H690" t="e">
        <f ca="1">_xludf.IMAGE("https://m.media-amazon.com/images/I/61nJGjpHLVL._AC_UL320_.jpg")</f>
        <v>#NAME?</v>
      </c>
      <c r="I690" t="s">
        <v>1706</v>
      </c>
      <c r="J690">
        <v>53.74</v>
      </c>
      <c r="K690" s="4">
        <v>3.0285000000000002</v>
      </c>
      <c r="L690">
        <v>5</v>
      </c>
      <c r="M690">
        <v>1</v>
      </c>
      <c r="O690" t="s">
        <v>25</v>
      </c>
      <c r="P690" t="s">
        <v>1707</v>
      </c>
      <c r="Q690" t="s">
        <v>1708</v>
      </c>
    </row>
    <row r="691" spans="1:17" ht="15.5" x14ac:dyDescent="0.35">
      <c r="A691" s="3" t="str">
        <f>HYPERLINK("https://edmondsonsupply.com/collections/hvac/products/packard-ptmj56-motor-start-capacitor-53-64-mfd-220-250-vac", "https://edmondsonsupply.com/collections/hvac/products/packard-ptmj56-motor-start-capacitor-53-64-mfd-220-250-vac")</f>
        <v>https://edmondsonsupply.com/collections/hvac/products/packard-ptmj56-motor-start-capacitor-53-64-mfd-220-250-vac</v>
      </c>
      <c r="B691" s="3" t="str">
        <f>HYPERLINK("https://edmondsonsupply.com/products/packard-ptmj56-motor-start-capacitor-53-64-mfd-220-250-vac", "https://edmondsonsupply.com/products/packard-ptmj56-motor-start-capacitor-53-64-mfd-220-250-vac")</f>
        <v>https://edmondsonsupply.com/products/packard-ptmj56-motor-start-capacitor-53-64-mfd-220-250-vac</v>
      </c>
      <c r="C691" t="s">
        <v>1489</v>
      </c>
      <c r="D691" t="s">
        <v>1709</v>
      </c>
      <c r="E691" s="3" t="str">
        <f>HYPERLINK("https://www.amazon.com/TEMCo-53-64-220-250-Capacitor-Electric/dp/B08546HFBD/ref=sr_1_8?keywords=Packard+PTMJ56+Motor+Start+Capacitor+53-64+MFD+220-250+VAC&amp;qid=1695173456&amp;sr=8-8", "https://www.amazon.com/TEMCo-53-64-220-250-Capacitor-Electric/dp/B08546HFBD/ref=sr_1_8?keywords=Packard+PTMJ56+Motor+Start+Capacitor+53-64+MFD+220-250+VAC&amp;qid=1695173456&amp;sr=8-8")</f>
        <v>https://www.amazon.com/TEMCo-53-64-220-250-Capacitor-Electric/dp/B08546HFBD/ref=sr_1_8?keywords=Packard+PTMJ56+Motor+Start+Capacitor+53-64+MFD+220-250+VAC&amp;qid=1695173456&amp;sr=8-8</v>
      </c>
      <c r="F691" t="s">
        <v>1710</v>
      </c>
      <c r="G691" t="e">
        <f ca="1">_xludf.IMAGE("https://edmondsonsupply.com/cdn/shop/products/PTMJ56-2.jpg?v=1633030199")</f>
        <v>#NAME?</v>
      </c>
      <c r="H691" t="e">
        <f ca="1">_xludf.IMAGE("https://m.media-amazon.com/images/I/51D02mV0fzL._AC_UY218_.jpg")</f>
        <v>#NAME?</v>
      </c>
      <c r="I691" t="s">
        <v>1492</v>
      </c>
      <c r="J691">
        <v>14.45</v>
      </c>
      <c r="K691" s="4">
        <v>3.0251000000000001</v>
      </c>
      <c r="L691">
        <v>3.5</v>
      </c>
      <c r="M691">
        <v>16</v>
      </c>
      <c r="O691" t="s">
        <v>25</v>
      </c>
      <c r="P691" t="s">
        <v>138</v>
      </c>
      <c r="Q691" t="s">
        <v>1493</v>
      </c>
    </row>
    <row r="692" spans="1:17" ht="15.5" x14ac:dyDescent="0.35">
      <c r="A692" s="3" t="str">
        <f>HYPERLINK("https://edmondsonsupply.com/collections/hvac/products/nu-calgon-4291-18-nu-brite-aerosol-coil-cleaner", "https://edmondsonsupply.com/collections/hvac/products/nu-calgon-4291-18-nu-brite-aerosol-coil-cleaner")</f>
        <v>https://edmondsonsupply.com/collections/hvac/products/nu-calgon-4291-18-nu-brite-aerosol-coil-cleaner</v>
      </c>
      <c r="B692" s="3" t="str">
        <f>HYPERLINK("https://edmondsonsupply.com/products/nu-calgon-4291-18-nu-brite-aerosol-coil-cleaner", "https://edmondsonsupply.com/products/nu-calgon-4291-18-nu-brite-aerosol-coil-cleaner")</f>
        <v>https://edmondsonsupply.com/products/nu-calgon-4291-18-nu-brite-aerosol-coil-cleaner</v>
      </c>
      <c r="C692" t="s">
        <v>1616</v>
      </c>
      <c r="D692" t="s">
        <v>1711</v>
      </c>
      <c r="E692" s="3" t="str">
        <f>HYPERLINK("https://www.amazon.com/Nu-Calgon-4291-08-Nu-Brite-Foaming-Cleaner/dp/B009AXXUKU/ref=sr_1_6?keywords=Nu-Calgon+4291-18+Nu-Brite+Aerosol+Coil+Cleaner&amp;qid=1695173432&amp;sr=8-6", "https://www.amazon.com/Nu-Calgon-4291-08-Nu-Brite-Foaming-Cleaner/dp/B009AXXUKU/ref=sr_1_6?keywords=Nu-Calgon+4291-18+Nu-Brite+Aerosol+Coil+Cleaner&amp;qid=1695173432&amp;sr=8-6")</f>
        <v>https://www.amazon.com/Nu-Calgon-4291-08-Nu-Brite-Foaming-Cleaner/dp/B009AXXUKU/ref=sr_1_6?keywords=Nu-Calgon+4291-18+Nu-Brite+Aerosol+Coil+Cleaner&amp;qid=1695173432&amp;sr=8-6</v>
      </c>
      <c r="F692" t="s">
        <v>1712</v>
      </c>
      <c r="G692" t="e">
        <f ca="1">_xludf.IMAGE("https://edmondsonsupply.com/cdn/shop/products/4291-18.jpg?v=1658772777")</f>
        <v>#NAME?</v>
      </c>
      <c r="H692" t="e">
        <f ca="1">_xludf.IMAGE("https://m.media-amazon.com/images/I/41Vk89VXMYL._AC_UL320_.jpg")</f>
        <v>#NAME?</v>
      </c>
      <c r="I692" t="s">
        <v>1619</v>
      </c>
      <c r="J692">
        <v>45.5</v>
      </c>
      <c r="K692" s="4">
        <v>2.9946999999999999</v>
      </c>
      <c r="L692">
        <v>5</v>
      </c>
      <c r="M692">
        <v>10</v>
      </c>
      <c r="O692" t="s">
        <v>25</v>
      </c>
      <c r="P692" t="s">
        <v>1620</v>
      </c>
      <c r="Q692" t="s">
        <v>1621</v>
      </c>
    </row>
    <row r="693" spans="1:17" ht="15.5" x14ac:dyDescent="0.35">
      <c r="A693" s="3" t="str">
        <f>HYPERLINK("https://edmondsonsupply.com/collections/hvac/products/milwaukee-48-22-6330-6-10-comfort-grip-straight-jaw-pliers-set", "https://edmondsonsupply.com/collections/hvac/products/milwaukee-48-22-6330-6-10-comfort-grip-straight-jaw-pliers-set")</f>
        <v>https://edmondsonsupply.com/collections/hvac/products/milwaukee-48-22-6330-6-10-comfort-grip-straight-jaw-pliers-set</v>
      </c>
      <c r="B693" s="3" t="str">
        <f>HYPERLINK("https://edmondsonsupply.com/products/milwaukee-48-22-6330-6-10-comfort-grip-straight-jaw-pliers-set", "https://edmondsonsupply.com/products/milwaukee-48-22-6330-6-10-comfort-grip-straight-jaw-pliers-set")</f>
        <v>https://edmondsonsupply.com/products/milwaukee-48-22-6330-6-10-comfort-grip-straight-jaw-pliers-set</v>
      </c>
      <c r="C693" t="s">
        <v>1713</v>
      </c>
      <c r="D693" t="s">
        <v>1714</v>
      </c>
      <c r="E693" s="3" t="str">
        <f>HYPERLINK("https://www.amazon.com/Milwaukee-48-22-6330-Punch-Straight-Pliers/dp/B0C1G32TDX/ref=sr_1_2?keywords=Milwaukee+48-22-6330+6%22+%26+10%22+Comfort+Grip+Straight+Jaw+Pliers+Set&amp;qid=1695173558&amp;sr=8-2", "https://www.amazon.com/Milwaukee-48-22-6330-Punch-Straight-Pliers/dp/B0C1G32TDX/ref=sr_1_2?keywords=Milwaukee+48-22-6330+6%22+%26+10%22+Comfort+Grip+Straight+Jaw+Pliers+Set&amp;qid=1695173558&amp;sr=8-2")</f>
        <v>https://www.amazon.com/Milwaukee-48-22-6330-Punch-Straight-Pliers/dp/B0C1G32TDX/ref=sr_1_2?keywords=Milwaukee+48-22-6330+6%22+%26+10%22+Comfort+Grip+Straight+Jaw+Pliers+Set&amp;qid=1695173558&amp;sr=8-2</v>
      </c>
      <c r="F693" t="s">
        <v>1715</v>
      </c>
      <c r="G693" t="e">
        <f ca="1">_xludf.IMAGE("https://edmondsonsupply.com/cdn/shop/products/6330.png?v=1587146326")</f>
        <v>#NAME?</v>
      </c>
      <c r="H693" t="e">
        <f ca="1">_xludf.IMAGE("https://m.media-amazon.com/images/I/31v2Xd2bbGL._AC_UL320_.jpg")</f>
        <v>#NAME?</v>
      </c>
      <c r="I693" t="s">
        <v>1716</v>
      </c>
      <c r="J693">
        <v>89.99</v>
      </c>
      <c r="K693" s="4">
        <v>2.9177</v>
      </c>
      <c r="L693">
        <v>3</v>
      </c>
      <c r="M693">
        <v>2</v>
      </c>
      <c r="O693" t="s">
        <v>25</v>
      </c>
      <c r="P693" t="s">
        <v>1717</v>
      </c>
      <c r="Q693" t="s">
        <v>1718</v>
      </c>
    </row>
    <row r="694" spans="1:17" ht="15.5" x14ac:dyDescent="0.35">
      <c r="A694" s="3" t="str">
        <f>HYPERLINK("https://edmondsonsupply.com/collections/hvac/products/midwest-mwt-6716b-bulldog-aviation-snip", "https://edmondsonsupply.com/collections/hvac/products/midwest-mwt-6716b-bulldog-aviation-snip")</f>
        <v>https://edmondsonsupply.com/collections/hvac/products/midwest-mwt-6716b-bulldog-aviation-snip</v>
      </c>
      <c r="B694" s="3" t="str">
        <f>HYPERLINK("https://edmondsonsupply.com/products/midwest-mwt-6716b-bulldog-aviation-snip", "https://edmondsonsupply.com/products/midwest-mwt-6716b-bulldog-aviation-snip")</f>
        <v>https://edmondsonsupply.com/products/midwest-mwt-6716b-bulldog-aviation-snip</v>
      </c>
      <c r="C694" t="s">
        <v>1719</v>
      </c>
      <c r="D694" t="s">
        <v>1720</v>
      </c>
      <c r="E694" s="3" t="str">
        <f>HYPERLINK("https://www.amazon.com/Wright-Tool-9P6716B-Bulldog-Aviation/dp/B00A1BP4OK/ref=sr_1_10?keywords=Midwest+MWT-6716B+Bulldog+Aviation+Snip&amp;qid=1695173478&amp;sr=8-10", "https://www.amazon.com/Wright-Tool-9P6716B-Bulldog-Aviation/dp/B00A1BP4OK/ref=sr_1_10?keywords=Midwest+MWT-6716B+Bulldog+Aviation+Snip&amp;qid=1695173478&amp;sr=8-10")</f>
        <v>https://www.amazon.com/Wright-Tool-9P6716B-Bulldog-Aviation/dp/B00A1BP4OK/ref=sr_1_10?keywords=Midwest+MWT-6716B+Bulldog+Aviation+Snip&amp;qid=1695173478&amp;sr=8-10</v>
      </c>
      <c r="F694" t="s">
        <v>1721</v>
      </c>
      <c r="G694" t="e">
        <f ca="1">_xludf.IMAGE("https://edmondsonsupply.com/cdn/shop/products/mwt-6716b.png?v=1587151187")</f>
        <v>#NAME?</v>
      </c>
      <c r="H694" t="e">
        <f ca="1">_xludf.IMAGE("https://m.media-amazon.com/images/I/71QEjpomi6L._AC_UL320_.jpg")</f>
        <v>#NAME?</v>
      </c>
      <c r="I694" t="s">
        <v>1722</v>
      </c>
      <c r="J694">
        <v>83</v>
      </c>
      <c r="K694" s="4">
        <v>2.9150999999999998</v>
      </c>
      <c r="L694">
        <v>5</v>
      </c>
      <c r="M694">
        <v>1</v>
      </c>
      <c r="O694" t="s">
        <v>25</v>
      </c>
      <c r="P694" t="s">
        <v>1723</v>
      </c>
      <c r="Q694" t="s">
        <v>1724</v>
      </c>
    </row>
    <row r="695" spans="1:17" ht="15.5" x14ac:dyDescent="0.35">
      <c r="A695" s="3" t="str">
        <f>HYPERLINK("https://edmondsonsupply.com/collections/hvac/products/nu-calgon-4291-18-nu-brite-aerosol-coil-cleaner", "https://edmondsonsupply.com/collections/hvac/products/nu-calgon-4291-18-nu-brite-aerosol-coil-cleaner")</f>
        <v>https://edmondsonsupply.com/collections/hvac/products/nu-calgon-4291-18-nu-brite-aerosol-coil-cleaner</v>
      </c>
      <c r="B695" s="3" t="str">
        <f>HYPERLINK("https://edmondsonsupply.com/products/nu-calgon-4291-18-nu-brite-aerosol-coil-cleaner", "https://edmondsonsupply.com/products/nu-calgon-4291-18-nu-brite-aerosol-coil-cleaner")</f>
        <v>https://edmondsonsupply.com/products/nu-calgon-4291-18-nu-brite-aerosol-coil-cleaner</v>
      </c>
      <c r="C695" t="s">
        <v>1616</v>
      </c>
      <c r="D695" t="s">
        <v>1711</v>
      </c>
      <c r="E695" s="3" t="str">
        <f>HYPERLINK("https://www.amazon.com/Nu-Calgon-4291-08-Nu-Brite-Alkaline-Cleaner/dp/B009J5QGG4/ref=sr_1_4?keywords=Nu-Calgon+4291-18+Nu-Brite+Aerosol+Coil+Cleaner&amp;qid=1695173432&amp;sr=8-4", "https://www.amazon.com/Nu-Calgon-4291-08-Nu-Brite-Alkaline-Cleaner/dp/B009J5QGG4/ref=sr_1_4?keywords=Nu-Calgon+4291-18+Nu-Brite+Aerosol+Coil+Cleaner&amp;qid=1695173432&amp;sr=8-4")</f>
        <v>https://www.amazon.com/Nu-Calgon-4291-08-Nu-Brite-Alkaline-Cleaner/dp/B009J5QGG4/ref=sr_1_4?keywords=Nu-Calgon+4291-18+Nu-Brite+Aerosol+Coil+Cleaner&amp;qid=1695173432&amp;sr=8-4</v>
      </c>
      <c r="F695" t="s">
        <v>1725</v>
      </c>
      <c r="G695" t="e">
        <f ca="1">_xludf.IMAGE("https://edmondsonsupply.com/cdn/shop/products/4291-18.jpg?v=1658772777")</f>
        <v>#NAME?</v>
      </c>
      <c r="H695" t="e">
        <f ca="1">_xludf.IMAGE("https://m.media-amazon.com/images/I/21bLtk2S+IL._AC_UL320_.jpg")</f>
        <v>#NAME?</v>
      </c>
      <c r="I695" t="s">
        <v>1619</v>
      </c>
      <c r="J695">
        <v>44.42</v>
      </c>
      <c r="K695" s="4">
        <v>2.8999000000000001</v>
      </c>
      <c r="L695">
        <v>4.4000000000000004</v>
      </c>
      <c r="M695">
        <v>9</v>
      </c>
      <c r="O695" t="s">
        <v>25</v>
      </c>
      <c r="P695" t="s">
        <v>1620</v>
      </c>
      <c r="Q695" t="s">
        <v>1621</v>
      </c>
    </row>
    <row r="696" spans="1:17" ht="15.5" x14ac:dyDescent="0.35">
      <c r="A696" s="3" t="str">
        <f>HYPERLINK("https://edmondsonsupply.com/collections/hvac/products/malco-mshc-2-inch-c-rhex-cleanable-reversible-magnetic-hex-driver-1-4-5-16", "https://edmondsonsupply.com/collections/hvac/products/malco-mshc-2-inch-c-rhex-cleanable-reversible-magnetic-hex-driver-1-4-5-16")</f>
        <v>https://edmondsonsupply.com/collections/hvac/products/malco-mshc-2-inch-c-rhex-cleanable-reversible-magnetic-hex-driver-1-4-5-16</v>
      </c>
      <c r="B696"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696" t="s">
        <v>134</v>
      </c>
      <c r="D696" t="s">
        <v>153</v>
      </c>
      <c r="E696" s="3" t="str">
        <f>HYPERLINK("https://www.amazon.com/Malco-MSH2XLC2-Construction-Cleanable-Reversible/dp/B0BX79N2BV/ref=sr_1_6?keywords=Malco+Tools+MSHC+2-Inch+C-Rhex+Cleanable%2C+Reversible+Magnetic+Hex+Driver%2C+1%2F4&amp;qid=1695173343&amp;sr=8-6", "https://www.amazon.com/Malco-MSH2XLC2-Construction-Cleanable-Reversible/dp/B0BX79N2BV/ref=sr_1_6?keywords=Malco+Tools+MSHC+2-Inch+C-Rhex+Cleanable%2C+Reversible+Magnetic+Hex+Driver%2C+1%2F4&amp;qid=1695173343&amp;sr=8-6")</f>
        <v>https://www.amazon.com/Malco-MSH2XLC2-Construction-Cleanable-Reversible/dp/B0BX79N2BV/ref=sr_1_6?keywords=Malco+Tools+MSHC+2-Inch+C-Rhex+Cleanable%2C+Reversible+Magnetic+Hex+Driver%2C+1%2F4&amp;qid=1695173343&amp;sr=8-6</v>
      </c>
      <c r="F696" t="s">
        <v>154</v>
      </c>
      <c r="G696" t="e">
        <f ca="1">_xludf.IMAGE("https://edmondsonsupply.com/cdn/shop/products/Malco-MSHC-CRHEX-Slim-Design.jpg?v=1646614493")</f>
        <v>#NAME?</v>
      </c>
      <c r="H696" t="e">
        <f ca="1">_xludf.IMAGE("https://m.media-amazon.com/images/I/31odlSGS4kL._AC_UL320_.jpg")</f>
        <v>#NAME?</v>
      </c>
      <c r="I696" t="s">
        <v>137</v>
      </c>
      <c r="J696">
        <v>22.86</v>
      </c>
      <c r="K696" s="4">
        <v>2.8812000000000002</v>
      </c>
      <c r="L696">
        <v>5</v>
      </c>
      <c r="M696">
        <v>1</v>
      </c>
      <c r="O696" t="s">
        <v>25</v>
      </c>
      <c r="P696" t="s">
        <v>138</v>
      </c>
      <c r="Q696" t="s">
        <v>139</v>
      </c>
    </row>
    <row r="697" spans="1:17" ht="15.5" x14ac:dyDescent="0.35">
      <c r="A697" s="3" t="str">
        <f>HYPERLINK("https://edmondsonsupply.com/collections/hvac/products/packard-titan-pro-toc5-motor-run-capacitor-5-mfd-370-volt-oval", "https://edmondsonsupply.com/collections/hvac/products/packard-titan-pro-toc5-motor-run-capacitor-5-mfd-370-volt-oval")</f>
        <v>https://edmondsonsupply.com/collections/hvac/products/packard-titan-pro-toc5-motor-run-capacitor-5-mfd-370-volt-oval</v>
      </c>
      <c r="B697" s="3" t="str">
        <f>HYPERLINK("https://edmondsonsupply.com/products/packard-titan-pro-toc5-motor-run-capacitor-5-mfd-370-volt-oval", "https://edmondsonsupply.com/products/packard-titan-pro-toc5-motor-run-capacitor-5-mfd-370-volt-oval")</f>
        <v>https://edmondsonsupply.com/products/packard-titan-pro-toc5-motor-run-capacitor-5-mfd-370-volt-oval</v>
      </c>
      <c r="C697" t="s">
        <v>1456</v>
      </c>
      <c r="D697" t="s">
        <v>1726</v>
      </c>
      <c r="E697" s="3" t="str">
        <f>HYPERLINK("https://www.amazon.com/Packard-TOCF5-Titan-Motor-Capacitor/dp/B009558H9C/ref=sr_1_5?keywords=Packard+Titan+PRO+TOC5+Motor+Run+Capacitor+5+MFD+370+Volt+Oval&amp;qid=1695173382&amp;sr=8-5", "https://www.amazon.com/Packard-TOCF5-Titan-Motor-Capacitor/dp/B009558H9C/ref=sr_1_5?keywords=Packard+Titan+PRO+TOC5+Motor+Run+Capacitor+5+MFD+370+Volt+Oval&amp;qid=1695173382&amp;sr=8-5")</f>
        <v>https://www.amazon.com/Packard-TOCF5-Titan-Motor-Capacitor/dp/B009558H9C/ref=sr_1_5?keywords=Packard+Titan+PRO+TOC5+Motor+Run+Capacitor+5+MFD+370+Volt+Oval&amp;qid=1695173382&amp;sr=8-5</v>
      </c>
      <c r="F697" t="s">
        <v>1727</v>
      </c>
      <c r="G697" t="e">
        <f ca="1">_xludf.IMAGE("https://edmondsonsupply.com/cdn/shop/products/TOC5-2_cb7d381d-e381-4aa5-9246-56c19cd39747.jpg?v=1587146064")</f>
        <v>#NAME?</v>
      </c>
      <c r="H697" t="e">
        <f ca="1">_xludf.IMAGE("https://m.media-amazon.com/images/I/51PhTNpqMTL._AC_UY218_.jpg")</f>
        <v>#NAME?</v>
      </c>
      <c r="I697" t="s">
        <v>1459</v>
      </c>
      <c r="J697">
        <v>7.13</v>
      </c>
      <c r="K697" s="4">
        <v>2.875</v>
      </c>
      <c r="L697">
        <v>3.8</v>
      </c>
      <c r="M697">
        <v>10</v>
      </c>
      <c r="O697" t="s">
        <v>25</v>
      </c>
      <c r="P697" t="s">
        <v>138</v>
      </c>
      <c r="Q697" t="s">
        <v>1460</v>
      </c>
    </row>
    <row r="698" spans="1:17" ht="15.5" x14ac:dyDescent="0.35">
      <c r="A698"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698" s="3" t="str">
        <f>HYPERLINK("https://edmondsonsupply.com/products/packard-pmj216-motor-start-capacitor-216-259-mfd-110-125-vac", "https://edmondsonsupply.com/products/packard-pmj216-motor-start-capacitor-216-259-mfd-110-125-vac")</f>
        <v>https://edmondsonsupply.com/products/packard-pmj216-motor-start-capacitor-216-259-mfd-110-125-vac</v>
      </c>
      <c r="C698" t="s">
        <v>1581</v>
      </c>
      <c r="D698" t="s">
        <v>1728</v>
      </c>
      <c r="E698" s="3" t="str">
        <f>HYPERLINK("https://www.amazon.com/Capacitor-microfarads-Universal-Electric-Applications/dp/B01FK7CCQ2/ref=sr_1_7?keywords=Packard+PMJ216+Motor+Start+Capacitor+216-259+MFD+110-125+VAC&amp;qid=1695173457&amp;sr=8-7", "https://www.amazon.com/Capacitor-microfarads-Universal-Electric-Applications/dp/B01FK7CCQ2/ref=sr_1_7?keywords=Packard+PMJ216+Motor+Start+Capacitor+216-259+MFD+110-125+VAC&amp;qid=1695173457&amp;sr=8-7")</f>
        <v>https://www.amazon.com/Capacitor-microfarads-Universal-Electric-Applications/dp/B01FK7CCQ2/ref=sr_1_7?keywords=Packard+PMJ216+Motor+Start+Capacitor+216-259+MFD+110-125+VAC&amp;qid=1695173457&amp;sr=8-7</v>
      </c>
      <c r="F698" t="s">
        <v>1729</v>
      </c>
      <c r="G698" t="e">
        <f ca="1">_xludf.IMAGE("https://edmondsonsupply.com/cdn/shop/products/PMJ216-2.jpg?v=1633030107")</f>
        <v>#NAME?</v>
      </c>
      <c r="H698" t="e">
        <f ca="1">_xludf.IMAGE("https://m.media-amazon.com/images/I/51A-z928XRL._AC_UY218_.jpg")</f>
        <v>#NAME?</v>
      </c>
      <c r="I698" t="s">
        <v>1584</v>
      </c>
      <c r="J698">
        <v>13.79</v>
      </c>
      <c r="K698" s="4">
        <v>2.7989000000000002</v>
      </c>
      <c r="L698">
        <v>4.5</v>
      </c>
      <c r="M698">
        <v>1389</v>
      </c>
      <c r="O698" t="s">
        <v>25</v>
      </c>
      <c r="P698" t="s">
        <v>138</v>
      </c>
      <c r="Q698" t="s">
        <v>1585</v>
      </c>
    </row>
    <row r="699" spans="1:17" ht="15.5" x14ac:dyDescent="0.35">
      <c r="A699" s="3" t="str">
        <f>HYPERLINK("https://edmondsonsupply.com/collections/hvac/products/packard-titan-pro-toc5-motor-run-capacitor-5-mfd-370-volt-oval", "https://edmondsonsupply.com/collections/hvac/products/packard-titan-pro-toc5-motor-run-capacitor-5-mfd-370-volt-oval")</f>
        <v>https://edmondsonsupply.com/collections/hvac/products/packard-titan-pro-toc5-motor-run-capacitor-5-mfd-370-volt-oval</v>
      </c>
      <c r="B699" s="3" t="str">
        <f>HYPERLINK("https://edmondsonsupply.com/products/packard-titan-pro-toc5-motor-run-capacitor-5-mfd-370-volt-oval", "https://edmondsonsupply.com/products/packard-titan-pro-toc5-motor-run-capacitor-5-mfd-370-volt-oval")</f>
        <v>https://edmondsonsupply.com/products/packard-titan-pro-toc5-motor-run-capacitor-5-mfd-370-volt-oval</v>
      </c>
      <c r="C699" t="s">
        <v>1456</v>
      </c>
      <c r="D699" t="s">
        <v>1730</v>
      </c>
      <c r="E699" s="3" t="str">
        <f>HYPERLINK("https://www.amazon.com/Packard-TOC5-Motor-Capacitor-Oval/dp/B01IUY2XZC/ref=sr_1_3?keywords=Packard+Titan+PRO+TOC5+Motor+Run+Capacitor+5+MFD+370+Volt+Oval&amp;qid=1695173382&amp;sr=8-3", "https://www.amazon.com/Packard-TOC5-Motor-Capacitor-Oval/dp/B01IUY2XZC/ref=sr_1_3?keywords=Packard+Titan+PRO+TOC5+Motor+Run+Capacitor+5+MFD+370+Volt+Oval&amp;qid=1695173382&amp;sr=8-3")</f>
        <v>https://www.amazon.com/Packard-TOC5-Motor-Capacitor-Oval/dp/B01IUY2XZC/ref=sr_1_3?keywords=Packard+Titan+PRO+TOC5+Motor+Run+Capacitor+5+MFD+370+Volt+Oval&amp;qid=1695173382&amp;sr=8-3</v>
      </c>
      <c r="F699" t="s">
        <v>1731</v>
      </c>
      <c r="G699" t="e">
        <f ca="1">_xludf.IMAGE("https://edmondsonsupply.com/cdn/shop/products/TOC5-2_cb7d381d-e381-4aa5-9246-56c19cd39747.jpg?v=1587146064")</f>
        <v>#NAME?</v>
      </c>
      <c r="H699" t="e">
        <f ca="1">_xludf.IMAGE("https://m.media-amazon.com/images/I/81LtcJSzFZL._AC_UY218_.jpg")</f>
        <v>#NAME?</v>
      </c>
      <c r="I699" t="s">
        <v>1459</v>
      </c>
      <c r="J699">
        <v>6.98</v>
      </c>
      <c r="K699" s="4">
        <v>2.7934999999999999</v>
      </c>
      <c r="L699">
        <v>4.7</v>
      </c>
      <c r="M699">
        <v>153</v>
      </c>
      <c r="O699" t="s">
        <v>25</v>
      </c>
      <c r="P699" t="s">
        <v>138</v>
      </c>
      <c r="Q699" t="s">
        <v>1460</v>
      </c>
    </row>
    <row r="700" spans="1:17" ht="15.5" x14ac:dyDescent="0.35">
      <c r="A700" s="3" t="str">
        <f>HYPERLINK("https://edmondsonsupply.com/collections/hvac/products/packard-ptmj56-motor-start-capacitor-53-64-mfd-220-250-vac", "https://edmondsonsupply.com/collections/hvac/products/packard-ptmj56-motor-start-capacitor-53-64-mfd-220-250-vac")</f>
        <v>https://edmondsonsupply.com/collections/hvac/products/packard-ptmj56-motor-start-capacitor-53-64-mfd-220-250-vac</v>
      </c>
      <c r="B700" s="3" t="str">
        <f>HYPERLINK("https://edmondsonsupply.com/products/packard-ptmj56-motor-start-capacitor-53-64-mfd-220-250-vac", "https://edmondsonsupply.com/products/packard-ptmj56-motor-start-capacitor-53-64-mfd-220-250-vac")</f>
        <v>https://edmondsonsupply.com/products/packard-ptmj56-motor-start-capacitor-53-64-mfd-220-250-vac</v>
      </c>
      <c r="C700" t="s">
        <v>1489</v>
      </c>
      <c r="D700" t="s">
        <v>1732</v>
      </c>
      <c r="E700" s="3" t="str">
        <f>HYPERLINK("https://www.amazon.com/PTMJ56-Packard-Upgraded-Replacement-Capacitor/dp/B0773WZHQQ/ref=sr_1_1?keywords=Packard+PTMJ56+Motor+Start+Capacitor+53-64+MFD+220-250+VAC&amp;qid=1695173456&amp;sr=8-1", "https://www.amazon.com/PTMJ56-Packard-Upgraded-Replacement-Capacitor/dp/B0773WZHQQ/ref=sr_1_1?keywords=Packard+PTMJ56+Motor+Start+Capacitor+53-64+MFD+220-250+VAC&amp;qid=1695173456&amp;sr=8-1")</f>
        <v>https://www.amazon.com/PTMJ56-Packard-Upgraded-Replacement-Capacitor/dp/B0773WZHQQ/ref=sr_1_1?keywords=Packard+PTMJ56+Motor+Start+Capacitor+53-64+MFD+220-250+VAC&amp;qid=1695173456&amp;sr=8-1</v>
      </c>
      <c r="F700" t="s">
        <v>1733</v>
      </c>
      <c r="G700" t="e">
        <f ca="1">_xludf.IMAGE("https://edmondsonsupply.com/cdn/shop/products/PTMJ56-2.jpg?v=1633030199")</f>
        <v>#NAME?</v>
      </c>
      <c r="H700" t="e">
        <f ca="1">_xludf.IMAGE("https://m.media-amazon.com/images/I/41fqQrQgJaL._AC_UY218_.jpg")</f>
        <v>#NAME?</v>
      </c>
      <c r="I700" t="s">
        <v>1492</v>
      </c>
      <c r="J700">
        <v>13.49</v>
      </c>
      <c r="K700" s="4">
        <v>2.7576999999999998</v>
      </c>
      <c r="L700">
        <v>5</v>
      </c>
      <c r="M700">
        <v>3</v>
      </c>
      <c r="O700" t="s">
        <v>25</v>
      </c>
      <c r="P700" t="s">
        <v>138</v>
      </c>
      <c r="Q700" t="s">
        <v>1493</v>
      </c>
    </row>
    <row r="701" spans="1:17" ht="15.5" x14ac:dyDescent="0.35">
      <c r="A701" s="3" t="str">
        <f>HYPERLINK("https://edmondsonsupply.com/collections/hvac/products/packard-ptmj56-motor-start-capacitor-53-64-mfd-220-250-vac", "https://edmondsonsupply.com/collections/hvac/products/packard-ptmj56-motor-start-capacitor-53-64-mfd-220-250-vac")</f>
        <v>https://edmondsonsupply.com/collections/hvac/products/packard-ptmj56-motor-start-capacitor-53-64-mfd-220-250-vac</v>
      </c>
      <c r="B701" s="3" t="str">
        <f>HYPERLINK("https://edmondsonsupply.com/products/packard-ptmj56-motor-start-capacitor-53-64-mfd-220-250-vac", "https://edmondsonsupply.com/products/packard-ptmj56-motor-start-capacitor-53-64-mfd-220-250-vac")</f>
        <v>https://edmondsonsupply.com/products/packard-ptmj56-motor-start-capacitor-53-64-mfd-220-250-vac</v>
      </c>
      <c r="C701" t="s">
        <v>1489</v>
      </c>
      <c r="D701" t="s">
        <v>1734</v>
      </c>
      <c r="E701" s="3" t="str">
        <f>HYPERLINK("https://www.amazon.com/PTMJ64-Packard-Upgraded-Replacement-Capacitor/dp/B0773W3KZ6/ref=sr_1_3?keywords=Packard+PTMJ56+Motor+Start+Capacitor+53-64+MFD+220-250+VAC&amp;qid=1695173456&amp;sr=8-3", "https://www.amazon.com/PTMJ64-Packard-Upgraded-Replacement-Capacitor/dp/B0773W3KZ6/ref=sr_1_3?keywords=Packard+PTMJ56+Motor+Start+Capacitor+53-64+MFD+220-250+VAC&amp;qid=1695173456&amp;sr=8-3")</f>
        <v>https://www.amazon.com/PTMJ64-Packard-Upgraded-Replacement-Capacitor/dp/B0773W3KZ6/ref=sr_1_3?keywords=Packard+PTMJ56+Motor+Start+Capacitor+53-64+MFD+220-250+VAC&amp;qid=1695173456&amp;sr=8-3</v>
      </c>
      <c r="F701" t="s">
        <v>1735</v>
      </c>
      <c r="G701" t="e">
        <f ca="1">_xludf.IMAGE("https://edmondsonsupply.com/cdn/shop/products/PTMJ56-2.jpg?v=1633030199")</f>
        <v>#NAME?</v>
      </c>
      <c r="H701" t="e">
        <f ca="1">_xludf.IMAGE("https://m.media-amazon.com/images/I/41fqQrQgJaL._AC_UY218_.jpg")</f>
        <v>#NAME?</v>
      </c>
      <c r="I701" t="s">
        <v>1492</v>
      </c>
      <c r="J701">
        <v>13.49</v>
      </c>
      <c r="K701" s="4">
        <v>2.7576999999999998</v>
      </c>
      <c r="L701">
        <v>3</v>
      </c>
      <c r="M701">
        <v>1</v>
      </c>
      <c r="O701" t="s">
        <v>25</v>
      </c>
      <c r="P701" t="s">
        <v>138</v>
      </c>
      <c r="Q701" t="s">
        <v>1493</v>
      </c>
    </row>
    <row r="702" spans="1:17" ht="15.5" x14ac:dyDescent="0.35">
      <c r="A702"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702" s="3" t="str">
        <f>HYPERLINK("https://edmondsonsupply.com/products/midwest-mwt-6510s-straight-offset-aviation-snip", "https://edmondsonsupply.com/products/midwest-mwt-6510s-straight-offset-aviation-snip")</f>
        <v>https://edmondsonsupply.com/products/midwest-mwt-6510s-straight-offset-aviation-snip</v>
      </c>
      <c r="C702" t="s">
        <v>1736</v>
      </c>
      <c r="D702" t="s">
        <v>158</v>
      </c>
      <c r="E702" s="3" t="str">
        <f>HYPERLINK("https://www.amazon.com/MIDWEST-Aviation-Snip-Set-KUSHN-POWER/dp/B07RC7ZBK9/ref=sr_1_6?keywords=Midwest+MWT-6510S+Straight+Offset+Aviation+Snip&amp;qid=1695173382&amp;sr=8-6", "https://www.amazon.com/MIDWEST-Aviation-Snip-Set-KUSHN-POWER/dp/B07RC7ZBK9/ref=sr_1_6?keywords=Midwest+MWT-6510S+Straight+Offset+Aviation+Snip&amp;qid=1695173382&amp;sr=8-6")</f>
        <v>https://www.amazon.com/MIDWEST-Aviation-Snip-Set-KUSHN-POWER/dp/B07RC7ZBK9/ref=sr_1_6?keywords=Midwest+MWT-6510S+Straight+Offset+Aviation+Snip&amp;qid=1695173382&amp;sr=8-6</v>
      </c>
      <c r="F702" t="s">
        <v>159</v>
      </c>
      <c r="G702" t="e">
        <f ca="1">_xludf.IMAGE("https://edmondsonsupply.com/cdn/shop/products/MWT-6510S-1.jpg?v=1587150061")</f>
        <v>#NAME?</v>
      </c>
      <c r="H702" t="e">
        <f ca="1">_xludf.IMAGE("https://m.media-amazon.com/images/I/71438hbSyHL._AC_UL320_.jpg")</f>
        <v>#NAME?</v>
      </c>
      <c r="I702" t="s">
        <v>1737</v>
      </c>
      <c r="J702">
        <v>87.99</v>
      </c>
      <c r="K702" s="4">
        <v>2.7458</v>
      </c>
      <c r="L702">
        <v>4.4000000000000004</v>
      </c>
      <c r="M702">
        <v>1137</v>
      </c>
      <c r="O702" t="s">
        <v>171</v>
      </c>
      <c r="P702" t="s">
        <v>260</v>
      </c>
      <c r="Q702" t="s">
        <v>1738</v>
      </c>
    </row>
    <row r="703" spans="1:17" ht="15.5" x14ac:dyDescent="0.35">
      <c r="A703" s="3" t="str">
        <f>HYPERLINK("https://edmondsonsupply.com/collections/hvac/products/packard-trc40-titan-pro-run-capacitor-40-mfd-370-volt-round", "https://edmondsonsupply.com/collections/hvac/products/packard-trc40-titan-pro-run-capacitor-40-mfd-370-volt-round")</f>
        <v>https://edmondsonsupply.com/collections/hvac/products/packard-trc40-titan-pro-run-capacitor-40-mfd-370-volt-round</v>
      </c>
      <c r="B703" s="3" t="str">
        <f>HYPERLINK("https://edmondsonsupply.com/products/packard-trc40-titan-pro-run-capacitor-40-mfd-370-volt-round", "https://edmondsonsupply.com/products/packard-trc40-titan-pro-run-capacitor-40-mfd-370-volt-round")</f>
        <v>https://edmondsonsupply.com/products/packard-trc40-titan-pro-run-capacitor-40-mfd-370-volt-round</v>
      </c>
      <c r="C703" t="s">
        <v>1605</v>
      </c>
      <c r="D703" t="s">
        <v>1739</v>
      </c>
      <c r="E703" s="3" t="str">
        <f>HYPERLINK("https://www.amazon.com/TitanPro-TRC40-Round-Motor-Capacitor/dp/B07P4LFJGV/ref=sr_1_2?keywords=Packard+TRC40+Titan+PRO+Run+Capacitor+40+MFD+370+Volt+Round&amp;qid=1695173675&amp;sr=8-2", "https://www.amazon.com/TitanPro-TRC40-Round-Motor-Capacitor/dp/B07P4LFJGV/ref=sr_1_2?keywords=Packard+TRC40+Titan+PRO+Run+Capacitor+40+MFD+370+Volt+Round&amp;qid=1695173675&amp;sr=8-2")</f>
        <v>https://www.amazon.com/TitanPro-TRC40-Round-Motor-Capacitor/dp/B07P4LFJGV/ref=sr_1_2?keywords=Packard+TRC40+Titan+PRO+Run+Capacitor+40+MFD+370+Volt+Round&amp;qid=1695173675&amp;sr=8-2</v>
      </c>
      <c r="F703" t="s">
        <v>1740</v>
      </c>
      <c r="G703" t="e">
        <f ca="1">_xludf.IMAGE("https://edmondsonsupply.com/cdn/shop/products/tp370-2_xl_1.jpg?v=1587148259")</f>
        <v>#NAME?</v>
      </c>
      <c r="H703" t="e">
        <f ca="1">_xludf.IMAGE("https://m.media-amazon.com/images/I/816a5n4cvjL._AC_UY218_.jpg")</f>
        <v>#NAME?</v>
      </c>
      <c r="I703" t="s">
        <v>1608</v>
      </c>
      <c r="J703">
        <v>17.03</v>
      </c>
      <c r="K703" s="4">
        <v>2.7021999999999999</v>
      </c>
      <c r="L703">
        <v>5</v>
      </c>
      <c r="M703">
        <v>2</v>
      </c>
      <c r="O703" t="s">
        <v>25</v>
      </c>
      <c r="P703" t="s">
        <v>138</v>
      </c>
      <c r="Q703" t="s">
        <v>1609</v>
      </c>
    </row>
    <row r="704" spans="1:17" ht="15.5" x14ac:dyDescent="0.35">
      <c r="A704" s="3" t="str">
        <f>HYPERLINK("https://edmondsonsupply.com/collections/hvac/products/packard-ptmj56-motor-start-capacitor-53-64-mfd-220-250-vac", "https://edmondsonsupply.com/collections/hvac/products/packard-ptmj56-motor-start-capacitor-53-64-mfd-220-250-vac")</f>
        <v>https://edmondsonsupply.com/collections/hvac/products/packard-ptmj56-motor-start-capacitor-53-64-mfd-220-250-vac</v>
      </c>
      <c r="B704" s="3" t="str">
        <f>HYPERLINK("https://edmondsonsupply.com/products/packard-ptmj56-motor-start-capacitor-53-64-mfd-220-250-vac", "https://edmondsonsupply.com/products/packard-ptmj56-motor-start-capacitor-53-64-mfd-220-250-vac")</f>
        <v>https://edmondsonsupply.com/products/packard-ptmj56-motor-start-capacitor-53-64-mfd-220-250-vac</v>
      </c>
      <c r="C704" t="s">
        <v>1489</v>
      </c>
      <c r="D704" t="s">
        <v>1741</v>
      </c>
      <c r="E704" s="3" t="str">
        <f>HYPERLINK("https://www.amazon.com/PTMJ53-Packard-Upgraded-Replacement-Capacitor/dp/B0773W73B5/ref=sr_1_2?keywords=Packard+PTMJ56+Motor+Start+Capacitor+53-64+MFD+220-250+VAC&amp;qid=1695173456&amp;sr=8-2", "https://www.amazon.com/PTMJ53-Packard-Upgraded-Replacement-Capacitor/dp/B0773W73B5/ref=sr_1_2?keywords=Packard+PTMJ56+Motor+Start+Capacitor+53-64+MFD+220-250+VAC&amp;qid=1695173456&amp;sr=8-2")</f>
        <v>https://www.amazon.com/PTMJ53-Packard-Upgraded-Replacement-Capacitor/dp/B0773W73B5/ref=sr_1_2?keywords=Packard+PTMJ56+Motor+Start+Capacitor+53-64+MFD+220-250+VAC&amp;qid=1695173456&amp;sr=8-2</v>
      </c>
      <c r="F704" t="s">
        <v>1742</v>
      </c>
      <c r="G704" t="e">
        <f ca="1">_xludf.IMAGE("https://edmondsonsupply.com/cdn/shop/products/PTMJ56-2.jpg?v=1633030199")</f>
        <v>#NAME?</v>
      </c>
      <c r="H704" t="e">
        <f ca="1">_xludf.IMAGE("https://m.media-amazon.com/images/I/41fqQrQgJaL._AC_UY218_.jpg")</f>
        <v>#NAME?</v>
      </c>
      <c r="I704" t="s">
        <v>1492</v>
      </c>
      <c r="J704">
        <v>13.24</v>
      </c>
      <c r="K704" s="4">
        <v>2.6880000000000002</v>
      </c>
      <c r="L704">
        <v>3.7</v>
      </c>
      <c r="M704">
        <v>11</v>
      </c>
      <c r="O704" t="s">
        <v>25</v>
      </c>
      <c r="P704" t="s">
        <v>138</v>
      </c>
      <c r="Q704" t="s">
        <v>1493</v>
      </c>
    </row>
    <row r="705" spans="1:17" ht="15.5" x14ac:dyDescent="0.35">
      <c r="A705" s="3" t="str">
        <f>HYPERLINK("https://edmondsonsupply.com/collections/hvac/products/packard-ptmj56-motor-start-capacitor-53-64-mfd-220-250-vac", "https://edmondsonsupply.com/collections/hvac/products/packard-ptmj56-motor-start-capacitor-53-64-mfd-220-250-vac")</f>
        <v>https://edmondsonsupply.com/collections/hvac/products/packard-ptmj56-motor-start-capacitor-53-64-mfd-220-250-vac</v>
      </c>
      <c r="B705" s="3" t="str">
        <f>HYPERLINK("https://edmondsonsupply.com/products/packard-ptmj56-motor-start-capacitor-53-64-mfd-220-250-vac", "https://edmondsonsupply.com/products/packard-ptmj56-motor-start-capacitor-53-64-mfd-220-250-vac")</f>
        <v>https://edmondsonsupply.com/products/packard-ptmj56-motor-start-capacitor-53-64-mfd-220-250-vac</v>
      </c>
      <c r="C705" t="s">
        <v>1489</v>
      </c>
      <c r="D705" t="s">
        <v>1743</v>
      </c>
      <c r="E705" s="3" t="str">
        <f>HYPERLINK("https://www.amazon.com/PTMJ43-Packard-Upgraded-Replacement-Capacitor/dp/B0773XQVXN/ref=sr_1_9?keywords=Packard+PTMJ56+Motor+Start+Capacitor+53-64+MFD+220-250+VAC&amp;qid=1695173456&amp;sr=8-9", "https://www.amazon.com/PTMJ43-Packard-Upgraded-Replacement-Capacitor/dp/B0773XQVXN/ref=sr_1_9?keywords=Packard+PTMJ56+Motor+Start+Capacitor+53-64+MFD+220-250+VAC&amp;qid=1695173456&amp;sr=8-9")</f>
        <v>https://www.amazon.com/PTMJ43-Packard-Upgraded-Replacement-Capacitor/dp/B0773XQVXN/ref=sr_1_9?keywords=Packard+PTMJ56+Motor+Start+Capacitor+53-64+MFD+220-250+VAC&amp;qid=1695173456&amp;sr=8-9</v>
      </c>
      <c r="F705" t="s">
        <v>1744</v>
      </c>
      <c r="G705" t="e">
        <f ca="1">_xludf.IMAGE("https://edmondsonsupply.com/cdn/shop/products/PTMJ56-2.jpg?v=1633030199")</f>
        <v>#NAME?</v>
      </c>
      <c r="H705" t="e">
        <f ca="1">_xludf.IMAGE("https://m.media-amazon.com/images/I/41fqQrQgJaL._AC_UY218_.jpg")</f>
        <v>#NAME?</v>
      </c>
      <c r="I705" t="s">
        <v>1492</v>
      </c>
      <c r="J705">
        <v>13.24</v>
      </c>
      <c r="K705" s="4">
        <v>2.6880000000000002</v>
      </c>
      <c r="L705">
        <v>4.4000000000000004</v>
      </c>
      <c r="M705">
        <v>10</v>
      </c>
      <c r="O705" t="s">
        <v>25</v>
      </c>
      <c r="P705" t="s">
        <v>138</v>
      </c>
      <c r="Q705" t="s">
        <v>1493</v>
      </c>
    </row>
    <row r="706" spans="1:17" ht="15.5" x14ac:dyDescent="0.35">
      <c r="A706" s="3" t="str">
        <f>HYPERLINK("https://edmondsonsupply.com/collections/hvac/products/packard-pmj88-motor-start-capacitor-88-108-mfd-110-125-vac", "https://edmondsonsupply.com/collections/hvac/products/packard-pmj88-motor-start-capacitor-88-108-mfd-110-125-vac")</f>
        <v>https://edmondsonsupply.com/collections/hvac/products/packard-pmj88-motor-start-capacitor-88-108-mfd-110-125-vac</v>
      </c>
      <c r="B706" s="3" t="str">
        <f>HYPERLINK("https://edmondsonsupply.com/products/packard-pmj88-motor-start-capacitor-88-108-mfd-110-125-vac", "https://edmondsonsupply.com/products/packard-pmj88-motor-start-capacitor-88-108-mfd-110-125-vac")</f>
        <v>https://edmondsonsupply.com/products/packard-pmj88-motor-start-capacitor-88-108-mfd-110-125-vac</v>
      </c>
      <c r="C706" t="s">
        <v>1557</v>
      </c>
      <c r="D706" t="s">
        <v>1745</v>
      </c>
      <c r="E706" s="3" t="str">
        <f>HYPERLINK("https://www.amazon.com/Motor-Capacitor-88-106-Replaces-PMJ88A/dp/B07M5MCQ5C/ref=sr_1_3?keywords=Packard+PMJ88+Motor+Start+Capacitor+88-108+MFD+110-125+VAC&amp;qid=1695173521&amp;sr=8-3", "https://www.amazon.com/Motor-Capacitor-88-106-Replaces-PMJ88A/dp/B07M5MCQ5C/ref=sr_1_3?keywords=Packard+PMJ88+Motor+Start+Capacitor+88-108+MFD+110-125+VAC&amp;qid=1695173521&amp;sr=8-3")</f>
        <v>https://www.amazon.com/Motor-Capacitor-88-106-Replaces-PMJ88A/dp/B07M5MCQ5C/ref=sr_1_3?keywords=Packard+PMJ88+Motor+Start+Capacitor+88-108+MFD+110-125+VAC&amp;qid=1695173521&amp;sr=8-3</v>
      </c>
      <c r="F706" t="s">
        <v>1746</v>
      </c>
      <c r="G706" t="e">
        <f ca="1">_xludf.IMAGE("https://edmondsonsupply.com/cdn/shop/products/PMJ88-2.jpg?v=1633030893")</f>
        <v>#NAME?</v>
      </c>
      <c r="H706" t="e">
        <f ca="1">_xludf.IMAGE("https://m.media-amazon.com/images/I/41aJP8hfgYL._AC_UY218_.jpg")</f>
        <v>#NAME?</v>
      </c>
      <c r="I706" t="s">
        <v>1560</v>
      </c>
      <c r="J706">
        <v>11.35</v>
      </c>
      <c r="K706" s="4">
        <v>2.6613000000000002</v>
      </c>
      <c r="L706">
        <v>5</v>
      </c>
      <c r="M706">
        <v>4</v>
      </c>
      <c r="O706" t="s">
        <v>25</v>
      </c>
      <c r="P706" t="s">
        <v>138</v>
      </c>
      <c r="Q706" t="s">
        <v>1561</v>
      </c>
    </row>
    <row r="707" spans="1:17" ht="15.5" x14ac:dyDescent="0.35">
      <c r="A707" s="3" t="str">
        <f>HYPERLINK("https://edmondsonsupply.com/collections/hvac/products/packard-trc40-titan-pro-run-capacitor-40-mfd-370-volt-round", "https://edmondsonsupply.com/collections/hvac/products/packard-trc40-titan-pro-run-capacitor-40-mfd-370-volt-round")</f>
        <v>https://edmondsonsupply.com/collections/hvac/products/packard-trc40-titan-pro-run-capacitor-40-mfd-370-volt-round</v>
      </c>
      <c r="B707" s="3" t="str">
        <f>HYPERLINK("https://edmondsonsupply.com/products/packard-trc40-titan-pro-run-capacitor-40-mfd-370-volt-round", "https://edmondsonsupply.com/products/packard-trc40-titan-pro-run-capacitor-40-mfd-370-volt-round")</f>
        <v>https://edmondsonsupply.com/products/packard-trc40-titan-pro-run-capacitor-40-mfd-370-volt-round</v>
      </c>
      <c r="C707" t="s">
        <v>1605</v>
      </c>
      <c r="D707" t="s">
        <v>1747</v>
      </c>
      <c r="E707" s="3" t="str">
        <f>HYPERLINK("https://www.amazon.com/Titan-TRCFD4075-Rated-Motor-Capacitor/dp/B01IC27L72/ref=sr_1_9?keywords=Packard+TRC40+Titan+PRO+Run+Capacitor+40+MFD+370+Volt+Round&amp;qid=1695173675&amp;sr=8-9", "https://www.amazon.com/Titan-TRCFD4075-Rated-Motor-Capacitor/dp/B01IC27L72/ref=sr_1_9?keywords=Packard+TRC40+Titan+PRO+Run+Capacitor+40+MFD+370+Volt+Round&amp;qid=1695173675&amp;sr=8-9")</f>
        <v>https://www.amazon.com/Titan-TRCFD4075-Rated-Motor-Capacitor/dp/B01IC27L72/ref=sr_1_9?keywords=Packard+TRC40+Titan+PRO+Run+Capacitor+40+MFD+370+Volt+Round&amp;qid=1695173675&amp;sr=8-9</v>
      </c>
      <c r="F707" t="s">
        <v>1748</v>
      </c>
      <c r="G707" t="e">
        <f ca="1">_xludf.IMAGE("https://edmondsonsupply.com/cdn/shop/products/tp370-2_xl_1.jpg?v=1587148259")</f>
        <v>#NAME?</v>
      </c>
      <c r="H707" t="e">
        <f ca="1">_xludf.IMAGE("https://m.media-amazon.com/images/I/81gL9btPv8L._AC_UY218_.jpg")</f>
        <v>#NAME?</v>
      </c>
      <c r="I707" t="s">
        <v>1608</v>
      </c>
      <c r="J707">
        <v>16.78</v>
      </c>
      <c r="K707" s="4">
        <v>2.6478000000000002</v>
      </c>
      <c r="L707">
        <v>4.5999999999999996</v>
      </c>
      <c r="M707">
        <v>46</v>
      </c>
      <c r="O707" t="s">
        <v>25</v>
      </c>
      <c r="P707" t="s">
        <v>138</v>
      </c>
      <c r="Q707" t="s">
        <v>1609</v>
      </c>
    </row>
    <row r="708" spans="1:17" ht="15.5" x14ac:dyDescent="0.35">
      <c r="A708" s="3" t="str">
        <f>HYPERLINK("https://edmondsonsupply.com/collections/hvac/products/packard-prmj108-motor-start-capacitor-108-130-mfd-330-volt", "https://edmondsonsupply.com/collections/hvac/products/packard-prmj108-motor-start-capacitor-108-130-mfd-330-volt")</f>
        <v>https://edmondsonsupply.com/collections/hvac/products/packard-prmj108-motor-start-capacitor-108-130-mfd-330-volt</v>
      </c>
      <c r="B708" s="3" t="str">
        <f>HYPERLINK("https://edmondsonsupply.com/products/packard-prmj108-motor-start-capacitor-108-130-mfd-330-volt", "https://edmondsonsupply.com/products/packard-prmj108-motor-start-capacitor-108-130-mfd-330-volt")</f>
        <v>https://edmondsonsupply.com/products/packard-prmj108-motor-start-capacitor-108-130-mfd-330-volt</v>
      </c>
      <c r="C708" t="s">
        <v>1636</v>
      </c>
      <c r="D708" t="s">
        <v>1749</v>
      </c>
      <c r="E708" s="3" t="str">
        <f>HYPERLINK("https://www.amazon.com/capacitor-microfarads-universal-electric-applications/dp/B01FSQQ2AW/ref=sr_1_7?keywords=Packard+PRMJ108+Motor+Start+Capacitor+108-130+MFD+330+Volt&amp;qid=1695173650&amp;sr=8-7", "https://www.amazon.com/capacitor-microfarads-universal-electric-applications/dp/B01FSQQ2AW/ref=sr_1_7?keywords=Packard+PRMJ108+Motor+Start+Capacitor+108-130+MFD+330+Volt&amp;qid=1695173650&amp;sr=8-7")</f>
        <v>https://www.amazon.com/capacitor-microfarads-universal-electric-applications/dp/B01FSQQ2AW/ref=sr_1_7?keywords=Packard+PRMJ108+Motor+Start+Capacitor+108-130+MFD+330+Volt&amp;qid=1695173650&amp;sr=8-7</v>
      </c>
      <c r="F708" t="s">
        <v>1750</v>
      </c>
      <c r="G708" t="e">
        <f ca="1">_xludf.IMAGE("https://edmondsonsupply.com/cdn/shop/products/PRMJ108-2.jpg?v=1633030309")</f>
        <v>#NAME?</v>
      </c>
      <c r="H708" t="e">
        <f ca="1">_xludf.IMAGE("https://m.media-amazon.com/images/I/51NBTwnpEIL._AC_UY218_.jpg")</f>
        <v>#NAME?</v>
      </c>
      <c r="I708" t="s">
        <v>1476</v>
      </c>
      <c r="J708">
        <v>15.89</v>
      </c>
      <c r="K708" s="4">
        <v>2.6196000000000002</v>
      </c>
      <c r="L708">
        <v>4.5</v>
      </c>
      <c r="M708">
        <v>1389</v>
      </c>
      <c r="O708" t="s">
        <v>25</v>
      </c>
      <c r="P708" t="s">
        <v>138</v>
      </c>
      <c r="Q708" t="s">
        <v>1639</v>
      </c>
    </row>
    <row r="709" spans="1:17" ht="15.5" x14ac:dyDescent="0.35">
      <c r="A709" s="3" t="str">
        <f>HYPERLINK("https://edmondsonsupply.com/collections/hvac/products/packard-trc25-titan-pro-run-capacitor-25-mfd-370-volt-round", "https://edmondsonsupply.com/collections/hvac/products/packard-trc25-titan-pro-run-capacitor-25-mfd-370-volt-round")</f>
        <v>https://edmondsonsupply.com/collections/hvac/products/packard-trc25-titan-pro-run-capacitor-25-mfd-370-volt-round</v>
      </c>
      <c r="B709" s="3" t="str">
        <f>HYPERLINK("https://edmondsonsupply.com/products/packard-trc25-titan-pro-run-capacitor-25-mfd-370-volt-round", "https://edmondsonsupply.com/products/packard-trc25-titan-pro-run-capacitor-25-mfd-370-volt-round")</f>
        <v>https://edmondsonsupply.com/products/packard-trc25-titan-pro-run-capacitor-25-mfd-370-volt-round</v>
      </c>
      <c r="C709" t="s">
        <v>1751</v>
      </c>
      <c r="D709" t="s">
        <v>1752</v>
      </c>
      <c r="E709" s="3" t="str">
        <f>HYPERLINK("https://www.amazon.com/Packard-TRC25-Titan-Capacitor-Round/dp/B09J1HKXXJ/ref=sr_1_1?keywords=Packard+TRC25+TITAN+PRO+Run+Capacitor+25+MFD+370+Volt%2C+Round&amp;qid=1695173641&amp;sr=8-1", "https://www.amazon.com/Packard-TRC25-Titan-Capacitor-Round/dp/B09J1HKXXJ/ref=sr_1_1?keywords=Packard+TRC25+TITAN+PRO+Run+Capacitor+25+MFD+370+Volt%2C+Round&amp;qid=1695173641&amp;sr=8-1")</f>
        <v>https://www.amazon.com/Packard-TRC25-Titan-Capacitor-Round/dp/B09J1HKXXJ/ref=sr_1_1?keywords=Packard+TRC25+TITAN+PRO+Run+Capacitor+25+MFD+370+Volt%2C+Round&amp;qid=1695173641&amp;sr=8-1</v>
      </c>
      <c r="F709" t="s">
        <v>1753</v>
      </c>
      <c r="G709" t="e">
        <f ca="1">_xludf.IMAGE("https://edmondsonsupply.com/cdn/shop/products/TRC25-2.jpg?v=1633030571")</f>
        <v>#NAME?</v>
      </c>
      <c r="H709" t="e">
        <f ca="1">_xludf.IMAGE("https://m.media-amazon.com/images/I/310zeSAQB5L._AC_UY218_.jpg")</f>
        <v>#NAME?</v>
      </c>
      <c r="I709" t="s">
        <v>1754</v>
      </c>
      <c r="J709">
        <v>14.74</v>
      </c>
      <c r="K709" s="4">
        <v>2.6126999999999998</v>
      </c>
      <c r="L709">
        <v>5</v>
      </c>
      <c r="M709">
        <v>6</v>
      </c>
      <c r="O709" t="s">
        <v>25</v>
      </c>
      <c r="P709" t="s">
        <v>138</v>
      </c>
      <c r="Q709" t="s">
        <v>1755</v>
      </c>
    </row>
    <row r="710" spans="1:17" ht="15.5" x14ac:dyDescent="0.35">
      <c r="A710" s="3" t="str">
        <f>HYPERLINK("https://edmondsonsupply.com/collections/hvac/products/packard-prmj108-motor-start-capacitor-108-130-mfd-330-volt", "https://edmondsonsupply.com/collections/hvac/products/packard-prmj108-motor-start-capacitor-108-130-mfd-330-volt")</f>
        <v>https://edmondsonsupply.com/collections/hvac/products/packard-prmj108-motor-start-capacitor-108-130-mfd-330-volt</v>
      </c>
      <c r="B710" s="3" t="str">
        <f>HYPERLINK("https://edmondsonsupply.com/products/packard-prmj108-motor-start-capacitor-108-130-mfd-330-volt", "https://edmondsonsupply.com/products/packard-prmj108-motor-start-capacitor-108-130-mfd-330-volt")</f>
        <v>https://edmondsonsupply.com/products/packard-prmj108-motor-start-capacitor-108-130-mfd-330-volt</v>
      </c>
      <c r="C710" t="s">
        <v>1636</v>
      </c>
      <c r="D710" t="s">
        <v>1756</v>
      </c>
      <c r="E710" s="3" t="str">
        <f>HYPERLINK("https://www.amazon.com/11063-Replacement-Motor-Capacitor-108-130/dp/B06X9VNM1J/ref=sr_1_6?keywords=Packard+PRMJ108+Motor+Start+Capacitor+108-130+MFD+330+Volt&amp;qid=1695173650&amp;sr=8-6", "https://www.amazon.com/11063-Replacement-Motor-Capacitor-108-130/dp/B06X9VNM1J/ref=sr_1_6?keywords=Packard+PRMJ108+Motor+Start+Capacitor+108-130+MFD+330+Volt&amp;qid=1695173650&amp;sr=8-6")</f>
        <v>https://www.amazon.com/11063-Replacement-Motor-Capacitor-108-130/dp/B06X9VNM1J/ref=sr_1_6?keywords=Packard+PRMJ108+Motor+Start+Capacitor+108-130+MFD+330+Volt&amp;qid=1695173650&amp;sr=8-6</v>
      </c>
      <c r="F710" t="s">
        <v>1757</v>
      </c>
      <c r="G710" t="e">
        <f ca="1">_xludf.IMAGE("https://edmondsonsupply.com/cdn/shop/products/PRMJ108-2.jpg?v=1633030309")</f>
        <v>#NAME?</v>
      </c>
      <c r="H710" t="e">
        <f ca="1">_xludf.IMAGE("https://m.media-amazon.com/images/I/41-AlfaYVML._AC_UY218_.jpg")</f>
        <v>#NAME?</v>
      </c>
      <c r="I710" t="s">
        <v>1476</v>
      </c>
      <c r="J710">
        <v>15.83</v>
      </c>
      <c r="K710" s="4">
        <v>2.6059000000000001</v>
      </c>
      <c r="L710">
        <v>4.4000000000000004</v>
      </c>
      <c r="M710">
        <v>10</v>
      </c>
      <c r="O710" t="s">
        <v>25</v>
      </c>
      <c r="P710" t="s">
        <v>138</v>
      </c>
      <c r="Q710" t="s">
        <v>1639</v>
      </c>
    </row>
    <row r="711" spans="1:17" ht="15.5" x14ac:dyDescent="0.35">
      <c r="A711" s="3" t="str">
        <f>HYPERLINK("https://edmondsonsupply.com/collections/hvac/products/uei-dmg150-digital-micron-gauge", "https://edmondsonsupply.com/collections/hvac/products/uei-dmg150-digital-micron-gauge")</f>
        <v>https://edmondsonsupply.com/collections/hvac/products/uei-dmg150-digital-micron-gauge</v>
      </c>
      <c r="B711" s="3" t="str">
        <f>HYPERLINK("https://edmondsonsupply.com/products/uei-dmg150-digital-micron-gauge", "https://edmondsonsupply.com/products/uei-dmg150-digital-micron-gauge")</f>
        <v>https://edmondsonsupply.com/products/uei-dmg150-digital-micron-gauge</v>
      </c>
      <c r="C711" t="s">
        <v>1496</v>
      </c>
      <c r="D711" t="s">
        <v>1758</v>
      </c>
      <c r="E711" s="3" t="str">
        <f>HYPERLINK("https://www.amazon.com/Refrigerant-Charging-Measurement-Instruments-Thermometer/dp/B0CF2HGH91/ref=sr_1_6?keywords=UEi+PDT650+Digital+Folding+Pocket+Thermometer&amp;qid=1695173385&amp;sr=8-6", "https://www.amazon.com/Refrigerant-Charging-Measurement-Instruments-Thermometer/dp/B0CF2HGH91/ref=sr_1_6?keywords=UEi+PDT650+Digital+Folding+Pocket+Thermometer&amp;qid=1695173385&amp;sr=8-6")</f>
        <v>https://www.amazon.com/Refrigerant-Charging-Measurement-Instruments-Thermometer/dp/B0CF2HGH91/ref=sr_1_6?keywords=UEi+PDT650+Digital+Folding+Pocket+Thermometer&amp;qid=1695173385&amp;sr=8-6</v>
      </c>
      <c r="F711" t="s">
        <v>1759</v>
      </c>
      <c r="G711" t="e">
        <f ca="1">_xludf.IMAGE("https://edmondsonsupply.com/cdn/shop/products/PDT650-1.png?v=1633030101")</f>
        <v>#NAME?</v>
      </c>
      <c r="H711" t="e">
        <f ca="1">_xludf.IMAGE("https://m.media-amazon.com/images/I/411mxyOYLQL._AC_UY218_.jpg")</f>
        <v>#NAME?</v>
      </c>
      <c r="I711" t="s">
        <v>1499</v>
      </c>
      <c r="J711">
        <v>70</v>
      </c>
      <c r="K711" s="4">
        <v>2.5878999999999999</v>
      </c>
      <c r="L711">
        <v>4.7</v>
      </c>
      <c r="M711">
        <v>25</v>
      </c>
      <c r="O711" t="s">
        <v>25</v>
      </c>
      <c r="P711" t="s">
        <v>1500</v>
      </c>
      <c r="Q711" t="s">
        <v>1501</v>
      </c>
    </row>
    <row r="712" spans="1:17" ht="15.5" x14ac:dyDescent="0.35">
      <c r="A712"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712" s="3" t="str">
        <f>HYPERLINK("https://edmondsonsupply.com/products/packard-ttmj108-motor-start-capacitor-108-130-mfd-220-250-vac", "https://edmondsonsupply.com/products/packard-ttmj108-motor-start-capacitor-108-130-mfd-220-250-vac")</f>
        <v>https://edmondsonsupply.com/products/packard-ttmj108-motor-start-capacitor-108-130-mfd-220-250-vac</v>
      </c>
      <c r="C712" t="s">
        <v>1473</v>
      </c>
      <c r="D712" t="s">
        <v>1760</v>
      </c>
      <c r="E712" s="3" t="str">
        <f>HYPERLINK("https://www.amazon.com/PTMJ108-Packard-Upgraded-Replacement-Capacitor/dp/B0773VHXZP/ref=sr_1_2?keywords=Packard+TTMJ108+Motor+Start+Capacitor+108-130+MFD+220-250+VAC&amp;qid=1695173723&amp;sr=8-2", "https://www.amazon.com/PTMJ108-Packard-Upgraded-Replacement-Capacitor/dp/B0773VHXZP/ref=sr_1_2?keywords=Packard+TTMJ108+Motor+Start+Capacitor+108-130+MFD+220-250+VAC&amp;qid=1695173723&amp;sr=8-2")</f>
        <v>https://www.amazon.com/PTMJ108-Packard-Upgraded-Replacement-Capacitor/dp/B0773VHXZP/ref=sr_1_2?keywords=Packard+TTMJ108+Motor+Start+Capacitor+108-130+MFD+220-250+VAC&amp;qid=1695173723&amp;sr=8-2</v>
      </c>
      <c r="F712" t="s">
        <v>1761</v>
      </c>
      <c r="G712" t="e">
        <f ca="1">_xludf.IMAGE("https://edmondsonsupply.com/cdn/shop/files/PTMJ108-2_c3537879-2bfc-401f-867d-9ee4aaa5c4bb.jpg?v=1692220228")</f>
        <v>#NAME?</v>
      </c>
      <c r="H712" t="e">
        <f ca="1">_xludf.IMAGE("https://m.media-amazon.com/images/I/41fqQrQgJaL._AC_UY218_.jpg")</f>
        <v>#NAME?</v>
      </c>
      <c r="I712" t="s">
        <v>1476</v>
      </c>
      <c r="J712">
        <v>15.74</v>
      </c>
      <c r="K712" s="4">
        <v>2.5853999999999999</v>
      </c>
      <c r="L712">
        <v>4.4000000000000004</v>
      </c>
      <c r="M712">
        <v>3</v>
      </c>
      <c r="O712" t="s">
        <v>25</v>
      </c>
      <c r="P712" t="s">
        <v>138</v>
      </c>
      <c r="Q712" t="s">
        <v>1477</v>
      </c>
    </row>
    <row r="713" spans="1:17" ht="15.5" x14ac:dyDescent="0.35">
      <c r="A713" s="3" t="str">
        <f>HYPERLINK("https://edmondsonsupply.com/collections/hvac/products/klein-tools-89552-hole-cutter-for-duct-and-sheet-metal-2-to-12-inch", "https://edmondsonsupply.com/collections/hvac/products/klein-tools-89552-hole-cutter-for-duct-and-sheet-metal-2-to-12-inch")</f>
        <v>https://edmondsonsupply.com/collections/hvac/products/klein-tools-89552-hole-cutter-for-duct-and-sheet-metal-2-to-12-inch</v>
      </c>
      <c r="B713" s="3" t="str">
        <f>HYPERLINK("https://edmondsonsupply.com/products/klein-tools-89552-hole-cutter-for-duct-and-sheet-metal-2-to-12-inch", "https://edmondsonsupply.com/products/klein-tools-89552-hole-cutter-for-duct-and-sheet-metal-2-to-12-inch")</f>
        <v>https://edmondsonsupply.com/products/klein-tools-89552-hole-cutter-for-duct-and-sheet-metal-2-to-12-inch</v>
      </c>
      <c r="C713" t="s">
        <v>1762</v>
      </c>
      <c r="D713" t="s">
        <v>1763</v>
      </c>
      <c r="E713" s="3" t="str">
        <f>HYPERLINK("https://www.amazon.com/Malco-Assisted-Crimper-Adjustable-Stainless/dp/B0BD3XQQX3/ref=sr_1_8?keywords=Klein+Tools+89552+Hole+Cutter+for+Duct+and+Sheet+Metal%2C+2+to+12-Inch&amp;qid=1695173674&amp;sr=8-8", "https://www.amazon.com/Malco-Assisted-Crimper-Adjustable-Stainless/dp/B0BD3XQQX3/ref=sr_1_8?keywords=Klein+Tools+89552+Hole+Cutter+for+Duct+and+Sheet+Metal%2C+2+to+12-Inch&amp;qid=1695173674&amp;sr=8-8")</f>
        <v>https://www.amazon.com/Malco-Assisted-Crimper-Adjustable-Stainless/dp/B0BD3XQQX3/ref=sr_1_8?keywords=Klein+Tools+89552+Hole+Cutter+for+Duct+and+Sheet+Metal%2C+2+to+12-Inch&amp;qid=1695173674&amp;sr=8-8</v>
      </c>
      <c r="F713" t="s">
        <v>1764</v>
      </c>
      <c r="G713" t="e">
        <f ca="1">_xludf.IMAGE("https://edmondsonsupply.com/cdn/shop/products/89552.jpg?v=1587143132")</f>
        <v>#NAME?</v>
      </c>
      <c r="H713" t="e">
        <f ca="1">_xludf.IMAGE("https://m.media-amazon.com/images/I/41TbDOXfeXL._AC_UL320_.jpg")</f>
        <v>#NAME?</v>
      </c>
      <c r="I713" t="s">
        <v>1765</v>
      </c>
      <c r="J713">
        <v>203.98</v>
      </c>
      <c r="K713" s="4">
        <v>2.5792000000000002</v>
      </c>
      <c r="L713">
        <v>5</v>
      </c>
      <c r="M713">
        <v>1</v>
      </c>
      <c r="O713" t="s">
        <v>25</v>
      </c>
      <c r="P713" t="s">
        <v>1766</v>
      </c>
      <c r="Q713" t="s">
        <v>1767</v>
      </c>
    </row>
    <row r="714" spans="1:17" ht="15.5" x14ac:dyDescent="0.35">
      <c r="A714" s="3" t="str">
        <f>HYPERLINK("https://edmondsonsupply.com/collections/hvac/products/midwest-mwt-ss6716r-special-hardness-aviation-snip-right-cutting", "https://edmondsonsupply.com/collections/hvac/products/midwest-mwt-ss6716r-special-hardness-aviation-snip-right-cutting")</f>
        <v>https://edmondsonsupply.com/collections/hvac/products/midwest-mwt-ss6716r-special-hardness-aviation-snip-right-cutting</v>
      </c>
      <c r="B714" s="3" t="str">
        <f>HYPERLINK("https://edmondsonsupply.com/products/midwest-mwt-ss6716r-special-hardness-aviation-snip-right-cutting", "https://edmondsonsupply.com/products/midwest-mwt-ss6716r-special-hardness-aviation-snip-right-cutting")</f>
        <v>https://edmondsonsupply.com/products/midwest-mwt-ss6716r-special-hardness-aviation-snip-right-cutting</v>
      </c>
      <c r="C714" t="s">
        <v>1768</v>
      </c>
      <c r="D714" t="s">
        <v>158</v>
      </c>
      <c r="E714" s="3" t="str">
        <f>HYPERLINK("https://www.amazon.com/MIDWEST-Aviation-Snip-Set-KUSHN-POWER/dp/B07RC7ZBK9/ref=sr_1_3?keywords=Midwest+MWT-SS6716R+Special+Hardness+Aviation+Snip+-+Right-Cutting&amp;qid=1695173444&amp;sr=8-3", "https://www.amazon.com/MIDWEST-Aviation-Snip-Set-KUSHN-POWER/dp/B07RC7ZBK9/ref=sr_1_3?keywords=Midwest+MWT-SS6716R+Special+Hardness+Aviation+Snip+-+Right-Cutting&amp;qid=1695173444&amp;sr=8-3")</f>
        <v>https://www.amazon.com/MIDWEST-Aviation-Snip-Set-KUSHN-POWER/dp/B07RC7ZBK9/ref=sr_1_3?keywords=Midwest+MWT-SS6716R+Special+Hardness+Aviation+Snip+-+Right-Cutting&amp;qid=1695173444&amp;sr=8-3</v>
      </c>
      <c r="F714" t="s">
        <v>159</v>
      </c>
      <c r="G714" t="e">
        <f ca="1">_xludf.IMAGE("https://edmondsonsupply.com/cdn/shop/products/MWT-SS6716R1.jpg?v=1587146219")</f>
        <v>#NAME?</v>
      </c>
      <c r="H714" t="e">
        <f ca="1">_xludf.IMAGE("https://m.media-amazon.com/images/I/71438hbSyHL._AC_UL320_.jpg")</f>
        <v>#NAME?</v>
      </c>
      <c r="I714" t="s">
        <v>1769</v>
      </c>
      <c r="J714">
        <v>87.99</v>
      </c>
      <c r="K714" s="4">
        <v>2.5680999999999998</v>
      </c>
      <c r="L714">
        <v>4.4000000000000004</v>
      </c>
      <c r="M714">
        <v>1137</v>
      </c>
      <c r="O714" t="s">
        <v>25</v>
      </c>
      <c r="P714" t="s">
        <v>1770</v>
      </c>
      <c r="Q714" t="s">
        <v>1771</v>
      </c>
    </row>
    <row r="715" spans="1:17" ht="15.5" x14ac:dyDescent="0.35">
      <c r="A715" s="3" t="str">
        <f>HYPERLINK("https://edmondsonsupply.com/collections/hvac/products/supco-mb55-5-5-inch-motor-bracket", "https://edmondsonsupply.com/collections/hvac/products/supco-mb55-5-5-inch-motor-bracket")</f>
        <v>https://edmondsonsupply.com/collections/hvac/products/supco-mb55-5-5-inch-motor-bracket</v>
      </c>
      <c r="B715" s="3" t="str">
        <f>HYPERLINK("https://edmondsonsupply.com/products/supco-mb55-5-5-inch-motor-bracket", "https://edmondsonsupply.com/products/supco-mb55-5-5-inch-motor-bracket")</f>
        <v>https://edmondsonsupply.com/products/supco-mb55-5-5-inch-motor-bracket</v>
      </c>
      <c r="C715" t="s">
        <v>1772</v>
      </c>
      <c r="D715" t="s">
        <v>1773</v>
      </c>
      <c r="E715" s="3" t="str">
        <f>HYPERLINK("https://www.amazon.com/Replacement-Blower-Bracket-Compatible-FM55/dp/B0BL3WV2GH/ref=sr_1_4?keywords=Supco+MB55+5.5+Inch+Motor+Bracket&amp;qid=1695173590&amp;sr=8-4", "https://www.amazon.com/Replacement-Blower-Bracket-Compatible-FM55/dp/B0BL3WV2GH/ref=sr_1_4?keywords=Supco+MB55+5.5+Inch+Motor+Bracket&amp;qid=1695173590&amp;sr=8-4")</f>
        <v>https://www.amazon.com/Replacement-Blower-Bracket-Compatible-FM55/dp/B0BL3WV2GH/ref=sr_1_4?keywords=Supco+MB55+5.5+Inch+Motor+Bracket&amp;qid=1695173590&amp;sr=8-4</v>
      </c>
      <c r="F715" t="s">
        <v>1774</v>
      </c>
      <c r="G715" t="e">
        <f ca="1">_xludf.IMAGE("https://edmondsonsupply.com/cdn/shop/products/MB55_L.png?v=1671842986")</f>
        <v>#NAME?</v>
      </c>
      <c r="H715" t="e">
        <f ca="1">_xludf.IMAGE("https://m.media-amazon.com/images/I/51IR41oAxiL._AC_UL320_.jpg")</f>
        <v>#NAME?</v>
      </c>
      <c r="I715" t="s">
        <v>834</v>
      </c>
      <c r="J715">
        <v>45.99</v>
      </c>
      <c r="K715" s="4">
        <v>2.5404</v>
      </c>
      <c r="L715">
        <v>1</v>
      </c>
      <c r="M715">
        <v>1</v>
      </c>
      <c r="O715" t="s">
        <v>25</v>
      </c>
      <c r="P715" t="s">
        <v>138</v>
      </c>
      <c r="Q715" t="s">
        <v>1775</v>
      </c>
    </row>
    <row r="716" spans="1:17" ht="15.5" x14ac:dyDescent="0.35">
      <c r="A716"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716" s="3" t="str">
        <f>HYPERLINK("https://edmondsonsupply.com/products/midwest-mwt-6510r-right-offset-aviation-snip", "https://edmondsonsupply.com/products/midwest-mwt-6510r-right-offset-aviation-snip")</f>
        <v>https://edmondsonsupply.com/products/midwest-mwt-6510r-right-offset-aviation-snip</v>
      </c>
      <c r="C716" t="s">
        <v>1776</v>
      </c>
      <c r="D716" t="s">
        <v>158</v>
      </c>
      <c r="E716" s="3" t="str">
        <f>HYPERLINK("https://www.amazon.com/MIDWEST-Aviation-Snip-Set-KUSHN-POWER/dp/B07RC7ZBK9/ref=sr_1_10?keywords=Midwest+MWT-6510R+Right+Offset+Aviation+Snip&amp;qid=1695173557&amp;sr=8-10", "https://www.amazon.com/MIDWEST-Aviation-Snip-Set-KUSHN-POWER/dp/B07RC7ZBK9/ref=sr_1_10?keywords=Midwest+MWT-6510R+Right+Offset+Aviation+Snip&amp;qid=1695173557&amp;sr=8-10")</f>
        <v>https://www.amazon.com/MIDWEST-Aviation-Snip-Set-KUSHN-POWER/dp/B07RC7ZBK9/ref=sr_1_10?keywords=Midwest+MWT-6510R+Right+Offset+Aviation+Snip&amp;qid=1695173557&amp;sr=8-10</v>
      </c>
      <c r="F716" t="s">
        <v>159</v>
      </c>
      <c r="G716" t="e">
        <f ca="1">_xludf.IMAGE("https://edmondsonsupply.com/cdn/shop/products/MWT-6510R.png?v=1587144877")</f>
        <v>#NAME?</v>
      </c>
      <c r="H716" t="e">
        <f ca="1">_xludf.IMAGE("https://m.media-amazon.com/images/I/71438hbSyHL._AC_UL320_.jpg")</f>
        <v>#NAME?</v>
      </c>
      <c r="I716" t="s">
        <v>1777</v>
      </c>
      <c r="J716">
        <v>87.99</v>
      </c>
      <c r="K716" s="4">
        <v>2.5352000000000001</v>
      </c>
      <c r="L716">
        <v>4.4000000000000004</v>
      </c>
      <c r="M716">
        <v>1137</v>
      </c>
      <c r="O716" t="s">
        <v>25</v>
      </c>
      <c r="P716" t="s">
        <v>260</v>
      </c>
      <c r="Q716" t="s">
        <v>1778</v>
      </c>
    </row>
    <row r="717" spans="1:17" ht="15.5" x14ac:dyDescent="0.35">
      <c r="A717" s="3" t="str">
        <f>HYPERLINK("https://edmondsonsupply.com/collections/hvac/products/packard-titan-pro-toc10-motor-run-capacitor-10-mfd-370-volt-oval", "https://edmondsonsupply.com/collections/hvac/products/packard-titan-pro-toc10-motor-run-capacitor-10-mfd-370-volt-oval")</f>
        <v>https://edmondsonsupply.com/collections/hvac/products/packard-titan-pro-toc10-motor-run-capacitor-10-mfd-370-volt-oval</v>
      </c>
      <c r="B717" s="3" t="str">
        <f>HYPERLINK("https://edmondsonsupply.com/products/packard-titan-pro-toc10-motor-run-capacitor-10-mfd-370-volt-oval", "https://edmondsonsupply.com/products/packard-titan-pro-toc10-motor-run-capacitor-10-mfd-370-volt-oval")</f>
        <v>https://edmondsonsupply.com/products/packard-titan-pro-toc10-motor-run-capacitor-10-mfd-370-volt-oval</v>
      </c>
      <c r="C717" t="s">
        <v>1660</v>
      </c>
      <c r="D717" t="s">
        <v>1682</v>
      </c>
      <c r="E717" s="3" t="str">
        <f>HYPERLINK("https://www.amazon.com/Packard-10-MFD-Motor-Capacitor/dp/B01KARDZTK/ref=sr_1_1?keywords=Packard+Titan+PRO+TOC10+Motor+Run+Capacitor+10+MFD+370+Volt+Oval&amp;qid=1695173365&amp;sr=8-1", "https://www.amazon.com/Packard-10-MFD-Motor-Capacitor/dp/B01KARDZTK/ref=sr_1_1?keywords=Packard+Titan+PRO+TOC10+Motor+Run+Capacitor+10+MFD+370+Volt+Oval&amp;qid=1695173365&amp;sr=8-1")</f>
        <v>https://www.amazon.com/Packard-10-MFD-Motor-Capacitor/dp/B01KARDZTK/ref=sr_1_1?keywords=Packard+Titan+PRO+TOC10+Motor+Run+Capacitor+10+MFD+370+Volt+Oval&amp;qid=1695173365&amp;sr=8-1</v>
      </c>
      <c r="F717" t="s">
        <v>1683</v>
      </c>
      <c r="G717" t="e">
        <f ca="1">_xludf.IMAGE("https://edmondsonsupply.com/cdn/shop/products/TOC10-2.jpg?v=1647209707")</f>
        <v>#NAME?</v>
      </c>
      <c r="H717" t="e">
        <f ca="1">_xludf.IMAGE("https://m.media-amazon.com/images/I/715PjsYFipL._AC_UY218_.jpg")</f>
        <v>#NAME?</v>
      </c>
      <c r="I717" t="s">
        <v>1663</v>
      </c>
      <c r="J717">
        <v>7.84</v>
      </c>
      <c r="K717" s="4">
        <v>2.5314999999999999</v>
      </c>
      <c r="L717">
        <v>4.5</v>
      </c>
      <c r="M717">
        <v>38</v>
      </c>
      <c r="O717" t="s">
        <v>25</v>
      </c>
      <c r="P717" t="s">
        <v>138</v>
      </c>
      <c r="Q717" t="s">
        <v>1664</v>
      </c>
    </row>
    <row r="718" spans="1:17" ht="15.5" x14ac:dyDescent="0.35">
      <c r="A718"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718" s="3" t="str">
        <f>HYPERLINK("https://edmondsonsupply.com/products/packard-pmj460-motor-start-capacitor-460-552-mfd-110-125-vac", "https://edmondsonsupply.com/products/packard-pmj460-motor-start-capacitor-460-552-mfd-110-125-vac")</f>
        <v>https://edmondsonsupply.com/products/packard-pmj460-motor-start-capacitor-460-552-mfd-110-125-vac</v>
      </c>
      <c r="C718" t="s">
        <v>1622</v>
      </c>
      <c r="D718" t="s">
        <v>1558</v>
      </c>
      <c r="E718" s="3" t="str">
        <f>HYPERLINK("https://www.amazon.com/PMJ850-Upgraded-Replacement-Capacitor-850-1020/dp/B0773VT257/ref=sr_1_6?keywords=Packard+PMJ460+Motor+Start+Capacitor+460-552+MFD+110-125+VAC&amp;qid=1695173457&amp;sr=8-6", "https://www.amazon.com/PMJ850-Upgraded-Replacement-Capacitor-850-1020/dp/B0773VT257/ref=sr_1_6?keywords=Packard+PMJ460+Motor+Start+Capacitor+460-552+MFD+110-125+VAC&amp;qid=1695173457&amp;sr=8-6")</f>
        <v>https://www.amazon.com/PMJ850-Upgraded-Replacement-Capacitor-850-1020/dp/B0773VT257/ref=sr_1_6?keywords=Packard+PMJ460+Motor+Start+Capacitor+460-552+MFD+110-125+VAC&amp;qid=1695173457&amp;sr=8-6</v>
      </c>
      <c r="F718" t="s">
        <v>1559</v>
      </c>
      <c r="G718" t="e">
        <f ca="1">_xludf.IMAGE("https://edmondsonsupply.com/cdn/shop/products/PMJ460-2.jpg?v=1633030333")</f>
        <v>#NAME?</v>
      </c>
      <c r="H718" t="e">
        <f ca="1">_xludf.IMAGE("https://m.media-amazon.com/images/I/41fqQrQgJaL._AC_UY218_.jpg")</f>
        <v>#NAME?</v>
      </c>
      <c r="I718" t="s">
        <v>1623</v>
      </c>
      <c r="J718">
        <v>17.739999999999998</v>
      </c>
      <c r="K718" s="4">
        <v>2.5059</v>
      </c>
      <c r="L718">
        <v>5</v>
      </c>
      <c r="M718">
        <v>4</v>
      </c>
      <c r="O718" t="s">
        <v>171</v>
      </c>
      <c r="P718" t="s">
        <v>138</v>
      </c>
      <c r="Q718" t="s">
        <v>1624</v>
      </c>
    </row>
    <row r="719" spans="1:17" ht="15.5" x14ac:dyDescent="0.35">
      <c r="A719" s="3" t="str">
        <f>HYPERLINK("https://edmondsonsupply.com/collections/hvac/products/klein-tools-60177-breakaway-lanyard-for-safety-glasses", "https://edmondsonsupply.com/collections/hvac/products/klein-tools-60177-breakaway-lanyard-for-safety-glasses")</f>
        <v>https://edmondsonsupply.com/collections/hvac/products/klein-tools-60177-breakaway-lanyard-for-safety-glasses</v>
      </c>
      <c r="B719" s="3" t="str">
        <f>HYPERLINK("https://edmondsonsupply.com/products/klein-tools-60177-breakaway-lanyard-for-safety-glasses", "https://edmondsonsupply.com/products/klein-tools-60177-breakaway-lanyard-for-safety-glasses")</f>
        <v>https://edmondsonsupply.com/products/klein-tools-60177-breakaway-lanyard-for-safety-glasses</v>
      </c>
      <c r="C719" t="s">
        <v>815</v>
      </c>
      <c r="D719" t="s">
        <v>847</v>
      </c>
      <c r="E719" s="3" t="str">
        <f>HYPERLINK("https://www.amazon.com/Klein-Tools-60177-Eyewear-Breakaway/dp/B08B71M22H/ref=sr_1_1?keywords=Klein+Tools+60177+Breakaway+Lanyard+for+Safety+Glasses&amp;qid=1695173531&amp;sr=8-1", "https://www.amazon.com/Klein-Tools-60177-Eyewear-Breakaway/dp/B08B71M22H/ref=sr_1_1?keywords=Klein+Tools+60177+Breakaway+Lanyard+for+Safety+Glasses&amp;qid=1695173531&amp;sr=8-1")</f>
        <v>https://www.amazon.com/Klein-Tools-60177-Eyewear-Breakaway/dp/B08B71M22H/ref=sr_1_1?keywords=Klein+Tools+60177+Breakaway+Lanyard+for+Safety+Glasses&amp;qid=1695173531&amp;sr=8-1</v>
      </c>
      <c r="F719" t="s">
        <v>848</v>
      </c>
      <c r="G719" t="e">
        <f ca="1">_xludf.IMAGE("https://edmondsonsupply.com/cdn/shop/products/60177.jpg?v=1633030858")</f>
        <v>#NAME?</v>
      </c>
      <c r="H719" t="e">
        <f ca="1">_xludf.IMAGE("https://m.media-amazon.com/images/I/51mD0Lun+QL._AC_UL320_.jpg")</f>
        <v>#NAME?</v>
      </c>
      <c r="I719" t="s">
        <v>818</v>
      </c>
      <c r="J719">
        <v>6.96</v>
      </c>
      <c r="K719" s="4">
        <v>2.4975000000000001</v>
      </c>
      <c r="L719">
        <v>3.8</v>
      </c>
      <c r="M719">
        <v>169</v>
      </c>
      <c r="O719" t="s">
        <v>25</v>
      </c>
      <c r="P719" t="s">
        <v>819</v>
      </c>
      <c r="Q719" t="s">
        <v>820</v>
      </c>
    </row>
    <row r="720" spans="1:17" ht="15.5" x14ac:dyDescent="0.35">
      <c r="A720" s="3" t="str">
        <f>HYPERLINK("https://edmondsonsupply.com/collections/hvac/products/pro1-iaq-t705-digital-7-day-or-5-1-1-programmable-thermostat-1-heat-1-cool", "https://edmondsonsupply.com/collections/hvac/products/pro1-iaq-t705-digital-7-day-or-5-1-1-programmable-thermostat-1-heat-1-cool")</f>
        <v>https://edmondsonsupply.com/collections/hvac/products/pro1-iaq-t705-digital-7-day-or-5-1-1-programmable-thermostat-1-heat-1-cool</v>
      </c>
      <c r="B720" s="3" t="str">
        <f>HYPERLINK("https://edmondsonsupply.com/products/pro1-iaq-t705-digital-7-day-or-5-1-1-programmable-thermostat-1-heat-1-cool", "https://edmondsonsupply.com/products/pro1-iaq-t705-digital-7-day-or-5-1-1-programmable-thermostat-1-heat-1-cool")</f>
        <v>https://edmondsonsupply.com/products/pro1-iaq-t705-digital-7-day-or-5-1-1-programmable-thermostat-1-heat-1-cool</v>
      </c>
      <c r="C720" t="s">
        <v>1779</v>
      </c>
      <c r="D720" t="s">
        <v>1780</v>
      </c>
      <c r="E720" s="3" t="str">
        <f>HYPERLINK("https://www.amazon.com/WiFi-Thermostat-Programmable-Stages-Heat/dp/B01D0BT80I/ref=sr_1_8?keywords=PRO1+IAQ+T705+Digital+7-Day+or+5%2F1%2F1+Programmable+Thermostat%2C+1+Heat+-+1+Cool&amp;qid=1695173733&amp;sr=8-8", "https://www.amazon.com/WiFi-Thermostat-Programmable-Stages-Heat/dp/B01D0BT80I/ref=sr_1_8?keywords=PRO1+IAQ+T705+Digital+7-Day+or+5%2F1%2F1+Programmable+Thermostat%2C+1+Heat+-+1+Cool&amp;qid=1695173733&amp;sr=8-8")</f>
        <v>https://www.amazon.com/WiFi-Thermostat-Programmable-Stages-Heat/dp/B01D0BT80I/ref=sr_1_8?keywords=PRO1+IAQ+T705+Digital+7-Day+or+5%2F1%2F1+Programmable+Thermostat%2C+1+Heat+-+1+Cool&amp;qid=1695173733&amp;sr=8-8</v>
      </c>
      <c r="F720" t="s">
        <v>1781</v>
      </c>
      <c r="G720" t="e">
        <f ca="1">_xludf.IMAGE("https://edmondsonsupply.com/cdn/shop/files/pro1-t705-hero.png?v=1690139090")</f>
        <v>#NAME?</v>
      </c>
      <c r="H720" t="e">
        <f ca="1">_xludf.IMAGE("https://m.media-amazon.com/images/I/51TIpGlBKiL._AC_UL320_.jpg")</f>
        <v>#NAME?</v>
      </c>
      <c r="I720" t="s">
        <v>1782</v>
      </c>
      <c r="J720">
        <v>149.99</v>
      </c>
      <c r="K720" s="4">
        <v>2.4906000000000001</v>
      </c>
      <c r="L720">
        <v>3.5</v>
      </c>
      <c r="M720">
        <v>24</v>
      </c>
      <c r="O720" t="s">
        <v>25</v>
      </c>
      <c r="P720" t="s">
        <v>1783</v>
      </c>
      <c r="Q720" t="s">
        <v>1784</v>
      </c>
    </row>
    <row r="721" spans="1:17" ht="15.5" x14ac:dyDescent="0.35">
      <c r="A721" s="3" t="str">
        <f>HYPERLINK("https://edmondsonsupply.com/collections/hvac/products/midwest-mwt-6900r-upright-right-cutting-aviation-snip", "https://edmondsonsupply.com/collections/hvac/products/midwest-mwt-6900r-upright-right-cutting-aviation-snip")</f>
        <v>https://edmondsonsupply.com/collections/hvac/products/midwest-mwt-6900r-upright-right-cutting-aviation-snip</v>
      </c>
      <c r="B721" s="3" t="str">
        <f>HYPERLINK("https://edmondsonsupply.com/products/midwest-mwt-6900r-upright-right-cutting-aviation-snip", "https://edmondsonsupply.com/products/midwest-mwt-6900r-upright-right-cutting-aviation-snip")</f>
        <v>https://edmondsonsupply.com/products/midwest-mwt-6900r-upright-right-cutting-aviation-snip</v>
      </c>
      <c r="C721" t="s">
        <v>1785</v>
      </c>
      <c r="D721" t="s">
        <v>158</v>
      </c>
      <c r="E721" s="3" t="str">
        <f>HYPERLINK("https://www.amazon.com/MIDWEST-Aviation-Snip-Set-KUSHN-POWER/dp/B07RC7ZBK9/ref=sr_1_6?keywords=Midwest+MWT-6900R+Upright+Right-Cutting+Aviation+Snip&amp;qid=1695173458&amp;sr=8-6", "https://www.amazon.com/MIDWEST-Aviation-Snip-Set-KUSHN-POWER/dp/B07RC7ZBK9/ref=sr_1_6?keywords=Midwest+MWT-6900R+Upright+Right-Cutting+Aviation+Snip&amp;qid=1695173458&amp;sr=8-6")</f>
        <v>https://www.amazon.com/MIDWEST-Aviation-Snip-Set-KUSHN-POWER/dp/B07RC7ZBK9/ref=sr_1_6?keywords=Midwest+MWT-6900R+Upright+Right-Cutting+Aviation+Snip&amp;qid=1695173458&amp;sr=8-6</v>
      </c>
      <c r="F721" t="s">
        <v>159</v>
      </c>
      <c r="G721" t="e">
        <f ca="1">_xludf.IMAGE("https://edmondsonsupply.com/cdn/shop/products/MW-P6900R1.jpg?v=1587142622")</f>
        <v>#NAME?</v>
      </c>
      <c r="H721" t="e">
        <f ca="1">_xludf.IMAGE("https://m.media-amazon.com/images/I/71438hbSyHL._AC_UL320_.jpg")</f>
        <v>#NAME?</v>
      </c>
      <c r="I721" t="s">
        <v>1786</v>
      </c>
      <c r="J721">
        <v>87.99</v>
      </c>
      <c r="K721" s="4">
        <v>2.4792000000000001</v>
      </c>
      <c r="L721">
        <v>4.4000000000000004</v>
      </c>
      <c r="M721">
        <v>1137</v>
      </c>
      <c r="O721" t="s">
        <v>25</v>
      </c>
      <c r="P721" t="s">
        <v>1787</v>
      </c>
      <c r="Q721" t="s">
        <v>1788</v>
      </c>
    </row>
    <row r="722" spans="1:17" ht="15.5" x14ac:dyDescent="0.35">
      <c r="A722"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722" s="3" t="str">
        <f>HYPERLINK("https://edmondsonsupply.com/products/klein-tools-et120-combustible-gas-leak-detector", "https://edmondsonsupply.com/products/klein-tools-et120-combustible-gas-leak-detector")</f>
        <v>https://edmondsonsupply.com/products/klein-tools-et120-combustible-gas-leak-detector</v>
      </c>
      <c r="C722" t="s">
        <v>1529</v>
      </c>
      <c r="D722" t="s">
        <v>1789</v>
      </c>
      <c r="E722" s="3" t="str">
        <f>HYPERLINK("https://www.amazon.com/Klein-Tools-Rechargeable-Combustible-Gooseneck/dp/B09P846GLH/ref=sr_1_10?keywords=Klein+Tools+ET120+Combustible+Gas+Leak+Detector&amp;qid=1695173669&amp;sr=8-10", "https://www.amazon.com/Klein-Tools-Rechargeable-Combustible-Gooseneck/dp/B09P846GLH/ref=sr_1_10?keywords=Klein+Tools+ET120+Combustible+Gas+Leak+Detector&amp;qid=1695173669&amp;sr=8-10")</f>
        <v>https://www.amazon.com/Klein-Tools-Rechargeable-Combustible-Gooseneck/dp/B09P846GLH/ref=sr_1_10?keywords=Klein+Tools+ET120+Combustible+Gas+Leak+Detector&amp;qid=1695173669&amp;sr=8-10</v>
      </c>
      <c r="F722" t="s">
        <v>1790</v>
      </c>
      <c r="G722" t="e">
        <f ca="1">_xludf.IMAGE("https://edmondsonsupply.com/cdn/shop/products/et120.jpg?v=1587149243")</f>
        <v>#NAME?</v>
      </c>
      <c r="H722" t="e">
        <f ca="1">_xludf.IMAGE("https://m.media-amazon.com/images/I/51zoXmwmUHL._AC_UL320_.jpg")</f>
        <v>#NAME?</v>
      </c>
      <c r="I722" t="s">
        <v>74</v>
      </c>
      <c r="J722">
        <v>417.43</v>
      </c>
      <c r="K722" s="4">
        <v>2.4788999999999999</v>
      </c>
      <c r="L722">
        <v>4</v>
      </c>
      <c r="M722">
        <v>1</v>
      </c>
      <c r="O722" t="s">
        <v>25</v>
      </c>
      <c r="P722" t="s">
        <v>1532</v>
      </c>
      <c r="Q722" t="s">
        <v>1533</v>
      </c>
    </row>
    <row r="723" spans="1:17" ht="15.5" x14ac:dyDescent="0.35">
      <c r="A723" s="3" t="str">
        <f>HYPERLINK("https://edmondsonsupply.com/collections/hvac/products/channellock-428", "https://edmondsonsupply.com/collections/hvac/products/channellock-428")</f>
        <v>https://edmondsonsupply.com/collections/hvac/products/channellock-428</v>
      </c>
      <c r="B723" s="3" t="str">
        <f>HYPERLINK("https://edmondsonsupply.com/products/channellock-428", "https://edmondsonsupply.com/products/channellock-428")</f>
        <v>https://edmondsonsupply.com/products/channellock-428</v>
      </c>
      <c r="C723" t="s">
        <v>1791</v>
      </c>
      <c r="D723" t="s">
        <v>1792</v>
      </c>
      <c r="E723" s="3" t="str">
        <f>HYPERLINK("https://www.amazon.com/Channellock-480-2-Inch-Capacity-20-Inch/dp/B00004SBCX/ref=sr_1_9?keywords=Channellock+428+8-Inch+Straight+Jaw+Tongue+%26+Groove+Pliers&amp;qid=1695173687&amp;sr=8-9", "https://www.amazon.com/Channellock-480-2-Inch-Capacity-20-Inch/dp/B00004SBCX/ref=sr_1_9?keywords=Channellock+428+8-Inch+Straight+Jaw+Tongue+%26+Groove+Pliers&amp;qid=1695173687&amp;sr=8-9")</f>
        <v>https://www.amazon.com/Channellock-480-2-Inch-Capacity-20-Inch/dp/B00004SBCX/ref=sr_1_9?keywords=Channellock+428+8-Inch+Straight+Jaw+Tongue+%26+Groove+Pliers&amp;qid=1695173687&amp;sr=8-9</v>
      </c>
      <c r="F723" t="s">
        <v>1793</v>
      </c>
      <c r="G723" t="e">
        <f ca="1">_xludf.IMAGE("https://edmondsonsupply.com/cdn/shop/products/428-683x1024.jpg?v=1587145854")</f>
        <v>#NAME?</v>
      </c>
      <c r="H723" t="e">
        <f ca="1">_xludf.IMAGE("https://m.media-amazon.com/images/I/612L+6BugaL._AC_UL320_.jpg")</f>
        <v>#NAME?</v>
      </c>
      <c r="I723" t="s">
        <v>1554</v>
      </c>
      <c r="J723">
        <v>58.95</v>
      </c>
      <c r="K723" s="4">
        <v>2.4779</v>
      </c>
      <c r="L723">
        <v>4.8</v>
      </c>
      <c r="M723">
        <v>872</v>
      </c>
      <c r="O723" t="s">
        <v>25</v>
      </c>
      <c r="P723" t="s">
        <v>1794</v>
      </c>
      <c r="Q723" t="s">
        <v>1795</v>
      </c>
    </row>
    <row r="724" spans="1:17" ht="15.5" x14ac:dyDescent="0.35">
      <c r="A724" s="3" t="str">
        <f>HYPERLINK("https://edmondsonsupply.com/collections/hvac/products/packard-ptmj43a-motor-start-capacitor-43-53-mfd-220-250-vac", "https://edmondsonsupply.com/collections/hvac/products/packard-ptmj43a-motor-start-capacitor-43-53-mfd-220-250-vac")</f>
        <v>https://edmondsonsupply.com/collections/hvac/products/packard-ptmj43a-motor-start-capacitor-43-53-mfd-220-250-vac</v>
      </c>
      <c r="B724" s="3" t="str">
        <f>HYPERLINK("https://edmondsonsupply.com/products/packard-ptmj43a-motor-start-capacitor-43-53-mfd-220-250-vac", "https://edmondsonsupply.com/products/packard-ptmj43a-motor-start-capacitor-43-53-mfd-220-250-vac")</f>
        <v>https://edmondsonsupply.com/products/packard-ptmj43a-motor-start-capacitor-43-53-mfd-220-250-vac</v>
      </c>
      <c r="C724" t="s">
        <v>1796</v>
      </c>
      <c r="D724" t="s">
        <v>1732</v>
      </c>
      <c r="E724" s="3" t="str">
        <f>HYPERLINK("https://www.amazon.com/PTMJ56-Packard-Upgraded-Replacement-Capacitor/dp/B0773WZHQQ/ref=sr_1_3?keywords=Packard+PTMJ43A+Motor+Start+Capacitor+43-53+MFD+220-250+VAC&amp;qid=1695173537&amp;sr=8-3", "https://www.amazon.com/PTMJ56-Packard-Upgraded-Replacement-Capacitor/dp/B0773WZHQQ/ref=sr_1_3?keywords=Packard+PTMJ43A+Motor+Start+Capacitor+43-53+MFD+220-250+VAC&amp;qid=1695173537&amp;sr=8-3")</f>
        <v>https://www.amazon.com/PTMJ56-Packard-Upgraded-Replacement-Capacitor/dp/B0773WZHQQ/ref=sr_1_3?keywords=Packard+PTMJ43A+Motor+Start+Capacitor+43-53+MFD+220-250+VAC&amp;qid=1695173537&amp;sr=8-3</v>
      </c>
      <c r="F724" t="s">
        <v>1733</v>
      </c>
      <c r="G724" t="e">
        <f ca="1">_xludf.IMAGE("https://edmondsonsupply.com/cdn/shop/products/PTMJ43A-2.jpg?v=1633031033")</f>
        <v>#NAME?</v>
      </c>
      <c r="H724" t="e">
        <f ca="1">_xludf.IMAGE("https://m.media-amazon.com/images/I/41fqQrQgJaL._AC_UY218_.jpg")</f>
        <v>#NAME?</v>
      </c>
      <c r="I724" t="s">
        <v>1595</v>
      </c>
      <c r="J724">
        <v>13.49</v>
      </c>
      <c r="K724" s="4">
        <v>2.4590000000000001</v>
      </c>
      <c r="L724">
        <v>5</v>
      </c>
      <c r="M724">
        <v>3</v>
      </c>
      <c r="O724" t="s">
        <v>25</v>
      </c>
      <c r="P724" t="s">
        <v>138</v>
      </c>
      <c r="Q724" t="s">
        <v>1797</v>
      </c>
    </row>
    <row r="725" spans="1:17" ht="15.5" x14ac:dyDescent="0.35">
      <c r="A725" s="3" t="str">
        <f>HYPERLINK("https://edmondsonsupply.com/collections/hvac/products/packard-prmj130-motor-start-capacitor-130-158-mfd-330-vac", "https://edmondsonsupply.com/collections/hvac/products/packard-prmj130-motor-start-capacitor-130-158-mfd-330-vac")</f>
        <v>https://edmondsonsupply.com/collections/hvac/products/packard-prmj130-motor-start-capacitor-130-158-mfd-330-vac</v>
      </c>
      <c r="B725" s="3" t="str">
        <f>HYPERLINK("https://edmondsonsupply.com/products/packard-prmj130-motor-start-capacitor-130-158-mfd-330-vac", "https://edmondsonsupply.com/products/packard-prmj130-motor-start-capacitor-130-158-mfd-330-vac")</f>
        <v>https://edmondsonsupply.com/products/packard-prmj130-motor-start-capacitor-130-158-mfd-330-vac</v>
      </c>
      <c r="C725" t="s">
        <v>1592</v>
      </c>
      <c r="D725" t="s">
        <v>1798</v>
      </c>
      <c r="E725" s="3" t="str">
        <f>HYPERLINK("https://www.amazon.com/PRMJ108-Packard-Aftermarket-Replacement-Capacitor/dp/B00IWYEI1S/ref=sr_1_3?keywords=Packard+PRMJ130+Motor+Start+Capacitor+130-158+MFD+330+VAC&amp;qid=1695173658&amp;sr=8-3", "https://www.amazon.com/PRMJ108-Packard-Aftermarket-Replacement-Capacitor/dp/B00IWYEI1S/ref=sr_1_3?keywords=Packard+PRMJ130+Motor+Start+Capacitor+130-158+MFD+330+VAC&amp;qid=1695173658&amp;sr=8-3")</f>
        <v>https://www.amazon.com/PRMJ108-Packard-Aftermarket-Replacement-Capacitor/dp/B00IWYEI1S/ref=sr_1_3?keywords=Packard+PRMJ130+Motor+Start+Capacitor+130-158+MFD+330+VAC&amp;qid=1695173658&amp;sr=8-3</v>
      </c>
      <c r="F725" t="s">
        <v>1799</v>
      </c>
      <c r="G725" t="e">
        <f ca="1">_xludf.IMAGE("https://edmondsonsupply.com/cdn/shop/products/PRMJ130-2.jpg?v=1587144436")</f>
        <v>#NAME?</v>
      </c>
      <c r="H725" t="e">
        <f ca="1">_xludf.IMAGE("https://m.media-amazon.com/images/I/41iN-8gLZyL._AC_UY218_.jpg")</f>
        <v>#NAME?</v>
      </c>
      <c r="I725" t="s">
        <v>1595</v>
      </c>
      <c r="J725">
        <v>13.49</v>
      </c>
      <c r="K725" s="4">
        <v>2.4590000000000001</v>
      </c>
      <c r="L725">
        <v>5</v>
      </c>
      <c r="M725">
        <v>10</v>
      </c>
      <c r="O725" t="s">
        <v>25</v>
      </c>
      <c r="P725" t="s">
        <v>138</v>
      </c>
      <c r="Q725" t="s">
        <v>1596</v>
      </c>
    </row>
    <row r="726" spans="1:17" ht="15.5" x14ac:dyDescent="0.35">
      <c r="A726" s="3" t="str">
        <f>HYPERLINK("https://edmondsonsupply.com/collections/hvac/products/midwest-mwt-ss6716l-special-hardness-aviation-snip-left-cutting", "https://edmondsonsupply.com/collections/hvac/products/midwest-mwt-ss6716l-special-hardness-aviation-snip-left-cutting")</f>
        <v>https://edmondsonsupply.com/collections/hvac/products/midwest-mwt-ss6716l-special-hardness-aviation-snip-left-cutting</v>
      </c>
      <c r="B726" s="3" t="str">
        <f>HYPERLINK("https://edmondsonsupply.com/products/midwest-mwt-ss6716l-special-hardness-aviation-snip-left-cutting", "https://edmondsonsupply.com/products/midwest-mwt-ss6716l-special-hardness-aviation-snip-left-cutting")</f>
        <v>https://edmondsonsupply.com/products/midwest-mwt-ss6716l-special-hardness-aviation-snip-left-cutting</v>
      </c>
      <c r="C726" t="s">
        <v>1800</v>
      </c>
      <c r="D726" t="s">
        <v>158</v>
      </c>
      <c r="E726" s="3" t="str">
        <f>HYPERLINK("https://www.amazon.com/MIDWEST-Aviation-Snip-Set-KUSHN-POWER/dp/B07RC7ZBK9/ref=sr_1_1?keywords=Midwest+MWT-SS6716L+Special+Hardness+Aviation+Snip+-+Left-Cutting&amp;qid=1695173419&amp;sr=8-1", "https://www.amazon.com/MIDWEST-Aviation-Snip-Set-KUSHN-POWER/dp/B07RC7ZBK9/ref=sr_1_1?keywords=Midwest+MWT-SS6716L+Special+Hardness+Aviation+Snip+-+Left-Cutting&amp;qid=1695173419&amp;sr=8-1")</f>
        <v>https://www.amazon.com/MIDWEST-Aviation-Snip-Set-KUSHN-POWER/dp/B07RC7ZBK9/ref=sr_1_1?keywords=Midwest+MWT-SS6716L+Special+Hardness+Aviation+Snip+-+Left-Cutting&amp;qid=1695173419&amp;sr=8-1</v>
      </c>
      <c r="F726" t="s">
        <v>159</v>
      </c>
      <c r="G726" t="e">
        <f ca="1">_xludf.IMAGE("https://edmondsonsupply.com/cdn/shop/products/MWT-SS6716L1.jpg?v=1587151241")</f>
        <v>#NAME?</v>
      </c>
      <c r="H726" t="e">
        <f ca="1">_xludf.IMAGE("https://m.media-amazon.com/images/I/71438hbSyHL._AC_UL320_.jpg")</f>
        <v>#NAME?</v>
      </c>
      <c r="I726" t="s">
        <v>1110</v>
      </c>
      <c r="J726">
        <v>87.99</v>
      </c>
      <c r="K726" s="4">
        <v>2.4519000000000002</v>
      </c>
      <c r="L726">
        <v>4.4000000000000004</v>
      </c>
      <c r="M726">
        <v>1137</v>
      </c>
      <c r="O726" t="s">
        <v>25</v>
      </c>
      <c r="P726" t="s">
        <v>1770</v>
      </c>
      <c r="Q726" t="s">
        <v>1801</v>
      </c>
    </row>
    <row r="727" spans="1:17" ht="15.5" x14ac:dyDescent="0.35">
      <c r="A727" s="3" t="str">
        <f>HYPERLINK("https://edmondsonsupply.com/collections/hvac/products/packard-prmj108-motor-start-capacitor-108-130-mfd-330-vac", "https://edmondsonsupply.com/collections/hvac/products/packard-prmj108-motor-start-capacitor-108-130-mfd-330-vac")</f>
        <v>https://edmondsonsupply.com/collections/hvac/products/packard-prmj108-motor-start-capacitor-108-130-mfd-330-vac</v>
      </c>
      <c r="B727" s="3" t="str">
        <f>HYPERLINK("https://edmondsonsupply.com/products/packard-prmj108-motor-start-capacitor-108-130-mfd-330-vac", "https://edmondsonsupply.com/products/packard-prmj108-motor-start-capacitor-108-130-mfd-330-vac")</f>
        <v>https://edmondsonsupply.com/products/packard-prmj108-motor-start-capacitor-108-130-mfd-330-vac</v>
      </c>
      <c r="C727" t="s">
        <v>1802</v>
      </c>
      <c r="D727" t="s">
        <v>1803</v>
      </c>
      <c r="E727" s="3" t="str">
        <f>HYPERLINK("https://www.amazon.com/PRMJ56-Packard-Upgraded-Replacement-Capacitor/dp/B0773X1WL8/ref=sr_1_2?keywords=Packard+PRMJ56+Motor+Start+Capacitor+53-64+MFD+330+VAC&amp;qid=1695173688&amp;sr=8-2", "https://www.amazon.com/PRMJ56-Packard-Upgraded-Replacement-Capacitor/dp/B0773X1WL8/ref=sr_1_2?keywords=Packard+PRMJ56+Motor+Start+Capacitor+53-64+MFD+330+VAC&amp;qid=1695173688&amp;sr=8-2")</f>
        <v>https://www.amazon.com/PRMJ56-Packard-Upgraded-Replacement-Capacitor/dp/B0773X1WL8/ref=sr_1_2?keywords=Packard+PRMJ56+Motor+Start+Capacitor+53-64+MFD+330+VAC&amp;qid=1695173688&amp;sr=8-2</v>
      </c>
      <c r="F727" t="s">
        <v>1804</v>
      </c>
      <c r="G727" t="e">
        <f ca="1">_xludf.IMAGE("https://edmondsonsupply.com/cdn/shop/products/PRMJ56-2.jpg?v=1633030105")</f>
        <v>#NAME?</v>
      </c>
      <c r="H727" t="e">
        <f ca="1">_xludf.IMAGE("https://m.media-amazon.com/images/I/41fqQrQgJaL._AC_UY218_.jpg")</f>
        <v>#NAME?</v>
      </c>
      <c r="I727" t="s">
        <v>1805</v>
      </c>
      <c r="J727">
        <v>13.49</v>
      </c>
      <c r="K727" s="4">
        <v>2.4413</v>
      </c>
      <c r="L727">
        <v>5</v>
      </c>
      <c r="M727">
        <v>1</v>
      </c>
      <c r="O727" t="s">
        <v>25</v>
      </c>
      <c r="P727" t="s">
        <v>138</v>
      </c>
      <c r="Q727" t="s">
        <v>1806</v>
      </c>
    </row>
    <row r="728" spans="1:17" ht="15.5" x14ac:dyDescent="0.35">
      <c r="A728" s="3" t="str">
        <f>HYPERLINK("https://edmondsonsupply.com/collections/hvac/products/packard-prmj108-motor-start-capacitor-108-130-mfd-330-vac", "https://edmondsonsupply.com/collections/hvac/products/packard-prmj108-motor-start-capacitor-108-130-mfd-330-vac")</f>
        <v>https://edmondsonsupply.com/collections/hvac/products/packard-prmj108-motor-start-capacitor-108-130-mfd-330-vac</v>
      </c>
      <c r="B728" s="3" t="str">
        <f>HYPERLINK("https://edmondsonsupply.com/products/packard-prmj108-motor-start-capacitor-108-130-mfd-330-vac", "https://edmondsonsupply.com/products/packard-prmj108-motor-start-capacitor-108-130-mfd-330-vac")</f>
        <v>https://edmondsonsupply.com/products/packard-prmj108-motor-start-capacitor-108-130-mfd-330-vac</v>
      </c>
      <c r="C728" t="s">
        <v>1802</v>
      </c>
      <c r="D728" t="s">
        <v>1807</v>
      </c>
      <c r="E728" s="3" t="str">
        <f>HYPERLINK("https://www.amazon.com/PRMJ64-Packard-Upgraded-Replacement-Capacitor/dp/B0773WP25K/ref=sr_1_3?keywords=Packard+PRMJ56+Motor+Start+Capacitor+53-64+MFD+330+VAC&amp;qid=1695173688&amp;sr=8-3", "https://www.amazon.com/PRMJ64-Packard-Upgraded-Replacement-Capacitor/dp/B0773WP25K/ref=sr_1_3?keywords=Packard+PRMJ56+Motor+Start+Capacitor+53-64+MFD+330+VAC&amp;qid=1695173688&amp;sr=8-3")</f>
        <v>https://www.amazon.com/PRMJ64-Packard-Upgraded-Replacement-Capacitor/dp/B0773WP25K/ref=sr_1_3?keywords=Packard+PRMJ56+Motor+Start+Capacitor+53-64+MFD+330+VAC&amp;qid=1695173688&amp;sr=8-3</v>
      </c>
      <c r="F728" t="s">
        <v>1808</v>
      </c>
      <c r="G728" t="e">
        <f ca="1">_xludf.IMAGE("https://edmondsonsupply.com/cdn/shop/products/PRMJ56-2.jpg?v=1633030105")</f>
        <v>#NAME?</v>
      </c>
      <c r="H728" t="e">
        <f ca="1">_xludf.IMAGE("https://m.media-amazon.com/images/I/41fqQrQgJaL._AC_UY218_.jpg")</f>
        <v>#NAME?</v>
      </c>
      <c r="I728" t="s">
        <v>1805</v>
      </c>
      <c r="J728">
        <v>13.49</v>
      </c>
      <c r="K728" s="4">
        <v>2.4413</v>
      </c>
      <c r="L728">
        <v>4.7</v>
      </c>
      <c r="M728">
        <v>8</v>
      </c>
      <c r="O728" t="s">
        <v>25</v>
      </c>
      <c r="P728" t="s">
        <v>138</v>
      </c>
      <c r="Q728" t="s">
        <v>1806</v>
      </c>
    </row>
    <row r="729" spans="1:17" ht="15.5" x14ac:dyDescent="0.35">
      <c r="A729" s="3" t="str">
        <f>HYPERLINK("https://edmondsonsupply.com/collections/hvac/products/packard-prmj108-motor-start-capacitor-108-130-mfd-330-vac", "https://edmondsonsupply.com/collections/hvac/products/packard-prmj108-motor-start-capacitor-108-130-mfd-330-vac")</f>
        <v>https://edmondsonsupply.com/collections/hvac/products/packard-prmj108-motor-start-capacitor-108-130-mfd-330-vac</v>
      </c>
      <c r="B729" s="3" t="str">
        <f>HYPERLINK("https://edmondsonsupply.com/products/packard-prmj108-motor-start-capacitor-108-130-mfd-330-vac", "https://edmondsonsupply.com/products/packard-prmj108-motor-start-capacitor-108-130-mfd-330-vac")</f>
        <v>https://edmondsonsupply.com/products/packard-prmj108-motor-start-capacitor-108-130-mfd-330-vac</v>
      </c>
      <c r="C729" t="s">
        <v>1802</v>
      </c>
      <c r="D729" t="s">
        <v>1732</v>
      </c>
      <c r="E729" s="3" t="str">
        <f>HYPERLINK("https://www.amazon.com/PTMJ56-Packard-Upgraded-Replacement-Capacitor/dp/B0773WZHQQ/ref=sr_1_4?keywords=Packard+PRMJ56+Motor+Start+Capacitor+53-64+MFD+330+VAC&amp;qid=1695173688&amp;sr=8-4", "https://www.amazon.com/PTMJ56-Packard-Upgraded-Replacement-Capacitor/dp/B0773WZHQQ/ref=sr_1_4?keywords=Packard+PRMJ56+Motor+Start+Capacitor+53-64+MFD+330+VAC&amp;qid=1695173688&amp;sr=8-4")</f>
        <v>https://www.amazon.com/PTMJ56-Packard-Upgraded-Replacement-Capacitor/dp/B0773WZHQQ/ref=sr_1_4?keywords=Packard+PRMJ56+Motor+Start+Capacitor+53-64+MFD+330+VAC&amp;qid=1695173688&amp;sr=8-4</v>
      </c>
      <c r="F729" t="s">
        <v>1733</v>
      </c>
      <c r="G729" t="e">
        <f ca="1">_xludf.IMAGE("https://edmondsonsupply.com/cdn/shop/products/PRMJ56-2.jpg?v=1633030105")</f>
        <v>#NAME?</v>
      </c>
      <c r="H729" t="e">
        <f ca="1">_xludf.IMAGE("https://m.media-amazon.com/images/I/41fqQrQgJaL._AC_UY218_.jpg")</f>
        <v>#NAME?</v>
      </c>
      <c r="I729" t="s">
        <v>1805</v>
      </c>
      <c r="J729">
        <v>13.49</v>
      </c>
      <c r="K729" s="4">
        <v>2.4413</v>
      </c>
      <c r="L729">
        <v>5</v>
      </c>
      <c r="M729">
        <v>3</v>
      </c>
      <c r="O729" t="s">
        <v>25</v>
      </c>
      <c r="P729" t="s">
        <v>138</v>
      </c>
      <c r="Q729" t="s">
        <v>1806</v>
      </c>
    </row>
    <row r="730" spans="1:17" ht="15.5" x14ac:dyDescent="0.35">
      <c r="A730" s="3" t="str">
        <f>HYPERLINK("https://edmondsonsupply.com/collections/hvac/products/viega-25001-1-2-x-1-2-megapressg-coupling-with-stop", "https://edmondsonsupply.com/collections/hvac/products/viega-25001-1-2-x-1-2-megapressg-coupling-with-stop")</f>
        <v>https://edmondsonsupply.com/collections/hvac/products/viega-25001-1-2-x-1-2-megapressg-coupling-with-stop</v>
      </c>
      <c r="B730" s="3" t="str">
        <f>HYPERLINK("https://edmondsonsupply.com/products/viega-25001-1-2-x-1-2-megapressg-coupling-with-stop", "https://edmondsonsupply.com/products/viega-25001-1-2-x-1-2-megapressg-coupling-with-stop")</f>
        <v>https://edmondsonsupply.com/products/viega-25001-1-2-x-1-2-megapressg-coupling-with-stop</v>
      </c>
      <c r="C730" t="s">
        <v>1809</v>
      </c>
      <c r="D730" t="s">
        <v>1810</v>
      </c>
      <c r="E730" s="3" t="str">
        <f>HYPERLINK("https://www.amazon.com/78172-Propress-Copper-Coupling-without/dp/B017BVYKWO/ref=sr_1_3?keywords=viega+25001+1%2F2+x+1%2F2+megapress+coupling+with+stop&amp;qid=1695173716&amp;sr=8-3", "https://www.amazon.com/78172-Propress-Copper-Coupling-without/dp/B017BVYKWO/ref=sr_1_3?keywords=viega+25001+1%2F2+x+1%2F2+megapress+coupling+with+stop&amp;qid=1695173716&amp;sr=8-3")</f>
        <v>https://www.amazon.com/78172-Propress-Copper-Coupling-without/dp/B017BVYKWO/ref=sr_1_3?keywords=viega+25001+1%2F2+x+1%2F2+megapress+coupling+with+stop&amp;qid=1695173716&amp;sr=8-3</v>
      </c>
      <c r="F730" t="s">
        <v>1811</v>
      </c>
      <c r="G730" t="e">
        <f ca="1">_xludf.IMAGE("https://edmondsonsupply.com/cdn/shop/files/PPm6615.jpg?v=1692463277")</f>
        <v>#NAME?</v>
      </c>
      <c r="H730" t="e">
        <f ca="1">_xludf.IMAGE("https://m.media-amazon.com/images/I/61nJGjpHLVL._AC_UL320_.jpg")</f>
        <v>#NAME?</v>
      </c>
      <c r="I730" t="s">
        <v>1812</v>
      </c>
      <c r="J730">
        <v>39.99</v>
      </c>
      <c r="K730" s="4">
        <v>2.4384999999999999</v>
      </c>
      <c r="L730">
        <v>4.7</v>
      </c>
      <c r="M730">
        <v>15</v>
      </c>
      <c r="O730" t="s">
        <v>25</v>
      </c>
      <c r="P730" t="s">
        <v>1813</v>
      </c>
      <c r="Q730" t="s">
        <v>1814</v>
      </c>
    </row>
    <row r="731" spans="1:17" ht="15.5" x14ac:dyDescent="0.35">
      <c r="A731" s="3" t="str">
        <f>HYPERLINK("https://edmondsonsupply.com/collections/hvac/products/packard-trc25-titan-pro-run-capacitor-25-mfd-370-volt-round", "https://edmondsonsupply.com/collections/hvac/products/packard-trc25-titan-pro-run-capacitor-25-mfd-370-volt-round")</f>
        <v>https://edmondsonsupply.com/collections/hvac/products/packard-trc25-titan-pro-run-capacitor-25-mfd-370-volt-round</v>
      </c>
      <c r="B731" s="3" t="str">
        <f>HYPERLINK("https://edmondsonsupply.com/products/packard-trc25-titan-pro-run-capacitor-25-mfd-370-volt-round", "https://edmondsonsupply.com/products/packard-trc25-titan-pro-run-capacitor-25-mfd-370-volt-round")</f>
        <v>https://edmondsonsupply.com/products/packard-trc25-titan-pro-run-capacitor-25-mfd-370-volt-round</v>
      </c>
      <c r="C731" t="s">
        <v>1751</v>
      </c>
      <c r="D731" t="s">
        <v>1457</v>
      </c>
      <c r="E731" s="3" t="str">
        <f>HYPERLINK("https://www.amazon.com/Packard-TOCFD255-Titan-Motor-Capacitor/dp/B009558O8G/ref=sr_1_4?keywords=Packard+TRC25+TITAN+PRO+Run+Capacitor+25+MFD+370+Volt%2C+Round&amp;qid=1695173641&amp;sr=8-4", "https://www.amazon.com/Packard-TOCFD255-Titan-Motor-Capacitor/dp/B009558O8G/ref=sr_1_4?keywords=Packard+TRC25+TITAN+PRO+Run+Capacitor+25+MFD+370+Volt%2C+Round&amp;qid=1695173641&amp;sr=8-4")</f>
        <v>https://www.amazon.com/Packard-TOCFD255-Titan-Motor-Capacitor/dp/B009558O8G/ref=sr_1_4?keywords=Packard+TRC25+TITAN+PRO+Run+Capacitor+25+MFD+370+Volt%2C+Round&amp;qid=1695173641&amp;sr=8-4</v>
      </c>
      <c r="F731" t="s">
        <v>1458</v>
      </c>
      <c r="G731" t="e">
        <f ca="1">_xludf.IMAGE("https://edmondsonsupply.com/cdn/shop/products/TRC25-2.jpg?v=1633030571")</f>
        <v>#NAME?</v>
      </c>
      <c r="H731" t="e">
        <f ca="1">_xludf.IMAGE("https://m.media-amazon.com/images/I/51ZHG4pO0nL._AC_UY218_.jpg")</f>
        <v>#NAME?</v>
      </c>
      <c r="I731" t="s">
        <v>1754</v>
      </c>
      <c r="J731">
        <v>13.91</v>
      </c>
      <c r="K731" s="4">
        <v>2.4093</v>
      </c>
      <c r="L731">
        <v>4.5</v>
      </c>
      <c r="M731">
        <v>42</v>
      </c>
      <c r="O731" t="s">
        <v>25</v>
      </c>
      <c r="P731" t="s">
        <v>138</v>
      </c>
      <c r="Q731" t="s">
        <v>1755</v>
      </c>
    </row>
    <row r="732" spans="1:17" ht="15.5" x14ac:dyDescent="0.35">
      <c r="A732"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732" s="3" t="str">
        <f>HYPERLINK("https://edmondsonsupply.com/products/packard-ttmj108-motor-start-capacitor-108-130-mfd-220-250-vac", "https://edmondsonsupply.com/products/packard-ttmj108-motor-start-capacitor-108-130-mfd-220-250-vac")</f>
        <v>https://edmondsonsupply.com/products/packard-ttmj108-motor-start-capacitor-108-130-mfd-220-250-vac</v>
      </c>
      <c r="C732" t="s">
        <v>1473</v>
      </c>
      <c r="D732" t="s">
        <v>1815</v>
      </c>
      <c r="E732" s="3" t="str">
        <f>HYPERLINK("https://www.amazon.com/TEMCo-Capacitor-SC0065-108-130-220-250-Electric/dp/B00EQHO35G/ref=sr_1_9?keywords=Packard+TTMJ108+Motor+Start+Capacitor+108-130+MFD+220-250+VAC&amp;qid=1695173723&amp;sr=8-9", "https://www.amazon.com/TEMCo-Capacitor-SC0065-108-130-220-250-Electric/dp/B00EQHO35G/ref=sr_1_9?keywords=Packard+TTMJ108+Motor+Start+Capacitor+108-130+MFD+220-250+VAC&amp;qid=1695173723&amp;sr=8-9")</f>
        <v>https://www.amazon.com/TEMCo-Capacitor-SC0065-108-130-220-250-Electric/dp/B00EQHO35G/ref=sr_1_9?keywords=Packard+TTMJ108+Motor+Start+Capacitor+108-130+MFD+220-250+VAC&amp;qid=1695173723&amp;sr=8-9</v>
      </c>
      <c r="F732" t="s">
        <v>1816</v>
      </c>
      <c r="G732" t="e">
        <f ca="1">_xludf.IMAGE("https://edmondsonsupply.com/cdn/shop/files/PTMJ108-2_c3537879-2bfc-401f-867d-9ee4aaa5c4bb.jpg?v=1692220228")</f>
        <v>#NAME?</v>
      </c>
      <c r="H732" t="e">
        <f ca="1">_xludf.IMAGE("https://m.media-amazon.com/images/I/51nF+nxUvHL._AC_UY218_.jpg")</f>
        <v>#NAME?</v>
      </c>
      <c r="I732" t="s">
        <v>1476</v>
      </c>
      <c r="J732">
        <v>14.95</v>
      </c>
      <c r="K732" s="4">
        <v>2.4055</v>
      </c>
      <c r="L732">
        <v>4.5</v>
      </c>
      <c r="M732">
        <v>98</v>
      </c>
      <c r="O732" t="s">
        <v>25</v>
      </c>
      <c r="P732" t="s">
        <v>138</v>
      </c>
      <c r="Q732" t="s">
        <v>1477</v>
      </c>
    </row>
    <row r="733" spans="1:17" ht="15.5" x14ac:dyDescent="0.35">
      <c r="A733" s="3" t="str">
        <f>HYPERLINK("https://edmondsonsupply.com/collections/hvac/products/packard-ptmj43a-motor-start-capacitor-43-53-mfd-220-250-vac", "https://edmondsonsupply.com/collections/hvac/products/packard-ptmj43a-motor-start-capacitor-43-53-mfd-220-250-vac")</f>
        <v>https://edmondsonsupply.com/collections/hvac/products/packard-ptmj43a-motor-start-capacitor-43-53-mfd-220-250-vac</v>
      </c>
      <c r="B733" s="3" t="str">
        <f>HYPERLINK("https://edmondsonsupply.com/products/packard-ptmj43a-motor-start-capacitor-43-53-mfd-220-250-vac", "https://edmondsonsupply.com/products/packard-ptmj43a-motor-start-capacitor-43-53-mfd-220-250-vac")</f>
        <v>https://edmondsonsupply.com/products/packard-ptmj43a-motor-start-capacitor-43-53-mfd-220-250-vac</v>
      </c>
      <c r="C733" t="s">
        <v>1796</v>
      </c>
      <c r="D733" t="s">
        <v>1743</v>
      </c>
      <c r="E733" s="3" t="str">
        <f>HYPERLINK("https://www.amazon.com/PTMJ43-Packard-Upgraded-Replacement-Capacitor/dp/B0773XQVXN/ref=sr_1_1?keywords=Packard+PTMJ43A+Motor+Start+Capacitor+43-53+MFD+220-250+VAC&amp;qid=1695173537&amp;sr=8-1", "https://www.amazon.com/PTMJ43-Packard-Upgraded-Replacement-Capacitor/dp/B0773XQVXN/ref=sr_1_1?keywords=Packard+PTMJ43A+Motor+Start+Capacitor+43-53+MFD+220-250+VAC&amp;qid=1695173537&amp;sr=8-1")</f>
        <v>https://www.amazon.com/PTMJ43-Packard-Upgraded-Replacement-Capacitor/dp/B0773XQVXN/ref=sr_1_1?keywords=Packard+PTMJ43A+Motor+Start+Capacitor+43-53+MFD+220-250+VAC&amp;qid=1695173537&amp;sr=8-1</v>
      </c>
      <c r="F733" t="s">
        <v>1744</v>
      </c>
      <c r="G733" t="e">
        <f ca="1">_xludf.IMAGE("https://edmondsonsupply.com/cdn/shop/products/PTMJ43A-2.jpg?v=1633031033")</f>
        <v>#NAME?</v>
      </c>
      <c r="H733" t="e">
        <f ca="1">_xludf.IMAGE("https://m.media-amazon.com/images/I/41fqQrQgJaL._AC_UY218_.jpg")</f>
        <v>#NAME?</v>
      </c>
      <c r="I733" t="s">
        <v>1595</v>
      </c>
      <c r="J733">
        <v>13.24</v>
      </c>
      <c r="K733" s="4">
        <v>2.3948999999999998</v>
      </c>
      <c r="L733">
        <v>4.4000000000000004</v>
      </c>
      <c r="M733">
        <v>10</v>
      </c>
      <c r="O733" t="s">
        <v>25</v>
      </c>
      <c r="P733" t="s">
        <v>138</v>
      </c>
      <c r="Q733" t="s">
        <v>1797</v>
      </c>
    </row>
    <row r="734" spans="1:17" ht="15.5" x14ac:dyDescent="0.35">
      <c r="A734" s="3" t="str">
        <f>HYPERLINK("https://edmondsonsupply.com/collections/hvac/products/packard-ptmj43a-motor-start-capacitor-43-53-mfd-220-250-vac", "https://edmondsonsupply.com/collections/hvac/products/packard-ptmj43a-motor-start-capacitor-43-53-mfd-220-250-vac")</f>
        <v>https://edmondsonsupply.com/collections/hvac/products/packard-ptmj43a-motor-start-capacitor-43-53-mfd-220-250-vac</v>
      </c>
      <c r="B734" s="3" t="str">
        <f>HYPERLINK("https://edmondsonsupply.com/products/packard-ptmj43a-motor-start-capacitor-43-53-mfd-220-250-vac", "https://edmondsonsupply.com/products/packard-ptmj43a-motor-start-capacitor-43-53-mfd-220-250-vac")</f>
        <v>https://edmondsonsupply.com/products/packard-ptmj43a-motor-start-capacitor-43-53-mfd-220-250-vac</v>
      </c>
      <c r="C734" t="s">
        <v>1796</v>
      </c>
      <c r="D734" t="s">
        <v>1741</v>
      </c>
      <c r="E734" s="3" t="str">
        <f>HYPERLINK("https://www.amazon.com/PTMJ53-Packard-Upgraded-Replacement-Capacitor/dp/B0773W73B5/ref=sr_1_9?keywords=Packard+PTMJ43A+Motor+Start+Capacitor+43-53+MFD+220-250+VAC&amp;qid=1695173537&amp;sr=8-9", "https://www.amazon.com/PTMJ53-Packard-Upgraded-Replacement-Capacitor/dp/B0773W73B5/ref=sr_1_9?keywords=Packard+PTMJ43A+Motor+Start+Capacitor+43-53+MFD+220-250+VAC&amp;qid=1695173537&amp;sr=8-9")</f>
        <v>https://www.amazon.com/PTMJ53-Packard-Upgraded-Replacement-Capacitor/dp/B0773W73B5/ref=sr_1_9?keywords=Packard+PTMJ43A+Motor+Start+Capacitor+43-53+MFD+220-250+VAC&amp;qid=1695173537&amp;sr=8-9</v>
      </c>
      <c r="F734" t="s">
        <v>1742</v>
      </c>
      <c r="G734" t="e">
        <f ca="1">_xludf.IMAGE("https://edmondsonsupply.com/cdn/shop/products/PTMJ43A-2.jpg?v=1633031033")</f>
        <v>#NAME?</v>
      </c>
      <c r="H734" t="e">
        <f ca="1">_xludf.IMAGE("https://m.media-amazon.com/images/I/41fqQrQgJaL._AC_UY218_.jpg")</f>
        <v>#NAME?</v>
      </c>
      <c r="I734" t="s">
        <v>1595</v>
      </c>
      <c r="J734">
        <v>13.24</v>
      </c>
      <c r="K734" s="4">
        <v>2.3948999999999998</v>
      </c>
      <c r="L734">
        <v>3.7</v>
      </c>
      <c r="M734">
        <v>11</v>
      </c>
      <c r="O734" t="s">
        <v>25</v>
      </c>
      <c r="P734" t="s">
        <v>138</v>
      </c>
      <c r="Q734" t="s">
        <v>1797</v>
      </c>
    </row>
    <row r="735" spans="1:17" ht="15.5" x14ac:dyDescent="0.35">
      <c r="A735" s="3" t="str">
        <f>HYPERLINK("https://edmondsonsupply.com/collections/hvac/products/packard-ptmj43a-motor-start-capacitor-43-53-mfd-220-250-vac", "https://edmondsonsupply.com/collections/hvac/products/packard-ptmj43a-motor-start-capacitor-43-53-mfd-220-250-vac")</f>
        <v>https://edmondsonsupply.com/collections/hvac/products/packard-ptmj43a-motor-start-capacitor-43-53-mfd-220-250-vac</v>
      </c>
      <c r="B735" s="3" t="str">
        <f>HYPERLINK("https://edmondsonsupply.com/products/packard-ptmj43a-motor-start-capacitor-43-53-mfd-220-250-vac", "https://edmondsonsupply.com/products/packard-ptmj43a-motor-start-capacitor-43-53-mfd-220-250-vac")</f>
        <v>https://edmondsonsupply.com/products/packard-ptmj43a-motor-start-capacitor-43-53-mfd-220-250-vac</v>
      </c>
      <c r="C735" t="s">
        <v>1796</v>
      </c>
      <c r="D735" t="s">
        <v>1817</v>
      </c>
      <c r="E735" s="3" t="str">
        <f>HYPERLINK("https://www.amazon.com/PRMJ43-Packard-Upgraded-Replacement-Capacitor/dp/B0773SJVXK/ref=sr_1_2?keywords=Packard+PTMJ43A+Motor+Start+Capacitor+43-53+MFD+220-250+VAC&amp;qid=1695173537&amp;sr=8-2", "https://www.amazon.com/PRMJ43-Packard-Upgraded-Replacement-Capacitor/dp/B0773SJVXK/ref=sr_1_2?keywords=Packard+PTMJ43A+Motor+Start+Capacitor+43-53+MFD+220-250+VAC&amp;qid=1695173537&amp;sr=8-2")</f>
        <v>https://www.amazon.com/PRMJ43-Packard-Upgraded-Replacement-Capacitor/dp/B0773SJVXK/ref=sr_1_2?keywords=Packard+PTMJ43A+Motor+Start+Capacitor+43-53+MFD+220-250+VAC&amp;qid=1695173537&amp;sr=8-2</v>
      </c>
      <c r="F735" t="s">
        <v>1818</v>
      </c>
      <c r="G735" t="e">
        <f ca="1">_xludf.IMAGE("https://edmondsonsupply.com/cdn/shop/products/PTMJ43A-2.jpg?v=1633031033")</f>
        <v>#NAME?</v>
      </c>
      <c r="H735" t="e">
        <f ca="1">_xludf.IMAGE("https://m.media-amazon.com/images/I/41fqQrQgJaL._AC_UY218_.jpg")</f>
        <v>#NAME?</v>
      </c>
      <c r="I735" t="s">
        <v>1595</v>
      </c>
      <c r="J735">
        <v>13.24</v>
      </c>
      <c r="K735" s="4">
        <v>2.3948999999999998</v>
      </c>
      <c r="L735">
        <v>5</v>
      </c>
      <c r="M735">
        <v>2</v>
      </c>
      <c r="O735" t="s">
        <v>25</v>
      </c>
      <c r="P735" t="s">
        <v>138</v>
      </c>
      <c r="Q735" t="s">
        <v>1797</v>
      </c>
    </row>
    <row r="736" spans="1:17" ht="15.5" x14ac:dyDescent="0.35">
      <c r="A736" s="3" t="str">
        <f>HYPERLINK("https://edmondsonsupply.com/collections/hvac/products/midwest-mwt-6900l-upright-left-cutting-offset-aviation-snip", "https://edmondsonsupply.com/collections/hvac/products/midwest-mwt-6900l-upright-left-cutting-offset-aviation-snip")</f>
        <v>https://edmondsonsupply.com/collections/hvac/products/midwest-mwt-6900l-upright-left-cutting-offset-aviation-snip</v>
      </c>
      <c r="B736" s="3" t="str">
        <f>HYPERLINK("https://edmondsonsupply.com/products/midwest-mwt-6900l-upright-left-cutting-offset-aviation-snip", "https://edmondsonsupply.com/products/midwest-mwt-6900l-upright-left-cutting-offset-aviation-snip")</f>
        <v>https://edmondsonsupply.com/products/midwest-mwt-6900l-upright-left-cutting-offset-aviation-snip</v>
      </c>
      <c r="C736" t="s">
        <v>1819</v>
      </c>
      <c r="D736" t="s">
        <v>158</v>
      </c>
      <c r="E736" s="3" t="str">
        <f>HYPERLINK("https://www.amazon.com/MIDWEST-Aviation-Snip-Set-KUSHN-POWER/dp/B07RC7ZBK9/ref=sr_1_5?keywords=Midwest+MWT-6900L+Upright+Left-Cutting+Aviation+Snip&amp;qid=1695173421&amp;sr=8-5", "https://www.amazon.com/MIDWEST-Aviation-Snip-Set-KUSHN-POWER/dp/B07RC7ZBK9/ref=sr_1_5?keywords=Midwest+MWT-6900L+Upright+Left-Cutting+Aviation+Snip&amp;qid=1695173421&amp;sr=8-5")</f>
        <v>https://www.amazon.com/MIDWEST-Aviation-Snip-Set-KUSHN-POWER/dp/B07RC7ZBK9/ref=sr_1_5?keywords=Midwest+MWT-6900L+Upright+Left-Cutting+Aviation+Snip&amp;qid=1695173421&amp;sr=8-5</v>
      </c>
      <c r="F736" t="s">
        <v>159</v>
      </c>
      <c r="G736" t="e">
        <f ca="1">_xludf.IMAGE("https://edmondsonsupply.com/cdn/shop/products/MWT-6900L1.jpg?v=1587146265")</f>
        <v>#NAME?</v>
      </c>
      <c r="H736" t="e">
        <f ca="1">_xludf.IMAGE("https://m.media-amazon.com/images/I/71438hbSyHL._AC_UL320_.jpg")</f>
        <v>#NAME?</v>
      </c>
      <c r="I736" t="s">
        <v>362</v>
      </c>
      <c r="J736">
        <v>87.99</v>
      </c>
      <c r="K736" s="4">
        <v>2.3855</v>
      </c>
      <c r="L736">
        <v>4.4000000000000004</v>
      </c>
      <c r="M736">
        <v>1137</v>
      </c>
      <c r="O736" t="s">
        <v>25</v>
      </c>
      <c r="P736" t="s">
        <v>1787</v>
      </c>
      <c r="Q736" t="s">
        <v>1820</v>
      </c>
    </row>
    <row r="737" spans="1:17" ht="15.5" x14ac:dyDescent="0.35">
      <c r="A737" s="3" t="str">
        <f>HYPERLINK("https://edmondsonsupply.com/collections/hvac/products/packard-prmj108-motor-start-capacitor-108-130-mfd-330-vac", "https://edmondsonsupply.com/collections/hvac/products/packard-prmj108-motor-start-capacitor-108-130-mfd-330-vac")</f>
        <v>https://edmondsonsupply.com/collections/hvac/products/packard-prmj108-motor-start-capacitor-108-130-mfd-330-vac</v>
      </c>
      <c r="B737" s="3" t="str">
        <f>HYPERLINK("https://edmondsonsupply.com/products/packard-prmj108-motor-start-capacitor-108-130-mfd-330-vac", "https://edmondsonsupply.com/products/packard-prmj108-motor-start-capacitor-108-130-mfd-330-vac")</f>
        <v>https://edmondsonsupply.com/products/packard-prmj108-motor-start-capacitor-108-130-mfd-330-vac</v>
      </c>
      <c r="C737" t="s">
        <v>1802</v>
      </c>
      <c r="D737" t="s">
        <v>1743</v>
      </c>
      <c r="E737" s="3" t="str">
        <f>HYPERLINK("https://www.amazon.com/PTMJ43-Packard-Upgraded-Replacement-Capacitor/dp/B0773XQVXN/ref=sr_1_9?keywords=Packard+PRMJ56+Motor+Start+Capacitor+53-64+MFD+330+VAC&amp;qid=1695173688&amp;sr=8-9", "https://www.amazon.com/PTMJ43-Packard-Upgraded-Replacement-Capacitor/dp/B0773XQVXN/ref=sr_1_9?keywords=Packard+PRMJ56+Motor+Start+Capacitor+53-64+MFD+330+VAC&amp;qid=1695173688&amp;sr=8-9")</f>
        <v>https://www.amazon.com/PTMJ43-Packard-Upgraded-Replacement-Capacitor/dp/B0773XQVXN/ref=sr_1_9?keywords=Packard+PRMJ56+Motor+Start+Capacitor+53-64+MFD+330+VAC&amp;qid=1695173688&amp;sr=8-9</v>
      </c>
      <c r="F737" t="s">
        <v>1744</v>
      </c>
      <c r="G737" t="e">
        <f ca="1">_xludf.IMAGE("https://edmondsonsupply.com/cdn/shop/products/PRMJ56-2.jpg?v=1633030105")</f>
        <v>#NAME?</v>
      </c>
      <c r="H737" t="e">
        <f ca="1">_xludf.IMAGE("https://m.media-amazon.com/images/I/41fqQrQgJaL._AC_UY218_.jpg")</f>
        <v>#NAME?</v>
      </c>
      <c r="I737" t="s">
        <v>1805</v>
      </c>
      <c r="J737">
        <v>13.24</v>
      </c>
      <c r="K737" s="4">
        <v>2.3776000000000002</v>
      </c>
      <c r="L737">
        <v>4.4000000000000004</v>
      </c>
      <c r="M737">
        <v>10</v>
      </c>
      <c r="O737" t="s">
        <v>25</v>
      </c>
      <c r="P737" t="s">
        <v>138</v>
      </c>
      <c r="Q737" t="s">
        <v>1806</v>
      </c>
    </row>
    <row r="738" spans="1:17" ht="15.5" x14ac:dyDescent="0.35">
      <c r="A738" s="3" t="str">
        <f>HYPERLINK("https://edmondsonsupply.com/collections/hvac/products/icm-controls-icm492-single-phase-line-voltage-monitor", "https://edmondsonsupply.com/collections/hvac/products/icm-controls-icm492-single-phase-line-voltage-monitor")</f>
        <v>https://edmondsonsupply.com/collections/hvac/products/icm-controls-icm492-single-phase-line-voltage-monitor</v>
      </c>
      <c r="B738" s="3" t="str">
        <f>HYPERLINK("https://edmondsonsupply.com/products/icm-controls-icm492-single-phase-line-voltage-monitor", "https://edmondsonsupply.com/products/icm-controls-icm492-single-phase-line-voltage-monitor")</f>
        <v>https://edmondsonsupply.com/products/icm-controls-icm492-single-phase-line-voltage-monitor</v>
      </c>
      <c r="C738" t="s">
        <v>1821</v>
      </c>
      <c r="D738" t="s">
        <v>1822</v>
      </c>
      <c r="E738" s="3" t="str">
        <f>HYPERLINK("https://www.amazon.com/ICM-Single-Phase-Protection-contactor-Mini-Splits/dp/B07SZ45HQH/ref=sr_1_10?keywords=ICM+Controls+ICM492+Single+Phase+Line+Voltage+Monitor&amp;qid=1695173362&amp;sr=8-10", "https://www.amazon.com/ICM-Single-Phase-Protection-contactor-Mini-Splits/dp/B07SZ45HQH/ref=sr_1_10?keywords=ICM+Controls+ICM492+Single+Phase+Line+Voltage+Monitor&amp;qid=1695173362&amp;sr=8-10")</f>
        <v>https://www.amazon.com/ICM-Single-Phase-Protection-contactor-Mini-Splits/dp/B07SZ45HQH/ref=sr_1_10?keywords=ICM+Controls+ICM492+Single+Phase+Line+Voltage+Monitor&amp;qid=1695173362&amp;sr=8-10</v>
      </c>
      <c r="F738" t="s">
        <v>1823</v>
      </c>
      <c r="G738" t="e">
        <f ca="1">_xludf.IMAGE("https://edmondsonsupply.com/cdn/shop/products/photo_3666_medium_19efda5b-a59a-4ff4-8872-2cd0c4aa35aa.png?v=1665085673")</f>
        <v>#NAME?</v>
      </c>
      <c r="H738" t="e">
        <f ca="1">_xludf.IMAGE("https://m.media-amazon.com/images/I/41b2VVsBxRL._AC_UL320_.jpg")</f>
        <v>#NAME?</v>
      </c>
      <c r="I738" t="s">
        <v>315</v>
      </c>
      <c r="J738">
        <v>303.67</v>
      </c>
      <c r="K738" s="4">
        <v>2.3744999999999998</v>
      </c>
      <c r="L738">
        <v>1</v>
      </c>
      <c r="M738">
        <v>1</v>
      </c>
      <c r="O738" t="s">
        <v>25</v>
      </c>
      <c r="P738" t="s">
        <v>1824</v>
      </c>
      <c r="Q738" t="s">
        <v>1825</v>
      </c>
    </row>
    <row r="739" spans="1:17" ht="15.5" x14ac:dyDescent="0.35">
      <c r="A739" s="3" t="str">
        <f>HYPERLINK("https://edmondsonsupply.com/collections/hvac/products/cambridge-1-2-pvc-liquid-tight-conduit-fitting-90-degree", "https://edmondsonsupply.com/collections/hvac/products/cambridge-1-2-pvc-liquid-tight-conduit-fitting-90-degree")</f>
        <v>https://edmondsonsupply.com/collections/hvac/products/cambridge-1-2-pvc-liquid-tight-conduit-fitting-90-degree</v>
      </c>
      <c r="B739" s="3" t="str">
        <f>HYPERLINK("https://edmondsonsupply.com/products/cambridge-1-2-pvc-liquid-tight-conduit-fitting-90-degree", "https://edmondsonsupply.com/products/cambridge-1-2-pvc-liquid-tight-conduit-fitting-90-degree")</f>
        <v>https://edmondsonsupply.com/products/cambridge-1-2-pvc-liquid-tight-conduit-fitting-90-degree</v>
      </c>
      <c r="C739" t="s">
        <v>1345</v>
      </c>
      <c r="D739" t="s">
        <v>1826</v>
      </c>
      <c r="E739" s="3" t="str">
        <f>HYPERLINK("https://www.amazon.com/LifCratms-Liquid-Tight-Connector-90-Degree-Electrical/dp/B0BJJVBYL5/ref=sr_1_2?keywords=Cambridge+1%2F2%22+PVC+Liquid+Tight+Conduit+Fitting+-+90+Degree&amp;qid=1695173714&amp;sr=8-2", "https://www.amazon.com/LifCratms-Liquid-Tight-Connector-90-Degree-Electrical/dp/B0BJJVBYL5/ref=sr_1_2?keywords=Cambridge+1%2F2%22+PVC+Liquid+Tight+Conduit+Fitting+-+90+Degree&amp;qid=1695173714&amp;sr=8-2")</f>
        <v>https://www.amazon.com/LifCratms-Liquid-Tight-Connector-90-Degree-Electrical/dp/B0BJJVBYL5/ref=sr_1_2?keywords=Cambridge+1%2F2%22+PVC+Liquid+Tight+Conduit+Fitting+-+90+Degree&amp;qid=1695173714&amp;sr=8-2</v>
      </c>
      <c r="F739" t="s">
        <v>1827</v>
      </c>
      <c r="G739" t="e">
        <f ca="1">_xludf.IMAGE("https://edmondsonsupply.com/cdn/shop/files/W14659_01.jpg?v=1692278106")</f>
        <v>#NAME?</v>
      </c>
      <c r="H739" t="e">
        <f ca="1">_xludf.IMAGE("https://m.media-amazon.com/images/I/61xtyqGMY4L._AC_UL320_.jpg")</f>
        <v>#NAME?</v>
      </c>
      <c r="I739" t="s">
        <v>1348</v>
      </c>
      <c r="J739">
        <v>4.99</v>
      </c>
      <c r="K739" s="4">
        <v>2.3715999999999999</v>
      </c>
      <c r="L739">
        <v>4.7</v>
      </c>
      <c r="M739">
        <v>4</v>
      </c>
      <c r="O739" t="s">
        <v>25</v>
      </c>
      <c r="P739" t="s">
        <v>138</v>
      </c>
      <c r="Q739" t="s">
        <v>1349</v>
      </c>
    </row>
    <row r="740" spans="1:17" ht="15.5" x14ac:dyDescent="0.35">
      <c r="A740" s="3" t="str">
        <f>HYPERLINK("https://edmondsonsupply.com/collections/hvac/products/packard-trc20-titan-pro-run-capacitor-20-mfd-370-volt-round", "https://edmondsonsupply.com/collections/hvac/products/packard-trc20-titan-pro-run-capacitor-20-mfd-370-volt-round")</f>
        <v>https://edmondsonsupply.com/collections/hvac/products/packard-trc20-titan-pro-run-capacitor-20-mfd-370-volt-round</v>
      </c>
      <c r="B740" s="3" t="str">
        <f>HYPERLINK("https://edmondsonsupply.com/products/packard-trc20-titan-pro-run-capacitor-20-mfd-370-volt-round", "https://edmondsonsupply.com/products/packard-trc20-titan-pro-run-capacitor-20-mfd-370-volt-round")</f>
        <v>https://edmondsonsupply.com/products/packard-trc20-titan-pro-run-capacitor-20-mfd-370-volt-round</v>
      </c>
      <c r="C740" t="s">
        <v>1828</v>
      </c>
      <c r="D740" t="s">
        <v>1829</v>
      </c>
      <c r="E740" s="3" t="str">
        <f>HYPERLINK("https://www.amazon.com/Capacitor-Microfarad-Rating-370-440VAC-Voltage/dp/B08TV2JCYW/ref=sr_1_6?keywords=Packard+TRC20+Titan+PRO+Run+Capacitor+20+MFD+370+Volt+Round&amp;qid=1695173564&amp;sr=8-6", "https://www.amazon.com/Capacitor-Microfarad-Rating-370-440VAC-Voltage/dp/B08TV2JCYW/ref=sr_1_6?keywords=Packard+TRC20+Titan+PRO+Run+Capacitor+20+MFD+370+Volt+Round&amp;qid=1695173564&amp;sr=8-6")</f>
        <v>https://www.amazon.com/Capacitor-Microfarad-Rating-370-440VAC-Voltage/dp/B08TV2JCYW/ref=sr_1_6?keywords=Packard+TRC20+Titan+PRO+Run+Capacitor+20+MFD+370+Volt+Round&amp;qid=1695173564&amp;sr=8-6</v>
      </c>
      <c r="F740" t="s">
        <v>1830</v>
      </c>
      <c r="G740" t="e">
        <f ca="1">_xludf.IMAGE("https://edmondsonsupply.com/cdn/shop/products/trc20.jpg?v=1587150772")</f>
        <v>#NAME?</v>
      </c>
      <c r="H740" t="e">
        <f ca="1">_xludf.IMAGE("https://m.media-amazon.com/images/I/61MD2ZD4j2L._AC_UY218_.jpg")</f>
        <v>#NAME?</v>
      </c>
      <c r="I740" t="s">
        <v>1831</v>
      </c>
      <c r="J740">
        <v>12.13</v>
      </c>
      <c r="K740" s="4">
        <v>2.3601000000000001</v>
      </c>
      <c r="L740">
        <v>5</v>
      </c>
      <c r="M740">
        <v>1</v>
      </c>
      <c r="O740" t="s">
        <v>25</v>
      </c>
      <c r="P740" t="s">
        <v>138</v>
      </c>
      <c r="Q740" t="s">
        <v>1832</v>
      </c>
    </row>
    <row r="741" spans="1:17" ht="15.5" x14ac:dyDescent="0.35">
      <c r="A741"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741" s="3" t="str">
        <f>HYPERLINK("https://edmondsonsupply.com/products/klein-tools-32907-7-in-1-impact-flip-socket-set-no-handle", "https://edmondsonsupply.com/products/klein-tools-32907-7-in-1-impact-flip-socket-set-no-handle")</f>
        <v>https://edmondsonsupply.com/products/klein-tools-32907-7-in-1-impact-flip-socket-set-no-handle</v>
      </c>
      <c r="C741" t="s">
        <v>1833</v>
      </c>
      <c r="D741" t="s">
        <v>1834</v>
      </c>
      <c r="E741" s="3" t="str">
        <f>HYPERLINK("https://www.amazon.com/Klein-Tools-66070-Impact-7-Piece/dp/B0BGZPWNJQ/ref=sr_1_6?keywords=Klein+Tools+32907+7-in-1+Impact+Flip+Socket+Set%2C+No+Handle&amp;qid=1695173428&amp;sr=8-6", "https://www.amazon.com/Klein-Tools-66070-Impact-7-Piece/dp/B0BGZPWNJQ/ref=sr_1_6?keywords=Klein+Tools+32907+7-in-1+Impact+Flip+Socket+Set%2C+No+Handle&amp;qid=1695173428&amp;sr=8-6")</f>
        <v>https://www.amazon.com/Klein-Tools-66070-Impact-7-Piece/dp/B0BGZPWNJQ/ref=sr_1_6?keywords=Klein+Tools+32907+7-in-1+Impact+Flip+Socket+Set%2C+No+Handle&amp;qid=1695173428&amp;sr=8-6</v>
      </c>
      <c r="F741" t="s">
        <v>1835</v>
      </c>
      <c r="G741" t="e">
        <f ca="1">_xludf.IMAGE("https://edmondsonsupply.com/cdn/shop/products/32907_b.jpg?v=1666025282")</f>
        <v>#NAME?</v>
      </c>
      <c r="H741" t="e">
        <f ca="1">_xludf.IMAGE("https://m.media-amazon.com/images/I/519cDb-A9oL._AC_UL320_.jpg")</f>
        <v>#NAME?</v>
      </c>
      <c r="I741" t="s">
        <v>577</v>
      </c>
      <c r="J741">
        <v>66.94</v>
      </c>
      <c r="K741" s="4">
        <v>2.3487</v>
      </c>
      <c r="L741">
        <v>4.8</v>
      </c>
      <c r="M741">
        <v>18</v>
      </c>
      <c r="O741" t="s">
        <v>25</v>
      </c>
      <c r="P741" t="s">
        <v>1836</v>
      </c>
      <c r="Q741" t="s">
        <v>1837</v>
      </c>
    </row>
    <row r="742" spans="1:17" ht="15.5" x14ac:dyDescent="0.35">
      <c r="A742" s="3" t="str">
        <f>HYPERLINK("https://edmondsonsupply.com/collections/hvac/products/mars-73133-3-4-in-clear-pvc-condensate-p-trap", "https://edmondsonsupply.com/collections/hvac/products/mars-73133-3-4-in-clear-pvc-condensate-p-trap")</f>
        <v>https://edmondsonsupply.com/collections/hvac/products/mars-73133-3-4-in-clear-pvc-condensate-p-trap</v>
      </c>
      <c r="B742" s="3" t="str">
        <f>HYPERLINK("https://edmondsonsupply.com/products/mars-73133-3-4-in-clear-pvc-condensate-p-trap", "https://edmondsonsupply.com/products/mars-73133-3-4-in-clear-pvc-condensate-p-trap")</f>
        <v>https://edmondsonsupply.com/products/mars-73133-3-4-in-clear-pvc-condensate-p-trap</v>
      </c>
      <c r="C742" t="s">
        <v>1838</v>
      </c>
      <c r="D742" t="s">
        <v>1839</v>
      </c>
      <c r="E742" s="3" t="str">
        <f>HYPERLINK("https://www.amazon.com/Standard-Condensate-Cleaning-Conditioner-Effectively/dp/B0BCWPDZ7G/ref=sr_1_3?keywords=Mars+73133+3%2F4+in.+Clear+PVC+Condensate+P-Trap&amp;qid=1695173395&amp;sr=8-3", "https://www.amazon.com/Standard-Condensate-Cleaning-Conditioner-Effectively/dp/B0BCWPDZ7G/ref=sr_1_3?keywords=Mars+73133+3%2F4+in.+Clear+PVC+Condensate+P-Trap&amp;qid=1695173395&amp;sr=8-3")</f>
        <v>https://www.amazon.com/Standard-Condensate-Cleaning-Conditioner-Effectively/dp/B0BCWPDZ7G/ref=sr_1_3?keywords=Mars+73133+3%2F4+in.+Clear+PVC+Condensate+P-Trap&amp;qid=1695173395&amp;sr=8-3</v>
      </c>
      <c r="F742" t="s">
        <v>1840</v>
      </c>
      <c r="G742" t="e">
        <f ca="1">_xludf.IMAGE("https://edmondsonsupply.com/cdn/shop/products/73133.jpg?v=1633031096")</f>
        <v>#NAME?</v>
      </c>
      <c r="H742" t="e">
        <f ca="1">_xludf.IMAGE("https://m.media-amazon.com/images/I/71z2HyRPW7L._AC_UY218_.jpg")</f>
        <v>#NAME?</v>
      </c>
      <c r="I742" t="s">
        <v>1841</v>
      </c>
      <c r="J742">
        <v>15.99</v>
      </c>
      <c r="K742" s="4">
        <v>2.3452000000000002</v>
      </c>
      <c r="L742">
        <v>4.8</v>
      </c>
      <c r="M742">
        <v>111</v>
      </c>
      <c r="O742" t="s">
        <v>171</v>
      </c>
      <c r="P742" t="s">
        <v>138</v>
      </c>
      <c r="Q742" t="s">
        <v>1842</v>
      </c>
    </row>
    <row r="743" spans="1:17" ht="15.5" x14ac:dyDescent="0.35">
      <c r="A743" s="3" t="str">
        <f>HYPERLINK("https://edmondsonsupply.com/collections/hvac/products/packard-titan-pro-toc15-motor-run-capacitor-15-mfd-370-volt-oval", "https://edmondsonsupply.com/collections/hvac/products/packard-titan-pro-toc15-motor-run-capacitor-15-mfd-370-volt-oval")</f>
        <v>https://edmondsonsupply.com/collections/hvac/products/packard-titan-pro-toc15-motor-run-capacitor-15-mfd-370-volt-oval</v>
      </c>
      <c r="B743" s="3" t="str">
        <f>HYPERLINK("https://edmondsonsupply.com/products/packard-titan-pro-toc15-motor-run-capacitor-15-mfd-370-volt-oval", "https://edmondsonsupply.com/products/packard-titan-pro-toc15-motor-run-capacitor-15-mfd-370-volt-oval")</f>
        <v>https://edmondsonsupply.com/products/packard-titan-pro-toc15-motor-run-capacitor-15-mfd-370-volt-oval</v>
      </c>
      <c r="C743" t="s">
        <v>1843</v>
      </c>
      <c r="D743" t="s">
        <v>1844</v>
      </c>
      <c r="E743" s="3" t="str">
        <f>HYPERLINK("https://www.amazon.com/Capacitor-Microfarad-Rating-370-440VAC-Voltage/dp/B08TT47VFY/ref=sr_1_6?keywords=Packard+Titan+PRO+TOC15+Motor+Run+Capacitor+15+MFD+370+Volt+Oval&amp;qid=1695173423&amp;sr=8-6", "https://www.amazon.com/Capacitor-Microfarad-Rating-370-440VAC-Voltage/dp/B08TT47VFY/ref=sr_1_6?keywords=Packard+Titan+PRO+TOC15+Motor+Run+Capacitor+15+MFD+370+Volt+Oval&amp;qid=1695173423&amp;sr=8-6")</f>
        <v>https://www.amazon.com/Capacitor-Microfarad-Rating-370-440VAC-Voltage/dp/B08TT47VFY/ref=sr_1_6?keywords=Packard+Titan+PRO+TOC15+Motor+Run+Capacitor+15+MFD+370+Volt+Oval&amp;qid=1695173423&amp;sr=8-6</v>
      </c>
      <c r="F743" t="s">
        <v>1845</v>
      </c>
      <c r="G743" t="e">
        <f ca="1">_xludf.IMAGE("https://edmondsonsupply.com/cdn/shop/products/TOC15-2.jpg?v=1633030141")</f>
        <v>#NAME?</v>
      </c>
      <c r="H743" t="e">
        <f ca="1">_xludf.IMAGE("https://m.media-amazon.com/images/I/61OqR2WJMrL._AC_UY218_.jpg")</f>
        <v>#NAME?</v>
      </c>
      <c r="I743" t="s">
        <v>1846</v>
      </c>
      <c r="J743">
        <v>11.27</v>
      </c>
      <c r="K743" s="4">
        <v>2.3441999999999998</v>
      </c>
      <c r="L743">
        <v>5</v>
      </c>
      <c r="M743">
        <v>4</v>
      </c>
      <c r="O743" t="s">
        <v>25</v>
      </c>
      <c r="P743" t="s">
        <v>138</v>
      </c>
      <c r="Q743" t="s">
        <v>1847</v>
      </c>
    </row>
    <row r="744" spans="1:17" ht="15.5" x14ac:dyDescent="0.35">
      <c r="A744"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744"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744" t="s">
        <v>1848</v>
      </c>
      <c r="D744" t="s">
        <v>816</v>
      </c>
      <c r="E744" s="3" t="str">
        <f>HYPERLINK("https://www.amazon.com/Klein-80055-Glasses-Professional-Breakaway/dp/B09HR9RV4H/ref=sr_1_2?keywords=Klein+Tools+60164+Professional+Safety+Glasses%2C+Full+Frame%2C+Gray+Lens&amp;qid=1695173626&amp;sr=8-2", "https://www.amazon.com/Klein-80055-Glasses-Professional-Breakaway/dp/B09HR9RV4H/ref=sr_1_2?keywords=Klein+Tools+60164+Professional+Safety+Glasses%2C+Full+Frame%2C+Gray+Lens&amp;qid=1695173626&amp;sr=8-2")</f>
        <v>https://www.amazon.com/Klein-80055-Glasses-Professional-Breakaway/dp/B09HR9RV4H/ref=sr_1_2?keywords=Klein+Tools+60164+Professional+Safety+Glasses%2C+Full+Frame%2C+Gray+Lens&amp;qid=1695173626&amp;sr=8-2</v>
      </c>
      <c r="F744" t="s">
        <v>817</v>
      </c>
      <c r="G744" t="e">
        <f ca="1">_xludf.IMAGE("https://edmondsonsupply.com/cdn/shop/products/60164.jpg?v=1633030851")</f>
        <v>#NAME?</v>
      </c>
      <c r="H744" t="e">
        <f ca="1">_xludf.IMAGE("https://m.media-amazon.com/images/I/61L5l7dmmiL._AC_UL320_.jpg")</f>
        <v>#NAME?</v>
      </c>
      <c r="I744" t="s">
        <v>276</v>
      </c>
      <c r="J744">
        <v>49.99</v>
      </c>
      <c r="K744" s="4">
        <v>2.3349000000000002</v>
      </c>
      <c r="L744">
        <v>4.5</v>
      </c>
      <c r="M744">
        <v>13</v>
      </c>
      <c r="O744" t="s">
        <v>25</v>
      </c>
      <c r="P744" t="s">
        <v>277</v>
      </c>
      <c r="Q744" t="s">
        <v>1849</v>
      </c>
    </row>
    <row r="745" spans="1:17" ht="15.5" x14ac:dyDescent="0.35">
      <c r="A745" s="3" t="str">
        <f>HYPERLINK("https://edmondsonsupply.com/collections/hvac/products/packard-ttmj43-motor-start-capacitor-43-53-mfd-220-250-vac", "https://edmondsonsupply.com/collections/hvac/products/packard-ttmj43-motor-start-capacitor-43-53-mfd-220-250-vac")</f>
        <v>https://edmondsonsupply.com/collections/hvac/products/packard-ttmj43-motor-start-capacitor-43-53-mfd-220-250-vac</v>
      </c>
      <c r="B745" s="3" t="str">
        <f>HYPERLINK("https://edmondsonsupply.com/products/packard-ttmj43-motor-start-capacitor-43-53-mfd-220-250-vac", "https://edmondsonsupply.com/products/packard-ttmj43-motor-start-capacitor-43-53-mfd-220-250-vac")</f>
        <v>https://edmondsonsupply.com/products/packard-ttmj43-motor-start-capacitor-43-53-mfd-220-250-vac</v>
      </c>
      <c r="C745" t="s">
        <v>1850</v>
      </c>
      <c r="D745" t="s">
        <v>1743</v>
      </c>
      <c r="E745" s="3" t="str">
        <f>HYPERLINK("https://www.amazon.com/PTMJ43-Packard-Upgraded-Replacement-Capacitor/dp/B0773XQVXN/ref=sr_1_2?keywords=Packard+Titan+Pro+TTMJ43+Motor+Start+Capacitor+43-53+MFD+220-250+VAC&amp;qid=1695173710&amp;sr=8-2", "https://www.amazon.com/PTMJ43-Packard-Upgraded-Replacement-Capacitor/dp/B0773XQVXN/ref=sr_1_2?keywords=Packard+Titan+Pro+TTMJ43+Motor+Start+Capacitor+43-53+MFD+220-250+VAC&amp;qid=1695173710&amp;sr=8-2")</f>
        <v>https://www.amazon.com/PTMJ43-Packard-Upgraded-Replacement-Capacitor/dp/B0773XQVXN/ref=sr_1_2?keywords=Packard+Titan+Pro+TTMJ43+Motor+Start+Capacitor+43-53+MFD+220-250+VAC&amp;qid=1695173710&amp;sr=8-2</v>
      </c>
      <c r="F745" t="s">
        <v>1744</v>
      </c>
      <c r="G745" t="e">
        <f ca="1">_xludf.IMAGE("https://edmondsonsupply.com/cdn/shop/files/PTMJ43-2_2fa72fae-ffc6-4e35-829c-09394471590a.jpg?v=1692631169")</f>
        <v>#NAME?</v>
      </c>
      <c r="H745" t="e">
        <f ca="1">_xludf.IMAGE("https://m.media-amazon.com/images/I/41fqQrQgJaL._AC_UY218_.jpg")</f>
        <v>#NAME?</v>
      </c>
      <c r="I745" t="s">
        <v>1851</v>
      </c>
      <c r="J745">
        <v>13.24</v>
      </c>
      <c r="K745" s="4">
        <v>2.3266</v>
      </c>
      <c r="L745">
        <v>4.4000000000000004</v>
      </c>
      <c r="M745">
        <v>10</v>
      </c>
      <c r="O745" t="s">
        <v>25</v>
      </c>
      <c r="P745" t="s">
        <v>138</v>
      </c>
      <c r="Q745" t="s">
        <v>1852</v>
      </c>
    </row>
    <row r="746" spans="1:17" ht="15.5" x14ac:dyDescent="0.35">
      <c r="A746" s="3" t="str">
        <f>HYPERLINK("https://edmondsonsupply.com/collections/hvac/products/mars-73133-3-4-in-clear-pvc-condensate-p-trap", "https://edmondsonsupply.com/collections/hvac/products/mars-73133-3-4-in-clear-pvc-condensate-p-trap")</f>
        <v>https://edmondsonsupply.com/collections/hvac/products/mars-73133-3-4-in-clear-pvc-condensate-p-trap</v>
      </c>
      <c r="B746" s="3" t="str">
        <f>HYPERLINK("https://edmondsonsupply.com/products/mars-73133-3-4-in-clear-pvc-condensate-p-trap", "https://edmondsonsupply.com/products/mars-73133-3-4-in-clear-pvc-condensate-p-trap")</f>
        <v>https://edmondsonsupply.com/products/mars-73133-3-4-in-clear-pvc-condensate-p-trap</v>
      </c>
      <c r="C746" t="s">
        <v>1838</v>
      </c>
      <c r="D746" t="s">
        <v>1853</v>
      </c>
      <c r="E746" s="3" t="str">
        <f>HYPERLINK("https://www.amazon.com/DECOAIRCON-Condensate-Conditioner-Effectively-Condensate/dp/B0BR6J4GL6/ref=sr_1_5?keywords=Mars+73133+3%2F4+in.+Clear+PVC+Condensate+P-Trap&amp;qid=1695173395&amp;sr=8-5", "https://www.amazon.com/DECOAIRCON-Condensate-Conditioner-Effectively-Condensate/dp/B0BR6J4GL6/ref=sr_1_5?keywords=Mars+73133+3%2F4+in.+Clear+PVC+Condensate+P-Trap&amp;qid=1695173395&amp;sr=8-5")</f>
        <v>https://www.amazon.com/DECOAIRCON-Condensate-Conditioner-Effectively-Condensate/dp/B0BR6J4GL6/ref=sr_1_5?keywords=Mars+73133+3%2F4+in.+Clear+PVC+Condensate+P-Trap&amp;qid=1695173395&amp;sr=8-5</v>
      </c>
      <c r="F746" t="s">
        <v>1854</v>
      </c>
      <c r="G746" t="e">
        <f ca="1">_xludf.IMAGE("https://edmondsonsupply.com/cdn/shop/products/73133.jpg?v=1633031096")</f>
        <v>#NAME?</v>
      </c>
      <c r="H746" t="e">
        <f ca="1">_xludf.IMAGE("https://m.media-amazon.com/images/I/615DsAK7vzL._AC_UY218_.jpg")</f>
        <v>#NAME?</v>
      </c>
      <c r="I746" t="s">
        <v>1841</v>
      </c>
      <c r="J746">
        <v>15.88</v>
      </c>
      <c r="K746" s="4">
        <v>2.3222</v>
      </c>
      <c r="L746">
        <v>4.5</v>
      </c>
      <c r="M746">
        <v>33</v>
      </c>
      <c r="O746" t="s">
        <v>171</v>
      </c>
      <c r="P746" t="s">
        <v>138</v>
      </c>
      <c r="Q746" t="s">
        <v>1842</v>
      </c>
    </row>
    <row r="747" spans="1:17" ht="15.5" x14ac:dyDescent="0.35">
      <c r="A747"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747" s="3" t="str">
        <f>HYPERLINK("https://edmondsonsupply.com/products/packard-pmj216-motor-start-capacitor-216-259-mfd-110-125-vac", "https://edmondsonsupply.com/products/packard-pmj216-motor-start-capacitor-216-259-mfd-110-125-vac")</f>
        <v>https://edmondsonsupply.com/products/packard-pmj216-motor-start-capacitor-216-259-mfd-110-125-vac</v>
      </c>
      <c r="C747" t="s">
        <v>1581</v>
      </c>
      <c r="D747" t="s">
        <v>1855</v>
      </c>
      <c r="E747" s="3" t="str">
        <f>HYPERLINK("https://www.amazon.com/216-259-110-125V-Round-Capacitor-Replacement/dp/B09TKVMGHC/ref=sr_1_4?keywords=Packard+PMJ216+Motor+Start+Capacitor+216-259+MFD+110-125+VAC&amp;qid=1695173457&amp;sr=8-4", "https://www.amazon.com/216-259-110-125V-Round-Capacitor-Replacement/dp/B09TKVMGHC/ref=sr_1_4?keywords=Packard+PMJ216+Motor+Start+Capacitor+216-259+MFD+110-125+VAC&amp;qid=1695173457&amp;sr=8-4")</f>
        <v>https://www.amazon.com/216-259-110-125V-Round-Capacitor-Replacement/dp/B09TKVMGHC/ref=sr_1_4?keywords=Packard+PMJ216+Motor+Start+Capacitor+216-259+MFD+110-125+VAC&amp;qid=1695173457&amp;sr=8-4</v>
      </c>
      <c r="F747" t="s">
        <v>1856</v>
      </c>
      <c r="G747" t="e">
        <f ca="1">_xludf.IMAGE("https://edmondsonsupply.com/cdn/shop/products/PMJ216-2.jpg?v=1633030107")</f>
        <v>#NAME?</v>
      </c>
      <c r="H747" t="e">
        <f ca="1">_xludf.IMAGE("https://m.media-amazon.com/images/I/81DWu7PELKL._AC_UY218_.jpg")</f>
        <v>#NAME?</v>
      </c>
      <c r="I747" t="s">
        <v>1584</v>
      </c>
      <c r="J747">
        <v>11.99</v>
      </c>
      <c r="K747" s="4">
        <v>2.3029999999999999</v>
      </c>
      <c r="L747">
        <v>4.4000000000000004</v>
      </c>
      <c r="M747">
        <v>36</v>
      </c>
      <c r="O747" t="s">
        <v>25</v>
      </c>
      <c r="P747" t="s">
        <v>138</v>
      </c>
      <c r="Q747" t="s">
        <v>1585</v>
      </c>
    </row>
    <row r="748" spans="1:17" ht="15.5" x14ac:dyDescent="0.35">
      <c r="A748" s="3" t="str">
        <f>HYPERLINK("https://edmondsonsupply.com/collections/hvac/products/packard-titan-pro-toc15-motor-run-capacitor-15-mfd-370-volt-oval", "https://edmondsonsupply.com/collections/hvac/products/packard-titan-pro-toc15-motor-run-capacitor-15-mfd-370-volt-oval")</f>
        <v>https://edmondsonsupply.com/collections/hvac/products/packard-titan-pro-toc15-motor-run-capacitor-15-mfd-370-volt-oval</v>
      </c>
      <c r="B748" s="3" t="str">
        <f>HYPERLINK("https://edmondsonsupply.com/products/packard-titan-pro-toc15-motor-run-capacitor-15-mfd-370-volt-oval", "https://edmondsonsupply.com/products/packard-titan-pro-toc15-motor-run-capacitor-15-mfd-370-volt-oval")</f>
        <v>https://edmondsonsupply.com/products/packard-titan-pro-toc15-motor-run-capacitor-15-mfd-370-volt-oval</v>
      </c>
      <c r="C748" t="s">
        <v>1843</v>
      </c>
      <c r="D748" t="s">
        <v>1857</v>
      </c>
      <c r="E748" s="3" t="str">
        <f>HYPERLINK("https://www.amazon.com/Packard-Titan-Motor-Capacitor-15-370/dp/B07F79HNQ7/ref=sr_1_1?keywords=Packard+Titan+PRO+TOC15+Motor+Run+Capacitor+15+MFD+370+Volt+Oval&amp;qid=1695173423&amp;sr=8-1", "https://www.amazon.com/Packard-Titan-Motor-Capacitor-15-370/dp/B07F79HNQ7/ref=sr_1_1?keywords=Packard+Titan+PRO+TOC15+Motor+Run+Capacitor+15+MFD+370+Volt+Oval&amp;qid=1695173423&amp;sr=8-1")</f>
        <v>https://www.amazon.com/Packard-Titan-Motor-Capacitor-15-370/dp/B07F79HNQ7/ref=sr_1_1?keywords=Packard+Titan+PRO+TOC15+Motor+Run+Capacitor+15+MFD+370+Volt+Oval&amp;qid=1695173423&amp;sr=8-1</v>
      </c>
      <c r="F748" t="s">
        <v>1858</v>
      </c>
      <c r="G748" t="e">
        <f ca="1">_xludf.IMAGE("https://edmondsonsupply.com/cdn/shop/products/TOC15-2.jpg?v=1633030141")</f>
        <v>#NAME?</v>
      </c>
      <c r="H748" t="e">
        <f ca="1">_xludf.IMAGE("https://m.media-amazon.com/images/I/61p+cdqLa1L._AC_UY218_.jpg")</f>
        <v>#NAME?</v>
      </c>
      <c r="I748" t="s">
        <v>1846</v>
      </c>
      <c r="J748">
        <v>10.98</v>
      </c>
      <c r="K748" s="4">
        <v>2.2582</v>
      </c>
      <c r="L748">
        <v>4.7</v>
      </c>
      <c r="M748">
        <v>33</v>
      </c>
      <c r="O748" t="s">
        <v>25</v>
      </c>
      <c r="P748" t="s">
        <v>138</v>
      </c>
      <c r="Q748" t="s">
        <v>1847</v>
      </c>
    </row>
    <row r="749" spans="1:17" ht="15.5" x14ac:dyDescent="0.35">
      <c r="A749" s="3" t="str">
        <f>HYPERLINK("https://edmondsonsupply.com/collections/hvac/products/klein-tools-et05-digital-pocket-thermometer", "https://edmondsonsupply.com/collections/hvac/products/klein-tools-et05-digital-pocket-thermometer")</f>
        <v>https://edmondsonsupply.com/collections/hvac/products/klein-tools-et05-digital-pocket-thermometer</v>
      </c>
      <c r="B749" s="3" t="str">
        <f>HYPERLINK("https://edmondsonsupply.com/products/klein-tools-et05-digital-pocket-thermometer", "https://edmondsonsupply.com/products/klein-tools-et05-digital-pocket-thermometer")</f>
        <v>https://edmondsonsupply.com/products/klein-tools-et05-digital-pocket-thermometer</v>
      </c>
      <c r="C749" t="s">
        <v>1859</v>
      </c>
      <c r="D749" t="s">
        <v>1860</v>
      </c>
      <c r="E749" s="3" t="str">
        <f>HYPERLINK("https://www.amazon.com/Klein-Tools-IR07-Infrared-Thermometer/dp/B07P9WM69C/ref=sr_1_5?keywords=Klein+Tools+ET05+Digital+Pocket+Thermometer&amp;qid=1695173684&amp;sr=8-5", "https://www.amazon.com/Klein-Tools-IR07-Infrared-Thermometer/dp/B07P9WM69C/ref=sr_1_5?keywords=Klein+Tools+ET05+Digital+Pocket+Thermometer&amp;qid=1695173684&amp;sr=8-5")</f>
        <v>https://www.amazon.com/Klein-Tools-IR07-Infrared-Thermometer/dp/B07P9WM69C/ref=sr_1_5?keywords=Klein+Tools+ET05+Digital+Pocket+Thermometer&amp;qid=1695173684&amp;sr=8-5</v>
      </c>
      <c r="F749" t="s">
        <v>1861</v>
      </c>
      <c r="G749" t="e">
        <f ca="1">_xludf.IMAGE("https://edmondsonsupply.com/cdn/shop/products/et05.jpg?v=1587144900")</f>
        <v>#NAME?</v>
      </c>
      <c r="H749" t="e">
        <f ca="1">_xludf.IMAGE("https://m.media-amazon.com/images/I/51JBUtWpWuS._AC_UY218_.jpg")</f>
        <v>#NAME?</v>
      </c>
      <c r="I749" t="s">
        <v>143</v>
      </c>
      <c r="J749">
        <v>51.97</v>
      </c>
      <c r="K749" s="4">
        <v>2.2542</v>
      </c>
      <c r="L749">
        <v>4.7</v>
      </c>
      <c r="M749">
        <v>779</v>
      </c>
      <c r="O749" t="s">
        <v>25</v>
      </c>
      <c r="P749" t="s">
        <v>1862</v>
      </c>
      <c r="Q749" t="s">
        <v>1863</v>
      </c>
    </row>
    <row r="750" spans="1:17" ht="15.5" x14ac:dyDescent="0.35">
      <c r="A750" s="3" t="str">
        <f>HYPERLINK("https://edmondsonsupply.com/collections/hvac/products/packard-trcfd255-titan-pro-run-capacitor-25-5-mfd-440-370-volt-round", "https://edmondsonsupply.com/collections/hvac/products/packard-trcfd255-titan-pro-run-capacitor-25-5-mfd-440-370-volt-round")</f>
        <v>https://edmondsonsupply.com/collections/hvac/products/packard-trcfd255-titan-pro-run-capacitor-25-5-mfd-440-370-volt-round</v>
      </c>
      <c r="B750" s="3" t="str">
        <f>HYPERLINK("https://edmondsonsupply.com/products/packard-trcfd255-titan-pro-run-capacitor-25-5-mfd-440-370-volt-round", "https://edmondsonsupply.com/products/packard-trcfd255-titan-pro-run-capacitor-25-5-mfd-440-370-volt-round")</f>
        <v>https://edmondsonsupply.com/products/packard-trcfd255-titan-pro-run-capacitor-25-5-mfd-440-370-volt-round</v>
      </c>
      <c r="C750" t="s">
        <v>1864</v>
      </c>
      <c r="D750" t="s">
        <v>1865</v>
      </c>
      <c r="E750" s="3" t="str">
        <f>HYPERLINK("https://www.amazon.com/Capacitor-Microfarad-Rating-370-440VAC-Voltage/dp/B07L55T4PQ/ref=sr_1_3?keywords=Packard+TRCFD255+Titan+PRO+Run+Capacitor+25+5+MFD+440%2F370+Volt%2C+Round&amp;qid=1695173560&amp;sr=8-3", "https://www.amazon.com/Capacitor-Microfarad-Rating-370-440VAC-Voltage/dp/B07L55T4PQ/ref=sr_1_3?keywords=Packard+TRCFD255+Titan+PRO+Run+Capacitor+25+5+MFD+440%2F370+Volt%2C+Round&amp;qid=1695173560&amp;sr=8-3")</f>
        <v>https://www.amazon.com/Capacitor-Microfarad-Rating-370-440VAC-Voltage/dp/B07L55T4PQ/ref=sr_1_3?keywords=Packard+TRCFD255+Titan+PRO+Run+Capacitor+25+5+MFD+440%2F370+Volt%2C+Round&amp;qid=1695173560&amp;sr=8-3</v>
      </c>
      <c r="F750" t="s">
        <v>1866</v>
      </c>
      <c r="G750" t="e">
        <f ca="1">_xludf.IMAGE("https://edmondsonsupply.com/cdn/shop/products/TRCFD255-2.jpg?v=1587142300")</f>
        <v>#NAME?</v>
      </c>
      <c r="H750" t="e">
        <f ca="1">_xludf.IMAGE("https://m.media-amazon.com/images/I/61ND9O2kk-L._AC_UY218_.jpg")</f>
        <v>#NAME?</v>
      </c>
      <c r="I750" t="s">
        <v>1867</v>
      </c>
      <c r="J750">
        <v>19.55</v>
      </c>
      <c r="K750" s="4">
        <v>2.2475000000000001</v>
      </c>
      <c r="L750">
        <v>5</v>
      </c>
      <c r="M750">
        <v>1</v>
      </c>
      <c r="O750" t="s">
        <v>25</v>
      </c>
      <c r="P750" t="s">
        <v>138</v>
      </c>
      <c r="Q750" t="s">
        <v>1868</v>
      </c>
    </row>
    <row r="751" spans="1:17" ht="15.5" x14ac:dyDescent="0.35">
      <c r="A751" s="3" t="str">
        <f>HYPERLINK("https://edmondsonsupply.com/collections/hvac/products/uei-dmg150-digital-micron-gauge", "https://edmondsonsupply.com/collections/hvac/products/uei-dmg150-digital-micron-gauge")</f>
        <v>https://edmondsonsupply.com/collections/hvac/products/uei-dmg150-digital-micron-gauge</v>
      </c>
      <c r="B751" s="3" t="str">
        <f>HYPERLINK("https://edmondsonsupply.com/products/uei-dmg150-digital-micron-gauge", "https://edmondsonsupply.com/products/uei-dmg150-digital-micron-gauge")</f>
        <v>https://edmondsonsupply.com/products/uei-dmg150-digital-micron-gauge</v>
      </c>
      <c r="C751" t="s">
        <v>1496</v>
      </c>
      <c r="D751" t="s">
        <v>1869</v>
      </c>
      <c r="E751" s="3" t="str">
        <f>HYPERLINK("https://www.amazon.com/Klein-Tools-Infrared-Thermometer-Instruments/dp/B0B56MPSBN/ref=sr_1_9?keywords=UEi+PDT650+Digital+Folding+Pocket+Thermometer&amp;qid=1695173385&amp;sr=8-9", "https://www.amazon.com/Klein-Tools-Infrared-Thermometer-Instruments/dp/B0B56MPSBN/ref=sr_1_9?keywords=UEi+PDT650+Digital+Folding+Pocket+Thermometer&amp;qid=1695173385&amp;sr=8-9")</f>
        <v>https://www.amazon.com/Klein-Tools-Infrared-Thermometer-Instruments/dp/B0B56MPSBN/ref=sr_1_9?keywords=UEi+PDT650+Digital+Folding+Pocket+Thermometer&amp;qid=1695173385&amp;sr=8-9</v>
      </c>
      <c r="F751" t="s">
        <v>1870</v>
      </c>
      <c r="G751" t="e">
        <f ca="1">_xludf.IMAGE("https://edmondsonsupply.com/cdn/shop/products/PDT650-1.png?v=1633030101")</f>
        <v>#NAME?</v>
      </c>
      <c r="H751" t="e">
        <f ca="1">_xludf.IMAGE("https://m.media-amazon.com/images/I/41bPYmj9ZoL._AC_UY218_.jpg")</f>
        <v>#NAME?</v>
      </c>
      <c r="I751" t="s">
        <v>1499</v>
      </c>
      <c r="J751">
        <v>63.24</v>
      </c>
      <c r="K751" s="4">
        <v>2.2414000000000001</v>
      </c>
      <c r="L751">
        <v>4.7</v>
      </c>
      <c r="M751">
        <v>16</v>
      </c>
      <c r="O751" t="s">
        <v>25</v>
      </c>
      <c r="P751" t="s">
        <v>1500</v>
      </c>
      <c r="Q751" t="s">
        <v>1501</v>
      </c>
    </row>
    <row r="752" spans="1:17" ht="15.5" x14ac:dyDescent="0.35">
      <c r="A752" s="3" t="str">
        <f>HYPERLINK("https://edmondsonsupply.com/collections/hvac/products/uei-dmg150-digital-micron-gauge", "https://edmondsonsupply.com/collections/hvac/products/uei-dmg150-digital-micron-gauge")</f>
        <v>https://edmondsonsupply.com/collections/hvac/products/uei-dmg150-digital-micron-gauge</v>
      </c>
      <c r="B752" s="3" t="str">
        <f>HYPERLINK("https://edmondsonsupply.com/products/uei-dmg150-digital-micron-gauge", "https://edmondsonsupply.com/products/uei-dmg150-digital-micron-gauge")</f>
        <v>https://edmondsonsupply.com/products/uei-dmg150-digital-micron-gauge</v>
      </c>
      <c r="C752" t="s">
        <v>1496</v>
      </c>
      <c r="D752" t="s">
        <v>1871</v>
      </c>
      <c r="E752" s="3" t="str">
        <f>HYPERLINK("https://www.amazon.com/Supco-Capacitor-Accuracy-Instruments-Thermometer/dp/B0C98WZWD6/ref=sr_1_10?keywords=UEi+PDT650+Digital+Folding+Pocket+Thermometer&amp;qid=1695173385&amp;sr=8-10", "https://www.amazon.com/Supco-Capacitor-Accuracy-Instruments-Thermometer/dp/B0C98WZWD6/ref=sr_1_10?keywords=UEi+PDT650+Digital+Folding+Pocket+Thermometer&amp;qid=1695173385&amp;sr=8-10")</f>
        <v>https://www.amazon.com/Supco-Capacitor-Accuracy-Instruments-Thermometer/dp/B0C98WZWD6/ref=sr_1_10?keywords=UEi+PDT650+Digital+Folding+Pocket+Thermometer&amp;qid=1695173385&amp;sr=8-10</v>
      </c>
      <c r="F752" t="s">
        <v>1872</v>
      </c>
      <c r="G752" t="e">
        <f ca="1">_xludf.IMAGE("https://edmondsonsupply.com/cdn/shop/products/PDT650-1.png?v=1633030101")</f>
        <v>#NAME?</v>
      </c>
      <c r="H752" t="e">
        <f ca="1">_xludf.IMAGE("https://m.media-amazon.com/images/I/41Tu2TW-8BL._AC_UY218_.jpg")</f>
        <v>#NAME?</v>
      </c>
      <c r="I752" t="s">
        <v>1499</v>
      </c>
      <c r="J752">
        <v>62.95</v>
      </c>
      <c r="K752" s="4">
        <v>2.2265999999999999</v>
      </c>
      <c r="L752">
        <v>4.7</v>
      </c>
      <c r="M752">
        <v>665</v>
      </c>
      <c r="O752" t="s">
        <v>25</v>
      </c>
      <c r="P752" t="s">
        <v>1500</v>
      </c>
      <c r="Q752" t="s">
        <v>1501</v>
      </c>
    </row>
    <row r="753" spans="1:17" ht="15.5" x14ac:dyDescent="0.35">
      <c r="A753" s="3" t="str">
        <f>HYPERLINK("https://edmondsonsupply.com/collections/hvac/products/copy-of-klein-tools-55918-tradesman-pro%E2%84%A2-modular-tool-belt", "https://edmondsonsupply.com/collections/hvac/products/copy-of-klein-tools-55918-tradesman-pro%E2%84%A2-modular-tool-belt")</f>
        <v>https://edmondsonsupply.com/collections/hvac/products/copy-of-klein-tools-55918-tradesman-pro%E2%84%A2-modular-tool-belt</v>
      </c>
      <c r="B753"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753" t="s">
        <v>1873</v>
      </c>
      <c r="D753" t="s">
        <v>1874</v>
      </c>
      <c r="E753" s="3" t="str">
        <f>HYPERLINK("https://www.amazon.com/Klein-Tools-55428-Electricians-Durability/dp/B00BZXA376/ref=sr_1_3?keywords=Klein+Tools+55919+Tradesman+Pro%E2%84%A2+Modular+Tool+Belt+-+L&amp;qid=1695173658&amp;sr=8-3", "https://www.amazon.com/Klein-Tools-55428-Electricians-Durability/dp/B00BZXA376/ref=sr_1_3?keywords=Klein+Tools+55919+Tradesman+Pro%E2%84%A2+Modular+Tool+Belt+-+L&amp;qid=1695173658&amp;sr=8-3")</f>
        <v>https://www.amazon.com/Klein-Tools-55428-Electricians-Durability/dp/B00BZXA376/ref=sr_1_3?keywords=Klein+Tools+55919+Tradesman+Pro%E2%84%A2+Modular+Tool+Belt+-+L&amp;qid=1695173658&amp;sr=8-3</v>
      </c>
      <c r="F753" t="s">
        <v>1875</v>
      </c>
      <c r="G753" t="e">
        <f ca="1">_xludf.IMAGE("https://edmondsonsupply.com/cdn/shop/products/55919_6b1c1646-91d8-4915-b7bf-b52c8c6994c7.jpg?v=1587143413")</f>
        <v>#NAME?</v>
      </c>
      <c r="H753" t="e">
        <f ca="1">_xludf.IMAGE("https://m.media-amazon.com/images/I/61hBX21HbTL._AC_UL320_.jpg")</f>
        <v>#NAME?</v>
      </c>
      <c r="I753" t="s">
        <v>261</v>
      </c>
      <c r="J753">
        <v>115.99</v>
      </c>
      <c r="K753" s="4">
        <v>2.2227999999999999</v>
      </c>
      <c r="L753">
        <v>4.3</v>
      </c>
      <c r="M753">
        <v>529</v>
      </c>
      <c r="O753" t="s">
        <v>25</v>
      </c>
      <c r="P753" t="s">
        <v>1876</v>
      </c>
      <c r="Q753" t="s">
        <v>1877</v>
      </c>
    </row>
    <row r="754" spans="1:17" ht="15.5" x14ac:dyDescent="0.35">
      <c r="A754" s="3" t="str">
        <f>HYPERLINK("https://edmondsonsupply.com/collections/hvac/products/klein-tools-et10-magnetic-digital-pocket-thermometer", "https://edmondsonsupply.com/collections/hvac/products/klein-tools-et10-magnetic-digital-pocket-thermometer")</f>
        <v>https://edmondsonsupply.com/collections/hvac/products/klein-tools-et10-magnetic-digital-pocket-thermometer</v>
      </c>
      <c r="B754" s="3" t="str">
        <f>HYPERLINK("https://edmondsonsupply.com/products/klein-tools-et10-magnetic-digital-pocket-thermometer", "https://edmondsonsupply.com/products/klein-tools-et10-magnetic-digital-pocket-thermometer")</f>
        <v>https://edmondsonsupply.com/products/klein-tools-et10-magnetic-digital-pocket-thermometer</v>
      </c>
      <c r="C754" t="s">
        <v>1586</v>
      </c>
      <c r="D754" t="s">
        <v>1878</v>
      </c>
      <c r="E754" s="3" t="str">
        <f>HYPERLINK("https://www.amazon.com/Klein-Tools-Infrared-Thermometer-Magnetic/dp/B0BD3SYSCZ/ref=sr_1_2?keywords=Klein+Tools+ET10+Magnetic+Digital+Pocket+Thermometer&amp;qid=1695173549&amp;sr=8-2", "https://www.amazon.com/Klein-Tools-Infrared-Thermometer-Magnetic/dp/B0BD3SYSCZ/ref=sr_1_2?keywords=Klein+Tools+ET10+Magnetic+Digital+Pocket+Thermometer&amp;qid=1695173549&amp;sr=8-2")</f>
        <v>https://www.amazon.com/Klein-Tools-Infrared-Thermometer-Magnetic/dp/B0BD3SYSCZ/ref=sr_1_2?keywords=Klein+Tools+ET10+Magnetic+Digital+Pocket+Thermometer&amp;qid=1695173549&amp;sr=8-2</v>
      </c>
      <c r="F754" t="s">
        <v>1879</v>
      </c>
      <c r="G754" t="e">
        <f ca="1">_xludf.IMAGE("https://edmondsonsupply.com/cdn/shop/products/et10.jpg?v=1587142916")</f>
        <v>#NAME?</v>
      </c>
      <c r="H754" t="e">
        <f ca="1">_xludf.IMAGE("https://m.media-amazon.com/images/I/41ps9o9q35L._AC_UY218_.jpg")</f>
        <v>#NAME?</v>
      </c>
      <c r="I754" t="s">
        <v>1589</v>
      </c>
      <c r="J754">
        <v>73.959999999999994</v>
      </c>
      <c r="K754" s="4">
        <v>2.2170999999999998</v>
      </c>
      <c r="L754">
        <v>5</v>
      </c>
      <c r="M754">
        <v>2</v>
      </c>
      <c r="O754" t="s">
        <v>25</v>
      </c>
      <c r="P754" t="s">
        <v>1590</v>
      </c>
      <c r="Q754" t="s">
        <v>1591</v>
      </c>
    </row>
    <row r="755" spans="1:17" ht="15.5" x14ac:dyDescent="0.35">
      <c r="A755" s="3" t="str">
        <f>HYPERLINK("https://edmondsonsupply.com/collections/hvac/products/hilmor-1839052-dbur-deburrer-1-4-to-1-5-8", "https://edmondsonsupply.com/collections/hvac/products/hilmor-1839052-dbur-deburrer-1-4-to-1-5-8")</f>
        <v>https://edmondsonsupply.com/collections/hvac/products/hilmor-1839052-dbur-deburrer-1-4-to-1-5-8</v>
      </c>
      <c r="B755" s="3" t="str">
        <f>HYPERLINK("https://edmondsonsupply.com/products/hilmor-1839052-dbur-deburrer-1-4-to-1-5-8", "https://edmondsonsupply.com/products/hilmor-1839052-dbur-deburrer-1-4-to-1-5-8")</f>
        <v>https://edmondsonsupply.com/products/hilmor-1839052-dbur-deburrer-1-4-to-1-5-8</v>
      </c>
      <c r="C755" t="s">
        <v>1880</v>
      </c>
      <c r="D755" t="s">
        <v>1881</v>
      </c>
      <c r="E755" s="3" t="str">
        <f>HYPERLINK("https://www.amazon.com/hilmor-1839008-Punch-Swage-Piece/dp/B00IOROSA4/ref=sr_1_3?keywords=Hilmor+1839052+DBUR+Deburrer%2C+1%2F4+to+1-5%2F8&amp;qid=1695173403&amp;sr=8-3", "https://www.amazon.com/hilmor-1839008-Punch-Swage-Piece/dp/B00IOROSA4/ref=sr_1_3?keywords=Hilmor+1839052+DBUR+Deburrer%2C+1%2F4+to+1-5%2F8&amp;qid=1695173403&amp;sr=8-3")</f>
        <v>https://www.amazon.com/hilmor-1839008-Punch-Swage-Piece/dp/B00IOROSA4/ref=sr_1_3?keywords=Hilmor+1839052+DBUR+Deburrer%2C+1%2F4+to+1-5%2F8&amp;qid=1695173403&amp;sr=8-3</v>
      </c>
      <c r="F755" t="s">
        <v>1882</v>
      </c>
      <c r="G755" t="e">
        <f ca="1">_xludf.IMAGE("https://edmondsonsupply.com/cdn/shop/products/1839052-2.jpg?v=1587150270")</f>
        <v>#NAME?</v>
      </c>
      <c r="H755" t="e">
        <f ca="1">_xludf.IMAGE("https://m.media-amazon.com/images/I/81KVN7DgtXL._AC_UY218_.jpg")</f>
        <v>#NAME?</v>
      </c>
      <c r="I755" t="s">
        <v>1883</v>
      </c>
      <c r="J755">
        <v>45.99</v>
      </c>
      <c r="K755" s="4">
        <v>2.1739000000000002</v>
      </c>
      <c r="L755">
        <v>3.6</v>
      </c>
      <c r="M755">
        <v>3</v>
      </c>
      <c r="O755" t="s">
        <v>25</v>
      </c>
      <c r="P755" t="s">
        <v>1884</v>
      </c>
      <c r="Q755" t="s">
        <v>1885</v>
      </c>
    </row>
    <row r="756" spans="1:17" ht="15.5" x14ac:dyDescent="0.35">
      <c r="A756" s="3" t="str">
        <f>HYPERLINK("https://edmondsonsupply.com/collections/hvac/products/milwaukee-48-22-2930-4-in-1-precision-multi-bit-screwdriver", "https://edmondsonsupply.com/collections/hvac/products/milwaukee-48-22-2930-4-in-1-precision-multi-bit-screwdriver")</f>
        <v>https://edmondsonsupply.com/collections/hvac/products/milwaukee-48-22-2930-4-in-1-precision-multi-bit-screwdriver</v>
      </c>
      <c r="B756" s="3" t="str">
        <f>HYPERLINK("https://edmondsonsupply.com/products/milwaukee-48-22-2930-4-in-1-precision-multi-bit-screwdriver", "https://edmondsonsupply.com/products/milwaukee-48-22-2930-4-in-1-precision-multi-bit-screwdriver")</f>
        <v>https://edmondsonsupply.com/products/milwaukee-48-22-2930-4-in-1-precision-multi-bit-screwdriver</v>
      </c>
      <c r="C756" t="s">
        <v>1886</v>
      </c>
      <c r="D756" t="s">
        <v>1887</v>
      </c>
      <c r="E756" s="3" t="str">
        <f>HYPERLINK("https://www.amazon.com/Milwaukee-Multi-Tip-Screwdriver-Cushion-48-22-2880-2761/dp/B0BS435YZ2/ref=sr_1_2?keywords=Milwaukee+48-22-2930+4-in-1+Precision+Multi-Bit+Screwdriver&amp;qid=1695173583&amp;sr=8-2", "https://www.amazon.com/Milwaukee-Multi-Tip-Screwdriver-Cushion-48-22-2880-2761/dp/B0BS435YZ2/ref=sr_1_2?keywords=Milwaukee+48-22-2930+4-in-1+Precision+Multi-Bit+Screwdriver&amp;qid=1695173583&amp;sr=8-2")</f>
        <v>https://www.amazon.com/Milwaukee-Multi-Tip-Screwdriver-Cushion-48-22-2880-2761/dp/B0BS435YZ2/ref=sr_1_2?keywords=Milwaukee+48-22-2930+4-in-1+Precision+Multi-Bit+Screwdriver&amp;qid=1695173583&amp;sr=8-2</v>
      </c>
      <c r="F756" t="s">
        <v>1888</v>
      </c>
      <c r="G756" t="e">
        <f ca="1">_xludf.IMAGE("https://edmondsonsupply.com/cdn/shop/files/48-22-2930_PrimaryImage_WEB.webp?v=1686154438")</f>
        <v>#NAME?</v>
      </c>
      <c r="H756" t="e">
        <f ca="1">_xludf.IMAGE("https://m.media-amazon.com/images/I/6147KLqShzL._AC_UL320_.jpg")</f>
        <v>#NAME?</v>
      </c>
      <c r="I756" t="s">
        <v>1211</v>
      </c>
      <c r="J756">
        <v>40.99</v>
      </c>
      <c r="K756" s="4">
        <v>2.1604000000000001</v>
      </c>
      <c r="L756">
        <v>5</v>
      </c>
      <c r="M756">
        <v>4</v>
      </c>
      <c r="O756" t="s">
        <v>25</v>
      </c>
      <c r="P756" t="s">
        <v>1889</v>
      </c>
      <c r="Q756" t="s">
        <v>1890</v>
      </c>
    </row>
    <row r="757" spans="1:17" ht="15.5" x14ac:dyDescent="0.35">
      <c r="A757" s="3" t="str">
        <f>HYPERLINK("https://edmondsonsupply.com/collections/hvac/products/packard-ptmj43a-motor-start-capacitor-43-53-mfd-220-250-vac", "https://edmondsonsupply.com/collections/hvac/products/packard-ptmj43a-motor-start-capacitor-43-53-mfd-220-250-vac")</f>
        <v>https://edmondsonsupply.com/collections/hvac/products/packard-ptmj43a-motor-start-capacitor-43-53-mfd-220-250-vac</v>
      </c>
      <c r="B757" s="3" t="str">
        <f>HYPERLINK("https://edmondsonsupply.com/products/packard-ptmj43a-motor-start-capacitor-43-53-mfd-220-250-vac", "https://edmondsonsupply.com/products/packard-ptmj43a-motor-start-capacitor-43-53-mfd-220-250-vac")</f>
        <v>https://edmondsonsupply.com/products/packard-ptmj43a-motor-start-capacitor-43-53-mfd-220-250-vac</v>
      </c>
      <c r="C757" t="s">
        <v>1796</v>
      </c>
      <c r="D757" t="s">
        <v>1891</v>
      </c>
      <c r="E757" s="3" t="str">
        <f>HYPERLINK("https://www.amazon.com/Packard-PTMJ43-220-250V-Start-Capacitor/dp/B0123MPXTK/ref=sr_1_7?keywords=Packard+PTMJ43A+Motor+Start+Capacitor+43-53+MFD+220-250+VAC&amp;qid=1695173537&amp;sr=8-7", "https://www.amazon.com/Packard-PTMJ43-220-250V-Start-Capacitor/dp/B0123MPXTK/ref=sr_1_7?keywords=Packard+PTMJ43A+Motor+Start+Capacitor+43-53+MFD+220-250+VAC&amp;qid=1695173537&amp;sr=8-7")</f>
        <v>https://www.amazon.com/Packard-PTMJ43-220-250V-Start-Capacitor/dp/B0123MPXTK/ref=sr_1_7?keywords=Packard+PTMJ43A+Motor+Start+Capacitor+43-53+MFD+220-250+VAC&amp;qid=1695173537&amp;sr=8-7</v>
      </c>
      <c r="F757" t="s">
        <v>1892</v>
      </c>
      <c r="G757" t="e">
        <f ca="1">_xludf.IMAGE("https://edmondsonsupply.com/cdn/shop/products/PTMJ43A-2.jpg?v=1633031033")</f>
        <v>#NAME?</v>
      </c>
      <c r="H757" t="e">
        <f ca="1">_xludf.IMAGE("https://m.media-amazon.com/images/I/5121kYYatkL._AC_UY218_.jpg")</f>
        <v>#NAME?</v>
      </c>
      <c r="I757" t="s">
        <v>1595</v>
      </c>
      <c r="J757">
        <v>12.2</v>
      </c>
      <c r="K757" s="4">
        <v>2.1282000000000001</v>
      </c>
      <c r="L757">
        <v>3.8</v>
      </c>
      <c r="M757">
        <v>25</v>
      </c>
      <c r="O757" t="s">
        <v>25</v>
      </c>
      <c r="P757" t="s">
        <v>138</v>
      </c>
      <c r="Q757" t="s">
        <v>1797</v>
      </c>
    </row>
    <row r="758" spans="1:17" ht="15.5" x14ac:dyDescent="0.35">
      <c r="A758"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758" s="3" t="str">
        <f>HYPERLINK("https://edmondsonsupply.com/products/klein-tools-646-5-16-5-16-inch-nut-driver-6-inch-hollow-shaft", "https://edmondsonsupply.com/products/klein-tools-646-5-16-5-16-inch-nut-driver-6-inch-hollow-shaft")</f>
        <v>https://edmondsonsupply.com/products/klein-tools-646-5-16-5-16-inch-nut-driver-6-inch-hollow-shaft</v>
      </c>
      <c r="C758" t="s">
        <v>1893</v>
      </c>
      <c r="D758" t="s">
        <v>1894</v>
      </c>
      <c r="E758" s="3" t="str">
        <f>HYPERLINK("https://www.amazon.com/Magnetic-16-Inch-Klein-Tools-646M/dp/B000936QV0/ref=sr_1_6?keywords=Klein+Tools+646-5%2F16+5%2F16-Inch+Nut+Driver%2C+6-Inch+Hollow+Shaft&amp;qid=1695173549&amp;sr=8-6", "https://www.amazon.com/Magnetic-16-Inch-Klein-Tools-646M/dp/B000936QV0/ref=sr_1_6?keywords=Klein+Tools+646-5%2F16+5%2F16-Inch+Nut+Driver%2C+6-Inch+Hollow+Shaft&amp;qid=1695173549&amp;sr=8-6")</f>
        <v>https://www.amazon.com/Magnetic-16-Inch-Klein-Tools-646M/dp/B000936QV0/ref=sr_1_6?keywords=Klein+Tools+646-5%2F16+5%2F16-Inch+Nut+Driver%2C+6-Inch+Hollow+Shaft&amp;qid=1695173549&amp;sr=8-6</v>
      </c>
      <c r="F758" t="s">
        <v>1895</v>
      </c>
      <c r="G758" t="e">
        <f ca="1">_xludf.IMAGE("https://edmondsonsupply.com/cdn/shop/products/646-1-2_e1540905-f750-4509-90c5-74ff653e4d83.jpg?v=1587145119")</f>
        <v>#NAME?</v>
      </c>
      <c r="H758" t="e">
        <f ca="1">_xludf.IMAGE("https://m.media-amazon.com/images/I/41lkJ6KRq9L._AC_UL320_.jpg")</f>
        <v>#NAME?</v>
      </c>
      <c r="I758" t="s">
        <v>1003</v>
      </c>
      <c r="J758">
        <v>24.99</v>
      </c>
      <c r="K758" s="4">
        <v>2.1276999999999999</v>
      </c>
      <c r="L758">
        <v>4.8</v>
      </c>
      <c r="M758">
        <v>1654</v>
      </c>
      <c r="O758" t="s">
        <v>25</v>
      </c>
      <c r="P758" t="s">
        <v>1481</v>
      </c>
      <c r="Q758" t="s">
        <v>1896</v>
      </c>
    </row>
    <row r="759" spans="1:17" ht="15.5" x14ac:dyDescent="0.35">
      <c r="A759"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759" s="3" t="str">
        <f>HYPERLINK("https://edmondsonsupply.com/products/klein-tools-646-1-4-1-4-inch-nut-driver-with-6-inch-hollow-shaft", "https://edmondsonsupply.com/products/klein-tools-646-1-4-1-4-inch-nut-driver-with-6-inch-hollow-shaft")</f>
        <v>https://edmondsonsupply.com/products/klein-tools-646-1-4-1-4-inch-nut-driver-with-6-inch-hollow-shaft</v>
      </c>
      <c r="C759" t="s">
        <v>1478</v>
      </c>
      <c r="D759" t="s">
        <v>1894</v>
      </c>
      <c r="E759" s="3" t="str">
        <f>HYPERLINK("https://www.amazon.com/Magnetic-16-Inch-Klein-Tools-646M/dp/B000936QV0/ref=sr_1_5?keywords=Klein+Tools+646-1%2F4+1%2F4-Inch+Nut+Driver+with+6-Inch+Hollow+Shaft&amp;qid=1695173548&amp;sr=8-5", "https://www.amazon.com/Magnetic-16-Inch-Klein-Tools-646M/dp/B000936QV0/ref=sr_1_5?keywords=Klein+Tools+646-1%2F4+1%2F4-Inch+Nut+Driver+with+6-Inch+Hollow+Shaft&amp;qid=1695173548&amp;sr=8-5")</f>
        <v>https://www.amazon.com/Magnetic-16-Inch-Klein-Tools-646M/dp/B000936QV0/ref=sr_1_5?keywords=Klein+Tools+646-1%2F4+1%2F4-Inch+Nut+Driver+with+6-Inch+Hollow+Shaft&amp;qid=1695173548&amp;sr=8-5</v>
      </c>
      <c r="F759" t="s">
        <v>1895</v>
      </c>
      <c r="G759" t="e">
        <f ca="1">_xludf.IMAGE("https://edmondsonsupply.com/cdn/shop/products/646-1-2_08d87fa9-eac4-4869-8d3b-bb680d4b1d53.jpg?v=1587150676")</f>
        <v>#NAME?</v>
      </c>
      <c r="H759" t="e">
        <f ca="1">_xludf.IMAGE("https://m.media-amazon.com/images/I/41lkJ6KRq9L._AC_UL320_.jpg")</f>
        <v>#NAME?</v>
      </c>
      <c r="I759" t="s">
        <v>1003</v>
      </c>
      <c r="J759">
        <v>24.99</v>
      </c>
      <c r="K759" s="4">
        <v>2.1276999999999999</v>
      </c>
      <c r="L759">
        <v>4.8</v>
      </c>
      <c r="M759">
        <v>1654</v>
      </c>
      <c r="O759" t="s">
        <v>25</v>
      </c>
      <c r="P759" t="s">
        <v>1481</v>
      </c>
      <c r="Q759" t="s">
        <v>1482</v>
      </c>
    </row>
    <row r="760" spans="1:17" ht="15.5" x14ac:dyDescent="0.35">
      <c r="A760"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760" s="3" t="str">
        <f>HYPERLINK("https://edmondsonsupply.com/products/packard-pmj460-motor-start-capacitor-460-552-mfd-110-125-vac", "https://edmondsonsupply.com/products/packard-pmj460-motor-start-capacitor-460-552-mfd-110-125-vac")</f>
        <v>https://edmondsonsupply.com/products/packard-pmj460-motor-start-capacitor-460-552-mfd-110-125-vac</v>
      </c>
      <c r="C760" t="s">
        <v>1622</v>
      </c>
      <c r="D760" t="s">
        <v>1897</v>
      </c>
      <c r="E760" s="3" t="str">
        <f>HYPERLINK("https://www.amazon.com/PMJ460-Packard-Upgraded-Replacement-Capacitor/dp/B0773WC5NS/ref=sr_1_2?keywords=Packard+PMJ460+Motor+Start+Capacitor+460-552+MFD+110-125+VAC&amp;qid=1695173457&amp;sr=8-2", "https://www.amazon.com/PMJ460-Packard-Upgraded-Replacement-Capacitor/dp/B0773WC5NS/ref=sr_1_2?keywords=Packard+PMJ460+Motor+Start+Capacitor+460-552+MFD+110-125+VAC&amp;qid=1695173457&amp;sr=8-2")</f>
        <v>https://www.amazon.com/PMJ460-Packard-Upgraded-Replacement-Capacitor/dp/B0773WC5NS/ref=sr_1_2?keywords=Packard+PMJ460+Motor+Start+Capacitor+460-552+MFD+110-125+VAC&amp;qid=1695173457&amp;sr=8-2</v>
      </c>
      <c r="F760" t="s">
        <v>1898</v>
      </c>
      <c r="G760" t="e">
        <f ca="1">_xludf.IMAGE("https://edmondsonsupply.com/cdn/shop/products/PMJ460-2.jpg?v=1633030333")</f>
        <v>#NAME?</v>
      </c>
      <c r="H760" t="e">
        <f ca="1">_xludf.IMAGE("https://m.media-amazon.com/images/I/41fqQrQgJaL._AC_UY218_.jpg")</f>
        <v>#NAME?</v>
      </c>
      <c r="I760" t="s">
        <v>1623</v>
      </c>
      <c r="J760">
        <v>15.74</v>
      </c>
      <c r="K760" s="4">
        <v>2.1107</v>
      </c>
      <c r="L760">
        <v>3.8</v>
      </c>
      <c r="M760">
        <v>5</v>
      </c>
      <c r="O760" t="s">
        <v>171</v>
      </c>
      <c r="P760" t="s">
        <v>138</v>
      </c>
      <c r="Q760" t="s">
        <v>1624</v>
      </c>
    </row>
    <row r="761" spans="1:17" ht="15.5" x14ac:dyDescent="0.35">
      <c r="A761" s="3" t="str">
        <f>HYPERLINK("https://edmondsonsupply.com/collections/hvac/products/hilmor-1839046", "https://edmondsonsupply.com/collections/hvac/products/hilmor-1839046")</f>
        <v>https://edmondsonsupply.com/collections/hvac/products/hilmor-1839046</v>
      </c>
      <c r="B761" s="3" t="str">
        <f>HYPERLINK("https://edmondsonsupply.com/products/hilmor-1839046", "https://edmondsonsupply.com/products/hilmor-1839046")</f>
        <v>https://edmondsonsupply.com/products/hilmor-1839046</v>
      </c>
      <c r="C761" t="s">
        <v>146</v>
      </c>
      <c r="D761" t="s">
        <v>155</v>
      </c>
      <c r="E761" s="3" t="str">
        <f>HYPERLINK("https://www.amazon.com/Service-Adapter-Straight-Ratcheting-Wrench/dp/B09V7TNW1R/ref=sr_1_9?keywords=Hilmor+1839046+Service+Wrench+Hex+Key+Adapter&amp;qid=1695173450&amp;sr=8-9", "https://www.amazon.com/Service-Adapter-Straight-Ratcheting-Wrench/dp/B09V7TNW1R/ref=sr_1_9?keywords=Hilmor+1839046+Service+Wrench+Hex+Key+Adapter&amp;qid=1695173450&amp;sr=8-9")</f>
        <v>https://www.amazon.com/Service-Adapter-Straight-Ratcheting-Wrench/dp/B09V7TNW1R/ref=sr_1_9?keywords=Hilmor+1839046+Service+Wrench+Hex+Key+Adapter&amp;qid=1695173450&amp;sr=8-9</v>
      </c>
      <c r="F761" t="s">
        <v>156</v>
      </c>
      <c r="G761" t="e">
        <f ca="1">_xludf.IMAGE("https://edmondsonsupply.com/cdn/shop/products/s-l500.jpg?v=1633030254")</f>
        <v>#NAME?</v>
      </c>
      <c r="H761" t="e">
        <f ca="1">_xludf.IMAGE("https://m.media-amazon.com/images/I/41EVMXmEkgL._AC_UL320_.jpg")</f>
        <v>#NAME?</v>
      </c>
      <c r="I761" t="s">
        <v>149</v>
      </c>
      <c r="J761">
        <v>9.99</v>
      </c>
      <c r="K761" s="4">
        <v>2.1025</v>
      </c>
      <c r="L761">
        <v>4</v>
      </c>
      <c r="M761">
        <v>6</v>
      </c>
      <c r="O761" t="s">
        <v>25</v>
      </c>
      <c r="P761" t="s">
        <v>138</v>
      </c>
      <c r="Q761" t="s">
        <v>150</v>
      </c>
    </row>
    <row r="762" spans="1:17" ht="15.5" x14ac:dyDescent="0.35">
      <c r="A762" s="3" t="str">
        <f>HYPERLINK("https://edmondsonsupply.com/collections/hvac/products/testo-0564-2552-01-552i-app-controlled-wireless-vacuum-probe", "https://edmondsonsupply.com/collections/hvac/products/testo-0564-2552-01-552i-app-controlled-wireless-vacuum-probe")</f>
        <v>https://edmondsonsupply.com/collections/hvac/products/testo-0564-2552-01-552i-app-controlled-wireless-vacuum-probe</v>
      </c>
      <c r="B762" s="3" t="str">
        <f>HYPERLINK("https://edmondsonsupply.com/products/testo-0564-2552-01-552i-app-controlled-wireless-vacuum-probe", "https://edmondsonsupply.com/products/testo-0564-2552-01-552i-app-controlled-wireless-vacuum-probe")</f>
        <v>https://edmondsonsupply.com/products/testo-0564-2552-01-552i-app-controlled-wireless-vacuum-probe</v>
      </c>
      <c r="C762" t="s">
        <v>1899</v>
      </c>
      <c r="D762" t="s">
        <v>1900</v>
      </c>
      <c r="E762" s="3" t="str">
        <f>HYPERLINK("https://www.amazon.com/Testo-Operated-Refrigeration-Temperature-App-Controlled/dp/B0BS2YTS4Y/ref=sr_1_6?keywords=Testo+0564+2552+01+552i+App-Controlled+Wireless+Vacuum+Probe&amp;qid=1695173617&amp;sr=8-6", "https://www.amazon.com/Testo-Operated-Refrigeration-Temperature-App-Controlled/dp/B0BS2YTS4Y/ref=sr_1_6?keywords=Testo+0564+2552+01+552i+App-Controlled+Wireless+Vacuum+Probe&amp;qid=1695173617&amp;sr=8-6")</f>
        <v>https://www.amazon.com/Testo-Operated-Refrigeration-Temperature-App-Controlled/dp/B0BS2YTS4Y/ref=sr_1_6?keywords=Testo+0564+2552+01+552i+App-Controlled+Wireless+Vacuum+Probe&amp;qid=1695173617&amp;sr=8-6</v>
      </c>
      <c r="F762" t="s">
        <v>1901</v>
      </c>
      <c r="G762" t="e">
        <f ca="1">_xludf.IMAGE("https://edmondsonsupply.com/cdn/shop/products/testo-552i-front_master.jpg?v=1633031193")</f>
        <v>#NAME?</v>
      </c>
      <c r="H762" t="e">
        <f ca="1">_xludf.IMAGE("https://m.media-amazon.com/images/I/41SIoDg1SRL._AC_UY218_.jpg")</f>
        <v>#NAME?</v>
      </c>
      <c r="I762" t="s">
        <v>1902</v>
      </c>
      <c r="J762">
        <v>551.14</v>
      </c>
      <c r="K762" s="4">
        <v>2.1023999999999998</v>
      </c>
      <c r="L762">
        <v>5</v>
      </c>
      <c r="M762">
        <v>1</v>
      </c>
      <c r="O762" t="s">
        <v>25</v>
      </c>
      <c r="P762" t="s">
        <v>697</v>
      </c>
      <c r="Q762" t="s">
        <v>1903</v>
      </c>
    </row>
    <row r="763" spans="1:17" ht="15.5" x14ac:dyDescent="0.35">
      <c r="A763" s="3" t="str">
        <f>HYPERLINK("https://edmondsonsupply.com/collections/hvac/products/packard-prmj108-motor-start-capacitor-108-130-mfd-330-volt", "https://edmondsonsupply.com/collections/hvac/products/packard-prmj108-motor-start-capacitor-108-130-mfd-330-volt")</f>
        <v>https://edmondsonsupply.com/collections/hvac/products/packard-prmj108-motor-start-capacitor-108-130-mfd-330-volt</v>
      </c>
      <c r="B763" s="3" t="str">
        <f>HYPERLINK("https://edmondsonsupply.com/products/packard-prmj108-motor-start-capacitor-108-130-mfd-330-volt", "https://edmondsonsupply.com/products/packard-prmj108-motor-start-capacitor-108-130-mfd-330-volt")</f>
        <v>https://edmondsonsupply.com/products/packard-prmj108-motor-start-capacitor-108-130-mfd-330-volt</v>
      </c>
      <c r="C763" t="s">
        <v>1636</v>
      </c>
      <c r="D763" t="s">
        <v>1798</v>
      </c>
      <c r="E763" s="3" t="str">
        <f>HYPERLINK("https://www.amazon.com/PRMJ108-Packard-Aftermarket-Replacement-Capacitor/dp/B00IWYEI1S/ref=sr_1_2?keywords=Packard+PRMJ108+Motor+Start+Capacitor+108-130+MFD+330+Volt&amp;qid=1695173650&amp;sr=8-2", "https://www.amazon.com/PRMJ108-Packard-Aftermarket-Replacement-Capacitor/dp/B00IWYEI1S/ref=sr_1_2?keywords=Packard+PRMJ108+Motor+Start+Capacitor+108-130+MFD+330+Volt&amp;qid=1695173650&amp;sr=8-2")</f>
        <v>https://www.amazon.com/PRMJ108-Packard-Aftermarket-Replacement-Capacitor/dp/B00IWYEI1S/ref=sr_1_2?keywords=Packard+PRMJ108+Motor+Start+Capacitor+108-130+MFD+330+Volt&amp;qid=1695173650&amp;sr=8-2</v>
      </c>
      <c r="F763" t="s">
        <v>1799</v>
      </c>
      <c r="G763" t="e">
        <f ca="1">_xludf.IMAGE("https://edmondsonsupply.com/cdn/shop/products/PRMJ108-2.jpg?v=1633030309")</f>
        <v>#NAME?</v>
      </c>
      <c r="H763" t="e">
        <f ca="1">_xludf.IMAGE("https://m.media-amazon.com/images/I/41iN-8gLZyL._AC_UY218_.jpg")</f>
        <v>#NAME?</v>
      </c>
      <c r="I763" t="s">
        <v>1476</v>
      </c>
      <c r="J763">
        <v>13.49</v>
      </c>
      <c r="K763" s="4">
        <v>2.0729000000000002</v>
      </c>
      <c r="L763">
        <v>5</v>
      </c>
      <c r="M763">
        <v>10</v>
      </c>
      <c r="O763" t="s">
        <v>25</v>
      </c>
      <c r="P763" t="s">
        <v>138</v>
      </c>
      <c r="Q763" t="s">
        <v>1639</v>
      </c>
    </row>
    <row r="764" spans="1:17" ht="15.5" x14ac:dyDescent="0.35">
      <c r="A764" s="3" t="str">
        <f>HYPERLINK("https://edmondsonsupply.com/collections/hvac/products/uei-dmg150-digital-micron-gauge", "https://edmondsonsupply.com/collections/hvac/products/uei-dmg150-digital-micron-gauge")</f>
        <v>https://edmondsonsupply.com/collections/hvac/products/uei-dmg150-digital-micron-gauge</v>
      </c>
      <c r="B764" s="3" t="str">
        <f>HYPERLINK("https://edmondsonsupply.com/products/uei-dmg150-digital-micron-gauge", "https://edmondsonsupply.com/products/uei-dmg150-digital-micron-gauge")</f>
        <v>https://edmondsonsupply.com/products/uei-dmg150-digital-micron-gauge</v>
      </c>
      <c r="C764" t="s">
        <v>1496</v>
      </c>
      <c r="D764" t="s">
        <v>1904</v>
      </c>
      <c r="E764" s="3" t="str">
        <f>HYPERLINK("https://www.amazon.com/UEi-Test-Instruments-Folding-Thermometer/dp/B084274DV2/ref=sr_1_3?keywords=UEi+PDT650+Digital+Folding+Pocket+Thermometer&amp;qid=1695173385&amp;sr=8-3", "https://www.amazon.com/UEi-Test-Instruments-Folding-Thermometer/dp/B084274DV2/ref=sr_1_3?keywords=UEi+PDT650+Digital+Folding+Pocket+Thermometer&amp;qid=1695173385&amp;sr=8-3")</f>
        <v>https://www.amazon.com/UEi-Test-Instruments-Folding-Thermometer/dp/B084274DV2/ref=sr_1_3?keywords=UEi+PDT650+Digital+Folding+Pocket+Thermometer&amp;qid=1695173385&amp;sr=8-3</v>
      </c>
      <c r="F764" t="s">
        <v>1905</v>
      </c>
      <c r="G764" t="e">
        <f ca="1">_xludf.IMAGE("https://edmondsonsupply.com/cdn/shop/products/PDT650-1.png?v=1633030101")</f>
        <v>#NAME?</v>
      </c>
      <c r="H764" t="e">
        <f ca="1">_xludf.IMAGE("https://m.media-amazon.com/images/I/314GK-mvUNL._AC_UY218_.jpg")</f>
        <v>#NAME?</v>
      </c>
      <c r="I764" t="s">
        <v>1499</v>
      </c>
      <c r="J764">
        <v>59.77</v>
      </c>
      <c r="K764" s="4">
        <v>2.0636000000000001</v>
      </c>
      <c r="L764">
        <v>5</v>
      </c>
      <c r="M764">
        <v>5</v>
      </c>
      <c r="O764" t="s">
        <v>25</v>
      </c>
      <c r="P764" t="s">
        <v>1500</v>
      </c>
      <c r="Q764" t="s">
        <v>1501</v>
      </c>
    </row>
    <row r="765" spans="1:17" ht="15.5" x14ac:dyDescent="0.35">
      <c r="A765" s="3" t="str">
        <f>HYPERLINK("https://edmondsonsupply.com/collections/hvac/products/uei-dmg150-digital-micron-gauge", "https://edmondsonsupply.com/collections/hvac/products/uei-dmg150-digital-micron-gauge")</f>
        <v>https://edmondsonsupply.com/collections/hvac/products/uei-dmg150-digital-micron-gauge</v>
      </c>
      <c r="B765" s="3" t="str">
        <f>HYPERLINK("https://edmondsonsupply.com/products/uei-dmg150-digital-micron-gauge", "https://edmondsonsupply.com/products/uei-dmg150-digital-micron-gauge")</f>
        <v>https://edmondsonsupply.com/products/uei-dmg150-digital-micron-gauge</v>
      </c>
      <c r="C765" t="s">
        <v>1496</v>
      </c>
      <c r="D765" t="s">
        <v>1906</v>
      </c>
      <c r="E765" s="3" t="str">
        <f>HYPERLINK("https://www.amazon.com/UEi-Test-Instruments-Folding-Thermometer/dp/B085PY12P1/ref=sr_1_5?keywords=UEi+PDT650+Digital+Folding+Pocket+Thermometer&amp;qid=1695173385&amp;sr=8-5", "https://www.amazon.com/UEi-Test-Instruments-Folding-Thermometer/dp/B085PY12P1/ref=sr_1_5?keywords=UEi+PDT650+Digital+Folding+Pocket+Thermometer&amp;qid=1695173385&amp;sr=8-5")</f>
        <v>https://www.amazon.com/UEi-Test-Instruments-Folding-Thermometer/dp/B085PY12P1/ref=sr_1_5?keywords=UEi+PDT650+Digital+Folding+Pocket+Thermometer&amp;qid=1695173385&amp;sr=8-5</v>
      </c>
      <c r="F765" t="s">
        <v>1907</v>
      </c>
      <c r="G765" t="e">
        <f ca="1">_xludf.IMAGE("https://edmondsonsupply.com/cdn/shop/products/PDT650-1.png?v=1633030101")</f>
        <v>#NAME?</v>
      </c>
      <c r="H765" t="e">
        <f ca="1">_xludf.IMAGE("https://m.media-amazon.com/images/I/314GK-mvUNL._AC_UY218_.jpg")</f>
        <v>#NAME?</v>
      </c>
      <c r="I765" t="s">
        <v>1499</v>
      </c>
      <c r="J765">
        <v>59.77</v>
      </c>
      <c r="K765" s="4">
        <v>2.0636000000000001</v>
      </c>
      <c r="L765">
        <v>4.8</v>
      </c>
      <c r="M765">
        <v>3</v>
      </c>
      <c r="O765" t="s">
        <v>25</v>
      </c>
      <c r="P765" t="s">
        <v>1500</v>
      </c>
      <c r="Q765" t="s">
        <v>1501</v>
      </c>
    </row>
    <row r="766" spans="1:17" ht="15.5" x14ac:dyDescent="0.35">
      <c r="A766"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766" s="3" t="str">
        <f>HYPERLINK("https://edmondsonsupply.com/products/nu-calgon-44171-75-evap-foam-no-rinse-aerosol-coil-cleaner", "https://edmondsonsupply.com/products/nu-calgon-44171-75-evap-foam-no-rinse-aerosol-coil-cleaner")</f>
        <v>https://edmondsonsupply.com/products/nu-calgon-44171-75-evap-foam-no-rinse-aerosol-coil-cleaner</v>
      </c>
      <c r="C766" t="s">
        <v>1546</v>
      </c>
      <c r="D766" t="s">
        <v>1908</v>
      </c>
      <c r="E766" s="3" t="str">
        <f>HYPERLINK("https://www.amazon.com/Nu-Calgon-4171-75-Rinse-Evaporator-Cleaner/dp/B082L1QFXK/ref=sr_1_3?keywords=Nu-Calgon+4171-75+Evap+Foam+No+Rinse%2C+Aerosol+Coil+Cleaner+%2818+oz.+can%29&amp;qid=1695173370&amp;sr=8-3", "https://www.amazon.com/Nu-Calgon-4171-75-Rinse-Evaporator-Cleaner/dp/B082L1QFXK/ref=sr_1_3?keywords=Nu-Calgon+4171-75+Evap+Foam+No+Rinse%2C+Aerosol+Coil+Cleaner+%2818+oz.+can%29&amp;qid=1695173370&amp;sr=8-3")</f>
        <v>https://www.amazon.com/Nu-Calgon-4171-75-Rinse-Evaporator-Cleaner/dp/B082L1QFXK/ref=sr_1_3?keywords=Nu-Calgon+4171-75+Evap+Foam+No+Rinse%2C+Aerosol+Coil+Cleaner+%2818+oz.+can%29&amp;qid=1695173370&amp;sr=8-3</v>
      </c>
      <c r="F766" t="s">
        <v>1909</v>
      </c>
      <c r="G766" t="e">
        <f ca="1">_xludf.IMAGE("https://edmondsonsupply.com/cdn/shop/products/4171-75.jpg?v=1659099515")</f>
        <v>#NAME?</v>
      </c>
      <c r="H766" t="e">
        <f ca="1">_xludf.IMAGE("https://m.media-amazon.com/images/I/61qmNmg20EL._AC_UL320_.jpg")</f>
        <v>#NAME?</v>
      </c>
      <c r="I766" t="s">
        <v>234</v>
      </c>
      <c r="J766">
        <v>35.94</v>
      </c>
      <c r="K766" s="4">
        <v>2.0587</v>
      </c>
      <c r="L766">
        <v>4.3</v>
      </c>
      <c r="M766">
        <v>34</v>
      </c>
      <c r="O766" t="s">
        <v>25</v>
      </c>
      <c r="P766" t="s">
        <v>1549</v>
      </c>
      <c r="Q766" t="s">
        <v>1550</v>
      </c>
    </row>
    <row r="767" spans="1:17" ht="15.5" x14ac:dyDescent="0.35">
      <c r="A767"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767" s="3" t="str">
        <f>HYPERLINK("https://edmondsonsupply.com/products/nu-calgon-44171-75-evap-foam-no-rinse-aerosol-coil-cleaner", "https://edmondsonsupply.com/products/nu-calgon-44171-75-evap-foam-no-rinse-aerosol-coil-cleaner")</f>
        <v>https://edmondsonsupply.com/products/nu-calgon-44171-75-evap-foam-no-rinse-aerosol-coil-cleaner</v>
      </c>
      <c r="C767" t="s">
        <v>1546</v>
      </c>
      <c r="D767" t="s">
        <v>1910</v>
      </c>
      <c r="E767" s="3" t="str">
        <f>HYPERLINK("https://www.amazon.com/Nu-Calgon-4171-75-Evaporator-Cleaner-2-Pack/dp/B07PT8DDBC/ref=sr_1_8?keywords=Nu-Calgon+4171-75+Evap+Foam+No+Rinse%2C+Aerosol+Coil+Cleaner+%2818+oz.+can%29&amp;qid=1695173370&amp;sr=8-8", "https://www.amazon.com/Nu-Calgon-4171-75-Evaporator-Cleaner-2-Pack/dp/B07PT8DDBC/ref=sr_1_8?keywords=Nu-Calgon+4171-75+Evap+Foam+No+Rinse%2C+Aerosol+Coil+Cleaner+%2818+oz.+can%29&amp;qid=1695173370&amp;sr=8-8")</f>
        <v>https://www.amazon.com/Nu-Calgon-4171-75-Evaporator-Cleaner-2-Pack/dp/B07PT8DDBC/ref=sr_1_8?keywords=Nu-Calgon+4171-75+Evap+Foam+No+Rinse%2C+Aerosol+Coil+Cleaner+%2818+oz.+can%29&amp;qid=1695173370&amp;sr=8-8</v>
      </c>
      <c r="F767" t="s">
        <v>1911</v>
      </c>
      <c r="G767" t="e">
        <f ca="1">_xludf.IMAGE("https://edmondsonsupply.com/cdn/shop/products/4171-75.jpg?v=1659099515")</f>
        <v>#NAME?</v>
      </c>
      <c r="H767" t="e">
        <f ca="1">_xludf.IMAGE("https://m.media-amazon.com/images/I/71IAB2kEhWL._AC_UL320_.jpg")</f>
        <v>#NAME?</v>
      </c>
      <c r="I767" t="s">
        <v>234</v>
      </c>
      <c r="J767">
        <v>35.71</v>
      </c>
      <c r="K767" s="4">
        <v>2.0390999999999999</v>
      </c>
      <c r="L767">
        <v>5</v>
      </c>
      <c r="M767">
        <v>2</v>
      </c>
      <c r="O767" t="s">
        <v>25</v>
      </c>
      <c r="P767" t="s">
        <v>1549</v>
      </c>
      <c r="Q767" t="s">
        <v>1550</v>
      </c>
    </row>
    <row r="768" spans="1:17" ht="15.5" x14ac:dyDescent="0.35">
      <c r="A768"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768" s="3" t="str">
        <f>HYPERLINK("https://edmondsonsupply.com/products/packard-pmj216-motor-start-capacitor-216-259-mfd-110-125-vac", "https://edmondsonsupply.com/products/packard-pmj216-motor-start-capacitor-216-259-mfd-110-125-vac")</f>
        <v>https://edmondsonsupply.com/products/packard-pmj216-motor-start-capacitor-216-259-mfd-110-125-vac</v>
      </c>
      <c r="C768" t="s">
        <v>1581</v>
      </c>
      <c r="D768" t="s">
        <v>1912</v>
      </c>
      <c r="E768" s="3" t="str">
        <f>HYPERLINK("https://www.amazon.com/Canamax-216-259-110-125V-Round-Capacitor/dp/B0B1CWPSRT/ref=sr_1_6?keywords=Packard+PMJ216+Motor+Start+Capacitor+216-259+MFD+110-125+VAC&amp;qid=1695173457&amp;sr=8-6", "https://www.amazon.com/Canamax-216-259-110-125V-Round-Capacitor/dp/B0B1CWPSRT/ref=sr_1_6?keywords=Packard+PMJ216+Motor+Start+Capacitor+216-259+MFD+110-125+VAC&amp;qid=1695173457&amp;sr=8-6")</f>
        <v>https://www.amazon.com/Canamax-216-259-110-125V-Round-Capacitor/dp/B0B1CWPSRT/ref=sr_1_6?keywords=Packard+PMJ216+Motor+Start+Capacitor+216-259+MFD+110-125+VAC&amp;qid=1695173457&amp;sr=8-6</v>
      </c>
      <c r="F768" t="s">
        <v>1913</v>
      </c>
      <c r="G768" t="e">
        <f ca="1">_xludf.IMAGE("https://edmondsonsupply.com/cdn/shop/products/PMJ216-2.jpg?v=1633030107")</f>
        <v>#NAME?</v>
      </c>
      <c r="H768" t="e">
        <f ca="1">_xludf.IMAGE("https://m.media-amazon.com/images/I/71m-vZe3GVL._AC_UY218_.jpg")</f>
        <v>#NAME?</v>
      </c>
      <c r="I768" t="s">
        <v>1584</v>
      </c>
      <c r="J768">
        <v>10.99</v>
      </c>
      <c r="K768" s="4">
        <v>2.0274999999999999</v>
      </c>
      <c r="L768">
        <v>4.4000000000000004</v>
      </c>
      <c r="M768">
        <v>8</v>
      </c>
      <c r="O768" t="s">
        <v>25</v>
      </c>
      <c r="P768" t="s">
        <v>138</v>
      </c>
      <c r="Q768" t="s">
        <v>1585</v>
      </c>
    </row>
    <row r="769" spans="1:17" ht="15.5" x14ac:dyDescent="0.35">
      <c r="A769" s="3" t="str">
        <f>HYPERLINK("https://edmondsonsupply.com/collections/hvac/products/wiha-tools-32267-5-16-insulated-softfinish-nut-driver", "https://edmondsonsupply.com/collections/hvac/products/wiha-tools-32267-5-16-insulated-softfinish-nut-driver")</f>
        <v>https://edmondsonsupply.com/collections/hvac/products/wiha-tools-32267-5-16-insulated-softfinish-nut-driver</v>
      </c>
      <c r="B769" s="3" t="str">
        <f>HYPERLINK("https://edmondsonsupply.com/products/wiha-tools-32267-5-16-insulated-softfinish-nut-driver", "https://edmondsonsupply.com/products/wiha-tools-32267-5-16-insulated-softfinish-nut-driver")</f>
        <v>https://edmondsonsupply.com/products/wiha-tools-32267-5-16-insulated-softfinish-nut-driver</v>
      </c>
      <c r="C769" t="s">
        <v>1914</v>
      </c>
      <c r="D769" t="s">
        <v>1915</v>
      </c>
      <c r="E769" s="3" t="str">
        <f>HYPERLINK("https://www.amazon.com/Wiha-Tools-Softfinish-Insulated-817-32278/dp/B00462C2Q8/ref=sr_1_7?keywords=Wiha+Tools+32267+5%2F16%22+Insulated+SoftFinish+Nut+Driver&amp;qid=1695173722&amp;sr=8-7", "https://www.amazon.com/Wiha-Tools-Softfinish-Insulated-817-32278/dp/B00462C2Q8/ref=sr_1_7?keywords=Wiha+Tools+32267+5%2F16%22+Insulated+SoftFinish+Nut+Driver&amp;qid=1695173722&amp;sr=8-7")</f>
        <v>https://www.amazon.com/Wiha-Tools-Softfinish-Insulated-817-32278/dp/B00462C2Q8/ref=sr_1_7?keywords=Wiha+Tools+32267+5%2F16%22+Insulated+SoftFinish+Nut+Driver&amp;qid=1695173722&amp;sr=8-7</v>
      </c>
      <c r="F769" t="s">
        <v>1916</v>
      </c>
      <c r="G769" t="e">
        <f ca="1">_xludf.IMAGE("https://edmondsonsupply.com/cdn/shop/files/rciu0sq7tzs63xknaigt_1000x_e86d418b-6e53-4045-8f98-eeef581842a3.webp?v=1690929607")</f>
        <v>#NAME?</v>
      </c>
      <c r="H769" t="e">
        <f ca="1">_xludf.IMAGE("https://m.media-amazon.com/images/I/21iQCrsshfL._AC_UL320_.jpg")</f>
        <v>#NAME?</v>
      </c>
      <c r="I769" t="s">
        <v>1917</v>
      </c>
      <c r="J769">
        <v>35.799999999999997</v>
      </c>
      <c r="K769" s="4">
        <v>2.0034000000000001</v>
      </c>
      <c r="L769">
        <v>5</v>
      </c>
      <c r="M769">
        <v>2</v>
      </c>
      <c r="O769" t="s">
        <v>25</v>
      </c>
      <c r="P769" t="s">
        <v>1918</v>
      </c>
      <c r="Q769" t="s">
        <v>1919</v>
      </c>
    </row>
    <row r="770" spans="1:17" ht="15.5" x14ac:dyDescent="0.35">
      <c r="A770" s="3" t="str">
        <f>HYPERLINK("https://edmondsonsupply.com/collections/hvac/products/klein-tools-et05-digital-pocket-thermometer", "https://edmondsonsupply.com/collections/hvac/products/klein-tools-et05-digital-pocket-thermometer")</f>
        <v>https://edmondsonsupply.com/collections/hvac/products/klein-tools-et05-digital-pocket-thermometer</v>
      </c>
      <c r="B770" s="3" t="str">
        <f>HYPERLINK("https://edmondsonsupply.com/products/klein-tools-et05-digital-pocket-thermometer", "https://edmondsonsupply.com/products/klein-tools-et05-digital-pocket-thermometer")</f>
        <v>https://edmondsonsupply.com/products/klein-tools-et05-digital-pocket-thermometer</v>
      </c>
      <c r="C770" t="s">
        <v>1859</v>
      </c>
      <c r="D770" t="s">
        <v>1920</v>
      </c>
      <c r="E770" s="3" t="str">
        <f>HYPERLINK("https://www.amazon.com/Klein-Tools-Thermometer-Non-Contact-Temperature/dp/B0BC88SF8V/ref=sr_1_2?keywords=Klein+Tools+ET05+Digital+Pocket+Thermometer&amp;qid=1695173684&amp;sr=8-2", "https://www.amazon.com/Klein-Tools-Thermometer-Non-Contact-Temperature/dp/B0BC88SF8V/ref=sr_1_2?keywords=Klein+Tools+ET05+Digital+Pocket+Thermometer&amp;qid=1695173684&amp;sr=8-2")</f>
        <v>https://www.amazon.com/Klein-Tools-Thermometer-Non-Contact-Temperature/dp/B0BC88SF8V/ref=sr_1_2?keywords=Klein+Tools+ET05+Digital+Pocket+Thermometer&amp;qid=1695173684&amp;sr=8-2</v>
      </c>
      <c r="F770" t="s">
        <v>1921</v>
      </c>
      <c r="G770" t="e">
        <f ca="1">_xludf.IMAGE("https://edmondsonsupply.com/cdn/shop/products/et05.jpg?v=1587144900")</f>
        <v>#NAME?</v>
      </c>
      <c r="H770" t="e">
        <f ca="1">_xludf.IMAGE("https://m.media-amazon.com/images/I/41SkeuD-HkL._AC_UY218_.jpg")</f>
        <v>#NAME?</v>
      </c>
      <c r="I770" t="s">
        <v>143</v>
      </c>
      <c r="J770">
        <v>47.96</v>
      </c>
      <c r="K770" s="4">
        <v>2.0030999999999999</v>
      </c>
      <c r="L770">
        <v>5</v>
      </c>
      <c r="M770">
        <v>4</v>
      </c>
      <c r="O770" t="s">
        <v>25</v>
      </c>
      <c r="P770" t="s">
        <v>1862</v>
      </c>
      <c r="Q770" t="s">
        <v>1863</v>
      </c>
    </row>
    <row r="771" spans="1:17" ht="15.5" x14ac:dyDescent="0.35">
      <c r="A771" s="3" t="str">
        <f>HYPERLINK("https://edmondsonsupply.com/collections/hvac/products/klein-tools-mag2-magnetizer-demagnetizer", "https://edmondsonsupply.com/collections/hvac/products/klein-tools-mag2-magnetizer-demagnetizer")</f>
        <v>https://edmondsonsupply.com/collections/hvac/products/klein-tools-mag2-magnetizer-demagnetizer</v>
      </c>
      <c r="B771" s="3" t="str">
        <f>HYPERLINK("https://edmondsonsupply.com/products/klein-tools-mag2-magnetizer-demagnetizer", "https://edmondsonsupply.com/products/klein-tools-mag2-magnetizer-demagnetizer")</f>
        <v>https://edmondsonsupply.com/products/klein-tools-mag2-magnetizer-demagnetizer</v>
      </c>
      <c r="C771" t="s">
        <v>1520</v>
      </c>
      <c r="D771" t="s">
        <v>1922</v>
      </c>
      <c r="E771" s="3" t="str">
        <f>HYPERLINK("https://www.amazon.com/Klein-Tools-Demagnetizer-Screwdriver-MagnetKlein/dp/B0BSKR7CQX/ref=sr_1_4?keywords=Klein+Tools+MAG2+Magnetizer+%2F+Demagnetizer&amp;qid=1695173451&amp;sr=8-4", "https://www.amazon.com/Klein-Tools-Demagnetizer-Screwdriver-MagnetKlein/dp/B0BSKR7CQX/ref=sr_1_4?keywords=Klein+Tools+MAG2+Magnetizer+%2F+Demagnetizer&amp;qid=1695173451&amp;sr=8-4")</f>
        <v>https://www.amazon.com/Klein-Tools-Demagnetizer-Screwdriver-MagnetKlein/dp/B0BSKR7CQX/ref=sr_1_4?keywords=Klein+Tools+MAG2+Magnetizer+%2F+Demagnetizer&amp;qid=1695173451&amp;sr=8-4</v>
      </c>
      <c r="F771" t="s">
        <v>1923</v>
      </c>
      <c r="G771" t="e">
        <f ca="1">_xludf.IMAGE("https://edmondsonsupply.com/cdn/shop/products/mag2.jpg?v=1587145008")</f>
        <v>#NAME?</v>
      </c>
      <c r="H771" t="e">
        <f ca="1">_xludf.IMAGE("https://m.media-amazon.com/images/I/415MdIpH5SL._AC_UL320_.jpg")</f>
        <v>#NAME?</v>
      </c>
      <c r="I771" t="s">
        <v>1427</v>
      </c>
      <c r="J771">
        <v>29.94</v>
      </c>
      <c r="K771" s="4">
        <v>2.0030000000000001</v>
      </c>
      <c r="L771">
        <v>5</v>
      </c>
      <c r="M771">
        <v>2</v>
      </c>
      <c r="O771" t="s">
        <v>25</v>
      </c>
      <c r="P771" t="s">
        <v>1523</v>
      </c>
      <c r="Q771" t="s">
        <v>1524</v>
      </c>
    </row>
    <row r="772" spans="1:17" ht="15.5" x14ac:dyDescent="0.35">
      <c r="A772"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772" s="3" t="str">
        <f>HYPERLINK("https://edmondsonsupply.com/products/klein-tools-935dag-digital-angle-gauge-and-level", "https://edmondsonsupply.com/products/klein-tools-935dag-digital-angle-gauge-and-level")</f>
        <v>https://edmondsonsupply.com/products/klein-tools-935dag-digital-angle-gauge-and-level</v>
      </c>
      <c r="C772" t="s">
        <v>1924</v>
      </c>
      <c r="D772" t="s">
        <v>1925</v>
      </c>
      <c r="E772" s="3" t="str">
        <f>HYPERLINK("https://www.amazon.com/Klein-Tools-935DAGL-Electronic-Measures/dp/B0BNL46JTV/ref=sr_1_4?keywords=Klein+Tools+935DAG+Digital+Angle+Gauge+and+Level&amp;qid=1695173564&amp;sr=8-4", "https://www.amazon.com/Klein-Tools-935DAGL-Electronic-Measures/dp/B0BNL46JTV/ref=sr_1_4?keywords=Klein+Tools+935DAG+Digital+Angle+Gauge+and+Level&amp;qid=1695173564&amp;sr=8-4")</f>
        <v>https://www.amazon.com/Klein-Tools-935DAGL-Electronic-Measures/dp/B0BNL46JTV/ref=sr_1_4?keywords=Klein+Tools+935DAG+Digital+Angle+Gauge+and+Level&amp;qid=1695173564&amp;sr=8-4</v>
      </c>
      <c r="F772" t="s">
        <v>1926</v>
      </c>
      <c r="G772" t="e">
        <f ca="1">_xludf.IMAGE("https://edmondsonsupply.com/cdn/shop/products/935dag.jpg?v=1587145032")</f>
        <v>#NAME?</v>
      </c>
      <c r="H772" t="e">
        <f ca="1">_xludf.IMAGE("https://m.media-amazon.com/images/I/518pZRTQawL._AC_UL320_.jpg")</f>
        <v>#NAME?</v>
      </c>
      <c r="I772" t="s">
        <v>824</v>
      </c>
      <c r="J772">
        <v>89.94</v>
      </c>
      <c r="K772" s="4">
        <v>2.0009999999999999</v>
      </c>
      <c r="L772">
        <v>4.7</v>
      </c>
      <c r="M772">
        <v>5</v>
      </c>
      <c r="O772" t="s">
        <v>25</v>
      </c>
      <c r="P772" t="s">
        <v>73</v>
      </c>
      <c r="Q772" t="s">
        <v>1927</v>
      </c>
    </row>
    <row r="773" spans="1:17" ht="15.5" x14ac:dyDescent="0.35">
      <c r="A773" s="3" t="str">
        <f>HYPERLINK("https://edmondsonsupply.com/collections/hvac/products/klein-tools-33736ins", "https://edmondsonsupply.com/collections/hvac/products/klein-tools-33736ins")</f>
        <v>https://edmondsonsupply.com/collections/hvac/products/klein-tools-33736ins</v>
      </c>
      <c r="B773" s="3" t="str">
        <f>HYPERLINK("https://edmondsonsupply.com/products/klein-tools-33736ins", "https://edmondsonsupply.com/products/klein-tools-33736ins")</f>
        <v>https://edmondsonsupply.com/products/klein-tools-33736ins</v>
      </c>
      <c r="C773" t="s">
        <v>1928</v>
      </c>
      <c r="D773" t="s">
        <v>1929</v>
      </c>
      <c r="E773" s="3" t="str">
        <f>HYPERLINK("https://www.amazon.com/Klein-Tools-Insulated-Screwdriver-33736INS/dp/B0B68LYZC5/ref=sr_1_7?keywords=Klein+Tools+33736INS+Screwdriver+Set%2C+1000V+Slim-Tip+Insulated+and+Magnetizer%2C+6-Piece&amp;qid=1695173604&amp;sr=8-7", "https://www.amazon.com/Klein-Tools-Insulated-Screwdriver-33736INS/dp/B0B68LYZC5/ref=sr_1_7?keywords=Klein+Tools+33736INS+Screwdriver+Set%2C+1000V+Slim-Tip+Insulated+and+Magnetizer%2C+6-Piece&amp;qid=1695173604&amp;sr=8-7")</f>
        <v>https://www.amazon.com/Klein-Tools-Insulated-Screwdriver-33736INS/dp/B0B68LYZC5/ref=sr_1_7?keywords=Klein+Tools+33736INS+Screwdriver+Set%2C+1000V+Slim-Tip+Insulated+and+Magnetizer%2C+6-Piece&amp;qid=1695173604&amp;sr=8-7</v>
      </c>
      <c r="F773" t="s">
        <v>1930</v>
      </c>
      <c r="G773" t="e">
        <f ca="1">_xludf.IMAGE("https://edmondsonsupply.com/cdn/shop/products/33736ins.jpg?v=1664807705")</f>
        <v>#NAME?</v>
      </c>
      <c r="H773" t="e">
        <f ca="1">_xludf.IMAGE("https://m.media-amazon.com/images/I/51pS8BxuJGL._AC_UL320_.jpg")</f>
        <v>#NAME?</v>
      </c>
      <c r="I773" t="s">
        <v>1931</v>
      </c>
      <c r="J773">
        <v>149.97999999999999</v>
      </c>
      <c r="K773" s="4">
        <v>2.0002</v>
      </c>
      <c r="L773">
        <v>4.9000000000000004</v>
      </c>
      <c r="M773">
        <v>11</v>
      </c>
      <c r="O773" t="s">
        <v>25</v>
      </c>
      <c r="P773" t="s">
        <v>1932</v>
      </c>
      <c r="Q773" t="s">
        <v>1933</v>
      </c>
    </row>
    <row r="774" spans="1:17" ht="15.5" x14ac:dyDescent="0.35">
      <c r="A774" s="3" t="str">
        <f>HYPERLINK("https://edmondsonsupply.com/collections/hvac/products/packard-pmj88-motor-start-capacitor-88-108-mfd-110-125-vac", "https://edmondsonsupply.com/collections/hvac/products/packard-pmj88-motor-start-capacitor-88-108-mfd-110-125-vac")</f>
        <v>https://edmondsonsupply.com/collections/hvac/products/packard-pmj88-motor-start-capacitor-88-108-mfd-110-125-vac</v>
      </c>
      <c r="B774" s="3" t="str">
        <f>HYPERLINK("https://edmondsonsupply.com/products/packard-pmj88-motor-start-capacitor-88-108-mfd-110-125-vac", "https://edmondsonsupply.com/products/packard-pmj88-motor-start-capacitor-88-108-mfd-110-125-vac")</f>
        <v>https://edmondsonsupply.com/products/packard-pmj88-motor-start-capacitor-88-108-mfd-110-125-vac</v>
      </c>
      <c r="C774" t="s">
        <v>1557</v>
      </c>
      <c r="D774" t="s">
        <v>1934</v>
      </c>
      <c r="E774" s="3" t="str">
        <f>HYPERLINK("https://www.amazon.com/Motor-Capacitor-88-108-Replaces-PMJ88A/dp/B07M5MD13K/ref=sr_1_2?keywords=Packard+PMJ88+Motor+Start+Capacitor+88-108+MFD+110-125+VAC&amp;qid=1695173521&amp;sr=8-2", "https://www.amazon.com/Motor-Capacitor-88-108-Replaces-PMJ88A/dp/B07M5MD13K/ref=sr_1_2?keywords=Packard+PMJ88+Motor+Start+Capacitor+88-108+MFD+110-125+VAC&amp;qid=1695173521&amp;sr=8-2")</f>
        <v>https://www.amazon.com/Motor-Capacitor-88-108-Replaces-PMJ88A/dp/B07M5MD13K/ref=sr_1_2?keywords=Packard+PMJ88+Motor+Start+Capacitor+88-108+MFD+110-125+VAC&amp;qid=1695173521&amp;sr=8-2</v>
      </c>
      <c r="F774" t="s">
        <v>1935</v>
      </c>
      <c r="G774" t="e">
        <f ca="1">_xludf.IMAGE("https://edmondsonsupply.com/cdn/shop/products/PMJ88-2.jpg?v=1633030893")</f>
        <v>#NAME?</v>
      </c>
      <c r="H774" t="e">
        <f ca="1">_xludf.IMAGE("https://m.media-amazon.com/images/I/41R9VZrTw0L._AC_UY218_.jpg")</f>
        <v>#NAME?</v>
      </c>
      <c r="I774" t="s">
        <v>1560</v>
      </c>
      <c r="J774">
        <v>9.3000000000000007</v>
      </c>
      <c r="K774" s="4">
        <v>2</v>
      </c>
      <c r="L774">
        <v>4.8</v>
      </c>
      <c r="M774">
        <v>14</v>
      </c>
      <c r="O774" t="s">
        <v>25</v>
      </c>
      <c r="P774" t="s">
        <v>138</v>
      </c>
      <c r="Q774" t="s">
        <v>1561</v>
      </c>
    </row>
    <row r="775" spans="1:17" ht="15.5" x14ac:dyDescent="0.35">
      <c r="A775" s="3" t="str">
        <f>HYPERLINK("https://edmondsonsupply.com/collections/hvac/products/icm-controls-icm103-delay-on-make-timer-with-1-1-023-second-time-delay-universal-18-240-vac", "https://edmondsonsupply.com/collections/hvac/products/icm-controls-icm103-delay-on-make-timer-with-1-1-023-second-time-delay-universal-18-240-vac")</f>
        <v>https://edmondsonsupply.com/collections/hvac/products/icm-controls-icm103-delay-on-make-timer-with-1-1-023-second-time-delay-universal-18-240-vac</v>
      </c>
      <c r="B775" s="3" t="str">
        <f>HYPERLINK("https://edmondsonsupply.com/products/icm-controls-icm103-delay-on-make-timer-with-1-1-023-second-time-delay-universal-18-240-vac", "https://edmondsonsupply.com/products/icm-controls-icm103-delay-on-make-timer-with-1-1-023-second-time-delay-universal-18-240-vac")</f>
        <v>https://edmondsonsupply.com/products/icm-controls-icm103-delay-on-make-timer-with-1-1-023-second-time-delay-universal-18-240-vac</v>
      </c>
      <c r="C775" t="s">
        <v>1936</v>
      </c>
      <c r="D775" t="s">
        <v>1937</v>
      </c>
      <c r="E775" s="3" t="str">
        <f>HYPERLINK("https://www.amazon.com/ICM-Controls-ICM104-Seconds-Adjustable/dp/B00GIP4LCO/ref=sr_1_6?keywords=ICM+Controls+ICM103+Delay+on+Make+Timer+with+1-1%2C023+Second+Time+Delay%2C+Universal+18-240+VAC&amp;qid=1695173373&amp;sr=8-6", "https://www.amazon.com/ICM-Controls-ICM104-Seconds-Adjustable/dp/B00GIP4LCO/ref=sr_1_6?keywords=ICM+Controls+ICM103+Delay+on+Make+Timer+with+1-1%2C023+Second+Time+Delay%2C+Universal+18-240+VAC&amp;qid=1695173373&amp;sr=8-6")</f>
        <v>https://www.amazon.com/ICM-Controls-ICM104-Seconds-Adjustable/dp/B00GIP4LCO/ref=sr_1_6?keywords=ICM+Controls+ICM103+Delay+on+Make+Timer+with+1-1%2C023+Second+Time+Delay%2C+Universal+18-240+VAC&amp;qid=1695173373&amp;sr=8-6</v>
      </c>
      <c r="F775" t="s">
        <v>1938</v>
      </c>
      <c r="G775" t="e">
        <f ca="1">_xludf.IMAGE("https://edmondsonsupply.com/cdn/shop/products/icm103.png?v=1587150533")</f>
        <v>#NAME?</v>
      </c>
      <c r="H775" t="e">
        <f ca="1">_xludf.IMAGE("https://m.media-amazon.com/images/I/61RFS2vXJzL._AC_UL320_.jpg")</f>
        <v>#NAME?</v>
      </c>
      <c r="I775" t="s">
        <v>866</v>
      </c>
      <c r="J775">
        <v>50.95</v>
      </c>
      <c r="K775" s="4">
        <v>1.9987999999999999</v>
      </c>
      <c r="L775">
        <v>4.7</v>
      </c>
      <c r="M775">
        <v>6</v>
      </c>
      <c r="O775" t="s">
        <v>25</v>
      </c>
      <c r="P775" t="s">
        <v>1939</v>
      </c>
      <c r="Q775" t="s">
        <v>1940</v>
      </c>
    </row>
    <row r="776" spans="1:17" ht="15.5" x14ac:dyDescent="0.35">
      <c r="A776" s="3" t="str">
        <f>HYPERLINK("https://edmondsonsupply.com/collections/hvac/products/milwaukee-48-22-1500-fastback%E2%84%A2-compact-folding-utility-knife", "https://edmondsonsupply.com/collections/hvac/products/milwaukee-48-22-1500-fastback%E2%84%A2-compact-folding-utility-knife")</f>
        <v>https://edmondsonsupply.com/collections/hvac/products/milwaukee-48-22-1500-fastback%E2%84%A2-compact-folding-utility-knife</v>
      </c>
      <c r="B776" s="3" t="str">
        <f>HYPERLINK("https://edmondsonsupply.com/products/milwaukee-48-22-1500-fastback%e2%84%a2-compact-folding-utility-knife", "https://edmondsonsupply.com/products/milwaukee-48-22-1500-fastback%e2%84%a2-compact-folding-utility-knife")</f>
        <v>https://edmondsonsupply.com/products/milwaukee-48-22-1500-fastback%e2%84%a2-compact-folding-utility-knife</v>
      </c>
      <c r="C776" t="s">
        <v>1941</v>
      </c>
      <c r="D776" t="s">
        <v>1942</v>
      </c>
      <c r="E776" s="3" t="str">
        <f>HYPERLINK("https://www.amazon.com/Milwaukee-48-22-1505-FastbackTM-Folding-Utility/dp/B0C69TGH9K/ref=sr_1_2?keywords=Milwaukee+48-22-1500+FASTBACK%E2%84%A2+Compact+Folding+Utility+Knife&amp;qid=1695173559&amp;sr=8-2", "https://www.amazon.com/Milwaukee-48-22-1505-FastbackTM-Folding-Utility/dp/B0C69TGH9K/ref=sr_1_2?keywords=Milwaukee+48-22-1500+FASTBACK%E2%84%A2+Compact+Folding+Utility+Knife&amp;qid=1695173559&amp;sr=8-2")</f>
        <v>https://www.amazon.com/Milwaukee-48-22-1505-FastbackTM-Folding-Utility/dp/B0C69TGH9K/ref=sr_1_2?keywords=Milwaukee+48-22-1500+FASTBACK%E2%84%A2+Compact+Folding+Utility+Knife&amp;qid=1695173559&amp;sr=8-2</v>
      </c>
      <c r="F776" t="s">
        <v>1943</v>
      </c>
      <c r="G776" t="e">
        <f ca="1">_xludf.IMAGE("https://edmondsonsupply.com/cdn/shop/products/48-22-1500_3.png?v=1587142474")</f>
        <v>#NAME?</v>
      </c>
      <c r="H776" t="e">
        <f ca="1">_xludf.IMAGE("https://m.media-amazon.com/images/I/41ZUsUsHByL._AC_UL320_.jpg")</f>
        <v>#NAME?</v>
      </c>
      <c r="I776" t="s">
        <v>1944</v>
      </c>
      <c r="J776">
        <v>26.75</v>
      </c>
      <c r="K776" s="4">
        <v>1.9822</v>
      </c>
      <c r="L776">
        <v>4.7</v>
      </c>
      <c r="M776">
        <v>4</v>
      </c>
      <c r="O776" t="s">
        <v>25</v>
      </c>
      <c r="P776" t="s">
        <v>1945</v>
      </c>
      <c r="Q776" t="s">
        <v>1946</v>
      </c>
    </row>
    <row r="777" spans="1:17" ht="15.5" x14ac:dyDescent="0.35">
      <c r="A777" s="3" t="str">
        <f>HYPERLINK("https://edmondsonsupply.com/collections/hvac/products/klein-tools-55580-tradesman-tumbler", "https://edmondsonsupply.com/collections/hvac/products/klein-tools-55580-tradesman-tumbler")</f>
        <v>https://edmondsonsupply.com/collections/hvac/products/klein-tools-55580-tradesman-tumbler</v>
      </c>
      <c r="B777" s="3" t="str">
        <f>HYPERLINK("https://edmondsonsupply.com/products/klein-tools-55580-tradesman-tumbler", "https://edmondsonsupply.com/products/klein-tools-55580-tradesman-tumbler")</f>
        <v>https://edmondsonsupply.com/products/klein-tools-55580-tradesman-tumbler</v>
      </c>
      <c r="C777" t="s">
        <v>1947</v>
      </c>
      <c r="D777" t="s">
        <v>1948</v>
      </c>
      <c r="E777" s="3" t="str">
        <f>HYPERLINK("https://www.amazon.com/Klein-Tools-Stainless-Insulated-Tradesmans/dp/B09P846GLG/ref=sr_1_3?keywords=Klein+Tools+55580+Tradesman+Tumbler&amp;qid=1695173534&amp;sr=8-3", "https://www.amazon.com/Klein-Tools-Stainless-Insulated-Tradesmans/dp/B09P846GLG/ref=sr_1_3?keywords=Klein+Tools+55580+Tradesman+Tumbler&amp;qid=1695173534&amp;sr=8-3")</f>
        <v>https://www.amazon.com/Klein-Tools-Stainless-Insulated-Tradesmans/dp/B09P846GLG/ref=sr_1_3?keywords=Klein+Tools+55580+Tradesman+Tumbler&amp;qid=1695173534&amp;sr=8-3</v>
      </c>
      <c r="F777" t="s">
        <v>1949</v>
      </c>
      <c r="G777" t="e">
        <f ca="1">_xludf.IMAGE("https://edmondsonsupply.com/cdn/shop/products/55580.jpg?v=1633030612")</f>
        <v>#NAME?</v>
      </c>
      <c r="H777" t="e">
        <f ca="1">_xludf.IMAGE("https://m.media-amazon.com/images/I/51EpNPyb4WL._AC_UL320_.jpg")</f>
        <v>#NAME?</v>
      </c>
      <c r="I777" t="s">
        <v>824</v>
      </c>
      <c r="J777">
        <v>89.33</v>
      </c>
      <c r="K777" s="4">
        <v>1.9805999999999999</v>
      </c>
      <c r="L777">
        <v>4.7</v>
      </c>
      <c r="M777">
        <v>33</v>
      </c>
      <c r="O777" t="s">
        <v>25</v>
      </c>
      <c r="P777" t="s">
        <v>562</v>
      </c>
      <c r="Q777" t="s">
        <v>1950</v>
      </c>
    </row>
    <row r="778" spans="1:17" ht="15.5" x14ac:dyDescent="0.35">
      <c r="A778" s="3" t="str">
        <f>HYPERLINK("https://edmondsonsupply.com/collections/hvac/products/midwest-mwt-6716b-bulldog-aviation-snip", "https://edmondsonsupply.com/collections/hvac/products/midwest-mwt-6716b-bulldog-aviation-snip")</f>
        <v>https://edmondsonsupply.com/collections/hvac/products/midwest-mwt-6716b-bulldog-aviation-snip</v>
      </c>
      <c r="B778" s="3" t="str">
        <f>HYPERLINK("https://edmondsonsupply.com/products/midwest-mwt-6716b-bulldog-aviation-snip", "https://edmondsonsupply.com/products/midwest-mwt-6716b-bulldog-aviation-snip")</f>
        <v>https://edmondsonsupply.com/products/midwest-mwt-6716b-bulldog-aviation-snip</v>
      </c>
      <c r="C778" t="s">
        <v>1719</v>
      </c>
      <c r="D778" t="s">
        <v>1951</v>
      </c>
      <c r="E778" s="3" t="str">
        <f>HYPERLINK("https://www.amazon.com/Malco-5-Blade-Crimper-MIDWEST-Aviation/dp/B0CB11PTFT/ref=sr_1_4?keywords=Midwest+MWT-6716B+Bulldog+Aviation+Snip&amp;qid=1695173478&amp;sr=8-4", "https://www.amazon.com/Malco-5-Blade-Crimper-MIDWEST-Aviation/dp/B0CB11PTFT/ref=sr_1_4?keywords=Midwest+MWT-6716B+Bulldog+Aviation+Snip&amp;qid=1695173478&amp;sr=8-4")</f>
        <v>https://www.amazon.com/Malco-5-Blade-Crimper-MIDWEST-Aviation/dp/B0CB11PTFT/ref=sr_1_4?keywords=Midwest+MWT-6716B+Bulldog+Aviation+Snip&amp;qid=1695173478&amp;sr=8-4</v>
      </c>
      <c r="F778" t="s">
        <v>1952</v>
      </c>
      <c r="G778" t="e">
        <f ca="1">_xludf.IMAGE("https://edmondsonsupply.com/cdn/shop/products/mwt-6716b.png?v=1587151187")</f>
        <v>#NAME?</v>
      </c>
      <c r="H778" t="e">
        <f ca="1">_xludf.IMAGE("https://m.media-amazon.com/images/I/41xOJQAMAlL._AC_UL320_.jpg")</f>
        <v>#NAME?</v>
      </c>
      <c r="I778" t="s">
        <v>1722</v>
      </c>
      <c r="J778">
        <v>62.96</v>
      </c>
      <c r="K778" s="4">
        <v>1.9698</v>
      </c>
      <c r="L778">
        <v>4.8</v>
      </c>
      <c r="M778">
        <v>1966</v>
      </c>
      <c r="O778" t="s">
        <v>25</v>
      </c>
      <c r="P778" t="s">
        <v>1723</v>
      </c>
      <c r="Q778" t="s">
        <v>1724</v>
      </c>
    </row>
    <row r="779" spans="1:17" ht="15.5" x14ac:dyDescent="0.35">
      <c r="A779"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779" s="3" t="str">
        <f>HYPERLINK("https://edmondsonsupply.com/products/nu-calgon-44171-75-evap-foam-no-rinse-aerosol-coil-cleaner", "https://edmondsonsupply.com/products/nu-calgon-44171-75-evap-foam-no-rinse-aerosol-coil-cleaner")</f>
        <v>https://edmondsonsupply.com/products/nu-calgon-44171-75-evap-foam-no-rinse-aerosol-coil-cleaner</v>
      </c>
      <c r="C779" t="s">
        <v>1546</v>
      </c>
      <c r="D779" t="s">
        <v>1953</v>
      </c>
      <c r="E779" s="3" t="str">
        <f>HYPERLINK("https://www.amazon.com/Nu-Calgon-4171-75-Rinse-Evaporator-Cleaner/dp/B079MGRQZ9/ref=sr_1_4?keywords=Nu-Calgon+4171-75+Evap+Foam+No+Rinse%2C+Aerosol+Coil+Cleaner+%2818+oz.+can%29&amp;qid=1695173370&amp;sr=8-4", "https://www.amazon.com/Nu-Calgon-4171-75-Rinse-Evaporator-Cleaner/dp/B079MGRQZ9/ref=sr_1_4?keywords=Nu-Calgon+4171-75+Evap+Foam+No+Rinse%2C+Aerosol+Coil+Cleaner+%2818+oz.+can%29&amp;qid=1695173370&amp;sr=8-4")</f>
        <v>https://www.amazon.com/Nu-Calgon-4171-75-Rinse-Evaporator-Cleaner/dp/B079MGRQZ9/ref=sr_1_4?keywords=Nu-Calgon+4171-75+Evap+Foam+No+Rinse%2C+Aerosol+Coil+Cleaner+%2818+oz.+can%29&amp;qid=1695173370&amp;sr=8-4</v>
      </c>
      <c r="F779" t="s">
        <v>1954</v>
      </c>
      <c r="G779" t="e">
        <f ca="1">_xludf.IMAGE("https://edmondsonsupply.com/cdn/shop/products/4171-75.jpg?v=1659099515")</f>
        <v>#NAME?</v>
      </c>
      <c r="H779" t="e">
        <f ca="1">_xludf.IMAGE("https://m.media-amazon.com/images/I/71dbi-7waTL._AC_UL320_.jpg")</f>
        <v>#NAME?</v>
      </c>
      <c r="I779" t="s">
        <v>234</v>
      </c>
      <c r="J779">
        <v>34.880000000000003</v>
      </c>
      <c r="K779" s="4">
        <v>1.9684999999999999</v>
      </c>
      <c r="L779">
        <v>4.5</v>
      </c>
      <c r="M779">
        <v>191</v>
      </c>
      <c r="O779" t="s">
        <v>25</v>
      </c>
      <c r="P779" t="s">
        <v>1549</v>
      </c>
      <c r="Q779" t="s">
        <v>1550</v>
      </c>
    </row>
    <row r="780" spans="1:17" ht="15.5" x14ac:dyDescent="0.35">
      <c r="A780"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780" s="3" t="str">
        <f>HYPERLINK("https://edmondsonsupply.com/products/klein-tools-935dag-digital-angle-gauge-and-level", "https://edmondsonsupply.com/products/klein-tools-935dag-digital-angle-gauge-and-level")</f>
        <v>https://edmondsonsupply.com/products/klein-tools-935dag-digital-angle-gauge-and-level</v>
      </c>
      <c r="C780" t="s">
        <v>1924</v>
      </c>
      <c r="D780" t="s">
        <v>1955</v>
      </c>
      <c r="E780" s="3" t="str">
        <f>HYPERLINK("https://www.amazon.com/MICROJIG-GRR-RIPPER-Pushblock-Electronic-Measures/dp/B0B2DJJT1H/ref=sr_1_9?keywords=Klein+Tools+935DAG+Digital+Angle+Gauge+and+Level&amp;qid=1695173564&amp;sr=8-9", "https://www.amazon.com/MICROJIG-GRR-RIPPER-Pushblock-Electronic-Measures/dp/B0B2DJJT1H/ref=sr_1_9?keywords=Klein+Tools+935DAG+Digital+Angle+Gauge+and+Level&amp;qid=1695173564&amp;sr=8-9")</f>
        <v>https://www.amazon.com/MICROJIG-GRR-RIPPER-Pushblock-Electronic-Measures/dp/B0B2DJJT1H/ref=sr_1_9?keywords=Klein+Tools+935DAG+Digital+Angle+Gauge+and+Level&amp;qid=1695173564&amp;sr=8-9</v>
      </c>
      <c r="F780" t="s">
        <v>1956</v>
      </c>
      <c r="G780" t="e">
        <f ca="1">_xludf.IMAGE("https://edmondsonsupply.com/cdn/shop/products/935dag.jpg?v=1587145032")</f>
        <v>#NAME?</v>
      </c>
      <c r="H780" t="e">
        <f ca="1">_xludf.IMAGE("https://m.media-amazon.com/images/I/51f66NeKfjL._AC_UL320_.jpg")</f>
        <v>#NAME?</v>
      </c>
      <c r="I780" t="s">
        <v>824</v>
      </c>
      <c r="J780">
        <v>88.61</v>
      </c>
      <c r="K780" s="4">
        <v>1.9565999999999999</v>
      </c>
      <c r="L780">
        <v>4.7</v>
      </c>
      <c r="M780">
        <v>11400</v>
      </c>
      <c r="O780" t="s">
        <v>25</v>
      </c>
      <c r="P780" t="s">
        <v>73</v>
      </c>
      <c r="Q780" t="s">
        <v>1927</v>
      </c>
    </row>
    <row r="781" spans="1:17" ht="15.5" x14ac:dyDescent="0.35">
      <c r="A781" s="3" t="str">
        <f>HYPERLINK("https://edmondsonsupply.com/collections/hvac/products/nu-calgon-4289-01-4179-05", "https://edmondsonsupply.com/collections/hvac/products/nu-calgon-4289-01-4179-05")</f>
        <v>https://edmondsonsupply.com/collections/hvac/products/nu-calgon-4289-01-4179-05</v>
      </c>
      <c r="B781" s="3" t="str">
        <f>HYPERLINK("https://edmondsonsupply.com/products/nu-calgon-4289-01-4179-05", "https://edmondsonsupply.com/products/nu-calgon-4289-01-4179-05")</f>
        <v>https://edmondsonsupply.com/products/nu-calgon-4289-01-4179-05</v>
      </c>
      <c r="C781" t="s">
        <v>1957</v>
      </c>
      <c r="D781" t="s">
        <v>1958</v>
      </c>
      <c r="E781" s="3" t="str">
        <f>HYPERLINK("https://www.amazon.com/Nu-Calgon-Gallo-4179-01-Opener/dp/B08JCJK9L5/ref=sr_1_1?keywords=Nu-Calgon+4179-05+Gallo+Gun+Cannon&amp;qid=1695173341&amp;sr=8-1", "https://www.amazon.com/Nu-Calgon-Gallo-4179-01-Opener/dp/B08JCJK9L5/ref=sr_1_1?keywords=Nu-Calgon+4179-05+Gallo+Gun+Cannon&amp;qid=1695173341&amp;sr=8-1")</f>
        <v>https://www.amazon.com/Nu-Calgon-Gallo-4179-01-Opener/dp/B08JCJK9L5/ref=sr_1_1?keywords=Nu-Calgon+4179-05+Gallo+Gun+Cannon&amp;qid=1695173341&amp;sr=8-1</v>
      </c>
      <c r="F781" t="s">
        <v>1959</v>
      </c>
      <c r="G781" t="e">
        <f ca="1">_xludf.IMAGE("https://edmondsonsupply.com/cdn/shop/files/4179-05_20220222.jpg?v=1686757087")</f>
        <v>#NAME?</v>
      </c>
      <c r="H781" t="e">
        <f ca="1">_xludf.IMAGE("https://m.media-amazon.com/images/I/81t76eakIsL._AC_UL320_.jpg")</f>
        <v>#NAME?</v>
      </c>
      <c r="I781" t="s">
        <v>1960</v>
      </c>
      <c r="J781">
        <v>58</v>
      </c>
      <c r="K781" s="4">
        <v>1.9159999999999999</v>
      </c>
      <c r="L781">
        <v>4.0999999999999996</v>
      </c>
      <c r="M781">
        <v>7</v>
      </c>
      <c r="O781" t="s">
        <v>25</v>
      </c>
      <c r="P781" t="s">
        <v>1961</v>
      </c>
      <c r="Q781" t="s">
        <v>1962</v>
      </c>
    </row>
    <row r="782" spans="1:17" ht="15.5" x14ac:dyDescent="0.35">
      <c r="A782" s="3" t="str">
        <f>HYPERLINK("https://edmondsonsupply.com/collections/hvac/products/midwest-mwt-6510ro-right-cutting-offset-aviation-snip-blackout-series", "https://edmondsonsupply.com/collections/hvac/products/midwest-mwt-6510ro-right-cutting-offset-aviation-snip-blackout-series")</f>
        <v>https://edmondsonsupply.com/collections/hvac/products/midwest-mwt-6510ro-right-cutting-offset-aviation-snip-blackout-series</v>
      </c>
      <c r="B782" s="3" t="str">
        <f>HYPERLINK("https://edmondsonsupply.com/products/midwest-mwt-6510ro-right-cutting-offset-aviation-snip-blackout-series", "https://edmondsonsupply.com/products/midwest-mwt-6510ro-right-cutting-offset-aviation-snip-blackout-series")</f>
        <v>https://edmondsonsupply.com/products/midwest-mwt-6510ro-right-cutting-offset-aviation-snip-blackout-series</v>
      </c>
      <c r="C782" t="s">
        <v>157</v>
      </c>
      <c r="D782" t="s">
        <v>158</v>
      </c>
      <c r="E782" s="3" t="str">
        <f>HYPERLINK("https://www.amazon.com/MIDWEST-Aviation-Snip-Set-KUSHN-POWER/dp/B07RC7ZBK9/ref=sr_1_4?keywords=Midwest+MWT-6510RO+Right-Cutting+Offset+Aviation+Snip+-+Blackout+Series&amp;qid=1695173332&amp;sr=8-4", "https://www.amazon.com/MIDWEST-Aviation-Snip-Set-KUSHN-POWER/dp/B07RC7ZBK9/ref=sr_1_4?keywords=Midwest+MWT-6510RO+Right-Cutting+Offset+Aviation+Snip+-+Blackout+Series&amp;qid=1695173332&amp;sr=8-4")</f>
        <v>https://www.amazon.com/MIDWEST-Aviation-Snip-Set-KUSHN-POWER/dp/B07RC7ZBK9/ref=sr_1_4?keywords=Midwest+MWT-6510RO+Right-Cutting+Offset+Aviation+Snip+-+Blackout+Series&amp;qid=1695173332&amp;sr=8-4</v>
      </c>
      <c r="F782" t="s">
        <v>159</v>
      </c>
      <c r="G782" t="e">
        <f ca="1">_xludf.IMAGE("https://edmondsonsupply.com/cdn/shop/products/6510ro.jpg?v=1587142626")</f>
        <v>#NAME?</v>
      </c>
      <c r="H782" t="e">
        <f ca="1">_xludf.IMAGE("https://m.media-amazon.com/images/I/71438hbSyHL._AC_UL320_.jpg")</f>
        <v>#NAME?</v>
      </c>
      <c r="I782" t="s">
        <v>160</v>
      </c>
      <c r="J782">
        <v>87.99</v>
      </c>
      <c r="K782" s="4">
        <v>1.903</v>
      </c>
      <c r="L782">
        <v>4.4000000000000004</v>
      </c>
      <c r="M782">
        <v>1137</v>
      </c>
      <c r="O782" t="s">
        <v>25</v>
      </c>
      <c r="P782" t="s">
        <v>161</v>
      </c>
      <c r="Q782" t="s">
        <v>162</v>
      </c>
    </row>
    <row r="783" spans="1:17" ht="15.5" x14ac:dyDescent="0.35">
      <c r="A783"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783" s="3" t="str">
        <f>HYPERLINK("https://edmondsonsupply.com/products/packard-ttmj108-motor-start-capacitor-108-130-mfd-220-250-vac", "https://edmondsonsupply.com/products/packard-ttmj108-motor-start-capacitor-108-130-mfd-220-250-vac")</f>
        <v>https://edmondsonsupply.com/products/packard-ttmj108-motor-start-capacitor-108-130-mfd-220-250-vac</v>
      </c>
      <c r="C783" t="s">
        <v>1473</v>
      </c>
      <c r="D783" t="s">
        <v>1963</v>
      </c>
      <c r="E783" s="3" t="str">
        <f>HYPERLINK("https://www.amazon.com/PTMJ108-Packard-Aftermarket-Replacement-Capacitor/dp/B00IWYEC8M/ref=sr_1_1?keywords=Packard+TTMJ108+Motor+Start+Capacitor+108-130+MFD+220-250+VAC&amp;qid=1695173723&amp;sr=8-1", "https://www.amazon.com/PTMJ108-Packard-Aftermarket-Replacement-Capacitor/dp/B00IWYEC8M/ref=sr_1_1?keywords=Packard+TTMJ108+Motor+Start+Capacitor+108-130+MFD+220-250+VAC&amp;qid=1695173723&amp;sr=8-1")</f>
        <v>https://www.amazon.com/PTMJ108-Packard-Aftermarket-Replacement-Capacitor/dp/B00IWYEC8M/ref=sr_1_1?keywords=Packard+TTMJ108+Motor+Start+Capacitor+108-130+MFD+220-250+VAC&amp;qid=1695173723&amp;sr=8-1</v>
      </c>
      <c r="F783" t="s">
        <v>1964</v>
      </c>
      <c r="G783" t="e">
        <f ca="1">_xludf.IMAGE("https://edmondsonsupply.com/cdn/shop/files/PTMJ108-2_c3537879-2bfc-401f-867d-9ee4aaa5c4bb.jpg?v=1692220228")</f>
        <v>#NAME?</v>
      </c>
      <c r="H783" t="e">
        <f ca="1">_xludf.IMAGE("https://m.media-amazon.com/images/I/41k5rZblOYL._AC_UY218_.jpg")</f>
        <v>#NAME?</v>
      </c>
      <c r="I783" t="s">
        <v>1476</v>
      </c>
      <c r="J783">
        <v>12.74</v>
      </c>
      <c r="K783" s="4">
        <v>1.9020999999999999</v>
      </c>
      <c r="L783">
        <v>4.5</v>
      </c>
      <c r="M783">
        <v>23</v>
      </c>
      <c r="O783" t="s">
        <v>25</v>
      </c>
      <c r="P783" t="s">
        <v>138</v>
      </c>
      <c r="Q783" t="s">
        <v>1477</v>
      </c>
    </row>
    <row r="784" spans="1:17" ht="15.5" x14ac:dyDescent="0.35">
      <c r="A784"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784" s="3" t="str">
        <f>HYPERLINK("https://edmondsonsupply.com/products/midwest-mwt-6510s-straight-offset-aviation-snip", "https://edmondsonsupply.com/products/midwest-mwt-6510s-straight-offset-aviation-snip")</f>
        <v>https://edmondsonsupply.com/products/midwest-mwt-6510s-straight-offset-aviation-snip</v>
      </c>
      <c r="C784" t="s">
        <v>1736</v>
      </c>
      <c r="D784" t="s">
        <v>1965</v>
      </c>
      <c r="E784" s="3" t="str">
        <f>HYPERLINK("https://www.amazon.com/Midwest-Tools-Cutlery-MWT-6510C-Aviation/dp/B01J9IC5D8/ref=sr_1_3?keywords=Midwest+MWT-6510S+Straight+Offset+Aviation+Snip&amp;qid=1695173382&amp;sr=8-3", "https://www.amazon.com/Midwest-Tools-Cutlery-MWT-6510C-Aviation/dp/B01J9IC5D8/ref=sr_1_3?keywords=Midwest+MWT-6510S+Straight+Offset+Aviation+Snip&amp;qid=1695173382&amp;sr=8-3")</f>
        <v>https://www.amazon.com/Midwest-Tools-Cutlery-MWT-6510C-Aviation/dp/B01J9IC5D8/ref=sr_1_3?keywords=Midwest+MWT-6510S+Straight+Offset+Aviation+Snip&amp;qid=1695173382&amp;sr=8-3</v>
      </c>
      <c r="F784" t="s">
        <v>1966</v>
      </c>
      <c r="G784" t="e">
        <f ca="1">_xludf.IMAGE("https://edmondsonsupply.com/cdn/shop/products/MWT-6510S-1.jpg?v=1587150061")</f>
        <v>#NAME?</v>
      </c>
      <c r="H784" t="e">
        <f ca="1">_xludf.IMAGE("https://m.media-amazon.com/images/I/71GdMeiK3LL._AC_UL320_.jpg")</f>
        <v>#NAME?</v>
      </c>
      <c r="I784" t="s">
        <v>1737</v>
      </c>
      <c r="J784">
        <v>68</v>
      </c>
      <c r="K784" s="4">
        <v>1.8948</v>
      </c>
      <c r="L784">
        <v>4.7</v>
      </c>
      <c r="M784">
        <v>410</v>
      </c>
      <c r="O784" t="s">
        <v>171</v>
      </c>
      <c r="P784" t="s">
        <v>260</v>
      </c>
      <c r="Q784" t="s">
        <v>1738</v>
      </c>
    </row>
    <row r="785" spans="1:17" ht="15.5" x14ac:dyDescent="0.35">
      <c r="A785" s="3" t="str">
        <f>HYPERLINK("https://edmondsonsupply.com/collections/hvac/products/packard-titan-pro-tmj270-motor-start-capacitor-270-324-mfd-110-125-vac", "https://edmondsonsupply.com/collections/hvac/products/packard-titan-pro-tmj270-motor-start-capacitor-270-324-mfd-110-125-vac")</f>
        <v>https://edmondsonsupply.com/collections/hvac/products/packard-titan-pro-tmj270-motor-start-capacitor-270-324-mfd-110-125-vac</v>
      </c>
      <c r="B785" s="3" t="str">
        <f>HYPERLINK("https://edmondsonsupply.com/products/packard-titan-pro-tmj270-motor-start-capacitor-270-324-mfd-110-125-vac", "https://edmondsonsupply.com/products/packard-titan-pro-tmj270-motor-start-capacitor-270-324-mfd-110-125-vac")</f>
        <v>https://edmondsonsupply.com/products/packard-titan-pro-tmj270-motor-start-capacitor-270-324-mfd-110-125-vac</v>
      </c>
      <c r="C785" t="s">
        <v>1967</v>
      </c>
      <c r="D785" t="s">
        <v>1968</v>
      </c>
      <c r="E785" s="3" t="str">
        <f>HYPERLINK("https://www.amazon.com/PMJ270-Packard-Upgraded-Replacement-Capacitor/dp/B0773VP7SQ/ref=sr_1_4?keywords=Packard+Titan+Pro+TMJ270+Motor+Start+Capacitor+270-324+MFD+110-125+VAC&amp;qid=1695173701&amp;sr=8-4", "https://www.amazon.com/PMJ270-Packard-Upgraded-Replacement-Capacitor/dp/B0773VP7SQ/ref=sr_1_4?keywords=Packard+Titan+Pro+TMJ270+Motor+Start+Capacitor+270-324+MFD+110-125+VAC&amp;qid=1695173701&amp;sr=8-4")</f>
        <v>https://www.amazon.com/PMJ270-Packard-Upgraded-Replacement-Capacitor/dp/B0773VP7SQ/ref=sr_1_4?keywords=Packard+Titan+Pro+TMJ270+Motor+Start+Capacitor+270-324+MFD+110-125+VAC&amp;qid=1695173701&amp;sr=8-4</v>
      </c>
      <c r="F785" t="s">
        <v>1969</v>
      </c>
      <c r="G785" t="e">
        <f ca="1">_xludf.IMAGE("https://edmondsonsupply.com/cdn/shop/files/PMJ270-2_b521b26a-fa05-4c47-a95a-20aac83f69c8.jpg?v=1692630463")</f>
        <v>#NAME?</v>
      </c>
      <c r="H785" t="e">
        <f ca="1">_xludf.IMAGE("https://m.media-amazon.com/images/I/41fqQrQgJaL._AC_UY218_.jpg")</f>
        <v>#NAME?</v>
      </c>
      <c r="I785" t="s">
        <v>1386</v>
      </c>
      <c r="J785">
        <v>10.050000000000001</v>
      </c>
      <c r="K785" s="4">
        <v>1.8796999999999999</v>
      </c>
      <c r="L785">
        <v>4.3</v>
      </c>
      <c r="M785">
        <v>29</v>
      </c>
      <c r="O785" t="s">
        <v>25</v>
      </c>
      <c r="P785" t="s">
        <v>138</v>
      </c>
      <c r="Q785" t="s">
        <v>1970</v>
      </c>
    </row>
    <row r="786" spans="1:17" ht="15.5" x14ac:dyDescent="0.35">
      <c r="A786" s="3" t="str">
        <f>HYPERLINK("https://edmondsonsupply.com/collections/hvac/products/klein-tools-65200-electricians-mini-ratchet-set-5-piece", "https://edmondsonsupply.com/collections/hvac/products/klein-tools-65200-electricians-mini-ratchet-set-5-piece")</f>
        <v>https://edmondsonsupply.com/collections/hvac/products/klein-tools-65200-electricians-mini-ratchet-set-5-piece</v>
      </c>
      <c r="B786" s="3" t="str">
        <f>HYPERLINK("https://edmondsonsupply.com/products/klein-tools-65200-electricians-mini-ratchet-set-5-piece", "https://edmondsonsupply.com/products/klein-tools-65200-electricians-mini-ratchet-set-5-piece")</f>
        <v>https://edmondsonsupply.com/products/klein-tools-65200-electricians-mini-ratchet-set-5-piece</v>
      </c>
      <c r="C786" t="s">
        <v>140</v>
      </c>
      <c r="D786" t="s">
        <v>163</v>
      </c>
      <c r="E786" s="3" t="str">
        <f>HYPERLINK("https://www.amazon.com/Klein-Tools-Precision-Screwdriver-Phillips/dp/B0BK4M6YR9/ref=sr_1_7?keywords=Klein+Tools+65200+Slim-Profile+Mini+Ratchet+Set%2C+5-Piece&amp;qid=1695173348&amp;sr=8-7", "https://www.amazon.com/Klein-Tools-Precision-Screwdriver-Phillips/dp/B0BK4M6YR9/ref=sr_1_7?keywords=Klein+Tools+65200+Slim-Profile+Mini+Ratchet+Set%2C+5-Piece&amp;qid=1695173348&amp;sr=8-7")</f>
        <v>https://www.amazon.com/Klein-Tools-Precision-Screwdriver-Phillips/dp/B0BK4M6YR9/ref=sr_1_7?keywords=Klein+Tools+65200+Slim-Profile+Mini+Ratchet+Set%2C+5-Piece&amp;qid=1695173348&amp;sr=8-7</v>
      </c>
      <c r="F786" t="s">
        <v>164</v>
      </c>
      <c r="G786" t="e">
        <f ca="1">_xludf.IMAGE("https://edmondsonsupply.com/cdn/shop/products/65200.jpg?v=1633030630")</f>
        <v>#NAME?</v>
      </c>
      <c r="H786" t="e">
        <f ca="1">_xludf.IMAGE("https://m.media-amazon.com/images/I/51dEfrYf+TL._AC_UL320_.jpg")</f>
        <v>#NAME?</v>
      </c>
      <c r="I786" t="s">
        <v>143</v>
      </c>
      <c r="J786">
        <v>45.93</v>
      </c>
      <c r="K786" s="4">
        <v>1.8759999999999999</v>
      </c>
      <c r="L786">
        <v>5</v>
      </c>
      <c r="M786">
        <v>5</v>
      </c>
      <c r="O786" t="s">
        <v>25</v>
      </c>
      <c r="P786" t="s">
        <v>144</v>
      </c>
      <c r="Q786" t="s">
        <v>145</v>
      </c>
    </row>
    <row r="787" spans="1:17" ht="15.5" x14ac:dyDescent="0.35">
      <c r="A787" s="3" t="str">
        <f>HYPERLINK("https://edmondsonsupply.com/collections/hvac/products/midwest-mwt-6716b-bulldog-aviation-snip", "https://edmondsonsupply.com/collections/hvac/products/midwest-mwt-6716b-bulldog-aviation-snip")</f>
        <v>https://edmondsonsupply.com/collections/hvac/products/midwest-mwt-6716b-bulldog-aviation-snip</v>
      </c>
      <c r="B787" s="3" t="str">
        <f>HYPERLINK("https://edmondsonsupply.com/products/midwest-mwt-6716b-bulldog-aviation-snip", "https://edmondsonsupply.com/products/midwest-mwt-6716b-bulldog-aviation-snip")</f>
        <v>https://edmondsonsupply.com/products/midwest-mwt-6716b-bulldog-aviation-snip</v>
      </c>
      <c r="C787" t="s">
        <v>1719</v>
      </c>
      <c r="D787" t="s">
        <v>1971</v>
      </c>
      <c r="E787" s="3" t="str">
        <f>HYPERLINK("https://www.amazon.com/Estwing-Tinners-MIDWEST-Bulldog-Aviation/dp/B0BFXT2SPF/ref=sr_1_3?keywords=Midwest+MWT-6716B+Bulldog+Aviation+Snip&amp;qid=1695173478&amp;sr=8-3", "https://www.amazon.com/Estwing-Tinners-MIDWEST-Bulldog-Aviation/dp/B0BFXT2SPF/ref=sr_1_3?keywords=Midwest+MWT-6716B+Bulldog+Aviation+Snip&amp;qid=1695173478&amp;sr=8-3")</f>
        <v>https://www.amazon.com/Estwing-Tinners-MIDWEST-Bulldog-Aviation/dp/B0BFXT2SPF/ref=sr_1_3?keywords=Midwest+MWT-6716B+Bulldog+Aviation+Snip&amp;qid=1695173478&amp;sr=8-3</v>
      </c>
      <c r="F787" t="s">
        <v>1972</v>
      </c>
      <c r="G787" t="e">
        <f ca="1">_xludf.IMAGE("https://edmondsonsupply.com/cdn/shop/products/mwt-6716b.png?v=1587151187")</f>
        <v>#NAME?</v>
      </c>
      <c r="H787" t="e">
        <f ca="1">_xludf.IMAGE("https://m.media-amazon.com/images/I/41uD9kRvb2L._AC_UL320_.jpg")</f>
        <v>#NAME?</v>
      </c>
      <c r="I787" t="s">
        <v>1722</v>
      </c>
      <c r="J787">
        <v>60.95</v>
      </c>
      <c r="K787" s="4">
        <v>1.875</v>
      </c>
      <c r="L787">
        <v>4.8</v>
      </c>
      <c r="M787">
        <v>3089</v>
      </c>
      <c r="O787" t="s">
        <v>25</v>
      </c>
      <c r="P787" t="s">
        <v>1723</v>
      </c>
      <c r="Q787" t="s">
        <v>1724</v>
      </c>
    </row>
    <row r="788" spans="1:17" ht="15.5" x14ac:dyDescent="0.35">
      <c r="A788"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788" s="3" t="str">
        <f>HYPERLINK("https://edmondsonsupply.com/products/packard-pmj590-motor-start-capacitor-590-708-mfd-110-125-volt", "https://edmondsonsupply.com/products/packard-pmj590-motor-start-capacitor-590-708-mfd-110-125-volt")</f>
        <v>https://edmondsonsupply.com/products/packard-pmj590-motor-start-capacitor-590-708-mfd-110-125-volt</v>
      </c>
      <c r="C788" t="s">
        <v>1973</v>
      </c>
      <c r="D788" t="s">
        <v>1558</v>
      </c>
      <c r="E788" s="3" t="str">
        <f>HYPERLINK("https://www.amazon.com/PMJ850-Upgraded-Replacement-Capacitor-850-1020/dp/B0773VT257/ref=sr_1_6?keywords=Packard+PMJ590+Motor+Start+Capacitor+590-708+MFD+110-125+Volt&amp;qid=1695173547&amp;sr=8-6", "https://www.amazon.com/PMJ850-Upgraded-Replacement-Capacitor-850-1020/dp/B0773VT257/ref=sr_1_6?keywords=Packard+PMJ590+Motor+Start+Capacitor+590-708+MFD+110-125+Volt&amp;qid=1695173547&amp;sr=8-6")</f>
        <v>https://www.amazon.com/PMJ850-Upgraded-Replacement-Capacitor-850-1020/dp/B0773VT257/ref=sr_1_6?keywords=Packard+PMJ590+Motor+Start+Capacitor+590-708+MFD+110-125+Volt&amp;qid=1695173547&amp;sr=8-6</v>
      </c>
      <c r="F788" t="s">
        <v>1559</v>
      </c>
      <c r="G788" t="e">
        <f ca="1">_xludf.IMAGE("https://edmondsonsupply.com/cdn/shop/products/PMJ590-2.jpg?v=1633030307")</f>
        <v>#NAME?</v>
      </c>
      <c r="H788" t="e">
        <f ca="1">_xludf.IMAGE("https://m.media-amazon.com/images/I/41fqQrQgJaL._AC_UY218_.jpg")</f>
        <v>#NAME?</v>
      </c>
      <c r="I788" t="s">
        <v>1974</v>
      </c>
      <c r="J788">
        <v>17.739999999999998</v>
      </c>
      <c r="K788" s="4">
        <v>1.8706</v>
      </c>
      <c r="L788">
        <v>5</v>
      </c>
      <c r="M788">
        <v>4</v>
      </c>
      <c r="O788" t="s">
        <v>25</v>
      </c>
      <c r="P788" t="s">
        <v>138</v>
      </c>
      <c r="Q788" t="s">
        <v>1975</v>
      </c>
    </row>
    <row r="789" spans="1:17" ht="15.5" x14ac:dyDescent="0.35">
      <c r="A789"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789" s="3" t="str">
        <f>HYPERLINK("https://edmondsonsupply.com/products/klein-tools-646-5-16-5-16-inch-nut-driver-6-inch-hollow-shaft", "https://edmondsonsupply.com/products/klein-tools-646-5-16-5-16-inch-nut-driver-6-inch-hollow-shaft")</f>
        <v>https://edmondsonsupply.com/products/klein-tools-646-5-16-5-16-inch-nut-driver-6-inch-hollow-shaft</v>
      </c>
      <c r="C789" t="s">
        <v>1893</v>
      </c>
      <c r="D789" t="s">
        <v>1976</v>
      </c>
      <c r="E789" s="3" t="str">
        <f>HYPERLINK("https://www.amazon.com/Magnetic-Klein-Tools-618-5-16M/dp/B000TKF43E/ref=sr_1_9?keywords=Klein+Tools+646-5%2F16+5%2F16-Inch+Nut+Driver%2C+6-Inch+Hollow+Shaft&amp;qid=1695173549&amp;sr=8-9", "https://www.amazon.com/Magnetic-Klein-Tools-618-5-16M/dp/B000TKF43E/ref=sr_1_9?keywords=Klein+Tools+646-5%2F16+5%2F16-Inch+Nut+Driver%2C+6-Inch+Hollow+Shaft&amp;qid=1695173549&amp;sr=8-9")</f>
        <v>https://www.amazon.com/Magnetic-Klein-Tools-618-5-16M/dp/B000TKF43E/ref=sr_1_9?keywords=Klein+Tools+646-5%2F16+5%2F16-Inch+Nut+Driver%2C+6-Inch+Hollow+Shaft&amp;qid=1695173549&amp;sr=8-9</v>
      </c>
      <c r="F789" t="s">
        <v>1977</v>
      </c>
      <c r="G789" t="e">
        <f ca="1">_xludf.IMAGE("https://edmondsonsupply.com/cdn/shop/products/646-1-2_e1540905-f750-4509-90c5-74ff653e4d83.jpg?v=1587145119")</f>
        <v>#NAME?</v>
      </c>
      <c r="H789" t="e">
        <f ca="1">_xludf.IMAGE("https://m.media-amazon.com/images/I/41mbuHhYFHL._AC_UL320_.jpg")</f>
        <v>#NAME?</v>
      </c>
      <c r="I789" t="s">
        <v>1003</v>
      </c>
      <c r="J789">
        <v>22.84</v>
      </c>
      <c r="K789" s="4">
        <v>1.8586</v>
      </c>
      <c r="L789">
        <v>4.3</v>
      </c>
      <c r="M789">
        <v>35</v>
      </c>
      <c r="O789" t="s">
        <v>25</v>
      </c>
      <c r="P789" t="s">
        <v>1481</v>
      </c>
      <c r="Q789" t="s">
        <v>1896</v>
      </c>
    </row>
    <row r="790" spans="1:17" ht="15.5" x14ac:dyDescent="0.35">
      <c r="A790" s="3" t="str">
        <f>HYPERLINK("https://edmondsonsupply.com/collections/hvac/products/klein-tools-ktsb03-step-drill-bit-double-fluted-3-1-4-to-3-4-inch", "https://edmondsonsupply.com/collections/hvac/products/klein-tools-ktsb03-step-drill-bit-double-fluted-3-1-4-to-3-4-inch")</f>
        <v>https://edmondsonsupply.com/collections/hvac/products/klein-tools-ktsb03-step-drill-bit-double-fluted-3-1-4-to-3-4-inch</v>
      </c>
      <c r="B790" s="3" t="str">
        <f>HYPERLINK("https://edmondsonsupply.com/products/klein-tools-ktsb03-step-drill-bit-double-fluted-3-1-4-to-3-4-inch", "https://edmondsonsupply.com/products/klein-tools-ktsb03-step-drill-bit-double-fluted-3-1-4-to-3-4-inch")</f>
        <v>https://edmondsonsupply.com/products/klein-tools-ktsb03-step-drill-bit-double-fluted-3-1-4-to-3-4-inch</v>
      </c>
      <c r="C790" t="s">
        <v>1978</v>
      </c>
      <c r="D790" t="s">
        <v>1979</v>
      </c>
      <c r="E790" s="3" t="str">
        <f>HYPERLINK("https://www.amazon.com/Klein-Tools-25951-Electricians-Titanium/dp/B0BLFRJLDX/ref=sr_1_2?keywords=Klein+Tools+KTSB03+Step+Drill+Bit+Double+Fluted&amp;qid=1695173677&amp;sr=8-2", "https://www.amazon.com/Klein-Tools-25951-Electricians-Titanium/dp/B0BLFRJLDX/ref=sr_1_2?keywords=Klein+Tools+KTSB03+Step+Drill+Bit+Double+Fluted&amp;qid=1695173677&amp;sr=8-2")</f>
        <v>https://www.amazon.com/Klein-Tools-25951-Electricians-Titanium/dp/B0BLFRJLDX/ref=sr_1_2?keywords=Klein+Tools+KTSB03+Step+Drill+Bit+Double+Fluted&amp;qid=1695173677&amp;sr=8-2</v>
      </c>
      <c r="F790" t="s">
        <v>1980</v>
      </c>
      <c r="G790" t="e">
        <f ca="1">_xludf.IMAGE("https://edmondsonsupply.com/cdn/shop/products/ktsb03.jpg?v=1666012212")</f>
        <v>#NAME?</v>
      </c>
      <c r="H790" t="e">
        <f ca="1">_xludf.IMAGE("https://m.media-amazon.com/images/I/61dZd3WvlgL._AC_UY218_.jpg")</f>
        <v>#NAME?</v>
      </c>
      <c r="I790" t="s">
        <v>571</v>
      </c>
      <c r="J790">
        <v>99.99</v>
      </c>
      <c r="K790" s="4">
        <v>1.8576999999999999</v>
      </c>
      <c r="L790">
        <v>3.8</v>
      </c>
      <c r="M790">
        <v>6</v>
      </c>
      <c r="O790" t="s">
        <v>25</v>
      </c>
      <c r="P790" t="s">
        <v>1981</v>
      </c>
      <c r="Q790" t="s">
        <v>1982</v>
      </c>
    </row>
    <row r="791" spans="1:17" ht="15.5" x14ac:dyDescent="0.35">
      <c r="A791" s="3" t="str">
        <f>HYPERLINK("https://edmondsonsupply.com/collections/hvac/products/klein-tools-et05-digital-pocket-thermometer", "https://edmondsonsupply.com/collections/hvac/products/klein-tools-et05-digital-pocket-thermometer")</f>
        <v>https://edmondsonsupply.com/collections/hvac/products/klein-tools-et05-digital-pocket-thermometer</v>
      </c>
      <c r="B791" s="3" t="str">
        <f>HYPERLINK("https://edmondsonsupply.com/products/klein-tools-et05-digital-pocket-thermometer", "https://edmondsonsupply.com/products/klein-tools-et05-digital-pocket-thermometer")</f>
        <v>https://edmondsonsupply.com/products/klein-tools-et05-digital-pocket-thermometer</v>
      </c>
      <c r="C791" t="s">
        <v>1859</v>
      </c>
      <c r="D791" t="s">
        <v>1983</v>
      </c>
      <c r="E791" s="3" t="str">
        <f>HYPERLINK("https://www.amazon.com/Klein-Tools-Digital-Thermometer-Instruments/dp/B0BGPW6Q6B/ref=sr_1_3?keywords=Klein+Tools+ET05+Digital+Pocket+Thermometer&amp;qid=1695173684&amp;sr=8-3", "https://www.amazon.com/Klein-Tools-Digital-Thermometer-Instruments/dp/B0BGPW6Q6B/ref=sr_1_3?keywords=Klein+Tools+ET05+Digital+Pocket+Thermometer&amp;qid=1695173684&amp;sr=8-3")</f>
        <v>https://www.amazon.com/Klein-Tools-Digital-Thermometer-Instruments/dp/B0BGPW6Q6B/ref=sr_1_3?keywords=Klein+Tools+ET05+Digital+Pocket+Thermometer&amp;qid=1695173684&amp;sr=8-3</v>
      </c>
      <c r="F791" t="s">
        <v>1984</v>
      </c>
      <c r="G791" t="e">
        <f ca="1">_xludf.IMAGE("https://edmondsonsupply.com/cdn/shop/products/et05.jpg?v=1587144900")</f>
        <v>#NAME?</v>
      </c>
      <c r="H791" t="e">
        <f ca="1">_xludf.IMAGE("https://m.media-amazon.com/images/I/31gA144H34L._AC_UY218_.jpg")</f>
        <v>#NAME?</v>
      </c>
      <c r="I791" t="s">
        <v>143</v>
      </c>
      <c r="J791">
        <v>45.22</v>
      </c>
      <c r="K791" s="4">
        <v>1.8315999999999999</v>
      </c>
      <c r="L791">
        <v>3.5</v>
      </c>
      <c r="M791">
        <v>2</v>
      </c>
      <c r="O791" t="s">
        <v>25</v>
      </c>
      <c r="P791" t="s">
        <v>1862</v>
      </c>
      <c r="Q791" t="s">
        <v>1863</v>
      </c>
    </row>
    <row r="792" spans="1:17" ht="15.5" x14ac:dyDescent="0.35">
      <c r="A792" s="3" t="str">
        <f>HYPERLINK("https://edmondsonsupply.com/collections/hvac/products/milwaukee-48-22-2930-4-in-1-precision-multi-bit-screwdriver", "https://edmondsonsupply.com/collections/hvac/products/milwaukee-48-22-2930-4-in-1-precision-multi-bit-screwdriver")</f>
        <v>https://edmondsonsupply.com/collections/hvac/products/milwaukee-48-22-2930-4-in-1-precision-multi-bit-screwdriver</v>
      </c>
      <c r="B792" s="3" t="str">
        <f>HYPERLINK("https://edmondsonsupply.com/products/milwaukee-48-22-2930-4-in-1-precision-multi-bit-screwdriver", "https://edmondsonsupply.com/products/milwaukee-48-22-2930-4-in-1-precision-multi-bit-screwdriver")</f>
        <v>https://edmondsonsupply.com/products/milwaukee-48-22-2930-4-in-1-precision-multi-bit-screwdriver</v>
      </c>
      <c r="C792" t="s">
        <v>1886</v>
      </c>
      <c r="D792" t="s">
        <v>1985</v>
      </c>
      <c r="E792" s="3" t="str">
        <f>HYPERLINK("https://www.amazon.com/48-22-2330-Milwaukee-Ratcheting-Multi-Bit-Screwdriver/dp/B0C2VXJ8ZN/ref=sr_1_1?keywords=Milwaukee+48-22-2930+4-in-1+Precision+Multi-Bit+Screwdriver&amp;qid=1695173583&amp;sr=8-1", "https://www.amazon.com/48-22-2330-Milwaukee-Ratcheting-Multi-Bit-Screwdriver/dp/B0C2VXJ8ZN/ref=sr_1_1?keywords=Milwaukee+48-22-2930+4-in-1+Precision+Multi-Bit+Screwdriver&amp;qid=1695173583&amp;sr=8-1")</f>
        <v>https://www.amazon.com/48-22-2330-Milwaukee-Ratcheting-Multi-Bit-Screwdriver/dp/B0C2VXJ8ZN/ref=sr_1_1?keywords=Milwaukee+48-22-2930+4-in-1+Precision+Multi-Bit+Screwdriver&amp;qid=1695173583&amp;sr=8-1</v>
      </c>
      <c r="F792" t="s">
        <v>1986</v>
      </c>
      <c r="G792" t="e">
        <f ca="1">_xludf.IMAGE("https://edmondsonsupply.com/cdn/shop/files/48-22-2930_PrimaryImage_WEB.webp?v=1686154438")</f>
        <v>#NAME?</v>
      </c>
      <c r="H792" t="e">
        <f ca="1">_xludf.IMAGE("https://m.media-amazon.com/images/I/51NHRcqTkvL._AC_UL320_.jpg")</f>
        <v>#NAME?</v>
      </c>
      <c r="I792" t="s">
        <v>1211</v>
      </c>
      <c r="J792">
        <v>36.619999999999997</v>
      </c>
      <c r="K792" s="4">
        <v>1.8233999999999999</v>
      </c>
      <c r="L792">
        <v>5</v>
      </c>
      <c r="M792">
        <v>1</v>
      </c>
      <c r="O792" t="s">
        <v>25</v>
      </c>
      <c r="P792" t="s">
        <v>1889</v>
      </c>
      <c r="Q792" t="s">
        <v>1890</v>
      </c>
    </row>
    <row r="793" spans="1:17" ht="15.5" x14ac:dyDescent="0.35">
      <c r="A793" s="3" t="str">
        <f>HYPERLINK("https://edmondsonsupply.com/collections/hvac/products/klein-tools-3005cr-ratcheting-crimper-10-22-awg", "https://edmondsonsupply.com/collections/hvac/products/klein-tools-3005cr-ratcheting-crimper-10-22-awg")</f>
        <v>https://edmondsonsupply.com/collections/hvac/products/klein-tools-3005cr-ratcheting-crimper-10-22-awg</v>
      </c>
      <c r="B793" s="3" t="str">
        <f>HYPERLINK("https://edmondsonsupply.com/products/klein-tools-3005cr-ratcheting-crimper-10-22-awg", "https://edmondsonsupply.com/products/klein-tools-3005cr-ratcheting-crimper-10-22-awg")</f>
        <v>https://edmondsonsupply.com/products/klein-tools-3005cr-ratcheting-crimper-10-22-awg</v>
      </c>
      <c r="C793" t="s">
        <v>1987</v>
      </c>
      <c r="D793" t="s">
        <v>1988</v>
      </c>
      <c r="E793" s="3" t="str">
        <f>HYPERLINK("https://www.amazon.com/Automatic-Stripper-Ratcheting-Insulated-Terminal/dp/B0BM3NKTGN/ref=sr_1_2?keywords=Klein+Tools+3005CR+Ratcheting+Crimper%2C+10-22+AWG+-+Insulated+Terminals&amp;qid=1695173487&amp;sr=8-2", "https://www.amazon.com/Automatic-Stripper-Ratcheting-Insulated-Terminal/dp/B0BM3NKTGN/ref=sr_1_2?keywords=Klein+Tools+3005CR+Ratcheting+Crimper%2C+10-22+AWG+-+Insulated+Terminals&amp;qid=1695173487&amp;sr=8-2")</f>
        <v>https://www.amazon.com/Automatic-Stripper-Ratcheting-Insulated-Terminal/dp/B0BM3NKTGN/ref=sr_1_2?keywords=Klein+Tools+3005CR+Ratcheting+Crimper%2C+10-22+AWG+-+Insulated+Terminals&amp;qid=1695173487&amp;sr=8-2</v>
      </c>
      <c r="F793" t="s">
        <v>1989</v>
      </c>
      <c r="G793" t="e">
        <f ca="1">_xludf.IMAGE("https://edmondsonsupply.com/cdn/shop/products/3005cr.jpg?v=1587146892")</f>
        <v>#NAME?</v>
      </c>
      <c r="H793" t="e">
        <f ca="1">_xludf.IMAGE("https://m.media-amazon.com/images/I/41G9n+KVXLL._AC_UL320_.jpg")</f>
        <v>#NAME?</v>
      </c>
      <c r="I793" t="s">
        <v>824</v>
      </c>
      <c r="J793">
        <v>84.49</v>
      </c>
      <c r="K793" s="4">
        <v>1.8191999999999999</v>
      </c>
      <c r="L793">
        <v>4.5999999999999996</v>
      </c>
      <c r="M793">
        <v>1243</v>
      </c>
      <c r="O793" t="s">
        <v>25</v>
      </c>
      <c r="P793" t="s">
        <v>1990</v>
      </c>
      <c r="Q793" t="s">
        <v>1991</v>
      </c>
    </row>
    <row r="794" spans="1:17" ht="15.5" x14ac:dyDescent="0.35">
      <c r="A794" s="3" t="str">
        <f>HYPERLINK("https://edmondsonsupply.com/collections/hvac/products/packard-prmj88-motor-start-capacitor-88-108-mfd-330-volt", "https://edmondsonsupply.com/collections/hvac/products/packard-prmj88-motor-start-capacitor-88-108-mfd-330-volt")</f>
        <v>https://edmondsonsupply.com/collections/hvac/products/packard-prmj88-motor-start-capacitor-88-108-mfd-330-volt</v>
      </c>
      <c r="B794" s="3" t="str">
        <f>HYPERLINK("https://edmondsonsupply.com/products/packard-prmj88-motor-start-capacitor-88-108-mfd-330-volt", "https://edmondsonsupply.com/products/packard-prmj88-motor-start-capacitor-88-108-mfd-330-volt")</f>
        <v>https://edmondsonsupply.com/products/packard-prmj88-motor-start-capacitor-88-108-mfd-330-volt</v>
      </c>
      <c r="C794" t="s">
        <v>1992</v>
      </c>
      <c r="D794" t="s">
        <v>1993</v>
      </c>
      <c r="E794" s="3" t="str">
        <f>HYPERLINK("https://www.amazon.com/PRMJ88-Packard-Upgraded-Replacement-Capacitor/dp/B0773SJX5T/ref=sr_1_2?keywords=Packard+PRMJ88+Motor+Start+Capacitor+88-108+MFD+330+Volt&amp;qid=1695173645&amp;sr=8-2", "https://www.amazon.com/PRMJ88-Packard-Upgraded-Replacement-Capacitor/dp/B0773SJX5T/ref=sr_1_2?keywords=Packard+PRMJ88+Motor+Start+Capacitor+88-108+MFD+330+Volt&amp;qid=1695173645&amp;sr=8-2")</f>
        <v>https://www.amazon.com/PRMJ88-Packard-Upgraded-Replacement-Capacitor/dp/B0773SJX5T/ref=sr_1_2?keywords=Packard+PRMJ88+Motor+Start+Capacitor+88-108+MFD+330+Volt&amp;qid=1695173645&amp;sr=8-2</v>
      </c>
      <c r="F794" t="s">
        <v>1994</v>
      </c>
      <c r="G794" t="e">
        <f ca="1">_xludf.IMAGE("https://edmondsonsupply.com/cdn/shop/products/PRMJ88-2.jpg?v=1633030394")</f>
        <v>#NAME?</v>
      </c>
      <c r="H794" t="e">
        <f ca="1">_xludf.IMAGE("https://m.media-amazon.com/images/I/41fqQrQgJaL._AC_UY218_.jpg")</f>
        <v>#NAME?</v>
      </c>
      <c r="I794" t="s">
        <v>1995</v>
      </c>
      <c r="J794">
        <v>15.74</v>
      </c>
      <c r="K794" s="4">
        <v>1.8157000000000001</v>
      </c>
      <c r="L794">
        <v>3</v>
      </c>
      <c r="M794">
        <v>1</v>
      </c>
      <c r="O794" t="s">
        <v>25</v>
      </c>
      <c r="P794" t="s">
        <v>138</v>
      </c>
      <c r="Q794" t="s">
        <v>1996</v>
      </c>
    </row>
    <row r="795" spans="1:17" ht="15.5" x14ac:dyDescent="0.35">
      <c r="A795" s="3" t="str">
        <f>HYPERLINK("https://edmondsonsupply.com/collections/hvac/products/packard-prmj88-motor-start-capacitor-88-108-mfd-330-volt", "https://edmondsonsupply.com/collections/hvac/products/packard-prmj88-motor-start-capacitor-88-108-mfd-330-volt")</f>
        <v>https://edmondsonsupply.com/collections/hvac/products/packard-prmj88-motor-start-capacitor-88-108-mfd-330-volt</v>
      </c>
      <c r="B795" s="3" t="str">
        <f>HYPERLINK("https://edmondsonsupply.com/products/packard-prmj88-motor-start-capacitor-88-108-mfd-330-volt", "https://edmondsonsupply.com/products/packard-prmj88-motor-start-capacitor-88-108-mfd-330-volt")</f>
        <v>https://edmondsonsupply.com/products/packard-prmj88-motor-start-capacitor-88-108-mfd-330-volt</v>
      </c>
      <c r="C795" t="s">
        <v>1992</v>
      </c>
      <c r="D795" t="s">
        <v>1997</v>
      </c>
      <c r="E795" s="3" t="str">
        <f>HYPERLINK("https://www.amazon.com/PRMJ72-Packard-Upgraded-Replacement-Capacitor/dp/B0773SJQXH/ref=sr_1_9?keywords=Packard+PRMJ88+Motor+Start+Capacitor+88-108+MFD+330+Volt&amp;qid=1695173645&amp;sr=8-9", "https://www.amazon.com/PRMJ72-Packard-Upgraded-Replacement-Capacitor/dp/B0773SJQXH/ref=sr_1_9?keywords=Packard+PRMJ88+Motor+Start+Capacitor+88-108+MFD+330+Volt&amp;qid=1695173645&amp;sr=8-9")</f>
        <v>https://www.amazon.com/PRMJ72-Packard-Upgraded-Replacement-Capacitor/dp/B0773SJQXH/ref=sr_1_9?keywords=Packard+PRMJ88+Motor+Start+Capacitor+88-108+MFD+330+Volt&amp;qid=1695173645&amp;sr=8-9</v>
      </c>
      <c r="F795" t="s">
        <v>1998</v>
      </c>
      <c r="G795" t="e">
        <f ca="1">_xludf.IMAGE("https://edmondsonsupply.com/cdn/shop/products/PRMJ88-2.jpg?v=1633030394")</f>
        <v>#NAME?</v>
      </c>
      <c r="H795" t="e">
        <f ca="1">_xludf.IMAGE("https://m.media-amazon.com/images/I/41fqQrQgJaL._AC_UY218_.jpg")</f>
        <v>#NAME?</v>
      </c>
      <c r="I795" t="s">
        <v>1995</v>
      </c>
      <c r="J795">
        <v>15.74</v>
      </c>
      <c r="K795" s="4">
        <v>1.8157000000000001</v>
      </c>
      <c r="L795">
        <v>1</v>
      </c>
      <c r="M795">
        <v>1</v>
      </c>
      <c r="O795" t="s">
        <v>25</v>
      </c>
      <c r="P795" t="s">
        <v>138</v>
      </c>
      <c r="Q795" t="s">
        <v>1996</v>
      </c>
    </row>
    <row r="796" spans="1:17" ht="15.5" x14ac:dyDescent="0.35">
      <c r="A796"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796" s="3" t="str">
        <f>HYPERLINK("https://edmondsonsupply.com/products/klein-tools-32314-14-in-1-precision-screwdriver-nut-driver", "https://edmondsonsupply.com/products/klein-tools-32314-14-in-1-precision-screwdriver-nut-driver")</f>
        <v>https://edmondsonsupply.com/products/klein-tools-32314-14-in-1-precision-screwdriver-nut-driver</v>
      </c>
      <c r="C796" t="s">
        <v>1999</v>
      </c>
      <c r="D796" t="s">
        <v>2000</v>
      </c>
      <c r="E796" s="3" t="str">
        <f>HYPERLINK("https://www.amazon.com/Klein-Tools-Screwdriver-Electronic-Tamperproof/dp/B0BF5CJP5B/ref=sr_1_4?keywords=Klein+Tools+32314+14-in-1+Precision+Screwdriver%2F+Nut+Driver&amp;qid=1695173510&amp;sr=8-4", "https://www.amazon.com/Klein-Tools-Screwdriver-Electronic-Tamperproof/dp/B0BF5CJP5B/ref=sr_1_4?keywords=Klein+Tools+32314+14-in-1+Precision+Screwdriver%2F+Nut+Driver&amp;qid=1695173510&amp;sr=8-4")</f>
        <v>https://www.amazon.com/Klein-Tools-Screwdriver-Electronic-Tamperproof/dp/B0BF5CJP5B/ref=sr_1_4?keywords=Klein+Tools+32314+14-in-1+Precision+Screwdriver%2F+Nut+Driver&amp;qid=1695173510&amp;sr=8-4</v>
      </c>
      <c r="F796" t="s">
        <v>2001</v>
      </c>
      <c r="G796" t="e">
        <f ca="1">_xludf.IMAGE("https://edmondsonsupply.com/cdn/shop/products/32314.jpg?v=1646593726")</f>
        <v>#NAME?</v>
      </c>
      <c r="H796" t="e">
        <f ca="1">_xludf.IMAGE("https://m.media-amazon.com/images/I/51UXV8J5F1L._AC_UL320_.jpg")</f>
        <v>#NAME?</v>
      </c>
      <c r="I796" t="s">
        <v>143</v>
      </c>
      <c r="J796">
        <v>44.94</v>
      </c>
      <c r="K796" s="4">
        <v>1.8140000000000001</v>
      </c>
      <c r="L796">
        <v>4.9000000000000004</v>
      </c>
      <c r="M796">
        <v>9</v>
      </c>
      <c r="O796" t="s">
        <v>25</v>
      </c>
      <c r="P796" t="s">
        <v>2002</v>
      </c>
      <c r="Q796" t="s">
        <v>2003</v>
      </c>
    </row>
    <row r="797" spans="1:17" ht="15.5" x14ac:dyDescent="0.35">
      <c r="A797"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797" s="3" t="str">
        <f>HYPERLINK("https://edmondsonsupply.com/products/klein-tools-32314-14-in-1-precision-screwdriver-nut-driver", "https://edmondsonsupply.com/products/klein-tools-32314-14-in-1-precision-screwdriver-nut-driver")</f>
        <v>https://edmondsonsupply.com/products/klein-tools-32314-14-in-1-precision-screwdriver-nut-driver</v>
      </c>
      <c r="C797" t="s">
        <v>1999</v>
      </c>
      <c r="D797" t="s">
        <v>2004</v>
      </c>
      <c r="E797" s="3" t="str">
        <f>HYPERLINK("https://www.amazon.com/Klein-Tools-Electronic-Screwdriver-Tamperproof/dp/B09Q66YZ6V/ref=sr_1_7?keywords=Klein+Tools+32314+14-in-1+Precision+Screwdriver%2F+Nut+Driver&amp;qid=1695173510&amp;sr=8-7", "https://www.amazon.com/Klein-Tools-Electronic-Screwdriver-Tamperproof/dp/B09Q66YZ6V/ref=sr_1_7?keywords=Klein+Tools+32314+14-in-1+Precision+Screwdriver%2F+Nut+Driver&amp;qid=1695173510&amp;sr=8-7")</f>
        <v>https://www.amazon.com/Klein-Tools-Electronic-Screwdriver-Tamperproof/dp/B09Q66YZ6V/ref=sr_1_7?keywords=Klein+Tools+32314+14-in-1+Precision+Screwdriver%2F+Nut+Driver&amp;qid=1695173510&amp;sr=8-7</v>
      </c>
      <c r="F797" t="s">
        <v>2005</v>
      </c>
      <c r="G797" t="e">
        <f ca="1">_xludf.IMAGE("https://edmondsonsupply.com/cdn/shop/products/32314.jpg?v=1646593726")</f>
        <v>#NAME?</v>
      </c>
      <c r="H797" t="e">
        <f ca="1">_xludf.IMAGE("https://m.media-amazon.com/images/I/41HuaH+HvHL._AC_UL320_.jpg")</f>
        <v>#NAME?</v>
      </c>
      <c r="I797" t="s">
        <v>143</v>
      </c>
      <c r="J797">
        <v>44.94</v>
      </c>
      <c r="K797" s="4">
        <v>1.8140000000000001</v>
      </c>
      <c r="L797">
        <v>4.7</v>
      </c>
      <c r="M797">
        <v>7</v>
      </c>
      <c r="O797" t="s">
        <v>25</v>
      </c>
      <c r="P797" t="s">
        <v>2002</v>
      </c>
      <c r="Q797" t="s">
        <v>2003</v>
      </c>
    </row>
    <row r="798" spans="1:17" ht="15.5" x14ac:dyDescent="0.35">
      <c r="A798" s="3" t="str">
        <f>HYPERLINK("https://edmondsonsupply.com/collections/hvac/products/fieldpiece-sr47-wireless-refrigerant-scale", "https://edmondsonsupply.com/collections/hvac/products/fieldpiece-sr47-wireless-refrigerant-scale")</f>
        <v>https://edmondsonsupply.com/collections/hvac/products/fieldpiece-sr47-wireless-refrigerant-scale</v>
      </c>
      <c r="B798" s="3" t="str">
        <f>HYPERLINK("https://edmondsonsupply.com/products/fieldpiece-sr47-wireless-refrigerant-scale", "https://edmondsonsupply.com/products/fieldpiece-sr47-wireless-refrigerant-scale")</f>
        <v>https://edmondsonsupply.com/products/fieldpiece-sr47-wireless-refrigerant-scale</v>
      </c>
      <c r="C798" t="s">
        <v>2006</v>
      </c>
      <c r="D798" t="s">
        <v>2007</v>
      </c>
      <c r="E798" s="3" t="str">
        <f>HYPERLINK("https://www.amazon.com/Fieldpiece-Wireless-Refrigerant-Scale-Srs3/dp/B082MQ7B8J/ref=sr_1_2?keywords=Fieldpiece+SR47+Wireless+Refrigerant+Scale&amp;qid=1695173604&amp;sr=8-2", "https://www.amazon.com/Fieldpiece-Wireless-Refrigerant-Scale-Srs3/dp/B082MQ7B8J/ref=sr_1_2?keywords=Fieldpiece+SR47+Wireless+Refrigerant+Scale&amp;qid=1695173604&amp;sr=8-2")</f>
        <v>https://www.amazon.com/Fieldpiece-Wireless-Refrigerant-Scale-Srs3/dp/B082MQ7B8J/ref=sr_1_2?keywords=Fieldpiece+SR47+Wireless+Refrigerant+Scale&amp;qid=1695173604&amp;sr=8-2</v>
      </c>
      <c r="F798" t="s">
        <v>2008</v>
      </c>
      <c r="G798" t="e">
        <f ca="1">_xludf.IMAGE("https://edmondsonsupply.com/cdn/shop/products/SR47.png?v=1669930210")</f>
        <v>#NAME?</v>
      </c>
      <c r="H798" t="e">
        <f ca="1">_xludf.IMAGE("https://m.media-amazon.com/images/I/31wBB3OMIXL._AC_UL320_.jpg")</f>
        <v>#NAME?</v>
      </c>
      <c r="I798" t="s">
        <v>2009</v>
      </c>
      <c r="J798">
        <v>999.99</v>
      </c>
      <c r="K798" s="4">
        <v>1.8010999999999999</v>
      </c>
      <c r="L798">
        <v>5</v>
      </c>
      <c r="M798">
        <v>1</v>
      </c>
      <c r="O798" t="s">
        <v>25</v>
      </c>
      <c r="P798" t="s">
        <v>2010</v>
      </c>
      <c r="Q798" t="s">
        <v>2011</v>
      </c>
    </row>
    <row r="799" spans="1:17" ht="15.5" x14ac:dyDescent="0.35">
      <c r="A799" s="3" t="str">
        <f>HYPERLINK("https://edmondsonsupply.com/collections/hvac/products/hilmor-1839046", "https://edmondsonsupply.com/collections/hvac/products/hilmor-1839046")</f>
        <v>https://edmondsonsupply.com/collections/hvac/products/hilmor-1839046</v>
      </c>
      <c r="B799" s="3" t="str">
        <f>HYPERLINK("https://edmondsonsupply.com/products/hilmor-1839046", "https://edmondsonsupply.com/products/hilmor-1839046")</f>
        <v>https://edmondsonsupply.com/products/hilmor-1839046</v>
      </c>
      <c r="C799" t="s">
        <v>146</v>
      </c>
      <c r="D799" t="s">
        <v>165</v>
      </c>
      <c r="E799" s="3" t="str">
        <f>HYPERLINK("https://www.amazon.com/ANCIRS-Service-Conditioning-Refrigeration-Equipment/dp/B096K2D4JD/ref=sr_1_4?keywords=Hilmor+1839046+Service+Wrench+Hex+Key+Adapter&amp;qid=1695173450&amp;sr=8-4", "https://www.amazon.com/ANCIRS-Service-Conditioning-Refrigeration-Equipment/dp/B096K2D4JD/ref=sr_1_4?keywords=Hilmor+1839046+Service+Wrench+Hex+Key+Adapter&amp;qid=1695173450&amp;sr=8-4")</f>
        <v>https://www.amazon.com/ANCIRS-Service-Conditioning-Refrigeration-Equipment/dp/B096K2D4JD/ref=sr_1_4?keywords=Hilmor+1839046+Service+Wrench+Hex+Key+Adapter&amp;qid=1695173450&amp;sr=8-4</v>
      </c>
      <c r="F799" t="s">
        <v>166</v>
      </c>
      <c r="G799" t="e">
        <f ca="1">_xludf.IMAGE("https://edmondsonsupply.com/cdn/shop/products/s-l500.jpg?v=1633030254")</f>
        <v>#NAME?</v>
      </c>
      <c r="H799" t="e">
        <f ca="1">_xludf.IMAGE("https://m.media-amazon.com/images/I/51sBCijVjbS._AC_UL320_.jpg")</f>
        <v>#NAME?</v>
      </c>
      <c r="I799" t="s">
        <v>149</v>
      </c>
      <c r="J799">
        <v>8.99</v>
      </c>
      <c r="K799" s="4">
        <v>1.7919</v>
      </c>
      <c r="L799">
        <v>4.2</v>
      </c>
      <c r="M799">
        <v>159</v>
      </c>
      <c r="O799" t="s">
        <v>25</v>
      </c>
      <c r="P799" t="s">
        <v>138</v>
      </c>
      <c r="Q799" t="s">
        <v>150</v>
      </c>
    </row>
    <row r="800" spans="1:17" ht="15.5" x14ac:dyDescent="0.35">
      <c r="A800" s="3" t="str">
        <f>HYPERLINK("https://edmondsonsupply.com/collections/hvac/products/klein-tools-85616-precision-screwdriver-set-torx%C2%AE-4-piece", "https://edmondsonsupply.com/collections/hvac/products/klein-tools-85616-precision-screwdriver-set-torx%C2%AE-4-piece")</f>
        <v>https://edmondsonsupply.com/collections/hvac/products/klein-tools-85616-precision-screwdriver-set-torx%C2%AE-4-piece</v>
      </c>
      <c r="B800" s="3" t="str">
        <f>HYPERLINK("https://edmondsonsupply.com/products/klein-tools-85616-precision-screwdriver-set-torx%c2%ae-4-piece", "https://edmondsonsupply.com/products/klein-tools-85616-precision-screwdriver-set-torx%c2%ae-4-piece")</f>
        <v>https://edmondsonsupply.com/products/klein-tools-85616-precision-screwdriver-set-torx%c2%ae-4-piece</v>
      </c>
      <c r="C800" t="s">
        <v>2012</v>
      </c>
      <c r="D800" t="s">
        <v>2013</v>
      </c>
      <c r="E800" s="3" t="str">
        <f>HYPERLINK("https://www.amazon.com/Klein-Tools-85614-Electronic-Screwdriver/dp/B0076RWZMQ/ref=sr_1_4?keywords=Klein+Tools+85616+Precision+Screwdriver+Set%2C+TORX%C2%AE+4-Piece&amp;qid=1695173734&amp;sr=8-4", "https://www.amazon.com/Klein-Tools-85614-Electronic-Screwdriver/dp/B0076RWZMQ/ref=sr_1_4?keywords=Klein+Tools+85616+Precision+Screwdriver+Set%2C+TORX%C2%AE+4-Piece&amp;qid=1695173734&amp;sr=8-4")</f>
        <v>https://www.amazon.com/Klein-Tools-85614-Electronic-Screwdriver/dp/B0076RWZMQ/ref=sr_1_4?keywords=Klein+Tools+85616+Precision+Screwdriver+Set%2C+TORX%C2%AE+4-Piece&amp;qid=1695173734&amp;sr=8-4</v>
      </c>
      <c r="F800" t="s">
        <v>2014</v>
      </c>
      <c r="G800" t="e">
        <f ca="1">_xludf.IMAGE("https://edmondsonsupply.com/cdn/shop/files/85616_kit.jpg?v=1689873488")</f>
        <v>#NAME?</v>
      </c>
      <c r="H800" t="e">
        <f ca="1">_xludf.IMAGE("https://m.media-amazon.com/images/I/510TMeDdIiL._AC_UL320_.jpg")</f>
        <v>#NAME?</v>
      </c>
      <c r="I800" t="s">
        <v>893</v>
      </c>
      <c r="J800">
        <v>55.67</v>
      </c>
      <c r="K800" s="4">
        <v>1.7877000000000001</v>
      </c>
      <c r="L800">
        <v>4.8</v>
      </c>
      <c r="M800">
        <v>590</v>
      </c>
      <c r="O800" t="s">
        <v>25</v>
      </c>
      <c r="P800" t="s">
        <v>894</v>
      </c>
      <c r="Q800" t="s">
        <v>2015</v>
      </c>
    </row>
    <row r="801" spans="1:17" ht="15.5" x14ac:dyDescent="0.35">
      <c r="A801" s="3" t="str">
        <f>HYPERLINK("https://edmondsonsupply.com/collections/hvac/products/robertshaw-41-401-hot-surface-furnace-ignitor-amana-replacement", "https://edmondsonsupply.com/collections/hvac/products/robertshaw-41-401-hot-surface-furnace-ignitor-amana-replacement")</f>
        <v>https://edmondsonsupply.com/collections/hvac/products/robertshaw-41-401-hot-surface-furnace-ignitor-amana-replacement</v>
      </c>
      <c r="B801" s="3" t="str">
        <f>HYPERLINK("https://edmondsonsupply.com/products/robertshaw-41-401-hot-surface-furnace-ignitor-amana-replacement", "https://edmondsonsupply.com/products/robertshaw-41-401-hot-surface-furnace-ignitor-amana-replacement")</f>
        <v>https://edmondsonsupply.com/products/robertshaw-41-401-hot-surface-furnace-ignitor-amana-replacement</v>
      </c>
      <c r="C801" t="s">
        <v>2016</v>
      </c>
      <c r="D801" t="s">
        <v>2017</v>
      </c>
      <c r="E801" s="3" t="str">
        <f>HYPERLINK("https://www.amazon.com/Robertshaw-41-602-Mini-Ignitor-20165702-767A-378/dp/B003AST41U/ref=sr_1_9?keywords=Robertshaw+41-401+Hot+Surface+Furnace+Ignitor%2C+Amana+Replacement&amp;qid=1695173532&amp;sr=8-9", "https://www.amazon.com/Robertshaw-41-602-Mini-Ignitor-20165702-767A-378/dp/B003AST41U/ref=sr_1_9?keywords=Robertshaw+41-401+Hot+Surface+Furnace+Ignitor%2C+Amana+Replacement&amp;qid=1695173532&amp;sr=8-9")</f>
        <v>https://www.amazon.com/Robertshaw-41-602-Mini-Ignitor-20165702-767A-378/dp/B003AST41U/ref=sr_1_9?keywords=Robertshaw+41-401+Hot+Surface+Furnace+Ignitor%2C+Amana+Replacement&amp;qid=1695173532&amp;sr=8-9</v>
      </c>
      <c r="F801" t="s">
        <v>2018</v>
      </c>
      <c r="G801" t="e">
        <f ca="1">_xludf.IMAGE("https://edmondsonsupply.com/cdn/shop/products/41-401.jpg?v=1633030866")</f>
        <v>#NAME?</v>
      </c>
      <c r="H801" t="e">
        <f ca="1">_xludf.IMAGE("https://m.media-amazon.com/images/I/61apSaBH7NL._AC_UL320_.jpg")</f>
        <v>#NAME?</v>
      </c>
      <c r="I801" t="s">
        <v>2019</v>
      </c>
      <c r="J801">
        <v>49.05</v>
      </c>
      <c r="K801" s="4">
        <v>1.7853000000000001</v>
      </c>
      <c r="L801">
        <v>4.3</v>
      </c>
      <c r="M801">
        <v>26</v>
      </c>
      <c r="O801" t="s">
        <v>25</v>
      </c>
      <c r="P801" t="s">
        <v>138</v>
      </c>
      <c r="Q801" t="s">
        <v>2020</v>
      </c>
    </row>
    <row r="802" spans="1:17" ht="15.5" x14ac:dyDescent="0.35">
      <c r="A802"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802" s="3" t="str">
        <f>HYPERLINK("https://edmondsonsupply.com/products/klein-tools-646-1-4-1-4-inch-nut-driver-with-6-inch-hollow-shaft", "https://edmondsonsupply.com/products/klein-tools-646-1-4-1-4-inch-nut-driver-with-6-inch-hollow-shaft")</f>
        <v>https://edmondsonsupply.com/products/klein-tools-646-1-4-1-4-inch-nut-driver-with-6-inch-hollow-shaft</v>
      </c>
      <c r="C802" t="s">
        <v>1478</v>
      </c>
      <c r="D802" t="s">
        <v>2021</v>
      </c>
      <c r="E802" s="3" t="str">
        <f>HYPERLINK("https://www.amazon.com/Insulated-Klein-Tools-646-1-4-INS/dp/B000MKMH5O/ref=sr_1_2?keywords=Klein+Tools+646-1%2F4+1%2F4-Inch+Nut+Driver+with+6-Inch+Hollow+Shaft&amp;qid=1695173548&amp;sr=8-2", "https://www.amazon.com/Insulated-Klein-Tools-646-1-4-INS/dp/B000MKMH5O/ref=sr_1_2?keywords=Klein+Tools+646-1%2F4+1%2F4-Inch+Nut+Driver+with+6-Inch+Hollow+Shaft&amp;qid=1695173548&amp;sr=8-2")</f>
        <v>https://www.amazon.com/Insulated-Klein-Tools-646-1-4-INS/dp/B000MKMH5O/ref=sr_1_2?keywords=Klein+Tools+646-1%2F4+1%2F4-Inch+Nut+Driver+with+6-Inch+Hollow+Shaft&amp;qid=1695173548&amp;sr=8-2</v>
      </c>
      <c r="F802" t="s">
        <v>2022</v>
      </c>
      <c r="G802" t="e">
        <f ca="1">_xludf.IMAGE("https://edmondsonsupply.com/cdn/shop/products/646-1-2_08d87fa9-eac4-4869-8d3b-bb680d4b1d53.jpg?v=1587150676")</f>
        <v>#NAME?</v>
      </c>
      <c r="H802" t="e">
        <f ca="1">_xludf.IMAGE("https://m.media-amazon.com/images/I/41Nr0vSgHCL._AC_UL320_.jpg")</f>
        <v>#NAME?</v>
      </c>
      <c r="I802" t="s">
        <v>1003</v>
      </c>
      <c r="J802">
        <v>22.25</v>
      </c>
      <c r="K802" s="4">
        <v>1.7847</v>
      </c>
      <c r="L802">
        <v>4.7</v>
      </c>
      <c r="M802">
        <v>274</v>
      </c>
      <c r="O802" t="s">
        <v>25</v>
      </c>
      <c r="P802" t="s">
        <v>1481</v>
      </c>
      <c r="Q802" t="s">
        <v>1482</v>
      </c>
    </row>
    <row r="803" spans="1:17" ht="15.5" x14ac:dyDescent="0.35">
      <c r="A803"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803" s="3" t="str">
        <f>HYPERLINK("https://edmondsonsupply.com/products/midwest-mwt-6510l-left-offset-aviation-snip", "https://edmondsonsupply.com/products/midwest-mwt-6510l-left-offset-aviation-snip")</f>
        <v>https://edmondsonsupply.com/products/midwest-mwt-6510l-left-offset-aviation-snip</v>
      </c>
      <c r="C803" t="s">
        <v>2023</v>
      </c>
      <c r="D803" t="s">
        <v>2024</v>
      </c>
      <c r="E803" s="3" t="str">
        <f>HYPERLINK("https://www.amazon.com/Midwest-P6510L-Forged-Offset-Aviation/dp/B07PSL7KG8/ref=sr_1_2?keywords=Midwest+MWT-6510L+Left+Offset+Aviation+Snip&amp;qid=1695173407&amp;sr=8-2", "https://www.amazon.com/Midwest-P6510L-Forged-Offset-Aviation/dp/B07PSL7KG8/ref=sr_1_2?keywords=Midwest+MWT-6510L+Left+Offset+Aviation+Snip&amp;qid=1695173407&amp;sr=8-2")</f>
        <v>https://www.amazon.com/Midwest-P6510L-Forged-Offset-Aviation/dp/B07PSL7KG8/ref=sr_1_2?keywords=Midwest+MWT-6510L+Left+Offset+Aviation+Snip&amp;qid=1695173407&amp;sr=8-2</v>
      </c>
      <c r="F803" t="s">
        <v>2025</v>
      </c>
      <c r="G803" t="e">
        <f ca="1">_xludf.IMAGE("https://edmondsonsupply.com/cdn/shop/products/mwt-6510l.png?v=1587142880")</f>
        <v>#NAME?</v>
      </c>
      <c r="H803" t="e">
        <f ca="1">_xludf.IMAGE("https://m.media-amazon.com/images/I/61hR-2Mv8fL._AC_UL320_.jpg")</f>
        <v>#NAME?</v>
      </c>
      <c r="I803" t="s">
        <v>362</v>
      </c>
      <c r="J803">
        <v>72</v>
      </c>
      <c r="K803" s="4">
        <v>1.7703</v>
      </c>
      <c r="L803">
        <v>4.3</v>
      </c>
      <c r="M803">
        <v>58</v>
      </c>
      <c r="O803" t="s">
        <v>25</v>
      </c>
      <c r="P803" t="s">
        <v>260</v>
      </c>
      <c r="Q803" t="s">
        <v>2026</v>
      </c>
    </row>
    <row r="804" spans="1:17" ht="15.5" x14ac:dyDescent="0.35">
      <c r="A804" s="3" t="str">
        <f>HYPERLINK("https://edmondsonsupply.com/collections/hvac/products/packard-trcf25-titan-pro-run-capacitor-25-mfd-440-370-volt-round", "https://edmondsonsupply.com/collections/hvac/products/packard-trcf25-titan-pro-run-capacitor-25-mfd-440-370-volt-round")</f>
        <v>https://edmondsonsupply.com/collections/hvac/products/packard-trcf25-titan-pro-run-capacitor-25-mfd-440-370-volt-round</v>
      </c>
      <c r="B804" s="3" t="str">
        <f>HYPERLINK("https://edmondsonsupply.com/products/packard-trcf25-titan-pro-run-capacitor-25-mfd-440-370-volt-round", "https://edmondsonsupply.com/products/packard-trcf25-titan-pro-run-capacitor-25-mfd-440-370-volt-round")</f>
        <v>https://edmondsonsupply.com/products/packard-trcf25-titan-pro-run-capacitor-25-mfd-440-370-volt-round</v>
      </c>
      <c r="C804" t="s">
        <v>2027</v>
      </c>
      <c r="D804" t="s">
        <v>1752</v>
      </c>
      <c r="E804" s="3" t="str">
        <f>HYPERLINK("https://www.amazon.com/Packard-TRC25-Titan-Capacitor-Round/dp/B09J1HKXXJ/ref=sr_1_9?keywords=Packard+TRCF25+TITAN+PRO+Run+Capacitor+25+MFD+440%2F370+Volt%2C+Round&amp;qid=1695173520&amp;sr=8-9", "https://www.amazon.com/Packard-TRC25-Titan-Capacitor-Round/dp/B09J1HKXXJ/ref=sr_1_9?keywords=Packard+TRCF25+TITAN+PRO+Run+Capacitor+25+MFD+440%2F370+Volt%2C+Round&amp;qid=1695173520&amp;sr=8-9")</f>
        <v>https://www.amazon.com/Packard-TRC25-Titan-Capacitor-Round/dp/B09J1HKXXJ/ref=sr_1_9?keywords=Packard+TRCF25+TITAN+PRO+Run+Capacitor+25+MFD+440%2F370+Volt%2C+Round&amp;qid=1695173520&amp;sr=8-9</v>
      </c>
      <c r="F804" t="s">
        <v>1753</v>
      </c>
      <c r="G804" t="e">
        <f ca="1">_xludf.IMAGE("https://edmondsonsupply.com/cdn/shop/products/TRCF25-2.jpg?v=1633030930")</f>
        <v>#NAME?</v>
      </c>
      <c r="H804" t="e">
        <f ca="1">_xludf.IMAGE("https://m.media-amazon.com/images/I/310zeSAQB5L._AC_UY218_.jpg")</f>
        <v>#NAME?</v>
      </c>
      <c r="I804" t="s">
        <v>2028</v>
      </c>
      <c r="J804">
        <v>14.74</v>
      </c>
      <c r="K804" s="4">
        <v>1.7655000000000001</v>
      </c>
      <c r="L804">
        <v>5</v>
      </c>
      <c r="M804">
        <v>6</v>
      </c>
      <c r="O804" t="s">
        <v>25</v>
      </c>
      <c r="P804" t="s">
        <v>138</v>
      </c>
      <c r="Q804" t="s">
        <v>2029</v>
      </c>
    </row>
    <row r="805" spans="1:17" ht="15.5" x14ac:dyDescent="0.35">
      <c r="A805" s="3" t="str">
        <f>HYPERLINK("https://edmondsonsupply.com/collections/hvac/products/midwest-mwt-ss6510r-special-hardness-offset-aviation-snip-right-cutting", "https://edmondsonsupply.com/collections/hvac/products/midwest-mwt-ss6510r-special-hardness-offset-aviation-snip-right-cutting")</f>
        <v>https://edmondsonsupply.com/collections/hvac/products/midwest-mwt-ss6510r-special-hardness-offset-aviation-snip-right-cutting</v>
      </c>
      <c r="B805" s="3" t="str">
        <f>HYPERLINK("https://edmondsonsupply.com/products/midwest-mwt-ss6510r-special-hardness-offset-aviation-snip-right-cutting", "https://edmondsonsupply.com/products/midwest-mwt-ss6510r-special-hardness-offset-aviation-snip-right-cutting")</f>
        <v>https://edmondsonsupply.com/products/midwest-mwt-ss6510r-special-hardness-offset-aviation-snip-right-cutting</v>
      </c>
      <c r="C805" t="s">
        <v>2030</v>
      </c>
      <c r="D805" t="s">
        <v>158</v>
      </c>
      <c r="E805" s="3" t="str">
        <f>HYPERLINK("https://www.amazon.com/MIDWEST-Aviation-Snip-Set-KUSHN-POWER/dp/B07RC7ZBK9/ref=sr_1_3?keywords=Midwest+MWT-SS6510R+Special+Hardness+Offset+Aviation+Snip+-+Right-Cutting&amp;qid=1695173360&amp;sr=8-3", "https://www.amazon.com/MIDWEST-Aviation-Snip-Set-KUSHN-POWER/dp/B07RC7ZBK9/ref=sr_1_3?keywords=Midwest+MWT-SS6510R+Special+Hardness+Offset+Aviation+Snip+-+Right-Cutting&amp;qid=1695173360&amp;sr=8-3")</f>
        <v>https://www.amazon.com/MIDWEST-Aviation-Snip-Set-KUSHN-POWER/dp/B07RC7ZBK9/ref=sr_1_3?keywords=Midwest+MWT-SS6510R+Special+Hardness+Offset+Aviation+Snip+-+Right-Cutting&amp;qid=1695173360&amp;sr=8-3</v>
      </c>
      <c r="F805" t="s">
        <v>159</v>
      </c>
      <c r="G805" t="e">
        <f ca="1">_xludf.IMAGE("https://edmondsonsupply.com/cdn/shop/products/MWT-SSP6510R.jpg?v=1587142544")</f>
        <v>#NAME?</v>
      </c>
      <c r="H805" t="e">
        <f ca="1">_xludf.IMAGE("https://m.media-amazon.com/images/I/71438hbSyHL._AC_UL320_.jpg")</f>
        <v>#NAME?</v>
      </c>
      <c r="I805" t="s">
        <v>170</v>
      </c>
      <c r="J805">
        <v>87.99</v>
      </c>
      <c r="K805" s="4">
        <v>1.7369000000000001</v>
      </c>
      <c r="L805">
        <v>4.4000000000000004</v>
      </c>
      <c r="M805">
        <v>1137</v>
      </c>
      <c r="O805" t="s">
        <v>171</v>
      </c>
      <c r="P805" t="s">
        <v>172</v>
      </c>
      <c r="Q805" t="s">
        <v>2031</v>
      </c>
    </row>
    <row r="806" spans="1:17" ht="15.5" x14ac:dyDescent="0.35">
      <c r="A806"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806" s="3" t="str">
        <f>HYPERLINK("https://edmondsonsupply.com/products/midwest-mwt-6510r-right-offset-aviation-snip", "https://edmondsonsupply.com/products/midwest-mwt-6510r-right-offset-aviation-snip")</f>
        <v>https://edmondsonsupply.com/products/midwest-mwt-6510r-right-offset-aviation-snip</v>
      </c>
      <c r="C806" t="s">
        <v>1776</v>
      </c>
      <c r="D806" t="s">
        <v>1965</v>
      </c>
      <c r="E806" s="3" t="str">
        <f>HYPERLINK("https://www.amazon.com/Midwest-Tools-Cutlery-MWT-6510C-Aviation/dp/B01J9IC5D8/ref=sr_1_6?keywords=Midwest+MWT-6510R+Right+Offset+Aviation+Snip&amp;qid=1695173557&amp;sr=8-6", "https://www.amazon.com/Midwest-Tools-Cutlery-MWT-6510C-Aviation/dp/B01J9IC5D8/ref=sr_1_6?keywords=Midwest+MWT-6510R+Right+Offset+Aviation+Snip&amp;qid=1695173557&amp;sr=8-6")</f>
        <v>https://www.amazon.com/Midwest-Tools-Cutlery-MWT-6510C-Aviation/dp/B01J9IC5D8/ref=sr_1_6?keywords=Midwest+MWT-6510R+Right+Offset+Aviation+Snip&amp;qid=1695173557&amp;sr=8-6</v>
      </c>
      <c r="F806" t="s">
        <v>1966</v>
      </c>
      <c r="G806" t="e">
        <f ca="1">_xludf.IMAGE("https://edmondsonsupply.com/cdn/shop/products/MWT-6510R.png?v=1587144877")</f>
        <v>#NAME?</v>
      </c>
      <c r="H806" t="e">
        <f ca="1">_xludf.IMAGE("https://m.media-amazon.com/images/I/71GdMeiK3LL._AC_UL320_.jpg")</f>
        <v>#NAME?</v>
      </c>
      <c r="I806" t="s">
        <v>1777</v>
      </c>
      <c r="J806">
        <v>68</v>
      </c>
      <c r="K806" s="4">
        <v>1.732</v>
      </c>
      <c r="L806">
        <v>4.7</v>
      </c>
      <c r="M806">
        <v>410</v>
      </c>
      <c r="O806" t="s">
        <v>25</v>
      </c>
      <c r="P806" t="s">
        <v>260</v>
      </c>
      <c r="Q806" t="s">
        <v>1778</v>
      </c>
    </row>
    <row r="807" spans="1:17" ht="15.5" x14ac:dyDescent="0.35">
      <c r="A807"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807" s="3" t="str">
        <f>HYPERLINK("https://edmondsonsupply.com/products/klein-tools-935dag-digital-angle-gauge-and-level", "https://edmondsonsupply.com/products/klein-tools-935dag-digital-angle-gauge-and-level")</f>
        <v>https://edmondsonsupply.com/products/klein-tools-935dag-digital-angle-gauge-and-level</v>
      </c>
      <c r="C807" t="s">
        <v>1924</v>
      </c>
      <c r="D807" t="s">
        <v>2032</v>
      </c>
      <c r="E807" s="3" t="str">
        <f>HYPERLINK("https://www.amazon.com/Calculated-Industries-7489-AccuMASTER-Value/dp/B0C5TJLHHX/ref=sr_1_10?keywords=Klein+Tools+935DAG+Digital+Angle+Gauge+and+Level&amp;qid=1695173564&amp;sr=8-10", "https://www.amazon.com/Calculated-Industries-7489-AccuMASTER-Value/dp/B0C5TJLHHX/ref=sr_1_10?keywords=Klein+Tools+935DAG+Digital+Angle+Gauge+and+Level&amp;qid=1695173564&amp;sr=8-10")</f>
        <v>https://www.amazon.com/Calculated-Industries-7489-AccuMASTER-Value/dp/B0C5TJLHHX/ref=sr_1_10?keywords=Klein+Tools+935DAG+Digital+Angle+Gauge+and+Level&amp;qid=1695173564&amp;sr=8-10</v>
      </c>
      <c r="F807" t="s">
        <v>2033</v>
      </c>
      <c r="G807" t="e">
        <f ca="1">_xludf.IMAGE("https://edmondsonsupply.com/cdn/shop/products/935dag.jpg?v=1587145032")</f>
        <v>#NAME?</v>
      </c>
      <c r="H807" t="e">
        <f ca="1">_xludf.IMAGE("https://m.media-amazon.com/images/I/51KrVV074WL._AC_UL320_.jpg")</f>
        <v>#NAME?</v>
      </c>
      <c r="I807" t="s">
        <v>824</v>
      </c>
      <c r="J807">
        <v>80.44</v>
      </c>
      <c r="K807" s="4">
        <v>1.6839999999999999</v>
      </c>
      <c r="L807">
        <v>4</v>
      </c>
      <c r="M807">
        <v>1</v>
      </c>
      <c r="O807" t="s">
        <v>25</v>
      </c>
      <c r="P807" t="s">
        <v>73</v>
      </c>
      <c r="Q807" t="s">
        <v>1927</v>
      </c>
    </row>
    <row r="808" spans="1:17" ht="15.5" x14ac:dyDescent="0.35">
      <c r="A808" s="3" t="str">
        <f>HYPERLINK("https://edmondsonsupply.com/collections/hvac/products/fresh-aire-uv-tuvl-215p-2-year-blue-tube-replacement-uv-lamp", "https://edmondsonsupply.com/collections/hvac/products/fresh-aire-uv-tuvl-215p-2-year-blue-tube-replacement-uv-lamp")</f>
        <v>https://edmondsonsupply.com/collections/hvac/products/fresh-aire-uv-tuvl-215p-2-year-blue-tube-replacement-uv-lamp</v>
      </c>
      <c r="B808" s="3" t="str">
        <f>HYPERLINK("https://edmondsonsupply.com/products/fresh-aire-uv-tuvl-215p-2-year-blue-tube-replacement-uv-lamp", "https://edmondsonsupply.com/products/fresh-aire-uv-tuvl-215p-2-year-blue-tube-replacement-uv-lamp")</f>
        <v>https://edmondsonsupply.com/products/fresh-aire-uv-tuvl-215p-2-year-blue-tube-replacement-uv-lamp</v>
      </c>
      <c r="C808" t="s">
        <v>2034</v>
      </c>
      <c r="D808" t="s">
        <v>2035</v>
      </c>
      <c r="E808" s="3" t="str">
        <f>HYPERLINK("https://www.amazon.com/Fresh-Aire-Blue-Tube-UV-Voltage-germicidal/dp/B014MNU0Z0/ref=sr_1_10?keywords=Fresh-Aire+UV+TUVL-215P%2C+2-Year+Blue-Tube+Replacement+UV+Lamp&amp;qid=1695173329&amp;sr=8-10", "https://www.amazon.com/Fresh-Aire-Blue-Tube-UV-Voltage-germicidal/dp/B014MNU0Z0/ref=sr_1_10?keywords=Fresh-Aire+UV+TUVL-215P%2C+2-Year+Blue-Tube+Replacement+UV+Lamp&amp;qid=1695173329&amp;sr=8-10")</f>
        <v>https://www.amazon.com/Fresh-Aire-Blue-Tube-UV-Voltage-germicidal/dp/B014MNU0Z0/ref=sr_1_10?keywords=Fresh-Aire+UV+TUVL-215P%2C+2-Year+Blue-Tube+Replacement+UV+Lamp&amp;qid=1695173329&amp;sr=8-10</v>
      </c>
      <c r="F808" t="s">
        <v>2036</v>
      </c>
      <c r="G808" t="e">
        <f ca="1">_xludf.IMAGE("https://edmondsonsupply.com/cdn/shop/products/TUVL-215P.jpg?v=1633030216")</f>
        <v>#NAME?</v>
      </c>
      <c r="H808" t="e">
        <f ca="1">_xludf.IMAGE("https://m.media-amazon.com/images/I/51KvZNQtFiL._AC_UL320_.jpg")</f>
        <v>#NAME?</v>
      </c>
      <c r="I808" t="s">
        <v>2037</v>
      </c>
      <c r="J808">
        <v>289.89</v>
      </c>
      <c r="K808" s="4">
        <v>1.6834</v>
      </c>
      <c r="L808">
        <v>4.4000000000000004</v>
      </c>
      <c r="M808">
        <v>23</v>
      </c>
      <c r="O808" t="s">
        <v>25</v>
      </c>
      <c r="P808" t="s">
        <v>138</v>
      </c>
      <c r="Q808" t="s">
        <v>2038</v>
      </c>
    </row>
    <row r="809" spans="1:17" ht="15.5" x14ac:dyDescent="0.35">
      <c r="A809" s="3" t="str">
        <f>HYPERLINK("https://edmondsonsupply.com/collections/hvac/products/hilmor-1839046", "https://edmondsonsupply.com/collections/hvac/products/hilmor-1839046")</f>
        <v>https://edmondsonsupply.com/collections/hvac/products/hilmor-1839046</v>
      </c>
      <c r="B809" s="3" t="str">
        <f>HYPERLINK("https://edmondsonsupply.com/products/hilmor-1839046", "https://edmondsonsupply.com/products/hilmor-1839046")</f>
        <v>https://edmondsonsupply.com/products/hilmor-1839046</v>
      </c>
      <c r="C809" t="s">
        <v>146</v>
      </c>
      <c r="D809" t="s">
        <v>174</v>
      </c>
      <c r="E809" s="3" t="str">
        <f>HYPERLINK("https://www.amazon.com/hilmor-1839046-Service-Hex-Adapter/dp/B00X9BP99O/ref=sr_1_1?keywords=Hilmor+1839046+Service+Wrench+Hex+Key+Adapter&amp;qid=1695173450&amp;sr=8-1", "https://www.amazon.com/hilmor-1839046-Service-Hex-Adapter/dp/B00X9BP99O/ref=sr_1_1?keywords=Hilmor+1839046+Service+Wrench+Hex+Key+Adapter&amp;qid=1695173450&amp;sr=8-1")</f>
        <v>https://www.amazon.com/hilmor-1839046-Service-Hex-Adapter/dp/B00X9BP99O/ref=sr_1_1?keywords=Hilmor+1839046+Service+Wrench+Hex+Key+Adapter&amp;qid=1695173450&amp;sr=8-1</v>
      </c>
      <c r="F809" t="s">
        <v>175</v>
      </c>
      <c r="G809" t="e">
        <f ca="1">_xludf.IMAGE("https://edmondsonsupply.com/cdn/shop/products/s-l500.jpg?v=1633030254")</f>
        <v>#NAME?</v>
      </c>
      <c r="H809" t="e">
        <f ca="1">_xludf.IMAGE("https://m.media-amazon.com/images/I/51+6ggpNF6L._AC_UL320_.jpg")</f>
        <v>#NAME?</v>
      </c>
      <c r="I809" t="s">
        <v>149</v>
      </c>
      <c r="J809">
        <v>8.6300000000000008</v>
      </c>
      <c r="K809" s="4">
        <v>1.6800999999999999</v>
      </c>
      <c r="L809">
        <v>4.5999999999999996</v>
      </c>
      <c r="M809">
        <v>1249</v>
      </c>
      <c r="O809" t="s">
        <v>25</v>
      </c>
      <c r="P809" t="s">
        <v>138</v>
      </c>
      <c r="Q809" t="s">
        <v>150</v>
      </c>
    </row>
    <row r="810" spans="1:17" ht="15.5" x14ac:dyDescent="0.35">
      <c r="A810" s="3" t="str">
        <f>HYPERLINK("https://edmondsonsupply.com/collections/hvac/products/nu-calgon-4289-01-4179-05", "https://edmondsonsupply.com/collections/hvac/products/nu-calgon-4289-01-4179-05")</f>
        <v>https://edmondsonsupply.com/collections/hvac/products/nu-calgon-4289-01-4179-05</v>
      </c>
      <c r="B810" s="3" t="str">
        <f>HYPERLINK("https://edmondsonsupply.com/products/nu-calgon-4289-01-4179-05", "https://edmondsonsupply.com/products/nu-calgon-4289-01-4179-05")</f>
        <v>https://edmondsonsupply.com/products/nu-calgon-4289-01-4179-05</v>
      </c>
      <c r="C810" t="s">
        <v>1957</v>
      </c>
      <c r="D810" t="s">
        <v>2039</v>
      </c>
      <c r="E810" s="3" t="str">
        <f>HYPERLINK("https://www.amazon.com/Nu-Calgon-4179-01-Gallo-Gun-Clears-Condensate/dp/B0BSG1NW8T/ref=sr_1_2?keywords=Nu-Calgon+4179-05+Gallo+Gun+Cannon&amp;qid=1695173341&amp;sr=8-2", "https://www.amazon.com/Nu-Calgon-4179-01-Gallo-Gun-Clears-Condensate/dp/B0BSG1NW8T/ref=sr_1_2?keywords=Nu-Calgon+4179-05+Gallo+Gun+Cannon&amp;qid=1695173341&amp;sr=8-2")</f>
        <v>https://www.amazon.com/Nu-Calgon-4179-01-Gallo-Gun-Clears-Condensate/dp/B0BSG1NW8T/ref=sr_1_2?keywords=Nu-Calgon+4179-05+Gallo+Gun+Cannon&amp;qid=1695173341&amp;sr=8-2</v>
      </c>
      <c r="F810" t="s">
        <v>2040</v>
      </c>
      <c r="G810" t="e">
        <f ca="1">_xludf.IMAGE("https://edmondsonsupply.com/cdn/shop/files/4179-05_20220222.jpg?v=1686757087")</f>
        <v>#NAME?</v>
      </c>
      <c r="H810" t="e">
        <f ca="1">_xludf.IMAGE("https://m.media-amazon.com/images/I/7158+93inqL._AC_UL320_.jpg")</f>
        <v>#NAME?</v>
      </c>
      <c r="I810" t="s">
        <v>1960</v>
      </c>
      <c r="J810">
        <v>53.17</v>
      </c>
      <c r="K810" s="4">
        <v>1.6732</v>
      </c>
      <c r="L810">
        <v>3.7</v>
      </c>
      <c r="M810">
        <v>8</v>
      </c>
      <c r="O810" t="s">
        <v>25</v>
      </c>
      <c r="P810" t="s">
        <v>1961</v>
      </c>
      <c r="Q810" t="s">
        <v>1962</v>
      </c>
    </row>
    <row r="811" spans="1:17" ht="15.5" x14ac:dyDescent="0.35">
      <c r="A811" s="3" t="str">
        <f>HYPERLINK("https://edmondsonsupply.com/collections/hvac/products/packard-trc35-titan-pro-run-capacitor-35-mfd-370-volt-round", "https://edmondsonsupply.com/collections/hvac/products/packard-trc35-titan-pro-run-capacitor-35-mfd-370-volt-round")</f>
        <v>https://edmondsonsupply.com/collections/hvac/products/packard-trc35-titan-pro-run-capacitor-35-mfd-370-volt-round</v>
      </c>
      <c r="B811" s="3" t="str">
        <f>HYPERLINK("https://edmondsonsupply.com/products/packard-trc35-titan-pro-run-capacitor-35-mfd-370-volt-round", "https://edmondsonsupply.com/products/packard-trc35-titan-pro-run-capacitor-35-mfd-370-volt-round")</f>
        <v>https://edmondsonsupply.com/products/packard-trc35-titan-pro-run-capacitor-35-mfd-370-volt-round</v>
      </c>
      <c r="C811" t="s">
        <v>2041</v>
      </c>
      <c r="D811" t="s">
        <v>2042</v>
      </c>
      <c r="E811" s="3" t="str">
        <f>HYPERLINK("https://www.amazon.com/TitanPro-TRCD3575-Round-Motor-Capacitor/dp/B0722PL3J7/ref=sr_1_2?keywords=Packard+TRC35+TITAN+PRO+Run+Capacitor+35+MFD+370+Volt%2C+Round&amp;qid=1695173521&amp;sr=8-2", "https://www.amazon.com/TitanPro-TRCD3575-Round-Motor-Capacitor/dp/B0722PL3J7/ref=sr_1_2?keywords=Packard+TRC35+TITAN+PRO+Run+Capacitor+35+MFD+370+Volt%2C+Round&amp;qid=1695173521&amp;sr=8-2")</f>
        <v>https://www.amazon.com/TitanPro-TRCD3575-Round-Motor-Capacitor/dp/B0722PL3J7/ref=sr_1_2?keywords=Packard+TRC35+TITAN+PRO+Run+Capacitor+35+MFD+370+Volt%2C+Round&amp;qid=1695173521&amp;sr=8-2</v>
      </c>
      <c r="F811" t="s">
        <v>2043</v>
      </c>
      <c r="G811" t="e">
        <f ca="1">_xludf.IMAGE("https://edmondsonsupply.com/cdn/shop/products/TRC35-2.jpg?v=1647824336")</f>
        <v>#NAME?</v>
      </c>
      <c r="H811" t="e">
        <f ca="1">_xludf.IMAGE("https://m.media-amazon.com/images/I/710w3GOwaUL._AC_UY218_.jpg")</f>
        <v>#NAME?</v>
      </c>
      <c r="I811" t="s">
        <v>2044</v>
      </c>
      <c r="J811">
        <v>16.12</v>
      </c>
      <c r="K811" s="4">
        <v>1.6689000000000001</v>
      </c>
      <c r="L811">
        <v>5</v>
      </c>
      <c r="M811">
        <v>1</v>
      </c>
      <c r="O811" t="s">
        <v>25</v>
      </c>
      <c r="P811" t="s">
        <v>138</v>
      </c>
      <c r="Q811" t="s">
        <v>2045</v>
      </c>
    </row>
    <row r="812" spans="1:17" ht="15.5" x14ac:dyDescent="0.35">
      <c r="A812" s="3" t="str">
        <f>HYPERLINK("https://edmondsonsupply.com/collections/hvac/products/klein-tools-3005cr-ratcheting-crimper-10-22-awg", "https://edmondsonsupply.com/collections/hvac/products/klein-tools-3005cr-ratcheting-crimper-10-22-awg")</f>
        <v>https://edmondsonsupply.com/collections/hvac/products/klein-tools-3005cr-ratcheting-crimper-10-22-awg</v>
      </c>
      <c r="B812" s="3" t="str">
        <f>HYPERLINK("https://edmondsonsupply.com/products/klein-tools-3005cr-ratcheting-crimper-10-22-awg", "https://edmondsonsupply.com/products/klein-tools-3005cr-ratcheting-crimper-10-22-awg")</f>
        <v>https://edmondsonsupply.com/products/klein-tools-3005cr-ratcheting-crimper-10-22-awg</v>
      </c>
      <c r="C812" t="s">
        <v>1987</v>
      </c>
      <c r="D812" t="s">
        <v>2046</v>
      </c>
      <c r="E812" s="3" t="str">
        <f>HYPERLINK("https://www.amazon.com/Dismantling-Knife-1000V-Insulated-Ratcheting-Terminal/dp/B0BGJ84H4F/ref=sr_1_3?keywords=Klein+Tools+3005CR+Ratcheting+Crimper%2C+10-22+AWG+-+Insulated+Terminals&amp;qid=1695173487&amp;sr=8-3", "https://www.amazon.com/Dismantling-Knife-1000V-Insulated-Ratcheting-Terminal/dp/B0BGJ84H4F/ref=sr_1_3?keywords=Klein+Tools+3005CR+Ratcheting+Crimper%2C+10-22+AWG+-+Insulated+Terminals&amp;qid=1695173487&amp;sr=8-3")</f>
        <v>https://www.amazon.com/Dismantling-Knife-1000V-Insulated-Ratcheting-Terminal/dp/B0BGJ84H4F/ref=sr_1_3?keywords=Klein+Tools+3005CR+Ratcheting+Crimper%2C+10-22+AWG+-+Insulated+Terminals&amp;qid=1695173487&amp;sr=8-3</v>
      </c>
      <c r="F812" t="s">
        <v>2047</v>
      </c>
      <c r="G812" t="e">
        <f ca="1">_xludf.IMAGE("https://edmondsonsupply.com/cdn/shop/products/3005cr.jpg?v=1587146892")</f>
        <v>#NAME?</v>
      </c>
      <c r="H812" t="e">
        <f ca="1">_xludf.IMAGE("https://m.media-amazon.com/images/I/41tkLMUuJaL._AC_UL320_.jpg")</f>
        <v>#NAME?</v>
      </c>
      <c r="I812" t="s">
        <v>824</v>
      </c>
      <c r="J812">
        <v>79.69</v>
      </c>
      <c r="K812" s="4">
        <v>1.659</v>
      </c>
      <c r="L812">
        <v>4.8</v>
      </c>
      <c r="M812">
        <v>793</v>
      </c>
      <c r="O812" t="s">
        <v>25</v>
      </c>
      <c r="P812" t="s">
        <v>1990</v>
      </c>
      <c r="Q812" t="s">
        <v>1991</v>
      </c>
    </row>
    <row r="813" spans="1:17" ht="15.5" x14ac:dyDescent="0.35">
      <c r="A813" s="3" t="str">
        <f>HYPERLINK("https://edmondsonsupply.com/collections/hvac/products/nu-calgon-4372-24-triclean-2x-coil-cleaner-1-quart", "https://edmondsonsupply.com/collections/hvac/products/nu-calgon-4372-24-triclean-2x-coil-cleaner-1-quart")</f>
        <v>https://edmondsonsupply.com/collections/hvac/products/nu-calgon-4372-24-triclean-2x-coil-cleaner-1-quart</v>
      </c>
      <c r="B813" s="3" t="str">
        <f>HYPERLINK("https://edmondsonsupply.com/products/nu-calgon-4372-24-triclean-2x-coil-cleaner-1-quart", "https://edmondsonsupply.com/products/nu-calgon-4372-24-triclean-2x-coil-cleaner-1-quart")</f>
        <v>https://edmondsonsupply.com/products/nu-calgon-4372-24-triclean-2x-coil-cleaner-1-quart</v>
      </c>
      <c r="C813" t="s">
        <v>2048</v>
      </c>
      <c r="D813" t="s">
        <v>2049</v>
      </c>
      <c r="E813" s="3" t="str">
        <f>HYPERLINK("https://www.amazon.com/Nu-Calgon-4372-24-TriClean-Concentrated-Connector/dp/B07C1YSTDC/ref=sr_1_3?keywords=Nu-Calgon+4372-24+TriClean+2x+Coil+Cleaner%2C+1+quart&amp;qid=1695173434&amp;sr=8-3", "https://www.amazon.com/Nu-Calgon-4372-24-TriClean-Concentrated-Connector/dp/B07C1YSTDC/ref=sr_1_3?keywords=Nu-Calgon+4372-24+TriClean+2x+Coil+Cleaner%2C+1+quart&amp;qid=1695173434&amp;sr=8-3")</f>
        <v>https://www.amazon.com/Nu-Calgon-4372-24-TriClean-Concentrated-Connector/dp/B07C1YSTDC/ref=sr_1_3?keywords=Nu-Calgon+4372-24+TriClean+2x+Coil+Cleaner%2C+1+quart&amp;qid=1695173434&amp;sr=8-3</v>
      </c>
      <c r="F813" t="s">
        <v>2050</v>
      </c>
      <c r="G813" t="e">
        <f ca="1">_xludf.IMAGE("https://edmondsonsupply.com/cdn/shop/products/4372-24.jpg?v=1658873195")</f>
        <v>#NAME?</v>
      </c>
      <c r="H813" t="e">
        <f ca="1">_xludf.IMAGE("https://m.media-amazon.com/images/I/61dmMbjxglL._AC_UL320_.jpg")</f>
        <v>#NAME?</v>
      </c>
      <c r="I813" t="s">
        <v>2051</v>
      </c>
      <c r="J813">
        <v>61.66</v>
      </c>
      <c r="K813" s="4">
        <v>1.6475</v>
      </c>
      <c r="L813">
        <v>5</v>
      </c>
      <c r="M813">
        <v>2</v>
      </c>
      <c r="O813" t="s">
        <v>25</v>
      </c>
      <c r="P813" t="s">
        <v>2052</v>
      </c>
      <c r="Q813" t="s">
        <v>2053</v>
      </c>
    </row>
    <row r="814" spans="1:17" ht="15.5" x14ac:dyDescent="0.35">
      <c r="A814" s="3" t="str">
        <f>HYPERLINK("https://edmondsonsupply.com/collections/hvac/products/klein-tools-630m-magnetic-nut-driver-set-3-inch-shafts-2-piece", "https://edmondsonsupply.com/collections/hvac/products/klein-tools-630m-magnetic-nut-driver-set-3-inch-shafts-2-piece")</f>
        <v>https://edmondsonsupply.com/collections/hvac/products/klein-tools-630m-magnetic-nut-driver-set-3-inch-shafts-2-piece</v>
      </c>
      <c r="B814" s="3" t="str">
        <f>HYPERLINK("https://edmondsonsupply.com/products/klein-tools-630m-magnetic-nut-driver-set-3-inch-shafts-2-piece", "https://edmondsonsupply.com/products/klein-tools-630m-magnetic-nut-driver-set-3-inch-shafts-2-piece")</f>
        <v>https://edmondsonsupply.com/products/klein-tools-630m-magnetic-nut-driver-set-3-inch-shafts-2-piece</v>
      </c>
      <c r="C814" t="s">
        <v>1690</v>
      </c>
      <c r="D814" t="s">
        <v>2054</v>
      </c>
      <c r="E814" s="3" t="str">
        <f>HYPERLINK("https://www.amazon.com/Driver-Metric-3-Inch-7-Piece-Klein/dp/B0009ORXQQ/ref=sr_1_6?keywords=Klein+Tools+630M+Magnetic+Nut+Driver+Set%2C+3-Inch+Shafts%2C+2-Piece&amp;qid=1695173650&amp;sr=8-6", "https://www.amazon.com/Driver-Metric-3-Inch-7-Piece-Klein/dp/B0009ORXQQ/ref=sr_1_6?keywords=Klein+Tools+630M+Magnetic+Nut+Driver+Set%2C+3-Inch+Shafts%2C+2-Piece&amp;qid=1695173650&amp;sr=8-6")</f>
        <v>https://www.amazon.com/Driver-Metric-3-Inch-7-Piece-Klein/dp/B0009ORXQQ/ref=sr_1_6?keywords=Klein+Tools+630M+Magnetic+Nut+Driver+Set%2C+3-Inch+Shafts%2C+2-Piece&amp;qid=1695173650&amp;sr=8-6</v>
      </c>
      <c r="F814" t="s">
        <v>2055</v>
      </c>
      <c r="G814" t="e">
        <f ca="1">_xludf.IMAGE("https://edmondsonsupply.com/cdn/shop/products/630m.jpg?v=1587143237")</f>
        <v>#NAME?</v>
      </c>
      <c r="H814" t="e">
        <f ca="1">_xludf.IMAGE("https://m.media-amazon.com/images/I/61CnDJJyViL._AC_UL320_.jpg")</f>
        <v>#NAME?</v>
      </c>
      <c r="I814" t="s">
        <v>1687</v>
      </c>
      <c r="J814">
        <v>49.99</v>
      </c>
      <c r="K814" s="4">
        <v>1.6324000000000001</v>
      </c>
      <c r="L814">
        <v>4.8</v>
      </c>
      <c r="M814">
        <v>588</v>
      </c>
      <c r="O814" t="s">
        <v>25</v>
      </c>
      <c r="P814" t="s">
        <v>1693</v>
      </c>
      <c r="Q814" t="s">
        <v>1694</v>
      </c>
    </row>
    <row r="815" spans="1:17" ht="15.5" x14ac:dyDescent="0.35">
      <c r="A815" s="3" t="str">
        <f>HYPERLINK("https://edmondsonsupply.com/collections/hvac/products/packard-trcfd405-titan-pro-run-capacitor-40-5-mfd-440-370-volt-round", "https://edmondsonsupply.com/collections/hvac/products/packard-trcfd405-titan-pro-run-capacitor-40-5-mfd-440-370-volt-round")</f>
        <v>https://edmondsonsupply.com/collections/hvac/products/packard-trcfd405-titan-pro-run-capacitor-40-5-mfd-440-370-volt-round</v>
      </c>
      <c r="B815" s="3" t="str">
        <f>HYPERLINK("https://edmondsonsupply.com/products/packard-trcfd405-titan-pro-run-capacitor-40-5-mfd-440-370-volt-round", "https://edmondsonsupply.com/products/packard-trcfd405-titan-pro-run-capacitor-40-5-mfd-440-370-volt-round")</f>
        <v>https://edmondsonsupply.com/products/packard-trcfd405-titan-pro-run-capacitor-40-5-mfd-440-370-volt-round</v>
      </c>
      <c r="C815" t="s">
        <v>2056</v>
      </c>
      <c r="D815" t="s">
        <v>2057</v>
      </c>
      <c r="E815" s="3" t="str">
        <f>HYPERLINK("https://www.amazon.com/Capacitor-Microfarad-Rating-370-440VAC-Voltage/dp/B08TT9FDLR/ref=sr_1_7?keywords=Packard+TRCFD405+Titan+PRO+Run+Capacitor+40%2B5+MFD+440%2F370+Volt+Round&amp;qid=1695173477&amp;sr=8-7", "https://www.amazon.com/Capacitor-Microfarad-Rating-370-440VAC-Voltage/dp/B08TT9FDLR/ref=sr_1_7?keywords=Packard+TRCFD405+Titan+PRO+Run+Capacitor+40%2B5+MFD+440%2F370+Volt+Round&amp;qid=1695173477&amp;sr=8-7")</f>
        <v>https://www.amazon.com/Capacitor-Microfarad-Rating-370-440VAC-Voltage/dp/B08TT9FDLR/ref=sr_1_7?keywords=Packard+TRCFD405+Titan+PRO+Run+Capacitor+40%2B5+MFD+440%2F370+Volt+Round&amp;qid=1695173477&amp;sr=8-7</v>
      </c>
      <c r="F815" t="s">
        <v>2058</v>
      </c>
      <c r="G815" t="e">
        <f ca="1">_xludf.IMAGE("https://edmondsonsupply.com/cdn/shop/products/TRCFD405-2.jpg?v=1633030399")</f>
        <v>#NAME?</v>
      </c>
      <c r="H815" t="e">
        <f ca="1">_xludf.IMAGE("https://m.media-amazon.com/images/I/61cQEVPjCNL._AC_UY218_.jpg")</f>
        <v>#NAME?</v>
      </c>
      <c r="I815" t="s">
        <v>1537</v>
      </c>
      <c r="J815">
        <v>22</v>
      </c>
      <c r="K815" s="4">
        <v>1.6222000000000001</v>
      </c>
      <c r="L815">
        <v>4.5</v>
      </c>
      <c r="M815">
        <v>8</v>
      </c>
      <c r="O815" t="s">
        <v>171</v>
      </c>
      <c r="P815" t="s">
        <v>138</v>
      </c>
      <c r="Q815" t="s">
        <v>2059</v>
      </c>
    </row>
    <row r="816" spans="1:17" ht="15.5" x14ac:dyDescent="0.35">
      <c r="A816"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816" s="3" t="str">
        <f>HYPERLINK("https://edmondsonsupply.com/products/midwest-mwt-6510l-left-offset-aviation-snip", "https://edmondsonsupply.com/products/midwest-mwt-6510l-left-offset-aviation-snip")</f>
        <v>https://edmondsonsupply.com/products/midwest-mwt-6510l-left-offset-aviation-snip</v>
      </c>
      <c r="C816" t="s">
        <v>2023</v>
      </c>
      <c r="D816" t="s">
        <v>1965</v>
      </c>
      <c r="E816" s="3" t="str">
        <f>HYPERLINK("https://www.amazon.com/Midwest-Tools-Cutlery-MWT-6510C-Aviation/dp/B01J9IC5D8/ref=sr_1_5?keywords=Midwest+MWT-6510L+Left+Offset+Aviation+Snip&amp;qid=1695173407&amp;sr=8-5", "https://www.amazon.com/Midwest-Tools-Cutlery-MWT-6510C-Aviation/dp/B01J9IC5D8/ref=sr_1_5?keywords=Midwest+MWT-6510L+Left+Offset+Aviation+Snip&amp;qid=1695173407&amp;sr=8-5")</f>
        <v>https://www.amazon.com/Midwest-Tools-Cutlery-MWT-6510C-Aviation/dp/B01J9IC5D8/ref=sr_1_5?keywords=Midwest+MWT-6510L+Left+Offset+Aviation+Snip&amp;qid=1695173407&amp;sr=8-5</v>
      </c>
      <c r="F816" t="s">
        <v>1966</v>
      </c>
      <c r="G816" t="e">
        <f ca="1">_xludf.IMAGE("https://edmondsonsupply.com/cdn/shop/products/mwt-6510l.png?v=1587142880")</f>
        <v>#NAME?</v>
      </c>
      <c r="H816" t="e">
        <f ca="1">_xludf.IMAGE("https://m.media-amazon.com/images/I/71GdMeiK3LL._AC_UL320_.jpg")</f>
        <v>#NAME?</v>
      </c>
      <c r="I816" t="s">
        <v>362</v>
      </c>
      <c r="J816">
        <v>68</v>
      </c>
      <c r="K816" s="4">
        <v>1.6164000000000001</v>
      </c>
      <c r="L816">
        <v>4.7</v>
      </c>
      <c r="M816">
        <v>410</v>
      </c>
      <c r="O816" t="s">
        <v>25</v>
      </c>
      <c r="P816" t="s">
        <v>260</v>
      </c>
      <c r="Q816" t="s">
        <v>2026</v>
      </c>
    </row>
    <row r="817" spans="1:17" ht="15.5" x14ac:dyDescent="0.35">
      <c r="A817" s="3" t="str">
        <f>HYPERLINK("https://edmondsonsupply.com/collections/hvac/products/malco-mshlc-2-5-8-c-rhex-cleanable-reversible-magnetic-hex-driver-1-4-5-16", "https://edmondsonsupply.com/collections/hvac/products/malco-mshlc-2-5-8-c-rhex-cleanable-reversible-magnetic-hex-driver-1-4-5-16")</f>
        <v>https://edmondsonsupply.com/collections/hvac/products/malco-mshlc-2-5-8-c-rhex-cleanable-reversible-magnetic-hex-driver-1-4-5-16</v>
      </c>
      <c r="B817" s="3" t="str">
        <f>HYPERLINK("https://edmondsonsupply.com/products/malco-mshlc-2-5-8-c-rhex-cleanable-reversible-magnetic-hex-driver-1-4-5-16", "https://edmondsonsupply.com/products/malco-mshlc-2-5-8-c-rhex-cleanable-reversible-magnetic-hex-driver-1-4-5-16")</f>
        <v>https://edmondsonsupply.com/products/malco-mshlc-2-5-8-c-rhex-cleanable-reversible-magnetic-hex-driver-1-4-5-16</v>
      </c>
      <c r="C817" t="s">
        <v>2060</v>
      </c>
      <c r="D817" t="s">
        <v>153</v>
      </c>
      <c r="E817" s="3" t="str">
        <f>HYPERLINK("https://www.amazon.com/Malco-MSH2XLC2-Construction-Cleanable-Reversible/dp/B0BX79N2BV/ref=sr_1_4?keywords=Malco+Tools+MSHLC+2-5%2F8%22+C-Rhex+Cleanable%2C+Reversible+Magnetic+Hex+Driver%2C+1%2F4%22+%26+5%2F16%22&amp;qid=1695173386&amp;sr=8-4", "https://www.amazon.com/Malco-MSH2XLC2-Construction-Cleanable-Reversible/dp/B0BX79N2BV/ref=sr_1_4?keywords=Malco+Tools+MSHLC+2-5%2F8%22+C-Rhex+Cleanable%2C+Reversible+Magnetic+Hex+Driver%2C+1%2F4%22+%26+5%2F16%22&amp;qid=1695173386&amp;sr=8-4")</f>
        <v>https://www.amazon.com/Malco-MSH2XLC2-Construction-Cleanable-Reversible/dp/B0BX79N2BV/ref=sr_1_4?keywords=Malco+Tools+MSHLC+2-5%2F8%22+C-Rhex+Cleanable%2C+Reversible+Magnetic+Hex+Driver%2C+1%2F4%22+%26+5%2F16%22&amp;qid=1695173386&amp;sr=8-4</v>
      </c>
      <c r="F817" t="s">
        <v>154</v>
      </c>
      <c r="G817" t="e">
        <f ca="1">_xludf.IMAGE("https://edmondsonsupply.com/cdn/shop/products/Malco-MSHLC-CRHEX-Slim-Design.jpg?v=1654737733")</f>
        <v>#NAME?</v>
      </c>
      <c r="H817" t="e">
        <f ca="1">_xludf.IMAGE("https://m.media-amazon.com/images/I/31odlSGS4kL._AC_UL320_.jpg")</f>
        <v>#NAME?</v>
      </c>
      <c r="I817" t="s">
        <v>2061</v>
      </c>
      <c r="J817">
        <v>22.86</v>
      </c>
      <c r="K817" s="4">
        <v>1.6095999999999999</v>
      </c>
      <c r="L817">
        <v>5</v>
      </c>
      <c r="M817">
        <v>1</v>
      </c>
      <c r="O817" t="s">
        <v>25</v>
      </c>
      <c r="P817" t="s">
        <v>2062</v>
      </c>
      <c r="Q817" t="s">
        <v>2063</v>
      </c>
    </row>
    <row r="818" spans="1:17" ht="15.5" x14ac:dyDescent="0.35">
      <c r="A818" s="3" t="str">
        <f>HYPERLINK("https://edmondsonsupply.com/collections/hvac/products/malco-tools-lp7r-eagle-grip-7-straight-jaw-locking-pliers", "https://edmondsonsupply.com/collections/hvac/products/malco-tools-lp7r-eagle-grip-7-straight-jaw-locking-pliers")</f>
        <v>https://edmondsonsupply.com/collections/hvac/products/malco-tools-lp7r-eagle-grip-7-straight-jaw-locking-pliers</v>
      </c>
      <c r="B818" s="3" t="str">
        <f>HYPERLINK("https://edmondsonsupply.com/products/malco-tools-lp7r-eagle-grip-7-straight-jaw-locking-pliers", "https://edmondsonsupply.com/products/malco-tools-lp7r-eagle-grip-7-straight-jaw-locking-pliers")</f>
        <v>https://edmondsonsupply.com/products/malco-tools-lp7r-eagle-grip-7-straight-jaw-locking-pliers</v>
      </c>
      <c r="C818" t="s">
        <v>2064</v>
      </c>
      <c r="D818" t="s">
        <v>2065</v>
      </c>
      <c r="E818" s="3" t="str">
        <f>HYPERLINK("https://www.amazon.com/Locking-Straight-Malco-Pliers-Curved/dp/B0CC7MTMSQ/ref=sr_1_2?keywords=Malco+Tools+LP7R+Eagle+Grip+7%E2%80%B3+Straight+Jaw+Locking+Pliers&amp;qid=1695173432&amp;sr=8-2", "https://www.amazon.com/Locking-Straight-Malco-Pliers-Curved/dp/B0CC7MTMSQ/ref=sr_1_2?keywords=Malco+Tools+LP7R+Eagle+Grip+7%E2%80%B3+Straight+Jaw+Locking+Pliers&amp;qid=1695173432&amp;sr=8-2")</f>
        <v>https://www.amazon.com/Locking-Straight-Malco-Pliers-Curved/dp/B0CC7MTMSQ/ref=sr_1_2?keywords=Malco+Tools+LP7R+Eagle+Grip+7%E2%80%B3+Straight+Jaw+Locking+Pliers&amp;qid=1695173432&amp;sr=8-2</v>
      </c>
      <c r="F818" t="s">
        <v>2066</v>
      </c>
      <c r="G818" t="e">
        <f ca="1">_xludf.IMAGE("https://edmondsonsupply.com/cdn/shop/products/LP7R-eagle-grip-locking-pliers-in-hand.jpg?v=1657291391")</f>
        <v>#NAME?</v>
      </c>
      <c r="H818" t="e">
        <f ca="1">_xludf.IMAGE("https://m.media-amazon.com/images/I/51hCE5iB5fL._AC_UL320_.jpg")</f>
        <v>#NAME?</v>
      </c>
      <c r="I818" t="s">
        <v>1931</v>
      </c>
      <c r="J818">
        <v>130.01</v>
      </c>
      <c r="K818" s="4">
        <v>1.6007</v>
      </c>
      <c r="L818">
        <v>5</v>
      </c>
      <c r="M818">
        <v>189</v>
      </c>
      <c r="O818" t="s">
        <v>25</v>
      </c>
      <c r="P818" t="s">
        <v>2067</v>
      </c>
      <c r="Q818" t="s">
        <v>2068</v>
      </c>
    </row>
    <row r="819" spans="1:17" ht="15.5" x14ac:dyDescent="0.35">
      <c r="A819" s="3" t="str">
        <f>HYPERLINK("https://edmondsonsupply.com/collections/hvac/products/packard-trcfd455-titan-pro-run-capacitor-45-5-mfd-440-370-volt-round", "https://edmondsonsupply.com/collections/hvac/products/packard-trcfd455-titan-pro-run-capacitor-45-5-mfd-440-370-volt-round")</f>
        <v>https://edmondsonsupply.com/collections/hvac/products/packard-trcfd455-titan-pro-run-capacitor-45-5-mfd-440-370-volt-round</v>
      </c>
      <c r="B819" s="3" t="str">
        <f>HYPERLINK("https://edmondsonsupply.com/products/packard-trcfd455-titan-pro-run-capacitor-45-5-mfd-440-370-volt-round", "https://edmondsonsupply.com/products/packard-trcfd455-titan-pro-run-capacitor-45-5-mfd-440-370-volt-round")</f>
        <v>https://edmondsonsupply.com/products/packard-trcfd455-titan-pro-run-capacitor-45-5-mfd-440-370-volt-round</v>
      </c>
      <c r="C819" t="s">
        <v>2069</v>
      </c>
      <c r="D819" t="s">
        <v>2070</v>
      </c>
      <c r="E819" s="3" t="str">
        <f>HYPERLINK("https://www.amazon.com/Capacitor-Microfarad-Rating-370-440VAC-Voltage/dp/B00DBSKUE4/ref=sr_1_3?keywords=Packard+TRCFD455+Titan+PRO+Run+Capacitor+45+5+MFD+440%2F370+Volt+Round&amp;qid=1695173400&amp;sr=8-3", "https://www.amazon.com/Capacitor-Microfarad-Rating-370-440VAC-Voltage/dp/B00DBSKUE4/ref=sr_1_3?keywords=Packard+TRCFD455+Titan+PRO+Run+Capacitor+45+5+MFD+440%2F370+Volt+Round&amp;qid=1695173400&amp;sr=8-3")</f>
        <v>https://www.amazon.com/Capacitor-Microfarad-Rating-370-440VAC-Voltage/dp/B00DBSKUE4/ref=sr_1_3?keywords=Packard+TRCFD455+Titan+PRO+Run+Capacitor+45+5+MFD+440%2F370+Volt+Round&amp;qid=1695173400&amp;sr=8-3</v>
      </c>
      <c r="F819" t="s">
        <v>2071</v>
      </c>
      <c r="G819" t="e">
        <f ca="1">_xludf.IMAGE("https://edmondsonsupply.com/cdn/shop/products/TRCFD455-2.jpg?v=1587147298")</f>
        <v>#NAME?</v>
      </c>
      <c r="H819" t="e">
        <f ca="1">_xludf.IMAGE("https://m.media-amazon.com/images/I/611T+JHIHRL._AC_UY218_.jpg")</f>
        <v>#NAME?</v>
      </c>
      <c r="I819" t="s">
        <v>924</v>
      </c>
      <c r="J819">
        <v>23.34</v>
      </c>
      <c r="K819" s="4">
        <v>1.5962000000000001</v>
      </c>
      <c r="L819">
        <v>5</v>
      </c>
      <c r="M819">
        <v>1</v>
      </c>
      <c r="O819" t="s">
        <v>171</v>
      </c>
      <c r="P819" t="s">
        <v>138</v>
      </c>
      <c r="Q819" t="s">
        <v>2072</v>
      </c>
    </row>
    <row r="820" spans="1:17" ht="15.5" x14ac:dyDescent="0.35">
      <c r="A820" s="3" t="str">
        <f>HYPERLINK("https://edmondsonsupply.com/collections/hvac/products/packard-trcf25-titan-pro-run-capacitor-25-mfd-440-370-volt-round", "https://edmondsonsupply.com/collections/hvac/products/packard-trcf25-titan-pro-run-capacitor-25-mfd-440-370-volt-round")</f>
        <v>https://edmondsonsupply.com/collections/hvac/products/packard-trcf25-titan-pro-run-capacitor-25-mfd-440-370-volt-round</v>
      </c>
      <c r="B820" s="3" t="str">
        <f>HYPERLINK("https://edmondsonsupply.com/products/packard-trcf25-titan-pro-run-capacitor-25-mfd-440-370-volt-round", "https://edmondsonsupply.com/products/packard-trcf25-titan-pro-run-capacitor-25-mfd-440-370-volt-round")</f>
        <v>https://edmondsonsupply.com/products/packard-trcf25-titan-pro-run-capacitor-25-mfd-440-370-volt-round</v>
      </c>
      <c r="C820" t="s">
        <v>2027</v>
      </c>
      <c r="D820" t="s">
        <v>1457</v>
      </c>
      <c r="E820" s="3" t="str">
        <f>HYPERLINK("https://www.amazon.com/Packard-TOCFD255-Titan-Motor-Capacitor/dp/B009558O8G/ref=sr_1_6?keywords=Packard+TRCF25+TITAN+PRO+Run+Capacitor+25+MFD+440%2F370+Volt%2C+Round&amp;qid=1695173520&amp;sr=8-6", "https://www.amazon.com/Packard-TOCFD255-Titan-Motor-Capacitor/dp/B009558O8G/ref=sr_1_6?keywords=Packard+TRCF25+TITAN+PRO+Run+Capacitor+25+MFD+440%2F370+Volt%2C+Round&amp;qid=1695173520&amp;sr=8-6")</f>
        <v>https://www.amazon.com/Packard-TOCFD255-Titan-Motor-Capacitor/dp/B009558O8G/ref=sr_1_6?keywords=Packard+TRCF25+TITAN+PRO+Run+Capacitor+25+MFD+440%2F370+Volt%2C+Round&amp;qid=1695173520&amp;sr=8-6</v>
      </c>
      <c r="F820" t="s">
        <v>1458</v>
      </c>
      <c r="G820" t="e">
        <f ca="1">_xludf.IMAGE("https://edmondsonsupply.com/cdn/shop/products/TRCF25-2.jpg?v=1633030930")</f>
        <v>#NAME?</v>
      </c>
      <c r="H820" t="e">
        <f ca="1">_xludf.IMAGE("https://m.media-amazon.com/images/I/51ZHG4pO0nL._AC_UY218_.jpg")</f>
        <v>#NAME?</v>
      </c>
      <c r="I820" t="s">
        <v>2028</v>
      </c>
      <c r="J820">
        <v>13.79</v>
      </c>
      <c r="K820" s="4">
        <v>1.5871999999999999</v>
      </c>
      <c r="L820">
        <v>4.5</v>
      </c>
      <c r="M820">
        <v>42</v>
      </c>
      <c r="O820" t="s">
        <v>25</v>
      </c>
      <c r="P820" t="s">
        <v>138</v>
      </c>
      <c r="Q820" t="s">
        <v>2029</v>
      </c>
    </row>
    <row r="821" spans="1:17" ht="15.5" x14ac:dyDescent="0.35">
      <c r="A821" s="3" t="str">
        <f>HYPERLINK("https://edmondsonsupply.com/collections/hvac/products/packard-prmj88-motor-start-capacitor-88-108-mfd-330-volt", "https://edmondsonsupply.com/collections/hvac/products/packard-prmj88-motor-start-capacitor-88-108-mfd-330-volt")</f>
        <v>https://edmondsonsupply.com/collections/hvac/products/packard-prmj88-motor-start-capacitor-88-108-mfd-330-volt</v>
      </c>
      <c r="B821" s="3" t="str">
        <f>HYPERLINK("https://edmondsonsupply.com/products/packard-prmj88-motor-start-capacitor-88-108-mfd-330-volt", "https://edmondsonsupply.com/products/packard-prmj88-motor-start-capacitor-88-108-mfd-330-volt")</f>
        <v>https://edmondsonsupply.com/products/packard-prmj88-motor-start-capacitor-88-108-mfd-330-volt</v>
      </c>
      <c r="C821" t="s">
        <v>1992</v>
      </c>
      <c r="D821" t="s">
        <v>2073</v>
      </c>
      <c r="E821" s="3" t="str">
        <f>HYPERLINK("https://www.amazon.com/11062-Replacement-Motor-Capacitor-88-108/dp/B00IWV2P5W/ref=sr_1_6?keywords=Packard+PRMJ88+Motor+Start+Capacitor+88-108+MFD+330+Volt&amp;qid=1695173645&amp;sr=8-6", "https://www.amazon.com/11062-Replacement-Motor-Capacitor-88-108/dp/B00IWV2P5W/ref=sr_1_6?keywords=Packard+PRMJ88+Motor+Start+Capacitor+88-108+MFD+330+Volt&amp;qid=1695173645&amp;sr=8-6")</f>
        <v>https://www.amazon.com/11062-Replacement-Motor-Capacitor-88-108/dp/B00IWV2P5W/ref=sr_1_6?keywords=Packard+PRMJ88+Motor+Start+Capacitor+88-108+MFD+330+Volt&amp;qid=1695173645&amp;sr=8-6</v>
      </c>
      <c r="F821" t="s">
        <v>2074</v>
      </c>
      <c r="G821" t="e">
        <f ca="1">_xludf.IMAGE("https://edmondsonsupply.com/cdn/shop/products/PRMJ88-2.jpg?v=1633030394")</f>
        <v>#NAME?</v>
      </c>
      <c r="H821" t="e">
        <f ca="1">_xludf.IMAGE("https://m.media-amazon.com/images/I/41iN-8gLZyL._AC_UY218_.jpg")</f>
        <v>#NAME?</v>
      </c>
      <c r="I821" t="s">
        <v>1995</v>
      </c>
      <c r="J821">
        <v>14.46</v>
      </c>
      <c r="K821" s="4">
        <v>1.5868</v>
      </c>
      <c r="L821">
        <v>5</v>
      </c>
      <c r="M821">
        <v>3</v>
      </c>
      <c r="O821" t="s">
        <v>25</v>
      </c>
      <c r="P821" t="s">
        <v>138</v>
      </c>
      <c r="Q821" t="s">
        <v>1996</v>
      </c>
    </row>
    <row r="822" spans="1:17" ht="15.5" x14ac:dyDescent="0.35">
      <c r="A822" s="3" t="str">
        <f>HYPERLINK("https://edmondsonsupply.com/collections/hvac/products/yellow-jacket-yjii-vacuum-pump-5-cfm-93266", "https://edmondsonsupply.com/collections/hvac/products/yellow-jacket-yjii-vacuum-pump-5-cfm-93266")</f>
        <v>https://edmondsonsupply.com/collections/hvac/products/yellow-jacket-yjii-vacuum-pump-5-cfm-93266</v>
      </c>
      <c r="B822" s="3" t="str">
        <f>HYPERLINK("https://edmondsonsupply.com/products/yellow-jacket-yjii-vacuum-pump-5-cfm-93266", "https://edmondsonsupply.com/products/yellow-jacket-yjii-vacuum-pump-5-cfm-93266")</f>
        <v>https://edmondsonsupply.com/products/yellow-jacket-yjii-vacuum-pump-5-cfm-93266</v>
      </c>
      <c r="C822" t="s">
        <v>2075</v>
      </c>
      <c r="D822" t="s">
        <v>2076</v>
      </c>
      <c r="E822" s="3" t="str">
        <f>HYPERLINK("https://www.amazon.com/Yellow-Jacket-SuperEvac-Vacuum-115VAC/dp/B095XK6GVG/ref=sr_1_2?keywords=Yellow+Jacket+93266+YJII%E2%84%A2+5+CFM+Vacuum+Pump&amp;qid=1695173391&amp;sr=8-2", "https://www.amazon.com/Yellow-Jacket-SuperEvac-Vacuum-115VAC/dp/B095XK6GVG/ref=sr_1_2?keywords=Yellow+Jacket+93266+YJII%E2%84%A2+5+CFM+Vacuum+Pump&amp;qid=1695173391&amp;sr=8-2")</f>
        <v>https://www.amazon.com/Yellow-Jacket-SuperEvac-Vacuum-115VAC/dp/B095XK6GVG/ref=sr_1_2?keywords=Yellow+Jacket+93266+YJII%E2%84%A2+5+CFM+Vacuum+Pump&amp;qid=1695173391&amp;sr=8-2</v>
      </c>
      <c r="F822" t="s">
        <v>2077</v>
      </c>
      <c r="G822" t="e">
        <f ca="1">_xludf.IMAGE("https://edmondsonsupply.com/cdn/shop/products/93266-YJII-Vacuum-Pump-484x416.jpg?v=1605058989")</f>
        <v>#NAME?</v>
      </c>
      <c r="H822" t="e">
        <f ca="1">_xludf.IMAGE("https://m.media-amazon.com/images/I/510W-CASg+L._AC_UL320_.jpg")</f>
        <v>#NAME?</v>
      </c>
      <c r="I822" t="s">
        <v>2078</v>
      </c>
      <c r="J822">
        <v>830</v>
      </c>
      <c r="K822" s="4">
        <v>1.5731999999999999</v>
      </c>
      <c r="L822">
        <v>4.7</v>
      </c>
      <c r="M822">
        <v>4</v>
      </c>
      <c r="O822" t="s">
        <v>25</v>
      </c>
      <c r="P822" t="s">
        <v>138</v>
      </c>
      <c r="Q822" t="s">
        <v>2079</v>
      </c>
    </row>
    <row r="823" spans="1:17" ht="15.5" x14ac:dyDescent="0.35">
      <c r="A823" s="3" t="str">
        <f>HYPERLINK("https://edmondsonsupply.com/collections/hvac/products/midwest-mwt-ss6716r-special-hardness-aviation-snip-right-cutting", "https://edmondsonsupply.com/collections/hvac/products/midwest-mwt-ss6716r-special-hardness-aviation-snip-right-cutting")</f>
        <v>https://edmondsonsupply.com/collections/hvac/products/midwest-mwt-ss6716r-special-hardness-aviation-snip-right-cutting</v>
      </c>
      <c r="B823" s="3" t="str">
        <f>HYPERLINK("https://edmondsonsupply.com/products/midwest-mwt-ss6716r-special-hardness-aviation-snip-right-cutting", "https://edmondsonsupply.com/products/midwest-mwt-ss6716r-special-hardness-aviation-snip-right-cutting")</f>
        <v>https://edmondsonsupply.com/products/midwest-mwt-ss6716r-special-hardness-aviation-snip-right-cutting</v>
      </c>
      <c r="C823" t="s">
        <v>1768</v>
      </c>
      <c r="D823" t="s">
        <v>191</v>
      </c>
      <c r="E823" s="3" t="str">
        <f>HYPERLINK("https://www.amazon.com/Midwest-Tools-Cutlery-MWT-SS6510R-Stainless/dp/B01J7IOB64/ref=sr_1_1?keywords=Midwest+MWT-SS6716R+Special+Hardness+Aviation+Snip+-+Right-Cutting&amp;qid=1695173444&amp;sr=8-1", "https://www.amazon.com/Midwest-Tools-Cutlery-MWT-SS6510R-Stainless/dp/B01J7IOB64/ref=sr_1_1?keywords=Midwest+MWT-SS6716R+Special+Hardness+Aviation+Snip+-+Right-Cutting&amp;qid=1695173444&amp;sr=8-1")</f>
        <v>https://www.amazon.com/Midwest-Tools-Cutlery-MWT-SS6510R-Stainless/dp/B01J7IOB64/ref=sr_1_1?keywords=Midwest+MWT-SS6716R+Special+Hardness+Aviation+Snip+-+Right-Cutting&amp;qid=1695173444&amp;sr=8-1</v>
      </c>
      <c r="F823" t="s">
        <v>192</v>
      </c>
      <c r="G823" t="e">
        <f ca="1">_xludf.IMAGE("https://edmondsonsupply.com/cdn/shop/products/MWT-SS6716R1.jpg?v=1587146219")</f>
        <v>#NAME?</v>
      </c>
      <c r="H823" t="e">
        <f ca="1">_xludf.IMAGE("https://m.media-amazon.com/images/I/61rvvPEnRIL._AC_UL320_.jpg")</f>
        <v>#NAME?</v>
      </c>
      <c r="I823" t="s">
        <v>1769</v>
      </c>
      <c r="J823">
        <v>63.44</v>
      </c>
      <c r="K823" s="4">
        <v>1.5726</v>
      </c>
      <c r="L823">
        <v>4.4000000000000004</v>
      </c>
      <c r="M823">
        <v>28</v>
      </c>
      <c r="O823" t="s">
        <v>25</v>
      </c>
      <c r="P823" t="s">
        <v>1770</v>
      </c>
      <c r="Q823" t="s">
        <v>1771</v>
      </c>
    </row>
    <row r="824" spans="1:17" ht="15.5" x14ac:dyDescent="0.35">
      <c r="A824"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824" s="3" t="str">
        <f>HYPERLINK("https://edmondsonsupply.com/products/packard-pmj460-motor-start-capacitor-460-552-mfd-110-125-vac", "https://edmondsonsupply.com/products/packard-pmj460-motor-start-capacitor-460-552-mfd-110-125-vac")</f>
        <v>https://edmondsonsupply.com/products/packard-pmj460-motor-start-capacitor-460-552-mfd-110-125-vac</v>
      </c>
      <c r="C824" t="s">
        <v>1622</v>
      </c>
      <c r="D824" t="s">
        <v>2080</v>
      </c>
      <c r="E824" s="3" t="str">
        <f>HYPERLINK("https://www.amazon.com/BlueStars-460-552-MFD-110-125-VAC/dp/B0BDV543B9/ref=sr_1_9?keywords=Packard+PMJ460+Motor+Start+Capacitor+460-552+MFD+110-125+VAC&amp;qid=1695173457&amp;sr=8-9", "https://www.amazon.com/BlueStars-460-552-MFD-110-125-VAC/dp/B0BDV543B9/ref=sr_1_9?keywords=Packard+PMJ460+Motor+Start+Capacitor+460-552+MFD+110-125+VAC&amp;qid=1695173457&amp;sr=8-9")</f>
        <v>https://www.amazon.com/BlueStars-460-552-MFD-110-125-VAC/dp/B0BDV543B9/ref=sr_1_9?keywords=Packard+PMJ460+Motor+Start+Capacitor+460-552+MFD+110-125+VAC&amp;qid=1695173457&amp;sr=8-9</v>
      </c>
      <c r="F824" t="s">
        <v>2081</v>
      </c>
      <c r="G824" t="e">
        <f ca="1">_xludf.IMAGE("https://edmondsonsupply.com/cdn/shop/products/PMJ460-2.jpg?v=1633030333")</f>
        <v>#NAME?</v>
      </c>
      <c r="H824" t="e">
        <f ca="1">_xludf.IMAGE("https://m.media-amazon.com/images/I/81ftnrX7HQL._AC_UY218_.jpg")</f>
        <v>#NAME?</v>
      </c>
      <c r="I824" t="s">
        <v>1623</v>
      </c>
      <c r="J824">
        <v>12.99</v>
      </c>
      <c r="K824" s="4">
        <v>1.5671999999999999</v>
      </c>
      <c r="L824">
        <v>4.5</v>
      </c>
      <c r="M824">
        <v>8</v>
      </c>
      <c r="O824" t="s">
        <v>171</v>
      </c>
      <c r="P824" t="s">
        <v>138</v>
      </c>
      <c r="Q824" t="s">
        <v>1624</v>
      </c>
    </row>
    <row r="825" spans="1:17" ht="15.5" x14ac:dyDescent="0.35">
      <c r="A825" s="3" t="str">
        <f>HYPERLINK("https://edmondsonsupply.com/collections/hvac/products/packard-titan-pro-toc15-motor-run-capacitor-15-mfd-370-volt-oval", "https://edmondsonsupply.com/collections/hvac/products/packard-titan-pro-toc15-motor-run-capacitor-15-mfd-370-volt-oval")</f>
        <v>https://edmondsonsupply.com/collections/hvac/products/packard-titan-pro-toc15-motor-run-capacitor-15-mfd-370-volt-oval</v>
      </c>
      <c r="B825" s="3" t="str">
        <f>HYPERLINK("https://edmondsonsupply.com/products/packard-titan-pro-toc15-motor-run-capacitor-15-mfd-370-volt-oval", "https://edmondsonsupply.com/products/packard-titan-pro-toc15-motor-run-capacitor-15-mfd-370-volt-oval")</f>
        <v>https://edmondsonsupply.com/products/packard-titan-pro-toc15-motor-run-capacitor-15-mfd-370-volt-oval</v>
      </c>
      <c r="C825" t="s">
        <v>1843</v>
      </c>
      <c r="D825" t="s">
        <v>2082</v>
      </c>
      <c r="E825" s="3" t="str">
        <f>HYPERLINK("https://www.amazon.com/Packard-Titan-Motor-Capacitor-Toc15/dp/B082MPZFNL/ref=sr_1_2?keywords=Packard+Titan+PRO+TOC15+Motor+Run+Capacitor+15+MFD+370+Volt+Oval&amp;qid=1695173423&amp;sr=8-2", "https://www.amazon.com/Packard-Titan-Motor-Capacitor-Toc15/dp/B082MPZFNL/ref=sr_1_2?keywords=Packard+Titan+PRO+TOC15+Motor+Run+Capacitor+15+MFD+370+Volt+Oval&amp;qid=1695173423&amp;sr=8-2")</f>
        <v>https://www.amazon.com/Packard-Titan-Motor-Capacitor-Toc15/dp/B082MPZFNL/ref=sr_1_2?keywords=Packard+Titan+PRO+TOC15+Motor+Run+Capacitor+15+MFD+370+Volt+Oval&amp;qid=1695173423&amp;sr=8-2</v>
      </c>
      <c r="F825" t="s">
        <v>2083</v>
      </c>
      <c r="G825" t="e">
        <f ca="1">_xludf.IMAGE("https://edmondsonsupply.com/cdn/shop/products/TOC15-2.jpg?v=1633030141")</f>
        <v>#NAME?</v>
      </c>
      <c r="H825" t="e">
        <f ca="1">_xludf.IMAGE("https://m.media-amazon.com/images/I/31Qs7FCPXhL._AC_UY218_.jpg")</f>
        <v>#NAME?</v>
      </c>
      <c r="I825" t="s">
        <v>1846</v>
      </c>
      <c r="J825">
        <v>8.6199999999999992</v>
      </c>
      <c r="K825" s="4">
        <v>1.5579000000000001</v>
      </c>
      <c r="L825">
        <v>3.3</v>
      </c>
      <c r="M825">
        <v>4</v>
      </c>
      <c r="O825" t="s">
        <v>25</v>
      </c>
      <c r="P825" t="s">
        <v>138</v>
      </c>
      <c r="Q825" t="s">
        <v>1847</v>
      </c>
    </row>
    <row r="826" spans="1:17" ht="15.5" x14ac:dyDescent="0.35">
      <c r="A826"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826" s="3" t="str">
        <f>HYPERLINK("https://edmondsonsupply.com/products/klein-tools-et120-combustible-gas-leak-detector", "https://edmondsonsupply.com/products/klein-tools-et120-combustible-gas-leak-detector")</f>
        <v>https://edmondsonsupply.com/products/klein-tools-et120-combustible-gas-leak-detector</v>
      </c>
      <c r="C826" t="s">
        <v>1529</v>
      </c>
      <c r="D826" t="s">
        <v>2084</v>
      </c>
      <c r="E826" s="3" t="str">
        <f>HYPERLINK("https://www.amazon.com/RIDGID-CD-100-Combustible-Detector-Tester/dp/B0BNL9BF1T/ref=sr_1_2?keywords=Klein+Tools+ET120+Combustible+Gas+Leak+Detector&amp;qid=1695173669&amp;sr=8-2", "https://www.amazon.com/RIDGID-CD-100-Combustible-Detector-Tester/dp/B0BNL9BF1T/ref=sr_1_2?keywords=Klein+Tools+ET120+Combustible+Gas+Leak+Detector&amp;qid=1695173669&amp;sr=8-2")</f>
        <v>https://www.amazon.com/RIDGID-CD-100-Combustible-Detector-Tester/dp/B0BNL9BF1T/ref=sr_1_2?keywords=Klein+Tools+ET120+Combustible+Gas+Leak+Detector&amp;qid=1695173669&amp;sr=8-2</v>
      </c>
      <c r="F826" t="s">
        <v>2085</v>
      </c>
      <c r="G826" t="e">
        <f ca="1">_xludf.IMAGE("https://edmondsonsupply.com/cdn/shop/products/et120.jpg?v=1587149243")</f>
        <v>#NAME?</v>
      </c>
      <c r="H826" t="e">
        <f ca="1">_xludf.IMAGE("https://m.media-amazon.com/images/I/41nf-no3bpL._AC_UL320_.jpg")</f>
        <v>#NAME?</v>
      </c>
      <c r="I826" t="s">
        <v>74</v>
      </c>
      <c r="J826">
        <v>306.68</v>
      </c>
      <c r="K826" s="4">
        <v>1.5559000000000001</v>
      </c>
      <c r="L826">
        <v>4.5</v>
      </c>
      <c r="M826">
        <v>756</v>
      </c>
      <c r="O826" t="s">
        <v>25</v>
      </c>
      <c r="P826" t="s">
        <v>1532</v>
      </c>
      <c r="Q826" t="s">
        <v>1533</v>
      </c>
    </row>
    <row r="827" spans="1:17" ht="15.5" x14ac:dyDescent="0.35">
      <c r="A827"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827" s="3" t="str">
        <f>HYPERLINK("https://edmondsonsupply.com/products/nu-calgon-44171-75-evap-foam-no-rinse-aerosol-coil-cleaner", "https://edmondsonsupply.com/products/nu-calgon-44171-75-evap-foam-no-rinse-aerosol-coil-cleaner")</f>
        <v>https://edmondsonsupply.com/products/nu-calgon-44171-75-evap-foam-no-rinse-aerosol-coil-cleaner</v>
      </c>
      <c r="C827" t="s">
        <v>1546</v>
      </c>
      <c r="D827" t="s">
        <v>2086</v>
      </c>
      <c r="E827" s="3" t="str">
        <f>HYPERLINK("https://www.amazon.com/Nu-Calgon-4171-75-Rinse-Evaporator-Cleaner/dp/B07TT1JMR2/ref=sr_1_10?keywords=Nu-Calgon+4171-75+Evap+Foam+No+Rinse%2C+Aerosol+Coil+Cleaner+%2818+oz.+can%29&amp;qid=1695173370&amp;sr=8-10", "https://www.amazon.com/Nu-Calgon-4171-75-Rinse-Evaporator-Cleaner/dp/B07TT1JMR2/ref=sr_1_10?keywords=Nu-Calgon+4171-75+Evap+Foam+No+Rinse%2C+Aerosol+Coil+Cleaner+%2818+oz.+can%29&amp;qid=1695173370&amp;sr=8-10")</f>
        <v>https://www.amazon.com/Nu-Calgon-4171-75-Rinse-Evaporator-Cleaner/dp/B07TT1JMR2/ref=sr_1_10?keywords=Nu-Calgon+4171-75+Evap+Foam+No+Rinse%2C+Aerosol+Coil+Cleaner+%2818+oz.+can%29&amp;qid=1695173370&amp;sr=8-10</v>
      </c>
      <c r="F827" t="s">
        <v>2087</v>
      </c>
      <c r="G827" t="e">
        <f ca="1">_xludf.IMAGE("https://edmondsonsupply.com/cdn/shop/products/4171-75.jpg?v=1659099515")</f>
        <v>#NAME?</v>
      </c>
      <c r="H827" t="e">
        <f ca="1">_xludf.IMAGE("https://m.media-amazon.com/images/I/71b8ecuFl0L._AC_UL320_.jpg")</f>
        <v>#NAME?</v>
      </c>
      <c r="I827" t="s">
        <v>234</v>
      </c>
      <c r="J827">
        <v>29.99</v>
      </c>
      <c r="K827" s="4">
        <v>1.5523</v>
      </c>
      <c r="L827">
        <v>4.5999999999999996</v>
      </c>
      <c r="M827">
        <v>450</v>
      </c>
      <c r="O827" t="s">
        <v>25</v>
      </c>
      <c r="P827" t="s">
        <v>1549</v>
      </c>
      <c r="Q827" t="s">
        <v>1550</v>
      </c>
    </row>
    <row r="828" spans="1:17" ht="15.5" x14ac:dyDescent="0.35">
      <c r="A828"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828" s="3" t="str">
        <f>HYPERLINK("https://edmondsonsupply.com/products/midwest-mwt-6510r-right-offset-aviation-snip", "https://edmondsonsupply.com/products/midwest-mwt-6510r-right-offset-aviation-snip")</f>
        <v>https://edmondsonsupply.com/products/midwest-mwt-6510r-right-offset-aviation-snip</v>
      </c>
      <c r="C828" t="s">
        <v>1776</v>
      </c>
      <c r="D828" t="s">
        <v>191</v>
      </c>
      <c r="E828" s="3" t="str">
        <f>HYPERLINK("https://www.amazon.com/Midwest-Tools-Cutlery-MWT-SS6510R-Stainless/dp/B01J7IOB64/ref=sr_1_2?keywords=Midwest+MWT-6510R+Right+Offset+Aviation+Snip&amp;qid=1695173557&amp;sr=8-2", "https://www.amazon.com/Midwest-Tools-Cutlery-MWT-SS6510R-Stainless/dp/B01J7IOB64/ref=sr_1_2?keywords=Midwest+MWT-6510R+Right+Offset+Aviation+Snip&amp;qid=1695173557&amp;sr=8-2")</f>
        <v>https://www.amazon.com/Midwest-Tools-Cutlery-MWT-SS6510R-Stainless/dp/B01J7IOB64/ref=sr_1_2?keywords=Midwest+MWT-6510R+Right+Offset+Aviation+Snip&amp;qid=1695173557&amp;sr=8-2</v>
      </c>
      <c r="F828" t="s">
        <v>192</v>
      </c>
      <c r="G828" t="e">
        <f ca="1">_xludf.IMAGE("https://edmondsonsupply.com/cdn/shop/products/MWT-6510R.png?v=1587144877")</f>
        <v>#NAME?</v>
      </c>
      <c r="H828" t="e">
        <f ca="1">_xludf.IMAGE("https://m.media-amazon.com/images/I/61rvvPEnRIL._AC_UL320_.jpg")</f>
        <v>#NAME?</v>
      </c>
      <c r="I828" t="s">
        <v>1777</v>
      </c>
      <c r="J828">
        <v>63.44</v>
      </c>
      <c r="K828" s="4">
        <v>1.5488</v>
      </c>
      <c r="L828">
        <v>4.4000000000000004</v>
      </c>
      <c r="M828">
        <v>28</v>
      </c>
      <c r="O828" t="s">
        <v>25</v>
      </c>
      <c r="P828" t="s">
        <v>260</v>
      </c>
      <c r="Q828" t="s">
        <v>1778</v>
      </c>
    </row>
    <row r="829" spans="1:17" ht="15.5" x14ac:dyDescent="0.35">
      <c r="A829"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829" s="3" t="str">
        <f>HYPERLINK("https://edmondsonsupply.com/products/packard-pmj590-motor-start-capacitor-590-708-mfd-110-125-volt", "https://edmondsonsupply.com/products/packard-pmj590-motor-start-capacitor-590-708-mfd-110-125-volt")</f>
        <v>https://edmondsonsupply.com/products/packard-pmj590-motor-start-capacitor-590-708-mfd-110-125-volt</v>
      </c>
      <c r="C829" t="s">
        <v>1973</v>
      </c>
      <c r="D829" t="s">
        <v>2088</v>
      </c>
      <c r="E829" s="3" t="str">
        <f>HYPERLINK("https://www.amazon.com/PMJ590-Packard-Upgraded-Replacement-Capacitor/dp/B0773WXTQP/ref=sr_1_2?keywords=Packard+PMJ590+Motor+Start+Capacitor+590-708+MFD+110-125+Volt&amp;qid=1695173547&amp;sr=8-2", "https://www.amazon.com/PMJ590-Packard-Upgraded-Replacement-Capacitor/dp/B0773WXTQP/ref=sr_1_2?keywords=Packard+PMJ590+Motor+Start+Capacitor+590-708+MFD+110-125+Volt&amp;qid=1695173547&amp;sr=8-2")</f>
        <v>https://www.amazon.com/PMJ590-Packard-Upgraded-Replacement-Capacitor/dp/B0773WXTQP/ref=sr_1_2?keywords=Packard+PMJ590+Motor+Start+Capacitor+590-708+MFD+110-125+Volt&amp;qid=1695173547&amp;sr=8-2</v>
      </c>
      <c r="F829" t="s">
        <v>2089</v>
      </c>
      <c r="G829" t="e">
        <f ca="1">_xludf.IMAGE("https://edmondsonsupply.com/cdn/shop/products/PMJ590-2.jpg?v=1633030307")</f>
        <v>#NAME?</v>
      </c>
      <c r="H829" t="e">
        <f ca="1">_xludf.IMAGE("https://m.media-amazon.com/images/I/41fqQrQgJaL._AC_UY218_.jpg")</f>
        <v>#NAME?</v>
      </c>
      <c r="I829" t="s">
        <v>1974</v>
      </c>
      <c r="J829">
        <v>15.74</v>
      </c>
      <c r="K829" s="4">
        <v>1.5468999999999999</v>
      </c>
      <c r="L829">
        <v>4.0999999999999996</v>
      </c>
      <c r="M829">
        <v>8</v>
      </c>
      <c r="O829" t="s">
        <v>25</v>
      </c>
      <c r="P829" t="s">
        <v>138</v>
      </c>
      <c r="Q829" t="s">
        <v>1975</v>
      </c>
    </row>
    <row r="830" spans="1:17" ht="15.5" x14ac:dyDescent="0.35">
      <c r="A830" s="3" t="str">
        <f>HYPERLINK("https://edmondsonsupply.com/collections/hvac/products/packard-titan-pro-trcd5-run-capacitor-40-5-mfd-370-volt-round", "https://edmondsonsupply.com/collections/hvac/products/packard-titan-pro-trcd5-run-capacitor-40-5-mfd-370-volt-round")</f>
        <v>https://edmondsonsupply.com/collections/hvac/products/packard-titan-pro-trcd5-run-capacitor-40-5-mfd-370-volt-round</v>
      </c>
      <c r="B830" s="3" t="str">
        <f>HYPERLINK("https://edmondsonsupply.com/products/packard-titan-pro-trcd5-run-capacitor-40-5-mfd-370-volt-round", "https://edmondsonsupply.com/products/packard-titan-pro-trcd5-run-capacitor-40-5-mfd-370-volt-round")</f>
        <v>https://edmondsonsupply.com/products/packard-titan-pro-trcd5-run-capacitor-40-5-mfd-370-volt-round</v>
      </c>
      <c r="C830" t="s">
        <v>2090</v>
      </c>
      <c r="D830" t="s">
        <v>1606</v>
      </c>
      <c r="E830" s="3" t="str">
        <f>HYPERLINK("https://www.amazon.com/Packard-Trcfd403-Titan-Capacitor-Round/dp/B01JMAXOL0/ref=sr_1_2?keywords=Packard+Titan+PRO+TRCD405+Run+Capacitor+40%2B5+MFD+370+Volt+Round&amp;qid=1695173641&amp;sr=8-2", "https://www.amazon.com/Packard-Trcfd403-Titan-Capacitor-Round/dp/B01JMAXOL0/ref=sr_1_2?keywords=Packard+Titan+PRO+TRCD405+Run+Capacitor+40%2B5+MFD+370+Volt+Round&amp;qid=1695173641&amp;sr=8-2")</f>
        <v>https://www.amazon.com/Packard-Trcfd403-Titan-Capacitor-Round/dp/B01JMAXOL0/ref=sr_1_2?keywords=Packard+Titan+PRO+TRCD405+Run+Capacitor+40%2B5+MFD+370+Volt+Round&amp;qid=1695173641&amp;sr=8-2</v>
      </c>
      <c r="F830" t="s">
        <v>1607</v>
      </c>
      <c r="G830" t="e">
        <f ca="1">_xludf.IMAGE("https://edmondsonsupply.com/cdn/shop/products/TRCD405-2.jpg?v=1633030397")</f>
        <v>#NAME?</v>
      </c>
      <c r="H830" t="e">
        <f ca="1">_xludf.IMAGE("https://m.media-amazon.com/images/I/61ZOaIfuaxL._AC_UY218_.jpg")</f>
        <v>#NAME?</v>
      </c>
      <c r="I830" t="s">
        <v>2091</v>
      </c>
      <c r="J830">
        <v>22.91</v>
      </c>
      <c r="K830" s="4">
        <v>1.5343</v>
      </c>
      <c r="L830">
        <v>5</v>
      </c>
      <c r="M830">
        <v>1</v>
      </c>
      <c r="O830" t="s">
        <v>25</v>
      </c>
      <c r="P830" t="s">
        <v>138</v>
      </c>
      <c r="Q830" t="s">
        <v>2092</v>
      </c>
    </row>
    <row r="831" spans="1:17" ht="15.5" x14ac:dyDescent="0.35">
      <c r="A831"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831" s="3" t="str">
        <f>HYPERLINK("https://edmondsonsupply.com/products/klein-tools-65064-2-in-1-hex-head-screwdriver-1-4-5-16", "https://edmondsonsupply.com/products/klein-tools-65064-2-in-1-hex-head-screwdriver-1-4-5-16")</f>
        <v>https://edmondsonsupply.com/products/klein-tools-65064-2-in-1-hex-head-screwdriver-1-4-5-16</v>
      </c>
      <c r="C831" t="s">
        <v>2093</v>
      </c>
      <c r="D831" t="s">
        <v>2094</v>
      </c>
      <c r="E831" s="3" t="str">
        <f>HYPERLINK("https://www.amazon.com/Klein-Tools-Magnetic-Drivers-16-Inch/dp/B0BGPTVP3Z/ref=sr_1_4?keywords=Klein+Tools+65064+2-in-1+Nut+Driver%2C+Hex+Head%2C+1%2F4-Inch+and+5%2F16-Inch&amp;qid=1695173568&amp;sr=8-4", "https://www.amazon.com/Klein-Tools-Magnetic-Drivers-16-Inch/dp/B0BGPTVP3Z/ref=sr_1_4?keywords=Klein+Tools+65064+2-in-1+Nut+Driver%2C+Hex+Head%2C+1%2F4-Inch+and+5%2F16-Inch&amp;qid=1695173568&amp;sr=8-4")</f>
        <v>https://www.amazon.com/Klein-Tools-Magnetic-Drivers-16-Inch/dp/B0BGPTVP3Z/ref=sr_1_4?keywords=Klein+Tools+65064+2-in-1+Nut+Driver%2C+Hex+Head%2C+1%2F4-Inch+and+5%2F16-Inch&amp;qid=1695173568&amp;sr=8-4</v>
      </c>
      <c r="F831" t="s">
        <v>2095</v>
      </c>
      <c r="G831" t="e">
        <f ca="1">_xludf.IMAGE("https://edmondsonsupply.com/cdn/shop/products/65064.jpg?v=1587147719")</f>
        <v>#NAME?</v>
      </c>
      <c r="H831" t="e">
        <f ca="1">_xludf.IMAGE("https://m.media-amazon.com/images/I/41iqeifLYLL._AC_UL320_.jpg")</f>
        <v>#NAME?</v>
      </c>
      <c r="I831" t="s">
        <v>143</v>
      </c>
      <c r="J831">
        <v>40.26</v>
      </c>
      <c r="K831" s="4">
        <v>1.5209999999999999</v>
      </c>
      <c r="L831">
        <v>5</v>
      </c>
      <c r="M831">
        <v>1</v>
      </c>
      <c r="O831" t="s">
        <v>25</v>
      </c>
      <c r="P831" t="s">
        <v>2096</v>
      </c>
      <c r="Q831" t="s">
        <v>2097</v>
      </c>
    </row>
    <row r="832" spans="1:17" ht="15.5" x14ac:dyDescent="0.35">
      <c r="A832" s="3" t="str">
        <f>HYPERLINK("https://edmondsonsupply.com/collections/hvac/products/nu-calgon-4185-15-condensate-pan-gel-tabs-15-ton", "https://edmondsonsupply.com/collections/hvac/products/nu-calgon-4185-15-condensate-pan-gel-tabs-15-ton")</f>
        <v>https://edmondsonsupply.com/collections/hvac/products/nu-calgon-4185-15-condensate-pan-gel-tabs-15-ton</v>
      </c>
      <c r="B832" s="3" t="str">
        <f>HYPERLINK("https://edmondsonsupply.com/products/nu-calgon-4185-15-condensate-pan-gel-tabs-15-ton", "https://edmondsonsupply.com/products/nu-calgon-4185-15-condensate-pan-gel-tabs-15-ton")</f>
        <v>https://edmondsonsupply.com/products/nu-calgon-4185-15-condensate-pan-gel-tabs-15-ton</v>
      </c>
      <c r="C832" t="s">
        <v>2098</v>
      </c>
      <c r="D832" t="s">
        <v>2099</v>
      </c>
      <c r="E832" s="3" t="str">
        <f>HYPERLINK("https://www.amazon.com/12-Nu-Calgon-Gel-Tab-Condensate-Treatment/dp/B07W3N6H62/ref=sr_1_4?keywords=Nu-Calgon+4185-15+Condensate+Pan+Gel+Tab%2C+15+ton&amp;qid=1695173607&amp;sr=8-4", "https://www.amazon.com/12-Nu-Calgon-Gel-Tab-Condensate-Treatment/dp/B07W3N6H62/ref=sr_1_4?keywords=Nu-Calgon+4185-15+Condensate+Pan+Gel+Tab%2C+15+ton&amp;qid=1695173607&amp;sr=8-4")</f>
        <v>https://www.amazon.com/12-Nu-Calgon-Gel-Tab-Condensate-Treatment/dp/B07W3N6H62/ref=sr_1_4?keywords=Nu-Calgon+4185-15+Condensate+Pan+Gel+Tab%2C+15+ton&amp;qid=1695173607&amp;sr=8-4</v>
      </c>
      <c r="F832" t="s">
        <v>2100</v>
      </c>
      <c r="G832" t="e">
        <f ca="1">_xludf.IMAGE("https://edmondsonsupply.com/cdn/shop/products/4185-15.jpg?v=1659378611")</f>
        <v>#NAME?</v>
      </c>
      <c r="H832" t="e">
        <f ca="1">_xludf.IMAGE("https://m.media-amazon.com/images/I/616ooDlxi7L._AC_UY218_.jpg")</f>
        <v>#NAME?</v>
      </c>
      <c r="I832" t="s">
        <v>2101</v>
      </c>
      <c r="J832">
        <v>46.5</v>
      </c>
      <c r="K832" s="4">
        <v>1.5148999999999999</v>
      </c>
      <c r="L832">
        <v>4.5999999999999996</v>
      </c>
      <c r="M832">
        <v>5</v>
      </c>
      <c r="O832" t="s">
        <v>25</v>
      </c>
      <c r="P832" t="s">
        <v>2102</v>
      </c>
      <c r="Q832" t="s">
        <v>2103</v>
      </c>
    </row>
    <row r="833" spans="1:17" ht="15.5" x14ac:dyDescent="0.35">
      <c r="A833"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833" s="3" t="str">
        <f>HYPERLINK("https://edmondsonsupply.com/products/midwest-mwt-6510s-straight-offset-aviation-snip", "https://edmondsonsupply.com/products/midwest-mwt-6510s-straight-offset-aviation-snip")</f>
        <v>https://edmondsonsupply.com/products/midwest-mwt-6510s-straight-offset-aviation-snip</v>
      </c>
      <c r="C833" t="s">
        <v>1736</v>
      </c>
      <c r="D833" t="s">
        <v>193</v>
      </c>
      <c r="E833" s="3" t="str">
        <f>HYPERLINK("https://www.amazon.com/MIDWEST-Blackout-Aviation-Snip-KUSHN-POWER/dp/B00TJQL91U/ref=sr_1_10?keywords=Midwest+MWT-6510S+Straight+Offset+Aviation+Snip&amp;qid=1695173382&amp;sr=8-10", "https://www.amazon.com/MIDWEST-Blackout-Aviation-Snip-KUSHN-POWER/dp/B00TJQL91U/ref=sr_1_10?keywords=Midwest+MWT-6510S+Straight+Offset+Aviation+Snip&amp;qid=1695173382&amp;sr=8-10")</f>
        <v>https://www.amazon.com/MIDWEST-Blackout-Aviation-Snip-KUSHN-POWER/dp/B00TJQL91U/ref=sr_1_10?keywords=Midwest+MWT-6510S+Straight+Offset+Aviation+Snip&amp;qid=1695173382&amp;sr=8-10</v>
      </c>
      <c r="F833" t="s">
        <v>194</v>
      </c>
      <c r="G833" t="e">
        <f ca="1">_xludf.IMAGE("https://edmondsonsupply.com/cdn/shop/products/MWT-6510S-1.jpg?v=1587150061")</f>
        <v>#NAME?</v>
      </c>
      <c r="H833" t="e">
        <f ca="1">_xludf.IMAGE("https://m.media-amazon.com/images/I/51OW3TahYsL._AC_UL320_.jpg")</f>
        <v>#NAME?</v>
      </c>
      <c r="I833" t="s">
        <v>1737</v>
      </c>
      <c r="J833">
        <v>58.88</v>
      </c>
      <c r="K833" s="4">
        <v>1.5065999999999999</v>
      </c>
      <c r="L833">
        <v>4.7</v>
      </c>
      <c r="M833">
        <v>1400</v>
      </c>
      <c r="O833" t="s">
        <v>171</v>
      </c>
      <c r="P833" t="s">
        <v>260</v>
      </c>
      <c r="Q833" t="s">
        <v>1738</v>
      </c>
    </row>
    <row r="834" spans="1:17" ht="15.5" x14ac:dyDescent="0.35">
      <c r="A834"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834" s="3" t="str">
        <f>HYPERLINK("https://edmondsonsupply.com/products/packard-ttmj108-motor-start-capacitor-108-130-mfd-220-250-vac", "https://edmondsonsupply.com/products/packard-ttmj108-motor-start-capacitor-108-130-mfd-220-250-vac")</f>
        <v>https://edmondsonsupply.com/products/packard-ttmj108-motor-start-capacitor-108-130-mfd-220-250-vac</v>
      </c>
      <c r="C834" t="s">
        <v>1473</v>
      </c>
      <c r="D834" t="s">
        <v>2104</v>
      </c>
      <c r="E834" s="3" t="str">
        <f>HYPERLINK("https://www.amazon.com/108-130-220-250-Capacitor-Electric-Replacement/dp/B09TKWCV7P/ref=sr_1_8?keywords=Packard+TTMJ108+Motor+Start+Capacitor+108-130+MFD+220-250+VAC&amp;qid=1695173723&amp;sr=8-8", "https://www.amazon.com/108-130-220-250-Capacitor-Electric-Replacement/dp/B09TKWCV7P/ref=sr_1_8?keywords=Packard+TTMJ108+Motor+Start+Capacitor+108-130+MFD+220-250+VAC&amp;qid=1695173723&amp;sr=8-8")</f>
        <v>https://www.amazon.com/108-130-220-250-Capacitor-Electric-Replacement/dp/B09TKWCV7P/ref=sr_1_8?keywords=Packard+TTMJ108+Motor+Start+Capacitor+108-130+MFD+220-250+VAC&amp;qid=1695173723&amp;sr=8-8</v>
      </c>
      <c r="F834" t="s">
        <v>2105</v>
      </c>
      <c r="G834" t="e">
        <f ca="1">_xludf.IMAGE("https://edmondsonsupply.com/cdn/shop/files/PTMJ108-2_c3537879-2bfc-401f-867d-9ee4aaa5c4bb.jpg?v=1692220228")</f>
        <v>#NAME?</v>
      </c>
      <c r="H834" t="e">
        <f ca="1">_xludf.IMAGE("https://m.media-amazon.com/images/I/81gGvd1CUNL._AC_UY218_.jpg")</f>
        <v>#NAME?</v>
      </c>
      <c r="I834" t="s">
        <v>1476</v>
      </c>
      <c r="J834">
        <v>10.99</v>
      </c>
      <c r="K834" s="4">
        <v>1.5034000000000001</v>
      </c>
      <c r="L834">
        <v>4.5999999999999996</v>
      </c>
      <c r="M834">
        <v>78</v>
      </c>
      <c r="O834" t="s">
        <v>25</v>
      </c>
      <c r="P834" t="s">
        <v>138</v>
      </c>
      <c r="Q834" t="s">
        <v>1477</v>
      </c>
    </row>
    <row r="835" spans="1:17" ht="15.5" x14ac:dyDescent="0.35">
      <c r="A835"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835" s="3" t="str">
        <f>HYPERLINK("https://edmondsonsupply.com/products/klein-tools-32907-7-in-1-impact-flip-socket-set-no-handle", "https://edmondsonsupply.com/products/klein-tools-32907-7-in-1-impact-flip-socket-set-no-handle")</f>
        <v>https://edmondsonsupply.com/products/klein-tools-32907-7-in-1-impact-flip-socket-set-no-handle</v>
      </c>
      <c r="C835" t="s">
        <v>1833</v>
      </c>
      <c r="D835" t="s">
        <v>1834</v>
      </c>
      <c r="E835" s="3" t="str">
        <f>HYPERLINK("https://www.amazon.com/Klein-Tools-66070-Sockets-Adapters/dp/B0B33XLXD1/ref=sr_1_10?keywords=Klein+Tools+32907+7-in-1+Impact+Flip+Socket+Set%2C+No+Handle&amp;qid=1695173428&amp;sr=8-10", "https://www.amazon.com/Klein-Tools-66070-Sockets-Adapters/dp/B0B33XLXD1/ref=sr_1_10?keywords=Klein+Tools+32907+7-in-1+Impact+Flip+Socket+Set%2C+No+Handle&amp;qid=1695173428&amp;sr=8-10")</f>
        <v>https://www.amazon.com/Klein-Tools-66070-Sockets-Adapters/dp/B0B33XLXD1/ref=sr_1_10?keywords=Klein+Tools+32907+7-in-1+Impact+Flip+Socket+Set%2C+No+Handle&amp;qid=1695173428&amp;sr=8-10</v>
      </c>
      <c r="F835" t="s">
        <v>2106</v>
      </c>
      <c r="G835" t="e">
        <f ca="1">_xludf.IMAGE("https://edmondsonsupply.com/cdn/shop/products/32907_b.jpg?v=1666025282")</f>
        <v>#NAME?</v>
      </c>
      <c r="H835" t="e">
        <f ca="1">_xludf.IMAGE("https://m.media-amazon.com/images/I/71D23SffznL._AC_UL320_.jpg")</f>
        <v>#NAME?</v>
      </c>
      <c r="I835" t="s">
        <v>577</v>
      </c>
      <c r="J835">
        <v>49.97</v>
      </c>
      <c r="K835" s="4">
        <v>1.4997</v>
      </c>
      <c r="L835">
        <v>4.8</v>
      </c>
      <c r="M835">
        <v>1158</v>
      </c>
      <c r="O835" t="s">
        <v>25</v>
      </c>
      <c r="P835" t="s">
        <v>1836</v>
      </c>
      <c r="Q835" t="s">
        <v>1837</v>
      </c>
    </row>
    <row r="836" spans="1:17" ht="15.5" x14ac:dyDescent="0.35">
      <c r="A836" s="3" t="str">
        <f>HYPERLINK("https://edmondsonsupply.com/collections/hvac/products/midwest-mwt-ss6716l-special-hardness-aviation-snip-left-cutting", "https://edmondsonsupply.com/collections/hvac/products/midwest-mwt-ss6716l-special-hardness-aviation-snip-left-cutting")</f>
        <v>https://edmondsonsupply.com/collections/hvac/products/midwest-mwt-ss6716l-special-hardness-aviation-snip-left-cutting</v>
      </c>
      <c r="B836" s="3" t="str">
        <f>HYPERLINK("https://edmondsonsupply.com/products/midwest-mwt-ss6716l-special-hardness-aviation-snip-left-cutting", "https://edmondsonsupply.com/products/midwest-mwt-ss6716l-special-hardness-aviation-snip-left-cutting")</f>
        <v>https://edmondsonsupply.com/products/midwest-mwt-ss6716l-special-hardness-aviation-snip-left-cutting</v>
      </c>
      <c r="C836" t="s">
        <v>1800</v>
      </c>
      <c r="D836" t="s">
        <v>191</v>
      </c>
      <c r="E836" s="3" t="str">
        <f>HYPERLINK("https://www.amazon.com/Midwest-Tools-Cutlery-MWT-SS6510R-Stainless/dp/B01J7IOB64/ref=sr_1_3?keywords=Midwest+MWT-SS6716L+Special+Hardness+Aviation+Snip+-+Left-Cutting&amp;qid=1695173419&amp;sr=8-3", "https://www.amazon.com/Midwest-Tools-Cutlery-MWT-SS6510R-Stainless/dp/B01J7IOB64/ref=sr_1_3?keywords=Midwest+MWT-SS6716L+Special+Hardness+Aviation+Snip+-+Left-Cutting&amp;qid=1695173419&amp;sr=8-3")</f>
        <v>https://www.amazon.com/Midwest-Tools-Cutlery-MWT-SS6510R-Stainless/dp/B01J7IOB64/ref=sr_1_3?keywords=Midwest+MWT-SS6716L+Special+Hardness+Aviation+Snip+-+Left-Cutting&amp;qid=1695173419&amp;sr=8-3</v>
      </c>
      <c r="F836" t="s">
        <v>192</v>
      </c>
      <c r="G836" t="e">
        <f ca="1">_xludf.IMAGE("https://edmondsonsupply.com/cdn/shop/products/MWT-SS6716L1.jpg?v=1587151241")</f>
        <v>#NAME?</v>
      </c>
      <c r="H836" t="e">
        <f ca="1">_xludf.IMAGE("https://m.media-amazon.com/images/I/61rvvPEnRIL._AC_UL320_.jpg")</f>
        <v>#NAME?</v>
      </c>
      <c r="I836" t="s">
        <v>1110</v>
      </c>
      <c r="J836">
        <v>63.44</v>
      </c>
      <c r="K836" s="4">
        <v>1.4887999999999999</v>
      </c>
      <c r="L836">
        <v>4.4000000000000004</v>
      </c>
      <c r="M836">
        <v>28</v>
      </c>
      <c r="O836" t="s">
        <v>25</v>
      </c>
      <c r="P836" t="s">
        <v>1770</v>
      </c>
      <c r="Q836" t="s">
        <v>1801</v>
      </c>
    </row>
    <row r="837" spans="1:17" ht="15.5" x14ac:dyDescent="0.35">
      <c r="A837"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837" s="3" t="str">
        <f>HYPERLINK("https://edmondsonsupply.com/products/klein-tools-32314-14-in-1-precision-screwdriver-nut-driver", "https://edmondsonsupply.com/products/klein-tools-32314-14-in-1-precision-screwdriver-nut-driver")</f>
        <v>https://edmondsonsupply.com/products/klein-tools-32314-14-in-1-precision-screwdriver-nut-driver</v>
      </c>
      <c r="C837" t="s">
        <v>1999</v>
      </c>
      <c r="D837" t="s">
        <v>2107</v>
      </c>
      <c r="E837" s="3" t="str">
        <f>HYPERLINK("https://www.amazon.com/Screwdriver-Adjustable-Klein-Tools-Electronic/dp/B0BM34Q1QR/ref=sr_1_6?keywords=Klein+Tools+32314+14-in-1+Precision+Screwdriver%2F+Nut+Driver&amp;qid=1695173510&amp;sr=8-6", "https://www.amazon.com/Screwdriver-Adjustable-Klein-Tools-Electronic/dp/B0BM34Q1QR/ref=sr_1_6?keywords=Klein+Tools+32314+14-in-1+Precision+Screwdriver%2F+Nut+Driver&amp;qid=1695173510&amp;sr=8-6")</f>
        <v>https://www.amazon.com/Screwdriver-Adjustable-Klein-Tools-Electronic/dp/B0BM34Q1QR/ref=sr_1_6?keywords=Klein+Tools+32314+14-in-1+Precision+Screwdriver%2F+Nut+Driver&amp;qid=1695173510&amp;sr=8-6</v>
      </c>
      <c r="F837" t="s">
        <v>2108</v>
      </c>
      <c r="G837" t="e">
        <f ca="1">_xludf.IMAGE("https://edmondsonsupply.com/cdn/shop/products/32314.jpg?v=1646593726")</f>
        <v>#NAME?</v>
      </c>
      <c r="H837" t="e">
        <f ca="1">_xludf.IMAGE("https://m.media-amazon.com/images/I/41C5e4ThtpL._AC_UL320_.jpg")</f>
        <v>#NAME?</v>
      </c>
      <c r="I837" t="s">
        <v>143</v>
      </c>
      <c r="J837">
        <v>39.74</v>
      </c>
      <c r="K837" s="4">
        <v>1.4883999999999999</v>
      </c>
      <c r="L837">
        <v>5</v>
      </c>
      <c r="M837">
        <v>1</v>
      </c>
      <c r="O837" t="s">
        <v>25</v>
      </c>
      <c r="P837" t="s">
        <v>2002</v>
      </c>
      <c r="Q837" t="s">
        <v>2003</v>
      </c>
    </row>
    <row r="838" spans="1:17" ht="15.5" x14ac:dyDescent="0.35">
      <c r="A838" s="3" t="str">
        <f>HYPERLINK("https://edmondsonsupply.com/collections/hvac/products/hilmor-1839046", "https://edmondsonsupply.com/collections/hvac/products/hilmor-1839046")</f>
        <v>https://edmondsonsupply.com/collections/hvac/products/hilmor-1839046</v>
      </c>
      <c r="B838" s="3" t="str">
        <f>HYPERLINK("https://edmondsonsupply.com/products/hilmor-1839046", "https://edmondsonsupply.com/products/hilmor-1839046")</f>
        <v>https://edmondsonsupply.com/products/hilmor-1839046</v>
      </c>
      <c r="C838" t="s">
        <v>146</v>
      </c>
      <c r="D838" t="s">
        <v>176</v>
      </c>
      <c r="E838" s="3" t="str">
        <f>HYPERLINK("https://www.amazon.com/Adapter-Service-Ratcheting-Compressor-Rotalock/dp/B09F39WSSM/ref=sr_1_3?keywords=Hilmor+1839046+Service+Wrench+Hex+Key+Adapter&amp;qid=1695173450&amp;sr=8-3", "https://www.amazon.com/Adapter-Service-Ratcheting-Compressor-Rotalock/dp/B09F39WSSM/ref=sr_1_3?keywords=Hilmor+1839046+Service+Wrench+Hex+Key+Adapter&amp;qid=1695173450&amp;sr=8-3")</f>
        <v>https://www.amazon.com/Adapter-Service-Ratcheting-Compressor-Rotalock/dp/B09F39WSSM/ref=sr_1_3?keywords=Hilmor+1839046+Service+Wrench+Hex+Key+Adapter&amp;qid=1695173450&amp;sr=8-3</v>
      </c>
      <c r="F838" t="s">
        <v>177</v>
      </c>
      <c r="G838" t="e">
        <f ca="1">_xludf.IMAGE("https://edmondsonsupply.com/cdn/shop/products/s-l500.jpg?v=1633030254")</f>
        <v>#NAME?</v>
      </c>
      <c r="H838" t="e">
        <f ca="1">_xludf.IMAGE("https://m.media-amazon.com/images/I/61JzbGQt8cL._AC_UL320_.jpg")</f>
        <v>#NAME?</v>
      </c>
      <c r="I838" t="s">
        <v>149</v>
      </c>
      <c r="J838">
        <v>7.99</v>
      </c>
      <c r="K838" s="4">
        <v>1.4814000000000001</v>
      </c>
      <c r="L838">
        <v>4.3</v>
      </c>
      <c r="M838">
        <v>105</v>
      </c>
      <c r="O838" t="s">
        <v>25</v>
      </c>
      <c r="P838" t="s">
        <v>138</v>
      </c>
      <c r="Q838" t="s">
        <v>150</v>
      </c>
    </row>
    <row r="839" spans="1:17" ht="15.5" x14ac:dyDescent="0.35">
      <c r="A839" s="3" t="str">
        <f>HYPERLINK("https://edmondsonsupply.com/collections/hvac/products/imperial-tc-1050-imp%C2%AE-mini-tube-cutter-1-8-5-8-o-d", "https://edmondsonsupply.com/collections/hvac/products/imperial-tc-1050-imp%C2%AE-mini-tube-cutter-1-8-5-8-o-d")</f>
        <v>https://edmondsonsupply.com/collections/hvac/products/imperial-tc-1050-imp%C2%AE-mini-tube-cutter-1-8-5-8-o-d</v>
      </c>
      <c r="B839" s="3" t="str">
        <f>HYPERLINK("https://edmondsonsupply.com/products/imperial-tc-1050-imp%c2%ae-mini-tube-cutter-1-8-5-8-o-d", "https://edmondsonsupply.com/products/imperial-tc-1050-imp%c2%ae-mini-tube-cutter-1-8-5-8-o-d")</f>
        <v>https://edmondsonsupply.com/products/imperial-tc-1050-imp%c2%ae-mini-tube-cutter-1-8-5-8-o-d</v>
      </c>
      <c r="C839" t="s">
        <v>2109</v>
      </c>
      <c r="D839" t="s">
        <v>2110</v>
      </c>
      <c r="E839" s="3" t="str">
        <f>HYPERLINK("https://www.amazon.com/Imperial-Tool-TC2050SP-Cutter-Tubing/dp/B087YYZR8B/ref=sr_1_6?keywords=Imperial+TC-1050+IMP%C2%AE+Mini+Tube+Cutter+1%2F8%22+-+5%2F8%22+O.D.&amp;qid=1695173452&amp;sr=8-6", "https://www.amazon.com/Imperial-Tool-TC2050SP-Cutter-Tubing/dp/B087YYZR8B/ref=sr_1_6?keywords=Imperial+TC-1050+IMP%C2%AE+Mini+Tube+Cutter+1%2F8%22+-+5%2F8%22+O.D.&amp;qid=1695173452&amp;sr=8-6")</f>
        <v>https://www.amazon.com/Imperial-Tool-TC2050SP-Cutter-Tubing/dp/B087YYZR8B/ref=sr_1_6?keywords=Imperial+TC-1050+IMP%C2%AE+Mini+Tube+Cutter+1%2F8%22+-+5%2F8%22+O.D.&amp;qid=1695173452&amp;sr=8-6</v>
      </c>
      <c r="F839" t="s">
        <v>2111</v>
      </c>
      <c r="G839" t="e">
        <f ca="1">_xludf.IMAGE("https://edmondsonsupply.com/cdn/shop/products/imperial-pipe-tube-cutters-tc1050-64_1000.jpg?v=1587144076")</f>
        <v>#NAME?</v>
      </c>
      <c r="H839" t="e">
        <f ca="1">_xludf.IMAGE("https://m.media-amazon.com/images/I/61nt0ejVFxL._AC_UL320_.jpg")</f>
        <v>#NAME?</v>
      </c>
      <c r="I839" t="s">
        <v>1687</v>
      </c>
      <c r="J839">
        <v>47.1</v>
      </c>
      <c r="K839" s="4">
        <v>1.4802999999999999</v>
      </c>
      <c r="L839">
        <v>5</v>
      </c>
      <c r="M839">
        <v>2</v>
      </c>
      <c r="O839" t="s">
        <v>25</v>
      </c>
      <c r="P839" t="s">
        <v>138</v>
      </c>
      <c r="Q839" t="s">
        <v>2112</v>
      </c>
    </row>
    <row r="840" spans="1:17" ht="15.5" x14ac:dyDescent="0.35">
      <c r="A840"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840" s="3" t="str">
        <f>HYPERLINK("https://edmondsonsupply.com/products/packard-pmj216-motor-start-capacitor-216-259-mfd-110-125-vac", "https://edmondsonsupply.com/products/packard-pmj216-motor-start-capacitor-216-259-mfd-110-125-vac")</f>
        <v>https://edmondsonsupply.com/products/packard-pmj216-motor-start-capacitor-216-259-mfd-110-125-vac</v>
      </c>
      <c r="C840" t="s">
        <v>1581</v>
      </c>
      <c r="D840" t="s">
        <v>2113</v>
      </c>
      <c r="E840" s="3" t="str">
        <f>HYPERLINK("https://www.amazon.com/216-259-MFD-110-125-Round-Capacitor/dp/B0C2KRY85W/ref=sr_1_8?keywords=Packard+PMJ216+Motor+Start+Capacitor+216-259+MFD+110-125+VAC&amp;qid=1695173457&amp;sr=8-8", "https://www.amazon.com/216-259-MFD-110-125-Round-Capacitor/dp/B0C2KRY85W/ref=sr_1_8?keywords=Packard+PMJ216+Motor+Start+Capacitor+216-259+MFD+110-125+VAC&amp;qid=1695173457&amp;sr=8-8")</f>
        <v>https://www.amazon.com/216-259-MFD-110-125-Round-Capacitor/dp/B0C2KRY85W/ref=sr_1_8?keywords=Packard+PMJ216+Motor+Start+Capacitor+216-259+MFD+110-125+VAC&amp;qid=1695173457&amp;sr=8-8</v>
      </c>
      <c r="F840" t="s">
        <v>2114</v>
      </c>
      <c r="G840" t="e">
        <f ca="1">_xludf.IMAGE("https://edmondsonsupply.com/cdn/shop/products/PMJ216-2.jpg?v=1633030107")</f>
        <v>#NAME?</v>
      </c>
      <c r="H840" t="e">
        <f ca="1">_xludf.IMAGE("https://m.media-amazon.com/images/I/51JFRyIaT-L._AC_UY218_.jpg")</f>
        <v>#NAME?</v>
      </c>
      <c r="I840" t="s">
        <v>1584</v>
      </c>
      <c r="J840">
        <v>8.99</v>
      </c>
      <c r="K840" s="4">
        <v>1.4765999999999999</v>
      </c>
      <c r="L840">
        <v>4.7</v>
      </c>
      <c r="M840">
        <v>21</v>
      </c>
      <c r="O840" t="s">
        <v>25</v>
      </c>
      <c r="P840" t="s">
        <v>138</v>
      </c>
      <c r="Q840" t="s">
        <v>1585</v>
      </c>
    </row>
    <row r="841" spans="1:17" ht="15.5" x14ac:dyDescent="0.35">
      <c r="A841" s="3" t="str">
        <f>HYPERLINK("https://edmondsonsupply.com/collections/hvac/products/klein-tools-32304-14-in-1-hvac-adjustable-length-impact-screwdriver-with-flip-socket", "https://edmondsonsupply.com/collections/hvac/products/klein-tools-32304-14-in-1-hvac-adjustable-length-impact-screwdriver-with-flip-socket")</f>
        <v>https://edmondsonsupply.com/collections/hvac/products/klein-tools-32304-14-in-1-hvac-adjustable-length-impact-screwdriver-with-flip-socket</v>
      </c>
      <c r="B841"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841" t="s">
        <v>2115</v>
      </c>
      <c r="D841" t="s">
        <v>2116</v>
      </c>
      <c r="E841" s="3" t="str">
        <f>HYPERLINK("https://www.amazon.com/Klein-Tools-Screwdriver-Adjustable-Multi-bit/dp/B0C9994NG7/ref=sr_1_5?keywords=Klein+Tools+32304+14-in-1+HVAC+Adjustable-Length+Impact+Screwdriver+with+Flip+Socket&amp;qid=1695173459&amp;sr=8-5", "https://www.amazon.com/Klein-Tools-Screwdriver-Adjustable-Multi-bit/dp/B0C9994NG7/ref=sr_1_5?keywords=Klein+Tools+32304+14-in-1+HVAC+Adjustable-Length+Impact+Screwdriver+with+Flip+Socket&amp;qid=1695173459&amp;sr=8-5")</f>
        <v>https://www.amazon.com/Klein-Tools-Screwdriver-Adjustable-Multi-bit/dp/B0C9994NG7/ref=sr_1_5?keywords=Klein+Tools+32304+14-in-1+HVAC+Adjustable-Length+Impact+Screwdriver+with+Flip+Socket&amp;qid=1695173459&amp;sr=8-5</v>
      </c>
      <c r="F841" t="s">
        <v>2117</v>
      </c>
      <c r="G841" t="e">
        <f ca="1">_xludf.IMAGE("https://edmondsonsupply.com/cdn/shop/products/32304.jpg?v=1666019479")</f>
        <v>#NAME?</v>
      </c>
      <c r="H841" t="e">
        <f ca="1">_xludf.IMAGE("https://m.media-amazon.com/images/I/51++VSv2MoL._AC_UL320_.jpg")</f>
        <v>#NAME?</v>
      </c>
      <c r="I841" t="s">
        <v>859</v>
      </c>
      <c r="J841">
        <v>61.73</v>
      </c>
      <c r="K841" s="4">
        <v>1.4722</v>
      </c>
      <c r="L841">
        <v>5</v>
      </c>
      <c r="M841">
        <v>1</v>
      </c>
      <c r="O841" t="s">
        <v>25</v>
      </c>
      <c r="P841" t="s">
        <v>602</v>
      </c>
      <c r="Q841" t="s">
        <v>2118</v>
      </c>
    </row>
    <row r="842" spans="1:17" ht="15.5" x14ac:dyDescent="0.35">
      <c r="A842" s="3" t="str">
        <f>HYPERLINK("https://edmondsonsupply.com/collections/hvac/products/uniweld-type17-1-oxyacetylene-welding-brazing-tip", "https://edmondsonsupply.com/collections/hvac/products/uniweld-type17-1-oxyacetylene-welding-brazing-tip")</f>
        <v>https://edmondsonsupply.com/collections/hvac/products/uniweld-type17-1-oxyacetylene-welding-brazing-tip</v>
      </c>
      <c r="B842" s="3" t="str">
        <f>HYPERLINK("https://edmondsonsupply.com/products/uniweld-type17-1-oxyacetylene-welding-brazing-tip", "https://edmondsonsupply.com/products/uniweld-type17-1-oxyacetylene-welding-brazing-tip")</f>
        <v>https://edmondsonsupply.com/products/uniweld-type17-1-oxyacetylene-welding-brazing-tip</v>
      </c>
      <c r="C842" t="s">
        <v>2119</v>
      </c>
      <c r="D842" t="s">
        <v>2120</v>
      </c>
      <c r="E842" s="3" t="str">
        <f>HYPERLINK("https://www.amazon.com/Uniweld-Type17-15-Rosebud-Heating-Tip/dp/B00FI1J1V0/ref=sr_1_2?keywords=uniweld+type17-1+oxy+acetylene+welding&amp;qid=1695173638&amp;sr=8-2", "https://www.amazon.com/Uniweld-Type17-15-Rosebud-Heating-Tip/dp/B00FI1J1V0/ref=sr_1_2?keywords=uniweld+type17-1+oxy+acetylene+welding&amp;qid=1695173638&amp;sr=8-2")</f>
        <v>https://www.amazon.com/Uniweld-Type17-15-Rosebud-Heating-Tip/dp/B00FI1J1V0/ref=sr_1_2?keywords=uniweld+type17-1+oxy+acetylene+welding&amp;qid=1695173638&amp;sr=8-2</v>
      </c>
      <c r="F842" t="s">
        <v>2121</v>
      </c>
      <c r="G842" t="e">
        <f ca="1">_xludf.IMAGE("https://edmondsonsupply.com/cdn/shop/products/type17-1.jpg?v=1633030476")</f>
        <v>#NAME?</v>
      </c>
      <c r="H842" t="e">
        <f ca="1">_xludf.IMAGE("https://m.media-amazon.com/images/I/51L7GasrP9L._AC_UL320_.jpg")</f>
        <v>#NAME?</v>
      </c>
      <c r="I842" t="s">
        <v>2122</v>
      </c>
      <c r="J842">
        <v>73.290000000000006</v>
      </c>
      <c r="K842" s="4">
        <v>1.4601999999999999</v>
      </c>
      <c r="L842">
        <v>4.3</v>
      </c>
      <c r="M842">
        <v>98</v>
      </c>
      <c r="O842" t="s">
        <v>25</v>
      </c>
      <c r="P842" t="s">
        <v>2123</v>
      </c>
      <c r="Q842" t="s">
        <v>2124</v>
      </c>
    </row>
    <row r="843" spans="1:17" ht="15.5" x14ac:dyDescent="0.35">
      <c r="A843" s="3" t="str">
        <f>HYPERLINK("https://edmondsonsupply.com/collections/hvac/products/packard-prmj88-motor-start-capacitor-88-108-mfd-330-volt", "https://edmondsonsupply.com/collections/hvac/products/packard-prmj88-motor-start-capacitor-88-108-mfd-330-volt")</f>
        <v>https://edmondsonsupply.com/collections/hvac/products/packard-prmj88-motor-start-capacitor-88-108-mfd-330-volt</v>
      </c>
      <c r="B843" s="3" t="str">
        <f>HYPERLINK("https://edmondsonsupply.com/products/packard-prmj88-motor-start-capacitor-88-108-mfd-330-volt", "https://edmondsonsupply.com/products/packard-prmj88-motor-start-capacitor-88-108-mfd-330-volt")</f>
        <v>https://edmondsonsupply.com/products/packard-prmj88-motor-start-capacitor-88-108-mfd-330-volt</v>
      </c>
      <c r="C843" t="s">
        <v>1992</v>
      </c>
      <c r="D843" t="s">
        <v>1667</v>
      </c>
      <c r="E843" s="3" t="str">
        <f>HYPERLINK("https://www.amazon.com/PTMJ88-Packard-Upgraded-Replacement-Capacitor/dp/B0773WVSB6/ref=sr_1_4?keywords=Packard+PRMJ88+Motor+Start+Capacitor+88-108+MFD+330+Volt&amp;qid=1695173645&amp;sr=8-4", "https://www.amazon.com/PTMJ88-Packard-Upgraded-Replacement-Capacitor/dp/B0773WVSB6/ref=sr_1_4?keywords=Packard+PRMJ88+Motor+Start+Capacitor+88-108+MFD+330+Volt&amp;qid=1695173645&amp;sr=8-4")</f>
        <v>https://www.amazon.com/PTMJ88-Packard-Upgraded-Replacement-Capacitor/dp/B0773WVSB6/ref=sr_1_4?keywords=Packard+PRMJ88+Motor+Start+Capacitor+88-108+MFD+330+Volt&amp;qid=1695173645&amp;sr=8-4</v>
      </c>
      <c r="F843" t="s">
        <v>1668</v>
      </c>
      <c r="G843" t="e">
        <f ca="1">_xludf.IMAGE("https://edmondsonsupply.com/cdn/shop/products/PRMJ88-2.jpg?v=1633030394")</f>
        <v>#NAME?</v>
      </c>
      <c r="H843" t="e">
        <f ca="1">_xludf.IMAGE("https://m.media-amazon.com/images/I/41fqQrQgJaL._AC_UY218_.jpg")</f>
        <v>#NAME?</v>
      </c>
      <c r="I843" t="s">
        <v>1995</v>
      </c>
      <c r="J843">
        <v>13.7</v>
      </c>
      <c r="K843" s="4">
        <v>1.4508000000000001</v>
      </c>
      <c r="L843">
        <v>5</v>
      </c>
      <c r="M843">
        <v>1</v>
      </c>
      <c r="O843" t="s">
        <v>25</v>
      </c>
      <c r="P843" t="s">
        <v>138</v>
      </c>
      <c r="Q843" t="s">
        <v>1996</v>
      </c>
    </row>
    <row r="844" spans="1:17" ht="15.5" x14ac:dyDescent="0.35">
      <c r="A844" s="3" t="str">
        <f>HYPERLINK("https://edmondsonsupply.com/collections/hvac/products/supco-spp5-solid-state-relay-hard-start-capacitor-starter-pow-r-pak", "https://edmondsonsupply.com/collections/hvac/products/supco-spp5-solid-state-relay-hard-start-capacitor-starter-pow-r-pak")</f>
        <v>https://edmondsonsupply.com/collections/hvac/products/supco-spp5-solid-state-relay-hard-start-capacitor-starter-pow-r-pak</v>
      </c>
      <c r="B844" s="3" t="str">
        <f>HYPERLINK("https://edmondsonsupply.com/products/supco-spp5-solid-state-relay-hard-start-capacitor-starter-pow-r-pak", "https://edmondsonsupply.com/products/supco-spp5-solid-state-relay-hard-start-capacitor-starter-pow-r-pak")</f>
        <v>https://edmondsonsupply.com/products/supco-spp5-solid-state-relay-hard-start-capacitor-starter-pow-r-pak</v>
      </c>
      <c r="C844" t="s">
        <v>2125</v>
      </c>
      <c r="D844" t="s">
        <v>2126</v>
      </c>
      <c r="E844" s="3" t="str">
        <f>HYPERLINK("https://www.amazon.com/Supco-Solid-State-Capacitor-Pow-R-Pak/dp/B01MF4CCJJ/ref=sr_1_2?keywords=Supco+SPP5+Solid+State+Relay&amp;qid=1695173679&amp;sr=8-2", "https://www.amazon.com/Supco-Solid-State-Capacitor-Pow-R-Pak/dp/B01MF4CCJJ/ref=sr_1_2?keywords=Supco+SPP5+Solid+State+Relay&amp;qid=1695173679&amp;sr=8-2")</f>
        <v>https://www.amazon.com/Supco-Solid-State-Capacitor-Pow-R-Pak/dp/B01MF4CCJJ/ref=sr_1_2?keywords=Supco+SPP5+Solid+State+Relay&amp;qid=1695173679&amp;sr=8-2</v>
      </c>
      <c r="F844" t="s">
        <v>2127</v>
      </c>
      <c r="G844" t="e">
        <f ca="1">_xludf.IMAGE("https://edmondsonsupply.com/cdn/shop/products/SPP5.jpg?v=1587144645")</f>
        <v>#NAME?</v>
      </c>
      <c r="H844" t="e">
        <f ca="1">_xludf.IMAGE("https://m.media-amazon.com/images/I/31Vnbq8fm9L._AC_UY218_.jpg")</f>
        <v>#NAME?</v>
      </c>
      <c r="I844" t="s">
        <v>2128</v>
      </c>
      <c r="J844">
        <v>24.38</v>
      </c>
      <c r="K844" s="4">
        <v>1.4502999999999999</v>
      </c>
      <c r="L844">
        <v>4.7</v>
      </c>
      <c r="M844">
        <v>2</v>
      </c>
      <c r="O844" t="s">
        <v>25</v>
      </c>
      <c r="P844" t="s">
        <v>138</v>
      </c>
      <c r="Q844" t="s">
        <v>2129</v>
      </c>
    </row>
    <row r="845" spans="1:17" ht="15.5" x14ac:dyDescent="0.35">
      <c r="A845" s="3" t="str">
        <f>HYPERLINK("https://edmondsonsupply.com/collections/hvac/products/packard-pmj708-motor-start-capacitor-708-850-mfd-110-125-vac", "https://edmondsonsupply.com/collections/hvac/products/packard-pmj708-motor-start-capacitor-708-850-mfd-110-125-vac")</f>
        <v>https://edmondsonsupply.com/collections/hvac/products/packard-pmj708-motor-start-capacitor-708-850-mfd-110-125-vac</v>
      </c>
      <c r="B845" s="3" t="str">
        <f>HYPERLINK("https://edmondsonsupply.com/products/packard-pmj708-motor-start-capacitor-708-850-mfd-110-125-vac", "https://edmondsonsupply.com/products/packard-pmj708-motor-start-capacitor-708-850-mfd-110-125-vac")</f>
        <v>https://edmondsonsupply.com/products/packard-pmj708-motor-start-capacitor-708-850-mfd-110-125-vac</v>
      </c>
      <c r="C845" t="s">
        <v>2130</v>
      </c>
      <c r="D845" t="s">
        <v>2131</v>
      </c>
      <c r="E845" s="3" t="str">
        <f>HYPERLINK("https://www.amazon.com/Capacitor-708-850-Replaces-PMJ708-PMJ708A/dp/B07M5HQLFY/ref=sr_1_2?keywords=Packard+PMJ708+Motor+Start+Capacitor+708-850+MFD+110-125+VAC&amp;qid=1695173647&amp;sr=8-2", "https://www.amazon.com/Capacitor-708-850-Replaces-PMJ708-PMJ708A/dp/B07M5HQLFY/ref=sr_1_2?keywords=Packard+PMJ708+Motor+Start+Capacitor+708-850+MFD+110-125+VAC&amp;qid=1695173647&amp;sr=8-2")</f>
        <v>https://www.amazon.com/Capacitor-708-850-Replaces-PMJ708-PMJ708A/dp/B07M5HQLFY/ref=sr_1_2?keywords=Packard+PMJ708+Motor+Start+Capacitor+708-850+MFD+110-125+VAC&amp;qid=1695173647&amp;sr=8-2</v>
      </c>
      <c r="F845" t="s">
        <v>2132</v>
      </c>
      <c r="G845" t="e">
        <f ca="1">_xludf.IMAGE("https://edmondsonsupply.com/cdn/shop/products/PMJ708-2.jpg?v=1633030334")</f>
        <v>#NAME?</v>
      </c>
      <c r="H845" t="e">
        <f ca="1">_xludf.IMAGE("https://m.media-amazon.com/images/I/41Br07uBitL._AC_UY218_.jpg")</f>
        <v>#NAME?</v>
      </c>
      <c r="I845" t="s">
        <v>2133</v>
      </c>
      <c r="J845">
        <v>16.55</v>
      </c>
      <c r="K845" s="4">
        <v>1.4481999999999999</v>
      </c>
      <c r="L845">
        <v>5</v>
      </c>
      <c r="M845">
        <v>2</v>
      </c>
      <c r="O845" t="s">
        <v>25</v>
      </c>
      <c r="P845" t="s">
        <v>138</v>
      </c>
      <c r="Q845" t="s">
        <v>2134</v>
      </c>
    </row>
    <row r="846" spans="1:17" ht="15.5" x14ac:dyDescent="0.35">
      <c r="A846"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846" s="3" t="str">
        <f>HYPERLINK("https://edmondsonsupply.com/products/packard-pmj216-motor-start-capacitor-216-259-mfd-110-125-vac", "https://edmondsonsupply.com/products/packard-pmj216-motor-start-capacitor-216-259-mfd-110-125-vac")</f>
        <v>https://edmondsonsupply.com/products/packard-pmj216-motor-start-capacitor-216-259-mfd-110-125-vac</v>
      </c>
      <c r="C846" t="s">
        <v>1581</v>
      </c>
      <c r="D846" t="s">
        <v>2135</v>
      </c>
      <c r="E846" s="3" t="str">
        <f>HYPERLINK("https://www.amazon.com/PMJ216-Packard-Upgraded-Replacement-Capacitor/dp/B0773XR2MH/ref=sr_1_2?keywords=Packard+PMJ216+Motor+Start+Capacitor+216-259+MFD+110-125+VAC&amp;qid=1695173457&amp;sr=8-2", "https://www.amazon.com/PMJ216-Packard-Upgraded-Replacement-Capacitor/dp/B0773XR2MH/ref=sr_1_2?keywords=Packard+PMJ216+Motor+Start+Capacitor+216-259+MFD+110-125+VAC&amp;qid=1695173457&amp;sr=8-2")</f>
        <v>https://www.amazon.com/PMJ216-Packard-Upgraded-Replacement-Capacitor/dp/B0773XR2MH/ref=sr_1_2?keywords=Packard+PMJ216+Motor+Start+Capacitor+216-259+MFD+110-125+VAC&amp;qid=1695173457&amp;sr=8-2</v>
      </c>
      <c r="F846" t="s">
        <v>2136</v>
      </c>
      <c r="G846" t="e">
        <f ca="1">_xludf.IMAGE("https://edmondsonsupply.com/cdn/shop/products/PMJ216-2.jpg?v=1633030107")</f>
        <v>#NAME?</v>
      </c>
      <c r="H846" t="e">
        <f ca="1">_xludf.IMAGE("https://m.media-amazon.com/images/I/41fqQrQgJaL._AC_UY218_.jpg")</f>
        <v>#NAME?</v>
      </c>
      <c r="I846" t="s">
        <v>1584</v>
      </c>
      <c r="J846">
        <v>8.82</v>
      </c>
      <c r="K846" s="4">
        <v>1.4298</v>
      </c>
      <c r="L846">
        <v>4</v>
      </c>
      <c r="M846">
        <v>10</v>
      </c>
      <c r="O846" t="s">
        <v>25</v>
      </c>
      <c r="P846" t="s">
        <v>138</v>
      </c>
      <c r="Q846" t="s">
        <v>1585</v>
      </c>
    </row>
    <row r="847" spans="1:17" ht="15.5" x14ac:dyDescent="0.35">
      <c r="A847" s="3" t="str">
        <f>HYPERLINK("https://edmondsonsupply.com/collections/hvac/products/packard-prmj88-motor-start-capacitor-88-108-mfd-330-volt", "https://edmondsonsupply.com/collections/hvac/products/packard-prmj88-motor-start-capacitor-88-108-mfd-330-volt")</f>
        <v>https://edmondsonsupply.com/collections/hvac/products/packard-prmj88-motor-start-capacitor-88-108-mfd-330-volt</v>
      </c>
      <c r="B847" s="3" t="str">
        <f>HYPERLINK("https://edmondsonsupply.com/products/packard-prmj88-motor-start-capacitor-88-108-mfd-330-volt", "https://edmondsonsupply.com/products/packard-prmj88-motor-start-capacitor-88-108-mfd-330-volt")</f>
        <v>https://edmondsonsupply.com/products/packard-prmj88-motor-start-capacitor-88-108-mfd-330-volt</v>
      </c>
      <c r="C847" t="s">
        <v>1992</v>
      </c>
      <c r="D847" t="s">
        <v>1798</v>
      </c>
      <c r="E847" s="3" t="str">
        <f>HYPERLINK("https://www.amazon.com/PRMJ108-Packard-Aftermarket-Replacement-Capacitor/dp/B00IWYEI1S/ref=sr_1_7?keywords=Packard+PRMJ88+Motor+Start+Capacitor+88-108+MFD+330+Volt&amp;qid=1695173645&amp;sr=8-7", "https://www.amazon.com/PRMJ108-Packard-Aftermarket-Replacement-Capacitor/dp/B00IWYEI1S/ref=sr_1_7?keywords=Packard+PRMJ88+Motor+Start+Capacitor+88-108+MFD+330+Volt&amp;qid=1695173645&amp;sr=8-7")</f>
        <v>https://www.amazon.com/PRMJ108-Packard-Aftermarket-Replacement-Capacitor/dp/B00IWYEI1S/ref=sr_1_7?keywords=Packard+PRMJ88+Motor+Start+Capacitor+88-108+MFD+330+Volt&amp;qid=1695173645&amp;sr=8-7</v>
      </c>
      <c r="F847" t="s">
        <v>1799</v>
      </c>
      <c r="G847" t="e">
        <f ca="1">_xludf.IMAGE("https://edmondsonsupply.com/cdn/shop/products/PRMJ88-2.jpg?v=1633030394")</f>
        <v>#NAME?</v>
      </c>
      <c r="H847" t="e">
        <f ca="1">_xludf.IMAGE("https://m.media-amazon.com/images/I/41iN-8gLZyL._AC_UY218_.jpg")</f>
        <v>#NAME?</v>
      </c>
      <c r="I847" t="s">
        <v>1995</v>
      </c>
      <c r="J847">
        <v>13.49</v>
      </c>
      <c r="K847" s="4">
        <v>1.4132</v>
      </c>
      <c r="L847">
        <v>5</v>
      </c>
      <c r="M847">
        <v>10</v>
      </c>
      <c r="O847" t="s">
        <v>25</v>
      </c>
      <c r="P847" t="s">
        <v>138</v>
      </c>
      <c r="Q847" t="s">
        <v>1996</v>
      </c>
    </row>
    <row r="848" spans="1:17" ht="15.5" x14ac:dyDescent="0.35">
      <c r="A848"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848"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848" t="s">
        <v>1540</v>
      </c>
      <c r="D848" t="s">
        <v>2137</v>
      </c>
      <c r="E848" s="3" t="str">
        <f>HYPERLINK("https://www.amazon.com/B18099-04-Goodman-ICM-Replacement-Furnace-Control/dp/B00G036QKO/ref=sr_1_2?keywords=ICM+Controls+ICM2811+Furnace+Control+Board+-+Replacement+for+Goodman&amp;qid=1695173453&amp;sr=8-2", "https://www.amazon.com/B18099-04-Goodman-ICM-Replacement-Furnace-Control/dp/B00G036QKO/ref=sr_1_2?keywords=ICM+Controls+ICM2811+Furnace+Control+Board+-+Replacement+for+Goodman&amp;qid=1695173453&amp;sr=8-2")</f>
        <v>https://www.amazon.com/B18099-04-Goodman-ICM-Replacement-Furnace-Control/dp/B00G036QKO/ref=sr_1_2?keywords=ICM+Controls+ICM2811+Furnace+Control+Board+-+Replacement+for+Goodman&amp;qid=1695173453&amp;sr=8-2</v>
      </c>
      <c r="F848" t="s">
        <v>2138</v>
      </c>
      <c r="G848" t="e">
        <f ca="1">_xludf.IMAGE("https://edmondsonsupply.com/cdn/shop/products/photo_3800_medium_86f45e25-a764-4839-bc84-759a6ce1c7bd.jpg?v=1659910436")</f>
        <v>#NAME?</v>
      </c>
      <c r="H848" t="e">
        <f ca="1">_xludf.IMAGE("https://m.media-amazon.com/images/I/612tjJ9d1OL._AC_UL320_.jpg")</f>
        <v>#NAME?</v>
      </c>
      <c r="I848" t="s">
        <v>1543</v>
      </c>
      <c r="J848">
        <v>166.45</v>
      </c>
      <c r="K848" s="4">
        <v>1.4127000000000001</v>
      </c>
      <c r="L848">
        <v>5</v>
      </c>
      <c r="M848">
        <v>1</v>
      </c>
      <c r="O848" t="s">
        <v>25</v>
      </c>
      <c r="P848" t="s">
        <v>1544</v>
      </c>
      <c r="Q848" t="s">
        <v>1545</v>
      </c>
    </row>
    <row r="849" spans="1:17" ht="15.5" x14ac:dyDescent="0.35">
      <c r="A849" s="3" t="str">
        <f>HYPERLINK("https://edmondsonsupply.com/collections/hvac/products/milwaukee-48-22-0305-folding-jab-saw", "https://edmondsonsupply.com/collections/hvac/products/milwaukee-48-22-0305-folding-jab-saw")</f>
        <v>https://edmondsonsupply.com/collections/hvac/products/milwaukee-48-22-0305-folding-jab-saw</v>
      </c>
      <c r="B849" s="3" t="str">
        <f>HYPERLINK("https://edmondsonsupply.com/products/milwaukee-48-22-0305-folding-jab-saw", "https://edmondsonsupply.com/products/milwaukee-48-22-0305-folding-jab-saw")</f>
        <v>https://edmondsonsupply.com/products/milwaukee-48-22-0305-folding-jab-saw</v>
      </c>
      <c r="C849" t="s">
        <v>2139</v>
      </c>
      <c r="D849" t="s">
        <v>2140</v>
      </c>
      <c r="E849" s="3" t="str">
        <f>HYPERLINK("https://www.amazon.com/Milwaukee-48-22-0305-Compatible-Reciprocating-Included/dp/B082ZR5YFG/ref=sr_1_2?keywords=Milwaukee+48-22-0305+Folding+Jab+Saw&amp;qid=1695173671&amp;sr=8-2", "https://www.amazon.com/Milwaukee-48-22-0305-Compatible-Reciprocating-Included/dp/B082ZR5YFG/ref=sr_1_2?keywords=Milwaukee+48-22-0305+Folding+Jab+Saw&amp;qid=1695173671&amp;sr=8-2")</f>
        <v>https://www.amazon.com/Milwaukee-48-22-0305-Compatible-Reciprocating-Included/dp/B082ZR5YFG/ref=sr_1_2?keywords=Milwaukee+48-22-0305+Folding+Jab+Saw&amp;qid=1695173671&amp;sr=8-2</v>
      </c>
      <c r="F849" t="s">
        <v>2141</v>
      </c>
      <c r="G849" t="e">
        <f ca="1">_xludf.IMAGE("https://edmondsonsupply.com/cdn/shop/products/49678_48-22-0305-lg.jpg?v=1587148349")</f>
        <v>#NAME?</v>
      </c>
      <c r="H849" t="e">
        <f ca="1">_xludf.IMAGE("https://m.media-amazon.com/images/I/61OX-FKNXSL._AC_UL320_.jpg")</f>
        <v>#NAME?</v>
      </c>
      <c r="I849" t="s">
        <v>893</v>
      </c>
      <c r="J849">
        <v>48.1</v>
      </c>
      <c r="K849" s="4">
        <v>1.4086000000000001</v>
      </c>
      <c r="L849">
        <v>5</v>
      </c>
      <c r="M849">
        <v>3</v>
      </c>
      <c r="O849" t="s">
        <v>25</v>
      </c>
      <c r="P849" t="s">
        <v>2142</v>
      </c>
      <c r="Q849" t="s">
        <v>2143</v>
      </c>
    </row>
    <row r="850" spans="1:17" ht="15.5" x14ac:dyDescent="0.35">
      <c r="A850" s="3" t="str">
        <f>HYPERLINK("https://edmondsonsupply.com/collections/hvac/products/robertshaw-1751-013-add-on-pressure-regulator-kit-lp-gas", "https://edmondsonsupply.com/collections/hvac/products/robertshaw-1751-013-add-on-pressure-regulator-kit-lp-gas")</f>
        <v>https://edmondsonsupply.com/collections/hvac/products/robertshaw-1751-013-add-on-pressure-regulator-kit-lp-gas</v>
      </c>
      <c r="B850" s="3" t="str">
        <f>HYPERLINK("https://edmondsonsupply.com/products/robertshaw-1751-013-add-on-pressure-regulator-kit-lp-gas", "https://edmondsonsupply.com/products/robertshaw-1751-013-add-on-pressure-regulator-kit-lp-gas")</f>
        <v>https://edmondsonsupply.com/products/robertshaw-1751-013-add-on-pressure-regulator-kit-lp-gas</v>
      </c>
      <c r="C850" t="s">
        <v>2144</v>
      </c>
      <c r="D850" t="s">
        <v>2145</v>
      </c>
      <c r="E850" s="3" t="str">
        <f>HYPERLINK("https://www.amazon.com/Converstion-Pressure-Regulator-Robertshaw-HVAC/dp/B07KJQN5QM/ref=sr_1_1?keywords=Robertshaw+1751-013+Add-On+Pressure+Regulator+Kit%2C+LP+Gas&amp;qid=1695173534&amp;sr=8-1", "https://www.amazon.com/Converstion-Pressure-Regulator-Robertshaw-HVAC/dp/B07KJQN5QM/ref=sr_1_1?keywords=Robertshaw+1751-013+Add-On+Pressure+Regulator+Kit%2C+LP+Gas&amp;qid=1695173534&amp;sr=8-1")</f>
        <v>https://www.amazon.com/Converstion-Pressure-Regulator-Robertshaw-HVAC/dp/B07KJQN5QM/ref=sr_1_1?keywords=Robertshaw+1751-013+Add-On+Pressure+Regulator+Kit%2C+LP+Gas&amp;qid=1695173534&amp;sr=8-1</v>
      </c>
      <c r="F850" t="s">
        <v>2146</v>
      </c>
      <c r="G850" t="e">
        <f ca="1">_xludf.IMAGE("https://edmondsonsupply.com/cdn/shop/products/1751-013smaller.jpg?v=1633030771")</f>
        <v>#NAME?</v>
      </c>
      <c r="H850" t="e">
        <f ca="1">_xludf.IMAGE("https://m.media-amazon.com/images/I/51lR399Z+4L._AC_UY218_.jpg")</f>
        <v>#NAME?</v>
      </c>
      <c r="I850" t="s">
        <v>2147</v>
      </c>
      <c r="J850">
        <v>63.12</v>
      </c>
      <c r="K850" s="4">
        <v>1.4081999999999999</v>
      </c>
      <c r="L850">
        <v>4.5</v>
      </c>
      <c r="M850">
        <v>2</v>
      </c>
      <c r="O850" t="s">
        <v>25</v>
      </c>
      <c r="P850" t="s">
        <v>138</v>
      </c>
      <c r="Q850" t="s">
        <v>2148</v>
      </c>
    </row>
    <row r="851" spans="1:17" ht="15.5" x14ac:dyDescent="0.35">
      <c r="A851" s="3" t="str">
        <f>HYPERLINK("https://edmondsonsupply.com/collections/hvac/products/robertshaw-ldk-110000-070-reversing-valve-solenoid-coil-24v", "https://edmondsonsupply.com/collections/hvac/products/robertshaw-ldk-110000-070-reversing-valve-solenoid-coil-24v")</f>
        <v>https://edmondsonsupply.com/collections/hvac/products/robertshaw-ldk-110000-070-reversing-valve-solenoid-coil-24v</v>
      </c>
      <c r="B851" s="3" t="str">
        <f>HYPERLINK("https://edmondsonsupply.com/products/robertshaw-ldk-110000-070-reversing-valve-solenoid-coil-24v", "https://edmondsonsupply.com/products/robertshaw-ldk-110000-070-reversing-valve-solenoid-coil-24v")</f>
        <v>https://edmondsonsupply.com/products/robertshaw-ldk-110000-070-reversing-valve-solenoid-coil-24v</v>
      </c>
      <c r="C851" t="s">
        <v>2149</v>
      </c>
      <c r="D851" t="s">
        <v>2150</v>
      </c>
      <c r="E851" s="3" t="str">
        <f>HYPERLINK("https://www.amazon.com/Replacement-LDK-110000-070-Solenoid-Reversing-Valves/dp/B09Y4BS2XC/ref=sr_1_2?keywords=Ranco+LDK-110000-070+Reversing+Valve+Solenoid+Coil%2C+24V&amp;qid=1695173546&amp;sr=8-2", "https://www.amazon.com/Replacement-LDK-110000-070-Solenoid-Reversing-Valves/dp/B09Y4BS2XC/ref=sr_1_2?keywords=Ranco+LDK-110000-070+Reversing+Valve+Solenoid+Coil%2C+24V&amp;qid=1695173546&amp;sr=8-2")</f>
        <v>https://www.amazon.com/Replacement-LDK-110000-070-Solenoid-Reversing-Valves/dp/B09Y4BS2XC/ref=sr_1_2?keywords=Ranco+LDK-110000-070+Reversing+Valve+Solenoid+Coil%2C+24V&amp;qid=1695173546&amp;sr=8-2</v>
      </c>
      <c r="F851" t="s">
        <v>2151</v>
      </c>
      <c r="G851" t="e">
        <f ca="1">_xludf.IMAGE("https://edmondsonsupply.com/cdn/shop/products/LDK-110000-070.jpg?v=1633030794")</f>
        <v>#NAME?</v>
      </c>
      <c r="H851" t="e">
        <f ca="1">_xludf.IMAGE("https://m.media-amazon.com/images/I/61WExo8YLUL._AC_UY218_.jpg")</f>
        <v>#NAME?</v>
      </c>
      <c r="I851" t="s">
        <v>2152</v>
      </c>
      <c r="J851">
        <v>54.74</v>
      </c>
      <c r="K851" s="4">
        <v>1.4018999999999999</v>
      </c>
      <c r="L851">
        <v>5</v>
      </c>
      <c r="M851">
        <v>1</v>
      </c>
      <c r="O851" t="s">
        <v>25</v>
      </c>
      <c r="P851" t="s">
        <v>2153</v>
      </c>
      <c r="Q851" t="s">
        <v>2154</v>
      </c>
    </row>
    <row r="852" spans="1:17" ht="15.5" x14ac:dyDescent="0.35">
      <c r="A852"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852"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852" t="s">
        <v>2155</v>
      </c>
      <c r="D852" t="s">
        <v>2156</v>
      </c>
      <c r="E852" s="3" t="str">
        <f>HYPERLINK("https://www.amazon.com/Klein-Tools-80064-Circuit-Non-Contact/dp/B09WJKKBP2/ref=sr_1_7?keywords=Klein+Tools+NCVT1XTKIT+Non-Contact+Voltage+and+GFCI+Receptacle+Premium+Test+Kit&amp;qid=1695173496&amp;sr=8-7", "https://www.amazon.com/Klein-Tools-80064-Circuit-Non-Contact/dp/B09WJKKBP2/ref=sr_1_7?keywords=Klein+Tools+NCVT1XTKIT+Non-Contact+Voltage+and+GFCI+Receptacle+Premium+Test+Kit&amp;qid=1695173496&amp;sr=8-7")</f>
        <v>https://www.amazon.com/Klein-Tools-80064-Circuit-Non-Contact/dp/B09WJKKBP2/ref=sr_1_7?keywords=Klein+Tools+NCVT1XTKIT+Non-Contact+Voltage+and+GFCI+Receptacle+Premium+Test+Kit&amp;qid=1695173496&amp;sr=8-7</v>
      </c>
      <c r="F852" t="s">
        <v>2157</v>
      </c>
      <c r="G852" t="e">
        <f ca="1">_xludf.IMAGE("https://edmondsonsupply.com/cdn/shop/products/ncvt1xtkit.jpg?v=1674497102")</f>
        <v>#NAME?</v>
      </c>
      <c r="H852" t="e">
        <f ca="1">_xludf.IMAGE("https://m.media-amazon.com/images/I/717V+W-xvwL._AC_UL320_.jpg")</f>
        <v>#NAME?</v>
      </c>
      <c r="I852" t="s">
        <v>471</v>
      </c>
      <c r="J852">
        <v>59.99</v>
      </c>
      <c r="K852" s="4">
        <v>1.4006000000000001</v>
      </c>
      <c r="L852">
        <v>4.7</v>
      </c>
      <c r="M852">
        <v>19569</v>
      </c>
      <c r="O852" t="s">
        <v>25</v>
      </c>
      <c r="P852" t="s">
        <v>2158</v>
      </c>
      <c r="Q852" t="s">
        <v>2159</v>
      </c>
    </row>
    <row r="853" spans="1:17" ht="15.5" x14ac:dyDescent="0.35">
      <c r="A853" s="3" t="str">
        <f>HYPERLINK("https://edmondsonsupply.com/collections/hvac/products/icm-controls-icm289-furnace-control-board-replacement-for-lennox", "https://edmondsonsupply.com/collections/hvac/products/icm-controls-icm289-furnace-control-board-replacement-for-lennox")</f>
        <v>https://edmondsonsupply.com/collections/hvac/products/icm-controls-icm289-furnace-control-board-replacement-for-lennox</v>
      </c>
      <c r="B853" s="3" t="str">
        <f>HYPERLINK("https://edmondsonsupply.com/products/icm-controls-icm289-furnace-control-board-replacement-for-lennox", "https://edmondsonsupply.com/products/icm-controls-icm289-furnace-control-board-replacement-for-lennox")</f>
        <v>https://edmondsonsupply.com/products/icm-controls-icm289-furnace-control-board-replacement-for-lennox</v>
      </c>
      <c r="C853" t="s">
        <v>2160</v>
      </c>
      <c r="D853" t="s">
        <v>2161</v>
      </c>
      <c r="E853" s="3" t="str">
        <f>HYPERLINK("https://www.amazon.com/18G9101-Lennox-ICM-Replacement-Furnace-Control/dp/B00G03B9BK/ref=sr_1_8?keywords=ICM+Controls+ICM289+Furnace+Control+Board+-+Replacement+for+Lennox&amp;qid=1695173465&amp;sr=8-8", "https://www.amazon.com/18G9101-Lennox-ICM-Replacement-Furnace-Control/dp/B00G03B9BK/ref=sr_1_8?keywords=ICM+Controls+ICM289+Furnace+Control+Board+-+Replacement+for+Lennox&amp;qid=1695173465&amp;sr=8-8")</f>
        <v>https://www.amazon.com/18G9101-Lennox-ICM-Replacement-Furnace-Control/dp/B00G03B9BK/ref=sr_1_8?keywords=ICM+Controls+ICM289+Furnace+Control+Board+-+Replacement+for+Lennox&amp;qid=1695173465&amp;sr=8-8</v>
      </c>
      <c r="F853" t="s">
        <v>2162</v>
      </c>
      <c r="G853" t="e">
        <f ca="1">_xludf.IMAGE("https://edmondsonsupply.com/cdn/shop/products/photo_3601_medium_abc82be0-5d13-465a-9be5-04a6748e2d27.png?v=1656728911")</f>
        <v>#NAME?</v>
      </c>
      <c r="H853" t="e">
        <f ca="1">_xludf.IMAGE("https://m.media-amazon.com/images/I/51a6vZwTLyL._AC_UL320_.jpg")</f>
        <v>#NAME?</v>
      </c>
      <c r="I853" t="s">
        <v>460</v>
      </c>
      <c r="J853">
        <v>321.95</v>
      </c>
      <c r="K853" s="4">
        <v>1.385</v>
      </c>
      <c r="L853">
        <v>5</v>
      </c>
      <c r="M853">
        <v>1</v>
      </c>
      <c r="O853" t="s">
        <v>171</v>
      </c>
      <c r="P853" t="s">
        <v>2163</v>
      </c>
      <c r="Q853" t="s">
        <v>2164</v>
      </c>
    </row>
    <row r="854" spans="1:17" ht="15.5" x14ac:dyDescent="0.35">
      <c r="A854" s="3" t="str">
        <f>HYPERLINK("https://edmondsonsupply.com/collections/hvac/products/packard-trc40-titan-pro-run-capacitor-40-mfd-370-volt-round", "https://edmondsonsupply.com/collections/hvac/products/packard-trc40-titan-pro-run-capacitor-40-mfd-370-volt-round")</f>
        <v>https://edmondsonsupply.com/collections/hvac/products/packard-trc40-titan-pro-run-capacitor-40-mfd-370-volt-round</v>
      </c>
      <c r="B854" s="3" t="str">
        <f>HYPERLINK("https://edmondsonsupply.com/products/packard-trc40-titan-pro-run-capacitor-40-mfd-370-volt-round", "https://edmondsonsupply.com/products/packard-trc40-titan-pro-run-capacitor-40-mfd-370-volt-round")</f>
        <v>https://edmondsonsupply.com/products/packard-trc40-titan-pro-run-capacitor-40-mfd-370-volt-round</v>
      </c>
      <c r="C854" t="s">
        <v>1605</v>
      </c>
      <c r="D854" t="s">
        <v>2165</v>
      </c>
      <c r="E854" s="3" t="str">
        <f>HYPERLINK("https://www.amazon.com/Titan-TRCFD405-Rated-Motor-Capacitor/dp/B01HPK5ANO/ref=sr_1_4?keywords=Packard+TRC40+Titan+PRO+Run+Capacitor+40+MFD+370+Volt+Round&amp;qid=1695173675&amp;sr=8-4", "https://www.amazon.com/Titan-TRCFD405-Rated-Motor-Capacitor/dp/B01HPK5ANO/ref=sr_1_4?keywords=Packard+TRC40+Titan+PRO+Run+Capacitor+40+MFD+370+Volt+Round&amp;qid=1695173675&amp;sr=8-4")</f>
        <v>https://www.amazon.com/Titan-TRCFD405-Rated-Motor-Capacitor/dp/B01HPK5ANO/ref=sr_1_4?keywords=Packard+TRC40+Titan+PRO+Run+Capacitor+40+MFD+370+Volt+Round&amp;qid=1695173675&amp;sr=8-4</v>
      </c>
      <c r="F854" t="s">
        <v>2166</v>
      </c>
      <c r="G854" t="e">
        <f ca="1">_xludf.IMAGE("https://edmondsonsupply.com/cdn/shop/products/tp370-2_xl_1.jpg?v=1587148259")</f>
        <v>#NAME?</v>
      </c>
      <c r="H854" t="e">
        <f ca="1">_xludf.IMAGE("https://m.media-amazon.com/images/I/31rIunJqcaL._AC_UY218_.jpg")</f>
        <v>#NAME?</v>
      </c>
      <c r="I854" t="s">
        <v>1608</v>
      </c>
      <c r="J854">
        <v>10.96</v>
      </c>
      <c r="K854" s="4">
        <v>1.3826000000000001</v>
      </c>
      <c r="L854">
        <v>4.7</v>
      </c>
      <c r="M854">
        <v>393</v>
      </c>
      <c r="O854" t="s">
        <v>25</v>
      </c>
      <c r="P854" t="s">
        <v>138</v>
      </c>
      <c r="Q854" t="s">
        <v>1609</v>
      </c>
    </row>
    <row r="855" spans="1:17" ht="15.5" x14ac:dyDescent="0.35">
      <c r="A855" s="3" t="str">
        <f>HYPERLINK("https://edmondsonsupply.com/collections/hvac/products/packard-pmj708-motor-start-capacitor-708-850-mfd-110-125-vac", "https://edmondsonsupply.com/collections/hvac/products/packard-pmj708-motor-start-capacitor-708-850-mfd-110-125-vac")</f>
        <v>https://edmondsonsupply.com/collections/hvac/products/packard-pmj708-motor-start-capacitor-708-850-mfd-110-125-vac</v>
      </c>
      <c r="B855" s="3" t="str">
        <f>HYPERLINK("https://edmondsonsupply.com/products/packard-pmj708-motor-start-capacitor-708-850-mfd-110-125-vac", "https://edmondsonsupply.com/products/packard-pmj708-motor-start-capacitor-708-850-mfd-110-125-vac")</f>
        <v>https://edmondsonsupply.com/products/packard-pmj708-motor-start-capacitor-708-850-mfd-110-125-vac</v>
      </c>
      <c r="C855" t="s">
        <v>2130</v>
      </c>
      <c r="D855" t="s">
        <v>2167</v>
      </c>
      <c r="E855" s="3" t="str">
        <f>HYPERLINK("https://www.amazon.com/Canamax-708-850-110-125-Volts-Capacitor/dp/B0BTHN9D35/ref=sr_1_1?keywords=Packard+PMJ708+Motor+Start+Capacitor+708-850+MFD+110-125+VAC&amp;qid=1695173647&amp;sr=8-1", "https://www.amazon.com/Canamax-708-850-110-125-Volts-Capacitor/dp/B0BTHN9D35/ref=sr_1_1?keywords=Packard+PMJ708+Motor+Start+Capacitor+708-850+MFD+110-125+VAC&amp;qid=1695173647&amp;sr=8-1")</f>
        <v>https://www.amazon.com/Canamax-708-850-110-125-Volts-Capacitor/dp/B0BTHN9D35/ref=sr_1_1?keywords=Packard+PMJ708+Motor+Start+Capacitor+708-850+MFD+110-125+VAC&amp;qid=1695173647&amp;sr=8-1</v>
      </c>
      <c r="F855" t="s">
        <v>2168</v>
      </c>
      <c r="G855" t="e">
        <f ca="1">_xludf.IMAGE("https://edmondsonsupply.com/cdn/shop/products/PMJ708-2.jpg?v=1633030334")</f>
        <v>#NAME?</v>
      </c>
      <c r="H855" t="e">
        <f ca="1">_xludf.IMAGE("https://m.media-amazon.com/images/I/71elYzLuOpL._AC_UY218_.jpg")</f>
        <v>#NAME?</v>
      </c>
      <c r="I855" t="s">
        <v>2133</v>
      </c>
      <c r="J855">
        <v>15.99</v>
      </c>
      <c r="K855" s="4">
        <v>1.3653999999999999</v>
      </c>
      <c r="L855">
        <v>5</v>
      </c>
      <c r="M855">
        <v>2</v>
      </c>
      <c r="O855" t="s">
        <v>25</v>
      </c>
      <c r="P855" t="s">
        <v>138</v>
      </c>
      <c r="Q855" t="s">
        <v>2134</v>
      </c>
    </row>
    <row r="856" spans="1:17" ht="15.5" x14ac:dyDescent="0.35">
      <c r="A856" s="3" t="str">
        <f>HYPERLINK("https://edmondsonsupply.com/collections/hvac/products/malco-mshc-2-inch-c-rhex-cleanable-reversible-magnetic-hex-driver-1-4-5-16", "https://edmondsonsupply.com/collections/hvac/products/malco-mshc-2-inch-c-rhex-cleanable-reversible-magnetic-hex-driver-1-4-5-16")</f>
        <v>https://edmondsonsupply.com/collections/hvac/products/malco-mshc-2-inch-c-rhex-cleanable-reversible-magnetic-hex-driver-1-4-5-16</v>
      </c>
      <c r="B856"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856" t="s">
        <v>134</v>
      </c>
      <c r="D856" t="s">
        <v>178</v>
      </c>
      <c r="E856" s="3" t="str">
        <f>HYPERLINK("https://www.amazon.com/Malco-MSHMLC2-Construction-Cleanable-Reversible/dp/B0BX77PFCY/ref=sr_1_5?keywords=Malco+Tools+MSHC+2-Inch+C-Rhex+Cleanable%2C+Reversible+Magnetic+Hex+Driver%2C+1%2F4&amp;qid=1695173343&amp;sr=8-5", "https://www.amazon.com/Malco-MSHMLC2-Construction-Cleanable-Reversible/dp/B0BX77PFCY/ref=sr_1_5?keywords=Malco+Tools+MSHC+2-Inch+C-Rhex+Cleanable%2C+Reversible+Magnetic+Hex+Driver%2C+1%2F4&amp;qid=1695173343&amp;sr=8-5")</f>
        <v>https://www.amazon.com/Malco-MSHMLC2-Construction-Cleanable-Reversible/dp/B0BX77PFCY/ref=sr_1_5?keywords=Malco+Tools+MSHC+2-Inch+C-Rhex+Cleanable%2C+Reversible+Magnetic+Hex+Driver%2C+1%2F4&amp;qid=1695173343&amp;sr=8-5</v>
      </c>
      <c r="F856" t="s">
        <v>179</v>
      </c>
      <c r="G856" t="e">
        <f ca="1">_xludf.IMAGE("https://edmondsonsupply.com/cdn/shop/products/Malco-MSHC-CRHEX-Slim-Design.jpg?v=1646614493")</f>
        <v>#NAME?</v>
      </c>
      <c r="H856" t="e">
        <f ca="1">_xludf.IMAGE("https://m.media-amazon.com/images/I/61SpFpw6GjL._AC_UL320_.jpg")</f>
        <v>#NAME?</v>
      </c>
      <c r="I856" t="s">
        <v>137</v>
      </c>
      <c r="J856">
        <v>13.91</v>
      </c>
      <c r="K856" s="4">
        <v>1.3615999999999999</v>
      </c>
      <c r="L856">
        <v>3</v>
      </c>
      <c r="M856">
        <v>4</v>
      </c>
      <c r="O856" t="s">
        <v>25</v>
      </c>
      <c r="P856" t="s">
        <v>138</v>
      </c>
      <c r="Q856" t="s">
        <v>139</v>
      </c>
    </row>
    <row r="857" spans="1:17" ht="15.5" x14ac:dyDescent="0.35">
      <c r="A857" s="3" t="str">
        <f>HYPERLINK("https://edmondsonsupply.com/collections/hvac/products/midwest-mwt-6716s-straight-aviation-snip-blackout-series", "https://edmondsonsupply.com/collections/hvac/products/midwest-mwt-6716s-straight-aviation-snip-blackout-series")</f>
        <v>https://edmondsonsupply.com/collections/hvac/products/midwest-mwt-6716s-straight-aviation-snip-blackout-series</v>
      </c>
      <c r="B857" s="3" t="str">
        <f>HYPERLINK("https://edmondsonsupply.com/products/midwest-mwt-6716s-straight-aviation-snip-blackout-series", "https://edmondsonsupply.com/products/midwest-mwt-6716s-straight-aviation-snip-blackout-series")</f>
        <v>https://edmondsonsupply.com/products/midwest-mwt-6716s-straight-aviation-snip-blackout-series</v>
      </c>
      <c r="C857" t="s">
        <v>2169</v>
      </c>
      <c r="D857" t="s">
        <v>193</v>
      </c>
      <c r="E857" s="3" t="str">
        <f>HYPERLINK("https://www.amazon.com/MIDWEST-Blackout-Aviation-Snip-KUSHN-POWER/dp/B00TJQL91U/ref=sr_1_2?keywords=Midwest+MWT-6716SO+Straight+Aviation+Snip+-+Blackout+Series&amp;qid=1695173637&amp;sr=8-2", "https://www.amazon.com/MIDWEST-Blackout-Aviation-Snip-KUSHN-POWER/dp/B00TJQL91U/ref=sr_1_2?keywords=Midwest+MWT-6716SO+Straight+Aviation+Snip+-+Blackout+Series&amp;qid=1695173637&amp;sr=8-2")</f>
        <v>https://www.amazon.com/MIDWEST-Blackout-Aviation-Snip-KUSHN-POWER/dp/B00TJQL91U/ref=sr_1_2?keywords=Midwest+MWT-6716SO+Straight+Aviation+Snip+-+Blackout+Series&amp;qid=1695173637&amp;sr=8-2</v>
      </c>
      <c r="F857" t="s">
        <v>194</v>
      </c>
      <c r="G857" t="e">
        <f ca="1">_xludf.IMAGE("https://edmondsonsupply.com/cdn/shop/products/mwt-6716so.jpg?v=1633030747")</f>
        <v>#NAME?</v>
      </c>
      <c r="H857" t="e">
        <f ca="1">_xludf.IMAGE("https://m.media-amazon.com/images/I/51OW3TahYsL._AC_UL320_.jpg")</f>
        <v>#NAME?</v>
      </c>
      <c r="I857" t="s">
        <v>2170</v>
      </c>
      <c r="J857">
        <v>58.88</v>
      </c>
      <c r="K857" s="4">
        <v>1.3571</v>
      </c>
      <c r="L857">
        <v>4.7</v>
      </c>
      <c r="M857">
        <v>1400</v>
      </c>
      <c r="O857" t="s">
        <v>25</v>
      </c>
      <c r="P857" t="s">
        <v>2171</v>
      </c>
      <c r="Q857" t="s">
        <v>2172</v>
      </c>
    </row>
    <row r="858" spans="1:17" ht="15.5" x14ac:dyDescent="0.35">
      <c r="A858"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858" s="3" t="str">
        <f>HYPERLINK("https://edmondsonsupply.com/products/packard-c230b-contactor-2-pole-30-amps-120-coil-voltage", "https://edmondsonsupply.com/products/packard-c230b-contactor-2-pole-30-amps-120-coil-voltage")</f>
        <v>https://edmondsonsupply.com/products/packard-c230b-contactor-2-pole-30-amps-120-coil-voltage</v>
      </c>
      <c r="C858" t="s">
        <v>2173</v>
      </c>
      <c r="D858" t="s">
        <v>2174</v>
      </c>
      <c r="E858" s="3" t="str">
        <f>HYPERLINK("https://www.amazon.com/Furnas-45EG20AF-Replaced-C25BNB230A-Contactor/dp/B07GSD7WRV/ref=sr_1_3?keywords=Packard+C230B+Contactor+2+Pole+30+AMPS+120+Coil+Voltage&amp;qid=1695173673&amp;sr=8-3", "https://www.amazon.com/Furnas-45EG20AF-Replaced-C25BNB230A-Contactor/dp/B07GSD7WRV/ref=sr_1_3?keywords=Packard+C230B+Contactor+2+Pole+30+AMPS+120+Coil+Voltage&amp;qid=1695173673&amp;sr=8-3")</f>
        <v>https://www.amazon.com/Furnas-45EG20AF-Replaced-C25BNB230A-Contactor/dp/B07GSD7WRV/ref=sr_1_3?keywords=Packard+C230B+Contactor+2+Pole+30+AMPS+120+Coil+Voltage&amp;qid=1695173673&amp;sr=8-3</v>
      </c>
      <c r="F858" t="s">
        <v>2175</v>
      </c>
      <c r="G858" t="e">
        <f ca="1">_xludf.IMAGE("https://edmondsonsupply.com/cdn/shop/products/C230B-1.jpg?v=1587142333")</f>
        <v>#NAME?</v>
      </c>
      <c r="H858" t="e">
        <f ca="1">_xludf.IMAGE("https://m.media-amazon.com/images/I/41mfO5g+QfL._AC_UY218_.jpg")</f>
        <v>#NAME?</v>
      </c>
      <c r="I858" t="s">
        <v>2176</v>
      </c>
      <c r="J858">
        <v>25.5</v>
      </c>
      <c r="K858" s="4">
        <v>1.3567</v>
      </c>
      <c r="L858">
        <v>5</v>
      </c>
      <c r="M858">
        <v>2</v>
      </c>
      <c r="O858" t="s">
        <v>25</v>
      </c>
      <c r="P858" t="s">
        <v>138</v>
      </c>
      <c r="Q858" t="s">
        <v>2177</v>
      </c>
    </row>
    <row r="859" spans="1:17" ht="15.5" x14ac:dyDescent="0.35">
      <c r="A859" s="3" t="str">
        <f>HYPERLINK("https://edmondsonsupply.com/collections/hvac/products/spin-tools-s1014-swaging-1-4-drill-bit", "https://edmondsonsupply.com/collections/hvac/products/spin-tools-s1014-swaging-1-4-drill-bit")</f>
        <v>https://edmondsonsupply.com/collections/hvac/products/spin-tools-s1014-swaging-1-4-drill-bit</v>
      </c>
      <c r="B859" s="3" t="str">
        <f>HYPERLINK("https://edmondsonsupply.com/products/spin-tools-s1014-swaging-1-4-drill-bit", "https://edmondsonsupply.com/products/spin-tools-s1014-swaging-1-4-drill-bit")</f>
        <v>https://edmondsonsupply.com/products/spin-tools-s1014-swaging-1-4-drill-bit</v>
      </c>
      <c r="C859" t="s">
        <v>2178</v>
      </c>
      <c r="D859" t="s">
        <v>2179</v>
      </c>
      <c r="E859" s="3" t="str">
        <f>HYPERLINK("https://www.amazon.com/SPIN-S1014-Drill-Swaging-Tool/dp/B093CFYFS2/ref=sr_1_4?keywords=SPIN+Tools+S1014+Swaging+Individual+1%2F4%22+Drill+Bit&amp;qid=1695173476&amp;sr=8-4", "https://www.amazon.com/SPIN-S1014-Drill-Swaging-Tool/dp/B093CFYFS2/ref=sr_1_4?keywords=SPIN+Tools+S1014+Swaging+Individual+1%2F4%22+Drill+Bit&amp;qid=1695173476&amp;sr=8-4")</f>
        <v>https://www.amazon.com/SPIN-S1014-Drill-Swaging-Tool/dp/B093CFYFS2/ref=sr_1_4?keywords=SPIN+Tools+S1014+Swaging+Individual+1%2F4%22+Drill+Bit&amp;qid=1695173476&amp;sr=8-4</v>
      </c>
      <c r="F859" t="s">
        <v>2180</v>
      </c>
      <c r="G859" t="e">
        <f ca="1">_xludf.IMAGE("https://edmondsonsupply.com/cdn/shop/products/S1014-2.jpg?v=1633030315")</f>
        <v>#NAME?</v>
      </c>
      <c r="H859" t="e">
        <f ca="1">_xludf.IMAGE("https://m.media-amazon.com/images/I/31u2LFsXhsS._AC_UL320_.jpg")</f>
        <v>#NAME?</v>
      </c>
      <c r="I859" t="s">
        <v>2181</v>
      </c>
      <c r="J859">
        <v>62.3</v>
      </c>
      <c r="K859" s="4">
        <v>1.3553999999999999</v>
      </c>
      <c r="L859">
        <v>5</v>
      </c>
      <c r="M859">
        <v>1</v>
      </c>
      <c r="O859" t="s">
        <v>171</v>
      </c>
      <c r="P859" t="s">
        <v>2182</v>
      </c>
      <c r="Q859" t="s">
        <v>2183</v>
      </c>
    </row>
    <row r="860" spans="1:17" ht="15.5" x14ac:dyDescent="0.35">
      <c r="A860" s="3" t="str">
        <f>HYPERLINK("https://edmondsonsupply.com/collections/hvac/products/packard-pmj216-motor-start-capacitor-216-259-mfd-110-125-vac", "https://edmondsonsupply.com/collections/hvac/products/packard-pmj216-motor-start-capacitor-216-259-mfd-110-125-vac")</f>
        <v>https://edmondsonsupply.com/collections/hvac/products/packard-pmj216-motor-start-capacitor-216-259-mfd-110-125-vac</v>
      </c>
      <c r="B860" s="3" t="str">
        <f>HYPERLINK("https://edmondsonsupply.com/products/packard-pmj216-motor-start-capacitor-216-259-mfd-110-125-vac", "https://edmondsonsupply.com/products/packard-pmj216-motor-start-capacitor-216-259-mfd-110-125-vac")</f>
        <v>https://edmondsonsupply.com/products/packard-pmj216-motor-start-capacitor-216-259-mfd-110-125-vac</v>
      </c>
      <c r="C860" t="s">
        <v>1581</v>
      </c>
      <c r="D860" t="s">
        <v>2184</v>
      </c>
      <c r="E860" s="3" t="str">
        <f>HYPERLINK("https://www.amazon.com/Packard-PMJ216-Capacitor-216-259-110-125v/dp/B0054JJ51C/ref=sr_1_1?keywords=Packard+PMJ216+Motor+Start+Capacitor+216-259+MFD+110-125+VAC&amp;qid=1695173457&amp;sr=8-1", "https://www.amazon.com/Packard-PMJ216-Capacitor-216-259-110-125v/dp/B0054JJ51C/ref=sr_1_1?keywords=Packard+PMJ216+Motor+Start+Capacitor+216-259+MFD+110-125+VAC&amp;qid=1695173457&amp;sr=8-1")</f>
        <v>https://www.amazon.com/Packard-PMJ216-Capacitor-216-259-110-125v/dp/B0054JJ51C/ref=sr_1_1?keywords=Packard+PMJ216+Motor+Start+Capacitor+216-259+MFD+110-125+VAC&amp;qid=1695173457&amp;sr=8-1</v>
      </c>
      <c r="F860" t="s">
        <v>2185</v>
      </c>
      <c r="G860" t="e">
        <f ca="1">_xludf.IMAGE("https://edmondsonsupply.com/cdn/shop/products/PMJ216-2.jpg?v=1633030107")</f>
        <v>#NAME?</v>
      </c>
      <c r="H860" t="e">
        <f ca="1">_xludf.IMAGE("https://m.media-amazon.com/images/I/81AeXmtCESL._AC_UY218_.jpg")</f>
        <v>#NAME?</v>
      </c>
      <c r="I860" t="s">
        <v>1584</v>
      </c>
      <c r="J860">
        <v>8.5399999999999991</v>
      </c>
      <c r="K860" s="4">
        <v>1.3526</v>
      </c>
      <c r="L860">
        <v>4.4000000000000004</v>
      </c>
      <c r="M860">
        <v>105</v>
      </c>
      <c r="O860" t="s">
        <v>25</v>
      </c>
      <c r="P860" t="s">
        <v>138</v>
      </c>
      <c r="Q860" t="s">
        <v>1585</v>
      </c>
    </row>
    <row r="861" spans="1:17" ht="15.5" x14ac:dyDescent="0.35">
      <c r="A861"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861" s="3" t="str">
        <f>HYPERLINK("https://edmondsonsupply.com/products/packard-c230b-contactor-2-pole-30-amps-120-coil-voltage", "https://edmondsonsupply.com/products/packard-c230b-contactor-2-pole-30-amps-120-coil-voltage")</f>
        <v>https://edmondsonsupply.com/products/packard-c230b-contactor-2-pole-30-amps-120-coil-voltage</v>
      </c>
      <c r="C861" t="s">
        <v>2173</v>
      </c>
      <c r="D861" t="s">
        <v>2186</v>
      </c>
      <c r="E861" s="3" t="str">
        <f>HYPERLINK("https://www.amazon.com/PLXparts-Contactor-Voltage-Packard-Replacement/dp/B07XQLVWW3/ref=sr_1_5?keywords=Packard+C230B+Contactor+2+Pole+30+AMPS+120+Coil+Voltage&amp;qid=1695173673&amp;sr=8-5", "https://www.amazon.com/PLXparts-Contactor-Voltage-Packard-Replacement/dp/B07XQLVWW3/ref=sr_1_5?keywords=Packard+C230B+Contactor+2+Pole+30+AMPS+120+Coil+Voltage&amp;qid=1695173673&amp;sr=8-5")</f>
        <v>https://www.amazon.com/PLXparts-Contactor-Voltage-Packard-Replacement/dp/B07XQLVWW3/ref=sr_1_5?keywords=Packard+C230B+Contactor+2+Pole+30+AMPS+120+Coil+Voltage&amp;qid=1695173673&amp;sr=8-5</v>
      </c>
      <c r="F861" t="s">
        <v>2187</v>
      </c>
      <c r="G861" t="e">
        <f ca="1">_xludf.IMAGE("https://edmondsonsupply.com/cdn/shop/products/C230B-1.jpg?v=1587142333")</f>
        <v>#NAME?</v>
      </c>
      <c r="H861" t="e">
        <f ca="1">_xludf.IMAGE("https://m.media-amazon.com/images/I/51NOEn6NUFL._AC_UY218_.jpg")</f>
        <v>#NAME?</v>
      </c>
      <c r="I861" t="s">
        <v>2176</v>
      </c>
      <c r="J861">
        <v>25.43</v>
      </c>
      <c r="K861" s="4">
        <v>1.3503000000000001</v>
      </c>
      <c r="L861">
        <v>5</v>
      </c>
      <c r="M861">
        <v>1</v>
      </c>
      <c r="O861" t="s">
        <v>25</v>
      </c>
      <c r="P861" t="s">
        <v>138</v>
      </c>
      <c r="Q861" t="s">
        <v>2177</v>
      </c>
    </row>
    <row r="862" spans="1:17" ht="15.5" x14ac:dyDescent="0.35">
      <c r="A862" s="3" t="str">
        <f>HYPERLINK("https://edmondsonsupply.com/collections/hvac/products/packard-trc20-titan-pro-run-capacitor-20-mfd-370-volt-round", "https://edmondsonsupply.com/collections/hvac/products/packard-trc20-titan-pro-run-capacitor-20-mfd-370-volt-round")</f>
        <v>https://edmondsonsupply.com/collections/hvac/products/packard-trc20-titan-pro-run-capacitor-20-mfd-370-volt-round</v>
      </c>
      <c r="B862" s="3" t="str">
        <f>HYPERLINK("https://edmondsonsupply.com/products/packard-trc20-titan-pro-run-capacitor-20-mfd-370-volt-round", "https://edmondsonsupply.com/products/packard-trc20-titan-pro-run-capacitor-20-mfd-370-volt-round")</f>
        <v>https://edmondsonsupply.com/products/packard-trc20-titan-pro-run-capacitor-20-mfd-370-volt-round</v>
      </c>
      <c r="C862" t="s">
        <v>1828</v>
      </c>
      <c r="D862" t="s">
        <v>2188</v>
      </c>
      <c r="E862" s="3" t="str">
        <f>HYPERLINK("https://www.amazon.com/TITAN-PRO-TRC20-ROUND-Capacitor/dp/B00FQQLVSS/ref=sr_1_1?keywords=Packard+TRC20+Titan+PRO+Run+Capacitor+20+MFD+370+Volt+Round&amp;qid=1695173564&amp;sr=8-1", "https://www.amazon.com/TITAN-PRO-TRC20-ROUND-Capacitor/dp/B00FQQLVSS/ref=sr_1_1?keywords=Packard+TRC20+Titan+PRO+Run+Capacitor+20+MFD+370+Volt+Round&amp;qid=1695173564&amp;sr=8-1")</f>
        <v>https://www.amazon.com/TITAN-PRO-TRC20-ROUND-Capacitor/dp/B00FQQLVSS/ref=sr_1_1?keywords=Packard+TRC20+Titan+PRO+Run+Capacitor+20+MFD+370+Volt+Round&amp;qid=1695173564&amp;sr=8-1</v>
      </c>
      <c r="F862" t="s">
        <v>2189</v>
      </c>
      <c r="G862" t="e">
        <f ca="1">_xludf.IMAGE("https://edmondsonsupply.com/cdn/shop/products/trc20.jpg?v=1587150772")</f>
        <v>#NAME?</v>
      </c>
      <c r="H862" t="e">
        <f ca="1">_xludf.IMAGE("https://m.media-amazon.com/images/I/31ChsFTjidL._AC_UY218_.jpg")</f>
        <v>#NAME?</v>
      </c>
      <c r="I862" t="s">
        <v>1831</v>
      </c>
      <c r="J862">
        <v>8.48</v>
      </c>
      <c r="K862" s="4">
        <v>1.349</v>
      </c>
      <c r="L862">
        <v>5</v>
      </c>
      <c r="M862">
        <v>2</v>
      </c>
      <c r="O862" t="s">
        <v>25</v>
      </c>
      <c r="P862" t="s">
        <v>138</v>
      </c>
      <c r="Q862" t="s">
        <v>1832</v>
      </c>
    </row>
    <row r="863" spans="1:17" ht="15.5" x14ac:dyDescent="0.35">
      <c r="A863" s="3" t="str">
        <f>HYPERLINK("https://edmondsonsupply.com/collections/hvac/products/klein-tools-69410-replacement-test-lead-set-right-angle", "https://edmondsonsupply.com/collections/hvac/products/klein-tools-69410-replacement-test-lead-set-right-angle")</f>
        <v>https://edmondsonsupply.com/collections/hvac/products/klein-tools-69410-replacement-test-lead-set-right-angle</v>
      </c>
      <c r="B863" s="3" t="str">
        <f>HYPERLINK("https://edmondsonsupply.com/products/klein-tools-69410-replacement-test-lead-set-right-angle", "https://edmondsonsupply.com/products/klein-tools-69410-replacement-test-lead-set-right-angle")</f>
        <v>https://edmondsonsupply.com/products/klein-tools-69410-replacement-test-lead-set-right-angle</v>
      </c>
      <c r="C863" t="s">
        <v>1463</v>
      </c>
      <c r="D863" t="s">
        <v>2190</v>
      </c>
      <c r="E863" s="3" t="str">
        <f>HYPERLINK("https://www.amazon.com/Klein-Tools-Multimeter-Auto-Ranging-Replacement/dp/B0CF1HLRLZ/ref=sr_1_3?keywords=Klein+Tools+69410+Replacement+Test+Lead+Set%2C+Right+Angle&amp;qid=1695173692&amp;sr=8-3", "https://www.amazon.com/Klein-Tools-Multimeter-Auto-Ranging-Replacement/dp/B0CF1HLRLZ/ref=sr_1_3?keywords=Klein+Tools+69410+Replacement+Test+Lead+Set%2C+Right+Angle&amp;qid=1695173692&amp;sr=8-3")</f>
        <v>https://www.amazon.com/Klein-Tools-Multimeter-Auto-Ranging-Replacement/dp/B0CF1HLRLZ/ref=sr_1_3?keywords=Klein+Tools+69410+Replacement+Test+Lead+Set%2C+Right+Angle&amp;qid=1695173692&amp;sr=8-3</v>
      </c>
      <c r="F863" t="s">
        <v>2191</v>
      </c>
      <c r="G863" t="e">
        <f ca="1">_xludf.IMAGE("https://edmondsonsupply.com/cdn/shop/products/69410.jpg?v=1587143393")</f>
        <v>#NAME?</v>
      </c>
      <c r="H863" t="e">
        <f ca="1">_xludf.IMAGE("https://m.media-amazon.com/images/I/511gqqz-o+L._AC_UY218_.jpg")</f>
        <v>#NAME?</v>
      </c>
      <c r="I863" t="s">
        <v>893</v>
      </c>
      <c r="J863">
        <v>46.9</v>
      </c>
      <c r="K863" s="4">
        <v>1.3485</v>
      </c>
      <c r="L863">
        <v>4.7</v>
      </c>
      <c r="M863">
        <v>3817</v>
      </c>
      <c r="O863" t="s">
        <v>25</v>
      </c>
      <c r="P863" t="s">
        <v>1466</v>
      </c>
      <c r="Q863" t="s">
        <v>1467</v>
      </c>
    </row>
    <row r="864" spans="1:17" ht="15.5" x14ac:dyDescent="0.35">
      <c r="A864" s="3" t="str">
        <f>HYPERLINK("https://edmondsonsupply.com/collections/hvac/products/lucas-milhaupt-95177-sil-fos-15-7-rods-15-silver-1", "https://edmondsonsupply.com/collections/hvac/products/lucas-milhaupt-95177-sil-fos-15-7-rods-15-silver-1")</f>
        <v>https://edmondsonsupply.com/collections/hvac/products/lucas-milhaupt-95177-sil-fos-15-7-rods-15-silver-1</v>
      </c>
      <c r="B864" s="3" t="str">
        <f>HYPERLINK("https://edmondsonsupply.com/products/lucas-milhaupt-95177-sil-fos-15-7-rods-15-silver-1", "https://edmondsonsupply.com/products/lucas-milhaupt-95177-sil-fos-15-7-rods-15-silver-1")</f>
        <v>https://edmondsonsupply.com/products/lucas-milhaupt-95177-sil-fos-15-7-rods-15-silver-1</v>
      </c>
      <c r="C864" t="s">
        <v>1468</v>
      </c>
      <c r="D864" t="s">
        <v>2192</v>
      </c>
      <c r="E864" s="3" t="str">
        <f>HYPERLINK("https://www.amazon.com/PACKAGES-Lucas-Milhaupt-AL-822/dp/B07ZJN4V46/ref=sr_1_1?keywords=Lucas+Milhaupt+99088+AL+822+Aluminum+Solder%2C+4+Rods&amp;qid=1695173332&amp;sr=8-1", "https://www.amazon.com/PACKAGES-Lucas-Milhaupt-AL-822/dp/B07ZJN4V46/ref=sr_1_1?keywords=Lucas+Milhaupt+99088+AL+822+Aluminum+Solder%2C+4+Rods&amp;qid=1695173332&amp;sr=8-1")</f>
        <v>https://www.amazon.com/PACKAGES-Lucas-Milhaupt-AL-822/dp/B07ZJN4V46/ref=sr_1_1?keywords=Lucas+Milhaupt+99088+AL+822+Aluminum+Solder%2C+4+Rods&amp;qid=1695173332&amp;sr=8-1</v>
      </c>
      <c r="F864" t="s">
        <v>2193</v>
      </c>
      <c r="G864" t="e">
        <f ca="1">_xludf.IMAGE("https://edmondsonsupply.com/cdn/shop/products/99088-2.jpg?v=1587147488")</f>
        <v>#NAME?</v>
      </c>
      <c r="H864" t="e">
        <f ca="1">_xludf.IMAGE("https://m.media-amazon.com/images/I/61S5L1EiKmL._AC_UL320_.jpg")</f>
        <v>#NAME?</v>
      </c>
      <c r="I864" t="s">
        <v>1471</v>
      </c>
      <c r="J864">
        <v>59.99</v>
      </c>
      <c r="K864" s="4">
        <v>1.3452</v>
      </c>
      <c r="L864">
        <v>5</v>
      </c>
      <c r="M864">
        <v>39</v>
      </c>
      <c r="O864" t="s">
        <v>25</v>
      </c>
      <c r="P864" t="s">
        <v>138</v>
      </c>
      <c r="Q864" t="s">
        <v>1472</v>
      </c>
    </row>
    <row r="865" spans="1:17" ht="15.5" x14ac:dyDescent="0.35">
      <c r="A865" s="3" t="str">
        <f>HYPERLINK("https://edmondsonsupply.com/collections/hvac/products/packard-c340a-contactor-3-pole-40-amps-24-coil-voltage", "https://edmondsonsupply.com/collections/hvac/products/packard-c340a-contactor-3-pole-40-amps-24-coil-voltage")</f>
        <v>https://edmondsonsupply.com/collections/hvac/products/packard-c340a-contactor-3-pole-40-amps-24-coil-voltage</v>
      </c>
      <c r="B865" s="3" t="str">
        <f>HYPERLINK("https://edmondsonsupply.com/products/packard-c340a-contactor-3-pole-40-amps-24-coil-voltage", "https://edmondsonsupply.com/products/packard-c340a-contactor-3-pole-40-amps-24-coil-voltage")</f>
        <v>https://edmondsonsupply.com/products/packard-c340a-contactor-3-pole-40-amps-24-coil-voltage</v>
      </c>
      <c r="C865" t="s">
        <v>2194</v>
      </c>
      <c r="D865" t="s">
        <v>2195</v>
      </c>
      <c r="E865" s="3" t="str">
        <f>HYPERLINK("https://www.amazon.com/Packard-C350A-Contactor-Pole-Voltage/dp/B004ZU4Q06/ref=sr_1_4?keywords=Packard+C340A+Contactor+3+Pole+40+Amps+24+Coil+Voltage&amp;qid=1695173549&amp;sr=8-4", "https://www.amazon.com/Packard-C350A-Contactor-Pole-Voltage/dp/B004ZU4Q06/ref=sr_1_4?keywords=Packard+C340A+Contactor+3+Pole+40+Amps+24+Coil+Voltage&amp;qid=1695173549&amp;sr=8-4")</f>
        <v>https://www.amazon.com/Packard-C350A-Contactor-Pole-Voltage/dp/B004ZU4Q06/ref=sr_1_4?keywords=Packard+C340A+Contactor+3+Pole+40+Amps+24+Coil+Voltage&amp;qid=1695173549&amp;sr=8-4</v>
      </c>
      <c r="F865" t="s">
        <v>2196</v>
      </c>
      <c r="G865" t="e">
        <f ca="1">_xludf.IMAGE("https://edmondsonsupply.com/cdn/shop/products/C340A-2.jpg?v=1633030393")</f>
        <v>#NAME?</v>
      </c>
      <c r="H865" t="e">
        <f ca="1">_xludf.IMAGE("https://m.media-amazon.com/images/I/51c25R-4qEL._AC_UY218_.jpg")</f>
        <v>#NAME?</v>
      </c>
      <c r="I865" t="s">
        <v>2197</v>
      </c>
      <c r="J865">
        <v>52</v>
      </c>
      <c r="K865" s="4">
        <v>1.3381000000000001</v>
      </c>
      <c r="L865">
        <v>5</v>
      </c>
      <c r="M865">
        <v>1</v>
      </c>
      <c r="O865" t="s">
        <v>25</v>
      </c>
      <c r="P865" t="s">
        <v>138</v>
      </c>
      <c r="Q865" t="s">
        <v>2198</v>
      </c>
    </row>
    <row r="866" spans="1:17" ht="15.5" x14ac:dyDescent="0.35">
      <c r="A866" s="3" t="str">
        <f>HYPERLINK("https://edmondsonsupply.com/collections/hvac/products/packard-titan-pro-trcd305-run-capacitor-30-5-mfd-370-volt-round", "https://edmondsonsupply.com/collections/hvac/products/packard-titan-pro-trcd305-run-capacitor-30-5-mfd-370-volt-round")</f>
        <v>https://edmondsonsupply.com/collections/hvac/products/packard-titan-pro-trcd305-run-capacitor-30-5-mfd-370-volt-round</v>
      </c>
      <c r="B866" s="3" t="str">
        <f>HYPERLINK("https://edmondsonsupply.com/products/packard-titan-pro-trcd305-run-capacitor-30-5-mfd-370-volt-round", "https://edmondsonsupply.com/products/packard-titan-pro-trcd305-run-capacitor-30-5-mfd-370-volt-round")</f>
        <v>https://edmondsonsupply.com/products/packard-titan-pro-trcd305-run-capacitor-30-5-mfd-370-volt-round</v>
      </c>
      <c r="C866" t="s">
        <v>2199</v>
      </c>
      <c r="D866" t="s">
        <v>2200</v>
      </c>
      <c r="E866" s="3" t="str">
        <f>HYPERLINK("https://www.amazon.com/PACKARD-TRCD455-Capacitor-Replaces-PRCD455/dp/B01N55F81Z/ref=sr_1_1?keywords=Packard+Titan+PRO+TRCD305+Run+Capacitor+30+5+MFD+370+Volt+Round&amp;qid=1695173636&amp;sr=8-1", "https://www.amazon.com/PACKARD-TRCD455-Capacitor-Replaces-PRCD455/dp/B01N55F81Z/ref=sr_1_1?keywords=Packard+Titan+PRO+TRCD305+Run+Capacitor+30+5+MFD+370+Volt+Round&amp;qid=1695173636&amp;sr=8-1")</f>
        <v>https://www.amazon.com/PACKARD-TRCD455-Capacitor-Replaces-PRCD455/dp/B01N55F81Z/ref=sr_1_1?keywords=Packard+Titan+PRO+TRCD305+Run+Capacitor+30+5+MFD+370+Volt+Round&amp;qid=1695173636&amp;sr=8-1</v>
      </c>
      <c r="F866" t="s">
        <v>2201</v>
      </c>
      <c r="G866" t="e">
        <f ca="1">_xludf.IMAGE("https://edmondsonsupply.com/cdn/shop/products/TRCD305-2.jpg?v=1633030487")</f>
        <v>#NAME?</v>
      </c>
      <c r="H866" t="e">
        <f ca="1">_xludf.IMAGE("https://m.media-amazon.com/images/I/41CL3hacDyL._AC_UY218_.jpg")</f>
        <v>#NAME?</v>
      </c>
      <c r="I866" t="s">
        <v>2202</v>
      </c>
      <c r="J866">
        <v>18.43</v>
      </c>
      <c r="K866" s="4">
        <v>1.327</v>
      </c>
      <c r="L866">
        <v>5</v>
      </c>
      <c r="M866">
        <v>2</v>
      </c>
      <c r="O866" t="s">
        <v>25</v>
      </c>
      <c r="P866" t="s">
        <v>138</v>
      </c>
      <c r="Q866" t="s">
        <v>2203</v>
      </c>
    </row>
    <row r="867" spans="1:17" ht="15.5" x14ac:dyDescent="0.35">
      <c r="A867" s="3" t="str">
        <f>HYPERLINK("https://edmondsonsupply.com/collections/hvac/products/packard-titan-pro-toc15-motor-run-capacitor-15-mfd-370-volt-oval", "https://edmondsonsupply.com/collections/hvac/products/packard-titan-pro-toc15-motor-run-capacitor-15-mfd-370-volt-oval")</f>
        <v>https://edmondsonsupply.com/collections/hvac/products/packard-titan-pro-toc15-motor-run-capacitor-15-mfd-370-volt-oval</v>
      </c>
      <c r="B867" s="3" t="str">
        <f>HYPERLINK("https://edmondsonsupply.com/products/packard-titan-pro-toc15-motor-run-capacitor-15-mfd-370-volt-oval", "https://edmondsonsupply.com/products/packard-titan-pro-toc15-motor-run-capacitor-15-mfd-370-volt-oval")</f>
        <v>https://edmondsonsupply.com/products/packard-titan-pro-toc15-motor-run-capacitor-15-mfd-370-volt-oval</v>
      </c>
      <c r="C867" t="s">
        <v>1843</v>
      </c>
      <c r="D867" t="s">
        <v>1682</v>
      </c>
      <c r="E867" s="3" t="str">
        <f>HYPERLINK("https://www.amazon.com/Packard-10-MFD-Motor-Capacitor/dp/B01KARDZTK/ref=sr_1_9?keywords=Packard+Titan+PRO+TOC15+Motor+Run+Capacitor+15+MFD+370+Volt+Oval&amp;qid=1695173423&amp;sr=8-9", "https://www.amazon.com/Packard-10-MFD-Motor-Capacitor/dp/B01KARDZTK/ref=sr_1_9?keywords=Packard+Titan+PRO+TOC15+Motor+Run+Capacitor+15+MFD+370+Volt+Oval&amp;qid=1695173423&amp;sr=8-9")</f>
        <v>https://www.amazon.com/Packard-10-MFD-Motor-Capacitor/dp/B01KARDZTK/ref=sr_1_9?keywords=Packard+Titan+PRO+TOC15+Motor+Run+Capacitor+15+MFD+370+Volt+Oval&amp;qid=1695173423&amp;sr=8-9</v>
      </c>
      <c r="F867" t="s">
        <v>1683</v>
      </c>
      <c r="G867" t="e">
        <f ca="1">_xludf.IMAGE("https://edmondsonsupply.com/cdn/shop/products/TOC15-2.jpg?v=1633030141")</f>
        <v>#NAME?</v>
      </c>
      <c r="H867" t="e">
        <f ca="1">_xludf.IMAGE("https://m.media-amazon.com/images/I/715PjsYFipL._AC_UY218_.jpg")</f>
        <v>#NAME?</v>
      </c>
      <c r="I867" t="s">
        <v>1846</v>
      </c>
      <c r="J867">
        <v>7.84</v>
      </c>
      <c r="K867" s="4">
        <v>1.3264</v>
      </c>
      <c r="L867">
        <v>4.5</v>
      </c>
      <c r="M867">
        <v>38</v>
      </c>
      <c r="O867" t="s">
        <v>25</v>
      </c>
      <c r="P867" t="s">
        <v>138</v>
      </c>
      <c r="Q867" t="s">
        <v>1847</v>
      </c>
    </row>
    <row r="868" spans="1:17" ht="15.5" x14ac:dyDescent="0.35">
      <c r="A868" s="3" t="str">
        <f>HYPERLINK("https://edmondsonsupply.com/collections/hvac/products/viega-25001-1-2-x-1-2-megapressg-coupling-with-stop", "https://edmondsonsupply.com/collections/hvac/products/viega-25001-1-2-x-1-2-megapressg-coupling-with-stop")</f>
        <v>https://edmondsonsupply.com/collections/hvac/products/viega-25001-1-2-x-1-2-megapressg-coupling-with-stop</v>
      </c>
      <c r="B868" s="3" t="str">
        <f>HYPERLINK("https://edmondsonsupply.com/products/viega-25001-1-2-x-1-2-megapressg-coupling-with-stop", "https://edmondsonsupply.com/products/viega-25001-1-2-x-1-2-megapressg-coupling-with-stop")</f>
        <v>https://edmondsonsupply.com/products/viega-25001-1-2-x-1-2-megapressg-coupling-with-stop</v>
      </c>
      <c r="C868" t="s">
        <v>1809</v>
      </c>
      <c r="D868" t="s">
        <v>2204</v>
      </c>
      <c r="E868" s="3" t="str">
        <f>HYPERLINK("https://www.amazon.com/Propress-Viega-Couplings-Stop-78047/dp/B095Q1XVQX/ref=sr_1_9?keywords=viega+25001+1%2F2+x+1%2F2+megapress+coupling+with+stop&amp;qid=1695173716&amp;sr=8-9", "https://www.amazon.com/Propress-Viega-Couplings-Stop-78047/dp/B095Q1XVQX/ref=sr_1_9?keywords=viega+25001+1%2F2+x+1%2F2+megapress+coupling+with+stop&amp;qid=1695173716&amp;sr=8-9")</f>
        <v>https://www.amazon.com/Propress-Viega-Couplings-Stop-78047/dp/B095Q1XVQX/ref=sr_1_9?keywords=viega+25001+1%2F2+x+1%2F2+megapress+coupling+with+stop&amp;qid=1695173716&amp;sr=8-9</v>
      </c>
      <c r="F868" t="s">
        <v>2205</v>
      </c>
      <c r="G868" t="e">
        <f ca="1">_xludf.IMAGE("https://edmondsonsupply.com/cdn/shop/files/PPm6615.jpg?v=1692463277")</f>
        <v>#NAME?</v>
      </c>
      <c r="H868" t="e">
        <f ca="1">_xludf.IMAGE("https://m.media-amazon.com/images/I/31BO0W7n2iS._AC_UL320_.jpg")</f>
        <v>#NAME?</v>
      </c>
      <c r="I868" t="s">
        <v>1812</v>
      </c>
      <c r="J868">
        <v>27.04</v>
      </c>
      <c r="K868" s="4">
        <v>1.325</v>
      </c>
      <c r="L868">
        <v>5</v>
      </c>
      <c r="M868">
        <v>1</v>
      </c>
      <c r="O868" t="s">
        <v>25</v>
      </c>
      <c r="P868" t="s">
        <v>1813</v>
      </c>
      <c r="Q868" t="s">
        <v>1814</v>
      </c>
    </row>
    <row r="869" spans="1:17" ht="15.5" x14ac:dyDescent="0.35">
      <c r="A869" s="3" t="str">
        <f>HYPERLINK("https://edmondsonsupply.com/collections/hvac/products/jb-industries-p90009-1-4-replacement-o-ring-10-pack", "https://edmondsonsupply.com/collections/hvac/products/jb-industries-p90009-1-4-replacement-o-ring-10-pack")</f>
        <v>https://edmondsonsupply.com/collections/hvac/products/jb-industries-p90009-1-4-replacement-o-ring-10-pack</v>
      </c>
      <c r="B869" s="3" t="str">
        <f>HYPERLINK("https://edmondsonsupply.com/products/jb-industries-p90009-1-4-replacement-o-ring-10-pack", "https://edmondsonsupply.com/products/jb-industries-p90009-1-4-replacement-o-ring-10-pack")</f>
        <v>https://edmondsonsupply.com/products/jb-industries-p90009-1-4-replacement-o-ring-10-pack</v>
      </c>
      <c r="C869" t="s">
        <v>2206</v>
      </c>
      <c r="D869" t="s">
        <v>2207</v>
      </c>
      <c r="E869" s="3" t="str">
        <f>HYPERLINK("https://www.amazon.com/JB-Industries-P90009-Replacement-Ring/dp/B07SZ5BGHD/ref=sr_1_1?keywords=JB+Industries+P90009+1%2F4%22+Replacement+O-Ring%2C+10-Pack&amp;qid=1695173361&amp;sr=8-1", "https://www.amazon.com/JB-Industries-P90009-Replacement-Ring/dp/B07SZ5BGHD/ref=sr_1_1?keywords=JB+Industries+P90009+1%2F4%22+Replacement+O-Ring%2C+10-Pack&amp;qid=1695173361&amp;sr=8-1")</f>
        <v>https://www.amazon.com/JB-Industries-P90009-Replacement-Ring/dp/B07SZ5BGHD/ref=sr_1_1?keywords=JB+Industries+P90009+1%2F4%22+Replacement+O-Ring%2C+10-Pack&amp;qid=1695173361&amp;sr=8-1</v>
      </c>
      <c r="F869" t="s">
        <v>2208</v>
      </c>
      <c r="G869" t="e">
        <f ca="1">_xludf.IMAGE("https://edmondsonsupply.com/cdn/shop/products/p90009.jpg?v=1633030966")</f>
        <v>#NAME?</v>
      </c>
      <c r="H869" t="e">
        <f ca="1">_xludf.IMAGE("https://m.media-amazon.com/images/I/219yI0EPAeL._AC_UY218_.jpg")</f>
        <v>#NAME?</v>
      </c>
      <c r="I869" t="s">
        <v>2209</v>
      </c>
      <c r="J869">
        <v>9.99</v>
      </c>
      <c r="K869" s="4">
        <v>1.3179000000000001</v>
      </c>
      <c r="L869">
        <v>4.8</v>
      </c>
      <c r="M869">
        <v>7</v>
      </c>
      <c r="O869" t="s">
        <v>25</v>
      </c>
      <c r="P869" t="s">
        <v>2210</v>
      </c>
      <c r="Q869" t="s">
        <v>2211</v>
      </c>
    </row>
    <row r="870" spans="1:17" ht="15.5" x14ac:dyDescent="0.35">
      <c r="A870"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870" s="3" t="str">
        <f>HYPERLINK("https://edmondsonsupply.com/products/klein-tools-32314-14-in-1-precision-screwdriver-nut-driver", "https://edmondsonsupply.com/products/klein-tools-32314-14-in-1-precision-screwdriver-nut-driver")</f>
        <v>https://edmondsonsupply.com/products/klein-tools-32314-14-in-1-precision-screwdriver-nut-driver</v>
      </c>
      <c r="C870" t="s">
        <v>1999</v>
      </c>
      <c r="D870" t="s">
        <v>2212</v>
      </c>
      <c r="E870" s="3" t="str">
        <f>HYPERLINK("https://www.amazon.com/Klein-Tools-Ratcheting-Screwdriver-Tamperproof/dp/B09Y88M7X7/ref=sr_1_5?keywords=Klein+Tools+32314+14-in-1+Precision+Screwdriver%2F+Nut+Driver&amp;qid=1695173510&amp;sr=8-5", "https://www.amazon.com/Klein-Tools-Ratcheting-Screwdriver-Tamperproof/dp/B09Y88M7X7/ref=sr_1_5?keywords=Klein+Tools+32314+14-in-1+Precision+Screwdriver%2F+Nut+Driver&amp;qid=1695173510&amp;sr=8-5")</f>
        <v>https://www.amazon.com/Klein-Tools-Ratcheting-Screwdriver-Tamperproof/dp/B09Y88M7X7/ref=sr_1_5?keywords=Klein+Tools+32314+14-in-1+Precision+Screwdriver%2F+Nut+Driver&amp;qid=1695173510&amp;sr=8-5</v>
      </c>
      <c r="F870" t="s">
        <v>2213</v>
      </c>
      <c r="G870" t="e">
        <f ca="1">_xludf.IMAGE("https://edmondsonsupply.com/cdn/shop/products/32314.jpg?v=1646593726")</f>
        <v>#NAME?</v>
      </c>
      <c r="H870" t="e">
        <f ca="1">_xludf.IMAGE("https://m.media-amazon.com/images/I/41GYmy8nNDL._AC_UL320_.jpg")</f>
        <v>#NAME?</v>
      </c>
      <c r="I870" t="s">
        <v>143</v>
      </c>
      <c r="J870">
        <v>36.94</v>
      </c>
      <c r="K870" s="4">
        <v>1.3130999999999999</v>
      </c>
      <c r="L870">
        <v>4.7</v>
      </c>
      <c r="M870">
        <v>22</v>
      </c>
      <c r="O870" t="s">
        <v>25</v>
      </c>
      <c r="P870" t="s">
        <v>2002</v>
      </c>
      <c r="Q870" t="s">
        <v>2003</v>
      </c>
    </row>
    <row r="871" spans="1:17" ht="15.5" x14ac:dyDescent="0.35">
      <c r="A871" s="3" t="str">
        <f>HYPERLINK("https://edmondsonsupply.com/collections/hvac/products/packard-trcfd255-titan-pro-run-capacitor-25-5-mfd-440-370-volt-round", "https://edmondsonsupply.com/collections/hvac/products/packard-trcfd255-titan-pro-run-capacitor-25-5-mfd-440-370-volt-round")</f>
        <v>https://edmondsonsupply.com/collections/hvac/products/packard-trcfd255-titan-pro-run-capacitor-25-5-mfd-440-370-volt-round</v>
      </c>
      <c r="B871" s="3" t="str">
        <f>HYPERLINK("https://edmondsonsupply.com/products/packard-trcfd255-titan-pro-run-capacitor-25-5-mfd-440-370-volt-round", "https://edmondsonsupply.com/products/packard-trcfd255-titan-pro-run-capacitor-25-5-mfd-440-370-volt-round")</f>
        <v>https://edmondsonsupply.com/products/packard-trcfd255-titan-pro-run-capacitor-25-5-mfd-440-370-volt-round</v>
      </c>
      <c r="C871" t="s">
        <v>1864</v>
      </c>
      <c r="D871" t="s">
        <v>1457</v>
      </c>
      <c r="E871" s="3" t="str">
        <f>HYPERLINK("https://www.amazon.com/Packard-TOCFD255-Titan-Motor-Capacitor/dp/B009558O8G/ref=sr_1_5?keywords=Packard+TRCFD255+Titan+PRO+Run+Capacitor+25+5+MFD+440%2F370+Volt%2C+Round&amp;qid=1695173560&amp;sr=8-5", "https://www.amazon.com/Packard-TOCFD255-Titan-Motor-Capacitor/dp/B009558O8G/ref=sr_1_5?keywords=Packard+TRCFD255+Titan+PRO+Run+Capacitor+25+5+MFD+440%2F370+Volt%2C+Round&amp;qid=1695173560&amp;sr=8-5")</f>
        <v>https://www.amazon.com/Packard-TOCFD255-Titan-Motor-Capacitor/dp/B009558O8G/ref=sr_1_5?keywords=Packard+TRCFD255+Titan+PRO+Run+Capacitor+25+5+MFD+440%2F370+Volt%2C+Round&amp;qid=1695173560&amp;sr=8-5</v>
      </c>
      <c r="F871" t="s">
        <v>1458</v>
      </c>
      <c r="G871" t="e">
        <f ca="1">_xludf.IMAGE("https://edmondsonsupply.com/cdn/shop/products/TRCFD255-2.jpg?v=1587142300")</f>
        <v>#NAME?</v>
      </c>
      <c r="H871" t="e">
        <f ca="1">_xludf.IMAGE("https://m.media-amazon.com/images/I/51ZHG4pO0nL._AC_UY218_.jpg")</f>
        <v>#NAME?</v>
      </c>
      <c r="I871" t="s">
        <v>1867</v>
      </c>
      <c r="J871">
        <v>13.91</v>
      </c>
      <c r="K871" s="4">
        <v>1.3106</v>
      </c>
      <c r="L871">
        <v>4.5</v>
      </c>
      <c r="M871">
        <v>42</v>
      </c>
      <c r="O871" t="s">
        <v>25</v>
      </c>
      <c r="P871" t="s">
        <v>138</v>
      </c>
      <c r="Q871" t="s">
        <v>1868</v>
      </c>
    </row>
    <row r="872" spans="1:17" ht="15.5" x14ac:dyDescent="0.35">
      <c r="A872" s="3" t="str">
        <f>HYPERLINK("https://edmondsonsupply.com/collections/hvac/products/midwest-mwt-ss6716l-special-hardness-aviation-snip-left-cutting", "https://edmondsonsupply.com/collections/hvac/products/midwest-mwt-ss6716l-special-hardness-aviation-snip-left-cutting")</f>
        <v>https://edmondsonsupply.com/collections/hvac/products/midwest-mwt-ss6716l-special-hardness-aviation-snip-left-cutting</v>
      </c>
      <c r="B872" s="3" t="str">
        <f>HYPERLINK("https://edmondsonsupply.com/products/midwest-mwt-ss6716l-special-hardness-aviation-snip-left-cutting", "https://edmondsonsupply.com/products/midwest-mwt-ss6716l-special-hardness-aviation-snip-left-cutting")</f>
        <v>https://edmondsonsupply.com/products/midwest-mwt-ss6716l-special-hardness-aviation-snip-left-cutting</v>
      </c>
      <c r="C872" t="s">
        <v>1800</v>
      </c>
      <c r="D872" t="s">
        <v>193</v>
      </c>
      <c r="E872" s="3" t="str">
        <f>HYPERLINK("https://www.amazon.com/MIDWEST-Blackout-Aviation-Snip-KUSHN-POWER/dp/B00TJQL91U/ref=sr_1_5?keywords=Midwest+MWT-SS6716L+Special+Hardness+Aviation+Snip+-+Left-Cutting&amp;qid=1695173419&amp;sr=8-5", "https://www.amazon.com/MIDWEST-Blackout-Aviation-Snip-KUSHN-POWER/dp/B00TJQL91U/ref=sr_1_5?keywords=Midwest+MWT-SS6716L+Special+Hardness+Aviation+Snip+-+Left-Cutting&amp;qid=1695173419&amp;sr=8-5")</f>
        <v>https://www.amazon.com/MIDWEST-Blackout-Aviation-Snip-KUSHN-POWER/dp/B00TJQL91U/ref=sr_1_5?keywords=Midwest+MWT-SS6716L+Special+Hardness+Aviation+Snip+-+Left-Cutting&amp;qid=1695173419&amp;sr=8-5</v>
      </c>
      <c r="F872" t="s">
        <v>194</v>
      </c>
      <c r="G872" t="e">
        <f ca="1">_xludf.IMAGE("https://edmondsonsupply.com/cdn/shop/products/MWT-SS6716L1.jpg?v=1587151241")</f>
        <v>#NAME?</v>
      </c>
      <c r="H872" t="e">
        <f ca="1">_xludf.IMAGE("https://m.media-amazon.com/images/I/51OW3TahYsL._AC_UL320_.jpg")</f>
        <v>#NAME?</v>
      </c>
      <c r="I872" t="s">
        <v>1110</v>
      </c>
      <c r="J872">
        <v>58.88</v>
      </c>
      <c r="K872" s="4">
        <v>1.3099000000000001</v>
      </c>
      <c r="L872">
        <v>4.7</v>
      </c>
      <c r="M872">
        <v>1400</v>
      </c>
      <c r="O872" t="s">
        <v>25</v>
      </c>
      <c r="P872" t="s">
        <v>1770</v>
      </c>
      <c r="Q872" t="s">
        <v>1801</v>
      </c>
    </row>
    <row r="873" spans="1:17" ht="15.5" x14ac:dyDescent="0.35">
      <c r="A873" s="3" t="str">
        <f>HYPERLINK("https://edmondsonsupply.com/collections/hvac/products/packard-titan-pro-toc7-55-motor-run-capacitor-7-5-mfd-370-volt-oval", "https://edmondsonsupply.com/collections/hvac/products/packard-titan-pro-toc7-55-motor-run-capacitor-7-5-mfd-370-volt-oval")</f>
        <v>https://edmondsonsupply.com/collections/hvac/products/packard-titan-pro-toc7-55-motor-run-capacitor-7-5-mfd-370-volt-oval</v>
      </c>
      <c r="B873" s="3" t="str">
        <f>HYPERLINK("https://edmondsonsupply.com/products/packard-titan-pro-toc7-55-motor-run-capacitor-7-5-mfd-370-volt-oval", "https://edmondsonsupply.com/products/packard-titan-pro-toc7-55-motor-run-capacitor-7-5-mfd-370-volt-oval")</f>
        <v>https://edmondsonsupply.com/products/packard-titan-pro-toc7-55-motor-run-capacitor-7-5-mfd-370-volt-oval</v>
      </c>
      <c r="C873" t="s">
        <v>1631</v>
      </c>
      <c r="D873" t="s">
        <v>2214</v>
      </c>
      <c r="E873" s="3" t="str">
        <f>HYPERLINK("https://www.amazon.com/Packard-TOC7-5-Motor-Capacitor-Oval/dp/B01IUY5LS8/ref=sr_1_2?keywords=Packard+Titan+PRO+TOC7.5+Motor+Run+Capacitor+7.5+MFD+370+Volt+Oval&amp;qid=1695173359&amp;sr=8-2", "https://www.amazon.com/Packard-TOC7-5-Motor-Capacitor-Oval/dp/B01IUY5LS8/ref=sr_1_2?keywords=Packard+Titan+PRO+TOC7.5+Motor+Run+Capacitor+7.5+MFD+370+Volt+Oval&amp;qid=1695173359&amp;sr=8-2")</f>
        <v>https://www.amazon.com/Packard-TOC7-5-Motor-Capacitor-Oval/dp/B01IUY5LS8/ref=sr_1_2?keywords=Packard+Titan+PRO+TOC7.5+Motor+Run+Capacitor+7.5+MFD+370+Volt+Oval&amp;qid=1695173359&amp;sr=8-2</v>
      </c>
      <c r="F873" t="s">
        <v>2215</v>
      </c>
      <c r="G873" t="e">
        <f ca="1">_xludf.IMAGE("https://edmondsonsupply.com/cdn/shop/products/TOC7.5-2.jpg?v=1633030268")</f>
        <v>#NAME?</v>
      </c>
      <c r="H873" t="e">
        <f ca="1">_xludf.IMAGE("https://m.media-amazon.com/images/I/81WIaa2HqNL._AC_UY218_.jpg")</f>
        <v>#NAME?</v>
      </c>
      <c r="I873" t="s">
        <v>1634</v>
      </c>
      <c r="J873">
        <v>4.9800000000000004</v>
      </c>
      <c r="K873" s="4">
        <v>1.3056000000000001</v>
      </c>
      <c r="L873">
        <v>4.5</v>
      </c>
      <c r="M873">
        <v>118</v>
      </c>
      <c r="O873" t="s">
        <v>25</v>
      </c>
      <c r="P873" t="s">
        <v>138</v>
      </c>
      <c r="Q873" t="s">
        <v>1635</v>
      </c>
    </row>
    <row r="874" spans="1:17" ht="15.5" x14ac:dyDescent="0.35">
      <c r="A874"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874" s="3" t="str">
        <f>HYPERLINK("https://edmondsonsupply.com/products/packard-prmj189-motor-start-capacitor-189-227-mfd-330-vac", "https://edmondsonsupply.com/products/packard-prmj189-motor-start-capacitor-189-227-mfd-330-vac")</f>
        <v>https://edmondsonsupply.com/products/packard-prmj189-motor-start-capacitor-189-227-mfd-330-vac</v>
      </c>
      <c r="C874" t="s">
        <v>2216</v>
      </c>
      <c r="D874" t="s">
        <v>2217</v>
      </c>
      <c r="E874" s="3" t="str">
        <f>HYPERLINK("https://www.amazon.com/Packard-PSMJ189-Motor-Capacitor-189-227/dp/B0BH4H7WKH/ref=sr_1_10?keywords=Packard+PRMJ189+Motor+Start+Capacitor+189-227+MFD+330+VAC&amp;qid=1695173678&amp;sr=8-10", "https://www.amazon.com/Packard-PSMJ189-Motor-Capacitor-189-227/dp/B0BH4H7WKH/ref=sr_1_10?keywords=Packard+PRMJ189+Motor+Start+Capacitor+189-227+MFD+330+VAC&amp;qid=1695173678&amp;sr=8-10")</f>
        <v>https://www.amazon.com/Packard-PSMJ189-Motor-Capacitor-189-227/dp/B0BH4H7WKH/ref=sr_1_10?keywords=Packard+PRMJ189+Motor+Start+Capacitor+189-227+MFD+330+VAC&amp;qid=1695173678&amp;sr=8-10</v>
      </c>
      <c r="F874" t="s">
        <v>2218</v>
      </c>
      <c r="G874" t="e">
        <f ca="1">_xludf.IMAGE("https://edmondsonsupply.com/cdn/shop/products/PRMJ189-2.jpg?v=1663378512")</f>
        <v>#NAME?</v>
      </c>
      <c r="H874" t="e">
        <f ca="1">_xludf.IMAGE("https://m.media-amazon.com/images/I/41tyQQsUERL._AC_UY218_.jpg")</f>
        <v>#NAME?</v>
      </c>
      <c r="I874" t="s">
        <v>2219</v>
      </c>
      <c r="J874">
        <v>19.8</v>
      </c>
      <c r="K874" s="4">
        <v>1.3049999999999999</v>
      </c>
      <c r="L874">
        <v>5</v>
      </c>
      <c r="M874">
        <v>1</v>
      </c>
      <c r="O874" t="s">
        <v>25</v>
      </c>
      <c r="P874" t="s">
        <v>138</v>
      </c>
      <c r="Q874" t="s">
        <v>2220</v>
      </c>
    </row>
    <row r="875" spans="1:17" ht="15.5" x14ac:dyDescent="0.35">
      <c r="A875" s="3" t="str">
        <f>HYPERLINK("https://edmondsonsupply.com/collections/hvac/products/klein-tools-94130-1000v-insulated-tool-kit-5-piece", "https://edmondsonsupply.com/collections/hvac/products/klein-tools-94130-1000v-insulated-tool-kit-5-piece")</f>
        <v>https://edmondsonsupply.com/collections/hvac/products/klein-tools-94130-1000v-insulated-tool-kit-5-piece</v>
      </c>
      <c r="B875" s="3" t="str">
        <f>HYPERLINK("https://edmondsonsupply.com/products/klein-tools-94130-1000v-insulated-tool-kit-5-piece", "https://edmondsonsupply.com/products/klein-tools-94130-1000v-insulated-tool-kit-5-piece")</f>
        <v>https://edmondsonsupply.com/products/klein-tools-94130-1000v-insulated-tool-kit-5-piece</v>
      </c>
      <c r="C875" t="s">
        <v>2221</v>
      </c>
      <c r="D875" t="s">
        <v>2222</v>
      </c>
      <c r="E875" s="3" t="str">
        <f>HYPERLINK("https://www.amazon.com/Insulated-9-Piece-Klein-Tools-33524/dp/B000MKIR9E/ref=sr_1_1?keywords=Klein+Tools+94130+1000V+Insulated+Tool+Kit%2C+5-Piece&amp;qid=1695173544&amp;sr=8-1", "https://www.amazon.com/Insulated-9-Piece-Klein-Tools-33524/dp/B000MKIR9E/ref=sr_1_1?keywords=Klein+Tools+94130+1000V+Insulated+Tool+Kit%2C+5-Piece&amp;qid=1695173544&amp;sr=8-1")</f>
        <v>https://www.amazon.com/Insulated-9-Piece-Klein-Tools-33524/dp/B000MKIR9E/ref=sr_1_1?keywords=Klein+Tools+94130+1000V+Insulated+Tool+Kit%2C+5-Piece&amp;qid=1695173544&amp;sr=8-1</v>
      </c>
      <c r="F875" t="s">
        <v>2223</v>
      </c>
      <c r="G875" t="e">
        <f ca="1">_xludf.IMAGE("https://edmondsonsupply.com/cdn/shop/products/94130.jpg?v=1633030386")</f>
        <v>#NAME?</v>
      </c>
      <c r="H875" t="e">
        <f ca="1">_xludf.IMAGE("https://m.media-amazon.com/images/I/71+Db525CfL._AC_UL320_.jpg")</f>
        <v>#NAME?</v>
      </c>
      <c r="I875" t="s">
        <v>2224</v>
      </c>
      <c r="J875">
        <v>229.49</v>
      </c>
      <c r="K875" s="4">
        <v>1.2950999999999999</v>
      </c>
      <c r="L875">
        <v>4.4000000000000004</v>
      </c>
      <c r="M875">
        <v>26</v>
      </c>
      <c r="O875" t="s">
        <v>25</v>
      </c>
      <c r="P875" t="s">
        <v>2225</v>
      </c>
      <c r="Q875" t="s">
        <v>2226</v>
      </c>
    </row>
    <row r="876" spans="1:17" ht="15.5" x14ac:dyDescent="0.35">
      <c r="A876" s="3" t="str">
        <f>HYPERLINK("https://edmondsonsupply.com/collections/hvac/products/milwaukee-48-22-8432-packout%E2%84%A2-deep-organizer", "https://edmondsonsupply.com/collections/hvac/products/milwaukee-48-22-8432-packout%E2%84%A2-deep-organizer")</f>
        <v>https://edmondsonsupply.com/collections/hvac/products/milwaukee-48-22-8432-packout%E2%84%A2-deep-organizer</v>
      </c>
      <c r="B876" s="3" t="str">
        <f>HYPERLINK("https://edmondsonsupply.com/products/milwaukee-48-22-8432-packout%e2%84%a2-deep-organizer", "https://edmondsonsupply.com/products/milwaukee-48-22-8432-packout%e2%84%a2-deep-organizer")</f>
        <v>https://edmondsonsupply.com/products/milwaukee-48-22-8432-packout%e2%84%a2-deep-organizer</v>
      </c>
      <c r="C876" t="s">
        <v>302</v>
      </c>
      <c r="D876" t="s">
        <v>303</v>
      </c>
      <c r="E876" s="3" t="str">
        <f>HYPERLINK("https://www.amazon.com/48-22-8432-Milwaukee-Organizer-protection-Reinforced/dp/B0BRN4YDFR/ref=sr_1_7?keywords=Milwaukee+48-22-8432+PACKOUT%E2%84%A2+Deep+Organizer&amp;qid=1695173765&amp;sr=8-7", "https://www.amazon.com/48-22-8432-Milwaukee-Organizer-protection-Reinforced/dp/B0BRN4YDFR/ref=sr_1_7?keywords=Milwaukee+48-22-8432+PACKOUT%E2%84%A2+Deep+Organizer&amp;qid=1695173765&amp;sr=8-7")</f>
        <v>https://www.amazon.com/48-22-8432-Milwaukee-Organizer-protection-Reinforced/dp/B0BRN4YDFR/ref=sr_1_7?keywords=Milwaukee+48-22-8432+PACKOUT%E2%84%A2+Deep+Organizer&amp;qid=1695173765&amp;sr=8-7</v>
      </c>
      <c r="F876" t="s">
        <v>304</v>
      </c>
      <c r="G876" t="e">
        <f ca="1">_xludf.IMAGE("https://edmondsonsupply.com/cdn/shop/files/48-22-8432_1.webp?v=1686667970")</f>
        <v>#NAME?</v>
      </c>
      <c r="H876" t="e">
        <f ca="1">_xludf.IMAGE("https://m.media-amazon.com/images/I/71mouQmhBZL._AC_UL320_.jpg")</f>
        <v>#NAME?</v>
      </c>
      <c r="I876" t="s">
        <v>305</v>
      </c>
      <c r="J876">
        <v>148.9</v>
      </c>
      <c r="K876" s="4">
        <v>1.2918000000000001</v>
      </c>
      <c r="L876">
        <v>5</v>
      </c>
      <c r="M876">
        <v>5</v>
      </c>
      <c r="O876" t="s">
        <v>171</v>
      </c>
      <c r="P876" t="s">
        <v>306</v>
      </c>
      <c r="Q876" t="s">
        <v>307</v>
      </c>
    </row>
    <row r="877" spans="1:17" ht="15.5" x14ac:dyDescent="0.35">
      <c r="A877"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877" s="3" t="str">
        <f>HYPERLINK("https://edmondsonsupply.com/products/packard-prmj145a-motor-start-capacitor-145-174-mfd", "https://edmondsonsupply.com/products/packard-prmj145a-motor-start-capacitor-145-174-mfd")</f>
        <v>https://edmondsonsupply.com/products/packard-prmj145a-motor-start-capacitor-145-174-mfd</v>
      </c>
      <c r="C877" t="s">
        <v>2227</v>
      </c>
      <c r="D877" t="s">
        <v>2228</v>
      </c>
      <c r="E877" s="3" t="str">
        <f>HYPERLINK("https://www.amazon.com/Motor-Start-Capacitor-110-125-145-174/dp/B01MR4WQRM/ref=sr_1_4?keywords=Packard+PRMJ145A+Motor+Start+Capacitor+145-174+MFD&amp;qid=1695173645&amp;sr=8-4", "https://www.amazon.com/Motor-Start-Capacitor-110-125-145-174/dp/B01MR4WQRM/ref=sr_1_4?keywords=Packard+PRMJ145A+Motor+Start+Capacitor+145-174+MFD&amp;qid=1695173645&amp;sr=8-4")</f>
        <v>https://www.amazon.com/Motor-Start-Capacitor-110-125-145-174/dp/B01MR4WQRM/ref=sr_1_4?keywords=Packard+PRMJ145A+Motor+Start+Capacitor+145-174+MFD&amp;qid=1695173645&amp;sr=8-4</v>
      </c>
      <c r="F877" t="s">
        <v>2229</v>
      </c>
      <c r="G877" t="e">
        <f ca="1">_xludf.IMAGE("https://edmondsonsupply.com/cdn/shop/products/PRMJ145A-2.jpg?v=1633030335")</f>
        <v>#NAME?</v>
      </c>
      <c r="H877" t="e">
        <f ca="1">_xludf.IMAGE("https://m.media-amazon.com/images/I/21-n9CuvX0L._AC_UY218_.jpg")</f>
        <v>#NAME?</v>
      </c>
      <c r="I877" t="s">
        <v>2230</v>
      </c>
      <c r="J877">
        <v>17.18</v>
      </c>
      <c r="K877" s="4">
        <v>1.2876000000000001</v>
      </c>
      <c r="L877">
        <v>3.9</v>
      </c>
      <c r="M877">
        <v>2</v>
      </c>
      <c r="O877" t="s">
        <v>25</v>
      </c>
      <c r="P877" t="s">
        <v>138</v>
      </c>
      <c r="Q877" t="s">
        <v>2231</v>
      </c>
    </row>
    <row r="878" spans="1:17" ht="15.5" x14ac:dyDescent="0.35">
      <c r="A878" s="3" t="str">
        <f>HYPERLINK("https://edmondsonsupply.com/collections/hvac/products/packard-pmj708-motor-start-capacitor-708-850-mfd-110-125-vac", "https://edmondsonsupply.com/collections/hvac/products/packard-pmj708-motor-start-capacitor-708-850-mfd-110-125-vac")</f>
        <v>https://edmondsonsupply.com/collections/hvac/products/packard-pmj708-motor-start-capacitor-708-850-mfd-110-125-vac</v>
      </c>
      <c r="B878" s="3" t="str">
        <f>HYPERLINK("https://edmondsonsupply.com/products/packard-pmj708-motor-start-capacitor-708-850-mfd-110-125-vac", "https://edmondsonsupply.com/products/packard-pmj708-motor-start-capacitor-708-850-mfd-110-125-vac")</f>
        <v>https://edmondsonsupply.com/products/packard-pmj708-motor-start-capacitor-708-850-mfd-110-125-vac</v>
      </c>
      <c r="C878" t="s">
        <v>2130</v>
      </c>
      <c r="D878" t="s">
        <v>2232</v>
      </c>
      <c r="E878" s="3" t="str">
        <f>HYPERLINK("https://www.amazon.com/TEMCo-Capacitor-SC0044-708-850-110-125-Electric/dp/B00EQHE9TQ/ref=sr_1_10?keywords=Packard+PMJ708+Motor+Start+Capacitor+708-850+MFD+110-125+VAC&amp;qid=1695173647&amp;sr=8-10", "https://www.amazon.com/TEMCo-Capacitor-SC0044-708-850-110-125-Electric/dp/B00EQHE9TQ/ref=sr_1_10?keywords=Packard+PMJ708+Motor+Start+Capacitor+708-850+MFD+110-125+VAC&amp;qid=1695173647&amp;sr=8-10")</f>
        <v>https://www.amazon.com/TEMCo-Capacitor-SC0044-708-850-110-125-Electric/dp/B00EQHE9TQ/ref=sr_1_10?keywords=Packard+PMJ708+Motor+Start+Capacitor+708-850+MFD+110-125+VAC&amp;qid=1695173647&amp;sr=8-10</v>
      </c>
      <c r="F878" t="s">
        <v>2233</v>
      </c>
      <c r="G878" t="e">
        <f ca="1">_xludf.IMAGE("https://edmondsonsupply.com/cdn/shop/products/PMJ708-2.jpg?v=1633030334")</f>
        <v>#NAME?</v>
      </c>
      <c r="H878" t="e">
        <f ca="1">_xludf.IMAGE("https://m.media-amazon.com/images/I/61TNzfABxwL._AC_UY218_.jpg")</f>
        <v>#NAME?</v>
      </c>
      <c r="I878" t="s">
        <v>2133</v>
      </c>
      <c r="J878">
        <v>15.45</v>
      </c>
      <c r="K878" s="4">
        <v>1.2855000000000001</v>
      </c>
      <c r="L878">
        <v>4.0999999999999996</v>
      </c>
      <c r="M878">
        <v>34</v>
      </c>
      <c r="O878" t="s">
        <v>25</v>
      </c>
      <c r="P878" t="s">
        <v>138</v>
      </c>
      <c r="Q878" t="s">
        <v>2134</v>
      </c>
    </row>
    <row r="879" spans="1:17" ht="15.5" x14ac:dyDescent="0.35">
      <c r="A879" s="3" t="str">
        <f>HYPERLINK("https://edmondsonsupply.com/collections/hvac/products/icm-controls-icm102f-delay-on-make-timer-with-03-10-minute-adjustable-time-delay-universal-18-240-vac-6-wire-leads", "https://edmondsonsupply.com/collections/hvac/products/icm-controls-icm102f-delay-on-make-timer-with-03-10-minute-adjustable-time-delay-universal-18-240-vac-6-wire-leads")</f>
        <v>https://edmondsonsupply.com/collections/hvac/products/icm-controls-icm102f-delay-on-make-timer-with-03-10-minute-adjustable-time-delay-universal-18-240-vac-6-wire-leads</v>
      </c>
      <c r="B879" s="3" t="str">
        <f>HYPERLINK("https://edmondsonsupply.com/products/icm-controls-icm102f-delay-on-make-timer-with-03-10-minute-adjustable-time-delay-universal-18-240-vac-6-wire-leads", "https://edmondsonsupply.com/products/icm-controls-icm102f-delay-on-make-timer-with-03-10-minute-adjustable-time-delay-universal-18-240-vac-6-wire-leads")</f>
        <v>https://edmondsonsupply.com/products/icm-controls-icm102f-delay-on-make-timer-with-03-10-minute-adjustable-time-delay-universal-18-240-vac-6-wire-leads</v>
      </c>
      <c r="C879" t="s">
        <v>2234</v>
      </c>
      <c r="D879" t="s">
        <v>2235</v>
      </c>
      <c r="E879" s="3" t="str">
        <f>HYPERLINK("https://www.amazon.com/ICM-Controls-ICM105-Adjustable-Universal/dp/B00441XZXK/ref=sr_1_1?keywords=ICM+Controls+ICM102F+Delay+on+Make+Timer+with+.03-10+Minute+Adjustable+Time+Delay%2C+Universal+18-240+VAC%2C+6%22+Wire+Leads&amp;qid=1695173355&amp;sr=8-1", "https://www.amazon.com/ICM-Controls-ICM105-Adjustable-Universal/dp/B00441XZXK/ref=sr_1_1?keywords=ICM+Controls+ICM102F+Delay+on+Make+Timer+with+.03-10+Minute+Adjustable+Time+Delay%2C+Universal+18-240+VAC%2C+6%22+Wire+Leads&amp;qid=1695173355&amp;sr=8-1")</f>
        <v>https://www.amazon.com/ICM-Controls-ICM105-Adjustable-Universal/dp/B00441XZXK/ref=sr_1_1?keywords=ICM+Controls+ICM102F+Delay+on+Make+Timer+with+.03-10+Minute+Adjustable+Time+Delay%2C+Universal+18-240+VAC%2C+6%22+Wire+Leads&amp;qid=1695173355&amp;sr=8-1</v>
      </c>
      <c r="F879" t="s">
        <v>2236</v>
      </c>
      <c r="G879" t="e">
        <f ca="1">_xludf.IMAGE("https://edmondsonsupply.com/cdn/shop/products/photo_3545_medium_d329bffe-3d22-4bac-b354-b39ca1a8ae18.png?v=1633030882")</f>
        <v>#NAME?</v>
      </c>
      <c r="H879" t="e">
        <f ca="1">_xludf.IMAGE("https://m.media-amazon.com/images/I/61Fd+ZYvG1L._AC_UL320_.jpg")</f>
        <v>#NAME?</v>
      </c>
      <c r="I879" t="s">
        <v>276</v>
      </c>
      <c r="J879">
        <v>34.25</v>
      </c>
      <c r="K879" s="4">
        <v>1.2848999999999999</v>
      </c>
      <c r="L879">
        <v>4.3</v>
      </c>
      <c r="M879">
        <v>4</v>
      </c>
      <c r="O879" t="s">
        <v>25</v>
      </c>
      <c r="P879" t="s">
        <v>2237</v>
      </c>
      <c r="Q879" t="s">
        <v>2238</v>
      </c>
    </row>
    <row r="880" spans="1:17" ht="15.5" x14ac:dyDescent="0.35">
      <c r="A880" s="3" t="str">
        <f>HYPERLINK("https://edmondsonsupply.com/collections/hvac/products/icm-controls-icm102-delay-on-make-timer-with-03-10-minute-adjustable-time-delay-universal-18-240-vac", "https://edmondsonsupply.com/collections/hvac/products/icm-controls-icm102-delay-on-make-timer-with-03-10-minute-adjustable-time-delay-universal-18-240-vac")</f>
        <v>https://edmondsonsupply.com/collections/hvac/products/icm-controls-icm102-delay-on-make-timer-with-03-10-minute-adjustable-time-delay-universal-18-240-vac</v>
      </c>
      <c r="B880" s="3" t="str">
        <f>HYPERLINK("https://edmondsonsupply.com/products/icm-controls-icm102-delay-on-make-timer-with-03-10-minute-adjustable-time-delay-universal-18-240-vac", "https://edmondsonsupply.com/products/icm-controls-icm102-delay-on-make-timer-with-03-10-minute-adjustable-time-delay-universal-18-240-vac")</f>
        <v>https://edmondsonsupply.com/products/icm-controls-icm102-delay-on-make-timer-with-03-10-minute-adjustable-time-delay-universal-18-240-vac</v>
      </c>
      <c r="C880" t="s">
        <v>2239</v>
      </c>
      <c r="D880" t="s">
        <v>2235</v>
      </c>
      <c r="E880" s="3" t="str">
        <f>HYPERLINK("https://www.amazon.com/ICM-Controls-ICM105-Adjustable-Universal/dp/B00441XZXK/ref=sr_1_1?keywords=ICM+Controls+ICM102+Delay+on+Make+Timer+with+.03-10+Minute+Adjustable+Time+Delay%2C+Universal+18-240+VAC&amp;qid=1695173329&amp;sr=8-1", "https://www.amazon.com/ICM-Controls-ICM105-Adjustable-Universal/dp/B00441XZXK/ref=sr_1_1?keywords=ICM+Controls+ICM102+Delay+on+Make+Timer+with+.03-10+Minute+Adjustable+Time+Delay%2C+Universal+18-240+VAC&amp;qid=1695173329&amp;sr=8-1")</f>
        <v>https://www.amazon.com/ICM-Controls-ICM105-Adjustable-Universal/dp/B00441XZXK/ref=sr_1_1?keywords=ICM+Controls+ICM102+Delay+on+Make+Timer+with+.03-10+Minute+Adjustable+Time+Delay%2C+Universal+18-240+VAC&amp;qid=1695173329&amp;sr=8-1</v>
      </c>
      <c r="F880" t="s">
        <v>2236</v>
      </c>
      <c r="G880" t="e">
        <f ca="1">_xludf.IMAGE("https://edmondsonsupply.com/cdn/shop/products/icm102.jpg?v=1623528226")</f>
        <v>#NAME?</v>
      </c>
      <c r="H880" t="e">
        <f ca="1">_xludf.IMAGE("https://m.media-amazon.com/images/I/61Fd+ZYvG1L._AC_UL320_.jpg")</f>
        <v>#NAME?</v>
      </c>
      <c r="I880" t="s">
        <v>276</v>
      </c>
      <c r="J880">
        <v>34.25</v>
      </c>
      <c r="K880" s="4">
        <v>1.2848999999999999</v>
      </c>
      <c r="L880">
        <v>4.3</v>
      </c>
      <c r="M880">
        <v>4</v>
      </c>
      <c r="O880" t="s">
        <v>25</v>
      </c>
      <c r="P880" t="s">
        <v>2240</v>
      </c>
      <c r="Q880" t="s">
        <v>2241</v>
      </c>
    </row>
    <row r="881" spans="1:17" ht="15.5" x14ac:dyDescent="0.35">
      <c r="A881"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881" s="3" t="str">
        <f>HYPERLINK("https://edmondsonsupply.com/products/packard-ttmj108-motor-start-capacitor-108-130-mfd-220-250-vac", "https://edmondsonsupply.com/products/packard-ttmj108-motor-start-capacitor-108-130-mfd-220-250-vac")</f>
        <v>https://edmondsonsupply.com/products/packard-ttmj108-motor-start-capacitor-108-130-mfd-220-250-vac</v>
      </c>
      <c r="C881" t="s">
        <v>1473</v>
      </c>
      <c r="D881" t="s">
        <v>2242</v>
      </c>
      <c r="E881" s="3" t="str">
        <f>HYPERLINK("https://www.amazon.com/Canamax-Premium-220-250VAC-Capacitor-Electric/dp/B0B253ZNKF/ref=sr_1_10?keywords=Packard+TTMJ108+Motor+Start+Capacitor+108-130+MFD+220-250+VAC&amp;qid=1695173723&amp;sr=8-10", "https://www.amazon.com/Canamax-Premium-220-250VAC-Capacitor-Electric/dp/B0B253ZNKF/ref=sr_1_10?keywords=Packard+TTMJ108+Motor+Start+Capacitor+108-130+MFD+220-250+VAC&amp;qid=1695173723&amp;sr=8-10")</f>
        <v>https://www.amazon.com/Canamax-Premium-220-250VAC-Capacitor-Electric/dp/B0B253ZNKF/ref=sr_1_10?keywords=Packard+TTMJ108+Motor+Start+Capacitor+108-130+MFD+220-250+VAC&amp;qid=1695173723&amp;sr=8-10</v>
      </c>
      <c r="F881" t="s">
        <v>2243</v>
      </c>
      <c r="G881" t="e">
        <f ca="1">_xludf.IMAGE("https://edmondsonsupply.com/cdn/shop/files/PTMJ108-2_c3537879-2bfc-401f-867d-9ee4aaa5c4bb.jpg?v=1692220228")</f>
        <v>#NAME?</v>
      </c>
      <c r="H881" t="e">
        <f ca="1">_xludf.IMAGE("https://m.media-amazon.com/images/I/81vDEmTyXNL._AC_UY218_.jpg")</f>
        <v>#NAME?</v>
      </c>
      <c r="I881" t="s">
        <v>1476</v>
      </c>
      <c r="J881">
        <v>9.99</v>
      </c>
      <c r="K881" s="4">
        <v>1.2756000000000001</v>
      </c>
      <c r="L881">
        <v>5</v>
      </c>
      <c r="M881">
        <v>2</v>
      </c>
      <c r="O881" t="s">
        <v>25</v>
      </c>
      <c r="P881" t="s">
        <v>138</v>
      </c>
      <c r="Q881" t="s">
        <v>1477</v>
      </c>
    </row>
    <row r="882" spans="1:17" ht="15.5" x14ac:dyDescent="0.35">
      <c r="A882" s="3" t="str">
        <f>HYPERLINK("https://edmondsonsupply.com/collections/hvac/products/klein-tools-85073ins-screwdriver-set-1000v-insulated-3-piece", "https://edmondsonsupply.com/collections/hvac/products/klein-tools-85073ins-screwdriver-set-1000v-insulated-3-piece")</f>
        <v>https://edmondsonsupply.com/collections/hvac/products/klein-tools-85073ins-screwdriver-set-1000v-insulated-3-piece</v>
      </c>
      <c r="B882"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882" t="s">
        <v>2244</v>
      </c>
      <c r="D882" t="s">
        <v>2245</v>
      </c>
      <c r="E882" s="3" t="str">
        <f>HYPERLINK("https://www.amazon.com/Klein-Tools-33736INS-Screwdriver-Magnetizer/dp/B09GPZPMTD/ref=sr_1_4?keywords=Klein+Tools+85073INS+Screwdriver+Set%2C+1000V+Insulated%2C+3-Piece&amp;qid=1695173458&amp;sr=8-4", "https://www.amazon.com/Klein-Tools-33736INS-Screwdriver-Magnetizer/dp/B09GPZPMTD/ref=sr_1_4?keywords=Klein+Tools+85073INS+Screwdriver+Set%2C+1000V+Insulated%2C+3-Piece&amp;qid=1695173458&amp;sr=8-4")</f>
        <v>https://www.amazon.com/Klein-Tools-33736INS-Screwdriver-Magnetizer/dp/B09GPZPMTD/ref=sr_1_4?keywords=Klein+Tools+85073INS+Screwdriver+Set%2C+1000V+Insulated%2C+3-Piece&amp;qid=1695173458&amp;sr=8-4</v>
      </c>
      <c r="F882" t="s">
        <v>2246</v>
      </c>
      <c r="G882" t="e">
        <f ca="1">_xludf.IMAGE("https://edmondsonsupply.com/cdn/shop/products/85073ins.jpg?v=1664890503")</f>
        <v>#NAME?</v>
      </c>
      <c r="H882" t="e">
        <f ca="1">_xludf.IMAGE("https://m.media-amazon.com/images/I/51W2DUA3c7L._AC_UL320_.jpg")</f>
        <v>#NAME?</v>
      </c>
      <c r="I882" t="s">
        <v>2247</v>
      </c>
      <c r="J882">
        <v>49.99</v>
      </c>
      <c r="K882" s="4">
        <v>1.2754000000000001</v>
      </c>
      <c r="L882">
        <v>4.8</v>
      </c>
      <c r="M882">
        <v>419</v>
      </c>
      <c r="O882" t="s">
        <v>25</v>
      </c>
      <c r="P882" t="s">
        <v>2158</v>
      </c>
      <c r="Q882" t="s">
        <v>2248</v>
      </c>
    </row>
    <row r="883" spans="1:17" ht="15.5" x14ac:dyDescent="0.35">
      <c r="A883" s="3" t="str">
        <f>HYPERLINK("https://edmondsonsupply.com/collections/hvac/products/robertshaw-802-electric-heat-line-voltage-thermostat-dpst", "https://edmondsonsupply.com/collections/hvac/products/robertshaw-802-electric-heat-line-voltage-thermostat-dpst")</f>
        <v>https://edmondsonsupply.com/collections/hvac/products/robertshaw-802-electric-heat-line-voltage-thermostat-dpst</v>
      </c>
      <c r="B883" s="3" t="str">
        <f>HYPERLINK("https://edmondsonsupply.com/products/robertshaw-802-electric-heat-line-voltage-thermostat-dpst", "https://edmondsonsupply.com/products/robertshaw-802-electric-heat-line-voltage-thermostat-dpst")</f>
        <v>https://edmondsonsupply.com/products/robertshaw-802-electric-heat-line-voltage-thermostat-dpst</v>
      </c>
      <c r="C883" t="s">
        <v>2249</v>
      </c>
      <c r="D883" t="s">
        <v>2250</v>
      </c>
      <c r="E883" s="3" t="str">
        <f>HYPERLINK("https://www.amazon.com/Robertshaw-802-Line-Voltage-Thermostat/dp/B08WYMZ861/ref=sr_1_1?keywords=Robertshaw+802+Electric+Heat+Line+Voltage+Thermostat%2C+DPST&amp;qid=1695173530&amp;sr=8-1", "https://www.amazon.com/Robertshaw-802-Line-Voltage-Thermostat/dp/B08WYMZ861/ref=sr_1_1?keywords=Robertshaw+802+Electric+Heat+Line+Voltage+Thermostat%2C+DPST&amp;qid=1695173530&amp;sr=8-1")</f>
        <v>https://www.amazon.com/Robertshaw-802-Line-Voltage-Thermostat/dp/B08WYMZ861/ref=sr_1_1?keywords=Robertshaw+802+Electric+Heat+Line+Voltage+Thermostat%2C+DPST&amp;qid=1695173530&amp;sr=8-1</v>
      </c>
      <c r="F883" t="s">
        <v>2251</v>
      </c>
      <c r="G883" t="e">
        <f ca="1">_xludf.IMAGE("https://edmondsonsupply.com/cdn/shop/products/802.jpg?v=1633030794")</f>
        <v>#NAME?</v>
      </c>
      <c r="H883" t="e">
        <f ca="1">_xludf.IMAGE("https://m.media-amazon.com/images/I/61AsMCqUbQL._AC_UL320_.jpg")</f>
        <v>#NAME?</v>
      </c>
      <c r="I883" t="s">
        <v>2252</v>
      </c>
      <c r="J883">
        <v>34.950000000000003</v>
      </c>
      <c r="K883" s="4">
        <v>1.2739</v>
      </c>
      <c r="L883">
        <v>3.7</v>
      </c>
      <c r="M883">
        <v>11</v>
      </c>
      <c r="O883" t="s">
        <v>25</v>
      </c>
      <c r="P883" t="s">
        <v>138</v>
      </c>
      <c r="Q883" t="s">
        <v>2253</v>
      </c>
    </row>
    <row r="884" spans="1:17" ht="15.5" x14ac:dyDescent="0.35">
      <c r="A884" s="3" t="str">
        <f>HYPERLINK("https://edmondsonsupply.com/collections/hvac/products/white-rodgers-90-340-switching-fan-relay-dpdt-24v", "https://edmondsonsupply.com/collections/hvac/products/white-rodgers-90-340-switching-fan-relay-dpdt-24v")</f>
        <v>https://edmondsonsupply.com/collections/hvac/products/white-rodgers-90-340-switching-fan-relay-dpdt-24v</v>
      </c>
      <c r="B884" s="3" t="str">
        <f>HYPERLINK("https://edmondsonsupply.com/products/white-rodgers-90-340-switching-fan-relay-dpdt-24v", "https://edmondsonsupply.com/products/white-rodgers-90-340-switching-fan-relay-dpdt-24v")</f>
        <v>https://edmondsonsupply.com/products/white-rodgers-90-340-switching-fan-relay-dpdt-24v</v>
      </c>
      <c r="C884" t="s">
        <v>2254</v>
      </c>
      <c r="D884" t="s">
        <v>2255</v>
      </c>
      <c r="E884" s="3" t="str">
        <f>HYPERLINK("https://www.amazon.com/JARD-Replacement-Blower-Fan-Relay/dp/B07NF4JCKN/ref=sr_1_2?keywords=White+Rodgers+90-340+Switching+Fan+Relay%2C+DPDT%2C+24V&amp;qid=1695173476&amp;sr=8-2", "https://www.amazon.com/JARD-Replacement-Blower-Fan-Relay/dp/B07NF4JCKN/ref=sr_1_2?keywords=White+Rodgers+90-340+Switching+Fan+Relay%2C+DPDT%2C+24V&amp;qid=1695173476&amp;sr=8-2")</f>
        <v>https://www.amazon.com/JARD-Replacement-Blower-Fan-Relay/dp/B07NF4JCKN/ref=sr_1_2?keywords=White+Rodgers+90-340+Switching+Fan+Relay%2C+DPDT%2C+24V&amp;qid=1695173476&amp;sr=8-2</v>
      </c>
      <c r="F884" t="s">
        <v>2256</v>
      </c>
      <c r="G884" t="e">
        <f ca="1">_xludf.IMAGE("https://edmondsonsupply.com/cdn/shop/products/90-340-r01-c22.jpg?v=1633030880")</f>
        <v>#NAME?</v>
      </c>
      <c r="H884" t="e">
        <f ca="1">_xludf.IMAGE("https://m.media-amazon.com/images/I/513Ebmh7nWL._AC_UY218_.jpg")</f>
        <v>#NAME?</v>
      </c>
      <c r="I884" t="s">
        <v>2257</v>
      </c>
      <c r="J884">
        <v>19.95</v>
      </c>
      <c r="K884" s="4">
        <v>1.2722</v>
      </c>
      <c r="L884">
        <v>5</v>
      </c>
      <c r="M884">
        <v>2</v>
      </c>
      <c r="O884" t="s">
        <v>25</v>
      </c>
      <c r="P884" t="s">
        <v>2258</v>
      </c>
      <c r="Q884" t="s">
        <v>2259</v>
      </c>
    </row>
    <row r="885" spans="1:17" ht="15.5" x14ac:dyDescent="0.35">
      <c r="A885" s="3" t="str">
        <f>HYPERLINK("https://edmondsonsupply.com/collections/hvac/products/inficon-d-tek-3", "https://edmondsonsupply.com/collections/hvac/products/inficon-d-tek-3")</f>
        <v>https://edmondsonsupply.com/collections/hvac/products/inficon-d-tek-3</v>
      </c>
      <c r="B885" s="3" t="str">
        <f>HYPERLINK("https://edmondsonsupply.com/products/inficon-d-tek-3", "https://edmondsonsupply.com/products/inficon-d-tek-3")</f>
        <v>https://edmondsonsupply.com/products/inficon-d-tek-3</v>
      </c>
      <c r="C885" t="s">
        <v>2260</v>
      </c>
      <c r="D885" t="s">
        <v>2261</v>
      </c>
      <c r="E885" s="3" t="str">
        <f>HYPERLINK("https://www.amazon.com/Inficon-Refrigerant-Detector-Display-Model/dp/B08YLGQDZ5/ref=sr_1_4?keywords=Inficon+D-TEK%C2%AE+3+Refrigerant+Leak+Detector&amp;qid=1695173442&amp;sr=8-4", "https://www.amazon.com/Inficon-Refrigerant-Detector-Display-Model/dp/B08YLGQDZ5/ref=sr_1_4?keywords=Inficon+D-TEK%C2%AE+3+Refrigerant+Leak+Detector&amp;qid=1695173442&amp;sr=8-4")</f>
        <v>https://www.amazon.com/Inficon-Refrigerant-Detector-Display-Model/dp/B08YLGQDZ5/ref=sr_1_4?keywords=Inficon+D-TEK%C2%AE+3+Refrigerant+Leak+Detector&amp;qid=1695173442&amp;sr=8-4</v>
      </c>
      <c r="F885" t="s">
        <v>2262</v>
      </c>
      <c r="G885" t="e">
        <f ca="1">_xludf.IMAGE("https://edmondsonsupply.com/cdn/shop/products/dtek3.png?v=1633030772")</f>
        <v>#NAME?</v>
      </c>
      <c r="H885" t="e">
        <f ca="1">_xludf.IMAGE("https://m.media-amazon.com/images/I/61sAy87NU1L._AC_UL320_.jpg")</f>
        <v>#NAME?</v>
      </c>
      <c r="I885" t="s">
        <v>2263</v>
      </c>
      <c r="J885">
        <v>1172.76</v>
      </c>
      <c r="K885" s="4">
        <v>1.2684</v>
      </c>
      <c r="L885">
        <v>5</v>
      </c>
      <c r="M885">
        <v>2</v>
      </c>
      <c r="O885" t="s">
        <v>25</v>
      </c>
      <c r="P885" t="s">
        <v>2264</v>
      </c>
      <c r="Q885" t="s">
        <v>2265</v>
      </c>
    </row>
    <row r="886" spans="1:17" ht="15.5" x14ac:dyDescent="0.35">
      <c r="A886" s="3" t="str">
        <f>HYPERLINK("https://edmondsonsupply.com/collections/hvac/products/fieldpiece-jl3pr", "https://edmondsonsupply.com/collections/hvac/products/fieldpiece-jl3pr")</f>
        <v>https://edmondsonsupply.com/collections/hvac/products/fieldpiece-jl3pr</v>
      </c>
      <c r="B886" s="3" t="str">
        <f>HYPERLINK("https://edmondsonsupply.com/products/fieldpiece-jl3pr", "https://edmondsonsupply.com/products/fieldpiece-jl3pr")</f>
        <v>https://edmondsonsupply.com/products/fieldpiece-jl3pr</v>
      </c>
      <c r="C886" t="s">
        <v>2266</v>
      </c>
      <c r="D886" t="s">
        <v>2267</v>
      </c>
      <c r="E886" s="3" t="str">
        <f>HYPERLINK("https://www.amazon.com/Fieldpiece-JL3PR-Link-Probe-Pressure-Pack/dp/B0856V74HP/ref=sr_1_2?keywords=Fieldpiece+JL3PR+Job+Link%C2%AE+System+Pressure+Probe&amp;qid=1695173486&amp;sr=8-2", "https://www.amazon.com/Fieldpiece-JL3PR-Link-Probe-Pressure-Pack/dp/B0856V74HP/ref=sr_1_2?keywords=Fieldpiece+JL3PR+Job+Link%C2%AE+System+Pressure+Probe&amp;qid=1695173486&amp;sr=8-2")</f>
        <v>https://www.amazon.com/Fieldpiece-JL3PR-Link-Probe-Pressure-Pack/dp/B0856V74HP/ref=sr_1_2?keywords=Fieldpiece+JL3PR+Job+Link%C2%AE+System+Pressure+Probe&amp;qid=1695173486&amp;sr=8-2</v>
      </c>
      <c r="F886" t="s">
        <v>2268</v>
      </c>
      <c r="G886" t="e">
        <f ca="1">_xludf.IMAGE("https://edmondsonsupply.com/cdn/shop/products/JL3PR-SCR-Product.jpg?v=1633030078")</f>
        <v>#NAME?</v>
      </c>
      <c r="H886" t="e">
        <f ca="1">_xludf.IMAGE("https://m.media-amazon.com/images/I/31T5iLwbN+S._AC_UY218_.jpg")</f>
        <v>#NAME?</v>
      </c>
      <c r="I886" t="s">
        <v>2269</v>
      </c>
      <c r="J886">
        <v>275.7</v>
      </c>
      <c r="K886" s="4">
        <v>1.2682</v>
      </c>
      <c r="L886">
        <v>3.8</v>
      </c>
      <c r="M886">
        <v>3</v>
      </c>
      <c r="O886" t="s">
        <v>25</v>
      </c>
      <c r="P886" t="s">
        <v>2270</v>
      </c>
      <c r="Q886" t="s">
        <v>2271</v>
      </c>
    </row>
    <row r="887" spans="1:17" ht="15.5" x14ac:dyDescent="0.35">
      <c r="A887" s="3" t="str">
        <f>HYPERLINK("https://edmondsonsupply.com/collections/hvac/products/midwest-mwt-6900l-upright-left-cutting-offset-aviation-snip", "https://edmondsonsupply.com/collections/hvac/products/midwest-mwt-6900l-upright-left-cutting-offset-aviation-snip")</f>
        <v>https://edmondsonsupply.com/collections/hvac/products/midwest-mwt-6900l-upright-left-cutting-offset-aviation-snip</v>
      </c>
      <c r="B887" s="3" t="str">
        <f>HYPERLINK("https://edmondsonsupply.com/products/midwest-mwt-6900l-upright-left-cutting-offset-aviation-snip", "https://edmondsonsupply.com/products/midwest-mwt-6900l-upright-left-cutting-offset-aviation-snip")</f>
        <v>https://edmondsonsupply.com/products/midwest-mwt-6900l-upright-left-cutting-offset-aviation-snip</v>
      </c>
      <c r="C887" t="s">
        <v>1819</v>
      </c>
      <c r="D887" t="s">
        <v>193</v>
      </c>
      <c r="E887" s="3" t="str">
        <f>HYPERLINK("https://www.amazon.com/MIDWEST-Blackout-Aviation-Snip-KUSHN-POWER/dp/B00TJQL91U/ref=sr_1_6?keywords=Midwest+MWT-6900L+Upright+Left-Cutting+Aviation+Snip&amp;qid=1695173421&amp;sr=8-6", "https://www.amazon.com/MIDWEST-Blackout-Aviation-Snip-KUSHN-POWER/dp/B00TJQL91U/ref=sr_1_6?keywords=Midwest+MWT-6900L+Upright+Left-Cutting+Aviation+Snip&amp;qid=1695173421&amp;sr=8-6")</f>
        <v>https://www.amazon.com/MIDWEST-Blackout-Aviation-Snip-KUSHN-POWER/dp/B00TJQL91U/ref=sr_1_6?keywords=Midwest+MWT-6900L+Upright+Left-Cutting+Aviation+Snip&amp;qid=1695173421&amp;sr=8-6</v>
      </c>
      <c r="F887" t="s">
        <v>194</v>
      </c>
      <c r="G887" t="e">
        <f ca="1">_xludf.IMAGE("https://edmondsonsupply.com/cdn/shop/products/MWT-6900L1.jpg?v=1587146265")</f>
        <v>#NAME?</v>
      </c>
      <c r="H887" t="e">
        <f ca="1">_xludf.IMAGE("https://m.media-amazon.com/images/I/51OW3TahYsL._AC_UL320_.jpg")</f>
        <v>#NAME?</v>
      </c>
      <c r="I887" t="s">
        <v>362</v>
      </c>
      <c r="J887">
        <v>58.88</v>
      </c>
      <c r="K887" s="4">
        <v>1.2655000000000001</v>
      </c>
      <c r="L887">
        <v>4.7</v>
      </c>
      <c r="M887">
        <v>1400</v>
      </c>
      <c r="O887" t="s">
        <v>25</v>
      </c>
      <c r="P887" t="s">
        <v>1787</v>
      </c>
      <c r="Q887" t="s">
        <v>1820</v>
      </c>
    </row>
    <row r="888" spans="1:17" ht="15.5" x14ac:dyDescent="0.35">
      <c r="A888"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888" s="3" t="str">
        <f>HYPERLINK("https://edmondsonsupply.com/products/midwest-mwt-6510l-left-offset-aviation-snip", "https://edmondsonsupply.com/products/midwest-mwt-6510l-left-offset-aviation-snip")</f>
        <v>https://edmondsonsupply.com/products/midwest-mwt-6510l-left-offset-aviation-snip</v>
      </c>
      <c r="C888" t="s">
        <v>2023</v>
      </c>
      <c r="D888" t="s">
        <v>193</v>
      </c>
      <c r="E888" s="3" t="str">
        <f>HYPERLINK("https://www.amazon.com/MIDWEST-Blackout-Aviation-Snip-KUSHN-POWER/dp/B00TJQL91U/ref=sr_1_8?keywords=Midwest+MWT-6510L+Left+Offset+Aviation+Snip&amp;qid=1695173407&amp;sr=8-8", "https://www.amazon.com/MIDWEST-Blackout-Aviation-Snip-KUSHN-POWER/dp/B00TJQL91U/ref=sr_1_8?keywords=Midwest+MWT-6510L+Left+Offset+Aviation+Snip&amp;qid=1695173407&amp;sr=8-8")</f>
        <v>https://www.amazon.com/MIDWEST-Blackout-Aviation-Snip-KUSHN-POWER/dp/B00TJQL91U/ref=sr_1_8?keywords=Midwest+MWT-6510L+Left+Offset+Aviation+Snip&amp;qid=1695173407&amp;sr=8-8</v>
      </c>
      <c r="F888" t="s">
        <v>194</v>
      </c>
      <c r="G888" t="e">
        <f ca="1">_xludf.IMAGE("https://edmondsonsupply.com/cdn/shop/products/mwt-6510l.png?v=1587142880")</f>
        <v>#NAME?</v>
      </c>
      <c r="H888" t="e">
        <f ca="1">_xludf.IMAGE("https://m.media-amazon.com/images/I/51OW3TahYsL._AC_UL320_.jpg")</f>
        <v>#NAME?</v>
      </c>
      <c r="I888" t="s">
        <v>362</v>
      </c>
      <c r="J888">
        <v>58.88</v>
      </c>
      <c r="K888" s="4">
        <v>1.2655000000000001</v>
      </c>
      <c r="L888">
        <v>4.7</v>
      </c>
      <c r="M888">
        <v>1400</v>
      </c>
      <c r="O888" t="s">
        <v>25</v>
      </c>
      <c r="P888" t="s">
        <v>260</v>
      </c>
      <c r="Q888" t="s">
        <v>2026</v>
      </c>
    </row>
    <row r="889" spans="1:17" ht="15.5" x14ac:dyDescent="0.35">
      <c r="A889" s="3" t="str">
        <f>HYPERLINK("https://edmondsonsupply.com/collections/hvac/products/appion-mgavct-1-4in-valve-core-removal-tool", "https://edmondsonsupply.com/collections/hvac/products/appion-mgavct-1-4in-valve-core-removal-tool")</f>
        <v>https://edmondsonsupply.com/collections/hvac/products/appion-mgavct-1-4in-valve-core-removal-tool</v>
      </c>
      <c r="B889" s="3" t="str">
        <f>HYPERLINK("https://edmondsonsupply.com/products/appion-mgavct-1-4in-valve-core-removal-tool", "https://edmondsonsupply.com/products/appion-mgavct-1-4in-valve-core-removal-tool")</f>
        <v>https://edmondsonsupply.com/products/appion-mgavct-1-4in-valve-core-removal-tool</v>
      </c>
      <c r="C889" t="s">
        <v>2272</v>
      </c>
      <c r="D889" t="s">
        <v>2273</v>
      </c>
      <c r="E889" s="3" t="str">
        <f>HYPERLINK("https://www.amazon.com/Appion-MGAVCR-Vacuum-Rated-Removal/dp/B07L9H16Z7/ref=sr_1_6?keywords=Appion+MGAVCT+1%2F4in+Valve+Core+Removal+Tool&amp;qid=1695173344&amp;sr=8-6", "https://www.amazon.com/Appion-MGAVCR-Vacuum-Rated-Removal/dp/B07L9H16Z7/ref=sr_1_6?keywords=Appion+MGAVCT+1%2F4in+Valve+Core+Removal+Tool&amp;qid=1695173344&amp;sr=8-6")</f>
        <v>https://www.amazon.com/Appion-MGAVCR-Vacuum-Rated-Removal/dp/B07L9H16Z7/ref=sr_1_6?keywords=Appion+MGAVCT+1%2F4in+Valve+Core+Removal+Tool&amp;qid=1695173344&amp;sr=8-6</v>
      </c>
      <c r="F889" t="s">
        <v>2274</v>
      </c>
      <c r="G889" t="e">
        <f ca="1">_xludf.IMAGE("https://edmondsonsupply.com/cdn/shop/products/MGAVCT_1080.png?v=1678240814")</f>
        <v>#NAME?</v>
      </c>
      <c r="H889" t="e">
        <f ca="1">_xludf.IMAGE("https://m.media-amazon.com/images/I/31uRhQn4PFL._AC_UL320_.jpg")</f>
        <v>#NAME?</v>
      </c>
      <c r="I889" t="s">
        <v>588</v>
      </c>
      <c r="J889">
        <v>158.52000000000001</v>
      </c>
      <c r="K889" s="4">
        <v>1.2648999999999999</v>
      </c>
      <c r="L889">
        <v>5</v>
      </c>
      <c r="M889">
        <v>25</v>
      </c>
      <c r="O889" t="s">
        <v>25</v>
      </c>
      <c r="P889" t="s">
        <v>315</v>
      </c>
      <c r="Q889" t="s">
        <v>2275</v>
      </c>
    </row>
    <row r="890" spans="1:17" ht="15.5" x14ac:dyDescent="0.35">
      <c r="A890" s="3" t="str">
        <f>HYPERLINK("https://edmondsonsupply.com/collections/hvac/products/appion-mgavcr-5-16in-valve-core-removal-tool", "https://edmondsonsupply.com/collections/hvac/products/appion-mgavcr-5-16in-valve-core-removal-tool")</f>
        <v>https://edmondsonsupply.com/collections/hvac/products/appion-mgavcr-5-16in-valve-core-removal-tool</v>
      </c>
      <c r="B890" s="3" t="str">
        <f>HYPERLINK("https://edmondsonsupply.com/products/appion-mgavcr-5-16in-valve-core-removal-tool", "https://edmondsonsupply.com/products/appion-mgavcr-5-16in-valve-core-removal-tool")</f>
        <v>https://edmondsonsupply.com/products/appion-mgavcr-5-16in-valve-core-removal-tool</v>
      </c>
      <c r="C890" t="s">
        <v>2276</v>
      </c>
      <c r="D890" t="s">
        <v>2273</v>
      </c>
      <c r="E890" s="3" t="str">
        <f>HYPERLINK("https://www.amazon.com/Appion-MGAVCR-Vacuum-Rated-Removal/dp/B07L9H16Z7/ref=sr_1_2?keywords=Appion+MGAVCR+5%2F16in+Valve+Core+Removal+Tool&amp;qid=1695173455&amp;sr=8-2", "https://www.amazon.com/Appion-MGAVCR-Vacuum-Rated-Removal/dp/B07L9H16Z7/ref=sr_1_2?keywords=Appion+MGAVCR+5%2F16in+Valve+Core+Removal+Tool&amp;qid=1695173455&amp;sr=8-2")</f>
        <v>https://www.amazon.com/Appion-MGAVCR-Vacuum-Rated-Removal/dp/B07L9H16Z7/ref=sr_1_2?keywords=Appion+MGAVCR+5%2F16in+Valve+Core+Removal+Tool&amp;qid=1695173455&amp;sr=8-2</v>
      </c>
      <c r="F890" t="s">
        <v>2274</v>
      </c>
      <c r="G890" t="e">
        <f ca="1">_xludf.IMAGE("https://edmondsonsupply.com/cdn/shop/products/MGAVCR_1080.png?v=1678239697")</f>
        <v>#NAME?</v>
      </c>
      <c r="H890" t="e">
        <f ca="1">_xludf.IMAGE("https://m.media-amazon.com/images/I/31uRhQn4PFL._AC_UL320_.jpg")</f>
        <v>#NAME?</v>
      </c>
      <c r="I890" t="s">
        <v>588</v>
      </c>
      <c r="J890">
        <v>158.52000000000001</v>
      </c>
      <c r="K890" s="4">
        <v>1.2648999999999999</v>
      </c>
      <c r="L890">
        <v>5</v>
      </c>
      <c r="M890">
        <v>25</v>
      </c>
      <c r="O890" t="s">
        <v>25</v>
      </c>
      <c r="P890" t="s">
        <v>315</v>
      </c>
      <c r="Q890" t="s">
        <v>2277</v>
      </c>
    </row>
    <row r="891" spans="1:17" ht="15.5" x14ac:dyDescent="0.35">
      <c r="A891" s="3" t="str">
        <f>HYPERLINK("https://edmondsonsupply.com/collections/hvac/products/klein-tools-et10-magnetic-digital-pocket-thermometer", "https://edmondsonsupply.com/collections/hvac/products/klein-tools-et10-magnetic-digital-pocket-thermometer")</f>
        <v>https://edmondsonsupply.com/collections/hvac/products/klein-tools-et10-magnetic-digital-pocket-thermometer</v>
      </c>
      <c r="B891" s="3" t="str">
        <f>HYPERLINK("https://edmondsonsupply.com/products/klein-tools-et10-magnetic-digital-pocket-thermometer", "https://edmondsonsupply.com/products/klein-tools-et10-magnetic-digital-pocket-thermometer")</f>
        <v>https://edmondsonsupply.com/products/klein-tools-et10-magnetic-digital-pocket-thermometer</v>
      </c>
      <c r="C891" t="s">
        <v>1586</v>
      </c>
      <c r="D891" t="s">
        <v>1860</v>
      </c>
      <c r="E891" s="3" t="str">
        <f>HYPERLINK("https://www.amazon.com/Klein-Tools-IR07-Infrared-Thermometer/dp/B07P9WM69C/ref=sr_1_5?keywords=Klein+Tools+ET10+Magnetic+Digital+Pocket+Thermometer&amp;qid=1695173549&amp;sr=8-5", "https://www.amazon.com/Klein-Tools-IR07-Infrared-Thermometer/dp/B07P9WM69C/ref=sr_1_5?keywords=Klein+Tools+ET10+Magnetic+Digital+Pocket+Thermometer&amp;qid=1695173549&amp;sr=8-5")</f>
        <v>https://www.amazon.com/Klein-Tools-IR07-Infrared-Thermometer/dp/B07P9WM69C/ref=sr_1_5?keywords=Klein+Tools+ET10+Magnetic+Digital+Pocket+Thermometer&amp;qid=1695173549&amp;sr=8-5</v>
      </c>
      <c r="F891" t="s">
        <v>1861</v>
      </c>
      <c r="G891" t="e">
        <f ca="1">_xludf.IMAGE("https://edmondsonsupply.com/cdn/shop/products/et10.jpg?v=1587142916")</f>
        <v>#NAME?</v>
      </c>
      <c r="H891" t="e">
        <f ca="1">_xludf.IMAGE("https://m.media-amazon.com/images/I/51JBUtWpWuS._AC_UY218_.jpg")</f>
        <v>#NAME?</v>
      </c>
      <c r="I891" t="s">
        <v>1589</v>
      </c>
      <c r="J891">
        <v>51.97</v>
      </c>
      <c r="K891" s="4">
        <v>1.2605</v>
      </c>
      <c r="L891">
        <v>4.7</v>
      </c>
      <c r="M891">
        <v>779</v>
      </c>
      <c r="O891" t="s">
        <v>25</v>
      </c>
      <c r="P891" t="s">
        <v>1590</v>
      </c>
      <c r="Q891" t="s">
        <v>1591</v>
      </c>
    </row>
    <row r="892" spans="1:17" ht="15.5" x14ac:dyDescent="0.35">
      <c r="A892" s="3" t="str">
        <f>HYPERLINK("https://edmondsonsupply.com/collections/hvac/products/klein-tools-11046-wire-stripper-cutter-16-26-awg-stranded", "https://edmondsonsupply.com/collections/hvac/products/klein-tools-11046-wire-stripper-cutter-16-26-awg-stranded")</f>
        <v>https://edmondsonsupply.com/collections/hvac/products/klein-tools-11046-wire-stripper-cutter-16-26-awg-stranded</v>
      </c>
      <c r="B892" s="3" t="str">
        <f>HYPERLINK("https://edmondsonsupply.com/products/klein-tools-11046-wire-stripper-cutter-16-26-awg-stranded", "https://edmondsonsupply.com/products/klein-tools-11046-wire-stripper-cutter-16-26-awg-stranded")</f>
        <v>https://edmondsonsupply.com/products/klein-tools-11046-wire-stripper-cutter-16-26-awg-stranded</v>
      </c>
      <c r="C892" t="s">
        <v>2278</v>
      </c>
      <c r="D892" t="s">
        <v>2279</v>
      </c>
      <c r="E892" s="3" t="str">
        <f>HYPERLINK("https://www.amazon.com/Klein-Tools-Stripper-Cutter-Stranded/dp/B0BNL42TPG/ref=sr_1_6?keywords=Klein+Tools+11046+Wire+Stripper%2FCutter+16-26+AWG+Stranded&amp;qid=1695173662&amp;sr=8-6", "https://www.amazon.com/Klein-Tools-Stripper-Cutter-Stranded/dp/B0BNL42TPG/ref=sr_1_6?keywords=Klein+Tools+11046+Wire+Stripper%2FCutter+16-26+AWG+Stranded&amp;qid=1695173662&amp;sr=8-6")</f>
        <v>https://www.amazon.com/Klein-Tools-Stripper-Cutter-Stranded/dp/B0BNL42TPG/ref=sr_1_6?keywords=Klein+Tools+11046+Wire+Stripper%2FCutter+16-26+AWG+Stranded&amp;qid=1695173662&amp;sr=8-6</v>
      </c>
      <c r="F892" t="s">
        <v>2280</v>
      </c>
      <c r="G892" t="e">
        <f ca="1">_xludf.IMAGE("https://edmondsonsupply.com/cdn/shop/products/11046.jpg?v=1587147965")</f>
        <v>#NAME?</v>
      </c>
      <c r="H892" t="e">
        <f ca="1">_xludf.IMAGE("https://m.media-amazon.com/images/I/41Mnz0ZqGoL._AC_UL320_.jpg")</f>
        <v>#NAME?</v>
      </c>
      <c r="I892" t="s">
        <v>143</v>
      </c>
      <c r="J892">
        <v>35.96</v>
      </c>
      <c r="K892" s="4">
        <v>1.2517</v>
      </c>
      <c r="L892">
        <v>4.7</v>
      </c>
      <c r="M892">
        <v>4</v>
      </c>
      <c r="O892" t="s">
        <v>25</v>
      </c>
      <c r="P892" t="s">
        <v>2281</v>
      </c>
      <c r="Q892" t="s">
        <v>2282</v>
      </c>
    </row>
    <row r="893" spans="1:17" ht="15.5" x14ac:dyDescent="0.35">
      <c r="A893" s="3" t="str">
        <f>HYPERLINK("https://edmondsonsupply.com/collections/hvac/products/klein-tools-65200-electricians-mini-ratchet-set-5-piece", "https://edmondsonsupply.com/collections/hvac/products/klein-tools-65200-electricians-mini-ratchet-set-5-piece")</f>
        <v>https://edmondsonsupply.com/collections/hvac/products/klein-tools-65200-electricians-mini-ratchet-set-5-piece</v>
      </c>
      <c r="B893" s="3" t="str">
        <f>HYPERLINK("https://edmondsonsupply.com/products/klein-tools-65200-electricians-mini-ratchet-set-5-piece", "https://edmondsonsupply.com/products/klein-tools-65200-electricians-mini-ratchet-set-5-piece")</f>
        <v>https://edmondsonsupply.com/products/klein-tools-65200-electricians-mini-ratchet-set-5-piece</v>
      </c>
      <c r="C893" t="s">
        <v>140</v>
      </c>
      <c r="D893" t="s">
        <v>180</v>
      </c>
      <c r="E893" s="3" t="str">
        <f>HYPERLINK("https://www.amazon.com/Klein-Tools-Ratchet-5-Piece-Impact/dp/B0BNL31N8K/ref=sr_1_2?keywords=Klein+Tools+65200+Slim-Profile+Mini+Ratchet+Set%2C+5-Piece&amp;qid=1695173348&amp;sr=8-2", "https://www.amazon.com/Klein-Tools-Ratchet-5-Piece-Impact/dp/B0BNL31N8K/ref=sr_1_2?keywords=Klein+Tools+65200+Slim-Profile+Mini+Ratchet+Set%2C+5-Piece&amp;qid=1695173348&amp;sr=8-2")</f>
        <v>https://www.amazon.com/Klein-Tools-Ratchet-5-Piece-Impact/dp/B0BNL31N8K/ref=sr_1_2?keywords=Klein+Tools+65200+Slim-Profile+Mini+Ratchet+Set%2C+5-Piece&amp;qid=1695173348&amp;sr=8-2</v>
      </c>
      <c r="F893" t="s">
        <v>181</v>
      </c>
      <c r="G893" t="e">
        <f ca="1">_xludf.IMAGE("https://edmondsonsupply.com/cdn/shop/products/65200.jpg?v=1633030630")</f>
        <v>#NAME?</v>
      </c>
      <c r="H893" t="e">
        <f ca="1">_xludf.IMAGE("https://m.media-amazon.com/images/I/41JD1cfUw6L._AC_UL320_.jpg")</f>
        <v>#NAME?</v>
      </c>
      <c r="I893" t="s">
        <v>143</v>
      </c>
      <c r="J893">
        <v>35.950000000000003</v>
      </c>
      <c r="K893" s="4">
        <v>1.2511000000000001</v>
      </c>
      <c r="L893">
        <v>4.9000000000000004</v>
      </c>
      <c r="M893">
        <v>10</v>
      </c>
      <c r="O893" t="s">
        <v>25</v>
      </c>
      <c r="P893" t="s">
        <v>144</v>
      </c>
      <c r="Q893" t="s">
        <v>145</v>
      </c>
    </row>
    <row r="894" spans="1:17" ht="15.5" x14ac:dyDescent="0.35">
      <c r="A894"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894" s="3" t="str">
        <f>HYPERLINK("https://edmondsonsupply.com/products/klein-tools-32314-14-in-1-precision-screwdriver-nut-driver", "https://edmondsonsupply.com/products/klein-tools-32314-14-in-1-precision-screwdriver-nut-driver")</f>
        <v>https://edmondsonsupply.com/products/klein-tools-32314-14-in-1-precision-screwdriver-nut-driver</v>
      </c>
      <c r="C894" t="s">
        <v>1999</v>
      </c>
      <c r="D894" t="s">
        <v>2283</v>
      </c>
      <c r="E894" s="3" t="str">
        <f>HYPERLINK("https://www.amazon.com/Klein-Tools-Screwdriver-Electronic-Tamperproof/dp/B0BC81C7SH/ref=sr_1_2?keywords=Klein+Tools+32314+14-in-1+Precision+Screwdriver%2F+Nut+Driver&amp;qid=1695173510&amp;sr=8-2", "https://www.amazon.com/Klein-Tools-Screwdriver-Electronic-Tamperproof/dp/B0BC81C7SH/ref=sr_1_2?keywords=Klein+Tools+32314+14-in-1+Precision+Screwdriver%2F+Nut+Driver&amp;qid=1695173510&amp;sr=8-2")</f>
        <v>https://www.amazon.com/Klein-Tools-Screwdriver-Electronic-Tamperproof/dp/B0BC81C7SH/ref=sr_1_2?keywords=Klein+Tools+32314+14-in-1+Precision+Screwdriver%2F+Nut+Driver&amp;qid=1695173510&amp;sr=8-2</v>
      </c>
      <c r="F894" t="s">
        <v>2284</v>
      </c>
      <c r="G894" t="e">
        <f ca="1">_xludf.IMAGE("https://edmondsonsupply.com/cdn/shop/products/32314.jpg?v=1646593726")</f>
        <v>#NAME?</v>
      </c>
      <c r="H894" t="e">
        <f ca="1">_xludf.IMAGE("https://m.media-amazon.com/images/I/412Eu5ze4AL._AC_UL320_.jpg")</f>
        <v>#NAME?</v>
      </c>
      <c r="I894" t="s">
        <v>143</v>
      </c>
      <c r="J894">
        <v>35.94</v>
      </c>
      <c r="K894" s="4">
        <v>1.2504999999999999</v>
      </c>
      <c r="L894">
        <v>5</v>
      </c>
      <c r="M894">
        <v>2</v>
      </c>
      <c r="O894" t="s">
        <v>25</v>
      </c>
      <c r="P894" t="s">
        <v>2002</v>
      </c>
      <c r="Q894" t="s">
        <v>2003</v>
      </c>
    </row>
    <row r="895" spans="1:17" ht="15.5" x14ac:dyDescent="0.35">
      <c r="A895"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895" s="3" t="str">
        <f>HYPERLINK("https://edmondsonsupply.com/products/klein-tools-11053-klein-kurve%c2%ae-wire-stripper-cutter", "https://edmondsonsupply.com/products/klein-tools-11053-klein-kurve%c2%ae-wire-stripper-cutter")</f>
        <v>https://edmondsonsupply.com/products/klein-tools-11053-klein-kurve%c2%ae-wire-stripper-cutter</v>
      </c>
      <c r="C895" t="s">
        <v>2285</v>
      </c>
      <c r="D895" t="s">
        <v>2286</v>
      </c>
      <c r="E895" s="3" t="str">
        <f>HYPERLINK("https://www.amazon.com/Insulated-Klein-Kurve-Klein-Tools-11055-INS/dp/B000MKIPPU/ref=sr_1_3?keywords=Klein+Tools+11053+Klein-Kurve%C2%AE+Wire+Stripper%2FCutter&amp;qid=1695173476&amp;sr=8-3", "https://www.amazon.com/Insulated-Klein-Kurve-Klein-Tools-11055-INS/dp/B000MKIPPU/ref=sr_1_3?keywords=Klein+Tools+11053+Klein-Kurve%C2%AE+Wire+Stripper%2FCutter&amp;qid=1695173476&amp;sr=8-3")</f>
        <v>https://www.amazon.com/Insulated-Klein-Kurve-Klein-Tools-11055-INS/dp/B000MKIPPU/ref=sr_1_3?keywords=Klein+Tools+11053+Klein-Kurve%C2%AE+Wire+Stripper%2FCutter&amp;qid=1695173476&amp;sr=8-3</v>
      </c>
      <c r="F895" t="s">
        <v>2287</v>
      </c>
      <c r="G895" t="e">
        <f ca="1">_xludf.IMAGE("https://edmondsonsupply.com/cdn/shop/products/11053.jpg?v=1633030511")</f>
        <v>#NAME?</v>
      </c>
      <c r="H895" t="e">
        <f ca="1">_xludf.IMAGE("https://m.media-amazon.com/images/I/51U7ZuALPYL._AC_UL320_.jpg")</f>
        <v>#NAME?</v>
      </c>
      <c r="I895" t="s">
        <v>2288</v>
      </c>
      <c r="J895">
        <v>47.07</v>
      </c>
      <c r="K895" s="4">
        <v>1.2445999999999999</v>
      </c>
      <c r="L895">
        <v>4.0999999999999996</v>
      </c>
      <c r="M895">
        <v>17</v>
      </c>
      <c r="O895" t="s">
        <v>25</v>
      </c>
      <c r="P895" t="s">
        <v>2289</v>
      </c>
      <c r="Q895" t="s">
        <v>2290</v>
      </c>
    </row>
    <row r="896" spans="1:17" ht="15.5" x14ac:dyDescent="0.35">
      <c r="A896" s="3" t="str">
        <f>HYPERLINK("https://edmondsonsupply.com/collections/hvac/products/packard-titan-pro-trcd355-run-capacitor-35-5-mfd-370-volt-round", "https://edmondsonsupply.com/collections/hvac/products/packard-titan-pro-trcd355-run-capacitor-35-5-mfd-370-volt-round")</f>
        <v>https://edmondsonsupply.com/collections/hvac/products/packard-titan-pro-trcd355-run-capacitor-35-5-mfd-370-volt-round</v>
      </c>
      <c r="B896" s="3" t="str">
        <f>HYPERLINK("https://edmondsonsupply.com/products/packard-titan-pro-trcd355-run-capacitor-35-5-mfd-370-volt-round", "https://edmondsonsupply.com/products/packard-titan-pro-trcd355-run-capacitor-35-5-mfd-370-volt-round")</f>
        <v>https://edmondsonsupply.com/products/packard-titan-pro-trcd355-run-capacitor-35-5-mfd-370-volt-round</v>
      </c>
      <c r="C896" t="s">
        <v>2291</v>
      </c>
      <c r="D896" t="s">
        <v>2292</v>
      </c>
      <c r="E896" s="3" t="str">
        <f>HYPERLINK("https://www.amazon.com/Titan-TRCD355-Rated-Motor-Capacitor/dp/B01HQH22HS/ref=sr_1_4?keywords=Packard+Titan+PRO+TRCD355+Run+Capacitor+35+5+MFD+370+Volt+Round&amp;qid=1695173450&amp;sr=8-4", "https://www.amazon.com/Titan-TRCD355-Rated-Motor-Capacitor/dp/B01HQH22HS/ref=sr_1_4?keywords=Packard+Titan+PRO+TRCD355+Run+Capacitor+35+5+MFD+370+Volt+Round&amp;qid=1695173450&amp;sr=8-4")</f>
        <v>https://www.amazon.com/Titan-TRCD355-Rated-Motor-Capacitor/dp/B01HQH22HS/ref=sr_1_4?keywords=Packard+Titan+PRO+TRCD355+Run+Capacitor+35+5+MFD+370+Volt+Round&amp;qid=1695173450&amp;sr=8-4</v>
      </c>
      <c r="F896" t="s">
        <v>2293</v>
      </c>
      <c r="G896" t="e">
        <f ca="1">_xludf.IMAGE("https://edmondsonsupply.com/cdn/shop/products/TRCD355-2.jpg?v=1633030395")</f>
        <v>#NAME?</v>
      </c>
      <c r="H896" t="e">
        <f ca="1">_xludf.IMAGE("https://m.media-amazon.com/images/I/31bSurdbasL._AC_UY218_.jpg")</f>
        <v>#NAME?</v>
      </c>
      <c r="I896" t="s">
        <v>2294</v>
      </c>
      <c r="J896">
        <v>19.079999999999998</v>
      </c>
      <c r="K896" s="4">
        <v>1.2367999999999999</v>
      </c>
      <c r="L896">
        <v>4.5999999999999996</v>
      </c>
      <c r="M896">
        <v>4</v>
      </c>
      <c r="O896" t="s">
        <v>25</v>
      </c>
      <c r="P896" t="s">
        <v>138</v>
      </c>
      <c r="Q896" t="s">
        <v>2295</v>
      </c>
    </row>
    <row r="897" spans="1:17" ht="15.5" x14ac:dyDescent="0.35">
      <c r="A897"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897" s="3" t="str">
        <f>HYPERLINK("https://edmondsonsupply.com/products/packard-pmj590-motor-start-capacitor-590-708-mfd-110-125-volt", "https://edmondsonsupply.com/products/packard-pmj590-motor-start-capacitor-590-708-mfd-110-125-volt")</f>
        <v>https://edmondsonsupply.com/products/packard-pmj590-motor-start-capacitor-590-708-mfd-110-125-volt</v>
      </c>
      <c r="C897" t="s">
        <v>1973</v>
      </c>
      <c r="D897" t="s">
        <v>2296</v>
      </c>
      <c r="E897" s="3" t="str">
        <f>HYPERLINK("https://www.amazon.com/Capacitor-microfarads-Universal-Electric-Applications/dp/B01FMSM5KW/ref=sr_1_9?keywords=Packard+PMJ590+Motor+Start+Capacitor+590-708+MFD+110-125+Volt&amp;qid=1695173547&amp;sr=8-9", "https://www.amazon.com/Capacitor-microfarads-Universal-Electric-Applications/dp/B01FMSM5KW/ref=sr_1_9?keywords=Packard+PMJ590+Motor+Start+Capacitor+590-708+MFD+110-125+Volt&amp;qid=1695173547&amp;sr=8-9")</f>
        <v>https://www.amazon.com/Capacitor-microfarads-Universal-Electric-Applications/dp/B01FMSM5KW/ref=sr_1_9?keywords=Packard+PMJ590+Motor+Start+Capacitor+590-708+MFD+110-125+Volt&amp;qid=1695173547&amp;sr=8-9</v>
      </c>
      <c r="F897" t="s">
        <v>2297</v>
      </c>
      <c r="G897" t="e">
        <f ca="1">_xludf.IMAGE("https://edmondsonsupply.com/cdn/shop/products/PMJ590-2.jpg?v=1633030307")</f>
        <v>#NAME?</v>
      </c>
      <c r="H897" t="e">
        <f ca="1">_xludf.IMAGE("https://m.media-amazon.com/images/I/616FYZCDTPL._AC_UY218_.jpg")</f>
        <v>#NAME?</v>
      </c>
      <c r="I897" t="s">
        <v>1974</v>
      </c>
      <c r="J897">
        <v>13.79</v>
      </c>
      <c r="K897" s="4">
        <v>1.2314000000000001</v>
      </c>
      <c r="L897">
        <v>4.5</v>
      </c>
      <c r="M897">
        <v>1389</v>
      </c>
      <c r="O897" t="s">
        <v>25</v>
      </c>
      <c r="P897" t="s">
        <v>138</v>
      </c>
      <c r="Q897" t="s">
        <v>1975</v>
      </c>
    </row>
    <row r="898" spans="1:17" ht="15.5" x14ac:dyDescent="0.35">
      <c r="A898" s="3" t="str">
        <f>HYPERLINK("https://edmondsonsupply.com/collections/hvac/products/klein-tools-jth68m-8pc-6-metric-journeyman-t-handle-set-with-stand", "https://edmondsonsupply.com/collections/hvac/products/klein-tools-jth68m-8pc-6-metric-journeyman-t-handle-set-with-stand")</f>
        <v>https://edmondsonsupply.com/collections/hvac/products/klein-tools-jth68m-8pc-6-metric-journeyman-t-handle-set-with-stand</v>
      </c>
      <c r="B898" s="3" t="str">
        <f>HYPERLINK("https://edmondsonsupply.com/products/klein-tools-jth68m-8pc-6-metric-journeyman-t-handle-set-with-stand", "https://edmondsonsupply.com/products/klein-tools-jth68m-8pc-6-metric-journeyman-t-handle-set-with-stand")</f>
        <v>https://edmondsonsupply.com/products/klein-tools-jth68m-8pc-6-metric-journeyman-t-handle-set-with-stand</v>
      </c>
      <c r="C898" t="s">
        <v>2298</v>
      </c>
      <c r="D898" t="s">
        <v>2299</v>
      </c>
      <c r="E898" s="3" t="str">
        <f>HYPERLINK("https://www.amazon.com/T-Handle-8-Piece-Klein-Tools-JTH68MB/dp/B004DB8GSK/ref=sr_1_2?keywords=Klein+Tools+JTH68M+Hex+Key+Set%2C+Metric%2C+Journeyman%E2%84%A2+T-Handle%2C+6-Inch+with+Stand%2C+8-Piece&amp;qid=1695173400&amp;sr=8-2", "https://www.amazon.com/T-Handle-8-Piece-Klein-Tools-JTH68MB/dp/B004DB8GSK/ref=sr_1_2?keywords=Klein+Tools+JTH68M+Hex+Key+Set%2C+Metric%2C+Journeyman%E2%84%A2+T-Handle%2C+6-Inch+with+Stand%2C+8-Piece&amp;qid=1695173400&amp;sr=8-2")</f>
        <v>https://www.amazon.com/T-Handle-8-Piece-Klein-Tools-JTH68MB/dp/B004DB8GSK/ref=sr_1_2?keywords=Klein+Tools+JTH68M+Hex+Key+Set%2C+Metric%2C+Journeyman%E2%84%A2+T-Handle%2C+6-Inch+with+Stand%2C+8-Piece&amp;qid=1695173400&amp;sr=8-2</v>
      </c>
      <c r="F898" t="s">
        <v>2300</v>
      </c>
      <c r="G898" t="e">
        <f ca="1">_xludf.IMAGE("https://edmondsonsupply.com/cdn/shop/products/jth68m.jpg?v=1587148489")</f>
        <v>#NAME?</v>
      </c>
      <c r="H898" t="e">
        <f ca="1">_xludf.IMAGE("https://m.media-amazon.com/images/I/61XP-1Qh3UL._AC_UL320_.jpg")</f>
        <v>#NAME?</v>
      </c>
      <c r="I898" t="s">
        <v>198</v>
      </c>
      <c r="J898">
        <v>88.87</v>
      </c>
      <c r="K898" s="4">
        <v>1.2222999999999999</v>
      </c>
      <c r="L898">
        <v>4.5999999999999996</v>
      </c>
      <c r="M898">
        <v>426</v>
      </c>
      <c r="O898" t="s">
        <v>25</v>
      </c>
      <c r="P898" t="s">
        <v>1310</v>
      </c>
      <c r="Q898" t="s">
        <v>2301</v>
      </c>
    </row>
    <row r="899" spans="1:17" ht="15.5" x14ac:dyDescent="0.35">
      <c r="A899" s="3" t="str">
        <f>HYPERLINK("https://edmondsonsupply.com/collections/hvac/products/midwest-mwt-6510lo-left-cutting-offset-aviation-snip-blackout-series", "https://edmondsonsupply.com/collections/hvac/products/midwest-mwt-6510lo-left-cutting-offset-aviation-snip-blackout-series")</f>
        <v>https://edmondsonsupply.com/collections/hvac/products/midwest-mwt-6510lo-left-cutting-offset-aviation-snip-blackout-series</v>
      </c>
      <c r="B899" s="3" t="str">
        <f>HYPERLINK("https://edmondsonsupply.com/products/midwest-mwt-6510lo-left-cutting-offset-aviation-snip-blackout-series", "https://edmondsonsupply.com/products/midwest-mwt-6510lo-left-cutting-offset-aviation-snip-blackout-series")</f>
        <v>https://edmondsonsupply.com/products/midwest-mwt-6510lo-left-cutting-offset-aviation-snip-blackout-series</v>
      </c>
      <c r="C899" t="s">
        <v>182</v>
      </c>
      <c r="D899" t="s">
        <v>158</v>
      </c>
      <c r="E899" s="3" t="str">
        <f>HYPERLINK("https://www.amazon.com/MIDWEST-Aviation-Snip-Set-KUSHN-POWER/dp/B07RC7ZBK9/ref=sr_1_3?keywords=Midwest+MWT-6510LO+Left-Cutting+Offset+Aviation+Snip+-+Blackout+Series&amp;qid=1695173331&amp;sr=8-3", "https://www.amazon.com/MIDWEST-Aviation-Snip-Set-KUSHN-POWER/dp/B07RC7ZBK9/ref=sr_1_3?keywords=Midwest+MWT-6510LO+Left-Cutting+Offset+Aviation+Snip+-+Blackout+Series&amp;qid=1695173331&amp;sr=8-3")</f>
        <v>https://www.amazon.com/MIDWEST-Aviation-Snip-Set-KUSHN-POWER/dp/B07RC7ZBK9/ref=sr_1_3?keywords=Midwest+MWT-6510LO+Left-Cutting+Offset+Aviation+Snip+-+Blackout+Series&amp;qid=1695173331&amp;sr=8-3</v>
      </c>
      <c r="F899" t="s">
        <v>159</v>
      </c>
      <c r="G899" t="e">
        <f ca="1">_xludf.IMAGE("https://edmondsonsupply.com/cdn/shop/products/mwt-6510lo.jpg?v=1587147580")</f>
        <v>#NAME?</v>
      </c>
      <c r="H899" t="e">
        <f ca="1">_xludf.IMAGE("https://m.media-amazon.com/images/I/71438hbSyHL._AC_UL320_.jpg")</f>
        <v>#NAME?</v>
      </c>
      <c r="I899" t="s">
        <v>183</v>
      </c>
      <c r="J899">
        <v>87.99</v>
      </c>
      <c r="K899" s="4">
        <v>1.208</v>
      </c>
      <c r="L899">
        <v>4.4000000000000004</v>
      </c>
      <c r="M899">
        <v>1137</v>
      </c>
      <c r="O899" t="s">
        <v>171</v>
      </c>
      <c r="P899" t="s">
        <v>183</v>
      </c>
      <c r="Q899" t="s">
        <v>184</v>
      </c>
    </row>
    <row r="900" spans="1:17" ht="15.5" x14ac:dyDescent="0.35">
      <c r="A900" s="3" t="str">
        <f>HYPERLINK("https://edmondsonsupply.com/collections/hvac/products/packard-trcfd255-titan-pro-run-capacitor-25-5-mfd-440-370-volt-round", "https://edmondsonsupply.com/collections/hvac/products/packard-trcfd255-titan-pro-run-capacitor-25-5-mfd-440-370-volt-round")</f>
        <v>https://edmondsonsupply.com/collections/hvac/products/packard-trcfd255-titan-pro-run-capacitor-25-5-mfd-440-370-volt-round</v>
      </c>
      <c r="B900" s="3" t="str">
        <f>HYPERLINK("https://edmondsonsupply.com/products/packard-trcfd255-titan-pro-run-capacitor-25-5-mfd-440-370-volt-round", "https://edmondsonsupply.com/products/packard-trcfd255-titan-pro-run-capacitor-25-5-mfd-440-370-volt-round")</f>
        <v>https://edmondsonsupply.com/products/packard-trcfd255-titan-pro-run-capacitor-25-5-mfd-440-370-volt-round</v>
      </c>
      <c r="C900" t="s">
        <v>1864</v>
      </c>
      <c r="D900" t="s">
        <v>2302</v>
      </c>
      <c r="E900" s="3" t="str">
        <f>HYPERLINK("https://www.amazon.com/Titan-TRCFD255-Rated-Motor-Capacitor/dp/B01IC2J6NE/ref=sr_1_1?keywords=Packard+TRCFD255+Titan+PRO+Run+Capacitor+25+5+MFD+440%2F370+Volt%2C+Round&amp;qid=1695173560&amp;sr=8-1", "https://www.amazon.com/Titan-TRCFD255-Rated-Motor-Capacitor/dp/B01IC2J6NE/ref=sr_1_1?keywords=Packard+TRCFD255+Titan+PRO+Run+Capacitor+25+5+MFD+440%2F370+Volt%2C+Round&amp;qid=1695173560&amp;sr=8-1")</f>
        <v>https://www.amazon.com/Titan-TRCFD255-Rated-Motor-Capacitor/dp/B01IC2J6NE/ref=sr_1_1?keywords=Packard+TRCFD255+Titan+PRO+Run+Capacitor+25+5+MFD+440%2F370+Volt%2C+Round&amp;qid=1695173560&amp;sr=8-1</v>
      </c>
      <c r="F900" t="s">
        <v>2303</v>
      </c>
      <c r="G900" t="e">
        <f ca="1">_xludf.IMAGE("https://edmondsonsupply.com/cdn/shop/products/TRCFD255-2.jpg?v=1587142300")</f>
        <v>#NAME?</v>
      </c>
      <c r="H900" t="e">
        <f ca="1">_xludf.IMAGE("https://m.media-amazon.com/images/I/91hvKgXBe7L._AC_UY218_.jpg")</f>
        <v>#NAME?</v>
      </c>
      <c r="I900" t="s">
        <v>1867</v>
      </c>
      <c r="J900">
        <v>13.29</v>
      </c>
      <c r="K900" s="4">
        <v>1.2076</v>
      </c>
      <c r="L900">
        <v>4.5999999999999996</v>
      </c>
      <c r="M900">
        <v>130</v>
      </c>
      <c r="O900" t="s">
        <v>25</v>
      </c>
      <c r="P900" t="s">
        <v>138</v>
      </c>
      <c r="Q900" t="s">
        <v>1868</v>
      </c>
    </row>
    <row r="901" spans="1:17" ht="15.5" x14ac:dyDescent="0.35">
      <c r="A901" s="3" t="str">
        <f>HYPERLINK("https://edmondsonsupply.com/collections/hvac/products/klein-tools-32304-14-in-1-hvac-adjustable-length-impact-screwdriver-with-flip-socket", "https://edmondsonsupply.com/collections/hvac/products/klein-tools-32304-14-in-1-hvac-adjustable-length-impact-screwdriver-with-flip-socket")</f>
        <v>https://edmondsonsupply.com/collections/hvac/products/klein-tools-32304-14-in-1-hvac-adjustable-length-impact-screwdriver-with-flip-socket</v>
      </c>
      <c r="B901"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901" t="s">
        <v>2115</v>
      </c>
      <c r="D901" t="s">
        <v>2304</v>
      </c>
      <c r="E901" s="3" t="str">
        <f>HYPERLINK("https://www.amazon.com/Screwdriver-Klein-Tools-Instruments-Thermometer/dp/B0B68FP3YG/ref=sr_1_2?keywords=Klein+Tools+32304+14-in-1+HVAC+Adjustable-Length+Impact+Screwdriver+with+Flip+Socket&amp;qid=1695173459&amp;sr=8-2", "https://www.amazon.com/Screwdriver-Klein-Tools-Instruments-Thermometer/dp/B0B68FP3YG/ref=sr_1_2?keywords=Klein+Tools+32304+14-in-1+HVAC+Adjustable-Length+Impact+Screwdriver+with+Flip+Socket&amp;qid=1695173459&amp;sr=8-2")</f>
        <v>https://www.amazon.com/Screwdriver-Klein-Tools-Instruments-Thermometer/dp/B0B68FP3YG/ref=sr_1_2?keywords=Klein+Tools+32304+14-in-1+HVAC+Adjustable-Length+Impact+Screwdriver+with+Flip+Socket&amp;qid=1695173459&amp;sr=8-2</v>
      </c>
      <c r="F901" t="s">
        <v>2305</v>
      </c>
      <c r="G901" t="e">
        <f ca="1">_xludf.IMAGE("https://edmondsonsupply.com/cdn/shop/products/32304.jpg?v=1666019479")</f>
        <v>#NAME?</v>
      </c>
      <c r="H901" t="e">
        <f ca="1">_xludf.IMAGE("https://m.media-amazon.com/images/I/41yTQwoccbL._AC_UL320_.jpg")</f>
        <v>#NAME?</v>
      </c>
      <c r="I901" t="s">
        <v>859</v>
      </c>
      <c r="J901">
        <v>55.02</v>
      </c>
      <c r="K901" s="4">
        <v>1.2034</v>
      </c>
      <c r="L901">
        <v>4.5</v>
      </c>
      <c r="M901">
        <v>39</v>
      </c>
      <c r="O901" t="s">
        <v>25</v>
      </c>
      <c r="P901" t="s">
        <v>602</v>
      </c>
      <c r="Q901" t="s">
        <v>2118</v>
      </c>
    </row>
    <row r="902" spans="1:17" ht="15.5" x14ac:dyDescent="0.35">
      <c r="A902" s="3" t="str">
        <f>HYPERLINK("https://edmondsonsupply.com/collections/hvac/products/packard-prmj108-motor-start-capacitor-108-130-mfd-330-volt", "https://edmondsonsupply.com/collections/hvac/products/packard-prmj108-motor-start-capacitor-108-130-mfd-330-volt")</f>
        <v>https://edmondsonsupply.com/collections/hvac/products/packard-prmj108-motor-start-capacitor-108-130-mfd-330-volt</v>
      </c>
      <c r="B902" s="3" t="str">
        <f>HYPERLINK("https://edmondsonsupply.com/products/packard-prmj108-motor-start-capacitor-108-130-mfd-330-volt", "https://edmondsonsupply.com/products/packard-prmj108-motor-start-capacitor-108-130-mfd-330-volt")</f>
        <v>https://edmondsonsupply.com/products/packard-prmj108-motor-start-capacitor-108-130-mfd-330-volt</v>
      </c>
      <c r="C902" t="s">
        <v>1636</v>
      </c>
      <c r="D902" t="s">
        <v>2306</v>
      </c>
      <c r="E902" s="3" t="str">
        <f>HYPERLINK("https://www.amazon.com/Canamax-Premium-108-130-Capacitor-Electric/dp/B0B1DF2X7K/ref=sr_1_10?keywords=Packard+PRMJ108+Motor+Start+Capacitor+108-130+MFD+330+Volt&amp;qid=1695173650&amp;sr=8-10", "https://www.amazon.com/Canamax-Premium-108-130-Capacitor-Electric/dp/B0B1DF2X7K/ref=sr_1_10?keywords=Packard+PRMJ108+Motor+Start+Capacitor+108-130+MFD+330+Volt&amp;qid=1695173650&amp;sr=8-10")</f>
        <v>https://www.amazon.com/Canamax-Premium-108-130-Capacitor-Electric/dp/B0B1DF2X7K/ref=sr_1_10?keywords=Packard+PRMJ108+Motor+Start+Capacitor+108-130+MFD+330+Volt&amp;qid=1695173650&amp;sr=8-10</v>
      </c>
      <c r="F902" t="s">
        <v>2307</v>
      </c>
      <c r="G902" t="e">
        <f ca="1">_xludf.IMAGE("https://edmondsonsupply.com/cdn/shop/products/PRMJ108-2.jpg?v=1633030309")</f>
        <v>#NAME?</v>
      </c>
      <c r="H902" t="e">
        <f ca="1">_xludf.IMAGE("https://m.media-amazon.com/images/I/81Y4jNR-2GL._AC_UY218_.jpg")</f>
        <v>#NAME?</v>
      </c>
      <c r="I902" t="s">
        <v>1476</v>
      </c>
      <c r="J902">
        <v>9.67</v>
      </c>
      <c r="K902" s="4">
        <v>1.2027000000000001</v>
      </c>
      <c r="L902">
        <v>3.3</v>
      </c>
      <c r="M902">
        <v>3</v>
      </c>
      <c r="O902" t="s">
        <v>25</v>
      </c>
      <c r="P902" t="s">
        <v>138</v>
      </c>
      <c r="Q902" t="s">
        <v>1639</v>
      </c>
    </row>
    <row r="903" spans="1:17" ht="15.5" x14ac:dyDescent="0.35">
      <c r="A903"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903" s="3" t="str">
        <f>HYPERLINK("https://edmondsonsupply.com/products/klein-tools-5141-canvas-bag-4-pk-brown-black-gray-red", "https://edmondsonsupply.com/products/klein-tools-5141-canvas-bag-4-pk-brown-black-gray-red")</f>
        <v>https://edmondsonsupply.com/products/klein-tools-5141-canvas-bag-4-pk-brown-black-gray-red</v>
      </c>
      <c r="C903" t="s">
        <v>243</v>
      </c>
      <c r="D903" t="s">
        <v>327</v>
      </c>
      <c r="E903" s="3" t="str">
        <f>HYPERLINK("https://www.amazon.com/Klein-Tools-Utility-Deposit-5539LCPAK/dp/B0BD3WW5HW/ref=sr_1_4?keywords=Klein+Tools+5141+Zipper+Bags%2C+Canvas+Tool+Pouches+Brown%2FBlack%2FGray%2FRed%2C+4-Pack&amp;qid=1695173635&amp;sr=8-4", "https://www.amazon.com/Klein-Tools-Utility-Deposit-5539LCPAK/dp/B0BD3WW5HW/ref=sr_1_4?keywords=Klein+Tools+5141+Zipper+Bags%2C+Canvas+Tool+Pouches+Brown%2FBlack%2FGray%2FRed%2C+4-Pack&amp;qid=1695173635&amp;sr=8-4")</f>
        <v>https://www.amazon.com/Klein-Tools-Utility-Deposit-5539LCPAK/dp/B0BD3WW5HW/ref=sr_1_4?keywords=Klein+Tools+5141+Zipper+Bags%2C+Canvas+Tool+Pouches+Brown%2FBlack%2FGray%2FRed%2C+4-Pack&amp;qid=1695173635&amp;sr=8-4</v>
      </c>
      <c r="F903" t="s">
        <v>328</v>
      </c>
      <c r="G903" t="e">
        <f ca="1">_xludf.IMAGE("https://edmondsonsupply.com/cdn/shop/products/5141.jpg?v=1633030517")</f>
        <v>#NAME?</v>
      </c>
      <c r="H903" t="e">
        <f ca="1">_xludf.IMAGE("https://m.media-amazon.com/images/I/413RtvEllSL._AC_UL320_.jpg")</f>
        <v>#NAME?</v>
      </c>
      <c r="I903" t="s">
        <v>246</v>
      </c>
      <c r="J903">
        <v>88</v>
      </c>
      <c r="K903" s="4">
        <v>1.2017</v>
      </c>
      <c r="L903">
        <v>5</v>
      </c>
      <c r="M903">
        <v>1</v>
      </c>
      <c r="O903" t="s">
        <v>25</v>
      </c>
      <c r="P903" t="s">
        <v>247</v>
      </c>
      <c r="Q903" t="s">
        <v>248</v>
      </c>
    </row>
    <row r="904" spans="1:17" ht="15.5" x14ac:dyDescent="0.35">
      <c r="A904"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904" s="3" t="str">
        <f>HYPERLINK("https://edmondsonsupply.com/products/klein-tools-32907-7-in-1-impact-flip-socket-set-no-handle", "https://edmondsonsupply.com/products/klein-tools-32907-7-in-1-impact-flip-socket-set-no-handle")</f>
        <v>https://edmondsonsupply.com/products/klein-tools-32907-7-in-1-impact-flip-socket-set-no-handle</v>
      </c>
      <c r="C904" t="s">
        <v>1833</v>
      </c>
      <c r="D904" t="s">
        <v>2308</v>
      </c>
      <c r="E904" s="3" t="str">
        <f>HYPERLINK("https://www.amazon.com/Folding-20997TFHS618636-Impact-Driver-Socket/dp/B0CF2HPH97/ref=sr_1_9?keywords=Klein+Tools+32907+7-in-1+Impact+Flip+Socket+Set%2C+No+Handle&amp;qid=1695173428&amp;sr=8-9", "https://www.amazon.com/Folding-20997TFHS618636-Impact-Driver-Socket/dp/B0CF2HPH97/ref=sr_1_9?keywords=Klein+Tools+32907+7-in-1+Impact+Flip+Socket+Set%2C+No+Handle&amp;qid=1695173428&amp;sr=8-9")</f>
        <v>https://www.amazon.com/Folding-20997TFHS618636-Impact-Driver-Socket/dp/B0CF2HPH97/ref=sr_1_9?keywords=Klein+Tools+32907+7-in-1+Impact+Flip+Socket+Set%2C+No+Handle&amp;qid=1695173428&amp;sr=8-9</v>
      </c>
      <c r="F904" t="s">
        <v>2309</v>
      </c>
      <c r="G904" t="e">
        <f ca="1">_xludf.IMAGE("https://edmondsonsupply.com/cdn/shop/products/32907_b.jpg?v=1666025282")</f>
        <v>#NAME?</v>
      </c>
      <c r="H904" t="e">
        <f ca="1">_xludf.IMAGE("https://m.media-amazon.com/images/I/51ARCE+JBfL._AC_UL320_.jpg")</f>
        <v>#NAME?</v>
      </c>
      <c r="I904" t="s">
        <v>577</v>
      </c>
      <c r="J904">
        <v>43.98</v>
      </c>
      <c r="K904" s="4">
        <v>1.2000999999999999</v>
      </c>
      <c r="L904">
        <v>4.5</v>
      </c>
      <c r="M904">
        <v>777</v>
      </c>
      <c r="O904" t="s">
        <v>25</v>
      </c>
      <c r="P904" t="s">
        <v>1836</v>
      </c>
      <c r="Q904" t="s">
        <v>1837</v>
      </c>
    </row>
    <row r="905" spans="1:17" ht="15.5" x14ac:dyDescent="0.35">
      <c r="A905"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905" s="3" t="str">
        <f>HYPERLINK("https://edmondsonsupply.com/products/packard-prmj145a-motor-start-capacitor-145-174-mfd", "https://edmondsonsupply.com/products/packard-prmj145a-motor-start-capacitor-145-174-mfd")</f>
        <v>https://edmondsonsupply.com/products/packard-prmj145a-motor-start-capacitor-145-174-mfd</v>
      </c>
      <c r="C905" t="s">
        <v>2227</v>
      </c>
      <c r="D905" t="s">
        <v>2310</v>
      </c>
      <c r="E905" s="3" t="str">
        <f>HYPERLINK("https://www.amazon.com/PRMJ145-Packard-Upgraded-Replacement-Capacitor/dp/B0773VZKWV/ref=sr_1_1?keywords=Packard+PRMJ145A+Motor+Start+Capacitor+145-174+MFD&amp;qid=1695173645&amp;sr=8-1", "https://www.amazon.com/PRMJ145-Packard-Upgraded-Replacement-Capacitor/dp/B0773VZKWV/ref=sr_1_1?keywords=Packard+PRMJ145A+Motor+Start+Capacitor+145-174+MFD&amp;qid=1695173645&amp;sr=8-1")</f>
        <v>https://www.amazon.com/PRMJ145-Packard-Upgraded-Replacement-Capacitor/dp/B0773VZKWV/ref=sr_1_1?keywords=Packard+PRMJ145A+Motor+Start+Capacitor+145-174+MFD&amp;qid=1695173645&amp;sr=8-1</v>
      </c>
      <c r="F905" t="s">
        <v>2311</v>
      </c>
      <c r="G905" t="e">
        <f ca="1">_xludf.IMAGE("https://edmondsonsupply.com/cdn/shop/products/PRMJ145A-2.jpg?v=1633030335")</f>
        <v>#NAME?</v>
      </c>
      <c r="H905" t="e">
        <f ca="1">_xludf.IMAGE("https://m.media-amazon.com/images/I/41fqQrQgJaL._AC_UY218_.jpg")</f>
        <v>#NAME?</v>
      </c>
      <c r="I905" t="s">
        <v>2230</v>
      </c>
      <c r="J905">
        <v>16.489999999999998</v>
      </c>
      <c r="K905" s="4">
        <v>1.1957</v>
      </c>
      <c r="L905">
        <v>5</v>
      </c>
      <c r="M905">
        <v>2</v>
      </c>
      <c r="O905" t="s">
        <v>25</v>
      </c>
      <c r="P905" t="s">
        <v>138</v>
      </c>
      <c r="Q905" t="s">
        <v>2231</v>
      </c>
    </row>
    <row r="906" spans="1:17" ht="15.5" x14ac:dyDescent="0.35">
      <c r="A906" s="3" t="str">
        <f>HYPERLINK("https://edmondsonsupply.com/collections/hvac/products/fluke-62-max-mini-infrared-thermometer", "https://edmondsonsupply.com/collections/hvac/products/fluke-62-max-mini-infrared-thermometer")</f>
        <v>https://edmondsonsupply.com/collections/hvac/products/fluke-62-max-mini-infrared-thermometer</v>
      </c>
      <c r="B906" s="3" t="str">
        <f>HYPERLINK("https://edmondsonsupply.com/products/fluke-62-max-mini-infrared-thermometer", "https://edmondsonsupply.com/products/fluke-62-max-mini-infrared-thermometer")</f>
        <v>https://edmondsonsupply.com/products/fluke-62-max-mini-infrared-thermometer</v>
      </c>
      <c r="C906" t="s">
        <v>2312</v>
      </c>
      <c r="D906" t="s">
        <v>2313</v>
      </c>
      <c r="E906" s="3" t="str">
        <f>HYPERLINK("https://www.amazon.com/FLUKE-FLUKE-62-INFRARED-THERMOMETER-1202F/dp/B00BX8RMAY/ref=sr_1_7?keywords=Fluke+62+MAX+Mini+Infrared+Thermometer&amp;qid=1695173532&amp;sr=8-7", "https://www.amazon.com/FLUKE-FLUKE-62-INFRARED-THERMOMETER-1202F/dp/B00BX8RMAY/ref=sr_1_7?keywords=Fluke+62+MAX+Mini+Infrared+Thermometer&amp;qid=1695173532&amp;sr=8-7")</f>
        <v>https://www.amazon.com/FLUKE-FLUKE-62-INFRARED-THERMOMETER-1202F/dp/B00BX8RMAY/ref=sr_1_7?keywords=Fluke+62+MAX+Mini+Infrared+Thermometer&amp;qid=1695173532&amp;sr=8-7</v>
      </c>
      <c r="F906" t="s">
        <v>2314</v>
      </c>
      <c r="G906" t="e">
        <f ca="1">_xludf.IMAGE("https://edmondsonsupply.com/cdn/shop/products/62max.jpg?v=1633030769")</f>
        <v>#NAME?</v>
      </c>
      <c r="H906" t="e">
        <f ca="1">_xludf.IMAGE("https://m.media-amazon.com/images/I/51OF-Dz5VLL._AC_UY218_.jpg")</f>
        <v>#NAME?</v>
      </c>
      <c r="I906" t="s">
        <v>2315</v>
      </c>
      <c r="J906">
        <v>269.99</v>
      </c>
      <c r="K906" s="4">
        <v>1.1952</v>
      </c>
      <c r="L906">
        <v>5</v>
      </c>
      <c r="M906">
        <v>3</v>
      </c>
      <c r="O906" t="s">
        <v>171</v>
      </c>
      <c r="P906" t="s">
        <v>460</v>
      </c>
      <c r="Q906" t="s">
        <v>2316</v>
      </c>
    </row>
    <row r="907" spans="1:17" ht="15.5" x14ac:dyDescent="0.35">
      <c r="A907" s="3" t="str">
        <f>HYPERLINK("https://edmondsonsupply.com/collections/hvac/products/klein-tools-32304-14-in-1-hvac-adjustable-length-impact-screwdriver-with-flip-socket", "https://edmondsonsupply.com/collections/hvac/products/klein-tools-32304-14-in-1-hvac-adjustable-length-impact-screwdriver-with-flip-socket")</f>
        <v>https://edmondsonsupply.com/collections/hvac/products/klein-tools-32304-14-in-1-hvac-adjustable-length-impact-screwdriver-with-flip-socket</v>
      </c>
      <c r="B907"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907" t="s">
        <v>2115</v>
      </c>
      <c r="D907" t="s">
        <v>2317</v>
      </c>
      <c r="E907" s="3" t="str">
        <f>HYPERLINK("https://www.amazon.com/Klein-Tools-Precision-Screwdriver-Adjustable/dp/B0BRM3HJY8/ref=sr_1_7?keywords=Klein+Tools+32304+14-in-1+HVAC+Adjustable-Length+Impact+Screwdriver+with+Flip+Socket&amp;qid=1695173459&amp;sr=8-7", "https://www.amazon.com/Klein-Tools-Precision-Screwdriver-Adjustable/dp/B0BRM3HJY8/ref=sr_1_7?keywords=Klein+Tools+32304+14-in-1+HVAC+Adjustable-Length+Impact+Screwdriver+with+Flip+Socket&amp;qid=1695173459&amp;sr=8-7")</f>
        <v>https://www.amazon.com/Klein-Tools-Precision-Screwdriver-Adjustable/dp/B0BRM3HJY8/ref=sr_1_7?keywords=Klein+Tools+32304+14-in-1+HVAC+Adjustable-Length+Impact+Screwdriver+with+Flip+Socket&amp;qid=1695173459&amp;sr=8-7</v>
      </c>
      <c r="F907" t="s">
        <v>2318</v>
      </c>
      <c r="G907" t="e">
        <f ca="1">_xludf.IMAGE("https://edmondsonsupply.com/cdn/shop/products/32304.jpg?v=1666019479")</f>
        <v>#NAME?</v>
      </c>
      <c r="H907" t="e">
        <f ca="1">_xludf.IMAGE("https://m.media-amazon.com/images/I/513WrxifIfL._AC_UL320_.jpg")</f>
        <v>#NAME?</v>
      </c>
      <c r="I907" t="s">
        <v>859</v>
      </c>
      <c r="J907">
        <v>54.74</v>
      </c>
      <c r="K907" s="4">
        <v>1.1921999999999999</v>
      </c>
      <c r="L907">
        <v>4.9000000000000004</v>
      </c>
      <c r="M907">
        <v>9</v>
      </c>
      <c r="O907" t="s">
        <v>25</v>
      </c>
      <c r="P907" t="s">
        <v>602</v>
      </c>
      <c r="Q907" t="s">
        <v>2118</v>
      </c>
    </row>
    <row r="908" spans="1:17" ht="15.5" x14ac:dyDescent="0.35">
      <c r="A908" s="3" t="str">
        <f>HYPERLINK("https://edmondsonsupply.com/collections/hvac/products/greenlee-gsb01-1-2-step-bit-1", "https://edmondsonsupply.com/collections/hvac/products/greenlee-gsb01-1-2-step-bit-1")</f>
        <v>https://edmondsonsupply.com/collections/hvac/products/greenlee-gsb01-1-2-step-bit-1</v>
      </c>
      <c r="B908" s="3" t="str">
        <f>HYPERLINK("https://edmondsonsupply.com/products/greenlee-gsb01-1-2-step-bit-1", "https://edmondsonsupply.com/products/greenlee-gsb01-1-2-step-bit-1")</f>
        <v>https://edmondsonsupply.com/products/greenlee-gsb01-1-2-step-bit-1</v>
      </c>
      <c r="C908" t="s">
        <v>2319</v>
      </c>
      <c r="D908" t="s">
        <v>2320</v>
      </c>
      <c r="E908" s="3" t="str">
        <f>HYPERLINK("https://www.amazon.com/Greenlee-Patented-Split-Step-Design-Cutting/dp/B08TVGF4MS/ref=sr_1_5?keywords=Greenlee+GSB01+1%2F2%22+Step+Bit+%28%231%29&amp;qid=1695173747&amp;sr=8-5", "https://www.amazon.com/Greenlee-Patented-Split-Step-Design-Cutting/dp/B08TVGF4MS/ref=sr_1_5?keywords=Greenlee+GSB01+1%2F2%22+Step+Bit+%28%231%29&amp;qid=1695173747&amp;sr=8-5")</f>
        <v>https://www.amazon.com/Greenlee-Patented-Split-Step-Design-Cutting/dp/B08TVGF4MS/ref=sr_1_5?keywords=Greenlee+GSB01+1%2F2%22+Step+Bit+%28%231%29&amp;qid=1695173747&amp;sr=8-5</v>
      </c>
      <c r="F908" t="s">
        <v>2321</v>
      </c>
      <c r="G908" t="e">
        <f ca="1">_xludf.IMAGE("https://edmondsonsupply.com/cdn/shop/files/GSB01_CAT1_72dpi_1.jpg?v=1687790366")</f>
        <v>#NAME?</v>
      </c>
      <c r="H908" t="e">
        <f ca="1">_xludf.IMAGE("https://m.media-amazon.com/images/I/41J5YEXJLpL._AC_UY218_.jpg")</f>
        <v>#NAME?</v>
      </c>
      <c r="I908" t="s">
        <v>2322</v>
      </c>
      <c r="J908">
        <v>68.430000000000007</v>
      </c>
      <c r="K908" s="4">
        <v>1.1919</v>
      </c>
      <c r="L908">
        <v>3.8</v>
      </c>
      <c r="M908">
        <v>5</v>
      </c>
      <c r="O908" t="s">
        <v>25</v>
      </c>
      <c r="P908" t="s">
        <v>138</v>
      </c>
      <c r="Q908" t="s">
        <v>2323</v>
      </c>
    </row>
    <row r="909" spans="1:17" ht="15.5" x14ac:dyDescent="0.35">
      <c r="A909"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909" s="3" t="str">
        <f>HYPERLINK("https://edmondsonsupply.com/products/packard-pmj590-motor-start-capacitor-590-708-mfd-110-125-volt", "https://edmondsonsupply.com/products/packard-pmj590-motor-start-capacitor-590-708-mfd-110-125-volt")</f>
        <v>https://edmondsonsupply.com/products/packard-pmj590-motor-start-capacitor-590-708-mfd-110-125-volt</v>
      </c>
      <c r="C909" t="s">
        <v>1973</v>
      </c>
      <c r="D909" t="s">
        <v>2324</v>
      </c>
      <c r="E909" s="3" t="str">
        <f>HYPERLINK("https://www.amazon.com/590-708-110-125VAC-Capacitor-Electric-Replacement/dp/B0B7VR1PM8/ref=sr_1_8?keywords=Packard+PMJ590+Motor+Start+Capacitor+590-708+MFD+110-125+Volt&amp;qid=1695173547&amp;sr=8-8", "https://www.amazon.com/590-708-110-125VAC-Capacitor-Electric-Replacement/dp/B0B7VR1PM8/ref=sr_1_8?keywords=Packard+PMJ590+Motor+Start+Capacitor+590-708+MFD+110-125+Volt&amp;qid=1695173547&amp;sr=8-8")</f>
        <v>https://www.amazon.com/590-708-110-125VAC-Capacitor-Electric-Replacement/dp/B0B7VR1PM8/ref=sr_1_8?keywords=Packard+PMJ590+Motor+Start+Capacitor+590-708+MFD+110-125+Volt&amp;qid=1695173547&amp;sr=8-8</v>
      </c>
      <c r="F909" t="s">
        <v>2325</v>
      </c>
      <c r="G909" t="e">
        <f ca="1">_xludf.IMAGE("https://edmondsonsupply.com/cdn/shop/products/PMJ590-2.jpg?v=1633030307")</f>
        <v>#NAME?</v>
      </c>
      <c r="H909" t="e">
        <f ca="1">_xludf.IMAGE("https://m.media-amazon.com/images/I/71lwYOaucJL._AC_UY218_.jpg")</f>
        <v>#NAME?</v>
      </c>
      <c r="I909" t="s">
        <v>1974</v>
      </c>
      <c r="J909">
        <v>13.49</v>
      </c>
      <c r="K909" s="4">
        <v>1.1828000000000001</v>
      </c>
      <c r="L909">
        <v>4.5999999999999996</v>
      </c>
      <c r="M909">
        <v>12</v>
      </c>
      <c r="O909" t="s">
        <v>25</v>
      </c>
      <c r="P909" t="s">
        <v>138</v>
      </c>
      <c r="Q909" t="s">
        <v>1975</v>
      </c>
    </row>
    <row r="910" spans="1:17" ht="15.5" x14ac:dyDescent="0.35">
      <c r="A910" s="3" t="str">
        <f>HYPERLINK("https://edmondsonsupply.com/collections/hvac/products/icm-controls-icm203-delay-on-break-timer-with-03-10-minute-adjustable-time-delay-universal-18-240-vac", "https://edmondsonsupply.com/collections/hvac/products/icm-controls-icm203-delay-on-break-timer-with-03-10-minute-adjustable-time-delay-universal-18-240-vac")</f>
        <v>https://edmondsonsupply.com/collections/hvac/products/icm-controls-icm203-delay-on-break-timer-with-03-10-minute-adjustable-time-delay-universal-18-240-vac</v>
      </c>
      <c r="B910" s="3" t="str">
        <f>HYPERLINK("https://edmondsonsupply.com/products/icm-controls-icm203-delay-on-break-timer-with-03-10-minute-adjustable-time-delay-universal-18-240-vac", "https://edmondsonsupply.com/products/icm-controls-icm203-delay-on-break-timer-with-03-10-minute-adjustable-time-delay-universal-18-240-vac")</f>
        <v>https://edmondsonsupply.com/products/icm-controls-icm203-delay-on-break-timer-with-03-10-minute-adjustable-time-delay-universal-18-240-vac</v>
      </c>
      <c r="C910" t="s">
        <v>2326</v>
      </c>
      <c r="D910" t="s">
        <v>2235</v>
      </c>
      <c r="E910" s="3" t="str">
        <f>HYPERLINK("https://www.amazon.com/ICM-Controls-ICM105-Adjustable-Universal/dp/B00441XZXK/ref=sr_1_1?keywords=ICM+Controls+ICM203+Delay+on+Break+Timer+with+.03-10+Minute+Adjustable+Time+Delay%2C+Universal+18-240+VAC&amp;qid=1695173465&amp;sr=8-1", "https://www.amazon.com/ICM-Controls-ICM105-Adjustable-Universal/dp/B00441XZXK/ref=sr_1_1?keywords=ICM+Controls+ICM203+Delay+on+Break+Timer+with+.03-10+Minute+Adjustable+Time+Delay%2C+Universal+18-240+VAC&amp;qid=1695173465&amp;sr=8-1")</f>
        <v>https://www.amazon.com/ICM-Controls-ICM105-Adjustable-Universal/dp/B00441XZXK/ref=sr_1_1?keywords=ICM+Controls+ICM203+Delay+on+Break+Timer+with+.03-10+Minute+Adjustable+Time+Delay%2C+Universal+18-240+VAC&amp;qid=1695173465&amp;sr=8-1</v>
      </c>
      <c r="F910" t="s">
        <v>2236</v>
      </c>
      <c r="G910" t="e">
        <f ca="1">_xludf.IMAGE("https://edmondsonsupply.com/cdn/shop/products/icm203.jpg?v=1587148866")</f>
        <v>#NAME?</v>
      </c>
      <c r="H910" t="e">
        <f ca="1">_xludf.IMAGE("https://m.media-amazon.com/images/I/61Fd+ZYvG1L._AC_UL320_.jpg")</f>
        <v>#NAME?</v>
      </c>
      <c r="I910" t="s">
        <v>2327</v>
      </c>
      <c r="J910">
        <v>34.25</v>
      </c>
      <c r="K910" s="4">
        <v>1.1815</v>
      </c>
      <c r="L910">
        <v>4.3</v>
      </c>
      <c r="M910">
        <v>4</v>
      </c>
      <c r="O910" t="s">
        <v>25</v>
      </c>
      <c r="P910" t="s">
        <v>2328</v>
      </c>
      <c r="Q910" t="s">
        <v>2329</v>
      </c>
    </row>
    <row r="911" spans="1:17" ht="15.5" x14ac:dyDescent="0.35">
      <c r="A911" s="3" t="str">
        <f>HYPERLINK("https://edmondsonsupply.com/collections/hvac/products/packard-psmj400-motor-start-capacitor-400-480-mfd-165-vac", "https://edmondsonsupply.com/collections/hvac/products/packard-psmj400-motor-start-capacitor-400-480-mfd-165-vac")</f>
        <v>https://edmondsonsupply.com/collections/hvac/products/packard-psmj400-motor-start-capacitor-400-480-mfd-165-vac</v>
      </c>
      <c r="B911" s="3" t="str">
        <f>HYPERLINK("https://edmondsonsupply.com/products/packard-psmj400-motor-start-capacitor-400-480-mfd-165-vac", "https://edmondsonsupply.com/products/packard-psmj400-motor-start-capacitor-400-480-mfd-165-vac")</f>
        <v>https://edmondsonsupply.com/products/packard-psmj400-motor-start-capacitor-400-480-mfd-165-vac</v>
      </c>
      <c r="C911" t="s">
        <v>2330</v>
      </c>
      <c r="D911" t="s">
        <v>2331</v>
      </c>
      <c r="E911" s="3" t="str">
        <f>HYPERLINK("https://www.amazon.com/PTMJ400-Packard-Aftermarket-Replacement-Capacitor/dp/B00IWYFYDE/ref=sr_1_9?keywords=Packard+PSMJ400+Motor+Start+Capacitor+400-480+MFD+165+VAC&amp;qid=1695173567&amp;sr=8-9", "https://www.amazon.com/PTMJ400-Packard-Aftermarket-Replacement-Capacitor/dp/B00IWYFYDE/ref=sr_1_9?keywords=Packard+PSMJ400+Motor+Start+Capacitor+400-480+MFD+165+VAC&amp;qid=1695173567&amp;sr=8-9")</f>
        <v>https://www.amazon.com/PTMJ400-Packard-Aftermarket-Replacement-Capacitor/dp/B00IWYFYDE/ref=sr_1_9?keywords=Packard+PSMJ400+Motor+Start+Capacitor+400-480+MFD+165+VAC&amp;qid=1695173567&amp;sr=8-9</v>
      </c>
      <c r="F911" t="s">
        <v>2332</v>
      </c>
      <c r="G911" t="e">
        <f ca="1">_xludf.IMAGE("https://edmondsonsupply.com/cdn/shop/products/PSMJ400-2.jpg?v=1587142312")</f>
        <v>#NAME?</v>
      </c>
      <c r="H911" t="e">
        <f ca="1">_xludf.IMAGE("https://m.media-amazon.com/images/I/41YA8FRvjCL._AC_UY218_.jpg")</f>
        <v>#NAME?</v>
      </c>
      <c r="I911" t="s">
        <v>2202</v>
      </c>
      <c r="J911">
        <v>17.25</v>
      </c>
      <c r="K911" s="4">
        <v>1.1779999999999999</v>
      </c>
      <c r="L911">
        <v>4.5</v>
      </c>
      <c r="M911">
        <v>68</v>
      </c>
      <c r="O911" t="s">
        <v>25</v>
      </c>
      <c r="P911" t="s">
        <v>138</v>
      </c>
      <c r="Q911" t="s">
        <v>2333</v>
      </c>
    </row>
    <row r="912" spans="1:17" ht="15.5" x14ac:dyDescent="0.35">
      <c r="A912" s="3" t="str">
        <f>HYPERLINK("https://edmondsonsupply.com/collections/hvac/products/hilmor-1839046", "https://edmondsonsupply.com/collections/hvac/products/hilmor-1839046")</f>
        <v>https://edmondsonsupply.com/collections/hvac/products/hilmor-1839046</v>
      </c>
      <c r="B912" s="3" t="str">
        <f>HYPERLINK("https://edmondsonsupply.com/products/hilmor-1839046", "https://edmondsonsupply.com/products/hilmor-1839046")</f>
        <v>https://edmondsonsupply.com/products/hilmor-1839046</v>
      </c>
      <c r="C912" t="s">
        <v>146</v>
      </c>
      <c r="D912" t="s">
        <v>185</v>
      </c>
      <c r="E912" s="3" t="str">
        <f>HYPERLINK("https://www.amazon.com/service-Adapter-conditioning-Conditioning-Equipment/dp/B09F2QDV9L/ref=sr_1_10?keywords=Hilmor+1839046+Service+Wrench+Hex+Key+Adapter&amp;qid=1695173450&amp;sr=8-10", "https://www.amazon.com/service-Adapter-conditioning-Conditioning-Equipment/dp/B09F2QDV9L/ref=sr_1_10?keywords=Hilmor+1839046+Service+Wrench+Hex+Key+Adapter&amp;qid=1695173450&amp;sr=8-10")</f>
        <v>https://www.amazon.com/service-Adapter-conditioning-Conditioning-Equipment/dp/B09F2QDV9L/ref=sr_1_10?keywords=Hilmor+1839046+Service+Wrench+Hex+Key+Adapter&amp;qid=1695173450&amp;sr=8-10</v>
      </c>
      <c r="F912" t="s">
        <v>186</v>
      </c>
      <c r="G912" t="e">
        <f ca="1">_xludf.IMAGE("https://edmondsonsupply.com/cdn/shop/products/s-l500.jpg?v=1633030254")</f>
        <v>#NAME?</v>
      </c>
      <c r="H912" t="e">
        <f ca="1">_xludf.IMAGE("https://m.media-amazon.com/images/I/51yUeB2BhJL._AC_UL320_.jpg")</f>
        <v>#NAME?</v>
      </c>
      <c r="I912" t="s">
        <v>149</v>
      </c>
      <c r="J912">
        <v>6.99</v>
      </c>
      <c r="K912" s="4">
        <v>1.1708000000000001</v>
      </c>
      <c r="L912">
        <v>4.5</v>
      </c>
      <c r="M912">
        <v>64</v>
      </c>
      <c r="O912" t="s">
        <v>25</v>
      </c>
      <c r="P912" t="s">
        <v>138</v>
      </c>
      <c r="Q912" t="s">
        <v>150</v>
      </c>
    </row>
    <row r="913" spans="1:17" ht="15.5" x14ac:dyDescent="0.35">
      <c r="A913" s="3" t="str">
        <f>HYPERLINK("https://edmondsonsupply.com/collections/hvac/products/supco-shp450250-high-pressure-control-switch-450-250-psi", "https://edmondsonsupply.com/collections/hvac/products/supco-shp450250-high-pressure-control-switch-450-250-psi")</f>
        <v>https://edmondsonsupply.com/collections/hvac/products/supco-shp450250-high-pressure-control-switch-450-250-psi</v>
      </c>
      <c r="B913" s="3" t="str">
        <f>HYPERLINK("https://edmondsonsupply.com/products/supco-shp450250-high-pressure-control-switch-450-250-psi", "https://edmondsonsupply.com/products/supco-shp450250-high-pressure-control-switch-450-250-psi")</f>
        <v>https://edmondsonsupply.com/products/supco-shp450250-high-pressure-control-switch-450-250-psi</v>
      </c>
      <c r="C913" t="s">
        <v>2334</v>
      </c>
      <c r="D913" t="s">
        <v>2335</v>
      </c>
      <c r="E913" s="3" t="str">
        <f>HYPERLINK("https://www.amazon.com/SHP450250-Pressure-Control-Switch-450-250/dp/B09L595N9W/ref=sr_1_1?keywords=Supco+SHP450250+High+Pressure+Control+Switch%2C+450-250+PSI&amp;qid=1695173381&amp;sr=8-1", "https://www.amazon.com/SHP450250-Pressure-Control-Switch-450-250/dp/B09L595N9W/ref=sr_1_1?keywords=Supco+SHP450250+High+Pressure+Control+Switch%2C+450-250+PSI&amp;qid=1695173381&amp;sr=8-1")</f>
        <v>https://www.amazon.com/SHP450250-Pressure-Control-Switch-450-250/dp/B09L595N9W/ref=sr_1_1?keywords=Supco+SHP450250+High+Pressure+Control+Switch%2C+450-250+PSI&amp;qid=1695173381&amp;sr=8-1</v>
      </c>
      <c r="F913" t="s">
        <v>2336</v>
      </c>
      <c r="G913" t="e">
        <f ca="1">_xludf.IMAGE("https://edmondsonsupply.com/cdn/shop/products/SHP450250-2.jpg?v=1674514320")</f>
        <v>#NAME?</v>
      </c>
      <c r="H913" t="e">
        <f ca="1">_xludf.IMAGE("https://m.media-amazon.com/images/I/51ByxhLHfuL._AC_UY218_.jpg")</f>
        <v>#NAME?</v>
      </c>
      <c r="I913" t="s">
        <v>2337</v>
      </c>
      <c r="J913">
        <v>25.99</v>
      </c>
      <c r="K913" s="4">
        <v>1.1676</v>
      </c>
      <c r="L913">
        <v>5</v>
      </c>
      <c r="M913">
        <v>1</v>
      </c>
      <c r="O913" t="s">
        <v>25</v>
      </c>
      <c r="P913" t="s">
        <v>138</v>
      </c>
      <c r="Q913" t="s">
        <v>2338</v>
      </c>
    </row>
    <row r="914" spans="1:17" ht="15.5" x14ac:dyDescent="0.35">
      <c r="A914"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914" s="3" t="str">
        <f>HYPERLINK("https://edmondsonsupply.com/products/packard-c140a-contactor-1-pole-40-amps-24-coil-voltage", "https://edmondsonsupply.com/products/packard-c140a-contactor-1-pole-40-amps-24-coil-voltage")</f>
        <v>https://edmondsonsupply.com/products/packard-c140a-contactor-1-pole-40-amps-24-coil-voltage</v>
      </c>
      <c r="C914" t="s">
        <v>2339</v>
      </c>
      <c r="D914" t="s">
        <v>2340</v>
      </c>
      <c r="E914" s="3" t="str">
        <f>HYPERLINK("https://www.amazon.com/Ducane-Packard-Replacement-Contactor-C140A/dp/B00S8IZ44I/ref=sr_1_8?keywords=Packard+C140A+Contactor+1+Pole+40+AMPS+24+Coil+Voltage&amp;qid=1695173362&amp;sr=8-8", "https://www.amazon.com/Ducane-Packard-Replacement-Contactor-C140A/dp/B00S8IZ44I/ref=sr_1_8?keywords=Packard+C140A+Contactor+1+Pole+40+AMPS+24+Coil+Voltage&amp;qid=1695173362&amp;sr=8-8")</f>
        <v>https://www.amazon.com/Ducane-Packard-Replacement-Contactor-C140A/dp/B00S8IZ44I/ref=sr_1_8?keywords=Packard+C140A+Contactor+1+Pole+40+AMPS+24+Coil+Voltage&amp;qid=1695173362&amp;sr=8-8</v>
      </c>
      <c r="F914" t="s">
        <v>2341</v>
      </c>
      <c r="G914" t="e">
        <f ca="1">_xludf.IMAGE("https://edmondsonsupply.com/cdn/shop/products/C140A-1.jpg?v=1587147314")</f>
        <v>#NAME?</v>
      </c>
      <c r="H914" t="e">
        <f ca="1">_xludf.IMAGE("https://m.media-amazon.com/images/I/51q4ngffe+L._AC_UY218_.jpg")</f>
        <v>#NAME?</v>
      </c>
      <c r="I914" t="s">
        <v>2342</v>
      </c>
      <c r="J914">
        <v>21.61</v>
      </c>
      <c r="K914" s="4">
        <v>1.1653</v>
      </c>
      <c r="L914">
        <v>4.7</v>
      </c>
      <c r="M914">
        <v>2</v>
      </c>
      <c r="O914" t="s">
        <v>25</v>
      </c>
      <c r="P914" t="s">
        <v>138</v>
      </c>
      <c r="Q914" t="s">
        <v>2343</v>
      </c>
    </row>
    <row r="915" spans="1:17" ht="15.5" x14ac:dyDescent="0.35">
      <c r="A915" s="3" t="str">
        <f>HYPERLINK("https://edmondsonsupply.com/collections/hvac/products/packard-titan-pro-trcd355-run-capacitor-35-5-mfd-370-volt-round", "https://edmondsonsupply.com/collections/hvac/products/packard-titan-pro-trcd355-run-capacitor-35-5-mfd-370-volt-round")</f>
        <v>https://edmondsonsupply.com/collections/hvac/products/packard-titan-pro-trcd355-run-capacitor-35-5-mfd-370-volt-round</v>
      </c>
      <c r="B915" s="3" t="str">
        <f>HYPERLINK("https://edmondsonsupply.com/products/packard-titan-pro-trcd355-run-capacitor-35-5-mfd-370-volt-round", "https://edmondsonsupply.com/products/packard-titan-pro-trcd355-run-capacitor-35-5-mfd-370-volt-round")</f>
        <v>https://edmondsonsupply.com/products/packard-titan-pro-trcd355-run-capacitor-35-5-mfd-370-volt-round</v>
      </c>
      <c r="C915" t="s">
        <v>2291</v>
      </c>
      <c r="D915" t="s">
        <v>2200</v>
      </c>
      <c r="E915" s="3" t="str">
        <f>HYPERLINK("https://www.amazon.com/PACKARD-TRCD455-Capacitor-Replaces-PRCD455/dp/B01N55F81Z/ref=sr_1_3?keywords=Packard+Titan+PRO+TRCD355+Run+Capacitor+35+5+MFD+370+Volt+Round&amp;qid=1695173450&amp;sr=8-3", "https://www.amazon.com/PACKARD-TRCD455-Capacitor-Replaces-PRCD455/dp/B01N55F81Z/ref=sr_1_3?keywords=Packard+Titan+PRO+TRCD355+Run+Capacitor+35+5+MFD+370+Volt+Round&amp;qid=1695173450&amp;sr=8-3")</f>
        <v>https://www.amazon.com/PACKARD-TRCD455-Capacitor-Replaces-PRCD455/dp/B01N55F81Z/ref=sr_1_3?keywords=Packard+Titan+PRO+TRCD355+Run+Capacitor+35+5+MFD+370+Volt+Round&amp;qid=1695173450&amp;sr=8-3</v>
      </c>
      <c r="F915" t="s">
        <v>2201</v>
      </c>
      <c r="G915" t="e">
        <f ca="1">_xludf.IMAGE("https://edmondsonsupply.com/cdn/shop/products/TRCD355-2.jpg?v=1633030395")</f>
        <v>#NAME?</v>
      </c>
      <c r="H915" t="e">
        <f ca="1">_xludf.IMAGE("https://m.media-amazon.com/images/I/41CL3hacDyL._AC_UY218_.jpg")</f>
        <v>#NAME?</v>
      </c>
      <c r="I915" t="s">
        <v>2294</v>
      </c>
      <c r="J915">
        <v>18.43</v>
      </c>
      <c r="K915" s="4">
        <v>1.1606000000000001</v>
      </c>
      <c r="L915">
        <v>5</v>
      </c>
      <c r="M915">
        <v>2</v>
      </c>
      <c r="O915" t="s">
        <v>25</v>
      </c>
      <c r="P915" t="s">
        <v>138</v>
      </c>
      <c r="Q915" t="s">
        <v>2295</v>
      </c>
    </row>
    <row r="916" spans="1:17" ht="15.5" x14ac:dyDescent="0.35">
      <c r="A916"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916"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916" t="s">
        <v>2344</v>
      </c>
      <c r="D916" t="s">
        <v>2345</v>
      </c>
      <c r="E916" s="3" t="str">
        <f>HYPERLINK("https://www.amazon.com/Klein-Tools-JTH6M3BE-Journeyman-T-Handle/dp/B0CGLYY7WP/ref=sr_1_4?keywords=Klein+Tools+JTH6E14+5%2F16-Inch+Hex+Key+with+Journeyman+T-Handle%2C+6-Inch&amp;qid=1695173449&amp;sr=8-4", "https://www.amazon.com/Klein-Tools-JTH6M3BE-Journeyman-T-Handle/dp/B0CGLYY7WP/ref=sr_1_4?keywords=Klein+Tools+JTH6E14+5%2F16-Inch+Hex+Key+with+Journeyman+T-Handle%2C+6-Inch&amp;qid=1695173449&amp;sr=8-4")</f>
        <v>https://www.amazon.com/Klein-Tools-JTH6M3BE-Journeyman-T-Handle/dp/B0CGLYY7WP/ref=sr_1_4?keywords=Klein+Tools+JTH6E14+5%2F16-Inch+Hex+Key+with+Journeyman+T-Handle%2C+6-Inch&amp;qid=1695173449&amp;sr=8-4</v>
      </c>
      <c r="F916" t="s">
        <v>2346</v>
      </c>
      <c r="G916" t="e">
        <f ca="1">_xludf.IMAGE("https://edmondsonsupply.com/cdn/shop/products/jth6e15.jpg?v=1587148489")</f>
        <v>#NAME?</v>
      </c>
      <c r="H916" t="e">
        <f ca="1">_xludf.IMAGE("https://m.media-amazon.com/images/I/413sTNFMd7L._AC_UL320_.jpg")</f>
        <v>#NAME?</v>
      </c>
      <c r="I916" t="s">
        <v>2347</v>
      </c>
      <c r="J916">
        <v>15.1</v>
      </c>
      <c r="K916" s="4">
        <v>1.1601999999999999</v>
      </c>
      <c r="L916">
        <v>4.5999999999999996</v>
      </c>
      <c r="M916">
        <v>184</v>
      </c>
      <c r="O916" t="s">
        <v>25</v>
      </c>
      <c r="P916" t="s">
        <v>1140</v>
      </c>
      <c r="Q916" t="s">
        <v>2348</v>
      </c>
    </row>
    <row r="917" spans="1:17" ht="15.5" x14ac:dyDescent="0.35">
      <c r="A917"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917" s="3" t="str">
        <f>HYPERLINK("https://edmondsonsupply.com/products/packard-prmj189-motor-start-capacitor-189-227-mfd-330-vac", "https://edmondsonsupply.com/products/packard-prmj189-motor-start-capacitor-189-227-mfd-330-vac")</f>
        <v>https://edmondsonsupply.com/products/packard-prmj189-motor-start-capacitor-189-227-mfd-330-vac</v>
      </c>
      <c r="C917" t="s">
        <v>2216</v>
      </c>
      <c r="D917" t="s">
        <v>2349</v>
      </c>
      <c r="E917" s="3" t="str">
        <f>HYPERLINK("https://www.amazon.com/PRMJ189-Packard-Aftermarket-Replacement-Capacitor/dp/B00IWYGOTM/ref=sr_1_3?keywords=Packard+PRMJ189+Motor+Start+Capacitor+189-227+MFD+330+VAC&amp;qid=1695173678&amp;sr=8-3", "https://www.amazon.com/PRMJ189-Packard-Aftermarket-Replacement-Capacitor/dp/B00IWYGOTM/ref=sr_1_3?keywords=Packard+PRMJ189+Motor+Start+Capacitor+189-227+MFD+330+VAC&amp;qid=1695173678&amp;sr=8-3")</f>
        <v>https://www.amazon.com/PRMJ189-Packard-Aftermarket-Replacement-Capacitor/dp/B00IWYGOTM/ref=sr_1_3?keywords=Packard+PRMJ189+Motor+Start+Capacitor+189-227+MFD+330+VAC&amp;qid=1695173678&amp;sr=8-3</v>
      </c>
      <c r="F917" t="s">
        <v>2350</v>
      </c>
      <c r="G917" t="e">
        <f ca="1">_xludf.IMAGE("https://edmondsonsupply.com/cdn/shop/products/PRMJ189-2.jpg?v=1663378512")</f>
        <v>#NAME?</v>
      </c>
      <c r="H917" t="e">
        <f ca="1">_xludf.IMAGE("https://m.media-amazon.com/images/I/41iN-8gLZyL._AC_UY218_.jpg")</f>
        <v>#NAME?</v>
      </c>
      <c r="I917" t="s">
        <v>2219</v>
      </c>
      <c r="J917">
        <v>18.489999999999998</v>
      </c>
      <c r="K917" s="4">
        <v>1.1525000000000001</v>
      </c>
      <c r="L917">
        <v>5</v>
      </c>
      <c r="M917">
        <v>1</v>
      </c>
      <c r="O917" t="s">
        <v>25</v>
      </c>
      <c r="P917" t="s">
        <v>138</v>
      </c>
      <c r="Q917" t="s">
        <v>2220</v>
      </c>
    </row>
    <row r="918" spans="1:17" ht="15.5" x14ac:dyDescent="0.35">
      <c r="A918" s="3" t="str">
        <f>HYPERLINK("https://edmondsonsupply.com/collections/hvac/products/packard-trcfd305-titan-pro-run-capacitor-30-5-mfd-440-370-volt-round", "https://edmondsonsupply.com/collections/hvac/products/packard-trcfd305-titan-pro-run-capacitor-30-5-mfd-440-370-volt-round")</f>
        <v>https://edmondsonsupply.com/collections/hvac/products/packard-trcfd305-titan-pro-run-capacitor-30-5-mfd-440-370-volt-round</v>
      </c>
      <c r="B918" s="3" t="str">
        <f>HYPERLINK("https://edmondsonsupply.com/products/packard-trcfd305-titan-pro-run-capacitor-30-5-mfd-440-370-volt-round", "https://edmondsonsupply.com/products/packard-trcfd305-titan-pro-run-capacitor-30-5-mfd-440-370-volt-round")</f>
        <v>https://edmondsonsupply.com/products/packard-trcfd305-titan-pro-run-capacitor-30-5-mfd-440-370-volt-round</v>
      </c>
      <c r="C918" t="s">
        <v>2351</v>
      </c>
      <c r="D918" t="s">
        <v>2352</v>
      </c>
      <c r="E918" s="3" t="str">
        <f>HYPERLINK("https://www.amazon.com/Capacitor-Microfarad-Rating-370-440VAC-Voltage/dp/B08TTPB9QZ/ref=sr_1_3?keywords=Packard+TRCFD305+Titan+PRO+Run+Capacitor+30+5+MFD+440%2F370+Volt%2C+Round&amp;qid=1695173481&amp;sr=8-3", "https://www.amazon.com/Capacitor-Microfarad-Rating-370-440VAC-Voltage/dp/B08TTPB9QZ/ref=sr_1_3?keywords=Packard+TRCFD305+Titan+PRO+Run+Capacitor+30+5+MFD+440%2F370+Volt%2C+Round&amp;qid=1695173481&amp;sr=8-3")</f>
        <v>https://www.amazon.com/Capacitor-Microfarad-Rating-370-440VAC-Voltage/dp/B08TTPB9QZ/ref=sr_1_3?keywords=Packard+TRCFD305+Titan+PRO+Run+Capacitor+30+5+MFD+440%2F370+Volt%2C+Round&amp;qid=1695173481&amp;sr=8-3</v>
      </c>
      <c r="F918" t="s">
        <v>2353</v>
      </c>
      <c r="G918" t="e">
        <f ca="1">_xludf.IMAGE("https://edmondsonsupply.com/cdn/shop/products/TRCFD305-2.jpg?v=1587144425")</f>
        <v>#NAME?</v>
      </c>
      <c r="H918" t="e">
        <f ca="1">_xludf.IMAGE("https://m.media-amazon.com/images/I/61rN-CX2SUL._AC_UY218_.jpg")</f>
        <v>#NAME?</v>
      </c>
      <c r="I918" t="s">
        <v>2354</v>
      </c>
      <c r="J918">
        <v>15.69</v>
      </c>
      <c r="K918" s="4">
        <v>1.1523000000000001</v>
      </c>
      <c r="L918">
        <v>5</v>
      </c>
      <c r="M918">
        <v>4</v>
      </c>
      <c r="O918" t="s">
        <v>171</v>
      </c>
      <c r="P918" t="s">
        <v>138</v>
      </c>
      <c r="Q918" t="s">
        <v>2355</v>
      </c>
    </row>
    <row r="919" spans="1:17" ht="15.5" x14ac:dyDescent="0.35">
      <c r="A919"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919" s="3" t="str">
        <f>HYPERLINK("https://edmondsonsupply.com/products/klein-tools-69417-rare-earth-magnetic-meter-hanger", "https://edmondsonsupply.com/products/klein-tools-69417-rare-earth-magnetic-meter-hanger")</f>
        <v>https://edmondsonsupply.com/products/klein-tools-69417-rare-earth-magnetic-meter-hanger</v>
      </c>
      <c r="C919" t="s">
        <v>1413</v>
      </c>
      <c r="D919" t="s">
        <v>2356</v>
      </c>
      <c r="E919" s="3" t="str">
        <f>HYPERLINK("https://www.amazon.com/Klein-Tools-Rare-Earth-Magnetic-Multimeter/dp/B0BGJ66GX4/ref=sr_1_2?keywords=Klein+Tools+69417+Rare+Earth+Magnetic+Meter+Hanger%2C+with+Strap&amp;qid=1695173681&amp;sr=8-2", "https://www.amazon.com/Klein-Tools-Rare-Earth-Magnetic-Multimeter/dp/B0BGJ66GX4/ref=sr_1_2?keywords=Klein+Tools+69417+Rare+Earth+Magnetic+Meter+Hanger%2C+with+Strap&amp;qid=1695173681&amp;sr=8-2")</f>
        <v>https://www.amazon.com/Klein-Tools-Rare-Earth-Magnetic-Multimeter/dp/B0BGJ66GX4/ref=sr_1_2?keywords=Klein+Tools+69417+Rare+Earth+Magnetic+Meter+Hanger%2C+with+Strap&amp;qid=1695173681&amp;sr=8-2</v>
      </c>
      <c r="F919" t="s">
        <v>2357</v>
      </c>
      <c r="G919" t="e">
        <f ca="1">_xludf.IMAGE("https://edmondsonsupply.com/cdn/shop/products/69417.jpg?v=1587150163")</f>
        <v>#NAME?</v>
      </c>
      <c r="H919" t="e">
        <f ca="1">_xludf.IMAGE("https://m.media-amazon.com/images/I/51Em03gaEVL._AC_UL320_.jpg")</f>
        <v>#NAME?</v>
      </c>
      <c r="I919" t="s">
        <v>288</v>
      </c>
      <c r="J919">
        <v>29.99</v>
      </c>
      <c r="K919" s="4">
        <v>1.1436999999999999</v>
      </c>
      <c r="L919">
        <v>5</v>
      </c>
      <c r="M919">
        <v>2</v>
      </c>
      <c r="O919" t="s">
        <v>25</v>
      </c>
      <c r="P919" t="s">
        <v>845</v>
      </c>
      <c r="Q919" t="s">
        <v>1416</v>
      </c>
    </row>
    <row r="920" spans="1:17" ht="15.5" x14ac:dyDescent="0.35">
      <c r="A920" s="3" t="str">
        <f>HYPERLINK("https://edmondsonsupply.com/collections/hvac/products/freud-99-240-2-drawer-lock-bit", "https://edmondsonsupply.com/collections/hvac/products/freud-99-240-2-drawer-lock-bit")</f>
        <v>https://edmondsonsupply.com/collections/hvac/products/freud-99-240-2-drawer-lock-bit</v>
      </c>
      <c r="B920" s="3" t="str">
        <f>HYPERLINK("https://edmondsonsupply.com/products/freud-99-240-2-drawer-lock-bit", "https://edmondsonsupply.com/products/freud-99-240-2-drawer-lock-bit")</f>
        <v>https://edmondsonsupply.com/products/freud-99-240-2-drawer-lock-bit</v>
      </c>
      <c r="C920" t="s">
        <v>2358</v>
      </c>
      <c r="D920" t="s">
        <v>2359</v>
      </c>
      <c r="E920" s="3" t="str">
        <f>HYPERLINK("https://www.amazon.com/Freud-Dia-Miter-Shank-99-034/dp/B0000225XP/ref=sr_1_4?keywords=Freud+99-240+2%22+Drawer+Lock+Bit&amp;qid=1695173757&amp;sr=8-4", "https://www.amazon.com/Freud-Dia-Miter-Shank-99-034/dp/B0000225XP/ref=sr_1_4?keywords=Freud+99-240+2%22+Drawer+Lock+Bit&amp;qid=1695173757&amp;sr=8-4")</f>
        <v>https://www.amazon.com/Freud-Dia-Miter-Shank-99-034/dp/B0000225XP/ref=sr_1_4?keywords=Freud+99-240+2%22+Drawer+Lock+Bit&amp;qid=1695173757&amp;sr=8-4</v>
      </c>
      <c r="F920" t="s">
        <v>2360</v>
      </c>
      <c r="G920" t="e">
        <f ca="1">_xludf.IMAGE("https://edmondsonsupply.com/cdn/shop/files/2-dia-drawer-lock-bit.webp?v=1687359925")</f>
        <v>#NAME?</v>
      </c>
      <c r="H920" t="e">
        <f ca="1">_xludf.IMAGE("https://m.media-amazon.com/images/I/61UI34sipzS._AC_UL320_.jpg")</f>
        <v>#NAME?</v>
      </c>
      <c r="I920" t="s">
        <v>2361</v>
      </c>
      <c r="J920">
        <v>78.930000000000007</v>
      </c>
      <c r="K920" s="4">
        <v>1.1344000000000001</v>
      </c>
      <c r="L920">
        <v>4.5</v>
      </c>
      <c r="M920">
        <v>219</v>
      </c>
      <c r="O920" t="s">
        <v>25</v>
      </c>
      <c r="P920" t="s">
        <v>2362</v>
      </c>
      <c r="Q920" t="s">
        <v>2363</v>
      </c>
    </row>
    <row r="921" spans="1:17" ht="15.5" x14ac:dyDescent="0.35">
      <c r="A921" s="3" t="str">
        <f>HYPERLINK("https://edmondsonsupply.com/collections/hvac/products/tajima-lcb-65-20-rock-hard-blade%E2%84%A2-h-utility-knife-blades-7-point-20-blade-hard-pack", "https://edmondsonsupply.com/collections/hvac/products/tajima-lcb-65-20-rock-hard-blade%E2%84%A2-h-utility-knife-blades-7-point-20-blade-hard-pack")</f>
        <v>https://edmondsonsupply.com/collections/hvac/products/tajima-lcb-65-20-rock-hard-blade%E2%84%A2-h-utility-knife-blades-7-point-20-blade-hard-pack</v>
      </c>
      <c r="B921" s="3" t="str">
        <f>HYPERLINK("https://edmondsonsupply.com/products/tajima-lcb-65-20-rock-hard-blade%e2%84%a2-h-utility-knife-blades-7-point-20-blade-hard-pack", "https://edmondsonsupply.com/products/tajima-lcb-65-20-rock-hard-blade%e2%84%a2-h-utility-knife-blades-7-point-20-blade-hard-pack")</f>
        <v>https://edmondsonsupply.com/products/tajima-lcb-65-20-rock-hard-blade%e2%84%a2-h-utility-knife-blades-7-point-20-blade-hard-pack</v>
      </c>
      <c r="C921" t="s">
        <v>2364</v>
      </c>
      <c r="D921" t="s">
        <v>2365</v>
      </c>
      <c r="E921" s="3" t="str">
        <f>HYPERLINK("https://www.amazon.com/Tajima-LCB-65-20-Replacement-Snap-Blades-Aluminist/dp/B0757V77QS/ref=sr_1_1?keywords=Tajima+LCB-65-20+Rock+Hard+Blade%E2%84%A2+H+Utility+Knife+Blades%2C+7-Point%2C+20-Blade+Hard+Pack&amp;qid=1695173632&amp;sr=8-1", "https://www.amazon.com/Tajima-LCB-65-20-Replacement-Snap-Blades-Aluminist/dp/B0757V77QS/ref=sr_1_1?keywords=Tajima+LCB-65-20+Rock+Hard+Blade%E2%84%A2+H+Utility+Knife+Blades%2C+7-Point%2C+20-Blade+Hard+Pack&amp;qid=1695173632&amp;sr=8-1")</f>
        <v>https://www.amazon.com/Tajima-LCB-65-20-Replacement-Snap-Blades-Aluminist/dp/B0757V77QS/ref=sr_1_1?keywords=Tajima+LCB-65-20+Rock+Hard+Blade%E2%84%A2+H+Utility+Knife+Blades%2C+7-Point%2C+20-Blade+Hard+Pack&amp;qid=1695173632&amp;sr=8-1</v>
      </c>
      <c r="F921" t="s">
        <v>2366</v>
      </c>
      <c r="G921" t="e">
        <f ca="1">_xludf.IMAGE("https://edmondsonsupply.com/cdn/shop/products/LCB-65-20.jpg?v=1633031161")</f>
        <v>#NAME?</v>
      </c>
      <c r="H921" t="e">
        <f ca="1">_xludf.IMAGE("https://m.media-amazon.com/images/I/41iB2Ns9RDL._AC_UL320_.jpg")</f>
        <v>#NAME?</v>
      </c>
      <c r="I921" t="s">
        <v>1786</v>
      </c>
      <c r="J921">
        <v>53.9</v>
      </c>
      <c r="K921" s="4">
        <v>1.1313</v>
      </c>
      <c r="L921">
        <v>4.2</v>
      </c>
      <c r="M921">
        <v>14</v>
      </c>
      <c r="O921" t="s">
        <v>25</v>
      </c>
      <c r="P921" t="s">
        <v>1786</v>
      </c>
      <c r="Q921" t="s">
        <v>2367</v>
      </c>
    </row>
    <row r="922" spans="1:17" ht="15.5" x14ac:dyDescent="0.35">
      <c r="A922"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922"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922" t="s">
        <v>2344</v>
      </c>
      <c r="D922" t="s">
        <v>2368</v>
      </c>
      <c r="E922" s="3" t="str">
        <f>HYPERLINK("https://www.amazon.com/Klein-Tools-JTH9E14-Journeyman-T-Handle/dp/B0CF2VDSX2/ref=sr_1_5?keywords=Klein+Tools+JTH6E14+5%2F16-Inch+Hex+Key+with+Journeyman+T-Handle%2C+6-Inch&amp;qid=1695173449&amp;sr=8-5", "https://www.amazon.com/Klein-Tools-JTH9E14-Journeyman-T-Handle/dp/B0CF2VDSX2/ref=sr_1_5?keywords=Klein+Tools+JTH6E14+5%2F16-Inch+Hex+Key+with+Journeyman+T-Handle%2C+6-Inch&amp;qid=1695173449&amp;sr=8-5")</f>
        <v>https://www.amazon.com/Klein-Tools-JTH9E14-Journeyman-T-Handle/dp/B0CF2VDSX2/ref=sr_1_5?keywords=Klein+Tools+JTH6E14+5%2F16-Inch+Hex+Key+with+Journeyman+T-Handle%2C+6-Inch&amp;qid=1695173449&amp;sr=8-5</v>
      </c>
      <c r="F922" t="s">
        <v>2369</v>
      </c>
      <c r="G922" t="e">
        <f ca="1">_xludf.IMAGE("https://edmondsonsupply.com/cdn/shop/products/jth6e15.jpg?v=1587148489")</f>
        <v>#NAME?</v>
      </c>
      <c r="H922" t="e">
        <f ca="1">_xludf.IMAGE("https://m.media-amazon.com/images/I/317IAARii7L._AC_UL320_.jpg")</f>
        <v>#NAME?</v>
      </c>
      <c r="I922" t="s">
        <v>2347</v>
      </c>
      <c r="J922">
        <v>14.88</v>
      </c>
      <c r="K922" s="4">
        <v>1.1288</v>
      </c>
      <c r="L922">
        <v>4.5999999999999996</v>
      </c>
      <c r="M922">
        <v>393</v>
      </c>
      <c r="O922" t="s">
        <v>25</v>
      </c>
      <c r="P922" t="s">
        <v>1140</v>
      </c>
      <c r="Q922" t="s">
        <v>2348</v>
      </c>
    </row>
    <row r="923" spans="1:17" ht="15.5" x14ac:dyDescent="0.35">
      <c r="A923" s="3" t="str">
        <f>HYPERLINK("https://edmondsonsupply.com/collections/hvac/products/packard-prmj216-motor-start-capacitor-216-259-mfd-330-vac", "https://edmondsonsupply.com/collections/hvac/products/packard-prmj216-motor-start-capacitor-216-259-mfd-330-vac")</f>
        <v>https://edmondsonsupply.com/collections/hvac/products/packard-prmj216-motor-start-capacitor-216-259-mfd-330-vac</v>
      </c>
      <c r="B923" s="3" t="str">
        <f>HYPERLINK("https://edmondsonsupply.com/products/packard-prmj216-motor-start-capacitor-216-259-mfd-330-vac", "https://edmondsonsupply.com/products/packard-prmj216-motor-start-capacitor-216-259-mfd-330-vac")</f>
        <v>https://edmondsonsupply.com/products/packard-prmj216-motor-start-capacitor-216-259-mfd-330-vac</v>
      </c>
      <c r="C923" t="s">
        <v>2370</v>
      </c>
      <c r="D923" t="s">
        <v>1601</v>
      </c>
      <c r="E923" s="3" t="str">
        <f>HYPERLINK("https://www.amazon.com/PRMJ216-Packard-Upgraded-Replacement-Capacitor/dp/B0773SJML1/ref=sr_1_1?keywords=Packard+PRMJ216+Motor+Start+Capacitor+216-259+MFD+330+VAC&amp;qid=1695173694&amp;sr=8-1", "https://www.amazon.com/PRMJ216-Packard-Upgraded-Replacement-Capacitor/dp/B0773SJML1/ref=sr_1_1?keywords=Packard+PRMJ216+Motor+Start+Capacitor+216-259+MFD+330+VAC&amp;qid=1695173694&amp;sr=8-1")</f>
        <v>https://www.amazon.com/PRMJ216-Packard-Upgraded-Replacement-Capacitor/dp/B0773SJML1/ref=sr_1_1?keywords=Packard+PRMJ216+Motor+Start+Capacitor+216-259+MFD+330+VAC&amp;qid=1695173694&amp;sr=8-1</v>
      </c>
      <c r="F923" t="s">
        <v>1602</v>
      </c>
      <c r="G923" t="e">
        <f ca="1">_xludf.IMAGE("https://edmondsonsupply.com/cdn/shop/products/PRMJ216-2.jpg?v=1633030106")</f>
        <v>#NAME?</v>
      </c>
      <c r="H923" t="e">
        <f ca="1">_xludf.IMAGE("https://m.media-amazon.com/images/I/41fqQrQgJaL._AC_UY218_.jpg")</f>
        <v>#NAME?</v>
      </c>
      <c r="I923" t="s">
        <v>2371</v>
      </c>
      <c r="J923">
        <v>18.989999999999998</v>
      </c>
      <c r="K923" s="4">
        <v>1.1242000000000001</v>
      </c>
      <c r="L923">
        <v>5</v>
      </c>
      <c r="M923">
        <v>1</v>
      </c>
      <c r="O923" t="s">
        <v>25</v>
      </c>
      <c r="P923" t="s">
        <v>138</v>
      </c>
      <c r="Q923" t="s">
        <v>2372</v>
      </c>
    </row>
    <row r="924" spans="1:17" ht="15.5" x14ac:dyDescent="0.35">
      <c r="A924" s="3" t="str">
        <f>HYPERLINK("https://edmondsonsupply.com/collections/hvac/products/rectorseal-66733-nokink-3-8-x-3-flexible-refrigerant-line-connector", "https://edmondsonsupply.com/collections/hvac/products/rectorseal-66733-nokink-3-8-x-3-flexible-refrigerant-line-connector")</f>
        <v>https://edmondsonsupply.com/collections/hvac/products/rectorseal-66733-nokink-3-8-x-3-flexible-refrigerant-line-connector</v>
      </c>
      <c r="B924" s="3" t="str">
        <f>HYPERLINK("https://edmondsonsupply.com/products/rectorseal-66733-nokink-3-8-x-3-flexible-refrigerant-line-connector", "https://edmondsonsupply.com/products/rectorseal-66733-nokink-3-8-x-3-flexible-refrigerant-line-connector")</f>
        <v>https://edmondsonsupply.com/products/rectorseal-66733-nokink-3-8-x-3-flexible-refrigerant-line-connector</v>
      </c>
      <c r="C924" t="s">
        <v>2373</v>
      </c>
      <c r="D924" t="s">
        <v>2374</v>
      </c>
      <c r="E924" s="3" t="str">
        <f>HYPERLINK("https://www.amazon.com/Rectorseal-68235-Flexible-Refrigerant-Connector/dp/B01ALRVLTA/ref=sr_1_1?keywords=RectorSeal+66733+NoKink+3%2F8%22+x+3%27+Flexible+Refrigerant+Line+Connector&amp;qid=1695173351&amp;sr=8-1", "https://www.amazon.com/Rectorseal-68235-Flexible-Refrigerant-Connector/dp/B01ALRVLTA/ref=sr_1_1?keywords=RectorSeal+66733+NoKink+3%2F8%22+x+3%27+Flexible+Refrigerant+Line+Connector&amp;qid=1695173351&amp;sr=8-1")</f>
        <v>https://www.amazon.com/Rectorseal-68235-Flexible-Refrigerant-Connector/dp/B01ALRVLTA/ref=sr_1_1?keywords=RectorSeal+66733+NoKink+3%2F8%22+x+3%27+Flexible+Refrigerant+Line+Connector&amp;qid=1695173351&amp;sr=8-1</v>
      </c>
      <c r="F924" t="s">
        <v>2375</v>
      </c>
      <c r="G924" t="e">
        <f ca="1">_xludf.IMAGE("https://edmondsonsupply.com/cdn/shop/products/66733-1.jpg?v=1632264229")</f>
        <v>#NAME?</v>
      </c>
      <c r="H924" t="e">
        <f ca="1">_xludf.IMAGE("https://m.media-amazon.com/images/I/51pjB6ZOm9L._AC_UL320_.jpg")</f>
        <v>#NAME?</v>
      </c>
      <c r="I924" t="s">
        <v>703</v>
      </c>
      <c r="J924">
        <v>133.66999999999999</v>
      </c>
      <c r="K924" s="4">
        <v>1.1221000000000001</v>
      </c>
      <c r="L924">
        <v>4</v>
      </c>
      <c r="M924">
        <v>5</v>
      </c>
      <c r="O924" t="s">
        <v>25</v>
      </c>
      <c r="P924" t="s">
        <v>138</v>
      </c>
      <c r="Q924" t="s">
        <v>2376</v>
      </c>
    </row>
    <row r="925" spans="1:17" ht="15.5" x14ac:dyDescent="0.35">
      <c r="A925"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925" s="3" t="str">
        <f>HYPERLINK("https://edmondsonsupply.com/products/packard-pmj460-motor-start-capacitor-460-552-mfd-110-125-vac", "https://edmondsonsupply.com/products/packard-pmj460-motor-start-capacitor-460-552-mfd-110-125-vac")</f>
        <v>https://edmondsonsupply.com/products/packard-pmj460-motor-start-capacitor-460-552-mfd-110-125-vac</v>
      </c>
      <c r="C925" t="s">
        <v>1622</v>
      </c>
      <c r="D925" t="s">
        <v>2377</v>
      </c>
      <c r="E925" s="3" t="str">
        <f>HYPERLINK("https://www.amazon.com/PMJ460-Packard-Aftermarket-Replacement-Capacitor/dp/B00IWYGPRS/ref=sr_1_1?keywords=Packard+PMJ460+Motor+Start+Capacitor+460-552+MFD+110-125+VAC&amp;qid=1695173457&amp;sr=8-1", "https://www.amazon.com/PMJ460-Packard-Aftermarket-Replacement-Capacitor/dp/B00IWYGPRS/ref=sr_1_1?keywords=Packard+PMJ460+Motor+Start+Capacitor+460-552+MFD+110-125+VAC&amp;qid=1695173457&amp;sr=8-1")</f>
        <v>https://www.amazon.com/PMJ460-Packard-Aftermarket-Replacement-Capacitor/dp/B00IWYGPRS/ref=sr_1_1?keywords=Packard+PMJ460+Motor+Start+Capacitor+460-552+MFD+110-125+VAC&amp;qid=1695173457&amp;sr=8-1</v>
      </c>
      <c r="F925" t="s">
        <v>2378</v>
      </c>
      <c r="G925" t="e">
        <f ca="1">_xludf.IMAGE("https://edmondsonsupply.com/cdn/shop/products/PMJ460-2.jpg?v=1633030333")</f>
        <v>#NAME?</v>
      </c>
      <c r="H925" t="e">
        <f ca="1">_xludf.IMAGE("https://m.media-amazon.com/images/I/41Aj4DTIUuL._AC_UY218_.jpg")</f>
        <v>#NAME?</v>
      </c>
      <c r="I925" t="s">
        <v>1623</v>
      </c>
      <c r="J925">
        <v>10.73</v>
      </c>
      <c r="K925" s="4">
        <v>1.1206</v>
      </c>
      <c r="L925">
        <v>4.7</v>
      </c>
      <c r="M925">
        <v>23</v>
      </c>
      <c r="O925" t="s">
        <v>171</v>
      </c>
      <c r="P925" t="s">
        <v>138</v>
      </c>
      <c r="Q925" t="s">
        <v>1624</v>
      </c>
    </row>
    <row r="926" spans="1:17" ht="15.5" x14ac:dyDescent="0.35">
      <c r="A926" s="3" t="str">
        <f>HYPERLINK("https://edmondsonsupply.com/collections/hvac/products/white-rodgers-24a34-5-24v-electric-heat-sequencer-dpst-spst", "https://edmondsonsupply.com/collections/hvac/products/white-rodgers-24a34-5-24v-electric-heat-sequencer-dpst-spst")</f>
        <v>https://edmondsonsupply.com/collections/hvac/products/white-rodgers-24a34-5-24v-electric-heat-sequencer-dpst-spst</v>
      </c>
      <c r="B926" s="3" t="str">
        <f>HYPERLINK("https://edmondsonsupply.com/products/white-rodgers-24a34-5-24v-electric-heat-sequencer-dpst-spst", "https://edmondsonsupply.com/products/white-rodgers-24a34-5-24v-electric-heat-sequencer-dpst-spst")</f>
        <v>https://edmondsonsupply.com/products/white-rodgers-24a34-5-24v-electric-heat-sequencer-dpst-spst</v>
      </c>
      <c r="C926" t="s">
        <v>2379</v>
      </c>
      <c r="D926" t="s">
        <v>2380</v>
      </c>
      <c r="E926" s="3" t="str">
        <f>HYPERLINK("https://www.amazon.com/Electric-Sequencer-Control-DPST-SPST-525-37327-000/dp/B0BMPTJH7C/ref=sr_1_2?keywords=White-Rodgers+24A34-5+24V+Electric+Heat+Sequencer%2C+DPST-SPST&amp;qid=1695173445&amp;sr=8-2", "https://www.amazon.com/Electric-Sequencer-Control-DPST-SPST-525-37327-000/dp/B0BMPTJH7C/ref=sr_1_2?keywords=White-Rodgers+24A34-5+24V+Electric+Heat+Sequencer%2C+DPST-SPST&amp;qid=1695173445&amp;sr=8-2")</f>
        <v>https://www.amazon.com/Electric-Sequencer-Control-DPST-SPST-525-37327-000/dp/B0BMPTJH7C/ref=sr_1_2?keywords=White-Rodgers+24A34-5+24V+Electric+Heat+Sequencer%2C+DPST-SPST&amp;qid=1695173445&amp;sr=8-2</v>
      </c>
      <c r="F926" t="s">
        <v>2381</v>
      </c>
      <c r="G926" t="e">
        <f ca="1">_xludf.IMAGE("https://edmondsonsupply.com/cdn/shop/products/24A34-5.jpg?v=1633030752")</f>
        <v>#NAME?</v>
      </c>
      <c r="H926" t="e">
        <f ca="1">_xludf.IMAGE("https://m.media-amazon.com/images/I/61MCgLlwPBL._AC_UY218_.jpg")</f>
        <v>#NAME?</v>
      </c>
      <c r="I926" t="s">
        <v>2382</v>
      </c>
      <c r="J926">
        <v>38.799999999999997</v>
      </c>
      <c r="K926" s="4">
        <v>1.1191</v>
      </c>
      <c r="L926">
        <v>3</v>
      </c>
      <c r="M926">
        <v>1</v>
      </c>
      <c r="O926" t="s">
        <v>25</v>
      </c>
      <c r="P926" t="s">
        <v>2383</v>
      </c>
      <c r="Q926" t="s">
        <v>2384</v>
      </c>
    </row>
    <row r="927" spans="1:17" ht="15.5" x14ac:dyDescent="0.35">
      <c r="A927"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927" s="3" t="str">
        <f>HYPERLINK("https://edmondsonsupply.com/products/klein-tools-jth4e17-1-2-inch-hex-key-journeyman-t-handle-4-inch", "https://edmondsonsupply.com/products/klein-tools-jth4e17-1-2-inch-hex-key-journeyman-t-handle-4-inch")</f>
        <v>https://edmondsonsupply.com/products/klein-tools-jth4e17-1-2-inch-hex-key-journeyman-t-handle-4-inch</v>
      </c>
      <c r="C927" t="s">
        <v>2385</v>
      </c>
      <c r="D927" t="s">
        <v>2386</v>
      </c>
      <c r="E927" s="3" t="str">
        <f>HYPERLINK("https://www.amazon.com/Journeyman-T-Handle-Klein-Tools-JTH6E13BE/dp/B004QW52YW/ref=sr_1_8?keywords=Klein+Tools+JTH4E11+3%2F16-Inch+Hex+Key+with+Journeyman+T-Handle%2C+4-Inch&amp;qid=1695173548&amp;sr=8-8", "https://www.amazon.com/Journeyman-T-Handle-Klein-Tools-JTH6E13BE/dp/B004QW52YW/ref=sr_1_8?keywords=Klein+Tools+JTH4E11+3%2F16-Inch+Hex+Key+with+Journeyman+T-Handle%2C+4-Inch&amp;qid=1695173548&amp;sr=8-8")</f>
        <v>https://www.amazon.com/Journeyman-T-Handle-Klein-Tools-JTH6E13BE/dp/B004QW52YW/ref=sr_1_8?keywords=Klein+Tools+JTH4E11+3%2F16-Inch+Hex+Key+with+Journeyman+T-Handle%2C+4-Inch&amp;qid=1695173548&amp;sr=8-8</v>
      </c>
      <c r="F927" t="s">
        <v>2387</v>
      </c>
      <c r="G927" t="e">
        <f ca="1">_xludf.IMAGE("https://edmondsonsupply.com/cdn/shop/products/jth4e17.jpg?v=1587144836")</f>
        <v>#NAME?</v>
      </c>
      <c r="H927" t="e">
        <f ca="1">_xludf.IMAGE("https://m.media-amazon.com/images/I/51f9vBFVXgL._AC_UL320_.jpg")</f>
        <v>#NAME?</v>
      </c>
      <c r="I927" t="s">
        <v>2388</v>
      </c>
      <c r="J927">
        <v>10.55</v>
      </c>
      <c r="K927" s="4">
        <v>1.1142000000000001</v>
      </c>
      <c r="L927">
        <v>4.7</v>
      </c>
      <c r="M927">
        <v>32</v>
      </c>
      <c r="O927" t="s">
        <v>25</v>
      </c>
      <c r="P927" t="s">
        <v>2389</v>
      </c>
      <c r="Q927" t="s">
        <v>2390</v>
      </c>
    </row>
    <row r="928" spans="1:17" ht="15.5" x14ac:dyDescent="0.35">
      <c r="A928"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928"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928" t="s">
        <v>2391</v>
      </c>
      <c r="D928" t="s">
        <v>2386</v>
      </c>
      <c r="E928" s="3" t="str">
        <f>HYPERLINK("https://www.amazon.com/Journeyman-T-Handle-Klein-Tools-JTH6E13BE/dp/B004QW52YW/ref=sr_1_2?keywords=Klein+Tools+JTH6E11+3%2F16-Inch+Hex+Key%2C+Journeyman+T-Handle%2C+6-Inch&amp;qid=1695173553&amp;sr=8-2", "https://www.amazon.com/Journeyman-T-Handle-Klein-Tools-JTH6E13BE/dp/B004QW52YW/ref=sr_1_2?keywords=Klein+Tools+JTH6E11+3%2F16-Inch+Hex+Key%2C+Journeyman+T-Handle%2C+6-Inch&amp;qid=1695173553&amp;sr=8-2")</f>
        <v>https://www.amazon.com/Journeyman-T-Handle-Klein-Tools-JTH6E13BE/dp/B004QW52YW/ref=sr_1_2?keywords=Klein+Tools+JTH6E11+3%2F16-Inch+Hex+Key%2C+Journeyman+T-Handle%2C+6-Inch&amp;qid=1695173553&amp;sr=8-2</v>
      </c>
      <c r="F928" t="s">
        <v>2387</v>
      </c>
      <c r="G928" t="e">
        <f ca="1">_xludf.IMAGE("https://edmondsonsupply.com/cdn/shop/products/jth6e15_0266106d-0a3b-44ba-997b-66db7749d83f.jpg?v=1587144829")</f>
        <v>#NAME?</v>
      </c>
      <c r="H928" t="e">
        <f ca="1">_xludf.IMAGE("https://m.media-amazon.com/images/I/51f9vBFVXgL._AC_UL320_.jpg")</f>
        <v>#NAME?</v>
      </c>
      <c r="I928" t="s">
        <v>2388</v>
      </c>
      <c r="J928">
        <v>10.55</v>
      </c>
      <c r="K928" s="4">
        <v>1.1142000000000001</v>
      </c>
      <c r="L928">
        <v>4.7</v>
      </c>
      <c r="M928">
        <v>32</v>
      </c>
      <c r="O928" t="s">
        <v>25</v>
      </c>
      <c r="P928" t="s">
        <v>2392</v>
      </c>
      <c r="Q928" t="s">
        <v>2393</v>
      </c>
    </row>
    <row r="929" spans="1:17" ht="15.5" x14ac:dyDescent="0.35">
      <c r="A929" s="3" t="str">
        <f>HYPERLINK("https://edmondsonsupply.com/collections/hvac/products/packard-trcfd305-titan-pro-run-capacitor-30-5-mfd-440-370-volt-round", "https://edmondsonsupply.com/collections/hvac/products/packard-trcfd305-titan-pro-run-capacitor-30-5-mfd-440-370-volt-round")</f>
        <v>https://edmondsonsupply.com/collections/hvac/products/packard-trcfd305-titan-pro-run-capacitor-30-5-mfd-440-370-volt-round</v>
      </c>
      <c r="B929" s="3" t="str">
        <f>HYPERLINK("https://edmondsonsupply.com/products/packard-trcfd305-titan-pro-run-capacitor-30-5-mfd-440-370-volt-round", "https://edmondsonsupply.com/products/packard-trcfd305-titan-pro-run-capacitor-30-5-mfd-440-370-volt-round")</f>
        <v>https://edmondsonsupply.com/products/packard-trcfd305-titan-pro-run-capacitor-30-5-mfd-440-370-volt-round</v>
      </c>
      <c r="C929" t="s">
        <v>2351</v>
      </c>
      <c r="D929" t="s">
        <v>2394</v>
      </c>
      <c r="E929" s="3" t="str">
        <f>HYPERLINK("https://www.amazon.com/TitanPro-TRCFD305-Round-Motor-Capacitor/dp/B06XHDG9PZ/ref=sr_1_1?keywords=Packard+TRCFD305+Titan+PRO+Run+Capacitor+30+5+MFD+440%2F370+Volt%2C+Round&amp;qid=1695173481&amp;sr=8-1", "https://www.amazon.com/TitanPro-TRCFD305-Round-Motor-Capacitor/dp/B06XHDG9PZ/ref=sr_1_1?keywords=Packard+TRCFD305+Titan+PRO+Run+Capacitor+30+5+MFD+440%2F370+Volt%2C+Round&amp;qid=1695173481&amp;sr=8-1")</f>
        <v>https://www.amazon.com/TitanPro-TRCFD305-Round-Motor-Capacitor/dp/B06XHDG9PZ/ref=sr_1_1?keywords=Packard+TRCFD305+Titan+PRO+Run+Capacitor+30+5+MFD+440%2F370+Volt%2C+Round&amp;qid=1695173481&amp;sr=8-1</v>
      </c>
      <c r="F929" t="s">
        <v>2395</v>
      </c>
      <c r="G929" t="e">
        <f ca="1">_xludf.IMAGE("https://edmondsonsupply.com/cdn/shop/products/TRCFD305-2.jpg?v=1587144425")</f>
        <v>#NAME?</v>
      </c>
      <c r="H929" t="e">
        <f ca="1">_xludf.IMAGE("https://m.media-amazon.com/images/I/61szuZnZP1L._AC_UY218_.jpg")</f>
        <v>#NAME?</v>
      </c>
      <c r="I929" t="s">
        <v>2354</v>
      </c>
      <c r="J929">
        <v>15.41</v>
      </c>
      <c r="K929" s="4">
        <v>1.1138999999999999</v>
      </c>
      <c r="L929">
        <v>4.7</v>
      </c>
      <c r="M929">
        <v>3</v>
      </c>
      <c r="O929" t="s">
        <v>171</v>
      </c>
      <c r="P929" t="s">
        <v>138</v>
      </c>
      <c r="Q929" t="s">
        <v>2355</v>
      </c>
    </row>
    <row r="930" spans="1:17" ht="15.5" x14ac:dyDescent="0.35">
      <c r="A930" s="3" t="str">
        <f>HYPERLINK("https://edmondsonsupply.com/collections/hvac/products/fresh-aire-uv-apco-tuv-apco-er2", "https://edmondsonsupply.com/collections/hvac/products/fresh-aire-uv-apco-tuv-apco-er2")</f>
        <v>https://edmondsonsupply.com/collections/hvac/products/fresh-aire-uv-apco-tuv-apco-er2</v>
      </c>
      <c r="B930" s="3" t="str">
        <f>HYPERLINK("https://edmondsonsupply.com/products/fresh-aire-uv-apco-tuv-apco-er2", "https://edmondsonsupply.com/products/fresh-aire-uv-apco-tuv-apco-er2")</f>
        <v>https://edmondsonsupply.com/products/fresh-aire-uv-apco-tuv-apco-er2</v>
      </c>
      <c r="C930" t="s">
        <v>2396</v>
      </c>
      <c r="D930" t="s">
        <v>2397</v>
      </c>
      <c r="E930" s="3" t="str">
        <f>HYPERLINK("https://www.amazon.com/Duct-System-Remote-2-Year-TUV-APCO-DER2/dp/B09P9S9GXM/ref=sr_1_9?keywords=Fresh-Aire+UV+APCO+TUV-APCO-ER2+18-32+VAC%2C+2-Year+UV+Lamp&amp;qid=1695173389&amp;sr=8-9", "https://www.amazon.com/Duct-System-Remote-2-Year-TUV-APCO-DER2/dp/B09P9S9GXM/ref=sr_1_9?keywords=Fresh-Aire+UV+APCO+TUV-APCO-ER2+18-32+VAC%2C+2-Year+UV+Lamp&amp;qid=1695173389&amp;sr=8-9")</f>
        <v>https://www.amazon.com/Duct-System-Remote-2-Year-TUV-APCO-DER2/dp/B09P9S9GXM/ref=sr_1_9?keywords=Fresh-Aire+UV+APCO+TUV-APCO-ER2+18-32+VAC%2C+2-Year+UV+Lamp&amp;qid=1695173389&amp;sr=8-9</v>
      </c>
      <c r="F930" t="s">
        <v>2398</v>
      </c>
      <c r="G930" t="e">
        <f ca="1">_xludf.IMAGE("https://edmondsonsupply.com/cdn/shop/products/fresh-aire-uv_tuv-apco-er2_article_1367841289911_en_normal.jpg?v=1587143929")</f>
        <v>#NAME?</v>
      </c>
      <c r="H930" t="e">
        <f ca="1">_xludf.IMAGE("https://m.media-amazon.com/images/I/71eH9k6ibZL._AC_UL320_.jpg")</f>
        <v>#NAME?</v>
      </c>
      <c r="I930" t="s">
        <v>2399</v>
      </c>
      <c r="J930">
        <v>814</v>
      </c>
      <c r="K930" s="4">
        <v>1.1089</v>
      </c>
      <c r="L930">
        <v>1</v>
      </c>
      <c r="M930">
        <v>1</v>
      </c>
      <c r="O930" t="s">
        <v>25</v>
      </c>
      <c r="P930" t="s">
        <v>138</v>
      </c>
      <c r="Q930" t="s">
        <v>2400</v>
      </c>
    </row>
    <row r="931" spans="1:17" ht="15.5" x14ac:dyDescent="0.35">
      <c r="A931"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931" s="3" t="str">
        <f>HYPERLINK("https://edmondsonsupply.com/products/packard-pmj590-motor-start-capacitor-590-708-mfd-110-125-volt", "https://edmondsonsupply.com/products/packard-pmj590-motor-start-capacitor-590-708-mfd-110-125-volt")</f>
        <v>https://edmondsonsupply.com/products/packard-pmj590-motor-start-capacitor-590-708-mfd-110-125-volt</v>
      </c>
      <c r="C931" t="s">
        <v>1973</v>
      </c>
      <c r="D931" t="s">
        <v>2401</v>
      </c>
      <c r="E931" s="3" t="str">
        <f>HYPERLINK("https://www.amazon.com/Canamax-590-708-110-125-Volts-Capacitor/dp/B0BTHNF9R1/ref=sr_1_10?keywords=Packard+PMJ590+Motor+Start+Capacitor+590-708+MFD+110-125+Volt&amp;qid=1695173547&amp;sr=8-10", "https://www.amazon.com/Canamax-590-708-110-125-Volts-Capacitor/dp/B0BTHNF9R1/ref=sr_1_10?keywords=Packard+PMJ590+Motor+Start+Capacitor+590-708+MFD+110-125+Volt&amp;qid=1695173547&amp;sr=8-10")</f>
        <v>https://www.amazon.com/Canamax-590-708-110-125-Volts-Capacitor/dp/B0BTHNF9R1/ref=sr_1_10?keywords=Packard+PMJ590+Motor+Start+Capacitor+590-708+MFD+110-125+Volt&amp;qid=1695173547&amp;sr=8-10</v>
      </c>
      <c r="F931" t="s">
        <v>2402</v>
      </c>
      <c r="G931" t="e">
        <f ca="1">_xludf.IMAGE("https://edmondsonsupply.com/cdn/shop/products/PMJ590-2.jpg?v=1633030307")</f>
        <v>#NAME?</v>
      </c>
      <c r="H931" t="e">
        <f ca="1">_xludf.IMAGE("https://m.media-amazon.com/images/I/61GBWPEtQ3L._AC_UY218_.jpg")</f>
        <v>#NAME?</v>
      </c>
      <c r="I931" t="s">
        <v>1974</v>
      </c>
      <c r="J931">
        <v>12.99</v>
      </c>
      <c r="K931" s="4">
        <v>1.1019000000000001</v>
      </c>
      <c r="L931">
        <v>3.5</v>
      </c>
      <c r="M931">
        <v>2</v>
      </c>
      <c r="O931" t="s">
        <v>25</v>
      </c>
      <c r="P931" t="s">
        <v>138</v>
      </c>
      <c r="Q931" t="s">
        <v>1975</v>
      </c>
    </row>
    <row r="932" spans="1:17" ht="15.5" x14ac:dyDescent="0.35">
      <c r="A932"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932" s="3" t="str">
        <f>HYPERLINK("https://edmondsonsupply.com/products/klein-tools-32907-7-in-1-impact-flip-socket-set-no-handle", "https://edmondsonsupply.com/products/klein-tools-32907-7-in-1-impact-flip-socket-set-no-handle")</f>
        <v>https://edmondsonsupply.com/products/klein-tools-32907-7-in-1-impact-flip-socket-set-no-handle</v>
      </c>
      <c r="C932" t="s">
        <v>1833</v>
      </c>
      <c r="D932" t="s">
        <v>2403</v>
      </c>
      <c r="E932" s="3" t="str">
        <f>HYPERLINK("https://www.amazon.com/Klein-Tools-Screwdriver-Multi-bit-Stubby/dp/B0CF2F1JXG/ref=sr_1_3?keywords=Klein+Tools+32907+7-in-1+Impact+Flip+Socket+Set%2C+No+Handle&amp;qid=1695173428&amp;sr=8-3", "https://www.amazon.com/Klein-Tools-Screwdriver-Multi-bit-Stubby/dp/B0CF2F1JXG/ref=sr_1_3?keywords=Klein+Tools+32907+7-in-1+Impact+Flip+Socket+Set%2C+No+Handle&amp;qid=1695173428&amp;sr=8-3")</f>
        <v>https://www.amazon.com/Klein-Tools-Screwdriver-Multi-bit-Stubby/dp/B0CF2F1JXG/ref=sr_1_3?keywords=Klein+Tools+32907+7-in-1+Impact+Flip+Socket+Set%2C+No+Handle&amp;qid=1695173428&amp;sr=8-3</v>
      </c>
      <c r="F932" t="s">
        <v>2404</v>
      </c>
      <c r="G932" t="e">
        <f ca="1">_xludf.IMAGE("https://edmondsonsupply.com/cdn/shop/products/32907_b.jpg?v=1666025282")</f>
        <v>#NAME?</v>
      </c>
      <c r="H932" t="e">
        <f ca="1">_xludf.IMAGE("https://m.media-amazon.com/images/I/41r3ulT1BkL._AC_UL320_.jpg")</f>
        <v>#NAME?</v>
      </c>
      <c r="I932" t="s">
        <v>577</v>
      </c>
      <c r="J932">
        <v>41.98</v>
      </c>
      <c r="K932" s="4">
        <v>1.1001000000000001</v>
      </c>
      <c r="L932">
        <v>4.8</v>
      </c>
      <c r="M932">
        <v>13277</v>
      </c>
      <c r="O932" t="s">
        <v>25</v>
      </c>
      <c r="P932" t="s">
        <v>1836</v>
      </c>
      <c r="Q932" t="s">
        <v>1837</v>
      </c>
    </row>
    <row r="933" spans="1:17" ht="15.5" x14ac:dyDescent="0.35">
      <c r="A933"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933" s="3" t="str">
        <f>HYPERLINK("https://edmondsonsupply.com/products/packard-pmj590-motor-start-capacitor-590-708-mfd-110-125-volt", "https://edmondsonsupply.com/products/packard-pmj590-motor-start-capacitor-590-708-mfd-110-125-volt")</f>
        <v>https://edmondsonsupply.com/products/packard-pmj590-motor-start-capacitor-590-708-mfd-110-125-volt</v>
      </c>
      <c r="C933" t="s">
        <v>1973</v>
      </c>
      <c r="D933" t="s">
        <v>2405</v>
      </c>
      <c r="E933" s="3" t="str">
        <f>HYPERLINK("https://www.amazon.com/PMJ590-Packard-Aftermarket-Replacement-Capacitor/dp/B00IWYHDTC/ref=sr_1_1?keywords=Packard+PMJ590+Motor+Start+Capacitor+590-708+MFD+110-125+Volt&amp;qid=1695173547&amp;sr=8-1", "https://www.amazon.com/PMJ590-Packard-Aftermarket-Replacement-Capacitor/dp/B00IWYHDTC/ref=sr_1_1?keywords=Packard+PMJ590+Motor+Start+Capacitor+590-708+MFD+110-125+Volt&amp;qid=1695173547&amp;sr=8-1")</f>
        <v>https://www.amazon.com/PMJ590-Packard-Aftermarket-Replacement-Capacitor/dp/B00IWYHDTC/ref=sr_1_1?keywords=Packard+PMJ590+Motor+Start+Capacitor+590-708+MFD+110-125+Volt&amp;qid=1695173547&amp;sr=8-1</v>
      </c>
      <c r="F933" t="s">
        <v>2406</v>
      </c>
      <c r="G933" t="e">
        <f ca="1">_xludf.IMAGE("https://edmondsonsupply.com/cdn/shop/products/PMJ590-2.jpg?v=1633030307")</f>
        <v>#NAME?</v>
      </c>
      <c r="H933" t="e">
        <f ca="1">_xludf.IMAGE("https://m.media-amazon.com/images/I/41TAYo6O-UL._AC_UY218_.jpg")</f>
        <v>#NAME?</v>
      </c>
      <c r="I933" t="s">
        <v>1974</v>
      </c>
      <c r="J933">
        <v>12.9</v>
      </c>
      <c r="K933" s="4">
        <v>1.0873999999999999</v>
      </c>
      <c r="L933">
        <v>4.3</v>
      </c>
      <c r="M933">
        <v>35</v>
      </c>
      <c r="O933" t="s">
        <v>25</v>
      </c>
      <c r="P933" t="s">
        <v>138</v>
      </c>
      <c r="Q933" t="s">
        <v>1975</v>
      </c>
    </row>
    <row r="934" spans="1:17" ht="15.5" x14ac:dyDescent="0.35">
      <c r="A934"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934" s="3" t="str">
        <f>HYPERLINK("https://edmondsonsupply.com/products/packard-ttmj108-motor-start-capacitor-108-130-mfd-220-250-vac", "https://edmondsonsupply.com/products/packard-ttmj108-motor-start-capacitor-108-130-mfd-220-250-vac")</f>
        <v>https://edmondsonsupply.com/products/packard-ttmj108-motor-start-capacitor-108-130-mfd-220-250-vac</v>
      </c>
      <c r="C934" t="s">
        <v>1473</v>
      </c>
      <c r="D934" t="s">
        <v>2407</v>
      </c>
      <c r="E934" s="3" t="str">
        <f>HYPERLINK("https://www.amazon.com/PACKARD-CAPACITOR-PTMJ108-108-130MFD-220-250VAC/dp/B00C0Z216O/ref=sr_1_7?keywords=Packard+TTMJ108+Motor+Start+Capacitor+108-130+MFD+220-250+VAC&amp;qid=1695173723&amp;sr=8-7", "https://www.amazon.com/PACKARD-CAPACITOR-PTMJ108-108-130MFD-220-250VAC/dp/B00C0Z216O/ref=sr_1_7?keywords=Packard+TTMJ108+Motor+Start+Capacitor+108-130+MFD+220-250+VAC&amp;qid=1695173723&amp;sr=8-7")</f>
        <v>https://www.amazon.com/PACKARD-CAPACITOR-PTMJ108-108-130MFD-220-250VAC/dp/B00C0Z216O/ref=sr_1_7?keywords=Packard+TTMJ108+Motor+Start+Capacitor+108-130+MFD+220-250+VAC&amp;qid=1695173723&amp;sr=8-7</v>
      </c>
      <c r="F934" t="s">
        <v>2408</v>
      </c>
      <c r="G934" t="e">
        <f ca="1">_xludf.IMAGE("https://edmondsonsupply.com/cdn/shop/files/PTMJ108-2_c3537879-2bfc-401f-867d-9ee4aaa5c4bb.jpg?v=1692220228")</f>
        <v>#NAME?</v>
      </c>
      <c r="H934" t="e">
        <f ca="1">_xludf.IMAGE("https://m.media-amazon.com/images/I/411E6VF3v0L._AC_UY218_.jpg")</f>
        <v>#NAME?</v>
      </c>
      <c r="I934" t="s">
        <v>1476</v>
      </c>
      <c r="J934">
        <v>9.15</v>
      </c>
      <c r="K934" s="4">
        <v>1.0843</v>
      </c>
      <c r="L934">
        <v>4.5</v>
      </c>
      <c r="M934">
        <v>21</v>
      </c>
      <c r="O934" t="s">
        <v>25</v>
      </c>
      <c r="P934" t="s">
        <v>138</v>
      </c>
      <c r="Q934" t="s">
        <v>1477</v>
      </c>
    </row>
    <row r="935" spans="1:17" ht="15.5" x14ac:dyDescent="0.35">
      <c r="A935" s="3" t="str">
        <f>HYPERLINK("https://edmondsonsupply.com/collections/hvac/products/greenlee-gsb06-1-2-step-bit-6", "https://edmondsonsupply.com/collections/hvac/products/greenlee-gsb06-1-2-step-bit-6")</f>
        <v>https://edmondsonsupply.com/collections/hvac/products/greenlee-gsb06-1-2-step-bit-6</v>
      </c>
      <c r="B935" s="3" t="str">
        <f>HYPERLINK("https://edmondsonsupply.com/products/greenlee-gsb06-1-2-step-bit-6", "https://edmondsonsupply.com/products/greenlee-gsb06-1-2-step-bit-6")</f>
        <v>https://edmondsonsupply.com/products/greenlee-gsb06-1-2-step-bit-6</v>
      </c>
      <c r="C935" t="s">
        <v>2409</v>
      </c>
      <c r="D935" t="s">
        <v>2320</v>
      </c>
      <c r="E935" s="3" t="str">
        <f>HYPERLINK("https://www.amazon.com/Greenlee-Patented-Split-Step-Design-Cutting/dp/B08TVGF4MS/ref=sr_1_6?keywords=Greenlee+GSB06+1%2F2%22+Step+Bit+%28%236%29&amp;qid=1695173600&amp;sr=8-6", "https://www.amazon.com/Greenlee-Patented-Split-Step-Design-Cutting/dp/B08TVGF4MS/ref=sr_1_6?keywords=Greenlee+GSB06+1%2F2%22+Step+Bit+%28%236%29&amp;qid=1695173600&amp;sr=8-6")</f>
        <v>https://www.amazon.com/Greenlee-Patented-Split-Step-Design-Cutting/dp/B08TVGF4MS/ref=sr_1_6?keywords=Greenlee+GSB06+1%2F2%22+Step+Bit+%28%236%29&amp;qid=1695173600&amp;sr=8-6</v>
      </c>
      <c r="F935" t="s">
        <v>2321</v>
      </c>
      <c r="G935" t="e">
        <f ca="1">_xludf.IMAGE("https://edmondsonsupply.com/cdn/shop/files/GSB06_CAT1_72dpi.jpg?v=1687788659")</f>
        <v>#NAME?</v>
      </c>
      <c r="H935" t="e">
        <f ca="1">_xludf.IMAGE("https://m.media-amazon.com/images/I/41J5YEXJLpL._AC_UY218_.jpg")</f>
        <v>#NAME?</v>
      </c>
      <c r="I935" t="s">
        <v>2410</v>
      </c>
      <c r="J935">
        <v>68.430000000000007</v>
      </c>
      <c r="K935" s="4">
        <v>1.0806</v>
      </c>
      <c r="L935">
        <v>3.8</v>
      </c>
      <c r="M935">
        <v>5</v>
      </c>
      <c r="O935" t="s">
        <v>25</v>
      </c>
      <c r="P935" t="s">
        <v>2411</v>
      </c>
      <c r="Q935" t="s">
        <v>2412</v>
      </c>
    </row>
    <row r="936" spans="1:17" ht="15.5" x14ac:dyDescent="0.35">
      <c r="A936" s="3" t="str">
        <f>HYPERLINK("https://edmondsonsupply.com/collections/hvac/products/klein-tools-32484-replacement-bit-1-square-2-square", "https://edmondsonsupply.com/collections/hvac/products/klein-tools-32484-replacement-bit-1-square-2-square")</f>
        <v>https://edmondsonsupply.com/collections/hvac/products/klein-tools-32484-replacement-bit-1-square-2-square</v>
      </c>
      <c r="B936" s="3" t="str">
        <f>HYPERLINK("https://edmondsonsupply.com/products/klein-tools-32484-replacement-bit-1-square-2-square", "https://edmondsonsupply.com/products/klein-tools-32484-replacement-bit-1-square-2-square")</f>
        <v>https://edmondsonsupply.com/products/klein-tools-32484-replacement-bit-1-square-2-square</v>
      </c>
      <c r="C936" t="s">
        <v>2413</v>
      </c>
      <c r="D936" t="s">
        <v>2414</v>
      </c>
      <c r="E936" s="3" t="str">
        <f>HYPERLINK("https://www.amazon.com/Klein-Tools-32709-Screwdriver-Replacement/dp/B01HD4HEZY/ref=sr_1_6?keywords=Klein+Tools+32484+Replacement+Bit+%231+Square+%26+%232+Square&amp;qid=1695173677&amp;sr=8-6", "https://www.amazon.com/Klein-Tools-32709-Screwdriver-Replacement/dp/B01HD4HEZY/ref=sr_1_6?keywords=Klein+Tools+32484+Replacement+Bit+%231+Square+%26+%232+Square&amp;qid=1695173677&amp;sr=8-6")</f>
        <v>https://www.amazon.com/Klein-Tools-32709-Screwdriver-Replacement/dp/B01HD4HEZY/ref=sr_1_6?keywords=Klein+Tools+32484+Replacement+Bit+%231+Square+%26+%232+Square&amp;qid=1695173677&amp;sr=8-6</v>
      </c>
      <c r="F936" t="s">
        <v>2415</v>
      </c>
      <c r="G936" t="e">
        <f ca="1">_xludf.IMAGE("https://edmondsonsupply.com/cdn/shop/products/32484.jpg?v=1587149345")</f>
        <v>#NAME?</v>
      </c>
      <c r="H936" t="e">
        <f ca="1">_xludf.IMAGE("https://m.media-amazon.com/images/I/41Jo9Qqxp-L._AC_UL320_.jpg")</f>
        <v>#NAME?</v>
      </c>
      <c r="I936" t="s">
        <v>2388</v>
      </c>
      <c r="J936">
        <v>10.37</v>
      </c>
      <c r="K936" s="4">
        <v>1.0782</v>
      </c>
      <c r="L936">
        <v>4.4000000000000004</v>
      </c>
      <c r="M936">
        <v>46</v>
      </c>
      <c r="O936" t="s">
        <v>25</v>
      </c>
      <c r="P936" t="s">
        <v>2416</v>
      </c>
      <c r="Q936" t="s">
        <v>2417</v>
      </c>
    </row>
    <row r="937" spans="1:17" ht="15.5" x14ac:dyDescent="0.35">
      <c r="A937"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937" s="3" t="str">
        <f>HYPERLINK("https://edmondsonsupply.com/products/packard-prmj189-motor-start-capacitor-189-227-mfd-330-vac", "https://edmondsonsupply.com/products/packard-prmj189-motor-start-capacitor-189-227-mfd-330-vac")</f>
        <v>https://edmondsonsupply.com/products/packard-prmj189-motor-start-capacitor-189-227-mfd-330-vac</v>
      </c>
      <c r="C937" t="s">
        <v>2216</v>
      </c>
      <c r="D937" t="s">
        <v>2418</v>
      </c>
      <c r="E937" s="3" t="str">
        <f>HYPERLINK("https://www.amazon.com/PRMJ189-Packard-Upgraded-Replacement-Capacitor/dp/B0773VVNGK/ref=sr_1_1?keywords=Packard+PRMJ189+Motor+Start+Capacitor+189-227+MFD+330+VAC&amp;qid=1695173678&amp;sr=8-1", "https://www.amazon.com/PRMJ189-Packard-Upgraded-Replacement-Capacitor/dp/B0773VVNGK/ref=sr_1_1?keywords=Packard+PRMJ189+Motor+Start+Capacitor+189-227+MFD+330+VAC&amp;qid=1695173678&amp;sr=8-1")</f>
        <v>https://www.amazon.com/PRMJ189-Packard-Upgraded-Replacement-Capacitor/dp/B0773VVNGK/ref=sr_1_1?keywords=Packard+PRMJ189+Motor+Start+Capacitor+189-227+MFD+330+VAC&amp;qid=1695173678&amp;sr=8-1</v>
      </c>
      <c r="F937" t="s">
        <v>2419</v>
      </c>
      <c r="G937" t="e">
        <f ca="1">_xludf.IMAGE("https://edmondsonsupply.com/cdn/shop/products/PRMJ189-2.jpg?v=1663378512")</f>
        <v>#NAME?</v>
      </c>
      <c r="H937" t="e">
        <f ca="1">_xludf.IMAGE("https://m.media-amazon.com/images/I/41fqQrQgJaL._AC_UY218_.jpg")</f>
        <v>#NAME?</v>
      </c>
      <c r="I937" t="s">
        <v>2219</v>
      </c>
      <c r="J937">
        <v>17.739999999999998</v>
      </c>
      <c r="K937" s="4">
        <v>1.0651999999999999</v>
      </c>
      <c r="L937">
        <v>5</v>
      </c>
      <c r="M937">
        <v>1</v>
      </c>
      <c r="O937" t="s">
        <v>25</v>
      </c>
      <c r="P937" t="s">
        <v>138</v>
      </c>
      <c r="Q937" t="s">
        <v>2220</v>
      </c>
    </row>
    <row r="938" spans="1:17" ht="15.5" x14ac:dyDescent="0.35">
      <c r="A938" s="3" t="str">
        <f>HYPERLINK("https://edmondsonsupply.com/collections/hvac/products/klein-tools-65200-electricians-mini-ratchet-set-5-piece", "https://edmondsonsupply.com/collections/hvac/products/klein-tools-65200-electricians-mini-ratchet-set-5-piece")</f>
        <v>https://edmondsonsupply.com/collections/hvac/products/klein-tools-65200-electricians-mini-ratchet-set-5-piece</v>
      </c>
      <c r="B938" s="3" t="str">
        <f>HYPERLINK("https://edmondsonsupply.com/products/klein-tools-65200-electricians-mini-ratchet-set-5-piece", "https://edmondsonsupply.com/products/klein-tools-65200-electricians-mini-ratchet-set-5-piece")</f>
        <v>https://edmondsonsupply.com/products/klein-tools-65200-electricians-mini-ratchet-set-5-piece</v>
      </c>
      <c r="C938" t="s">
        <v>140</v>
      </c>
      <c r="D938" t="s">
        <v>189</v>
      </c>
      <c r="E938" s="3" t="str">
        <f>HYPERLINK("https://www.amazon.com/Klein-Tools-Multi-bit-Screwdriver-Adjustable/dp/B0BCT97D2B/ref=sr_1_3?keywords=Klein+Tools+65200+Slim-Profile+Mini+Ratchet+Set%2C+5-Piece&amp;qid=1695173348&amp;sr=8-3", "https://www.amazon.com/Klein-Tools-Multi-bit-Screwdriver-Adjustable/dp/B0BCT97D2B/ref=sr_1_3?keywords=Klein+Tools+65200+Slim-Profile+Mini+Ratchet+Set%2C+5-Piece&amp;qid=1695173348&amp;sr=8-3")</f>
        <v>https://www.amazon.com/Klein-Tools-Multi-bit-Screwdriver-Adjustable/dp/B0BCT97D2B/ref=sr_1_3?keywords=Klein+Tools+65200+Slim-Profile+Mini+Ratchet+Set%2C+5-Piece&amp;qid=1695173348&amp;sr=8-3</v>
      </c>
      <c r="F938" t="s">
        <v>190</v>
      </c>
      <c r="G938" t="e">
        <f ca="1">_xludf.IMAGE("https://edmondsonsupply.com/cdn/shop/products/65200.jpg?v=1633030630")</f>
        <v>#NAME?</v>
      </c>
      <c r="H938" t="e">
        <f ca="1">_xludf.IMAGE("https://m.media-amazon.com/images/I/51FhukkqNXL._AC_UL320_.jpg")</f>
        <v>#NAME?</v>
      </c>
      <c r="I938" t="s">
        <v>143</v>
      </c>
      <c r="J938">
        <v>32.93</v>
      </c>
      <c r="K938" s="4">
        <v>1.0620000000000001</v>
      </c>
      <c r="L938">
        <v>5</v>
      </c>
      <c r="M938">
        <v>7</v>
      </c>
      <c r="O938" t="s">
        <v>25</v>
      </c>
      <c r="P938" t="s">
        <v>144</v>
      </c>
      <c r="Q938" t="s">
        <v>145</v>
      </c>
    </row>
    <row r="939" spans="1:17" ht="15.5" x14ac:dyDescent="0.35">
      <c r="A939" s="3" t="str">
        <f>HYPERLINK("https://edmondsonsupply.com/collections/hvac/products/rectorseal-97089-safe-t-switch-ss3", "https://edmondsonsupply.com/collections/hvac/products/rectorseal-97089-safe-t-switch-ss3")</f>
        <v>https://edmondsonsupply.com/collections/hvac/products/rectorseal-97089-safe-t-switch-ss3</v>
      </c>
      <c r="B939" s="3" t="str">
        <f>HYPERLINK("https://edmondsonsupply.com/products/rectorseal-97089-safe-t-switch-ss3", "https://edmondsonsupply.com/products/rectorseal-97089-safe-t-switch-ss3")</f>
        <v>https://edmondsonsupply.com/products/rectorseal-97089-safe-t-switch-ss3</v>
      </c>
      <c r="C939" t="s">
        <v>2420</v>
      </c>
      <c r="D939" t="s">
        <v>2421</v>
      </c>
      <c r="E939" s="3" t="str">
        <f>HYPERLINK("https://www.amazon.com/Rectorseal-97089-SS3-Generation-Safe-T-Switch/dp/B09QQS4DF5/ref=sr_1_1?keywords=RectorSeal+97089+Safe-T-Switch+SS3&amp;qid=1695173721&amp;sr=8-1", "https://www.amazon.com/Rectorseal-97089-SS3-Generation-Safe-T-Switch/dp/B09QQS4DF5/ref=sr_1_1?keywords=RectorSeal+97089+Safe-T-Switch+SS3&amp;qid=1695173721&amp;sr=8-1")</f>
        <v>https://www.amazon.com/Rectorseal-97089-SS3-Generation-Safe-T-Switch/dp/B09QQS4DF5/ref=sr_1_1?keywords=RectorSeal+97089+Safe-T-Switch+SS3&amp;qid=1695173721&amp;sr=8-1</v>
      </c>
      <c r="F939" t="s">
        <v>2422</v>
      </c>
      <c r="G939" t="e">
        <f ca="1">_xludf.IMAGE("https://edmondsonsupply.com/cdn/shop/files/97089-ss3-safe-t-switch-image-img.webp?v=1690986443")</f>
        <v>#NAME?</v>
      </c>
      <c r="H939" t="e">
        <f ca="1">_xludf.IMAGE("https://m.media-amazon.com/images/I/31Vm-8kRflL._AC_UY218_.jpg")</f>
        <v>#NAME?</v>
      </c>
      <c r="I939" t="s">
        <v>2423</v>
      </c>
      <c r="J939">
        <v>28.95</v>
      </c>
      <c r="K939" s="4">
        <v>1.0546</v>
      </c>
      <c r="L939">
        <v>5</v>
      </c>
      <c r="M939">
        <v>1</v>
      </c>
      <c r="O939" t="s">
        <v>25</v>
      </c>
      <c r="P939" t="s">
        <v>2424</v>
      </c>
      <c r="Q939" t="s">
        <v>2425</v>
      </c>
    </row>
    <row r="940" spans="1:17" ht="15.5" x14ac:dyDescent="0.35">
      <c r="A940" s="3" t="str">
        <f>HYPERLINK("https://edmondsonsupply.com/collections/hvac/products/packard-ttmj108-motor-start-capacitor-108-130-mfd-220-250-vac", "https://edmondsonsupply.com/collections/hvac/products/packard-ttmj108-motor-start-capacitor-108-130-mfd-220-250-vac")</f>
        <v>https://edmondsonsupply.com/collections/hvac/products/packard-ttmj108-motor-start-capacitor-108-130-mfd-220-250-vac</v>
      </c>
      <c r="B940" s="3" t="str">
        <f>HYPERLINK("https://edmondsonsupply.com/products/packard-ttmj108-motor-start-capacitor-108-130-mfd-220-250-vac", "https://edmondsonsupply.com/products/packard-ttmj108-motor-start-capacitor-108-130-mfd-220-250-vac")</f>
        <v>https://edmondsonsupply.com/products/packard-ttmj108-motor-start-capacitor-108-130-mfd-220-250-vac</v>
      </c>
      <c r="C940" t="s">
        <v>1473</v>
      </c>
      <c r="D940" t="s">
        <v>2426</v>
      </c>
      <c r="E940" s="3" t="str">
        <f>HYPERLINK("https://www.amazon.com/108-130-MFD-220-250-Round-Capacitor/dp/B0C2KJBQZQ/ref=sr_1_6?keywords=Packard+TTMJ108+Motor+Start+Capacitor+108-130+MFD+220-250+VAC&amp;qid=1695173723&amp;sr=8-6", "https://www.amazon.com/108-130-MFD-220-250-Round-Capacitor/dp/B0C2KJBQZQ/ref=sr_1_6?keywords=Packard+TTMJ108+Motor+Start+Capacitor+108-130+MFD+220-250+VAC&amp;qid=1695173723&amp;sr=8-6")</f>
        <v>https://www.amazon.com/108-130-MFD-220-250-Round-Capacitor/dp/B0C2KJBQZQ/ref=sr_1_6?keywords=Packard+TTMJ108+Motor+Start+Capacitor+108-130+MFD+220-250+VAC&amp;qid=1695173723&amp;sr=8-6</v>
      </c>
      <c r="F940" t="s">
        <v>2427</v>
      </c>
      <c r="G940" t="e">
        <f ca="1">_xludf.IMAGE("https://edmondsonsupply.com/cdn/shop/files/PTMJ108-2_c3537879-2bfc-401f-867d-9ee4aaa5c4bb.jpg?v=1692220228")</f>
        <v>#NAME?</v>
      </c>
      <c r="H940" t="e">
        <f ca="1">_xludf.IMAGE("https://m.media-amazon.com/images/I/51vQ8D8XHRL._AC_UY218_.jpg")</f>
        <v>#NAME?</v>
      </c>
      <c r="I940" t="s">
        <v>1476</v>
      </c>
      <c r="J940">
        <v>8.99</v>
      </c>
      <c r="K940" s="4">
        <v>1.0478000000000001</v>
      </c>
      <c r="L940">
        <v>5</v>
      </c>
      <c r="M940">
        <v>2</v>
      </c>
      <c r="O940" t="s">
        <v>25</v>
      </c>
      <c r="P940" t="s">
        <v>138</v>
      </c>
      <c r="Q940" t="s">
        <v>1477</v>
      </c>
    </row>
    <row r="941" spans="1:17" ht="15.5" x14ac:dyDescent="0.35">
      <c r="A941"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941"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941" t="s">
        <v>1540</v>
      </c>
      <c r="D941" t="s">
        <v>2428</v>
      </c>
      <c r="E941" s="3" t="str">
        <f>HYPERLINK("https://www.amazon.com/Upgraded-Replacement-Goodman-Furnace-B18099-06/dp/B016AQSGBC/ref=sr_1_4?keywords=ICM+Controls+ICM2811+Furnace+Control+Board+-+Replacement+for+Goodman&amp;qid=1695173453&amp;sr=8-4", "https://www.amazon.com/Upgraded-Replacement-Goodman-Furnace-B18099-06/dp/B016AQSGBC/ref=sr_1_4?keywords=ICM+Controls+ICM2811+Furnace+Control+Board+-+Replacement+for+Goodman&amp;qid=1695173453&amp;sr=8-4")</f>
        <v>https://www.amazon.com/Upgraded-Replacement-Goodman-Furnace-B18099-06/dp/B016AQSGBC/ref=sr_1_4?keywords=ICM+Controls+ICM2811+Furnace+Control+Board+-+Replacement+for+Goodman&amp;qid=1695173453&amp;sr=8-4</v>
      </c>
      <c r="F941" t="s">
        <v>2429</v>
      </c>
      <c r="G941" t="e">
        <f ca="1">_xludf.IMAGE("https://edmondsonsupply.com/cdn/shop/products/photo_3800_medium_86f45e25-a764-4839-bc84-759a6ce1c7bd.jpg?v=1659910436")</f>
        <v>#NAME?</v>
      </c>
      <c r="H941" t="e">
        <f ca="1">_xludf.IMAGE("https://m.media-amazon.com/images/I/61OL0G07mUL._AC_UL320_.jpg")</f>
        <v>#NAME?</v>
      </c>
      <c r="I941" t="s">
        <v>1543</v>
      </c>
      <c r="J941">
        <v>140.93</v>
      </c>
      <c r="K941" s="4">
        <v>1.0427999999999999</v>
      </c>
      <c r="L941">
        <v>5</v>
      </c>
      <c r="M941">
        <v>7</v>
      </c>
      <c r="O941" t="s">
        <v>25</v>
      </c>
      <c r="P941" t="s">
        <v>1544</v>
      </c>
      <c r="Q941" t="s">
        <v>1545</v>
      </c>
    </row>
    <row r="942" spans="1:17" ht="15.5" x14ac:dyDescent="0.35">
      <c r="A942"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942"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942" t="s">
        <v>2430</v>
      </c>
      <c r="D942" t="s">
        <v>2431</v>
      </c>
      <c r="E942" s="3" t="str">
        <f>HYPERLINK("https://www.amazon.com/Klein-Tools-Screwdriver-Precision-Electrician/dp/B0BR23NNNH/ref=sr_1_2?keywords=Klein+Tools+605-6+1%2F4-Inch+Cabinet+Tip+Screwdriver%2C+Heavy+Duty%2C+6-Inch&amp;qid=1695173547&amp;sr=8-2", "https://www.amazon.com/Klein-Tools-Screwdriver-Precision-Electrician/dp/B0BR23NNNH/ref=sr_1_2?keywords=Klein+Tools+605-6+1%2F4-Inch+Cabinet+Tip+Screwdriver%2C+Heavy+Duty%2C+6-Inch&amp;qid=1695173547&amp;sr=8-2")</f>
        <v>https://www.amazon.com/Klein-Tools-Screwdriver-Precision-Electrician/dp/B0BR23NNNH/ref=sr_1_2?keywords=Klein+Tools+605-6+1%2F4-Inch+Cabinet+Tip+Screwdriver%2C+Heavy+Duty%2C+6-Inch&amp;qid=1695173547&amp;sr=8-2</v>
      </c>
      <c r="F942" t="s">
        <v>2432</v>
      </c>
      <c r="G942" t="e">
        <f ca="1">_xludf.IMAGE("https://edmondsonsupply.com/cdn/shop/products/605-6.jpg?v=1587149759")</f>
        <v>#NAME?</v>
      </c>
      <c r="H942" t="e">
        <f ca="1">_xludf.IMAGE("https://m.media-amazon.com/images/I/316TumgEKzL._AC_UL320_.jpg")</f>
        <v>#NAME?</v>
      </c>
      <c r="I942" t="s">
        <v>2433</v>
      </c>
      <c r="J942">
        <v>19.38</v>
      </c>
      <c r="K942" s="4">
        <v>1.0421</v>
      </c>
      <c r="L942">
        <v>5</v>
      </c>
      <c r="M942">
        <v>3</v>
      </c>
      <c r="O942" t="s">
        <v>25</v>
      </c>
      <c r="P942" t="s">
        <v>2434</v>
      </c>
      <c r="Q942" t="s">
        <v>2435</v>
      </c>
    </row>
    <row r="943" spans="1:17" ht="15.5" x14ac:dyDescent="0.35">
      <c r="A943" s="3" t="str">
        <f>HYPERLINK("https://edmondsonsupply.com/collections/hvac/products/packard-titan-pro-trcd5-run-capacitor-40-5-mfd-370-volt-round", "https://edmondsonsupply.com/collections/hvac/products/packard-titan-pro-trcd5-run-capacitor-40-5-mfd-370-volt-round")</f>
        <v>https://edmondsonsupply.com/collections/hvac/products/packard-titan-pro-trcd5-run-capacitor-40-5-mfd-370-volt-round</v>
      </c>
      <c r="B943" s="3" t="str">
        <f>HYPERLINK("https://edmondsonsupply.com/products/packard-titan-pro-trcd5-run-capacitor-40-5-mfd-370-volt-round", "https://edmondsonsupply.com/products/packard-titan-pro-trcd5-run-capacitor-40-5-mfd-370-volt-round")</f>
        <v>https://edmondsonsupply.com/products/packard-titan-pro-trcd5-run-capacitor-40-5-mfd-370-volt-round</v>
      </c>
      <c r="C943" t="s">
        <v>2090</v>
      </c>
      <c r="D943" t="s">
        <v>2200</v>
      </c>
      <c r="E943" s="3" t="str">
        <f>HYPERLINK("https://www.amazon.com/PACKARD-TRCD455-Capacitor-Replaces-PRCD455/dp/B01N55F81Z/ref=sr_1_1?keywords=Packard+Titan+PRO+TRCD405+Run+Capacitor+40%2B5+MFD+370+Volt+Round&amp;qid=1695173641&amp;sr=8-1", "https://www.amazon.com/PACKARD-TRCD455-Capacitor-Replaces-PRCD455/dp/B01N55F81Z/ref=sr_1_1?keywords=Packard+Titan+PRO+TRCD405+Run+Capacitor+40%2B5+MFD+370+Volt+Round&amp;qid=1695173641&amp;sr=8-1")</f>
        <v>https://www.amazon.com/PACKARD-TRCD455-Capacitor-Replaces-PRCD455/dp/B01N55F81Z/ref=sr_1_1?keywords=Packard+Titan+PRO+TRCD405+Run+Capacitor+40%2B5+MFD+370+Volt+Round&amp;qid=1695173641&amp;sr=8-1</v>
      </c>
      <c r="F943" t="s">
        <v>2201</v>
      </c>
      <c r="G943" t="e">
        <f ca="1">_xludf.IMAGE("https://edmondsonsupply.com/cdn/shop/products/TRCD405-2.jpg?v=1633030397")</f>
        <v>#NAME?</v>
      </c>
      <c r="H943" t="e">
        <f ca="1">_xludf.IMAGE("https://m.media-amazon.com/images/I/41CL3hacDyL._AC_UY218_.jpg")</f>
        <v>#NAME?</v>
      </c>
      <c r="I943" t="s">
        <v>2091</v>
      </c>
      <c r="J943">
        <v>18.43</v>
      </c>
      <c r="K943" s="4">
        <v>1.0387</v>
      </c>
      <c r="L943">
        <v>5</v>
      </c>
      <c r="M943">
        <v>2</v>
      </c>
      <c r="O943" t="s">
        <v>25</v>
      </c>
      <c r="P943" t="s">
        <v>138</v>
      </c>
      <c r="Q943" t="s">
        <v>2092</v>
      </c>
    </row>
    <row r="944" spans="1:17" ht="15.5" x14ac:dyDescent="0.35">
      <c r="A944" s="3" t="str">
        <f>HYPERLINK("https://edmondsonsupply.com/collections/hvac/products/packard-prmj108-motor-start-capacitor-108-130-mfd-330-vac", "https://edmondsonsupply.com/collections/hvac/products/packard-prmj108-motor-start-capacitor-108-130-mfd-330-vac")</f>
        <v>https://edmondsonsupply.com/collections/hvac/products/packard-prmj108-motor-start-capacitor-108-130-mfd-330-vac</v>
      </c>
      <c r="B944" s="3" t="str">
        <f>HYPERLINK("https://edmondsonsupply.com/products/packard-prmj108-motor-start-capacitor-108-130-mfd-330-vac", "https://edmondsonsupply.com/products/packard-prmj108-motor-start-capacitor-108-130-mfd-330-vac")</f>
        <v>https://edmondsonsupply.com/products/packard-prmj108-motor-start-capacitor-108-130-mfd-330-vac</v>
      </c>
      <c r="C944" t="s">
        <v>1802</v>
      </c>
      <c r="D944" t="s">
        <v>2436</v>
      </c>
      <c r="E944" s="3" t="str">
        <f>HYPERLINK("https://www.amazon.com/weideer-53-64-Motor-Capacitor-Others/dp/B0B86Z795Y/ref=sr_1_6?keywords=Packard+PRMJ56+Motor+Start+Capacitor+53-64+MFD+330+VAC&amp;qid=1695173688&amp;sr=8-6", "https://www.amazon.com/weideer-53-64-Motor-Capacitor-Others/dp/B0B86Z795Y/ref=sr_1_6?keywords=Packard+PRMJ56+Motor+Start+Capacitor+53-64+MFD+330+VAC&amp;qid=1695173688&amp;sr=8-6")</f>
        <v>https://www.amazon.com/weideer-53-64-Motor-Capacitor-Others/dp/B0B86Z795Y/ref=sr_1_6?keywords=Packard+PRMJ56+Motor+Start+Capacitor+53-64+MFD+330+VAC&amp;qid=1695173688&amp;sr=8-6</v>
      </c>
      <c r="F944" t="s">
        <v>2437</v>
      </c>
      <c r="G944" t="e">
        <f ca="1">_xludf.IMAGE("https://edmondsonsupply.com/cdn/shop/products/PRMJ56-2.jpg?v=1633030105")</f>
        <v>#NAME?</v>
      </c>
      <c r="H944" t="e">
        <f ca="1">_xludf.IMAGE("https://m.media-amazon.com/images/I/51eCils-EqL._AC_UY218_.jpg")</f>
        <v>#NAME?</v>
      </c>
      <c r="I944" t="s">
        <v>1805</v>
      </c>
      <c r="J944">
        <v>7.99</v>
      </c>
      <c r="K944" s="4">
        <v>1.0383</v>
      </c>
      <c r="L944">
        <v>3.2</v>
      </c>
      <c r="M944">
        <v>19</v>
      </c>
      <c r="O944" t="s">
        <v>25</v>
      </c>
      <c r="P944" t="s">
        <v>138</v>
      </c>
      <c r="Q944" t="s">
        <v>1806</v>
      </c>
    </row>
    <row r="945" spans="1:17" ht="15.5" x14ac:dyDescent="0.35">
      <c r="A945" s="3" t="str">
        <f>HYPERLINK("https://edmondsonsupply.com/collections/hvac/products/supco-fsc10-flame-sensor-cleaner", "https://edmondsonsupply.com/collections/hvac/products/supco-fsc10-flame-sensor-cleaner")</f>
        <v>https://edmondsonsupply.com/collections/hvac/products/supco-fsc10-flame-sensor-cleaner</v>
      </c>
      <c r="B945" s="3" t="str">
        <f>HYPERLINK("https://edmondsonsupply.com/products/supco-fsc10-flame-sensor-cleaner", "https://edmondsonsupply.com/products/supco-fsc10-flame-sensor-cleaner")</f>
        <v>https://edmondsonsupply.com/products/supco-fsc10-flame-sensor-cleaner</v>
      </c>
      <c r="C945" t="s">
        <v>2438</v>
      </c>
      <c r="D945" t="s">
        <v>2439</v>
      </c>
      <c r="E945" s="3" t="str">
        <f>HYPERLINK("https://www.amazon.com/Edgewater-Parts-FSC10-Sensor-Cleaner/dp/B0964C1QLV/ref=sr_1_6?keywords=Supco+FSC10+Flame+Sensor+Cleaner&amp;qid=1695173524&amp;sr=8-6", "https://www.amazon.com/Edgewater-Parts-FSC10-Sensor-Cleaner/dp/B0964C1QLV/ref=sr_1_6?keywords=Supco+FSC10+Flame+Sensor+Cleaner&amp;qid=1695173524&amp;sr=8-6")</f>
        <v>https://www.amazon.com/Edgewater-Parts-FSC10-Sensor-Cleaner/dp/B0964C1QLV/ref=sr_1_6?keywords=Supco+FSC10+Flame+Sensor+Cleaner&amp;qid=1695173524&amp;sr=8-6</v>
      </c>
      <c r="F945" t="s">
        <v>2440</v>
      </c>
      <c r="G945" t="e">
        <f ca="1">_xludf.IMAGE("https://edmondsonsupply.com/cdn/shop/products/FSC10_L.png?v=1633031127")</f>
        <v>#NAME?</v>
      </c>
      <c r="H945" t="e">
        <f ca="1">_xludf.IMAGE("https://m.media-amazon.com/images/I/51r80CDHzeS._AC_UL320_.jpg")</f>
        <v>#NAME?</v>
      </c>
      <c r="I945" t="s">
        <v>2441</v>
      </c>
      <c r="J945">
        <v>14.5</v>
      </c>
      <c r="K945" s="4">
        <v>1.0337000000000001</v>
      </c>
      <c r="L945">
        <v>3.7</v>
      </c>
      <c r="M945">
        <v>12</v>
      </c>
      <c r="O945" t="s">
        <v>25</v>
      </c>
      <c r="P945" t="s">
        <v>138</v>
      </c>
      <c r="Q945" t="s">
        <v>2442</v>
      </c>
    </row>
    <row r="946" spans="1:17" ht="15.5" x14ac:dyDescent="0.35">
      <c r="A946" s="3" t="str">
        <f>HYPERLINK("https://edmondsonsupply.com/collections/hvac/products/freud-99-240-2-drawer-lock-bit", "https://edmondsonsupply.com/collections/hvac/products/freud-99-240-2-drawer-lock-bit")</f>
        <v>https://edmondsonsupply.com/collections/hvac/products/freud-99-240-2-drawer-lock-bit</v>
      </c>
      <c r="B946" s="3" t="str">
        <f>HYPERLINK("https://edmondsonsupply.com/products/freud-99-240-2-drawer-lock-bit", "https://edmondsonsupply.com/products/freud-99-240-2-drawer-lock-bit")</f>
        <v>https://edmondsonsupply.com/products/freud-99-240-2-drawer-lock-bit</v>
      </c>
      <c r="C946" t="s">
        <v>2358</v>
      </c>
      <c r="D946" t="s">
        <v>2443</v>
      </c>
      <c r="E946" s="3" t="str">
        <f>HYPERLINK("https://www.amazon.com/Freud-2-11-Miter-Shank-99-035/dp/B0002TUDLU/ref=sr_1_3?keywords=Freud+99-240+2%22+Drawer+Lock+Bit&amp;qid=1695173757&amp;sr=8-3", "https://www.amazon.com/Freud-2-11-Miter-Shank-99-035/dp/B0002TUDLU/ref=sr_1_3?keywords=Freud+99-240+2%22+Drawer+Lock+Bit&amp;qid=1695173757&amp;sr=8-3")</f>
        <v>https://www.amazon.com/Freud-2-11-Miter-Shank-99-035/dp/B0002TUDLU/ref=sr_1_3?keywords=Freud+99-240+2%22+Drawer+Lock+Bit&amp;qid=1695173757&amp;sr=8-3</v>
      </c>
      <c r="F946" t="s">
        <v>2444</v>
      </c>
      <c r="G946" t="e">
        <f ca="1">_xludf.IMAGE("https://edmondsonsupply.com/cdn/shop/files/2-dia-drawer-lock-bit.webp?v=1687359925")</f>
        <v>#NAME?</v>
      </c>
      <c r="H946" t="e">
        <f ca="1">_xludf.IMAGE("https://m.media-amazon.com/images/I/71TanKAl+QL._AC_UL320_.jpg")</f>
        <v>#NAME?</v>
      </c>
      <c r="I946" t="s">
        <v>2361</v>
      </c>
      <c r="J946">
        <v>75</v>
      </c>
      <c r="K946" s="4">
        <v>1.0281</v>
      </c>
      <c r="L946">
        <v>4.3</v>
      </c>
      <c r="M946">
        <v>57</v>
      </c>
      <c r="O946" t="s">
        <v>25</v>
      </c>
      <c r="P946" t="s">
        <v>2362</v>
      </c>
      <c r="Q946" t="s">
        <v>2363</v>
      </c>
    </row>
    <row r="947" spans="1:17" ht="15.5" x14ac:dyDescent="0.35">
      <c r="A947" s="3" t="str">
        <f>HYPERLINK("https://edmondsonsupply.com/collections/hvac/products/packard-trcfd405-titan-pro-run-capacitor-40-5-mfd-440-370-volt-round", "https://edmondsonsupply.com/collections/hvac/products/packard-trcfd405-titan-pro-run-capacitor-40-5-mfd-440-370-volt-round")</f>
        <v>https://edmondsonsupply.com/collections/hvac/products/packard-trcfd405-titan-pro-run-capacitor-40-5-mfd-440-370-volt-round</v>
      </c>
      <c r="B947" s="3" t="str">
        <f>HYPERLINK("https://edmondsonsupply.com/products/packard-trcfd405-titan-pro-run-capacitor-40-5-mfd-440-370-volt-round", "https://edmondsonsupply.com/products/packard-trcfd405-titan-pro-run-capacitor-40-5-mfd-440-370-volt-round")</f>
        <v>https://edmondsonsupply.com/products/packard-trcfd405-titan-pro-run-capacitor-40-5-mfd-440-370-volt-round</v>
      </c>
      <c r="C947" t="s">
        <v>2056</v>
      </c>
      <c r="D947" t="s">
        <v>2445</v>
      </c>
      <c r="E947" s="3" t="str">
        <f>HYPERLINK("https://www.amazon.com/TitanPro-TRCFD405-Round-Motor-Capacitor/dp/B01EZ6JWEE/ref=sr_1_1?keywords=Packard+TRCFD405+Titan+PRO+Run+Capacitor+40%2B5+MFD+440%2F370+Volt+Round&amp;qid=1695173477&amp;sr=8-1", "https://www.amazon.com/TitanPro-TRCFD405-Round-Motor-Capacitor/dp/B01EZ6JWEE/ref=sr_1_1?keywords=Packard+TRCFD405+Titan+PRO+Run+Capacitor+40%2B5+MFD+440%2F370+Volt+Round&amp;qid=1695173477&amp;sr=8-1")</f>
        <v>https://www.amazon.com/TitanPro-TRCFD405-Round-Motor-Capacitor/dp/B01EZ6JWEE/ref=sr_1_1?keywords=Packard+TRCFD405+Titan+PRO+Run+Capacitor+40%2B5+MFD+440%2F370+Volt+Round&amp;qid=1695173477&amp;sr=8-1</v>
      </c>
      <c r="F947" t="s">
        <v>2446</v>
      </c>
      <c r="G947" t="e">
        <f ca="1">_xludf.IMAGE("https://edmondsonsupply.com/cdn/shop/products/TRCFD405-2.jpg?v=1633030399")</f>
        <v>#NAME?</v>
      </c>
      <c r="H947" t="e">
        <f ca="1">_xludf.IMAGE("https://m.media-amazon.com/images/I/51cHjuUfHWL._AC_UY218_.jpg")</f>
        <v>#NAME?</v>
      </c>
      <c r="I947" t="s">
        <v>1537</v>
      </c>
      <c r="J947">
        <v>16.989999999999998</v>
      </c>
      <c r="K947" s="4">
        <v>1.0249999999999999</v>
      </c>
      <c r="L947">
        <v>4.8</v>
      </c>
      <c r="M947">
        <v>7</v>
      </c>
      <c r="O947" t="s">
        <v>171</v>
      </c>
      <c r="P947" t="s">
        <v>138</v>
      </c>
      <c r="Q947" t="s">
        <v>2059</v>
      </c>
    </row>
    <row r="948" spans="1:17" ht="15.5" x14ac:dyDescent="0.35">
      <c r="A948" s="3" t="str">
        <f>HYPERLINK("https://edmondsonsupply.com/collections/hvac/products/icm-controls-icm103-delay-on-make-timer-with-1-1-023-second-time-delay-universal-18-240-vac", "https://edmondsonsupply.com/collections/hvac/products/icm-controls-icm103-delay-on-make-timer-with-1-1-023-second-time-delay-universal-18-240-vac")</f>
        <v>https://edmondsonsupply.com/collections/hvac/products/icm-controls-icm103-delay-on-make-timer-with-1-1-023-second-time-delay-universal-18-240-vac</v>
      </c>
      <c r="B948" s="3" t="str">
        <f>HYPERLINK("https://edmondsonsupply.com/products/icm-controls-icm103-delay-on-make-timer-with-1-1-023-second-time-delay-universal-18-240-vac", "https://edmondsonsupply.com/products/icm-controls-icm103-delay-on-make-timer-with-1-1-023-second-time-delay-universal-18-240-vac")</f>
        <v>https://edmondsonsupply.com/products/icm-controls-icm103-delay-on-make-timer-with-1-1-023-second-time-delay-universal-18-240-vac</v>
      </c>
      <c r="C948" t="s">
        <v>1936</v>
      </c>
      <c r="D948" t="s">
        <v>2235</v>
      </c>
      <c r="E948" s="3" t="str">
        <f>HYPERLINK("https://www.amazon.com/ICM-Controls-ICM105-Adjustable-Universal/dp/B00441XZXK/ref=sr_1_1?keywords=ICM+Controls+ICM103+Delay+on+Make+Timer+with+1-1%2C023+Second+Time+Delay%2C+Universal+18-240+VAC&amp;qid=1695173373&amp;sr=8-1", "https://www.amazon.com/ICM-Controls-ICM105-Adjustable-Universal/dp/B00441XZXK/ref=sr_1_1?keywords=ICM+Controls+ICM103+Delay+on+Make+Timer+with+1-1%2C023+Second+Time+Delay%2C+Universal+18-240+VAC&amp;qid=1695173373&amp;sr=8-1")</f>
        <v>https://www.amazon.com/ICM-Controls-ICM105-Adjustable-Universal/dp/B00441XZXK/ref=sr_1_1?keywords=ICM+Controls+ICM103+Delay+on+Make+Timer+with+1-1%2C023+Second+Time+Delay%2C+Universal+18-240+VAC&amp;qid=1695173373&amp;sr=8-1</v>
      </c>
      <c r="F948" t="s">
        <v>2236</v>
      </c>
      <c r="G948" t="e">
        <f ca="1">_xludf.IMAGE("https://edmondsonsupply.com/cdn/shop/products/icm103.png?v=1587150533")</f>
        <v>#NAME?</v>
      </c>
      <c r="H948" t="e">
        <f ca="1">_xludf.IMAGE("https://m.media-amazon.com/images/I/61Fd+ZYvG1L._AC_UL320_.jpg")</f>
        <v>#NAME?</v>
      </c>
      <c r="I948" t="s">
        <v>866</v>
      </c>
      <c r="J948">
        <v>34.25</v>
      </c>
      <c r="K948" s="4">
        <v>1.0159</v>
      </c>
      <c r="L948">
        <v>4.3</v>
      </c>
      <c r="M948">
        <v>4</v>
      </c>
      <c r="O948" t="s">
        <v>25</v>
      </c>
      <c r="P948" t="s">
        <v>1939</v>
      </c>
      <c r="Q948" t="s">
        <v>1940</v>
      </c>
    </row>
    <row r="949" spans="1:17" ht="15.5" x14ac:dyDescent="0.35">
      <c r="A949" s="3" t="str">
        <f>HYPERLINK("https://edmondsonsupply.com/collections/hvac/products/packard-trcfd3575-titan-pro-run-capacitor-35-7-5-mfd-440-370-volt-round", "https://edmondsonsupply.com/collections/hvac/products/packard-trcfd3575-titan-pro-run-capacitor-35-7-5-mfd-440-370-volt-round")</f>
        <v>https://edmondsonsupply.com/collections/hvac/products/packard-trcfd3575-titan-pro-run-capacitor-35-7-5-mfd-440-370-volt-round</v>
      </c>
      <c r="B949" s="3" t="str">
        <f>HYPERLINK("https://edmondsonsupply.com/products/packard-trcfd3575-titan-pro-run-capacitor-35-7-5-mfd-440-370-volt-round", "https://edmondsonsupply.com/products/packard-trcfd3575-titan-pro-run-capacitor-35-7-5-mfd-440-370-volt-round")</f>
        <v>https://edmondsonsupply.com/products/packard-trcfd3575-titan-pro-run-capacitor-35-7-5-mfd-440-370-volt-round</v>
      </c>
      <c r="C949" t="s">
        <v>2447</v>
      </c>
      <c r="D949" t="s">
        <v>2448</v>
      </c>
      <c r="E949" s="3" t="str">
        <f>HYPERLINK("https://www.amazon.com/Capacitor-Microfarad-Rating-370-440VAC-Voltage/dp/B08TTFTD3M/ref=sr_1_1?keywords=Packard+TRCFD3575+Titan+PRO+Run+Capacitor+35+7.5+MFD+440%2F370+Volt+Round&amp;qid=1695173473&amp;sr=8-1", "https://www.amazon.com/Capacitor-Microfarad-Rating-370-440VAC-Voltage/dp/B08TTFTD3M/ref=sr_1_1?keywords=Packard+TRCFD3575+Titan+PRO+Run+Capacitor+35+7.5+MFD+440%2F370+Volt+Round&amp;qid=1695173473&amp;sr=8-1")</f>
        <v>https://www.amazon.com/Capacitor-Microfarad-Rating-370-440VAC-Voltage/dp/B08TTFTD3M/ref=sr_1_1?keywords=Packard+TRCFD3575+Titan+PRO+Run+Capacitor+35+7.5+MFD+440%2F370+Volt+Round&amp;qid=1695173473&amp;sr=8-1</v>
      </c>
      <c r="F949" t="s">
        <v>2449</v>
      </c>
      <c r="G949" t="e">
        <f ca="1">_xludf.IMAGE("https://edmondsonsupply.com/cdn/shop/products/trcfd-2_xl_1.jpg?v=1633030977")</f>
        <v>#NAME?</v>
      </c>
      <c r="H949" t="e">
        <f ca="1">_xludf.IMAGE("https://m.media-amazon.com/images/I/61rN-CX2SUL._AC_UY218_.jpg")</f>
        <v>#NAME?</v>
      </c>
      <c r="I949" t="s">
        <v>2450</v>
      </c>
      <c r="J949">
        <v>17.579999999999998</v>
      </c>
      <c r="K949" s="4">
        <v>1.0137</v>
      </c>
      <c r="L949">
        <v>5</v>
      </c>
      <c r="M949">
        <v>1</v>
      </c>
      <c r="O949" t="s">
        <v>25</v>
      </c>
      <c r="P949" t="s">
        <v>138</v>
      </c>
      <c r="Q949" t="s">
        <v>2451</v>
      </c>
    </row>
    <row r="950" spans="1:17" ht="15.5" x14ac:dyDescent="0.35">
      <c r="A950"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950" s="3" t="str">
        <f>HYPERLINK("https://edmondsonsupply.com/products/packard-prmj270-motor-start-capacitor-270-324-mfd-330-vac", "https://edmondsonsupply.com/products/packard-prmj270-motor-start-capacitor-270-324-mfd-330-vac")</f>
        <v>https://edmondsonsupply.com/products/packard-prmj270-motor-start-capacitor-270-324-mfd-330-vac</v>
      </c>
      <c r="C950" t="s">
        <v>2452</v>
      </c>
      <c r="D950" t="s">
        <v>2453</v>
      </c>
      <c r="E950" s="3" t="str">
        <f>HYPERLINK("https://www.amazon.com/Motor-Start-Capacitor-270-324-MARS2/dp/B00C0VYISW/ref=sr_1_4?keywords=Packard+PRMJ270+Motor+Start+Capacitor+270-324+MFD+330+VAC&amp;qid=1695173486&amp;sr=8-4", "https://www.amazon.com/Motor-Start-Capacitor-270-324-MARS2/dp/B00C0VYISW/ref=sr_1_4?keywords=Packard+PRMJ270+Motor+Start+Capacitor+270-324+MFD+330+VAC&amp;qid=1695173486&amp;sr=8-4")</f>
        <v>https://www.amazon.com/Motor-Start-Capacitor-270-324-MARS2/dp/B00C0VYISW/ref=sr_1_4?keywords=Packard+PRMJ270+Motor+Start+Capacitor+270-324+MFD+330+VAC&amp;qid=1695173486&amp;sr=8-4</v>
      </c>
      <c r="F950" t="s">
        <v>2454</v>
      </c>
      <c r="G950" t="e">
        <f ca="1">_xludf.IMAGE("https://edmondsonsupply.com/cdn/shop/products/PRMJ270-2.jpg?v=1633030164")</f>
        <v>#NAME?</v>
      </c>
      <c r="H950" t="e">
        <f ca="1">_xludf.IMAGE("https://m.media-amazon.com/images/I/41iN-8gLZyL._AC_UY218_.jpg")</f>
        <v>#NAME?</v>
      </c>
      <c r="I950" t="s">
        <v>2455</v>
      </c>
      <c r="J950">
        <v>20.84</v>
      </c>
      <c r="K950" s="4">
        <v>1.0096000000000001</v>
      </c>
      <c r="L950">
        <v>4.0999999999999996</v>
      </c>
      <c r="M950">
        <v>10</v>
      </c>
      <c r="O950" t="s">
        <v>25</v>
      </c>
      <c r="P950" t="s">
        <v>138</v>
      </c>
      <c r="Q950" t="s">
        <v>2456</v>
      </c>
    </row>
    <row r="951" spans="1:17" ht="15.5" x14ac:dyDescent="0.35">
      <c r="A951"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951" s="3" t="str">
        <f>HYPERLINK("https://edmondsonsupply.com/products/packard-prmj189-motor-start-capacitor-189-227-mfd-330-vac", "https://edmondsonsupply.com/products/packard-prmj189-motor-start-capacitor-189-227-mfd-330-vac")</f>
        <v>https://edmondsonsupply.com/products/packard-prmj189-motor-start-capacitor-189-227-mfd-330-vac</v>
      </c>
      <c r="C951" t="s">
        <v>2216</v>
      </c>
      <c r="D951" t="s">
        <v>2457</v>
      </c>
      <c r="E951" s="3" t="str">
        <f>HYPERLINK("https://www.amazon.com/capacitor-microfarads-universal-electric-applications/dp/B01FSQQ5OA/ref=sr_1_7?keywords=Packard+PRMJ189+Motor+Start+Capacitor+189-227+MFD+330+VAC&amp;qid=1695173678&amp;sr=8-7", "https://www.amazon.com/capacitor-microfarads-universal-electric-applications/dp/B01FSQQ5OA/ref=sr_1_7?keywords=Packard+PRMJ189+Motor+Start+Capacitor+189-227+MFD+330+VAC&amp;qid=1695173678&amp;sr=8-7")</f>
        <v>https://www.amazon.com/capacitor-microfarads-universal-electric-applications/dp/B01FSQQ5OA/ref=sr_1_7?keywords=Packard+PRMJ189+Motor+Start+Capacitor+189-227+MFD+330+VAC&amp;qid=1695173678&amp;sr=8-7</v>
      </c>
      <c r="F951" t="s">
        <v>2458</v>
      </c>
      <c r="G951" t="e">
        <f ca="1">_xludf.IMAGE("https://edmondsonsupply.com/cdn/shop/products/PRMJ189-2.jpg?v=1663378512")</f>
        <v>#NAME?</v>
      </c>
      <c r="H951" t="e">
        <f ca="1">_xludf.IMAGE("https://m.media-amazon.com/images/I/51e+dZ5ciRL._AC_UY218_.jpg")</f>
        <v>#NAME?</v>
      </c>
      <c r="I951" t="s">
        <v>2219</v>
      </c>
      <c r="J951">
        <v>17.2</v>
      </c>
      <c r="K951" s="4">
        <v>1.0023</v>
      </c>
      <c r="L951">
        <v>4.5</v>
      </c>
      <c r="M951">
        <v>1389</v>
      </c>
      <c r="O951" t="s">
        <v>25</v>
      </c>
      <c r="P951" t="s">
        <v>138</v>
      </c>
      <c r="Q951" t="s">
        <v>2220</v>
      </c>
    </row>
    <row r="952" spans="1:17" ht="15.5" x14ac:dyDescent="0.35">
      <c r="A952" s="3" t="str">
        <f>HYPERLINK("https://edmondsonsupply.com/collections/hvac/products/packard-trcfd3575-titan-pro-run-capacitor-35-7-5-mfd-440-370-volt-round", "https://edmondsonsupply.com/collections/hvac/products/packard-trcfd3575-titan-pro-run-capacitor-35-7-5-mfd-440-370-volt-round")</f>
        <v>https://edmondsonsupply.com/collections/hvac/products/packard-trcfd3575-titan-pro-run-capacitor-35-7-5-mfd-440-370-volt-round</v>
      </c>
      <c r="B952" s="3" t="str">
        <f>HYPERLINK("https://edmondsonsupply.com/products/packard-trcfd3575-titan-pro-run-capacitor-35-7-5-mfd-440-370-volt-round", "https://edmondsonsupply.com/products/packard-trcfd3575-titan-pro-run-capacitor-35-7-5-mfd-440-370-volt-round")</f>
        <v>https://edmondsonsupply.com/products/packard-trcfd3575-titan-pro-run-capacitor-35-7-5-mfd-440-370-volt-round</v>
      </c>
      <c r="C952" t="s">
        <v>2447</v>
      </c>
      <c r="D952" t="s">
        <v>2459</v>
      </c>
      <c r="E952" s="3" t="str">
        <f>HYPERLINK("https://www.amazon.com/Titan-TRCFD3575-Rated-Motor-Capacitor/dp/B01IC2PSSG/ref=sr_1_4?keywords=Packard+TRCFD3575+Titan+PRO+Run+Capacitor+35+7.5+MFD+440%2F370+Volt+Round&amp;qid=1695173473&amp;sr=8-4", "https://www.amazon.com/Titan-TRCFD3575-Rated-Motor-Capacitor/dp/B01IC2PSSG/ref=sr_1_4?keywords=Packard+TRCFD3575+Titan+PRO+Run+Capacitor+35+7.5+MFD+440%2F370+Volt+Round&amp;qid=1695173473&amp;sr=8-4")</f>
        <v>https://www.amazon.com/Titan-TRCFD3575-Rated-Motor-Capacitor/dp/B01IC2PSSG/ref=sr_1_4?keywords=Packard+TRCFD3575+Titan+PRO+Run+Capacitor+35+7.5+MFD+440%2F370+Volt+Round&amp;qid=1695173473&amp;sr=8-4</v>
      </c>
      <c r="F952" t="s">
        <v>2460</v>
      </c>
      <c r="G952" t="e">
        <f ca="1">_xludf.IMAGE("https://edmondsonsupply.com/cdn/shop/products/trcfd-2_xl_1.jpg?v=1633030977")</f>
        <v>#NAME?</v>
      </c>
      <c r="H952" t="e">
        <f ca="1">_xludf.IMAGE("https://m.media-amazon.com/images/I/91WrzKuKIsL._AC_UY218_.jpg")</f>
        <v>#NAME?</v>
      </c>
      <c r="I952" t="s">
        <v>2450</v>
      </c>
      <c r="J952">
        <v>17.48</v>
      </c>
      <c r="K952" s="4">
        <v>1.0023</v>
      </c>
      <c r="L952">
        <v>5</v>
      </c>
      <c r="M952">
        <v>2</v>
      </c>
      <c r="O952" t="s">
        <v>25</v>
      </c>
      <c r="P952" t="s">
        <v>138</v>
      </c>
      <c r="Q952" t="s">
        <v>2451</v>
      </c>
    </row>
    <row r="953" spans="1:17" ht="15.5" x14ac:dyDescent="0.35">
      <c r="A953" s="3" t="str">
        <f>HYPERLINK("https://edmondsonsupply.com/collections/hvac/products/robertshaw-rs8110-digital-non-programmable-thermostat-single-stage-1-heat-1-cool", "https://edmondsonsupply.com/collections/hvac/products/robertshaw-rs8110-digital-non-programmable-thermostat-single-stage-1-heat-1-cool")</f>
        <v>https://edmondsonsupply.com/collections/hvac/products/robertshaw-rs8110-digital-non-programmable-thermostat-single-stage-1-heat-1-cool</v>
      </c>
      <c r="B953" s="3" t="str">
        <f>HYPERLINK("https://edmondsonsupply.com/products/robertshaw-rs8110-digital-non-programmable-thermostat-single-stage-1-heat-1-cool", "https://edmondsonsupply.com/products/robertshaw-rs8110-digital-non-programmable-thermostat-single-stage-1-heat-1-cool")</f>
        <v>https://edmondsonsupply.com/products/robertshaw-rs8110-digital-non-programmable-thermostat-single-stage-1-heat-1-cool</v>
      </c>
      <c r="C953" t="s">
        <v>2461</v>
      </c>
      <c r="D953" t="s">
        <v>2462</v>
      </c>
      <c r="E953" s="3" t="str">
        <f>HYPERLINK("https://www.amazon.com/Robertshaw-RS9110T-Programmable-Touchscreen-Single-Stage/dp/B0BM23W9SN/ref=sr_1_10?keywords=Robertshaw+RS8110+Digital+Non-Programmable+Thermostat%2C+Single+Stage+-+1+Heat%2F1+Cool&amp;qid=1695173434&amp;sr=8-10", "https://www.amazon.com/Robertshaw-RS9110T-Programmable-Touchscreen-Single-Stage/dp/B0BM23W9SN/ref=sr_1_10?keywords=Robertshaw+RS8110+Digital+Non-Programmable+Thermostat%2C+Single+Stage+-+1+Heat%2F1+Cool&amp;qid=1695173434&amp;sr=8-10")</f>
        <v>https://www.amazon.com/Robertshaw-RS9110T-Programmable-Touchscreen-Single-Stage/dp/B0BM23W9SN/ref=sr_1_10?keywords=Robertshaw+RS8110+Digital+Non-Programmable+Thermostat%2C+Single+Stage+-+1+Heat%2F1+Cool&amp;qid=1695173434&amp;sr=8-10</v>
      </c>
      <c r="F953" t="s">
        <v>2463</v>
      </c>
      <c r="G953" t="e">
        <f ca="1">_xludf.IMAGE("https://edmondsonsupply.com/cdn/shop/products/RS8110.jpg?v=1633031027")</f>
        <v>#NAME?</v>
      </c>
      <c r="H953" t="e">
        <f ca="1">_xludf.IMAGE("https://m.media-amazon.com/images/I/71+5NMHAlPL._AC_UL320_.jpg")</f>
        <v>#NAME?</v>
      </c>
      <c r="I953" t="s">
        <v>2464</v>
      </c>
      <c r="J953">
        <v>65.959999999999994</v>
      </c>
      <c r="K953" s="4">
        <v>1.0012000000000001</v>
      </c>
      <c r="L953">
        <v>5</v>
      </c>
      <c r="M953">
        <v>1</v>
      </c>
      <c r="O953" t="s">
        <v>25</v>
      </c>
      <c r="P953" t="s">
        <v>2465</v>
      </c>
      <c r="Q953" t="s">
        <v>2466</v>
      </c>
    </row>
    <row r="954" spans="1:17" ht="15.5" x14ac:dyDescent="0.35">
      <c r="A954" s="3" t="str">
        <f>HYPERLINK("https://edmondsonsupply.com/collections/hvac/products/klein-tools-srs56038-polymer-fish-rod-set-glow-in-the-dark", "https://edmondsonsupply.com/collections/hvac/products/klein-tools-srs56038-polymer-fish-rod-set-glow-in-the-dark")</f>
        <v>https://edmondsonsupply.com/collections/hvac/products/klein-tools-srs56038-polymer-fish-rod-set-glow-in-the-dark</v>
      </c>
      <c r="B954" s="3" t="str">
        <f>HYPERLINK("https://edmondsonsupply.com/products/klein-tools-srs56038-polymer-fish-rod-set-glow-in-the-dark", "https://edmondsonsupply.com/products/klein-tools-srs56038-polymer-fish-rod-set-glow-in-the-dark")</f>
        <v>https://edmondsonsupply.com/products/klein-tools-srs56038-polymer-fish-rod-set-glow-in-the-dark</v>
      </c>
      <c r="C954" t="s">
        <v>2467</v>
      </c>
      <c r="D954" t="s">
        <v>2468</v>
      </c>
      <c r="E954" s="3" t="str">
        <f>HYPERLINK("https://www.amazon.com/Klein-Tools-50660-Stainless-Steel-Attachments/dp/B0BVJXRH9J/ref=sr_1_3?keywords=Klein+Tools+SRS56038+Polymer+Fish+Rod+Set+Glow-in-The-Dark&amp;qid=1695173635&amp;sr=8-3", "https://www.amazon.com/Klein-Tools-50660-Stainless-Steel-Attachments/dp/B0BVJXRH9J/ref=sr_1_3?keywords=Klein+Tools+SRS56038+Polymer+Fish+Rod+Set+Glow-in-The-Dark&amp;qid=1695173635&amp;sr=8-3")</f>
        <v>https://www.amazon.com/Klein-Tools-50660-Stainless-Steel-Attachments/dp/B0BVJXRH9J/ref=sr_1_3?keywords=Klein+Tools+SRS56038+Polymer+Fish+Rod+Set+Glow-in-The-Dark&amp;qid=1695173635&amp;sr=8-3</v>
      </c>
      <c r="F954" t="s">
        <v>2469</v>
      </c>
      <c r="G954" t="e">
        <f ca="1">_xludf.IMAGE("https://edmondsonsupply.com/cdn/shop/products/srs56038.jpg?v=1633030781")</f>
        <v>#NAME?</v>
      </c>
      <c r="H954" t="e">
        <f ca="1">_xludf.IMAGE("https://m.media-amazon.com/images/I/61TfZQjceGL._AC_UL320_.jpg")</f>
        <v>#NAME?</v>
      </c>
      <c r="I954" t="s">
        <v>824</v>
      </c>
      <c r="J954">
        <v>59.97</v>
      </c>
      <c r="K954" s="4">
        <v>1.0009999999999999</v>
      </c>
      <c r="L954">
        <v>4.0999999999999996</v>
      </c>
      <c r="M954">
        <v>6</v>
      </c>
      <c r="O954" t="s">
        <v>25</v>
      </c>
      <c r="P954" t="s">
        <v>2470</v>
      </c>
      <c r="Q954" t="s">
        <v>2471</v>
      </c>
    </row>
    <row r="955" spans="1:17" ht="15.5" x14ac:dyDescent="0.35">
      <c r="A955"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955"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955" t="s">
        <v>1848</v>
      </c>
      <c r="D955" t="s">
        <v>882</v>
      </c>
      <c r="E955" s="3" t="str">
        <f>HYPERLINK("https://www.amazon.com/Klein-Tools-60539-Professional-Protective/dp/B0BLQ6F4MQ/ref=sr_1_7?keywords=Klein+Tools+60164+Professional+Safety+Glasses%2C+Full+Frame%2C+Gray+Lens&amp;qid=1695173626&amp;sr=8-7", "https://www.amazon.com/Klein-Tools-60539-Professional-Protective/dp/B0BLQ6F4MQ/ref=sr_1_7?keywords=Klein+Tools+60164+Professional+Safety+Glasses%2C+Full+Frame%2C+Gray+Lens&amp;qid=1695173626&amp;sr=8-7")</f>
        <v>https://www.amazon.com/Klein-Tools-60539-Professional-Protective/dp/B0BLQ6F4MQ/ref=sr_1_7?keywords=Klein+Tools+60164+Professional+Safety+Glasses%2C+Full+Frame%2C+Gray+Lens&amp;qid=1695173626&amp;sr=8-7</v>
      </c>
      <c r="F955" t="s">
        <v>883</v>
      </c>
      <c r="G955" t="e">
        <f ca="1">_xludf.IMAGE("https://edmondsonsupply.com/cdn/shop/products/60164.jpg?v=1633030851")</f>
        <v>#NAME?</v>
      </c>
      <c r="H955" t="e">
        <f ca="1">_xludf.IMAGE("https://m.media-amazon.com/images/I/41z93jotzdL._AC_UL320_.jpg")</f>
        <v>#NAME?</v>
      </c>
      <c r="I955" t="s">
        <v>276</v>
      </c>
      <c r="J955">
        <v>29.99</v>
      </c>
      <c r="K955" s="4">
        <v>1.0006999999999999</v>
      </c>
      <c r="L955">
        <v>4.4000000000000004</v>
      </c>
      <c r="M955">
        <v>11</v>
      </c>
      <c r="O955" t="s">
        <v>25</v>
      </c>
      <c r="P955" t="s">
        <v>277</v>
      </c>
      <c r="Q955" t="s">
        <v>1849</v>
      </c>
    </row>
    <row r="956" spans="1:17" ht="15.5" x14ac:dyDescent="0.35">
      <c r="A956" s="3" t="str">
        <f>HYPERLINK("https://edmondsonsupply.com/collections/hvac/products/channellock-432", "https://edmondsonsupply.com/collections/hvac/products/channellock-432")</f>
        <v>https://edmondsonsupply.com/collections/hvac/products/channellock-432</v>
      </c>
      <c r="B956" s="3" t="str">
        <f>HYPERLINK("https://edmondsonsupply.com/products/channellock-432", "https://edmondsonsupply.com/products/channellock-432")</f>
        <v>https://edmondsonsupply.com/products/channellock-432</v>
      </c>
      <c r="C956" t="s">
        <v>2472</v>
      </c>
      <c r="D956" t="s">
        <v>2473</v>
      </c>
      <c r="E956" s="3" t="str">
        <f>HYPERLINK("https://www.amazon.com/Channellock-Tongue-12-Inch-Straight-Comfort/dp/B0BFXP68V9/ref=sr_1_5?keywords=Channellock+440+12%22+Straight+Jaw+Tongue+%26+Groove+Pliers&amp;qid=1695173686&amp;sr=8-5", "https://www.amazon.com/Channellock-Tongue-12-Inch-Straight-Comfort/dp/B0BFXP68V9/ref=sr_1_5?keywords=Channellock+440+12%22+Straight+Jaw+Tongue+%26+Groove+Pliers&amp;qid=1695173686&amp;sr=8-5")</f>
        <v>https://www.amazon.com/Channellock-Tongue-12-Inch-Straight-Comfort/dp/B0BFXP68V9/ref=sr_1_5?keywords=Channellock+440+12%22+Straight+Jaw+Tongue+%26+Groove+Pliers&amp;qid=1695173686&amp;sr=8-5</v>
      </c>
      <c r="F956" t="s">
        <v>2474</v>
      </c>
      <c r="G956" t="e">
        <f ca="1">_xludf.IMAGE("https://edmondsonsupply.com/cdn/shop/products/440-546x1024.jpg?v=1587148892")</f>
        <v>#NAME?</v>
      </c>
      <c r="H956" t="e">
        <f ca="1">_xludf.IMAGE("https://m.media-amazon.com/images/I/41d-z+Tl0SL._AC_UL320_.jpg")</f>
        <v>#NAME?</v>
      </c>
      <c r="I956" t="s">
        <v>2475</v>
      </c>
      <c r="J956">
        <v>43.9</v>
      </c>
      <c r="K956" s="4">
        <v>1</v>
      </c>
      <c r="L956">
        <v>5</v>
      </c>
      <c r="M956">
        <v>2</v>
      </c>
      <c r="O956" t="s">
        <v>25</v>
      </c>
      <c r="P956" t="s">
        <v>2476</v>
      </c>
      <c r="Q956" t="s">
        <v>2477</v>
      </c>
    </row>
    <row r="957" spans="1:17" ht="15.5" x14ac:dyDescent="0.35">
      <c r="A957" s="3" t="str">
        <f>HYPERLINK("https://edmondsonsupply.com/collections/hvac/products/klein-tools-94130-1000v-insulated-tool-kit-5-piece", "https://edmondsonsupply.com/collections/hvac/products/klein-tools-94130-1000v-insulated-tool-kit-5-piece")</f>
        <v>https://edmondsonsupply.com/collections/hvac/products/klein-tools-94130-1000v-insulated-tool-kit-5-piece</v>
      </c>
      <c r="B957" s="3" t="str">
        <f>HYPERLINK("https://edmondsonsupply.com/products/klein-tools-94130-1000v-insulated-tool-kit-5-piece", "https://edmondsonsupply.com/products/klein-tools-94130-1000v-insulated-tool-kit-5-piece")</f>
        <v>https://edmondsonsupply.com/products/klein-tools-94130-1000v-insulated-tool-kit-5-piece</v>
      </c>
      <c r="C957" t="s">
        <v>2221</v>
      </c>
      <c r="D957" t="s">
        <v>2478</v>
      </c>
      <c r="E957" s="3" t="str">
        <f>HYPERLINK("https://www.amazon.com/Klein-Tools-Screwdriver-16-Piece-Insulated/dp/B0BD4188RR/ref=sr_1_5?keywords=Klein+Tools+94130+1000V+Insulated+Tool+Kit%2C+5-Piece&amp;qid=1695173544&amp;sr=8-5", "https://www.amazon.com/Klein-Tools-Screwdriver-16-Piece-Insulated/dp/B0BD4188RR/ref=sr_1_5?keywords=Klein+Tools+94130+1000V+Insulated+Tool+Kit%2C+5-Piece&amp;qid=1695173544&amp;sr=8-5")</f>
        <v>https://www.amazon.com/Klein-Tools-Screwdriver-16-Piece-Insulated/dp/B0BD4188RR/ref=sr_1_5?keywords=Klein+Tools+94130+1000V+Insulated+Tool+Kit%2C+5-Piece&amp;qid=1695173544&amp;sr=8-5</v>
      </c>
      <c r="F957" t="s">
        <v>2479</v>
      </c>
      <c r="G957" t="e">
        <f ca="1">_xludf.IMAGE("https://edmondsonsupply.com/cdn/shop/products/94130.jpg?v=1633030386")</f>
        <v>#NAME?</v>
      </c>
      <c r="H957" t="e">
        <f ca="1">_xludf.IMAGE("https://m.media-amazon.com/images/I/51KtSSZfJ+L._AC_UL320_.jpg")</f>
        <v>#NAME?</v>
      </c>
      <c r="I957" t="s">
        <v>2224</v>
      </c>
      <c r="J957">
        <v>199.98</v>
      </c>
      <c r="K957" s="4">
        <v>1</v>
      </c>
      <c r="L957">
        <v>5</v>
      </c>
      <c r="M957">
        <v>1</v>
      </c>
      <c r="O957" t="s">
        <v>25</v>
      </c>
      <c r="P957" t="s">
        <v>2225</v>
      </c>
      <c r="Q957" t="s">
        <v>2226</v>
      </c>
    </row>
    <row r="958" spans="1:17" ht="15.5" x14ac:dyDescent="0.35">
      <c r="A958" s="3" t="str">
        <f>HYPERLINK("https://edmondsonsupply.com/collections/hvac/products/packard-trcfd405-titan-pro-run-capacitor-40-5-mfd-440-370-volt-round", "https://edmondsonsupply.com/collections/hvac/products/packard-trcfd405-titan-pro-run-capacitor-40-5-mfd-440-370-volt-round")</f>
        <v>https://edmondsonsupply.com/collections/hvac/products/packard-trcfd405-titan-pro-run-capacitor-40-5-mfd-440-370-volt-round</v>
      </c>
      <c r="B958" s="3" t="str">
        <f>HYPERLINK("https://edmondsonsupply.com/products/packard-trcfd405-titan-pro-run-capacitor-40-5-mfd-440-370-volt-round", "https://edmondsonsupply.com/products/packard-trcfd405-titan-pro-run-capacitor-40-5-mfd-440-370-volt-round")</f>
        <v>https://edmondsonsupply.com/products/packard-trcfd405-titan-pro-run-capacitor-40-5-mfd-440-370-volt-round</v>
      </c>
      <c r="C958" t="s">
        <v>2056</v>
      </c>
      <c r="D958" t="s">
        <v>1747</v>
      </c>
      <c r="E958" s="3" t="str">
        <f>HYPERLINK("https://www.amazon.com/Titan-TRCFD4075-Rated-Motor-Capacitor/dp/B01IC27L72/ref=sr_1_9?keywords=Packard+TRCFD405+Titan+PRO+Run+Capacitor+40%2B5+MFD+440%2F370+Volt+Round&amp;qid=1695173477&amp;sr=8-9", "https://www.amazon.com/Titan-TRCFD4075-Rated-Motor-Capacitor/dp/B01IC27L72/ref=sr_1_9?keywords=Packard+TRCFD405+Titan+PRO+Run+Capacitor+40%2B5+MFD+440%2F370+Volt+Round&amp;qid=1695173477&amp;sr=8-9")</f>
        <v>https://www.amazon.com/Titan-TRCFD4075-Rated-Motor-Capacitor/dp/B01IC27L72/ref=sr_1_9?keywords=Packard+TRCFD405+Titan+PRO+Run+Capacitor+40%2B5+MFD+440%2F370+Volt+Round&amp;qid=1695173477&amp;sr=8-9</v>
      </c>
      <c r="F958" t="s">
        <v>1748</v>
      </c>
      <c r="G958" t="e">
        <f ca="1">_xludf.IMAGE("https://edmondsonsupply.com/cdn/shop/products/TRCFD405-2.jpg?v=1633030399")</f>
        <v>#NAME?</v>
      </c>
      <c r="H958" t="e">
        <f ca="1">_xludf.IMAGE("https://m.media-amazon.com/images/I/81gL9btPv8L._AC_UY218_.jpg")</f>
        <v>#NAME?</v>
      </c>
      <c r="I958" t="s">
        <v>1537</v>
      </c>
      <c r="J958">
        <v>16.78</v>
      </c>
      <c r="K958" s="4">
        <v>1</v>
      </c>
      <c r="L958">
        <v>4.5999999999999996</v>
      </c>
      <c r="M958">
        <v>46</v>
      </c>
      <c r="O958" t="s">
        <v>171</v>
      </c>
      <c r="P958" t="s">
        <v>138</v>
      </c>
      <c r="Q958" t="s">
        <v>2059</v>
      </c>
    </row>
    <row r="959" spans="1:17" ht="15.5" x14ac:dyDescent="0.35">
      <c r="A959"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959" s="3" t="str">
        <f>HYPERLINK("https://edmondsonsupply.com/products/klein-tools-32907-7-in-1-impact-flip-socket-set-no-handle", "https://edmondsonsupply.com/products/klein-tools-32907-7-in-1-impact-flip-socket-set-no-handle")</f>
        <v>https://edmondsonsupply.com/products/klein-tools-32907-7-in-1-impact-flip-socket-set-no-handle</v>
      </c>
      <c r="C959" t="s">
        <v>1833</v>
      </c>
      <c r="D959" t="s">
        <v>2480</v>
      </c>
      <c r="E959" s="3" t="str">
        <f>HYPERLINK("https://www.amazon.com/Wiha-Magnetic-Setter-Metric-Impact/dp/B0C3BBFJC3/ref=sr_1_1?keywords=Klein+Tools+32907+7-in-1+Impact+Flip+Socket+Set%2C+No+Handle&amp;qid=1695173428&amp;sr=8-1", "https://www.amazon.com/Wiha-Magnetic-Setter-Metric-Impact/dp/B0C3BBFJC3/ref=sr_1_1?keywords=Klein+Tools+32907+7-in-1+Impact+Flip+Socket+Set%2C+No+Handle&amp;qid=1695173428&amp;sr=8-1")</f>
        <v>https://www.amazon.com/Wiha-Magnetic-Setter-Metric-Impact/dp/B0C3BBFJC3/ref=sr_1_1?keywords=Klein+Tools+32907+7-in-1+Impact+Flip+Socket+Set%2C+No+Handle&amp;qid=1695173428&amp;sr=8-1</v>
      </c>
      <c r="F959" t="s">
        <v>2481</v>
      </c>
      <c r="G959" t="e">
        <f ca="1">_xludf.IMAGE("https://edmondsonsupply.com/cdn/shop/products/32907_b.jpg?v=1666025282")</f>
        <v>#NAME?</v>
      </c>
      <c r="H959" t="e">
        <f ca="1">_xludf.IMAGE("https://m.media-amazon.com/images/I/41L9R5NZDWL._AC_UL320_.jpg")</f>
        <v>#NAME?</v>
      </c>
      <c r="I959" t="s">
        <v>577</v>
      </c>
      <c r="J959">
        <v>39.979999999999997</v>
      </c>
      <c r="K959" s="4">
        <v>1</v>
      </c>
      <c r="L959">
        <v>4.5999999999999996</v>
      </c>
      <c r="M959">
        <v>143</v>
      </c>
      <c r="O959" t="s">
        <v>25</v>
      </c>
      <c r="P959" t="s">
        <v>1836</v>
      </c>
      <c r="Q959" t="s">
        <v>1837</v>
      </c>
    </row>
    <row r="960" spans="1:17" ht="15.5" x14ac:dyDescent="0.35">
      <c r="A960" s="3" t="str">
        <f>HYPERLINK("https://edmondsonsupply.com/collections/hvac/products/packard-pmj708-motor-start-capacitor-708-850-mfd-110-125-vac", "https://edmondsonsupply.com/collections/hvac/products/packard-pmj708-motor-start-capacitor-708-850-mfd-110-125-vac")</f>
        <v>https://edmondsonsupply.com/collections/hvac/products/packard-pmj708-motor-start-capacitor-708-850-mfd-110-125-vac</v>
      </c>
      <c r="B960" s="3" t="str">
        <f>HYPERLINK("https://edmondsonsupply.com/products/packard-pmj708-motor-start-capacitor-708-850-mfd-110-125-vac", "https://edmondsonsupply.com/products/packard-pmj708-motor-start-capacitor-708-850-mfd-110-125-vac")</f>
        <v>https://edmondsonsupply.com/products/packard-pmj708-motor-start-capacitor-708-850-mfd-110-125-vac</v>
      </c>
      <c r="C960" t="s">
        <v>2130</v>
      </c>
      <c r="D960" t="s">
        <v>2482</v>
      </c>
      <c r="E960" s="3" t="str">
        <f>HYPERLINK("https://www.amazon.com/PMJ64-Packard-Upgraded-Replacement-Capacitor/dp/B0773VSKH9/ref=sr_1_5?keywords=Packard+PMJ708+Motor+Start+Capacitor+708-850+MFD+110-125+VAC&amp;qid=1695173647&amp;sr=8-5", "https://www.amazon.com/PMJ64-Packard-Upgraded-Replacement-Capacitor/dp/B0773VSKH9/ref=sr_1_5?keywords=Packard+PMJ708+Motor+Start+Capacitor+708-850+MFD+110-125+VAC&amp;qid=1695173647&amp;sr=8-5")</f>
        <v>https://www.amazon.com/PMJ64-Packard-Upgraded-Replacement-Capacitor/dp/B0773VSKH9/ref=sr_1_5?keywords=Packard+PMJ708+Motor+Start+Capacitor+708-850+MFD+110-125+VAC&amp;qid=1695173647&amp;sr=8-5</v>
      </c>
      <c r="F960" t="s">
        <v>2483</v>
      </c>
      <c r="G960" t="e">
        <f ca="1">_xludf.IMAGE("https://edmondsonsupply.com/cdn/shop/products/PMJ708-2.jpg?v=1633030334")</f>
        <v>#NAME?</v>
      </c>
      <c r="H960" t="e">
        <f ca="1">_xludf.IMAGE("https://m.media-amazon.com/images/I/41fqQrQgJaL._AC_UY218_.jpg")</f>
        <v>#NAME?</v>
      </c>
      <c r="I960" t="s">
        <v>2133</v>
      </c>
      <c r="J960">
        <v>13.49</v>
      </c>
      <c r="K960" s="4">
        <v>0.99560000000000004</v>
      </c>
      <c r="L960">
        <v>5</v>
      </c>
      <c r="M960">
        <v>1</v>
      </c>
      <c r="O960" t="s">
        <v>25</v>
      </c>
      <c r="P960" t="s">
        <v>138</v>
      </c>
      <c r="Q960" t="s">
        <v>2134</v>
      </c>
    </row>
    <row r="961" spans="1:17" ht="15.5" x14ac:dyDescent="0.35">
      <c r="A961" s="3" t="str">
        <f>HYPERLINK("https://edmondsonsupply.com/collections/hvac/products/nu-calgon-4900-40-iwave-v-vortex-air-ionization-system", "https://edmondsonsupply.com/collections/hvac/products/nu-calgon-4900-40-iwave-v-vortex-air-ionization-system")</f>
        <v>https://edmondsonsupply.com/collections/hvac/products/nu-calgon-4900-40-iwave-v-vortex-air-ionization-system</v>
      </c>
      <c r="B961" s="3" t="str">
        <f>HYPERLINK("https://edmondsonsupply.com/products/nu-calgon-4900-40-iwave-v-vortex-air-ionization-system", "https://edmondsonsupply.com/products/nu-calgon-4900-40-iwave-v-vortex-air-ionization-system")</f>
        <v>https://edmondsonsupply.com/products/nu-calgon-4900-40-iwave-v-vortex-air-ionization-system</v>
      </c>
      <c r="C961" t="s">
        <v>2484</v>
      </c>
      <c r="D961" t="s">
        <v>2485</v>
      </c>
      <c r="E961" s="3" t="str">
        <f>HYPERLINK("https://www.amazon.com/Nu-Calgon-4900-20-Self-Cleaning-Ionization-Generator/dp/B07YYN1QRW/ref=sr_1_1?keywords=Nu-Calgon+4900-40+iWave-V+Vortex+Air+Ionization+System&amp;qid=1695173581&amp;sr=8-1", "https://www.amazon.com/Nu-Calgon-4900-20-Self-Cleaning-Ionization-Generator/dp/B07YYN1QRW/ref=sr_1_1?keywords=Nu-Calgon+4900-40+iWave-V+Vortex+Air+Ionization+System&amp;qid=1695173581&amp;sr=8-1")</f>
        <v>https://www.amazon.com/Nu-Calgon-4900-20-Self-Cleaning-Ionization-Generator/dp/B07YYN1QRW/ref=sr_1_1?keywords=Nu-Calgon+4900-40+iWave-V+Vortex+Air+Ionization+System&amp;qid=1695173581&amp;sr=8-1</v>
      </c>
      <c r="F961" t="s">
        <v>2486</v>
      </c>
      <c r="G961" t="e">
        <f ca="1">_xludf.IMAGE("https://edmondsonsupply.com/cdn/shop/files/4900-40.jpg?v=1687445226")</f>
        <v>#NAME?</v>
      </c>
      <c r="H961" t="e">
        <f ca="1">_xludf.IMAGE("https://m.media-amazon.com/images/I/41bYOWAF1uL._AC_UY218_.jpg")</f>
        <v>#NAME?</v>
      </c>
      <c r="I961" t="s">
        <v>2487</v>
      </c>
      <c r="J961">
        <v>368.95</v>
      </c>
      <c r="K961" s="4">
        <v>0.98370000000000002</v>
      </c>
      <c r="L961">
        <v>4.5</v>
      </c>
      <c r="M961">
        <v>368</v>
      </c>
      <c r="O961" t="s">
        <v>25</v>
      </c>
      <c r="P961" t="s">
        <v>2488</v>
      </c>
      <c r="Q961" t="s">
        <v>2489</v>
      </c>
    </row>
    <row r="962" spans="1:17" ht="15.5" x14ac:dyDescent="0.35">
      <c r="A962" s="3" t="str">
        <f>HYPERLINK("https://edmondsonsupply.com/collections/hvac/products/klein-tools-3005cr-ratcheting-crimper-10-22-awg", "https://edmondsonsupply.com/collections/hvac/products/klein-tools-3005cr-ratcheting-crimper-10-22-awg")</f>
        <v>https://edmondsonsupply.com/collections/hvac/products/klein-tools-3005cr-ratcheting-crimper-10-22-awg</v>
      </c>
      <c r="B962" s="3" t="str">
        <f>HYPERLINK("https://edmondsonsupply.com/products/klein-tools-3005cr-ratcheting-crimper-10-22-awg", "https://edmondsonsupply.com/products/klein-tools-3005cr-ratcheting-crimper-10-22-awg")</f>
        <v>https://edmondsonsupply.com/products/klein-tools-3005cr-ratcheting-crimper-10-22-awg</v>
      </c>
      <c r="C962" t="s">
        <v>1987</v>
      </c>
      <c r="D962" t="s">
        <v>2490</v>
      </c>
      <c r="E962" s="3" t="str">
        <f>HYPERLINK("https://www.amazon.com/Klein-Tools-Terminals-Connectors-Non-Insulated/dp/B09T6YD8X4/ref=sr_1_4?keywords=Klein+Tools+3005CR+Ratcheting+Crimper%2C+10-22+AWG+-+Insulated+Terminals&amp;qid=1695173487&amp;sr=8-4", "https://www.amazon.com/Klein-Tools-Terminals-Connectors-Non-Insulated/dp/B09T6YD8X4/ref=sr_1_4?keywords=Klein+Tools+3005CR+Ratcheting+Crimper%2C+10-22+AWG+-+Insulated+Terminals&amp;qid=1695173487&amp;sr=8-4")</f>
        <v>https://www.amazon.com/Klein-Tools-Terminals-Connectors-Non-Insulated/dp/B09T6YD8X4/ref=sr_1_4?keywords=Klein+Tools+3005CR+Ratcheting+Crimper%2C+10-22+AWG+-+Insulated+Terminals&amp;qid=1695173487&amp;sr=8-4</v>
      </c>
      <c r="F962" t="s">
        <v>2491</v>
      </c>
      <c r="G962" t="e">
        <f ca="1">_xludf.IMAGE("https://edmondsonsupply.com/cdn/shop/products/3005cr.jpg?v=1587146892")</f>
        <v>#NAME?</v>
      </c>
      <c r="H962" t="e">
        <f ca="1">_xludf.IMAGE("https://m.media-amazon.com/images/I/41P2x5W+flL._AC_UL320_.jpg")</f>
        <v>#NAME?</v>
      </c>
      <c r="I962" t="s">
        <v>824</v>
      </c>
      <c r="J962">
        <v>59.45</v>
      </c>
      <c r="K962" s="4">
        <v>0.98370000000000002</v>
      </c>
      <c r="L962">
        <v>5</v>
      </c>
      <c r="M962">
        <v>1</v>
      </c>
      <c r="O962" t="s">
        <v>25</v>
      </c>
      <c r="P962" t="s">
        <v>1990</v>
      </c>
      <c r="Q962" t="s">
        <v>1991</v>
      </c>
    </row>
    <row r="963" spans="1:17" ht="15.5" x14ac:dyDescent="0.35">
      <c r="A963" s="3" t="str">
        <f>HYPERLINK("https://edmondsonsupply.com/collections/hvac/products/packard-titan-pro-trcd305-run-capacitor-30-5-mfd-370-volt-round", "https://edmondsonsupply.com/collections/hvac/products/packard-titan-pro-trcd305-run-capacitor-30-5-mfd-370-volt-round")</f>
        <v>https://edmondsonsupply.com/collections/hvac/products/packard-titan-pro-trcd305-run-capacitor-30-5-mfd-370-volt-round</v>
      </c>
      <c r="B963" s="3" t="str">
        <f>HYPERLINK("https://edmondsonsupply.com/products/packard-titan-pro-trcd305-run-capacitor-30-5-mfd-370-volt-round", "https://edmondsonsupply.com/products/packard-titan-pro-trcd305-run-capacitor-30-5-mfd-370-volt-round")</f>
        <v>https://edmondsonsupply.com/products/packard-titan-pro-trcd305-run-capacitor-30-5-mfd-370-volt-round</v>
      </c>
      <c r="C963" t="s">
        <v>2199</v>
      </c>
      <c r="D963" t="s">
        <v>2352</v>
      </c>
      <c r="E963" s="3" t="str">
        <f>HYPERLINK("https://www.amazon.com/Capacitor-Microfarad-Rating-370-440VAC-Voltage/dp/B08TTPB9QZ/ref=sr_1_4?keywords=Packard+Titan+PRO+TRCD305+Run+Capacitor+30+5+MFD+370+Volt+Round&amp;qid=1695173636&amp;sr=8-4", "https://www.amazon.com/Capacitor-Microfarad-Rating-370-440VAC-Voltage/dp/B08TTPB9QZ/ref=sr_1_4?keywords=Packard+Titan+PRO+TRCD305+Run+Capacitor+30+5+MFD+370+Volt+Round&amp;qid=1695173636&amp;sr=8-4")</f>
        <v>https://www.amazon.com/Capacitor-Microfarad-Rating-370-440VAC-Voltage/dp/B08TTPB9QZ/ref=sr_1_4?keywords=Packard+Titan+PRO+TRCD305+Run+Capacitor+30+5+MFD+370+Volt+Round&amp;qid=1695173636&amp;sr=8-4</v>
      </c>
      <c r="F963" t="s">
        <v>2353</v>
      </c>
      <c r="G963" t="e">
        <f ca="1">_xludf.IMAGE("https://edmondsonsupply.com/cdn/shop/products/TRCD305-2.jpg?v=1633030487")</f>
        <v>#NAME?</v>
      </c>
      <c r="H963" t="e">
        <f ca="1">_xludf.IMAGE("https://m.media-amazon.com/images/I/61rN-CX2SUL._AC_UY218_.jpg")</f>
        <v>#NAME?</v>
      </c>
      <c r="I963" t="s">
        <v>2202</v>
      </c>
      <c r="J963">
        <v>15.69</v>
      </c>
      <c r="K963" s="4">
        <v>0.98109999999999997</v>
      </c>
      <c r="L963">
        <v>5</v>
      </c>
      <c r="M963">
        <v>4</v>
      </c>
      <c r="O963" t="s">
        <v>25</v>
      </c>
      <c r="P963" t="s">
        <v>138</v>
      </c>
      <c r="Q963" t="s">
        <v>2203</v>
      </c>
    </row>
    <row r="964" spans="1:17" ht="15.5" x14ac:dyDescent="0.35">
      <c r="A964"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964" s="3" t="str">
        <f>HYPERLINK("https://edmondsonsupply.com/products/klein-tools-et120-combustible-gas-leak-detector", "https://edmondsonsupply.com/products/klein-tools-et120-combustible-gas-leak-detector")</f>
        <v>https://edmondsonsupply.com/products/klein-tools-et120-combustible-gas-leak-detector</v>
      </c>
      <c r="C964" t="s">
        <v>1529</v>
      </c>
      <c r="D964" t="s">
        <v>2492</v>
      </c>
      <c r="E964" s="3" t="str">
        <f>HYPERLINK("https://www.amazon.com/Klein-Tools-Monoxide-Combustible-Gooseneck/dp/B08MFZNS5M/ref=sr_1_7?keywords=Klein+Tools+ET120+Combustible+Gas+Leak+Detector&amp;qid=1695173669&amp;sr=8-7", "https://www.amazon.com/Klein-Tools-Monoxide-Combustible-Gooseneck/dp/B08MFZNS5M/ref=sr_1_7?keywords=Klein+Tools+ET120+Combustible+Gas+Leak+Detector&amp;qid=1695173669&amp;sr=8-7")</f>
        <v>https://www.amazon.com/Klein-Tools-Monoxide-Combustible-Gooseneck/dp/B08MFZNS5M/ref=sr_1_7?keywords=Klein+Tools+ET120+Combustible+Gas+Leak+Detector&amp;qid=1695173669&amp;sr=8-7</v>
      </c>
      <c r="F964" t="s">
        <v>2493</v>
      </c>
      <c r="G964" t="e">
        <f ca="1">_xludf.IMAGE("https://edmondsonsupply.com/cdn/shop/products/et120.jpg?v=1587149243")</f>
        <v>#NAME?</v>
      </c>
      <c r="H964" t="e">
        <f ca="1">_xludf.IMAGE("https://m.media-amazon.com/images/I/51tDV7zUk7L._AC_UL320_.jpg")</f>
        <v>#NAME?</v>
      </c>
      <c r="I964" t="s">
        <v>74</v>
      </c>
      <c r="J964">
        <v>237.43</v>
      </c>
      <c r="K964" s="4">
        <v>0.97870000000000001</v>
      </c>
      <c r="L964">
        <v>4.8</v>
      </c>
      <c r="M964">
        <v>28</v>
      </c>
      <c r="O964" t="s">
        <v>25</v>
      </c>
      <c r="P964" t="s">
        <v>1532</v>
      </c>
      <c r="Q964" t="s">
        <v>1533</v>
      </c>
    </row>
    <row r="965" spans="1:17" ht="15.5" x14ac:dyDescent="0.35">
      <c r="A965" s="3" t="str">
        <f>HYPERLINK("https://edmondsonsupply.com/collections/hvac/products/inficon-d-tek-3", "https://edmondsonsupply.com/collections/hvac/products/inficon-d-tek-3")</f>
        <v>https://edmondsonsupply.com/collections/hvac/products/inficon-d-tek-3</v>
      </c>
      <c r="B965" s="3" t="str">
        <f>HYPERLINK("https://edmondsonsupply.com/products/inficon-d-tek-3", "https://edmondsonsupply.com/products/inficon-d-tek-3")</f>
        <v>https://edmondsonsupply.com/products/inficon-d-tek-3</v>
      </c>
      <c r="C965" t="s">
        <v>2260</v>
      </c>
      <c r="D965" t="s">
        <v>2494</v>
      </c>
      <c r="E965" s="3" t="str">
        <f>HYPERLINK("https://www.amazon.com/Inficon-D-TEK-Stratus-Refrigerant-Detector/dp/B07ZWGM6GR/ref=sr_1_2?keywords=Inficon+D-TEK%C2%AE+3+Refrigerant+Leak+Detector&amp;qid=1695173442&amp;sr=8-2", "https://www.amazon.com/Inficon-D-TEK-Stratus-Refrigerant-Detector/dp/B07ZWGM6GR/ref=sr_1_2?keywords=Inficon+D-TEK%C2%AE+3+Refrigerant+Leak+Detector&amp;qid=1695173442&amp;sr=8-2")</f>
        <v>https://www.amazon.com/Inficon-D-TEK-Stratus-Refrigerant-Detector/dp/B07ZWGM6GR/ref=sr_1_2?keywords=Inficon+D-TEK%C2%AE+3+Refrigerant+Leak+Detector&amp;qid=1695173442&amp;sr=8-2</v>
      </c>
      <c r="F965" t="s">
        <v>2495</v>
      </c>
      <c r="G965" t="e">
        <f ca="1">_xludf.IMAGE("https://edmondsonsupply.com/cdn/shop/products/dtek3.png?v=1633030772")</f>
        <v>#NAME?</v>
      </c>
      <c r="H965" t="e">
        <f ca="1">_xludf.IMAGE("https://m.media-amazon.com/images/I/61a5yae6mKL._AC_UL320_.jpg")</f>
        <v>#NAME?</v>
      </c>
      <c r="I965" t="s">
        <v>2263</v>
      </c>
      <c r="J965">
        <v>1021.96</v>
      </c>
      <c r="K965" s="4">
        <v>0.9768</v>
      </c>
      <c r="L965">
        <v>4.5999999999999996</v>
      </c>
      <c r="M965">
        <v>43</v>
      </c>
      <c r="O965" t="s">
        <v>25</v>
      </c>
      <c r="P965" t="s">
        <v>2264</v>
      </c>
      <c r="Q965" t="s">
        <v>2265</v>
      </c>
    </row>
    <row r="966" spans="1:17" ht="15.5" x14ac:dyDescent="0.35">
      <c r="A966"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966" s="3" t="str">
        <f>HYPERLINK("https://edmondsonsupply.com/products/packard-prmj270-motor-start-capacitor-270-324-mfd-330-vac", "https://edmondsonsupply.com/products/packard-prmj270-motor-start-capacitor-270-324-mfd-330-vac")</f>
        <v>https://edmondsonsupply.com/products/packard-prmj270-motor-start-capacitor-270-324-mfd-330-vac</v>
      </c>
      <c r="C966" t="s">
        <v>2452</v>
      </c>
      <c r="D966" t="s">
        <v>2496</v>
      </c>
      <c r="E966" s="3" t="str">
        <f>HYPERLINK("https://www.amazon.com/PRMJ270-Packard-Upgraded-Replacement-Capacitor/dp/B0773VZ1SY/ref=sr_1_1?keywords=Packard+PRMJ270+Motor+Start+Capacitor+270-324+MFD+330+VAC&amp;qid=1695173486&amp;sr=8-1", "https://www.amazon.com/PRMJ270-Packard-Upgraded-Replacement-Capacitor/dp/B0773VZ1SY/ref=sr_1_1?keywords=Packard+PRMJ270+Motor+Start+Capacitor+270-324+MFD+330+VAC&amp;qid=1695173486&amp;sr=8-1")</f>
        <v>https://www.amazon.com/PRMJ270-Packard-Upgraded-Replacement-Capacitor/dp/B0773VZ1SY/ref=sr_1_1?keywords=Packard+PRMJ270+Motor+Start+Capacitor+270-324+MFD+330+VAC&amp;qid=1695173486&amp;sr=8-1</v>
      </c>
      <c r="F966" t="s">
        <v>2497</v>
      </c>
      <c r="G966" t="e">
        <f ca="1">_xludf.IMAGE("https://edmondsonsupply.com/cdn/shop/products/PRMJ270-2.jpg?v=1633030164")</f>
        <v>#NAME?</v>
      </c>
      <c r="H966" t="e">
        <f ca="1">_xludf.IMAGE("https://m.media-amazon.com/images/I/41fqQrQgJaL._AC_UY218_.jpg")</f>
        <v>#NAME?</v>
      </c>
      <c r="I966" t="s">
        <v>2455</v>
      </c>
      <c r="J966">
        <v>20.49</v>
      </c>
      <c r="K966" s="4">
        <v>0.97589999999999999</v>
      </c>
      <c r="L966">
        <v>5</v>
      </c>
      <c r="M966">
        <v>11</v>
      </c>
      <c r="O966" t="s">
        <v>25</v>
      </c>
      <c r="P966" t="s">
        <v>138</v>
      </c>
      <c r="Q966" t="s">
        <v>2456</v>
      </c>
    </row>
    <row r="967" spans="1:17" ht="15.5" x14ac:dyDescent="0.35">
      <c r="A967"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967" s="3" t="str">
        <f>HYPERLINK("https://edmondsonsupply.com/products/packard-pmj460-motor-start-capacitor-460-552-mfd-110-125-vac", "https://edmondsonsupply.com/products/packard-pmj460-motor-start-capacitor-460-552-mfd-110-125-vac")</f>
        <v>https://edmondsonsupply.com/products/packard-pmj460-motor-start-capacitor-460-552-mfd-110-125-vac</v>
      </c>
      <c r="C967" t="s">
        <v>1622</v>
      </c>
      <c r="D967" t="s">
        <v>2498</v>
      </c>
      <c r="E967" s="3" t="str">
        <f>HYPERLINK("https://www.amazon.com/PMJ460-Diversitech-Aftermarket-Replacement-Capacitor/dp/B00IWYGRDU/ref=sr_1_3?keywords=Packard+PMJ460+Motor+Start+Capacitor+460-552+MFD+110-125+VAC&amp;qid=1695173457&amp;sr=8-3", "https://www.amazon.com/PMJ460-Diversitech-Aftermarket-Replacement-Capacitor/dp/B00IWYGRDU/ref=sr_1_3?keywords=Packard+PMJ460+Motor+Start+Capacitor+460-552+MFD+110-125+VAC&amp;qid=1695173457&amp;sr=8-3")</f>
        <v>https://www.amazon.com/PMJ460-Diversitech-Aftermarket-Replacement-Capacitor/dp/B00IWYGRDU/ref=sr_1_3?keywords=Packard+PMJ460+Motor+Start+Capacitor+460-552+MFD+110-125+VAC&amp;qid=1695173457&amp;sr=8-3</v>
      </c>
      <c r="F967" t="s">
        <v>2499</v>
      </c>
      <c r="G967" t="e">
        <f ca="1">_xludf.IMAGE("https://edmondsonsupply.com/cdn/shop/products/PMJ460-2.jpg?v=1633030333")</f>
        <v>#NAME?</v>
      </c>
      <c r="H967" t="e">
        <f ca="1">_xludf.IMAGE("https://m.media-amazon.com/images/I/41Aj4DTIUuL._AC_UY218_.jpg")</f>
        <v>#NAME?</v>
      </c>
      <c r="I967" t="s">
        <v>1623</v>
      </c>
      <c r="J967">
        <v>9.99</v>
      </c>
      <c r="K967" s="4">
        <v>0.97430000000000005</v>
      </c>
      <c r="L967">
        <v>4.4000000000000004</v>
      </c>
      <c r="M967">
        <v>49</v>
      </c>
      <c r="O967" t="s">
        <v>171</v>
      </c>
      <c r="P967" t="s">
        <v>138</v>
      </c>
      <c r="Q967" t="s">
        <v>1624</v>
      </c>
    </row>
    <row r="968" spans="1:17" ht="15.5" x14ac:dyDescent="0.35">
      <c r="A968" s="3" t="str">
        <f>HYPERLINK("https://edmondsonsupply.com/collections/hvac/products/midwest-mwt-ss6510l-special-hardness-offset-aviation-snip-left-cutting", "https://edmondsonsupply.com/collections/hvac/products/midwest-mwt-ss6510l-special-hardness-offset-aviation-snip-left-cutting")</f>
        <v>https://edmondsonsupply.com/collections/hvac/products/midwest-mwt-ss6510l-special-hardness-offset-aviation-snip-left-cutting</v>
      </c>
      <c r="B968"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968" t="s">
        <v>169</v>
      </c>
      <c r="D968" t="s">
        <v>191</v>
      </c>
      <c r="E968" s="3" t="str">
        <f>HYPERLINK("https://www.amazon.com/Midwest-Tools-Cutlery-MWT-SS6510R-Stainless/dp/B01J7IOB64/ref=sr_1_9?keywords=Midwest+MWT-SS6510L+Special+Hardness+Offset+Aviation+Snip+-+Left-Cutting&amp;qid=1695173337&amp;sr=8-9", "https://www.amazon.com/Midwest-Tools-Cutlery-MWT-SS6510R-Stainless/dp/B01J7IOB64/ref=sr_1_9?keywords=Midwest+MWT-SS6510L+Special+Hardness+Offset+Aviation+Snip+-+Left-Cutting&amp;qid=1695173337&amp;sr=8-9")</f>
        <v>https://www.amazon.com/Midwest-Tools-Cutlery-MWT-SS6510R-Stainless/dp/B01J7IOB64/ref=sr_1_9?keywords=Midwest+MWT-SS6510L+Special+Hardness+Offset+Aviation+Snip+-+Left-Cutting&amp;qid=1695173337&amp;sr=8-9</v>
      </c>
      <c r="F968" t="s">
        <v>192</v>
      </c>
      <c r="G968" t="e">
        <f ca="1">_xludf.IMAGE("https://edmondsonsupply.com/cdn/shop/products/MWT-SS6510L.png?v=1587150385")</f>
        <v>#NAME?</v>
      </c>
      <c r="H968" t="e">
        <f ca="1">_xludf.IMAGE("https://m.media-amazon.com/images/I/61rvvPEnRIL._AC_UL320_.jpg")</f>
        <v>#NAME?</v>
      </c>
      <c r="I968" t="s">
        <v>170</v>
      </c>
      <c r="J968">
        <v>63.44</v>
      </c>
      <c r="K968" s="4">
        <v>0.97330000000000005</v>
      </c>
      <c r="L968">
        <v>4.4000000000000004</v>
      </c>
      <c r="M968">
        <v>28</v>
      </c>
      <c r="O968" t="s">
        <v>171</v>
      </c>
      <c r="P968" t="s">
        <v>172</v>
      </c>
      <c r="Q968" t="s">
        <v>173</v>
      </c>
    </row>
    <row r="969" spans="1:17" ht="15.5" x14ac:dyDescent="0.35">
      <c r="A969" s="3" t="str">
        <f>HYPERLINK("https://edmondsonsupply.com/collections/hvac/products/midwest-mwt-ss6510r-special-hardness-offset-aviation-snip-right-cutting", "https://edmondsonsupply.com/collections/hvac/products/midwest-mwt-ss6510r-special-hardness-offset-aviation-snip-right-cutting")</f>
        <v>https://edmondsonsupply.com/collections/hvac/products/midwest-mwt-ss6510r-special-hardness-offset-aviation-snip-right-cutting</v>
      </c>
      <c r="B969" s="3" t="str">
        <f>HYPERLINK("https://edmondsonsupply.com/products/midwest-mwt-ss6510r-special-hardness-offset-aviation-snip-right-cutting", "https://edmondsonsupply.com/products/midwest-mwt-ss6510r-special-hardness-offset-aviation-snip-right-cutting")</f>
        <v>https://edmondsonsupply.com/products/midwest-mwt-ss6510r-special-hardness-offset-aviation-snip-right-cutting</v>
      </c>
      <c r="C969" t="s">
        <v>2030</v>
      </c>
      <c r="D969" t="s">
        <v>191</v>
      </c>
      <c r="E969" s="3" t="str">
        <f>HYPERLINK("https://www.amazon.com/Midwest-Tools-Cutlery-MWT-SS6510R-Stainless/dp/B01J7IOB64/ref=sr_1_1?keywords=Midwest+MWT-SS6510R+Special+Hardness+Offset+Aviation+Snip+-+Right-Cutting&amp;qid=1695173360&amp;sr=8-1", "https://www.amazon.com/Midwest-Tools-Cutlery-MWT-SS6510R-Stainless/dp/B01J7IOB64/ref=sr_1_1?keywords=Midwest+MWT-SS6510R+Special+Hardness+Offset+Aviation+Snip+-+Right-Cutting&amp;qid=1695173360&amp;sr=8-1")</f>
        <v>https://www.amazon.com/Midwest-Tools-Cutlery-MWT-SS6510R-Stainless/dp/B01J7IOB64/ref=sr_1_1?keywords=Midwest+MWT-SS6510R+Special+Hardness+Offset+Aviation+Snip+-+Right-Cutting&amp;qid=1695173360&amp;sr=8-1</v>
      </c>
      <c r="F969" t="s">
        <v>192</v>
      </c>
      <c r="G969" t="e">
        <f ca="1">_xludf.IMAGE("https://edmondsonsupply.com/cdn/shop/products/MWT-SSP6510R.jpg?v=1587142544")</f>
        <v>#NAME?</v>
      </c>
      <c r="H969" t="e">
        <f ca="1">_xludf.IMAGE("https://m.media-amazon.com/images/I/61rvvPEnRIL._AC_UL320_.jpg")</f>
        <v>#NAME?</v>
      </c>
      <c r="I969" t="s">
        <v>170</v>
      </c>
      <c r="J969">
        <v>63.44</v>
      </c>
      <c r="K969" s="4">
        <v>0.97330000000000005</v>
      </c>
      <c r="L969">
        <v>4.4000000000000004</v>
      </c>
      <c r="M969">
        <v>28</v>
      </c>
      <c r="O969" t="s">
        <v>171</v>
      </c>
      <c r="P969" t="s">
        <v>172</v>
      </c>
      <c r="Q969" t="s">
        <v>2031</v>
      </c>
    </row>
    <row r="970" spans="1:17" ht="15.5" x14ac:dyDescent="0.35">
      <c r="A970"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970"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970" t="s">
        <v>2391</v>
      </c>
      <c r="D970" t="s">
        <v>2500</v>
      </c>
      <c r="E970" s="3" t="str">
        <f>HYPERLINK("https://www.amazon.com/Journeyman-T-Handle-Klein-Tools-JTH9M6/dp/B005G3HJKU/ref=sr_1_10?keywords=Klein+Tools+JTH6E11+3%2F16-Inch+Hex+Key%2C+Journeyman+T-Handle%2C+6-Inch&amp;qid=1695173553&amp;sr=8-10", "https://www.amazon.com/Journeyman-T-Handle-Klein-Tools-JTH9M6/dp/B005G3HJKU/ref=sr_1_10?keywords=Klein+Tools+JTH6E11+3%2F16-Inch+Hex+Key%2C+Journeyman+T-Handle%2C+6-Inch&amp;qid=1695173553&amp;sr=8-10")</f>
        <v>https://www.amazon.com/Journeyman-T-Handle-Klein-Tools-JTH9M6/dp/B005G3HJKU/ref=sr_1_10?keywords=Klein+Tools+JTH6E11+3%2F16-Inch+Hex+Key%2C+Journeyman+T-Handle%2C+6-Inch&amp;qid=1695173553&amp;sr=8-10</v>
      </c>
      <c r="F970" t="s">
        <v>2501</v>
      </c>
      <c r="G970" t="e">
        <f ca="1">_xludf.IMAGE("https://edmondsonsupply.com/cdn/shop/products/jth6e15_0266106d-0a3b-44ba-997b-66db7749d83f.jpg?v=1587144829")</f>
        <v>#NAME?</v>
      </c>
      <c r="H970" t="e">
        <f ca="1">_xludf.IMAGE("https://m.media-amazon.com/images/I/51+1x0vz9XL._AC_UL320_.jpg")</f>
        <v>#NAME?</v>
      </c>
      <c r="I970" t="s">
        <v>2388</v>
      </c>
      <c r="J970">
        <v>9.84</v>
      </c>
      <c r="K970" s="4">
        <v>0.97189999999999999</v>
      </c>
      <c r="L970">
        <v>4.7</v>
      </c>
      <c r="M970">
        <v>123</v>
      </c>
      <c r="O970" t="s">
        <v>25</v>
      </c>
      <c r="P970" t="s">
        <v>2392</v>
      </c>
      <c r="Q970" t="s">
        <v>2393</v>
      </c>
    </row>
    <row r="971" spans="1:17" ht="15.5" x14ac:dyDescent="0.35">
      <c r="A971" s="3" t="str">
        <f>HYPERLINK("https://edmondsonsupply.com/collections/hvac/products/packard-trcfd455-titan-pro-run-capacitor-45-5-mfd-440-370-volt-round", "https://edmondsonsupply.com/collections/hvac/products/packard-trcfd455-titan-pro-run-capacitor-45-5-mfd-440-370-volt-round")</f>
        <v>https://edmondsonsupply.com/collections/hvac/products/packard-trcfd455-titan-pro-run-capacitor-45-5-mfd-440-370-volt-round</v>
      </c>
      <c r="B971" s="3" t="str">
        <f>HYPERLINK("https://edmondsonsupply.com/products/packard-trcfd455-titan-pro-run-capacitor-45-5-mfd-440-370-volt-round", "https://edmondsonsupply.com/products/packard-trcfd455-titan-pro-run-capacitor-45-5-mfd-440-370-volt-round")</f>
        <v>https://edmondsonsupply.com/products/packard-trcfd455-titan-pro-run-capacitor-45-5-mfd-440-370-volt-round</v>
      </c>
      <c r="C971" t="s">
        <v>2069</v>
      </c>
      <c r="D971" t="s">
        <v>2502</v>
      </c>
      <c r="E971" s="3" t="str">
        <f>HYPERLINK("https://www.amazon.com/TitanPro-TRCFD455-Round-Motor-Capacitor/dp/B07P5BTJKH/ref=sr_1_8?keywords=Packard+TRCFD455+Titan+PRO+Run+Capacitor+45+5+MFD+440%2F370+Volt+Round&amp;qid=1695173400&amp;sr=8-8", "https://www.amazon.com/TitanPro-TRCFD455-Round-Motor-Capacitor/dp/B07P5BTJKH/ref=sr_1_8?keywords=Packard+TRCFD455+Titan+PRO+Run+Capacitor+45+5+MFD+440%2F370+Volt+Round&amp;qid=1695173400&amp;sr=8-8")</f>
        <v>https://www.amazon.com/TitanPro-TRCFD455-Round-Motor-Capacitor/dp/B07P5BTJKH/ref=sr_1_8?keywords=Packard+TRCFD455+Titan+PRO+Run+Capacitor+45+5+MFD+440%2F370+Volt+Round&amp;qid=1695173400&amp;sr=8-8</v>
      </c>
      <c r="F971" t="s">
        <v>2503</v>
      </c>
      <c r="G971" t="e">
        <f ca="1">_xludf.IMAGE("https://edmondsonsupply.com/cdn/shop/products/TRCFD455-2.jpg?v=1587147298")</f>
        <v>#NAME?</v>
      </c>
      <c r="H971" t="e">
        <f ca="1">_xludf.IMAGE("https://m.media-amazon.com/images/I/41T6h+1BBAL._AC_UY218_.jpg")</f>
        <v>#NAME?</v>
      </c>
      <c r="I971" t="s">
        <v>924</v>
      </c>
      <c r="J971">
        <v>17.690000000000001</v>
      </c>
      <c r="K971" s="4">
        <v>0.9677</v>
      </c>
      <c r="L971">
        <v>4.5999999999999996</v>
      </c>
      <c r="M971">
        <v>68</v>
      </c>
      <c r="O971" t="s">
        <v>171</v>
      </c>
      <c r="P971" t="s">
        <v>138</v>
      </c>
      <c r="Q971" t="s">
        <v>2072</v>
      </c>
    </row>
    <row r="972" spans="1:17" ht="15.5" x14ac:dyDescent="0.35">
      <c r="A972" s="3" t="str">
        <f>HYPERLINK("https://edmondsonsupply.com/collections/hvac/products/packard-titan-pro-trcd455-run-capacitor-45-5-mfd-370-volt-round", "https://edmondsonsupply.com/collections/hvac/products/packard-titan-pro-trcd455-run-capacitor-45-5-mfd-370-volt-round")</f>
        <v>https://edmondsonsupply.com/collections/hvac/products/packard-titan-pro-trcd455-run-capacitor-45-5-mfd-370-volt-round</v>
      </c>
      <c r="B972" s="3" t="str">
        <f>HYPERLINK("https://edmondsonsupply.com/products/packard-titan-pro-trcd455-run-capacitor-45-5-mfd-370-volt-round", "https://edmondsonsupply.com/products/packard-titan-pro-trcd455-run-capacitor-45-5-mfd-370-volt-round")</f>
        <v>https://edmondsonsupply.com/products/packard-titan-pro-trcd455-run-capacitor-45-5-mfd-370-volt-round</v>
      </c>
      <c r="C972" t="s">
        <v>2504</v>
      </c>
      <c r="D972" t="s">
        <v>2200</v>
      </c>
      <c r="E972" s="3" t="str">
        <f>HYPERLINK("https://www.amazon.com/PACKARD-TRCD455-Capacitor-Replaces-PRCD455/dp/B01N55F81Z/ref=sr_1_2?keywords=Packard+Titan+PRO+TRCD455+Run+Capacitor+45+5+MFD+370+Volt%2C+Round&amp;qid=1695173358&amp;sr=8-2", "https://www.amazon.com/PACKARD-TRCD455-Capacitor-Replaces-PRCD455/dp/B01N55F81Z/ref=sr_1_2?keywords=Packard+Titan+PRO+TRCD455+Run+Capacitor+45+5+MFD+370+Volt%2C+Round&amp;qid=1695173358&amp;sr=8-2")</f>
        <v>https://www.amazon.com/PACKARD-TRCD455-Capacitor-Replaces-PRCD455/dp/B01N55F81Z/ref=sr_1_2?keywords=Packard+Titan+PRO+TRCD455+Run+Capacitor+45+5+MFD+370+Volt%2C+Round&amp;qid=1695173358&amp;sr=8-2</v>
      </c>
      <c r="F972" t="s">
        <v>2201</v>
      </c>
      <c r="G972" t="e">
        <f ca="1">_xludf.IMAGE("https://edmondsonsupply.com/cdn/shop/products/TRCD455-2.jpg?v=1633030398")</f>
        <v>#NAME?</v>
      </c>
      <c r="H972" t="e">
        <f ca="1">_xludf.IMAGE("https://m.media-amazon.com/images/I/41CL3hacDyL._AC_UY218_.jpg")</f>
        <v>#NAME?</v>
      </c>
      <c r="I972" t="s">
        <v>2505</v>
      </c>
      <c r="J972">
        <v>18.43</v>
      </c>
      <c r="K972" s="4">
        <v>0.9627</v>
      </c>
      <c r="L972">
        <v>5</v>
      </c>
      <c r="M972">
        <v>2</v>
      </c>
      <c r="O972" t="s">
        <v>25</v>
      </c>
      <c r="P972" t="s">
        <v>138</v>
      </c>
      <c r="Q972" t="s">
        <v>2506</v>
      </c>
    </row>
    <row r="973" spans="1:17" ht="15.5" x14ac:dyDescent="0.35">
      <c r="A973" s="3" t="str">
        <f>HYPERLINK("https://edmondsonsupply.com/collections/hvac/products/milwaukee-48-22-1540-fastback%E2%84%A2-5-in-1-folding-knife", "https://edmondsonsupply.com/collections/hvac/products/milwaukee-48-22-1540-fastback%E2%84%A2-5-in-1-folding-knife")</f>
        <v>https://edmondsonsupply.com/collections/hvac/products/milwaukee-48-22-1540-fastback%E2%84%A2-5-in-1-folding-knife</v>
      </c>
      <c r="B973" s="3" t="str">
        <f>HYPERLINK("https://edmondsonsupply.com/products/milwaukee-48-22-1540-fastback%e2%84%a2-5-in-1-folding-knife", "https://edmondsonsupply.com/products/milwaukee-48-22-1540-fastback%e2%84%a2-5-in-1-folding-knife")</f>
        <v>https://edmondsonsupply.com/products/milwaukee-48-22-1540-fastback%e2%84%a2-5-in-1-folding-knife</v>
      </c>
      <c r="C973" t="s">
        <v>2507</v>
      </c>
      <c r="D973" t="s">
        <v>2508</v>
      </c>
      <c r="E973" s="3" t="str">
        <f>HYPERLINK("https://www.amazon.com/SHISHUVIN-Milwaukee-48-22-1540-FASTBACK-Folding/dp/B0C1RJSRPR/ref=sr_1_2?keywords=Milwaukee+48-22-1540+FASTBACK%E2%84%A2+5-in-1+Folding+Knife&amp;qid=1695173436&amp;sr=8-2", "https://www.amazon.com/SHISHUVIN-Milwaukee-48-22-1540-FASTBACK-Folding/dp/B0C1RJSRPR/ref=sr_1_2?keywords=Milwaukee+48-22-1540+FASTBACK%E2%84%A2+5-in-1+Folding+Knife&amp;qid=1695173436&amp;sr=8-2")</f>
        <v>https://www.amazon.com/SHISHUVIN-Milwaukee-48-22-1540-FASTBACK-Folding/dp/B0C1RJSRPR/ref=sr_1_2?keywords=Milwaukee+48-22-1540+FASTBACK%E2%84%A2+5-in-1+Folding+Knife&amp;qid=1695173436&amp;sr=8-2</v>
      </c>
      <c r="F973" t="s">
        <v>2509</v>
      </c>
      <c r="G973" t="e">
        <f ca="1">_xludf.IMAGE("https://edmondsonsupply.com/cdn/shop/products/48-22-1540_1.png?v=1587142762")</f>
        <v>#NAME?</v>
      </c>
      <c r="H973" t="e">
        <f ca="1">_xludf.IMAGE("https://m.media-amazon.com/images/I/413xL6xnD1L._AC_UL320_.jpg")</f>
        <v>#NAME?</v>
      </c>
      <c r="I973" t="s">
        <v>2510</v>
      </c>
      <c r="J973">
        <v>47</v>
      </c>
      <c r="K973" s="4">
        <v>0.96079999999999999</v>
      </c>
      <c r="L973">
        <v>5</v>
      </c>
      <c r="M973">
        <v>1</v>
      </c>
      <c r="O973" t="s">
        <v>25</v>
      </c>
      <c r="P973" t="s">
        <v>2511</v>
      </c>
      <c r="Q973" t="s">
        <v>2512</v>
      </c>
    </row>
    <row r="974" spans="1:17" ht="15.5" x14ac:dyDescent="0.35">
      <c r="A974" s="3" t="str">
        <f>HYPERLINK("https://edmondsonsupply.com/collections/hvac/products/packard-prmj216-motor-start-capacitor-216-259-mfd-330-vac", "https://edmondsonsupply.com/collections/hvac/products/packard-prmj216-motor-start-capacitor-216-259-mfd-330-vac")</f>
        <v>https://edmondsonsupply.com/collections/hvac/products/packard-prmj216-motor-start-capacitor-216-259-mfd-330-vac</v>
      </c>
      <c r="B974" s="3" t="str">
        <f>HYPERLINK("https://edmondsonsupply.com/products/packard-prmj216-motor-start-capacitor-216-259-mfd-330-vac", "https://edmondsonsupply.com/products/packard-prmj216-motor-start-capacitor-216-259-mfd-330-vac")</f>
        <v>https://edmondsonsupply.com/products/packard-prmj216-motor-start-capacitor-216-259-mfd-330-vac</v>
      </c>
      <c r="C974" t="s">
        <v>2370</v>
      </c>
      <c r="D974" t="s">
        <v>2513</v>
      </c>
      <c r="E974" s="3" t="str">
        <f>HYPERLINK("https://www.amazon.com/capacitor-microfarads-universal-electric-applications/dp/B01FSQQ7DE/ref=sr_1_5?keywords=Packard+PRMJ216+Motor+Start+Capacitor+216-259+MFD+330+VAC&amp;qid=1695173694&amp;sr=8-5", "https://www.amazon.com/capacitor-microfarads-universal-electric-applications/dp/B01FSQQ7DE/ref=sr_1_5?keywords=Packard+PRMJ216+Motor+Start+Capacitor+216-259+MFD+330+VAC&amp;qid=1695173694&amp;sr=8-5")</f>
        <v>https://www.amazon.com/capacitor-microfarads-universal-electric-applications/dp/B01FSQQ7DE/ref=sr_1_5?keywords=Packard+PRMJ216+Motor+Start+Capacitor+216-259+MFD+330+VAC&amp;qid=1695173694&amp;sr=8-5</v>
      </c>
      <c r="F974" t="s">
        <v>2514</v>
      </c>
      <c r="G974" t="e">
        <f ca="1">_xludf.IMAGE("https://edmondsonsupply.com/cdn/shop/products/PRMJ216-2.jpg?v=1633030106")</f>
        <v>#NAME?</v>
      </c>
      <c r="H974" t="e">
        <f ca="1">_xludf.IMAGE("https://m.media-amazon.com/images/I/61gdt-REL+L._AC_UY218_.jpg")</f>
        <v>#NAME?</v>
      </c>
      <c r="I974" t="s">
        <v>2371</v>
      </c>
      <c r="J974">
        <v>17.489999999999998</v>
      </c>
      <c r="K974" s="4">
        <v>0.95640000000000003</v>
      </c>
      <c r="L974">
        <v>4.5</v>
      </c>
      <c r="M974">
        <v>1389</v>
      </c>
      <c r="O974" t="s">
        <v>25</v>
      </c>
      <c r="P974" t="s">
        <v>138</v>
      </c>
      <c r="Q974" t="s">
        <v>2372</v>
      </c>
    </row>
    <row r="975" spans="1:17" ht="15.5" x14ac:dyDescent="0.35">
      <c r="A975" s="3" t="str">
        <f>HYPERLINK("https://edmondsonsupply.com/collections/hvac/products/packard-psmj400-motor-start-capacitor-400-480-mfd-165-vac", "https://edmondsonsupply.com/collections/hvac/products/packard-psmj400-motor-start-capacitor-400-480-mfd-165-vac")</f>
        <v>https://edmondsonsupply.com/collections/hvac/products/packard-psmj400-motor-start-capacitor-400-480-mfd-165-vac</v>
      </c>
      <c r="B975" s="3" t="str">
        <f>HYPERLINK("https://edmondsonsupply.com/products/packard-psmj400-motor-start-capacitor-400-480-mfd-165-vac", "https://edmondsonsupply.com/products/packard-psmj400-motor-start-capacitor-400-480-mfd-165-vac")</f>
        <v>https://edmondsonsupply.com/products/packard-psmj400-motor-start-capacitor-400-480-mfd-165-vac</v>
      </c>
      <c r="C975" t="s">
        <v>2330</v>
      </c>
      <c r="D975" t="s">
        <v>2515</v>
      </c>
      <c r="E975" s="3" t="str">
        <f>HYPERLINK("https://www.amazon.com/Universal-400-480-Capacitor-Electric-Replacement/dp/B09TKWZCHZ/ref=sr_1_4?keywords=Packard+PSMJ400+Motor+Start+Capacitor+400-480+MFD+165+VAC&amp;qid=1695173567&amp;sr=8-4", "https://www.amazon.com/Universal-400-480-Capacitor-Electric-Replacement/dp/B09TKWZCHZ/ref=sr_1_4?keywords=Packard+PSMJ400+Motor+Start+Capacitor+400-480+MFD+165+VAC&amp;qid=1695173567&amp;sr=8-4")</f>
        <v>https://www.amazon.com/Universal-400-480-Capacitor-Electric-Replacement/dp/B09TKWZCHZ/ref=sr_1_4?keywords=Packard+PSMJ400+Motor+Start+Capacitor+400-480+MFD+165+VAC&amp;qid=1695173567&amp;sr=8-4</v>
      </c>
      <c r="F975" t="s">
        <v>2516</v>
      </c>
      <c r="G975" t="e">
        <f ca="1">_xludf.IMAGE("https://edmondsonsupply.com/cdn/shop/products/PSMJ400-2.jpg?v=1587142312")</f>
        <v>#NAME?</v>
      </c>
      <c r="H975" t="e">
        <f ca="1">_xludf.IMAGE("https://m.media-amazon.com/images/I/81b45NRzFFL._AC_UY218_.jpg")</f>
        <v>#NAME?</v>
      </c>
      <c r="I975" t="s">
        <v>2202</v>
      </c>
      <c r="J975">
        <v>15.49</v>
      </c>
      <c r="K975" s="4">
        <v>0.95579999999999998</v>
      </c>
      <c r="L975">
        <v>4.5999999999999996</v>
      </c>
      <c r="M975">
        <v>66</v>
      </c>
      <c r="O975" t="s">
        <v>25</v>
      </c>
      <c r="P975" t="s">
        <v>138</v>
      </c>
      <c r="Q975" t="s">
        <v>2333</v>
      </c>
    </row>
    <row r="976" spans="1:17" ht="15.5" x14ac:dyDescent="0.35">
      <c r="A976"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976" s="3" t="str">
        <f>HYPERLINK("https://edmondsonsupply.com/products/klein-tools-11053-klein-kurve%c2%ae-wire-stripper-cutter", "https://edmondsonsupply.com/products/klein-tools-11053-klein-kurve%c2%ae-wire-stripper-cutter")</f>
        <v>https://edmondsonsupply.com/products/klein-tools-11053-klein-kurve%c2%ae-wire-stripper-cutter</v>
      </c>
      <c r="C976" t="s">
        <v>2285</v>
      </c>
      <c r="D976" t="s">
        <v>2517</v>
      </c>
      <c r="E976" s="3" t="str">
        <f>HYPERLINK("https://www.amazon.com/Klein-Tools-Klein-Kurve-Stripper-Stranded/dp/B0BHVPT335/ref=sr_1_2?keywords=Klein+Tools+11053+Klein-Kurve%C2%AE+Wire+Stripper%2FCutter&amp;qid=1695173476&amp;sr=8-2", "https://www.amazon.com/Klein-Tools-Klein-Kurve-Stripper-Stranded/dp/B0BHVPT335/ref=sr_1_2?keywords=Klein+Tools+11053+Klein-Kurve%C2%AE+Wire+Stripper%2FCutter&amp;qid=1695173476&amp;sr=8-2")</f>
        <v>https://www.amazon.com/Klein-Tools-Klein-Kurve-Stripper-Stranded/dp/B0BHVPT335/ref=sr_1_2?keywords=Klein+Tools+11053+Klein-Kurve%C2%AE+Wire+Stripper%2FCutter&amp;qid=1695173476&amp;sr=8-2</v>
      </c>
      <c r="F976" t="s">
        <v>2518</v>
      </c>
      <c r="G976" t="e">
        <f ca="1">_xludf.IMAGE("https://edmondsonsupply.com/cdn/shop/products/11053.jpg?v=1633030511")</f>
        <v>#NAME?</v>
      </c>
      <c r="H976" t="e">
        <f ca="1">_xludf.IMAGE("https://m.media-amazon.com/images/I/41+jddPUDML._AC_UL320_.jpg")</f>
        <v>#NAME?</v>
      </c>
      <c r="I976" t="s">
        <v>2288</v>
      </c>
      <c r="J976">
        <v>40.96</v>
      </c>
      <c r="K976" s="4">
        <v>0.95330000000000004</v>
      </c>
      <c r="L976">
        <v>4.5</v>
      </c>
      <c r="M976">
        <v>2</v>
      </c>
      <c r="O976" t="s">
        <v>25</v>
      </c>
      <c r="P976" t="s">
        <v>2289</v>
      </c>
      <c r="Q976" t="s">
        <v>2290</v>
      </c>
    </row>
    <row r="977" spans="1:17" ht="15.5" x14ac:dyDescent="0.35">
      <c r="A977" s="3" t="str">
        <f>HYPERLINK("https://edmondsonsupply.com/collections/hvac/products/rectorseal-97087-safe-t-switch-ss2-gen-3", "https://edmondsonsupply.com/collections/hvac/products/rectorseal-97087-safe-t-switch-ss2-gen-3")</f>
        <v>https://edmondsonsupply.com/collections/hvac/products/rectorseal-97087-safe-t-switch-ss2-gen-3</v>
      </c>
      <c r="B977" s="3" t="str">
        <f>HYPERLINK("https://edmondsonsupply.com/products/rectorseal-97087-safe-t-switch-ss2-gen-3", "https://edmondsonsupply.com/products/rectorseal-97087-safe-t-switch-ss2-gen-3")</f>
        <v>https://edmondsonsupply.com/products/rectorseal-97087-safe-t-switch-ss2-gen-3</v>
      </c>
      <c r="C977" t="s">
        <v>2519</v>
      </c>
      <c r="D977" t="s">
        <v>2520</v>
      </c>
      <c r="E977" s="3" t="str">
        <f>HYPERLINK("https://www.amazon.com/Rectorseal-97085-Ss1-Generation-Safe-T-Switch/dp/B09QQR288Z/ref=sr_1_2?keywords=RectorSeal+97087+Safe-T-Switch+SS2%2C+Gen+3&amp;qid=1695173506&amp;sr=8-2", "https://www.amazon.com/Rectorseal-97085-Ss1-Generation-Safe-T-Switch/dp/B09QQR288Z/ref=sr_1_2?keywords=RectorSeal+97087+Safe-T-Switch+SS2%2C+Gen+3&amp;qid=1695173506&amp;sr=8-2")</f>
        <v>https://www.amazon.com/Rectorseal-97085-Ss1-Generation-Safe-T-Switch/dp/B09QQR288Z/ref=sr_1_2?keywords=RectorSeal+97087+Safe-T-Switch+SS2%2C+Gen+3&amp;qid=1695173506&amp;sr=8-2</v>
      </c>
      <c r="F977" t="s">
        <v>2521</v>
      </c>
      <c r="G977" t="e">
        <f ca="1">_xludf.IMAGE("https://edmondsonsupply.com/cdn/shop/products/97087-ss2-safe-t-switch-image-img.webp?v=1662053885")</f>
        <v>#NAME?</v>
      </c>
      <c r="H977" t="e">
        <f ca="1">_xludf.IMAGE("https://m.media-amazon.com/images/I/417pn6XuhaL._AC_UL320_.jpg")</f>
        <v>#NAME?</v>
      </c>
      <c r="I977" t="s">
        <v>1158</v>
      </c>
      <c r="J977">
        <v>42.95</v>
      </c>
      <c r="K977" s="4">
        <v>0.95320000000000005</v>
      </c>
      <c r="L977">
        <v>4.7</v>
      </c>
      <c r="M977">
        <v>7</v>
      </c>
      <c r="O977" t="s">
        <v>25</v>
      </c>
      <c r="P977" t="s">
        <v>2522</v>
      </c>
      <c r="Q977" t="s">
        <v>2523</v>
      </c>
    </row>
    <row r="978" spans="1:17" ht="15.5" x14ac:dyDescent="0.35">
      <c r="A978"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978" s="3" t="str">
        <f>HYPERLINK("https://edmondsonsupply.com/products/packard-prmj189-motor-start-capacitor-189-227-mfd-330-vac", "https://edmondsonsupply.com/products/packard-prmj189-motor-start-capacitor-189-227-mfd-330-vac")</f>
        <v>https://edmondsonsupply.com/products/packard-prmj189-motor-start-capacitor-189-227-mfd-330-vac</v>
      </c>
      <c r="C978" t="s">
        <v>2216</v>
      </c>
      <c r="D978" t="s">
        <v>2524</v>
      </c>
      <c r="E978" s="3" t="str">
        <f>HYPERLINK("https://www.amazon.com/189-227-Capacitor-Replacement-Air-Conditioners-Condenser/dp/B0C88BP5F8/ref=sr_1_8?keywords=Packard+PRMJ189+Motor+Start+Capacitor+189-227+MFD+330+VAC&amp;qid=1695173678&amp;sr=8-8", "https://www.amazon.com/189-227-Capacitor-Replacement-Air-Conditioners-Condenser/dp/B0C88BP5F8/ref=sr_1_8?keywords=Packard+PRMJ189+Motor+Start+Capacitor+189-227+MFD+330+VAC&amp;qid=1695173678&amp;sr=8-8")</f>
        <v>https://www.amazon.com/189-227-Capacitor-Replacement-Air-Conditioners-Condenser/dp/B0C88BP5F8/ref=sr_1_8?keywords=Packard+PRMJ189+Motor+Start+Capacitor+189-227+MFD+330+VAC&amp;qid=1695173678&amp;sr=8-8</v>
      </c>
      <c r="F978" t="s">
        <v>2525</v>
      </c>
      <c r="G978" t="e">
        <f ca="1">_xludf.IMAGE("https://edmondsonsupply.com/cdn/shop/products/PRMJ189-2.jpg?v=1663378512")</f>
        <v>#NAME?</v>
      </c>
      <c r="H978" t="e">
        <f ca="1">_xludf.IMAGE("https://m.media-amazon.com/images/I/617YaaGXokL._AC_UY218_.jpg")</f>
        <v>#NAME?</v>
      </c>
      <c r="I978" t="s">
        <v>2219</v>
      </c>
      <c r="J978">
        <v>16.7</v>
      </c>
      <c r="K978" s="4">
        <v>0.94410000000000005</v>
      </c>
      <c r="L978">
        <v>5</v>
      </c>
      <c r="M978">
        <v>5</v>
      </c>
      <c r="O978" t="s">
        <v>25</v>
      </c>
      <c r="P978" t="s">
        <v>138</v>
      </c>
      <c r="Q978" t="s">
        <v>2220</v>
      </c>
    </row>
    <row r="979" spans="1:17" ht="15.5" x14ac:dyDescent="0.35">
      <c r="A979" s="3" t="str">
        <f>HYPERLINK("https://edmondsonsupply.com/collections/hvac/products/fieldpiece-anc4-medium-single-meter-case", "https://edmondsonsupply.com/collections/hvac/products/fieldpiece-anc4-medium-single-meter-case")</f>
        <v>https://edmondsonsupply.com/collections/hvac/products/fieldpiece-anc4-medium-single-meter-case</v>
      </c>
      <c r="B979" s="3" t="str">
        <f>HYPERLINK("https://edmondsonsupply.com/products/fieldpiece-anc4-medium-single-meter-case", "https://edmondsonsupply.com/products/fieldpiece-anc4-medium-single-meter-case")</f>
        <v>https://edmondsonsupply.com/products/fieldpiece-anc4-medium-single-meter-case</v>
      </c>
      <c r="C979" t="s">
        <v>347</v>
      </c>
      <c r="D979" t="s">
        <v>348</v>
      </c>
      <c r="E979" s="3" t="str">
        <f>HYPERLINK("https://www.amazon.com/Fieldpiece-ANC7-Large-Single-Meter/dp/B0195UTHTK/ref=sr_1_2?keywords=Fieldpiece+ANC4+-+Medium+Single+Meter+Case&amp;qid=1695173627&amp;sr=8-2", "https://www.amazon.com/Fieldpiece-ANC7-Large-Single-Meter/dp/B0195UTHTK/ref=sr_1_2?keywords=Fieldpiece+ANC4+-+Medium+Single+Meter+Case&amp;qid=1695173627&amp;sr=8-2")</f>
        <v>https://www.amazon.com/Fieldpiece-ANC7-Large-Single-Meter/dp/B0195UTHTK/ref=sr_1_2?keywords=Fieldpiece+ANC4+-+Medium+Single+Meter+Case&amp;qid=1695173627&amp;sr=8-2</v>
      </c>
      <c r="F979" t="s">
        <v>349</v>
      </c>
      <c r="G979" t="e">
        <f ca="1">_xludf.IMAGE("https://edmondsonsupply.com/cdn/shop/products/ANC4-SRC-product-300dpi.jpg?v=1633030970")</f>
        <v>#NAME?</v>
      </c>
      <c r="H979" t="e">
        <f ca="1">_xludf.IMAGE("https://m.media-amazon.com/images/I/71jB9zXLBtL._AC_UL320_.jpg")</f>
        <v>#NAME?</v>
      </c>
      <c r="I979" t="s">
        <v>350</v>
      </c>
      <c r="J979">
        <v>19.75</v>
      </c>
      <c r="K979" s="4">
        <v>0.93630000000000002</v>
      </c>
      <c r="L979">
        <v>4.7</v>
      </c>
      <c r="M979">
        <v>223</v>
      </c>
      <c r="O979" t="s">
        <v>25</v>
      </c>
      <c r="P979" t="s">
        <v>351</v>
      </c>
      <c r="Q979" t="s">
        <v>352</v>
      </c>
    </row>
    <row r="980" spans="1:17" ht="15.5" x14ac:dyDescent="0.35">
      <c r="A980" s="3" t="str">
        <f>HYPERLINK("https://edmondsonsupply.com/collections/hvac/products/sioux-chief-672xv0490-3-4-pex-inlet-x-4-1-2-pex-branches-valved-manifold", "https://edmondsonsupply.com/collections/hvac/products/sioux-chief-672xv0490-3-4-pex-inlet-x-4-1-2-pex-branches-valved-manifold")</f>
        <v>https://edmondsonsupply.com/collections/hvac/products/sioux-chief-672xv0490-3-4-pex-inlet-x-4-1-2-pex-branches-valved-manifold</v>
      </c>
      <c r="B980" s="3" t="str">
        <f>HYPERLINK("https://edmondsonsupply.com/products/sioux-chief-672xv0490-3-4-pex-inlet-x-4-1-2-pex-branches-valved-manifold", "https://edmondsonsupply.com/products/sioux-chief-672xv0490-3-4-pex-inlet-x-4-1-2-pex-branches-valved-manifold")</f>
        <v>https://edmondsonsupply.com/products/sioux-chief-672xv0490-3-4-pex-inlet-x-4-1-2-pex-branches-valved-manifold</v>
      </c>
      <c r="C980" t="s">
        <v>2526</v>
      </c>
      <c r="D980" t="s">
        <v>2527</v>
      </c>
      <c r="E980" s="3" t="str">
        <f>HYPERLINK("https://www.amazon.com/Sioux-Chief-672XV0699-Manifold-valves/dp/B003QSMAAQ/ref=sr_1_4?keywords=Sioux+Chief+672XV0490+3%2F4%22+PEX+Inlet+x+%284%29+1%2F2%22+PEX+Branches+Valved+Manifold&amp;qid=1695173446&amp;sr=8-4", "https://www.amazon.com/Sioux-Chief-672XV0699-Manifold-valves/dp/B003QSMAAQ/ref=sr_1_4?keywords=Sioux+Chief+672XV0490+3%2F4%22+PEX+Inlet+x+%284%29+1%2F2%22+PEX+Branches+Valved+Manifold&amp;qid=1695173446&amp;sr=8-4")</f>
        <v>https://www.amazon.com/Sioux-Chief-672XV0699-Manifold-valves/dp/B003QSMAAQ/ref=sr_1_4?keywords=Sioux+Chief+672XV0490+3%2F4%22+PEX+Inlet+x+%284%29+1%2F2%22+PEX+Branches+Valved+Manifold&amp;qid=1695173446&amp;sr=8-4</v>
      </c>
      <c r="F980" t="s">
        <v>2528</v>
      </c>
      <c r="G980" t="e">
        <f ca="1">_xludf.IMAGE("https://edmondsonsupply.com/cdn/shop/products/672XV0490.jpg?v=1587147465")</f>
        <v>#NAME?</v>
      </c>
      <c r="H980" t="e">
        <f ca="1">_xludf.IMAGE("https://m.media-amazon.com/images/I/21neRE0jgQL._AC_UL320_.jpg")</f>
        <v>#NAME?</v>
      </c>
      <c r="I980" t="s">
        <v>2529</v>
      </c>
      <c r="J980">
        <v>132.1</v>
      </c>
      <c r="K980" s="4">
        <v>0.9355</v>
      </c>
      <c r="L980">
        <v>4.0999999999999996</v>
      </c>
      <c r="M980">
        <v>11</v>
      </c>
      <c r="O980" t="s">
        <v>25</v>
      </c>
      <c r="P980" t="s">
        <v>1135</v>
      </c>
      <c r="Q980" t="s">
        <v>2530</v>
      </c>
    </row>
    <row r="981" spans="1:17" ht="15.5" x14ac:dyDescent="0.35">
      <c r="A981" s="3" t="str">
        <f>HYPERLINK("https://edmondsonsupply.com/collections/hvac/products/hilmor-1838952-fto-orbital-flare-tool", "https://edmondsonsupply.com/collections/hvac/products/hilmor-1838952-fto-orbital-flare-tool")</f>
        <v>https://edmondsonsupply.com/collections/hvac/products/hilmor-1838952-fto-orbital-flare-tool</v>
      </c>
      <c r="B981" s="3" t="str">
        <f>HYPERLINK("https://edmondsonsupply.com/products/hilmor-1838952-fto-orbital-flare-tool", "https://edmondsonsupply.com/products/hilmor-1838952-fto-orbital-flare-tool")</f>
        <v>https://edmondsonsupply.com/products/hilmor-1838952-fto-orbital-flare-tool</v>
      </c>
      <c r="C981" t="s">
        <v>2531</v>
      </c>
      <c r="D981" t="s">
        <v>2532</v>
      </c>
      <c r="E981" s="3" t="str">
        <f>HYPERLINK("https://www.amazon.com/Hilmor-1937685-Orbital-Tubing-Deburring/dp/B01HFOFZQ2/ref=sr_1_fkmr0_1?keywords=Hilmor+1838952+FTO+Orbital+Flare+Tool&amp;qid=1695173377&amp;sr=8-1-fkmr0", "https://www.amazon.com/Hilmor-1937685-Orbital-Tubing-Deburring/dp/B01HFOFZQ2/ref=sr_1_fkmr0_1?keywords=Hilmor+1838952+FTO+Orbital+Flare+Tool&amp;qid=1695173377&amp;sr=8-1-fkmr0")</f>
        <v>https://www.amazon.com/Hilmor-1937685-Orbital-Tubing-Deburring/dp/B01HFOFZQ2/ref=sr_1_fkmr0_1?keywords=Hilmor+1838952+FTO+Orbital+Flare+Tool&amp;qid=1695173377&amp;sr=8-1-fkmr0</v>
      </c>
      <c r="F981" t="s">
        <v>2533</v>
      </c>
      <c r="G981" t="e">
        <f ca="1">_xludf.IMAGE("https://edmondsonsupply.com/cdn/shop/products/HIL_1838952-3_a8d26a39-b53d-4589-9ffd-4c8fe3d86c67.jpg?v=1587143882")</f>
        <v>#NAME?</v>
      </c>
      <c r="H981" t="e">
        <f ca="1">_xludf.IMAGE("https://m.media-amazon.com/images/I/41qvr3KSrkL._AC_UL320_.jpg")</f>
        <v>#NAME?</v>
      </c>
      <c r="I981" t="s">
        <v>2534</v>
      </c>
      <c r="J981">
        <v>263.25</v>
      </c>
      <c r="K981" s="4">
        <v>0.93179999999999996</v>
      </c>
      <c r="L981">
        <v>4.4000000000000004</v>
      </c>
      <c r="M981">
        <v>72</v>
      </c>
      <c r="O981" t="s">
        <v>25</v>
      </c>
      <c r="P981" t="s">
        <v>2535</v>
      </c>
      <c r="Q981" t="s">
        <v>2536</v>
      </c>
    </row>
    <row r="982" spans="1:17" ht="15.5" x14ac:dyDescent="0.35">
      <c r="A982" s="3" t="str">
        <f>HYPERLINK("https://edmondsonsupply.com/collections/hvac/products/klein-tools-56403-rechargeable-personal-worklight", "https://edmondsonsupply.com/collections/hvac/products/klein-tools-56403-rechargeable-personal-worklight")</f>
        <v>https://edmondsonsupply.com/collections/hvac/products/klein-tools-56403-rechargeable-personal-worklight</v>
      </c>
      <c r="B982" s="3" t="str">
        <f>HYPERLINK("https://edmondsonsupply.com/products/klein-tools-56403-rechargeable-personal-worklight", "https://edmondsonsupply.com/products/klein-tools-56403-rechargeable-personal-worklight")</f>
        <v>https://edmondsonsupply.com/products/klein-tools-56403-rechargeable-personal-worklight</v>
      </c>
      <c r="C982" t="s">
        <v>2537</v>
      </c>
      <c r="D982" t="s">
        <v>2538</v>
      </c>
      <c r="E982" s="3" t="str">
        <f>HYPERLINK("https://www.amazon.com/Klein-Tools-Rechargeable-Flashlight-Worklight/dp/B0BC85LX49/ref=sr_1_2?keywords=Klein+Tools+56403+Rechargeable+Personal+Worklight&amp;qid=1695173672&amp;sr=8-2", "https://www.amazon.com/Klein-Tools-Rechargeable-Flashlight-Worklight/dp/B0BC85LX49/ref=sr_1_2?keywords=Klein+Tools+56403+Rechargeable+Personal+Worklight&amp;qid=1695173672&amp;sr=8-2")</f>
        <v>https://www.amazon.com/Klein-Tools-Rechargeable-Flashlight-Worklight/dp/B0BC85LX49/ref=sr_1_2?keywords=Klein+Tools+56403+Rechargeable+Personal+Worklight&amp;qid=1695173672&amp;sr=8-2</v>
      </c>
      <c r="F982" t="s">
        <v>2539</v>
      </c>
      <c r="G982" t="e">
        <f ca="1">_xludf.IMAGE("https://edmondsonsupply.com/cdn/shop/products/56403.jpg?v=1587143308")</f>
        <v>#NAME?</v>
      </c>
      <c r="H982" t="e">
        <f ca="1">_xludf.IMAGE("https://m.media-amazon.com/images/I/61HjyBviEWL._AC_UL320_.jpg")</f>
        <v>#NAME?</v>
      </c>
      <c r="I982" t="s">
        <v>380</v>
      </c>
      <c r="J982">
        <v>96.47</v>
      </c>
      <c r="K982" s="4">
        <v>0.93059999999999998</v>
      </c>
      <c r="L982">
        <v>5</v>
      </c>
      <c r="M982">
        <v>1</v>
      </c>
      <c r="O982" t="s">
        <v>25</v>
      </c>
      <c r="P982" t="s">
        <v>2540</v>
      </c>
      <c r="Q982" t="s">
        <v>2541</v>
      </c>
    </row>
    <row r="983" spans="1:17" ht="15.5" x14ac:dyDescent="0.35">
      <c r="A983" s="3" t="str">
        <f>HYPERLINK("https://edmondsonsupply.com/collections/hvac/products/icm-controls-icm401-3-phase-line-voltage-monitor", "https://edmondsonsupply.com/collections/hvac/products/icm-controls-icm401-3-phase-line-voltage-monitor")</f>
        <v>https://edmondsonsupply.com/collections/hvac/products/icm-controls-icm401-3-phase-line-voltage-monitor</v>
      </c>
      <c r="B983" s="3" t="str">
        <f>HYPERLINK("https://edmondsonsupply.com/products/icm-controls-icm401-3-phase-line-voltage-monitor", "https://edmondsonsupply.com/products/icm-controls-icm401-3-phase-line-voltage-monitor")</f>
        <v>https://edmondsonsupply.com/products/icm-controls-icm401-3-phase-line-voltage-monitor</v>
      </c>
      <c r="C983" t="s">
        <v>1650</v>
      </c>
      <c r="D983" t="s">
        <v>2542</v>
      </c>
      <c r="E983" s="3" t="str">
        <f>HYPERLINK("https://www.amazon.com/ICM-Controls-ICM402-Three-Phase-Protection/dp/B0018MLVUM/ref=sr_1_6?keywords=ICM+Controls+ICM401+3+Phase+Line+Voltage+Monitor&amp;qid=1695173605&amp;sr=8-6", "https://www.amazon.com/ICM-Controls-ICM402-Three-Phase-Protection/dp/B0018MLVUM/ref=sr_1_6?keywords=ICM+Controls+ICM401+3+Phase+Line+Voltage+Monitor&amp;qid=1695173605&amp;sr=8-6")</f>
        <v>https://www.amazon.com/ICM-Controls-ICM402-Three-Phase-Protection/dp/B0018MLVUM/ref=sr_1_6?keywords=ICM+Controls+ICM401+3+Phase+Line+Voltage+Monitor&amp;qid=1695173605&amp;sr=8-6</v>
      </c>
      <c r="F983" t="s">
        <v>2543</v>
      </c>
      <c r="G983" t="e">
        <f ca="1">_xludf.IMAGE("https://edmondsonsupply.com/cdn/shop/products/photo_3653_medium_52cb7f2c-e5f0-4da1-ac53-d344fb2403c9.png?v=1665087171")</f>
        <v>#NAME?</v>
      </c>
      <c r="H983" t="e">
        <f ca="1">_xludf.IMAGE("https://m.media-amazon.com/images/I/61uSt801lEL._AC_UL320_.jpg")</f>
        <v>#NAME?</v>
      </c>
      <c r="I983" t="s">
        <v>1653</v>
      </c>
      <c r="J983">
        <v>67.16</v>
      </c>
      <c r="K983" s="4">
        <v>0.9304</v>
      </c>
      <c r="L983">
        <v>3.9</v>
      </c>
      <c r="M983">
        <v>7</v>
      </c>
      <c r="O983" t="s">
        <v>25</v>
      </c>
      <c r="P983" t="s">
        <v>1654</v>
      </c>
      <c r="Q983" t="s">
        <v>1655</v>
      </c>
    </row>
    <row r="984" spans="1:17" ht="15.5" x14ac:dyDescent="0.35">
      <c r="A984"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984" s="3" t="str">
        <f>HYPERLINK("https://edmondsonsupply.com/products/packard-c140a-contactor-1-pole-40-amps-24-coil-voltage", "https://edmondsonsupply.com/products/packard-c140a-contactor-1-pole-40-amps-24-coil-voltage")</f>
        <v>https://edmondsonsupply.com/products/packard-c140a-contactor-1-pole-40-amps-24-coil-voltage</v>
      </c>
      <c r="C984" t="s">
        <v>2339</v>
      </c>
      <c r="D984" t="s">
        <v>2544</v>
      </c>
      <c r="E984" s="3" t="str">
        <f>HYPERLINK("https://www.amazon.com/Comfortmaker-Pole-Replacement-Contactor-C140A/dp/B00S8IYYVC/ref=sr_1_10?keywords=Packard+C140A+Contactor+1+Pole+40+AMPS+24+Coil+Voltage&amp;qid=1695173362&amp;sr=8-10", "https://www.amazon.com/Comfortmaker-Pole-Replacement-Contactor-C140A/dp/B00S8IYYVC/ref=sr_1_10?keywords=Packard+C140A+Contactor+1+Pole+40+AMPS+24+Coil+Voltage&amp;qid=1695173362&amp;sr=8-10")</f>
        <v>https://www.amazon.com/Comfortmaker-Pole-Replacement-Contactor-C140A/dp/B00S8IYYVC/ref=sr_1_10?keywords=Packard+C140A+Contactor+1+Pole+40+AMPS+24+Coil+Voltage&amp;qid=1695173362&amp;sr=8-10</v>
      </c>
      <c r="F984" t="s">
        <v>2545</v>
      </c>
      <c r="G984" t="e">
        <f ca="1">_xludf.IMAGE("https://edmondsonsupply.com/cdn/shop/products/C140A-1.jpg?v=1587147314")</f>
        <v>#NAME?</v>
      </c>
      <c r="H984" t="e">
        <f ca="1">_xludf.IMAGE("https://m.media-amazon.com/images/I/51q4ngffe+L._AC_UY218_.jpg")</f>
        <v>#NAME?</v>
      </c>
      <c r="I984" t="s">
        <v>2342</v>
      </c>
      <c r="J984">
        <v>19.260000000000002</v>
      </c>
      <c r="K984" s="4">
        <v>0.92989999999999995</v>
      </c>
      <c r="L984">
        <v>5</v>
      </c>
      <c r="M984">
        <v>1</v>
      </c>
      <c r="O984" t="s">
        <v>25</v>
      </c>
      <c r="P984" t="s">
        <v>138</v>
      </c>
      <c r="Q984" t="s">
        <v>2343</v>
      </c>
    </row>
    <row r="985" spans="1:17" ht="15.5" x14ac:dyDescent="0.35">
      <c r="A985"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985"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985" t="s">
        <v>2546</v>
      </c>
      <c r="D985" t="s">
        <v>2547</v>
      </c>
      <c r="E985" s="3" t="str">
        <f>HYPERLINK("https://www.amazon.com/Yellow-Jacket-42034-Manifold-Color-Coded/dp/B00C2GV02C/ref=sr_1_8?keywords=Yellow+Jacket+42001+Series+41+Manifold+Only%2C+3-1%2F8%22+Gauges+-+R-22+%2F+404A+%2F+410A&amp;qid=1695173491&amp;sr=8-8", "https://www.amazon.com/Yellow-Jacket-42034-Manifold-Color-Coded/dp/B00C2GV02C/ref=sr_1_8?keywords=Yellow+Jacket+42001+Series+41+Manifold+Only%2C+3-1%2F8%22+Gauges+-+R-22+%2F+404A+%2F+410A&amp;qid=1695173491&amp;sr=8-8")</f>
        <v>https://www.amazon.com/Yellow-Jacket-42034-Manifold-Color-Coded/dp/B00C2GV02C/ref=sr_1_8?keywords=Yellow+Jacket+42001+Series+41+Manifold+Only%2C+3-1%2F8%22+Gauges+-+R-22+%2F+404A+%2F+410A&amp;qid=1695173491&amp;sr=8-8</v>
      </c>
      <c r="F985" t="s">
        <v>2548</v>
      </c>
      <c r="G985" t="e">
        <f ca="1">_xludf.IMAGE("https://edmondsonsupply.com/cdn/shop/products/series-41-manifolds-with-318-gauges.jpg?v=1633030025")</f>
        <v>#NAME?</v>
      </c>
      <c r="H985" t="e">
        <f ca="1">_xludf.IMAGE("https://m.media-amazon.com/images/I/51UNs29UGSL._AC_UL320_.jpg")</f>
        <v>#NAME?</v>
      </c>
      <c r="I985" t="s">
        <v>2549</v>
      </c>
      <c r="J985">
        <v>188.45</v>
      </c>
      <c r="K985" s="4">
        <v>0.92749999999999999</v>
      </c>
      <c r="L985">
        <v>4.7</v>
      </c>
      <c r="M985">
        <v>3</v>
      </c>
      <c r="O985" t="s">
        <v>25</v>
      </c>
      <c r="P985" t="s">
        <v>138</v>
      </c>
      <c r="Q985" t="s">
        <v>2550</v>
      </c>
    </row>
    <row r="986" spans="1:17" ht="15.5" x14ac:dyDescent="0.35">
      <c r="A986" s="3" t="str">
        <f>HYPERLINK("https://edmondsonsupply.com/collections/hvac/products/klein-tools-11046-wire-stripper-cutter-16-26-awg-stranded", "https://edmondsonsupply.com/collections/hvac/products/klein-tools-11046-wire-stripper-cutter-16-26-awg-stranded")</f>
        <v>https://edmondsonsupply.com/collections/hvac/products/klein-tools-11046-wire-stripper-cutter-16-26-awg-stranded</v>
      </c>
      <c r="B986" s="3" t="str">
        <f>HYPERLINK("https://edmondsonsupply.com/products/klein-tools-11046-wire-stripper-cutter-16-26-awg-stranded", "https://edmondsonsupply.com/products/klein-tools-11046-wire-stripper-cutter-16-26-awg-stranded")</f>
        <v>https://edmondsonsupply.com/products/klein-tools-11046-wire-stripper-cutter-16-26-awg-stranded</v>
      </c>
      <c r="C986" t="s">
        <v>2278</v>
      </c>
      <c r="D986" t="s">
        <v>2551</v>
      </c>
      <c r="E986" s="3" t="str">
        <f>HYPERLINK("https://www.amazon.com/Klein-Tools-Stripper-Lightweight-Precision/dp/B0BNL5MC4G/ref=sr_1_4?keywords=Klein+Tools+11046+Wire+Stripper%2FCutter+16-26+AWG+Stranded&amp;qid=1695173662&amp;sr=8-4", "https://www.amazon.com/Klein-Tools-Stripper-Lightweight-Precision/dp/B0BNL5MC4G/ref=sr_1_4?keywords=Klein+Tools+11046+Wire+Stripper%2FCutter+16-26+AWG+Stranded&amp;qid=1695173662&amp;sr=8-4")</f>
        <v>https://www.amazon.com/Klein-Tools-Stripper-Lightweight-Precision/dp/B0BNL5MC4G/ref=sr_1_4?keywords=Klein+Tools+11046+Wire+Stripper%2FCutter+16-26+AWG+Stranded&amp;qid=1695173662&amp;sr=8-4</v>
      </c>
      <c r="F986" t="s">
        <v>2552</v>
      </c>
      <c r="G986" t="e">
        <f ca="1">_xludf.IMAGE("https://edmondsonsupply.com/cdn/shop/products/11046.jpg?v=1587147965")</f>
        <v>#NAME?</v>
      </c>
      <c r="H986" t="e">
        <f ca="1">_xludf.IMAGE("https://m.media-amazon.com/images/I/41uWm6Rw+pL._AC_UL320_.jpg")</f>
        <v>#NAME?</v>
      </c>
      <c r="I986" t="s">
        <v>143</v>
      </c>
      <c r="J986">
        <v>30.75</v>
      </c>
      <c r="K986" s="4">
        <v>0.92549999999999999</v>
      </c>
      <c r="L986">
        <v>4.5999999999999996</v>
      </c>
      <c r="M986">
        <v>7</v>
      </c>
      <c r="O986" t="s">
        <v>25</v>
      </c>
      <c r="P986" t="s">
        <v>2281</v>
      </c>
      <c r="Q986" t="s">
        <v>2282</v>
      </c>
    </row>
    <row r="987" spans="1:17" ht="15.5" x14ac:dyDescent="0.35">
      <c r="A987" s="3" t="str">
        <f>HYPERLINK("https://edmondsonsupply.com/collections/hvac/products/klein-tools-60184-lightweight-gel-knee-pads", "https://edmondsonsupply.com/collections/hvac/products/klein-tools-60184-lightweight-gel-knee-pads")</f>
        <v>https://edmondsonsupply.com/collections/hvac/products/klein-tools-60184-lightweight-gel-knee-pads</v>
      </c>
      <c r="B987" s="3" t="str">
        <f>HYPERLINK("https://edmondsonsupply.com/products/klein-tools-60184-lightweight-gel-knee-pads", "https://edmondsonsupply.com/products/klein-tools-60184-lightweight-gel-knee-pads")</f>
        <v>https://edmondsonsupply.com/products/klein-tools-60184-lightweight-gel-knee-pads</v>
      </c>
      <c r="C987" t="s">
        <v>908</v>
      </c>
      <c r="D987" t="s">
        <v>909</v>
      </c>
      <c r="E987" s="3" t="str">
        <f>HYPERLINK("https://www.amazon.com/Klein-Tools-60491-Protective-Quick-Fasten/dp/B0BHXBMBHP/ref=sr_1_2?keywords=Klein+Tools+60184+Lightweight+Gel+Knee+Pads&amp;qid=1695173676&amp;sr=8-2", "https://www.amazon.com/Klein-Tools-60491-Protective-Quick-Fasten/dp/B0BHXBMBHP/ref=sr_1_2?keywords=Klein+Tools+60184+Lightweight+Gel+Knee+Pads&amp;qid=1695173676&amp;sr=8-2")</f>
        <v>https://www.amazon.com/Klein-Tools-60491-Protective-Quick-Fasten/dp/B0BHXBMBHP/ref=sr_1_2?keywords=Klein+Tools+60184+Lightweight+Gel+Knee+Pads&amp;qid=1695173676&amp;sr=8-2</v>
      </c>
      <c r="F987" t="s">
        <v>910</v>
      </c>
      <c r="G987" t="e">
        <f ca="1">_xludf.IMAGE("https://edmondsonsupply.com/cdn/shop/products/60184.jpg?v=1633030246")</f>
        <v>#NAME?</v>
      </c>
      <c r="H987" t="e">
        <f ca="1">_xludf.IMAGE("https://m.media-amazon.com/images/I/718i4PDcjnL._AC_UL320_.jpg")</f>
        <v>#NAME?</v>
      </c>
      <c r="I987" t="s">
        <v>911</v>
      </c>
      <c r="J987">
        <v>49.97</v>
      </c>
      <c r="K987" s="4">
        <v>0.92410000000000003</v>
      </c>
      <c r="L987">
        <v>4.4000000000000004</v>
      </c>
      <c r="M987">
        <v>289</v>
      </c>
      <c r="O987" t="s">
        <v>25</v>
      </c>
      <c r="P987" t="s">
        <v>912</v>
      </c>
      <c r="Q987" t="s">
        <v>913</v>
      </c>
    </row>
    <row r="988" spans="1:17" ht="15.5" x14ac:dyDescent="0.35">
      <c r="A988"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988" s="3" t="str">
        <f>HYPERLINK("https://edmondsonsupply.com/products/packard-prmj145a-motor-start-capacitor-145-174-mfd", "https://edmondsonsupply.com/products/packard-prmj145a-motor-start-capacitor-145-174-mfd")</f>
        <v>https://edmondsonsupply.com/products/packard-prmj145a-motor-start-capacitor-145-174-mfd</v>
      </c>
      <c r="C988" t="s">
        <v>2227</v>
      </c>
      <c r="D988" t="s">
        <v>2553</v>
      </c>
      <c r="E988" s="3" t="str">
        <f>HYPERLINK("https://www.amazon.com/PTMJ145-Packard-Upgraded-Replacement-Capacitor/dp/B0773W3BX6/ref=sr_1_2?keywords=Packard+PRMJ145A+Motor+Start+Capacitor+145-174+MFD&amp;qid=1695173645&amp;sr=8-2", "https://www.amazon.com/PTMJ145-Packard-Upgraded-Replacement-Capacitor/dp/B0773W3BX6/ref=sr_1_2?keywords=Packard+PRMJ145A+Motor+Start+Capacitor+145-174+MFD&amp;qid=1695173645&amp;sr=8-2")</f>
        <v>https://www.amazon.com/PTMJ145-Packard-Upgraded-Replacement-Capacitor/dp/B0773W3BX6/ref=sr_1_2?keywords=Packard+PRMJ145A+Motor+Start+Capacitor+145-174+MFD&amp;qid=1695173645&amp;sr=8-2</v>
      </c>
      <c r="F988" t="s">
        <v>2554</v>
      </c>
      <c r="G988" t="e">
        <f ca="1">_xludf.IMAGE("https://edmondsonsupply.com/cdn/shop/products/PRMJ145A-2.jpg?v=1633030335")</f>
        <v>#NAME?</v>
      </c>
      <c r="H988" t="e">
        <f ca="1">_xludf.IMAGE("https://m.media-amazon.com/images/I/41fqQrQgJaL._AC_UY218_.jpg")</f>
        <v>#NAME?</v>
      </c>
      <c r="I988" t="s">
        <v>2230</v>
      </c>
      <c r="J988">
        <v>14.39</v>
      </c>
      <c r="K988" s="4">
        <v>0.91610000000000003</v>
      </c>
      <c r="L988">
        <v>5</v>
      </c>
      <c r="M988">
        <v>1</v>
      </c>
      <c r="O988" t="s">
        <v>25</v>
      </c>
      <c r="P988" t="s">
        <v>138</v>
      </c>
      <c r="Q988" t="s">
        <v>2231</v>
      </c>
    </row>
    <row r="989" spans="1:17" ht="15.5" x14ac:dyDescent="0.35">
      <c r="A989" s="3" t="str">
        <f>HYPERLINK("https://edmondsonsupply.com/collections/hvac/products/channellock-804", "https://edmondsonsupply.com/collections/hvac/products/channellock-804")</f>
        <v>https://edmondsonsupply.com/collections/hvac/products/channellock-804</v>
      </c>
      <c r="B989" s="3" t="str">
        <f>HYPERLINK("https://edmondsonsupply.com/products/channellock-804", "https://edmondsonsupply.com/products/channellock-804")</f>
        <v>https://edmondsonsupply.com/products/channellock-804</v>
      </c>
      <c r="C989" t="s">
        <v>1551</v>
      </c>
      <c r="D989" t="s">
        <v>2555</v>
      </c>
      <c r="E989" s="3" t="str">
        <f>HYPERLINK("https://www.amazon.com/Channellock-808WCB-8-Inch-Chrome-Adjustable/dp/B00LFIEQ3S/ref=sr_1_9?keywords=Channellock+804+4-Inch+Chrome+Adjustable+Wrench&amp;qid=1695173641&amp;sr=8-9", "https://www.amazon.com/Channellock-808WCB-8-Inch-Chrome-Adjustable/dp/B00LFIEQ3S/ref=sr_1_9?keywords=Channellock+804+4-Inch+Chrome+Adjustable+Wrench&amp;qid=1695173641&amp;sr=8-9")</f>
        <v>https://www.amazon.com/Channellock-808WCB-8-Inch-Chrome-Adjustable/dp/B00LFIEQ3S/ref=sr_1_9?keywords=Channellock+804+4-Inch+Chrome+Adjustable+Wrench&amp;qid=1695173641&amp;sr=8-9</v>
      </c>
      <c r="F989" t="s">
        <v>2556</v>
      </c>
      <c r="G989" t="e">
        <f ca="1">_xludf.IMAGE("https://edmondsonsupply.com/cdn/shop/products/804-683x1024.jpg?v=1587145853")</f>
        <v>#NAME?</v>
      </c>
      <c r="H989" t="e">
        <f ca="1">_xludf.IMAGE("https://m.media-amazon.com/images/I/717njKwq-cL._AC_UL320_.jpg")</f>
        <v>#NAME?</v>
      </c>
      <c r="I989" t="s">
        <v>1554</v>
      </c>
      <c r="J989">
        <v>32.450000000000003</v>
      </c>
      <c r="K989" s="4">
        <v>0.91449999999999998</v>
      </c>
      <c r="L989">
        <v>4.5999999999999996</v>
      </c>
      <c r="M989">
        <v>89</v>
      </c>
      <c r="O989" t="s">
        <v>25</v>
      </c>
      <c r="P989" t="s">
        <v>1555</v>
      </c>
      <c r="Q989" t="s">
        <v>1556</v>
      </c>
    </row>
    <row r="990" spans="1:17" ht="15.5" x14ac:dyDescent="0.35">
      <c r="A990" s="3" t="str">
        <f>HYPERLINK("https://edmondsonsupply.com/collections/hvac/products/refrigeration-technologies-rt175b-viper-big-blu-brush-on-micro-leak-detector", "https://edmondsonsupply.com/collections/hvac/products/refrigeration-technologies-rt175b-viper-big-blu-brush-on-micro-leak-detector")</f>
        <v>https://edmondsonsupply.com/collections/hvac/products/refrigeration-technologies-rt175b-viper-big-blu-brush-on-micro-leak-detector</v>
      </c>
      <c r="B990" s="3" t="str">
        <f>HYPERLINK("https://edmondsonsupply.com/products/refrigeration-technologies-rt175b-viper-big-blu-brush-on-micro-leak-detector", "https://edmondsonsupply.com/products/refrigeration-technologies-rt175b-viper-big-blu-brush-on-micro-leak-detector")</f>
        <v>https://edmondsonsupply.com/products/refrigeration-technologies-rt175b-viper-big-blu-brush-on-micro-leak-detector</v>
      </c>
      <c r="C990" t="s">
        <v>1534</v>
      </c>
      <c r="D990" t="s">
        <v>2557</v>
      </c>
      <c r="E990" s="3" t="str">
        <f>HYPERLINK("https://www.amazon.com/Refrigeration-Technologies-Temp-Reactant-RT100S/dp/B005IT8EI8/ref=sr_1_4?keywords=Refrigeration+Technologies+RT175B+Viper+Big+Blu+-+Brush+On+Micro+Leak+Detector&amp;qid=1695173358&amp;sr=8-4", "https://www.amazon.com/Refrigeration-Technologies-Temp-Reactant-RT100S/dp/B005IT8EI8/ref=sr_1_4?keywords=Refrigeration+Technologies+RT175B+Viper+Big+Blu+-+Brush+On+Micro+Leak+Detector&amp;qid=1695173358&amp;sr=8-4")</f>
        <v>https://www.amazon.com/Refrigeration-Technologies-Temp-Reactant-RT100S/dp/B005IT8EI8/ref=sr_1_4?keywords=Refrigeration+Technologies+RT175B+Viper+Big+Blu+-+Brush+On+Micro+Leak+Detector&amp;qid=1695173358&amp;sr=8-4</v>
      </c>
      <c r="F990" t="s">
        <v>2558</v>
      </c>
      <c r="G990" t="e">
        <f ca="1">_xludf.IMAGE("https://edmondsonsupply.com/cdn/shop/products/brush_on_blu_reflection-o17r8mukbu9smr8id6u6yq699brmo1twijfcclnbpc.jpg?v=1633030388")</f>
        <v>#NAME?</v>
      </c>
      <c r="H990" t="e">
        <f ca="1">_xludf.IMAGE("https://m.media-amazon.com/images/I/51APEOSSOGL._AC_UY218_.jpg")</f>
        <v>#NAME?</v>
      </c>
      <c r="I990" t="s">
        <v>1537</v>
      </c>
      <c r="J990">
        <v>16.05</v>
      </c>
      <c r="K990" s="4">
        <v>0.91300000000000003</v>
      </c>
      <c r="L990">
        <v>4.7</v>
      </c>
      <c r="M990">
        <v>258</v>
      </c>
      <c r="O990" t="s">
        <v>25</v>
      </c>
      <c r="P990" t="s">
        <v>1538</v>
      </c>
      <c r="Q990" t="s">
        <v>1539</v>
      </c>
    </row>
    <row r="991" spans="1:17" ht="15.5" x14ac:dyDescent="0.35">
      <c r="A991" s="3" t="str">
        <f>HYPERLINK("https://edmondsonsupply.com/collections/hvac/products/packard-prmj216-motor-start-capacitor-216-259-mfd-330-vac", "https://edmondsonsupply.com/collections/hvac/products/packard-prmj216-motor-start-capacitor-216-259-mfd-330-vac")</f>
        <v>https://edmondsonsupply.com/collections/hvac/products/packard-prmj216-motor-start-capacitor-216-259-mfd-330-vac</v>
      </c>
      <c r="B991" s="3" t="str">
        <f>HYPERLINK("https://edmondsonsupply.com/products/packard-prmj216-motor-start-capacitor-216-259-mfd-330-vac", "https://edmondsonsupply.com/products/packard-prmj216-motor-start-capacitor-216-259-mfd-330-vac")</f>
        <v>https://edmondsonsupply.com/products/packard-prmj216-motor-start-capacitor-216-259-mfd-330-vac</v>
      </c>
      <c r="C991" t="s">
        <v>2370</v>
      </c>
      <c r="D991" t="s">
        <v>2559</v>
      </c>
      <c r="E991" s="3" t="str">
        <f>HYPERLINK("https://www.amazon.com/Packard-Prmj216-Start-Capacitor-216-259/dp/B004GCARCE/ref=sr_1_4?keywords=Packard+PRMJ216+Motor+Start+Capacitor+216-259+MFD+330+VAC&amp;qid=1695173694&amp;sr=8-4", "https://www.amazon.com/Packard-Prmj216-Start-Capacitor-216-259/dp/B004GCARCE/ref=sr_1_4?keywords=Packard+PRMJ216+Motor+Start+Capacitor+216-259+MFD+330+VAC&amp;qid=1695173694&amp;sr=8-4")</f>
        <v>https://www.amazon.com/Packard-Prmj216-Start-Capacitor-216-259/dp/B004GCARCE/ref=sr_1_4?keywords=Packard+PRMJ216+Motor+Start+Capacitor+216-259+MFD+330+VAC&amp;qid=1695173694&amp;sr=8-4</v>
      </c>
      <c r="F991" t="s">
        <v>2560</v>
      </c>
      <c r="G991" t="e">
        <f ca="1">_xludf.IMAGE("https://edmondsonsupply.com/cdn/shop/products/PRMJ216-2.jpg?v=1633030106")</f>
        <v>#NAME?</v>
      </c>
      <c r="H991" t="e">
        <f ca="1">_xludf.IMAGE("https://m.media-amazon.com/images/I/41iN-8gLZyL._AC_UY218_.jpg")</f>
        <v>#NAME?</v>
      </c>
      <c r="I991" t="s">
        <v>2371</v>
      </c>
      <c r="J991">
        <v>17.09</v>
      </c>
      <c r="K991" s="4">
        <v>0.91159999999999997</v>
      </c>
      <c r="L991">
        <v>4.2</v>
      </c>
      <c r="M991">
        <v>34</v>
      </c>
      <c r="O991" t="s">
        <v>25</v>
      </c>
      <c r="P991" t="s">
        <v>138</v>
      </c>
      <c r="Q991" t="s">
        <v>2372</v>
      </c>
    </row>
    <row r="992" spans="1:17" ht="15.5" x14ac:dyDescent="0.35">
      <c r="A992" s="3" t="str">
        <f>HYPERLINK("https://edmondsonsupply.com/collections/hvac/products/white-rodgers-24a34-2-24v-electric-heat-sequencer-spst", "https://edmondsonsupply.com/collections/hvac/products/white-rodgers-24a34-2-24v-electric-heat-sequencer-spst")</f>
        <v>https://edmondsonsupply.com/collections/hvac/products/white-rodgers-24a34-2-24v-electric-heat-sequencer-spst</v>
      </c>
      <c r="B992" s="3" t="str">
        <f>HYPERLINK("https://edmondsonsupply.com/products/white-rodgers-24a34-2-24v-electric-heat-sequencer-spst", "https://edmondsonsupply.com/products/white-rodgers-24a34-2-24v-electric-heat-sequencer-spst")</f>
        <v>https://edmondsonsupply.com/products/white-rodgers-24a34-2-24v-electric-heat-sequencer-spst</v>
      </c>
      <c r="C992" t="s">
        <v>2561</v>
      </c>
      <c r="D992" t="s">
        <v>2562</v>
      </c>
      <c r="E992" s="3" t="str">
        <f>HYPERLINK("https://www.amazon.com/HVAC-Parts-White-Rodgers-Electric-Sequencer/dp/B09N9VYKL1/ref=sr_1_5?keywords=White-Rodgers+24A34-2+24V+Electric+Heat+Sequencer%2C+SPST&amp;qid=1695173537&amp;sr=8-5", "https://www.amazon.com/HVAC-Parts-White-Rodgers-Electric-Sequencer/dp/B09N9VYKL1/ref=sr_1_5?keywords=White-Rodgers+24A34-2+24V+Electric+Heat+Sequencer%2C+SPST&amp;qid=1695173537&amp;sr=8-5")</f>
        <v>https://www.amazon.com/HVAC-Parts-White-Rodgers-Electric-Sequencer/dp/B09N9VYKL1/ref=sr_1_5?keywords=White-Rodgers+24A34-2+24V+Electric+Heat+Sequencer%2C+SPST&amp;qid=1695173537&amp;sr=8-5</v>
      </c>
      <c r="F992" t="s">
        <v>2563</v>
      </c>
      <c r="G992" t="e">
        <f ca="1">_xludf.IMAGE("https://edmondsonsupply.com/cdn/shop/products/24A34-2.jpg?v=1633030752")</f>
        <v>#NAME?</v>
      </c>
      <c r="H992" t="e">
        <f ca="1">_xludf.IMAGE("https://m.media-amazon.com/images/I/71IXexQVGwL._AC_UY218_.jpg")</f>
        <v>#NAME?</v>
      </c>
      <c r="I992" t="s">
        <v>2337</v>
      </c>
      <c r="J992">
        <v>22.91</v>
      </c>
      <c r="K992" s="4">
        <v>0.91080000000000005</v>
      </c>
      <c r="L992">
        <v>5</v>
      </c>
      <c r="M992">
        <v>1</v>
      </c>
      <c r="O992" t="s">
        <v>25</v>
      </c>
      <c r="P992" t="s">
        <v>2564</v>
      </c>
      <c r="Q992" t="s">
        <v>2565</v>
      </c>
    </row>
    <row r="993" spans="1:17" ht="15.5" x14ac:dyDescent="0.35">
      <c r="A993" s="3" t="str">
        <f>HYPERLINK("https://edmondsonsupply.com/collections/hvac/products/icm-controls-icm203-delay-on-break-timer-with-03-10-minute-adjustable-time-delay-universal-18-240-vac", "https://edmondsonsupply.com/collections/hvac/products/icm-controls-icm203-delay-on-break-timer-with-03-10-minute-adjustable-time-delay-universal-18-240-vac")</f>
        <v>https://edmondsonsupply.com/collections/hvac/products/icm-controls-icm203-delay-on-break-timer-with-03-10-minute-adjustable-time-delay-universal-18-240-vac</v>
      </c>
      <c r="B993" s="3" t="str">
        <f>HYPERLINK("https://edmondsonsupply.com/products/icm-controls-icm203-delay-on-break-timer-with-03-10-minute-adjustable-time-delay-universal-18-240-vac", "https://edmondsonsupply.com/products/icm-controls-icm203-delay-on-break-timer-with-03-10-minute-adjustable-time-delay-universal-18-240-vac")</f>
        <v>https://edmondsonsupply.com/products/icm-controls-icm203-delay-on-break-timer-with-03-10-minute-adjustable-time-delay-universal-18-240-vac</v>
      </c>
      <c r="C993" t="s">
        <v>2326</v>
      </c>
      <c r="D993" t="s">
        <v>2566</v>
      </c>
      <c r="E993" s="3" t="str">
        <f>HYPERLINK("https://www.amazon.com/ICM-Controls-ICM203F-0-03-10-Adjustable/dp/B00GIOYTJ0/ref=sr_1_2?keywords=ICM+Controls+ICM203+Delay+on+Break+Timer+with+.03-10+Minute+Adjustable+Time+Delay%2C+Universal+18-240+VAC&amp;qid=1695173465&amp;sr=8-2", "https://www.amazon.com/ICM-Controls-ICM203F-0-03-10-Adjustable/dp/B00GIOYTJ0/ref=sr_1_2?keywords=ICM+Controls+ICM203+Delay+on+Break+Timer+with+.03-10+Minute+Adjustable+Time+Delay%2C+Universal+18-240+VAC&amp;qid=1695173465&amp;sr=8-2")</f>
        <v>https://www.amazon.com/ICM-Controls-ICM203F-0-03-10-Adjustable/dp/B00GIOYTJ0/ref=sr_1_2?keywords=ICM+Controls+ICM203+Delay+on+Break+Timer+with+.03-10+Minute+Adjustable+Time+Delay%2C+Universal+18-240+VAC&amp;qid=1695173465&amp;sr=8-2</v>
      </c>
      <c r="F993" t="s">
        <v>2567</v>
      </c>
      <c r="G993" t="e">
        <f ca="1">_xludf.IMAGE("https://edmondsonsupply.com/cdn/shop/products/icm203.jpg?v=1587148866")</f>
        <v>#NAME?</v>
      </c>
      <c r="H993" t="e">
        <f ca="1">_xludf.IMAGE("https://m.media-amazon.com/images/I/71FyhlA+HhL._AC_UL320_.jpg")</f>
        <v>#NAME?</v>
      </c>
      <c r="I993" t="s">
        <v>2327</v>
      </c>
      <c r="J993">
        <v>29.99</v>
      </c>
      <c r="K993" s="4">
        <v>0.91020000000000001</v>
      </c>
      <c r="L993">
        <v>4.2</v>
      </c>
      <c r="M993">
        <v>51</v>
      </c>
      <c r="O993" t="s">
        <v>25</v>
      </c>
      <c r="P993" t="s">
        <v>2328</v>
      </c>
      <c r="Q993" t="s">
        <v>2329</v>
      </c>
    </row>
    <row r="994" spans="1:17" ht="15.5" x14ac:dyDescent="0.35">
      <c r="A994" s="3" t="str">
        <f>HYPERLINK("https://edmondsonsupply.com/collections/hvac/products/wiha-tools-32088-8-piece-insulated-picofinish-precision-screwdriver-set", "https://edmondsonsupply.com/collections/hvac/products/wiha-tools-32088-8-piece-insulated-picofinish-precision-screwdriver-set")</f>
        <v>https://edmondsonsupply.com/collections/hvac/products/wiha-tools-32088-8-piece-insulated-picofinish-precision-screwdriver-set</v>
      </c>
      <c r="B994"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994" t="s">
        <v>2568</v>
      </c>
      <c r="D994" t="s">
        <v>2569</v>
      </c>
      <c r="E994" s="3" t="str">
        <f>HYPERLINK("https://www.amazon.com/Wiha-PicoFinish%C2%AE-Screwdriver-Electricians-42989/dp/B07H6SB33W/ref=sr_1_10?keywords=Wiha+Tools+32088+8+Piece+Insulated+PicoFinish+Precision+Screwdriver+Set&amp;qid=1695173729&amp;sr=8-10", "https://www.amazon.com/Wiha-PicoFinish%C2%AE-Screwdriver-Electricians-42989/dp/B07H6SB33W/ref=sr_1_10?keywords=Wiha+Tools+32088+8+Piece+Insulated+PicoFinish+Precision+Screwdriver+Set&amp;qid=1695173729&amp;sr=8-10")</f>
        <v>https://www.amazon.com/Wiha-PicoFinish%C2%AE-Screwdriver-Electricians-42989/dp/B07H6SB33W/ref=sr_1_10?keywords=Wiha+Tools+32088+8+Piece+Insulated+PicoFinish+Precision+Screwdriver+Set&amp;qid=1695173729&amp;sr=8-10</v>
      </c>
      <c r="F994" t="s">
        <v>2570</v>
      </c>
      <c r="G994" t="e">
        <f ca="1">_xludf.IMAGE("https://edmondsonsupply.com/cdn/shop/files/ah1u5hviqxts6itxix4k_1000x_5285634c-51ad-48c4-987e-f1113aaa9ab9.webp?v=1690905519")</f>
        <v>#NAME?</v>
      </c>
      <c r="H994" t="e">
        <f ca="1">_xludf.IMAGE("https://m.media-amazon.com/images/I/61CoYBjxDhL._AC_UL320_.jpg")</f>
        <v>#NAME?</v>
      </c>
      <c r="I994" t="s">
        <v>2571</v>
      </c>
      <c r="J994">
        <v>123</v>
      </c>
      <c r="K994" s="4">
        <v>0.90549999999999997</v>
      </c>
      <c r="L994">
        <v>4.8</v>
      </c>
      <c r="M994">
        <v>51</v>
      </c>
      <c r="O994" t="s">
        <v>25</v>
      </c>
      <c r="P994" t="s">
        <v>2572</v>
      </c>
      <c r="Q994" t="s">
        <v>2573</v>
      </c>
    </row>
    <row r="995" spans="1:17" ht="15.5" x14ac:dyDescent="0.35">
      <c r="A995" s="3" t="str">
        <f>HYPERLINK("https://edmondsonsupply.com/collections/hvac/products/supco-mag1bk-30-vac-magnetic-test-leads", "https://edmondsonsupply.com/collections/hvac/products/supco-mag1bk-30-vac-magnetic-test-leads")</f>
        <v>https://edmondsonsupply.com/collections/hvac/products/supco-mag1bk-30-vac-magnetic-test-leads</v>
      </c>
      <c r="B995" s="3" t="str">
        <f>HYPERLINK("https://edmondsonsupply.com/products/supco-mag1bk-30-vac-magnetic-test-leads", "https://edmondsonsupply.com/products/supco-mag1bk-30-vac-magnetic-test-leads")</f>
        <v>https://edmondsonsupply.com/products/supco-mag1bk-30-vac-magnetic-test-leads</v>
      </c>
      <c r="C995" t="s">
        <v>2574</v>
      </c>
      <c r="D995" t="s">
        <v>2575</v>
      </c>
      <c r="E995" s="3" t="str">
        <f>HYPERLINK("https://www.amazon.com/Magnetic-Leads-Silicone-Flexible-Jumper/dp/B0BD8L1R6B/ref=sr_1_8?keywords=Supco+MAG1BK+30+VAC+Magnetic+Test+Leads&amp;qid=1695173502&amp;sr=8-8", "https://www.amazon.com/Magnetic-Leads-Silicone-Flexible-Jumper/dp/B0BD8L1R6B/ref=sr_1_8?keywords=Supco+MAG1BK+30+VAC+Magnetic+Test+Leads&amp;qid=1695173502&amp;sr=8-8")</f>
        <v>https://www.amazon.com/Magnetic-Leads-Silicone-Flexible-Jumper/dp/B0BD8L1R6B/ref=sr_1_8?keywords=Supco+MAG1BK+30+VAC+Magnetic+Test+Leads&amp;qid=1695173502&amp;sr=8-8</v>
      </c>
      <c r="F995" t="s">
        <v>2576</v>
      </c>
      <c r="G995" t="e">
        <f ca="1">_xludf.IMAGE("https://edmondsonsupply.com/cdn/shop/products/mag1bk.png?v=1671744087")</f>
        <v>#NAME?</v>
      </c>
      <c r="H995" t="e">
        <f ca="1">_xludf.IMAGE("https://m.media-amazon.com/images/I/71uL3Kl74aL._AC_UY218_.jpg")</f>
        <v>#NAME?</v>
      </c>
      <c r="I995" t="s">
        <v>2577</v>
      </c>
      <c r="J995">
        <v>18.989999999999998</v>
      </c>
      <c r="K995" s="4">
        <v>0.90090000000000003</v>
      </c>
      <c r="L995">
        <v>4.4000000000000004</v>
      </c>
      <c r="M995">
        <v>150</v>
      </c>
      <c r="O995" t="s">
        <v>25</v>
      </c>
      <c r="P995" t="s">
        <v>138</v>
      </c>
      <c r="Q995" t="s">
        <v>2578</v>
      </c>
    </row>
    <row r="996" spans="1:17" ht="15.5" x14ac:dyDescent="0.35">
      <c r="A996" s="3" t="str">
        <f>HYPERLINK("https://edmondsonsupply.com/collections/hvac/products/supco-mag1bk-30-vac-magnetic-test-leads", "https://edmondsonsupply.com/collections/hvac/products/supco-mag1bk-30-vac-magnetic-test-leads")</f>
        <v>https://edmondsonsupply.com/collections/hvac/products/supco-mag1bk-30-vac-magnetic-test-leads</v>
      </c>
      <c r="B996" s="3" t="str">
        <f>HYPERLINK("https://edmondsonsupply.com/products/supco-mag1bk-30-vac-magnetic-test-leads", "https://edmondsonsupply.com/products/supco-mag1bk-30-vac-magnetic-test-leads")</f>
        <v>https://edmondsonsupply.com/products/supco-mag1bk-30-vac-magnetic-test-leads</v>
      </c>
      <c r="C996" t="s">
        <v>2574</v>
      </c>
      <c r="D996" t="s">
        <v>2575</v>
      </c>
      <c r="E996" s="3"/>
      <c r="F996" t="s">
        <v>2576</v>
      </c>
      <c r="G996" t="e">
        <f ca="1">_xludf.IMAGE("https://edmondsonsupply.com/cdn/shop/products/mag1bk.png?v=1671744087")</f>
        <v>#NAME?</v>
      </c>
      <c r="H996" t="e">
        <f ca="1">_xludf.IMAGE("https://m.media-amazon.com/images/I/71uL3Kl74aL._AC_UY218_.jpg")</f>
        <v>#NAME?</v>
      </c>
      <c r="I996" t="s">
        <v>2577</v>
      </c>
      <c r="J996">
        <v>18.989999999999998</v>
      </c>
      <c r="K996" s="4">
        <v>0.90090000000000003</v>
      </c>
      <c r="L996">
        <v>4.4000000000000004</v>
      </c>
      <c r="M996">
        <v>150</v>
      </c>
      <c r="O996" t="s">
        <v>25</v>
      </c>
      <c r="P996" t="s">
        <v>138</v>
      </c>
      <c r="Q996" t="s">
        <v>2578</v>
      </c>
    </row>
    <row r="997" spans="1:17" ht="15.5" x14ac:dyDescent="0.35">
      <c r="A997" s="3" t="str">
        <f>HYPERLINK("https://edmondsonsupply.com/collections/hvac/products/packard-prmj216-motor-start-capacitor-216-259-mfd-330-vac", "https://edmondsonsupply.com/collections/hvac/products/packard-prmj216-motor-start-capacitor-216-259-mfd-330-vac")</f>
        <v>https://edmondsonsupply.com/collections/hvac/products/packard-prmj216-motor-start-capacitor-216-259-mfd-330-vac</v>
      </c>
      <c r="B997" s="3" t="str">
        <f>HYPERLINK("https://edmondsonsupply.com/products/packard-prmj216-motor-start-capacitor-216-259-mfd-330-vac", "https://edmondsonsupply.com/products/packard-prmj216-motor-start-capacitor-216-259-mfd-330-vac")</f>
        <v>https://edmondsonsupply.com/products/packard-prmj216-motor-start-capacitor-216-259-mfd-330-vac</v>
      </c>
      <c r="C997" t="s">
        <v>2370</v>
      </c>
      <c r="D997" t="s">
        <v>2579</v>
      </c>
      <c r="E997" s="3" t="str">
        <f>HYPERLINK("https://www.amazon.com/216-259-Capacitor-Replacement-Air-Conditioners-Condenser/dp/B0C88MNBTZ/ref=sr_1_8?keywords=Packard+PRMJ216+Motor+Start+Capacitor+216-259+MFD+330+VAC&amp;qid=1695173694&amp;sr=8-8", "https://www.amazon.com/216-259-Capacitor-Replacement-Air-Conditioners-Condenser/dp/B0C88MNBTZ/ref=sr_1_8?keywords=Packard+PRMJ216+Motor+Start+Capacitor+216-259+MFD+330+VAC&amp;qid=1695173694&amp;sr=8-8")</f>
        <v>https://www.amazon.com/216-259-Capacitor-Replacement-Air-Conditioners-Condenser/dp/B0C88MNBTZ/ref=sr_1_8?keywords=Packard+PRMJ216+Motor+Start+Capacitor+216-259+MFD+330+VAC&amp;qid=1695173694&amp;sr=8-8</v>
      </c>
      <c r="F997" t="s">
        <v>2580</v>
      </c>
      <c r="G997" t="e">
        <f ca="1">_xludf.IMAGE("https://edmondsonsupply.com/cdn/shop/products/PRMJ216-2.jpg?v=1633030106")</f>
        <v>#NAME?</v>
      </c>
      <c r="H997" t="e">
        <f ca="1">_xludf.IMAGE("https://m.media-amazon.com/images/I/61AiWGFx1HL._AC_UY218_.jpg")</f>
        <v>#NAME?</v>
      </c>
      <c r="I997" t="s">
        <v>2371</v>
      </c>
      <c r="J997">
        <v>16.989999999999998</v>
      </c>
      <c r="K997" s="4">
        <v>0.90039999999999998</v>
      </c>
      <c r="L997">
        <v>5</v>
      </c>
      <c r="M997">
        <v>5</v>
      </c>
      <c r="O997" t="s">
        <v>25</v>
      </c>
      <c r="P997" t="s">
        <v>138</v>
      </c>
      <c r="Q997" t="s">
        <v>2372</v>
      </c>
    </row>
    <row r="998" spans="1:17" ht="15.5" x14ac:dyDescent="0.35">
      <c r="A998" s="3" t="str">
        <f>HYPERLINK("https://edmondsonsupply.com/collections/hvac/products/packard-pmj590-motor-start-capacitor-590-708-mfd-110-125-volt", "https://edmondsonsupply.com/collections/hvac/products/packard-pmj590-motor-start-capacitor-590-708-mfd-110-125-volt")</f>
        <v>https://edmondsonsupply.com/collections/hvac/products/packard-pmj590-motor-start-capacitor-590-708-mfd-110-125-volt</v>
      </c>
      <c r="B998" s="3" t="str">
        <f>HYPERLINK("https://edmondsonsupply.com/products/packard-pmj590-motor-start-capacitor-590-708-mfd-110-125-volt", "https://edmondsonsupply.com/products/packard-pmj590-motor-start-capacitor-590-708-mfd-110-125-volt")</f>
        <v>https://edmondsonsupply.com/products/packard-pmj590-motor-start-capacitor-590-708-mfd-110-125-volt</v>
      </c>
      <c r="C998" t="s">
        <v>1973</v>
      </c>
      <c r="D998" t="s">
        <v>2581</v>
      </c>
      <c r="E998" s="3" t="str">
        <f>HYPERLINK("https://www.amazon.com/Packard-PMJ590-110-125V-Capacitor-590-708/dp/B005YN5REM/ref=sr_1_4?keywords=Packard+PMJ590+Motor+Start+Capacitor+590-708+MFD+110-125+Volt&amp;qid=1695173547&amp;sr=8-4", "https://www.amazon.com/Packard-PMJ590-110-125V-Capacitor-590-708/dp/B005YN5REM/ref=sr_1_4?keywords=Packard+PMJ590+Motor+Start+Capacitor+590-708+MFD+110-125+Volt&amp;qid=1695173547&amp;sr=8-4")</f>
        <v>https://www.amazon.com/Packard-PMJ590-110-125V-Capacitor-590-708/dp/B005YN5REM/ref=sr_1_4?keywords=Packard+PMJ590+Motor+Start+Capacitor+590-708+MFD+110-125+Volt&amp;qid=1695173547&amp;sr=8-4</v>
      </c>
      <c r="F998" t="s">
        <v>2582</v>
      </c>
      <c r="G998" t="e">
        <f ca="1">_xludf.IMAGE("https://edmondsonsupply.com/cdn/shop/products/PMJ590-2.jpg?v=1633030307")</f>
        <v>#NAME?</v>
      </c>
      <c r="H998" t="e">
        <f ca="1">_xludf.IMAGE("https://m.media-amazon.com/images/I/41iN-8gLZyL._AC_UY218_.jpg")</f>
        <v>#NAME?</v>
      </c>
      <c r="I998" t="s">
        <v>1974</v>
      </c>
      <c r="J998">
        <v>11.7</v>
      </c>
      <c r="K998" s="4">
        <v>0.89319999999999999</v>
      </c>
      <c r="L998">
        <v>4.3</v>
      </c>
      <c r="M998">
        <v>20</v>
      </c>
      <c r="O998" t="s">
        <v>25</v>
      </c>
      <c r="P998" t="s">
        <v>138</v>
      </c>
      <c r="Q998" t="s">
        <v>1975</v>
      </c>
    </row>
    <row r="999" spans="1:17" ht="15.5" x14ac:dyDescent="0.35">
      <c r="A999" s="3" t="str">
        <f>HYPERLINK("https://edmondsonsupply.com/collections/hvac/products/milwaukee-48-22-2859-demolition-driver", "https://edmondsonsupply.com/collections/hvac/products/milwaukee-48-22-2859-demolition-driver")</f>
        <v>https://edmondsonsupply.com/collections/hvac/products/milwaukee-48-22-2859-demolition-driver</v>
      </c>
      <c r="B999" s="3" t="str">
        <f>HYPERLINK("https://edmondsonsupply.com/products/milwaukee-48-22-2859-demolition-driver", "https://edmondsonsupply.com/products/milwaukee-48-22-2859-demolition-driver")</f>
        <v>https://edmondsonsupply.com/products/milwaukee-48-22-2859-demolition-driver</v>
      </c>
      <c r="C999" t="s">
        <v>2583</v>
      </c>
      <c r="D999" t="s">
        <v>2584</v>
      </c>
      <c r="E999" s="3" t="str">
        <f>HYPERLINK("https://www.amazon.com/Milwaukee-48-22-2702-Durable-Demolition-Screwdriver/dp/B0BYJLXHMN/ref=sr_1_3?keywords=Milwaukee+48-22-2859+Demolition+Driver&amp;qid=1695173471&amp;sr=8-3", "https://www.amazon.com/Milwaukee-48-22-2702-Durable-Demolition-Screwdriver/dp/B0BYJLXHMN/ref=sr_1_3?keywords=Milwaukee+48-22-2859+Demolition+Driver&amp;qid=1695173471&amp;sr=8-3")</f>
        <v>https://www.amazon.com/Milwaukee-48-22-2702-Durable-Demolition-Screwdriver/dp/B0BYJLXHMN/ref=sr_1_3?keywords=Milwaukee+48-22-2859+Demolition+Driver&amp;qid=1695173471&amp;sr=8-3</v>
      </c>
      <c r="F999" t="s">
        <v>2585</v>
      </c>
      <c r="G999" t="e">
        <f ca="1">_xludf.IMAGE("https://edmondsonsupply.com/cdn/shop/products/48-22-2859_1.webp?v=1661549628")</f>
        <v>#NAME?</v>
      </c>
      <c r="H999" t="e">
        <f ca="1">_xludf.IMAGE("https://m.media-amazon.com/images/I/41k8Y4OVmHL._AC_UL320_.jpg")</f>
        <v>#NAME?</v>
      </c>
      <c r="I999" t="s">
        <v>2586</v>
      </c>
      <c r="J999">
        <v>33.99</v>
      </c>
      <c r="K999" s="4">
        <v>0.89149999999999996</v>
      </c>
      <c r="L999">
        <v>5</v>
      </c>
      <c r="M999">
        <v>1</v>
      </c>
      <c r="O999" t="s">
        <v>25</v>
      </c>
      <c r="P999" t="s">
        <v>2182</v>
      </c>
      <c r="Q999" t="s">
        <v>2587</v>
      </c>
    </row>
    <row r="1000" spans="1:17" ht="15.5" x14ac:dyDescent="0.35">
      <c r="A1000" s="3" t="str">
        <f>HYPERLINK("https://edmondsonsupply.com/collections/hvac/products/rack-a-tiers-51020-exploding-garbage-can-ultra", "https://edmondsonsupply.com/collections/hvac/products/rack-a-tiers-51020-exploding-garbage-can-ultra")</f>
        <v>https://edmondsonsupply.com/collections/hvac/products/rack-a-tiers-51020-exploding-garbage-can-ultra</v>
      </c>
      <c r="B1000" s="3" t="str">
        <f>HYPERLINK("https://edmondsonsupply.com/products/rack-a-tiers-51020-exploding-garbage-can-ultra", "https://edmondsonsupply.com/products/rack-a-tiers-51020-exploding-garbage-can-ultra")</f>
        <v>https://edmondsonsupply.com/products/rack-a-tiers-51020-exploding-garbage-can-ultra</v>
      </c>
      <c r="C1000" t="s">
        <v>2588</v>
      </c>
      <c r="D1000" t="s">
        <v>2589</v>
      </c>
      <c r="E1000" s="3" t="str">
        <f>HYPERLINK("https://www.amazon.com/Rack-Tiers-51020-Exploding-Garbage/dp/B07NLLQPTV/ref=sr_1_1?keywords=Rack-A-Tiers+51020+Exploding+Garbage+Can+-+Ultra&amp;qid=1695173558&amp;sr=8-1", "https://www.amazon.com/Rack-Tiers-51020-Exploding-Garbage/dp/B07NLLQPTV/ref=sr_1_1?keywords=Rack-A-Tiers+51020+Exploding+Garbage+Can+-+Ultra&amp;qid=1695173558&amp;sr=8-1")</f>
        <v>https://www.amazon.com/Rack-Tiers-51020-Exploding-Garbage/dp/B07NLLQPTV/ref=sr_1_1?keywords=Rack-A-Tiers+51020+Exploding+Garbage+Can+-+Ultra&amp;qid=1695173558&amp;sr=8-1</v>
      </c>
      <c r="F1000" t="s">
        <v>2590</v>
      </c>
      <c r="G1000" t="e">
        <f ca="1">_xludf.IMAGE("https://edmondsonsupply.com/cdn/shop/products/51020-Exp-Can-Ultra.png?v=1587147271")</f>
        <v>#NAME?</v>
      </c>
      <c r="H1000" t="e">
        <f ca="1">_xludf.IMAGE("https://m.media-amazon.com/images/I/51e-1yeZ4VL._AC_UL320_.jpg")</f>
        <v>#NAME?</v>
      </c>
      <c r="I1000" t="s">
        <v>2591</v>
      </c>
      <c r="J1000">
        <v>59.45</v>
      </c>
      <c r="K1000" s="4">
        <v>0.88790000000000002</v>
      </c>
      <c r="L1000">
        <v>5</v>
      </c>
      <c r="M1000">
        <v>1</v>
      </c>
      <c r="O1000" t="s">
        <v>171</v>
      </c>
      <c r="P1000" t="s">
        <v>138</v>
      </c>
      <c r="Q1000" t="s">
        <v>2592</v>
      </c>
    </row>
    <row r="1001" spans="1:17" ht="15.5" x14ac:dyDescent="0.35">
      <c r="A1001" s="3" t="str">
        <f>HYPERLINK("https://edmondsonsupply.com/collections/hvac/products/milwaukee-48-22-8422-packout%E2%84%A2-compact-tool-box", "https://edmondsonsupply.com/collections/hvac/products/milwaukee-48-22-8422-packout%E2%84%A2-compact-tool-box")</f>
        <v>https://edmondsonsupply.com/collections/hvac/products/milwaukee-48-22-8422-packout%E2%84%A2-compact-tool-box</v>
      </c>
      <c r="B1001" s="3" t="str">
        <f>HYPERLINK("https://edmondsonsupply.com/products/milwaukee-48-22-8422-packout%e2%84%a2-compact-tool-box", "https://edmondsonsupply.com/products/milwaukee-48-22-8422-packout%e2%84%a2-compact-tool-box")</f>
        <v>https://edmondsonsupply.com/products/milwaukee-48-22-8422-packout%e2%84%a2-compact-tool-box</v>
      </c>
      <c r="C1001" t="s">
        <v>353</v>
      </c>
      <c r="D1001" t="s">
        <v>354</v>
      </c>
      <c r="E1001" s="3" t="str">
        <f>HYPERLINK("https://www.amazon.com/MFWNYVN-Milwaukee-48-22-8422-PACKOUT-Compact/dp/B0BZMF2J37/ref=sr_1_2?keywords=Milwaukee+48-22-8422+PACKOUT%E2%84%A2+Compact+Tool+Box&amp;qid=1695173690&amp;sr=8-2", "https://www.amazon.com/MFWNYVN-Milwaukee-48-22-8422-PACKOUT-Compact/dp/B0BZMF2J37/ref=sr_1_2?keywords=Milwaukee+48-22-8422+PACKOUT%E2%84%A2+Compact+Tool+Box&amp;qid=1695173690&amp;sr=8-2")</f>
        <v>https://www.amazon.com/MFWNYVN-Milwaukee-48-22-8422-PACKOUT-Compact/dp/B0BZMF2J37/ref=sr_1_2?keywords=Milwaukee+48-22-8422+PACKOUT%E2%84%A2+Compact+Tool+Box&amp;qid=1695173690&amp;sr=8-2</v>
      </c>
      <c r="F1001" t="s">
        <v>355</v>
      </c>
      <c r="G1001" t="e">
        <f ca="1">_xludf.IMAGE("https://edmondsonsupply.com/cdn/shop/files/48-22-8422_1.png?v=1694613197")</f>
        <v>#NAME?</v>
      </c>
      <c r="H1001" t="e">
        <f ca="1">_xludf.IMAGE("https://m.media-amazon.com/images/I/514-hY-ldbL._AC_UL320_.jpg")</f>
        <v>#NAME?</v>
      </c>
      <c r="I1001" t="s">
        <v>356</v>
      </c>
      <c r="J1001">
        <v>132</v>
      </c>
      <c r="K1001" s="4">
        <v>0.88649999999999995</v>
      </c>
      <c r="L1001">
        <v>5</v>
      </c>
      <c r="M1001">
        <v>1</v>
      </c>
      <c r="O1001" t="s">
        <v>25</v>
      </c>
      <c r="P1001" t="s">
        <v>357</v>
      </c>
      <c r="Q1001" t="s">
        <v>358</v>
      </c>
    </row>
    <row r="1002" spans="1:17" ht="15.5" x14ac:dyDescent="0.35">
      <c r="A1002" s="3" t="str">
        <f>HYPERLINK("https://edmondsonsupply.com/collections/hvac/products/midwest-mwt-6510c-left-right-offset-aviation-2-piece-set", "https://edmondsonsupply.com/collections/hvac/products/midwest-mwt-6510c-left-right-offset-aviation-2-piece-set")</f>
        <v>https://edmondsonsupply.com/collections/hvac/products/midwest-mwt-6510c-left-right-offset-aviation-2-piece-set</v>
      </c>
      <c r="B1002" s="3" t="str">
        <f>HYPERLINK("https://edmondsonsupply.com/products/midwest-mwt-6510c-left-right-offset-aviation-2-piece-set", "https://edmondsonsupply.com/products/midwest-mwt-6510c-left-right-offset-aviation-2-piece-set")</f>
        <v>https://edmondsonsupply.com/products/midwest-mwt-6510c-left-right-offset-aviation-2-piece-set</v>
      </c>
      <c r="C1002" t="s">
        <v>2593</v>
      </c>
      <c r="D1002" t="s">
        <v>158</v>
      </c>
      <c r="E1002" s="3" t="str">
        <f>HYPERLINK("https://www.amazon.com/MIDWEST-Aviation-Snip-Set-KUSHN-POWER/dp/B07RC7ZBK9/ref=sr_1_5?keywords=Midwest+MWT-6510C+Left&amp;qid=1695173342&amp;sr=8-5", "https://www.amazon.com/MIDWEST-Aviation-Snip-Set-KUSHN-POWER/dp/B07RC7ZBK9/ref=sr_1_5?keywords=Midwest+MWT-6510C+Left&amp;qid=1695173342&amp;sr=8-5")</f>
        <v>https://www.amazon.com/MIDWEST-Aviation-Snip-Set-KUSHN-POWER/dp/B07RC7ZBK9/ref=sr_1_5?keywords=Midwest+MWT-6510C+Left&amp;qid=1695173342&amp;sr=8-5</v>
      </c>
      <c r="F1002" t="s">
        <v>159</v>
      </c>
      <c r="G1002" t="e">
        <f ca="1">_xludf.IMAGE("https://edmondsonsupply.com/cdn/shop/products/mwt-6510c.jpg?v=1587144863")</f>
        <v>#NAME?</v>
      </c>
      <c r="H1002" t="e">
        <f ca="1">_xludf.IMAGE("https://m.media-amazon.com/images/I/71438hbSyHL._AC_UL320_.jpg")</f>
        <v>#NAME?</v>
      </c>
      <c r="I1002" t="s">
        <v>2594</v>
      </c>
      <c r="J1002">
        <v>87.99</v>
      </c>
      <c r="K1002" s="4">
        <v>0.88129999999999997</v>
      </c>
      <c r="L1002">
        <v>4.4000000000000004</v>
      </c>
      <c r="M1002">
        <v>1137</v>
      </c>
      <c r="O1002" t="s">
        <v>25</v>
      </c>
      <c r="P1002" t="s">
        <v>2595</v>
      </c>
      <c r="Q1002" t="s">
        <v>2596</v>
      </c>
    </row>
    <row r="1003" spans="1:17" ht="15.5" x14ac:dyDescent="0.35">
      <c r="A1003"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1003" s="3" t="str">
        <f>HYPERLINK("https://edmondsonsupply.com/products/klein-tools-et120-combustible-gas-leak-detector", "https://edmondsonsupply.com/products/klein-tools-et120-combustible-gas-leak-detector")</f>
        <v>https://edmondsonsupply.com/products/klein-tools-et120-combustible-gas-leak-detector</v>
      </c>
      <c r="C1003" t="s">
        <v>1529</v>
      </c>
      <c r="D1003" t="s">
        <v>2597</v>
      </c>
      <c r="E1003" s="3" t="str">
        <f>HYPERLINK("https://www.amazon.com/General-Tools-Moisture-Combustible-Gooseneck/dp/B0BC835B16/ref=sr_1_4?keywords=Klein+Tools+ET120+Combustible+Gas+Leak+Detector&amp;qid=1695173669&amp;sr=8-4", "https://www.amazon.com/General-Tools-Moisture-Combustible-Gooseneck/dp/B0BC835B16/ref=sr_1_4?keywords=Klein+Tools+ET120+Combustible+Gas+Leak+Detector&amp;qid=1695173669&amp;sr=8-4")</f>
        <v>https://www.amazon.com/General-Tools-Moisture-Combustible-Gooseneck/dp/B0BC835B16/ref=sr_1_4?keywords=Klein+Tools+ET120+Combustible+Gas+Leak+Detector&amp;qid=1695173669&amp;sr=8-4</v>
      </c>
      <c r="F1003" t="s">
        <v>2598</v>
      </c>
      <c r="G1003" t="e">
        <f ca="1">_xludf.IMAGE("https://edmondsonsupply.com/cdn/shop/products/et120.jpg?v=1587149243")</f>
        <v>#NAME?</v>
      </c>
      <c r="H1003" t="e">
        <f ca="1">_xludf.IMAGE("https://m.media-amazon.com/images/I/51lDY1wvkKL._AC_UL320_.jpg")</f>
        <v>#NAME?</v>
      </c>
      <c r="I1003" t="s">
        <v>74</v>
      </c>
      <c r="J1003">
        <v>225.6</v>
      </c>
      <c r="K1003" s="4">
        <v>0.88019999999999998</v>
      </c>
      <c r="L1003">
        <v>4.3</v>
      </c>
      <c r="M1003">
        <v>512</v>
      </c>
      <c r="O1003" t="s">
        <v>25</v>
      </c>
      <c r="P1003" t="s">
        <v>1532</v>
      </c>
      <c r="Q1003" t="s">
        <v>1533</v>
      </c>
    </row>
    <row r="1004" spans="1:17" ht="15.5" x14ac:dyDescent="0.35">
      <c r="A1004" s="3" t="str">
        <f>HYPERLINK("https://edmondsonsupply.com/collections/hvac/products/packard-titan-pro-trcd5-run-capacitor-40-5-mfd-370-volt-round", "https://edmondsonsupply.com/collections/hvac/products/packard-titan-pro-trcd5-run-capacitor-40-5-mfd-370-volt-round")</f>
        <v>https://edmondsonsupply.com/collections/hvac/products/packard-titan-pro-trcd5-run-capacitor-40-5-mfd-370-volt-round</v>
      </c>
      <c r="B1004" s="3" t="str">
        <f>HYPERLINK("https://edmondsonsupply.com/products/packard-titan-pro-trcd5-run-capacitor-40-5-mfd-370-volt-round", "https://edmondsonsupply.com/products/packard-titan-pro-trcd5-run-capacitor-40-5-mfd-370-volt-round")</f>
        <v>https://edmondsonsupply.com/products/packard-titan-pro-trcd5-run-capacitor-40-5-mfd-370-volt-round</v>
      </c>
      <c r="C1004" t="s">
        <v>2090</v>
      </c>
      <c r="D1004" t="s">
        <v>2445</v>
      </c>
      <c r="E1004" s="3" t="str">
        <f>HYPERLINK("https://www.amazon.com/TitanPro-TRCFD405-Round-Motor-Capacitor/dp/B01EZ6JWEE/ref=sr_1_7?keywords=Packard+Titan+PRO+TRCD405+Run+Capacitor+40%2B5+MFD+370+Volt+Round&amp;qid=1695173641&amp;sr=8-7", "https://www.amazon.com/TitanPro-TRCFD405-Round-Motor-Capacitor/dp/B01EZ6JWEE/ref=sr_1_7?keywords=Packard+Titan+PRO+TRCD405+Run+Capacitor+40%2B5+MFD+370+Volt+Round&amp;qid=1695173641&amp;sr=8-7")</f>
        <v>https://www.amazon.com/TitanPro-TRCFD405-Round-Motor-Capacitor/dp/B01EZ6JWEE/ref=sr_1_7?keywords=Packard+Titan+PRO+TRCD405+Run+Capacitor+40%2B5+MFD+370+Volt+Round&amp;qid=1695173641&amp;sr=8-7</v>
      </c>
      <c r="F1004" t="s">
        <v>2446</v>
      </c>
      <c r="G1004" t="e">
        <f ca="1">_xludf.IMAGE("https://edmondsonsupply.com/cdn/shop/products/TRCD405-2.jpg?v=1633030397")</f>
        <v>#NAME?</v>
      </c>
      <c r="H1004" t="e">
        <f ca="1">_xludf.IMAGE("https://m.media-amazon.com/images/I/51cHjuUfHWL._AC_UY218_.jpg")</f>
        <v>#NAME?</v>
      </c>
      <c r="I1004" t="s">
        <v>2091</v>
      </c>
      <c r="J1004">
        <v>16.989999999999998</v>
      </c>
      <c r="K1004" s="4">
        <v>0.87939999999999996</v>
      </c>
      <c r="L1004">
        <v>4.8</v>
      </c>
      <c r="M1004">
        <v>7</v>
      </c>
      <c r="O1004" t="s">
        <v>25</v>
      </c>
      <c r="P1004" t="s">
        <v>138</v>
      </c>
      <c r="Q1004" t="s">
        <v>2092</v>
      </c>
    </row>
    <row r="1005" spans="1:17" ht="15.5" x14ac:dyDescent="0.35">
      <c r="A1005"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1005" s="3" t="str">
        <f>HYPERLINK("https://edmondsonsupply.com/products/klein-tools-65064-2-in-1-hex-head-screwdriver-1-4-5-16", "https://edmondsonsupply.com/products/klein-tools-65064-2-in-1-hex-head-screwdriver-1-4-5-16")</f>
        <v>https://edmondsonsupply.com/products/klein-tools-65064-2-in-1-hex-head-screwdriver-1-4-5-16</v>
      </c>
      <c r="C1005" t="s">
        <v>2093</v>
      </c>
      <c r="D1005" t="s">
        <v>2599</v>
      </c>
      <c r="E1005" s="3" t="str">
        <f>HYPERLINK("https://www.amazon.com/Driver-Magnetic-Klein-Tools-32807MAG/dp/B07D4M51DQ/ref=sr_1_9?keywords=Klein+Tools+65064+2-in-1+Nut+Driver%2C+Hex+Head%2C+1%2F4-Inch+and+5%2F16-Inch&amp;qid=1695173568&amp;sr=8-9", "https://www.amazon.com/Driver-Magnetic-Klein-Tools-32807MAG/dp/B07D4M51DQ/ref=sr_1_9?keywords=Klein+Tools+65064+2-in-1+Nut+Driver%2C+Hex+Head%2C+1%2F4-Inch+and+5%2F16-Inch&amp;qid=1695173568&amp;sr=8-9")</f>
        <v>https://www.amazon.com/Driver-Magnetic-Klein-Tools-32807MAG/dp/B07D4M51DQ/ref=sr_1_9?keywords=Klein+Tools+65064+2-in-1+Nut+Driver%2C+Hex+Head%2C+1%2F4-Inch+and+5%2F16-Inch&amp;qid=1695173568&amp;sr=8-9</v>
      </c>
      <c r="F1005" t="s">
        <v>2600</v>
      </c>
      <c r="G1005" t="e">
        <f ca="1">_xludf.IMAGE("https://edmondsonsupply.com/cdn/shop/products/65064.jpg?v=1587147719")</f>
        <v>#NAME?</v>
      </c>
      <c r="H1005" t="e">
        <f ca="1">_xludf.IMAGE("https://m.media-amazon.com/images/I/61gwAJBzDAL._AC_UL320_.jpg")</f>
        <v>#NAME?</v>
      </c>
      <c r="I1005" t="s">
        <v>143</v>
      </c>
      <c r="J1005">
        <v>29.97</v>
      </c>
      <c r="K1005" s="4">
        <v>0.87660000000000005</v>
      </c>
      <c r="L1005">
        <v>4.7</v>
      </c>
      <c r="M1005">
        <v>9161</v>
      </c>
      <c r="O1005" t="s">
        <v>25</v>
      </c>
      <c r="P1005" t="s">
        <v>2096</v>
      </c>
      <c r="Q1005" t="s">
        <v>2097</v>
      </c>
    </row>
    <row r="1006" spans="1:17" ht="15.5" x14ac:dyDescent="0.35">
      <c r="A1006" s="3" t="str">
        <f>HYPERLINK("https://edmondsonsupply.com/collections/hvac/products/klein-tools-69445-rare-earth-magnetic-hanger-no-strap", "https://edmondsonsupply.com/collections/hvac/products/klein-tools-69445-rare-earth-magnetic-hanger-no-strap")</f>
        <v>https://edmondsonsupply.com/collections/hvac/products/klein-tools-69445-rare-earth-magnetic-hanger-no-strap</v>
      </c>
      <c r="B1006" s="3" t="str">
        <f>HYPERLINK("https://edmondsonsupply.com/products/klein-tools-69445-rare-earth-magnetic-hanger-no-strap", "https://edmondsonsupply.com/products/klein-tools-69445-rare-earth-magnetic-hanger-no-strap")</f>
        <v>https://edmondsonsupply.com/products/klein-tools-69445-rare-earth-magnetic-hanger-no-strap</v>
      </c>
      <c r="C1006" t="s">
        <v>1408</v>
      </c>
      <c r="D1006" t="s">
        <v>2356</v>
      </c>
      <c r="E1006" s="3" t="str">
        <f>HYPERLINK("https://www.amazon.com/Klein-Tools-Rare-Earth-Magnetic-Multimeter/dp/B0BGJ66GX4/ref=sr_1_3?keywords=Klein+Tools+69445+Rare+Earth+Magnetic+Hanger%2C+no+Strap&amp;qid=1695173527&amp;sr=8-3", "https://www.amazon.com/Klein-Tools-Rare-Earth-Magnetic-Multimeter/dp/B0BGJ66GX4/ref=sr_1_3?keywords=Klein+Tools+69445+Rare+Earth+Magnetic+Hanger%2C+no+Strap&amp;qid=1695173527&amp;sr=8-3")</f>
        <v>https://www.amazon.com/Klein-Tools-Rare-Earth-Magnetic-Multimeter/dp/B0BGJ66GX4/ref=sr_1_3?keywords=Klein+Tools+69445+Rare+Earth+Magnetic+Hanger%2C+no+Strap&amp;qid=1695173527&amp;sr=8-3</v>
      </c>
      <c r="F1006" t="s">
        <v>2357</v>
      </c>
      <c r="G1006" t="e">
        <f ca="1">_xludf.IMAGE("https://edmondsonsupply.com/cdn/shop/products/69445.jpg?v=1633030859")</f>
        <v>#NAME?</v>
      </c>
      <c r="H1006" t="e">
        <f ca="1">_xludf.IMAGE("https://m.media-amazon.com/images/I/51Em03gaEVL._AC_UL320_.jpg")</f>
        <v>#NAME?</v>
      </c>
      <c r="I1006" t="s">
        <v>252</v>
      </c>
      <c r="J1006">
        <v>29.99</v>
      </c>
      <c r="K1006" s="4">
        <v>0.87549999999999994</v>
      </c>
      <c r="L1006">
        <v>5</v>
      </c>
      <c r="M1006">
        <v>2</v>
      </c>
      <c r="O1006" t="s">
        <v>25</v>
      </c>
      <c r="P1006" t="s">
        <v>1411</v>
      </c>
      <c r="Q1006" t="s">
        <v>1412</v>
      </c>
    </row>
    <row r="1007" spans="1:17" ht="15.5" x14ac:dyDescent="0.35">
      <c r="A1007" s="3" t="str">
        <f>HYPERLINK("https://edmondsonsupply.com/collections/hvac/products/viega-25201-1-2-x-1-2-megapressg-90-elbow", "https://edmondsonsupply.com/collections/hvac/products/viega-25201-1-2-x-1-2-megapressg-90-elbow")</f>
        <v>https://edmondsonsupply.com/collections/hvac/products/viega-25201-1-2-x-1-2-megapressg-90-elbow</v>
      </c>
      <c r="B1007" s="3" t="str">
        <f>HYPERLINK("https://edmondsonsupply.com/products/viega-25201-1-2-x-1-2-megapressg-90-elbow", "https://edmondsonsupply.com/products/viega-25201-1-2-x-1-2-megapressg-90-elbow")</f>
        <v>https://edmondsonsupply.com/products/viega-25201-1-2-x-1-2-megapressg-90-elbow</v>
      </c>
      <c r="C1007" t="s">
        <v>2601</v>
      </c>
      <c r="D1007" t="s">
        <v>2602</v>
      </c>
      <c r="E1007" s="3" t="str">
        <f>HYPERLINK("https://www.amazon.com/79525-Propress-Bronze-90-Degree-Female/dp/B017BW6D6Y/ref=sr_1_4?keywords=Viega+25201+1%2F2%22+x+1%2F2%22+MegaPressG+90%C2%B0+Elbow&amp;qid=1695173711&amp;sr=8-4", "https://www.amazon.com/79525-Propress-Bronze-90-Degree-Female/dp/B017BW6D6Y/ref=sr_1_4?keywords=Viega+25201+1%2F2%22+x+1%2F2%22+MegaPressG+90%C2%B0+Elbow&amp;qid=1695173711&amp;sr=8-4")</f>
        <v>https://www.amazon.com/79525-Propress-Bronze-90-Degree-Female/dp/B017BW6D6Y/ref=sr_1_4?keywords=Viega+25201+1%2F2%22+x+1%2F2%22+MegaPressG+90%C2%B0+Elbow&amp;qid=1695173711&amp;sr=8-4</v>
      </c>
      <c r="F1007" t="s">
        <v>2603</v>
      </c>
      <c r="G1007" t="e">
        <f ca="1">_xludf.IMAGE("https://edmondsonsupply.com/cdn/shop/files/PPm6616.jpg?v=1692223333")</f>
        <v>#NAME?</v>
      </c>
      <c r="H1007" t="e">
        <f ca="1">_xludf.IMAGE("https://m.media-amazon.com/images/I/51YlQO1pB2L._AC_UL320_.jpg")</f>
        <v>#NAME?</v>
      </c>
      <c r="I1007" t="s">
        <v>925</v>
      </c>
      <c r="J1007">
        <v>23.57</v>
      </c>
      <c r="K1007" s="4">
        <v>0.87060000000000004</v>
      </c>
      <c r="L1007">
        <v>5</v>
      </c>
      <c r="M1007">
        <v>1</v>
      </c>
      <c r="O1007" t="s">
        <v>25</v>
      </c>
      <c r="P1007" t="s">
        <v>2604</v>
      </c>
      <c r="Q1007" t="s">
        <v>2605</v>
      </c>
    </row>
    <row r="1008" spans="1:17" ht="15.5" x14ac:dyDescent="0.35">
      <c r="A1008" s="3" t="str">
        <f>HYPERLINK("https://edmondsonsupply.com/collections/hvac/products/packard-ptmj270a-motor-start-capacitor-220-250-volt-270-324-mfd", "https://edmondsonsupply.com/collections/hvac/products/packard-ptmj270a-motor-start-capacitor-220-250-volt-270-324-mfd")</f>
        <v>https://edmondsonsupply.com/collections/hvac/products/packard-ptmj270a-motor-start-capacitor-220-250-volt-270-324-mfd</v>
      </c>
      <c r="B1008" s="3" t="str">
        <f>HYPERLINK("https://edmondsonsupply.com/products/packard-ptmj270a-motor-start-capacitor-220-250-volt-270-324-mfd", "https://edmondsonsupply.com/products/packard-ptmj270a-motor-start-capacitor-220-250-volt-270-324-mfd")</f>
        <v>https://edmondsonsupply.com/products/packard-ptmj270a-motor-start-capacitor-220-250-volt-270-324-mfd</v>
      </c>
      <c r="C1008" t="s">
        <v>2606</v>
      </c>
      <c r="D1008" t="s">
        <v>2607</v>
      </c>
      <c r="E1008" s="3" t="str">
        <f>HYPERLINK("https://www.amazon.com/PTMJ270-Packard-Upgraded-Replacement-Capacitor/dp/B0773WQJ2T/ref=sr_1_2?keywords=Packard+PTMJ270A+Motor+Start+Capacitor+220-250+Volt+270-324+MFD&amp;qid=1695173645&amp;sr=8-2", "https://www.amazon.com/PTMJ270-Packard-Upgraded-Replacement-Capacitor/dp/B0773WQJ2T/ref=sr_1_2?keywords=Packard+PTMJ270A+Motor+Start+Capacitor+220-250+Volt+270-324+MFD&amp;qid=1695173645&amp;sr=8-2")</f>
        <v>https://www.amazon.com/PTMJ270-Packard-Upgraded-Replacement-Capacitor/dp/B0773WQJ2T/ref=sr_1_2?keywords=Packard+PTMJ270A+Motor+Start+Capacitor+220-250+Volt+270-324+MFD&amp;qid=1695173645&amp;sr=8-2</v>
      </c>
      <c r="F1008" t="s">
        <v>2608</v>
      </c>
      <c r="G1008" t="e">
        <f ca="1">_xludf.IMAGE("https://edmondsonsupply.com/cdn/shop/products/PTMJ270A-2.jpg?v=1633030308")</f>
        <v>#NAME?</v>
      </c>
      <c r="H1008" t="e">
        <f ca="1">_xludf.IMAGE("https://m.media-amazon.com/images/I/41fqQrQgJaL._AC_UY218_.jpg")</f>
        <v>#NAME?</v>
      </c>
      <c r="I1008" t="s">
        <v>2609</v>
      </c>
      <c r="J1008">
        <v>18.489999999999998</v>
      </c>
      <c r="K1008" s="4">
        <v>0.8639</v>
      </c>
      <c r="L1008">
        <v>4.4000000000000004</v>
      </c>
      <c r="M1008">
        <v>10</v>
      </c>
      <c r="O1008" t="s">
        <v>25</v>
      </c>
      <c r="P1008" t="s">
        <v>138</v>
      </c>
      <c r="Q1008" t="s">
        <v>2610</v>
      </c>
    </row>
    <row r="1009" spans="1:17" ht="15.5" x14ac:dyDescent="0.35">
      <c r="A1009" s="3" t="str">
        <f>HYPERLINK("https://edmondsonsupply.com/collections/hvac/products/klein-tools-j12098-8-journeyman-high-leverage-universal-combination-pliers", "https://edmondsonsupply.com/collections/hvac/products/klein-tools-j12098-8-journeyman-high-leverage-universal-combination-pliers")</f>
        <v>https://edmondsonsupply.com/collections/hvac/products/klein-tools-j12098-8-journeyman-high-leverage-universal-combination-pliers</v>
      </c>
      <c r="B1009" s="3" t="str">
        <f>HYPERLINK("https://edmondsonsupply.com/products/klein-tools-j12098-8-journeyman-high-leverage-universal-combination-pliers", "https://edmondsonsupply.com/products/klein-tools-j12098-8-journeyman-high-leverage-universal-combination-pliers")</f>
        <v>https://edmondsonsupply.com/products/klein-tools-j12098-8-journeyman-high-leverage-universal-combination-pliers</v>
      </c>
      <c r="C1009" t="s">
        <v>2611</v>
      </c>
      <c r="D1009" t="s">
        <v>2612</v>
      </c>
      <c r="E1009" s="3" t="str">
        <f>HYPERLINK("https://www.amazon.com/Insulated-Combination-Klein-Tools-12098-INS/dp/B0002RI4V8/ref=sr_1_4?keywords=Klein+Tools+J12098+Journeyman+Universal+Combination+Pliers&amp;qid=1695173610&amp;sr=8-4", "https://www.amazon.com/Insulated-Combination-Klein-Tools-12098-INS/dp/B0002RI4V8/ref=sr_1_4?keywords=Klein+Tools+J12098+Journeyman+Universal+Combination+Pliers&amp;qid=1695173610&amp;sr=8-4")</f>
        <v>https://www.amazon.com/Insulated-Combination-Klein-Tools-12098-INS/dp/B0002RI4V8/ref=sr_1_4?keywords=Klein+Tools+J12098+Journeyman+Universal+Combination+Pliers&amp;qid=1695173610&amp;sr=8-4</v>
      </c>
      <c r="F1009" t="s">
        <v>2613</v>
      </c>
      <c r="G1009" t="e">
        <f ca="1">_xludf.IMAGE("https://edmondsonsupply.com/cdn/shop/products/j12098.jpg?v=1587142847")</f>
        <v>#NAME?</v>
      </c>
      <c r="H1009" t="e">
        <f ca="1">_xludf.IMAGE("https://m.media-amazon.com/images/I/51I3JjFrgcL._AC_UL320_.jpg")</f>
        <v>#NAME?</v>
      </c>
      <c r="I1009" t="s">
        <v>571</v>
      </c>
      <c r="J1009">
        <v>64.989999999999995</v>
      </c>
      <c r="K1009" s="4">
        <v>0.85740000000000005</v>
      </c>
      <c r="L1009">
        <v>5</v>
      </c>
      <c r="M1009">
        <v>10</v>
      </c>
      <c r="O1009" t="s">
        <v>25</v>
      </c>
      <c r="P1009" t="s">
        <v>2614</v>
      </c>
      <c r="Q1009" t="s">
        <v>2615</v>
      </c>
    </row>
    <row r="1010" spans="1:17" ht="15.5" x14ac:dyDescent="0.35">
      <c r="A1010" s="3" t="str">
        <f>HYPERLINK("https://edmondsonsupply.com/collections/hvac/products/supco-90380-general-purpose-fan-relay-no-nc-24-vac", "https://edmondsonsupply.com/collections/hvac/products/supco-90380-general-purpose-fan-relay-no-nc-24-vac")</f>
        <v>https://edmondsonsupply.com/collections/hvac/products/supco-90380-general-purpose-fan-relay-no-nc-24-vac</v>
      </c>
      <c r="B1010" s="3" t="str">
        <f>HYPERLINK("https://edmondsonsupply.com/products/supco-90380-general-purpose-fan-relay-no-nc-24-vac", "https://edmondsonsupply.com/products/supco-90380-general-purpose-fan-relay-no-nc-24-vac")</f>
        <v>https://edmondsonsupply.com/products/supco-90380-general-purpose-fan-relay-no-nc-24-vac</v>
      </c>
      <c r="C1010" t="s">
        <v>2616</v>
      </c>
      <c r="D1010" t="s">
        <v>2617</v>
      </c>
      <c r="E1010" s="3" t="str">
        <f>HYPERLINK("https://www.amazon.com/Supco-90380-General-Normally-Contacts/dp/B004XS1ZX6/ref=sr_1_1?keywords=Supco+90380+General+Purpose+Fan+Relay%2C+NO%2FNC%2C+24+VAC&amp;qid=1695173405&amp;sr=8-1", "https://www.amazon.com/Supco-90380-General-Normally-Contacts/dp/B004XS1ZX6/ref=sr_1_1?keywords=Supco+90380+General+Purpose+Fan+Relay%2C+NO%2FNC%2C+24+VAC&amp;qid=1695173405&amp;sr=8-1")</f>
        <v>https://www.amazon.com/Supco-90380-General-Normally-Contacts/dp/B004XS1ZX6/ref=sr_1_1?keywords=Supco+90380+General+Purpose+Fan+Relay%2C+NO%2FNC%2C+24+VAC&amp;qid=1695173405&amp;sr=8-1</v>
      </c>
      <c r="F1010" t="s">
        <v>2618</v>
      </c>
      <c r="G1010" t="e">
        <f ca="1">_xludf.IMAGE("https://edmondsonsupply.com/cdn/shop/products/90380_L.png?v=1661907049")</f>
        <v>#NAME?</v>
      </c>
      <c r="H1010" t="e">
        <f ca="1">_xludf.IMAGE("https://m.media-amazon.com/images/I/614+MLxrEiL._AC_UY218_.jpg")</f>
        <v>#NAME?</v>
      </c>
      <c r="I1010" t="s">
        <v>2619</v>
      </c>
      <c r="J1010">
        <v>13.49</v>
      </c>
      <c r="K1010" s="4">
        <v>0.85299999999999998</v>
      </c>
      <c r="L1010">
        <v>4.4000000000000004</v>
      </c>
      <c r="M1010">
        <v>393</v>
      </c>
      <c r="O1010" t="s">
        <v>25</v>
      </c>
      <c r="P1010" t="s">
        <v>138</v>
      </c>
      <c r="Q1010" t="s">
        <v>2620</v>
      </c>
    </row>
    <row r="1011" spans="1:17" ht="15.5" x14ac:dyDescent="0.35">
      <c r="A1011"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1011" s="3" t="str">
        <f>HYPERLINK("https://edmondsonsupply.com/products/packard-c230b-contactor-2-pole-30-amps-120-coil-voltage", "https://edmondsonsupply.com/products/packard-c230b-contactor-2-pole-30-amps-120-coil-voltage")</f>
        <v>https://edmondsonsupply.com/products/packard-c230b-contactor-2-pole-30-amps-120-coil-voltage</v>
      </c>
      <c r="C1011" t="s">
        <v>2173</v>
      </c>
      <c r="D1011" t="s">
        <v>2621</v>
      </c>
      <c r="E1011" s="3" t="str">
        <f>HYPERLINK("https://www.amazon.com/Dreyoo-Replacement-Compatible-Conditioner-Refrigeration/dp/B0BTLZCT96/ref=sr_1_7?keywords=Packard+C230B+Contactor+2+Pole+30+AMPS+120+Coil+Voltage&amp;qid=1695173673&amp;sr=8-7", "https://www.amazon.com/Dreyoo-Replacement-Compatible-Conditioner-Refrigeration/dp/B0BTLZCT96/ref=sr_1_7?keywords=Packard+C230B+Contactor+2+Pole+30+AMPS+120+Coil+Voltage&amp;qid=1695173673&amp;sr=8-7")</f>
        <v>https://www.amazon.com/Dreyoo-Replacement-Compatible-Conditioner-Refrigeration/dp/B0BTLZCT96/ref=sr_1_7?keywords=Packard+C230B+Contactor+2+Pole+30+AMPS+120+Coil+Voltage&amp;qid=1695173673&amp;sr=8-7</v>
      </c>
      <c r="F1011" t="s">
        <v>2622</v>
      </c>
      <c r="G1011" t="e">
        <f ca="1">_xludf.IMAGE("https://edmondsonsupply.com/cdn/shop/products/C230B-1.jpg?v=1587142333")</f>
        <v>#NAME?</v>
      </c>
      <c r="H1011" t="e">
        <f ca="1">_xludf.IMAGE("https://m.media-amazon.com/images/I/71VVG8jVKJL._AC_UY218_.jpg")</f>
        <v>#NAME?</v>
      </c>
      <c r="I1011" t="s">
        <v>2176</v>
      </c>
      <c r="J1011">
        <v>19.989999999999998</v>
      </c>
      <c r="K1011" s="4">
        <v>0.84750000000000003</v>
      </c>
      <c r="L1011">
        <v>4.3</v>
      </c>
      <c r="M1011">
        <v>21</v>
      </c>
      <c r="O1011" t="s">
        <v>25</v>
      </c>
      <c r="P1011" t="s">
        <v>138</v>
      </c>
      <c r="Q1011" t="s">
        <v>2177</v>
      </c>
    </row>
    <row r="1012" spans="1:17" ht="15.5" x14ac:dyDescent="0.35">
      <c r="A1012" s="3" t="str">
        <f>HYPERLINK("https://edmondsonsupply.com/collections/hvac/products/robertshaw-41-414-hot-surface-furnace-ignitor-carbide", "https://edmondsonsupply.com/collections/hvac/products/robertshaw-41-414-hot-surface-furnace-ignitor-carbide")</f>
        <v>https://edmondsonsupply.com/collections/hvac/products/robertshaw-41-414-hot-surface-furnace-ignitor-carbide</v>
      </c>
      <c r="B1012" s="3" t="str">
        <f>HYPERLINK("https://edmondsonsupply.com/products/robertshaw-41-414-hot-surface-furnace-ignitor-carbide", "https://edmondsonsupply.com/products/robertshaw-41-414-hot-surface-furnace-ignitor-carbide")</f>
        <v>https://edmondsonsupply.com/products/robertshaw-41-414-hot-surface-furnace-ignitor-carbide</v>
      </c>
      <c r="C1012" t="s">
        <v>2623</v>
      </c>
      <c r="D1012" t="s">
        <v>2624</v>
      </c>
      <c r="E1012" s="3" t="str">
        <f>HYPERLINK("https://www.amazon.com/Upgraded-Replacement-Robertshaw-Furnace-Surface/dp/B00EE86RC4/ref=sr_1_4?keywords=Robertshaw+41-414+Hot+Surface+Furnace+Ignitor+%28Carbide%29&amp;qid=1695173723&amp;sr=8-4", "https://www.amazon.com/Upgraded-Replacement-Robertshaw-Furnace-Surface/dp/B00EE86RC4/ref=sr_1_4?keywords=Robertshaw+41-414+Hot+Surface+Furnace+Ignitor+%28Carbide%29&amp;qid=1695173723&amp;sr=8-4")</f>
        <v>https://www.amazon.com/Upgraded-Replacement-Robertshaw-Furnace-Surface/dp/B00EE86RC4/ref=sr_1_4?keywords=Robertshaw+41-414+Hot+Surface+Furnace+Ignitor+%28Carbide%29&amp;qid=1695173723&amp;sr=8-4</v>
      </c>
      <c r="F1012" t="s">
        <v>2625</v>
      </c>
      <c r="G1012" t="e">
        <f ca="1">_xludf.IMAGE("https://edmondsonsupply.com/cdn/shop/files/41-414.jpg?v=1691509200")</f>
        <v>#NAME?</v>
      </c>
      <c r="H1012" t="e">
        <f ca="1">_xludf.IMAGE("https://m.media-amazon.com/images/I/51zXvmm6rzL._AC_UL320_.jpg")</f>
        <v>#NAME?</v>
      </c>
      <c r="I1012" t="s">
        <v>2626</v>
      </c>
      <c r="J1012">
        <v>33.380000000000003</v>
      </c>
      <c r="K1012" s="4">
        <v>0.84619999999999995</v>
      </c>
      <c r="L1012">
        <v>5</v>
      </c>
      <c r="M1012">
        <v>2</v>
      </c>
      <c r="O1012" t="s">
        <v>25</v>
      </c>
      <c r="P1012" t="s">
        <v>138</v>
      </c>
      <c r="Q1012" t="s">
        <v>2627</v>
      </c>
    </row>
    <row r="1013" spans="1:17" ht="15.5" x14ac:dyDescent="0.35">
      <c r="A1013" s="3" t="str">
        <f>HYPERLINK("https://edmondsonsupply.com/collections/hvac/products/klein-tools-5183-tradesman-pro%E2%84%A2-drill-pouch", "https://edmondsonsupply.com/collections/hvac/products/klein-tools-5183-tradesman-pro%E2%84%A2-drill-pouch")</f>
        <v>https://edmondsonsupply.com/collections/hvac/products/klein-tools-5183-tradesman-pro%E2%84%A2-drill-pouch</v>
      </c>
      <c r="B1013" s="3" t="str">
        <f>HYPERLINK("https://edmondsonsupply.com/products/klein-tools-5183-tradesman-pro%e2%84%a2-drill-pouch", "https://edmondsonsupply.com/products/klein-tools-5183-tradesman-pro%e2%84%a2-drill-pouch")</f>
        <v>https://edmondsonsupply.com/products/klein-tools-5183-tradesman-pro%e2%84%a2-drill-pouch</v>
      </c>
      <c r="C1013" t="s">
        <v>359</v>
      </c>
      <c r="D1013" t="s">
        <v>360</v>
      </c>
      <c r="E1013" s="3" t="str">
        <f>HYPERLINK("https://www.amazon.com/Klein-Tools-Tradesman-Ballistic-Holster/dp/B0BHVQDH94/ref=sr_1_2?keywords=Klein+Tools+5183+Tool+Bag%2C+Tradesman+Pro%E2%84%A2+Drill+Pouch&amp;qid=1695173662&amp;sr=8-2", "https://www.amazon.com/Klein-Tools-Tradesman-Ballistic-Holster/dp/B0BHVQDH94/ref=sr_1_2?keywords=Klein+Tools+5183+Tool+Bag%2C+Tradesman+Pro%E2%84%A2+Drill+Pouch&amp;qid=1695173662&amp;sr=8-2")</f>
        <v>https://www.amazon.com/Klein-Tools-Tradesman-Ballistic-Holster/dp/B0BHVQDH94/ref=sr_1_2?keywords=Klein+Tools+5183+Tool+Bag%2C+Tradesman+Pro%E2%84%A2+Drill+Pouch&amp;qid=1695173662&amp;sr=8-2</v>
      </c>
      <c r="F1013" t="s">
        <v>361</v>
      </c>
      <c r="G1013" t="e">
        <f ca="1">_xludf.IMAGE("https://edmondsonsupply.com/cdn/shop/products/5183.jpg?v=1587145505")</f>
        <v>#NAME?</v>
      </c>
      <c r="H1013" t="e">
        <f ca="1">_xludf.IMAGE("https://m.media-amazon.com/images/I/41StAVR6AeL._AC_UL320_.jpg")</f>
        <v>#NAME?</v>
      </c>
      <c r="I1013" t="s">
        <v>362</v>
      </c>
      <c r="J1013">
        <v>47.98</v>
      </c>
      <c r="K1013" s="4">
        <v>0.84609999999999996</v>
      </c>
      <c r="L1013">
        <v>3</v>
      </c>
      <c r="M1013">
        <v>1</v>
      </c>
      <c r="O1013" t="s">
        <v>25</v>
      </c>
      <c r="P1013" t="s">
        <v>363</v>
      </c>
      <c r="Q1013" t="s">
        <v>364</v>
      </c>
    </row>
    <row r="1014" spans="1:17" ht="15.5" x14ac:dyDescent="0.35">
      <c r="A1014" s="3" t="str">
        <f>HYPERLINK("https://edmondsonsupply.com/collections/hvac/products/packard-titan-pro-tmj1000-motor-start-capacitor-1000-1200-mfd-110-125-vac", "https://edmondsonsupply.com/collections/hvac/products/packard-titan-pro-tmj1000-motor-start-capacitor-1000-1200-mfd-110-125-vac")</f>
        <v>https://edmondsonsupply.com/collections/hvac/products/packard-titan-pro-tmj1000-motor-start-capacitor-1000-1200-mfd-110-125-vac</v>
      </c>
      <c r="B1014" s="3" t="str">
        <f>HYPERLINK("https://edmondsonsupply.com/products/packard-titan-pro-tmj1000-motor-start-capacitor-1000-1200-mfd-110-125-vac", "https://edmondsonsupply.com/products/packard-titan-pro-tmj1000-motor-start-capacitor-1000-1200-mfd-110-125-vac")</f>
        <v>https://edmondsonsupply.com/products/packard-titan-pro-tmj1000-motor-start-capacitor-1000-1200-mfd-110-125-vac</v>
      </c>
      <c r="C1014" t="s">
        <v>2628</v>
      </c>
      <c r="D1014" t="s">
        <v>2629</v>
      </c>
      <c r="E1014" s="3" t="str">
        <f>HYPERLINK("https://www.amazon.com/PMJ1000-Upgraded-Replacement-Capacitor-1000-1200/dp/B0773WWGF5/ref=sr_1_5?keywords=Packard+Titan+Pro+TMJ1000+Motor+Start+Capacitor+1000-1200+MFD+110-125+VAC&amp;qid=1695173707&amp;sr=8-5", "https://www.amazon.com/PMJ1000-Upgraded-Replacement-Capacitor-1000-1200/dp/B0773WWGF5/ref=sr_1_5?keywords=Packard+Titan+Pro+TMJ1000+Motor+Start+Capacitor+1000-1200+MFD+110-125+VAC&amp;qid=1695173707&amp;sr=8-5")</f>
        <v>https://www.amazon.com/PMJ1000-Upgraded-Replacement-Capacitor-1000-1200/dp/B0773WWGF5/ref=sr_1_5?keywords=Packard+Titan+Pro+TMJ1000+Motor+Start+Capacitor+1000-1200+MFD+110-125+VAC&amp;qid=1695173707&amp;sr=8-5</v>
      </c>
      <c r="F1014" t="s">
        <v>2630</v>
      </c>
      <c r="G1014" t="e">
        <f ca="1">_xludf.IMAGE("https://edmondsonsupply.com/cdn/shop/files/PMJ1000-2_d40c21de-847b-4df9-b3b2-83dd78de3b34.jpg?v=1692631470")</f>
        <v>#NAME?</v>
      </c>
      <c r="H1014" t="e">
        <f ca="1">_xludf.IMAGE("https://m.media-amazon.com/images/I/41fqQrQgJaL._AC_UY218_.jpg")</f>
        <v>#NAME?</v>
      </c>
      <c r="I1014" t="s">
        <v>2631</v>
      </c>
      <c r="J1014">
        <v>19.489999999999998</v>
      </c>
      <c r="K1014" s="4">
        <v>0.84389999999999998</v>
      </c>
      <c r="L1014">
        <v>5</v>
      </c>
      <c r="M1014">
        <v>3</v>
      </c>
      <c r="O1014" t="s">
        <v>25</v>
      </c>
      <c r="P1014" t="s">
        <v>138</v>
      </c>
      <c r="Q1014" t="s">
        <v>2632</v>
      </c>
    </row>
    <row r="1015" spans="1:17" ht="15.5" x14ac:dyDescent="0.35">
      <c r="A1015"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015" s="3" t="str">
        <f>HYPERLINK("https://edmondsonsupply.com/products/klein-tools-jth4e17-1-2-inch-hex-key-journeyman-t-handle-4-inch", "https://edmondsonsupply.com/products/klein-tools-jth4e17-1-2-inch-hex-key-journeyman-t-handle-4-inch")</f>
        <v>https://edmondsonsupply.com/products/klein-tools-jth4e17-1-2-inch-hex-key-journeyman-t-handle-4-inch</v>
      </c>
      <c r="C1015" t="s">
        <v>2385</v>
      </c>
      <c r="D1015" t="s">
        <v>2633</v>
      </c>
      <c r="E1015" s="3" t="str">
        <f>HYPERLINK("https://www.amazon.com/Journeyman-T-Handle-Klein-Tools-JTH9M5/dp/B005G3HJDW/ref=sr_1_5?keywords=Klein+Tools+JTH4E11+3%2F16-Inch+Hex+Key+with+Journeyman+T-Handle%2C+4-Inch&amp;qid=1695173548&amp;sr=8-5", "https://www.amazon.com/Journeyman-T-Handle-Klein-Tools-JTH9M5/dp/B005G3HJDW/ref=sr_1_5?keywords=Klein+Tools+JTH4E11+3%2F16-Inch+Hex+Key+with+Journeyman+T-Handle%2C+4-Inch&amp;qid=1695173548&amp;sr=8-5")</f>
        <v>https://www.amazon.com/Journeyman-T-Handle-Klein-Tools-JTH9M5/dp/B005G3HJDW/ref=sr_1_5?keywords=Klein+Tools+JTH4E11+3%2F16-Inch+Hex+Key+with+Journeyman+T-Handle%2C+4-Inch&amp;qid=1695173548&amp;sr=8-5</v>
      </c>
      <c r="F1015" t="s">
        <v>2634</v>
      </c>
      <c r="G1015" t="e">
        <f ca="1">_xludf.IMAGE("https://edmondsonsupply.com/cdn/shop/products/jth4e17.jpg?v=1587144836")</f>
        <v>#NAME?</v>
      </c>
      <c r="H1015" t="e">
        <f ca="1">_xludf.IMAGE("https://m.media-amazon.com/images/I/51O91N8K8wL._AC_UL320_.jpg")</f>
        <v>#NAME?</v>
      </c>
      <c r="I1015" t="s">
        <v>2388</v>
      </c>
      <c r="J1015">
        <v>9.1999999999999993</v>
      </c>
      <c r="K1015" s="4">
        <v>0.84370000000000001</v>
      </c>
      <c r="L1015">
        <v>4.7</v>
      </c>
      <c r="M1015">
        <v>160</v>
      </c>
      <c r="O1015" t="s">
        <v>25</v>
      </c>
      <c r="P1015" t="s">
        <v>2389</v>
      </c>
      <c r="Q1015" t="s">
        <v>2390</v>
      </c>
    </row>
    <row r="1016" spans="1:17" ht="15.5" x14ac:dyDescent="0.35">
      <c r="A1016"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1016" s="3" t="str">
        <f>HYPERLINK("https://edmondsonsupply.com/products/klein-tools-65064-2-in-1-hex-head-screwdriver-1-4-5-16", "https://edmondsonsupply.com/products/klein-tools-65064-2-in-1-hex-head-screwdriver-1-4-5-16")</f>
        <v>https://edmondsonsupply.com/products/klein-tools-65064-2-in-1-hex-head-screwdriver-1-4-5-16</v>
      </c>
      <c r="C1016" t="s">
        <v>2093</v>
      </c>
      <c r="D1016" t="s">
        <v>2635</v>
      </c>
      <c r="E1016" s="3" t="str">
        <f>HYPERLINK("https://www.amazon.com/Melnor-65173AMZ-RelaxGrip-Pattern-Pivoting/dp/B0C6QZGPMM/ref=sr_1_2?keywords=Klein+Tools+65064+2-in-1+Nut+Driver%2C+Hex+Head%2C+1%2F4-Inch+and+5%2F16-Inch&amp;qid=1695173568&amp;sr=8-2", "https://www.amazon.com/Melnor-65173AMZ-RelaxGrip-Pattern-Pivoting/dp/B0C6QZGPMM/ref=sr_1_2?keywords=Klein+Tools+65064+2-in-1+Nut+Driver%2C+Hex+Head%2C+1%2F4-Inch+and+5%2F16-Inch&amp;qid=1695173568&amp;sr=8-2")</f>
        <v>https://www.amazon.com/Melnor-65173AMZ-RelaxGrip-Pattern-Pivoting/dp/B0C6QZGPMM/ref=sr_1_2?keywords=Klein+Tools+65064+2-in-1+Nut+Driver%2C+Hex+Head%2C+1%2F4-Inch+and+5%2F16-Inch&amp;qid=1695173568&amp;sr=8-2</v>
      </c>
      <c r="F1016" t="s">
        <v>2636</v>
      </c>
      <c r="G1016" t="e">
        <f ca="1">_xludf.IMAGE("https://edmondsonsupply.com/cdn/shop/products/65064.jpg?v=1587147719")</f>
        <v>#NAME?</v>
      </c>
      <c r="H1016" t="e">
        <f ca="1">_xludf.IMAGE("https://m.media-amazon.com/images/I/41ISu9RCylL._AC_UL320_.jpg")</f>
        <v>#NAME?</v>
      </c>
      <c r="I1016" t="s">
        <v>143</v>
      </c>
      <c r="J1016">
        <v>29.3</v>
      </c>
      <c r="K1016" s="4">
        <v>0.8347</v>
      </c>
      <c r="L1016">
        <v>4.4000000000000004</v>
      </c>
      <c r="M1016">
        <v>324</v>
      </c>
      <c r="O1016" t="s">
        <v>25</v>
      </c>
      <c r="P1016" t="s">
        <v>2096</v>
      </c>
      <c r="Q1016" t="s">
        <v>2097</v>
      </c>
    </row>
    <row r="1017" spans="1:17" ht="15.5" x14ac:dyDescent="0.35">
      <c r="A1017" s="3" t="str">
        <f>HYPERLINK("https://edmondsonsupply.com/collections/hvac/products/midwest-mwt-ss6510l-special-hardness-offset-aviation-snip-left-cutting", "https://edmondsonsupply.com/collections/hvac/products/midwest-mwt-ss6510l-special-hardness-offset-aviation-snip-left-cutting")</f>
        <v>https://edmondsonsupply.com/collections/hvac/products/midwest-mwt-ss6510l-special-hardness-offset-aviation-snip-left-cutting</v>
      </c>
      <c r="B1017"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1017" t="s">
        <v>169</v>
      </c>
      <c r="D1017" t="s">
        <v>193</v>
      </c>
      <c r="E1017" s="3" t="str">
        <f>HYPERLINK("https://www.amazon.com/MIDWEST-Blackout-Aviation-Snip-KUSHN-POWER/dp/B00TJQL91U/ref=sr_1_4?keywords=Midwest+MWT-SS6510L+Special+Hardness+Offset+Aviation+Snip+-+Left-Cutting&amp;qid=1695173337&amp;sr=8-4", "https://www.amazon.com/MIDWEST-Blackout-Aviation-Snip-KUSHN-POWER/dp/B00TJQL91U/ref=sr_1_4?keywords=Midwest+MWT-SS6510L+Special+Hardness+Offset+Aviation+Snip+-+Left-Cutting&amp;qid=1695173337&amp;sr=8-4")</f>
        <v>https://www.amazon.com/MIDWEST-Blackout-Aviation-Snip-KUSHN-POWER/dp/B00TJQL91U/ref=sr_1_4?keywords=Midwest+MWT-SS6510L+Special+Hardness+Offset+Aviation+Snip+-+Left-Cutting&amp;qid=1695173337&amp;sr=8-4</v>
      </c>
      <c r="F1017" t="s">
        <v>194</v>
      </c>
      <c r="G1017" t="e">
        <f ca="1">_xludf.IMAGE("https://edmondsonsupply.com/cdn/shop/products/MWT-SS6510L.png?v=1587150385")</f>
        <v>#NAME?</v>
      </c>
      <c r="H1017" t="e">
        <f ca="1">_xludf.IMAGE("https://m.media-amazon.com/images/I/51OW3TahYsL._AC_UL320_.jpg")</f>
        <v>#NAME?</v>
      </c>
      <c r="I1017" t="s">
        <v>170</v>
      </c>
      <c r="J1017">
        <v>58.88</v>
      </c>
      <c r="K1017" s="4">
        <v>0.83140000000000003</v>
      </c>
      <c r="L1017">
        <v>4.7</v>
      </c>
      <c r="M1017">
        <v>1400</v>
      </c>
      <c r="O1017" t="s">
        <v>171</v>
      </c>
      <c r="P1017" t="s">
        <v>172</v>
      </c>
      <c r="Q1017" t="s">
        <v>173</v>
      </c>
    </row>
    <row r="1018" spans="1:17" ht="15.5" x14ac:dyDescent="0.35">
      <c r="A1018" s="3" t="str">
        <f>HYPERLINK("https://edmondsonsupply.com/collections/hvac/products/klein-tools-32752-double-sided-combo-replacement-bit-2-pack", "https://edmondsonsupply.com/collections/hvac/products/klein-tools-32752-double-sided-combo-replacement-bit-2-pack")</f>
        <v>https://edmondsonsupply.com/collections/hvac/products/klein-tools-32752-double-sided-combo-replacement-bit-2-pack</v>
      </c>
      <c r="B1018" s="3" t="str">
        <f>HYPERLINK("https://edmondsonsupply.com/products/klein-tools-32752-double-sided-combo-replacement-bit-2-pack", "https://edmondsonsupply.com/products/klein-tools-32752-double-sided-combo-replacement-bit-2-pack")</f>
        <v>https://edmondsonsupply.com/products/klein-tools-32752-double-sided-combo-replacement-bit-2-pack</v>
      </c>
      <c r="C1018" t="s">
        <v>2637</v>
      </c>
      <c r="D1018" t="s">
        <v>2637</v>
      </c>
      <c r="E1018" s="3" t="str">
        <f>HYPERLINK("https://www.amazon.com/Double-Replacement-2-Pack-Klein-Tools/dp/B00YJK0P5C/ref=sr_1_1?keywords=Klein+Tools+32752+Double+Sided+Combo+Replacement+Bit%2C+2-Pack&amp;qid=1695173552&amp;sr=8-1", "https://www.amazon.com/Double-Replacement-2-Pack-Klein-Tools/dp/B00YJK0P5C/ref=sr_1_1?keywords=Klein+Tools+32752+Double+Sided+Combo+Replacement+Bit%2C+2-Pack&amp;qid=1695173552&amp;sr=8-1")</f>
        <v>https://www.amazon.com/Double-Replacement-2-Pack-Klein-Tools/dp/B00YJK0P5C/ref=sr_1_1?keywords=Klein+Tools+32752+Double+Sided+Combo+Replacement+Bit%2C+2-Pack&amp;qid=1695173552&amp;sr=8-1</v>
      </c>
      <c r="F1018" t="s">
        <v>2638</v>
      </c>
      <c r="G1018" t="e">
        <f ca="1">_xludf.IMAGE("https://edmondsonsupply.com/cdn/shop/products/32752.jpg?v=1587145617")</f>
        <v>#NAME?</v>
      </c>
      <c r="H1018" t="e">
        <f ca="1">_xludf.IMAGE("https://m.media-amazon.com/images/I/41uttNmIAXL._AC_UL320_.jpg")</f>
        <v>#NAME?</v>
      </c>
      <c r="I1018" t="s">
        <v>2639</v>
      </c>
      <c r="J1018">
        <v>10.95</v>
      </c>
      <c r="K1018" s="4">
        <v>0.82799999999999996</v>
      </c>
      <c r="L1018">
        <v>4.5999999999999996</v>
      </c>
      <c r="M1018">
        <v>1114</v>
      </c>
      <c r="O1018" t="s">
        <v>25</v>
      </c>
      <c r="P1018" t="s">
        <v>2091</v>
      </c>
      <c r="Q1018" t="s">
        <v>2640</v>
      </c>
    </row>
    <row r="1019" spans="1:17" ht="15.5" x14ac:dyDescent="0.35">
      <c r="A1019" s="3" t="str">
        <f>HYPERLINK("https://edmondsonsupply.com/collections/hvac/products/icm-controls-icm492-single-phase-line-voltage-monitor", "https://edmondsonsupply.com/collections/hvac/products/icm-controls-icm492-single-phase-line-voltage-monitor")</f>
        <v>https://edmondsonsupply.com/collections/hvac/products/icm-controls-icm492-single-phase-line-voltage-monitor</v>
      </c>
      <c r="B1019" s="3" t="str">
        <f>HYPERLINK("https://edmondsonsupply.com/products/icm-controls-icm492-single-phase-line-voltage-monitor", "https://edmondsonsupply.com/products/icm-controls-icm492-single-phase-line-voltage-monitor")</f>
        <v>https://edmondsonsupply.com/products/icm-controls-icm492-single-phase-line-voltage-monitor</v>
      </c>
      <c r="C1019" t="s">
        <v>1821</v>
      </c>
      <c r="D1019" t="s">
        <v>1651</v>
      </c>
      <c r="E1019" s="3" t="str">
        <f>HYPERLINK("https://www.amazon.com/ICM-Controls-Three-Phase-Protection-Unbalance/dp/B00DGB4PQU/ref=sr_1_6?keywords=ICM+Controls+ICM492+Single+Phase+Line+Voltage+Monitor&amp;qid=1695173362&amp;sr=8-6", "https://www.amazon.com/ICM-Controls-Three-Phase-Protection-Unbalance/dp/B00DGB4PQU/ref=sr_1_6?keywords=ICM+Controls+ICM492+Single+Phase+Line+Voltage+Monitor&amp;qid=1695173362&amp;sr=8-6")</f>
        <v>https://www.amazon.com/ICM-Controls-Three-Phase-Protection-Unbalance/dp/B00DGB4PQU/ref=sr_1_6?keywords=ICM+Controls+ICM492+Single+Phase+Line+Voltage+Monitor&amp;qid=1695173362&amp;sr=8-6</v>
      </c>
      <c r="F1019" t="s">
        <v>1652</v>
      </c>
      <c r="G1019" t="e">
        <f ca="1">_xludf.IMAGE("https://edmondsonsupply.com/cdn/shop/products/photo_3666_medium_19efda5b-a59a-4ff4-8872-2cd0c4aa35aa.png?v=1665085673")</f>
        <v>#NAME?</v>
      </c>
      <c r="H1019" t="e">
        <f ca="1">_xludf.IMAGE("https://m.media-amazon.com/images/I/61og6zGDF+L._AC_UL320_.jpg")</f>
        <v>#NAME?</v>
      </c>
      <c r="I1019" t="s">
        <v>315</v>
      </c>
      <c r="J1019">
        <v>164.38</v>
      </c>
      <c r="K1019" s="4">
        <v>0.8266</v>
      </c>
      <c r="L1019">
        <v>5</v>
      </c>
      <c r="M1019">
        <v>2</v>
      </c>
      <c r="O1019" t="s">
        <v>25</v>
      </c>
      <c r="P1019" t="s">
        <v>1824</v>
      </c>
      <c r="Q1019" t="s">
        <v>1825</v>
      </c>
    </row>
    <row r="1020" spans="1:17" ht="15.5" x14ac:dyDescent="0.35">
      <c r="A1020" s="3" t="str">
        <f>HYPERLINK("https://edmondsonsupply.com/collections/hvac/products/packard-trcfd455-titan-pro-run-capacitor-45-5-mfd-440-370-volt-round", "https://edmondsonsupply.com/collections/hvac/products/packard-trcfd455-titan-pro-run-capacitor-45-5-mfd-440-370-volt-round")</f>
        <v>https://edmondsonsupply.com/collections/hvac/products/packard-trcfd455-titan-pro-run-capacitor-45-5-mfd-440-370-volt-round</v>
      </c>
      <c r="B1020" s="3" t="str">
        <f>HYPERLINK("https://edmondsonsupply.com/products/packard-trcfd455-titan-pro-run-capacitor-45-5-mfd-440-370-volt-round", "https://edmondsonsupply.com/products/packard-trcfd455-titan-pro-run-capacitor-45-5-mfd-440-370-volt-round")</f>
        <v>https://edmondsonsupply.com/products/packard-trcfd455-titan-pro-run-capacitor-45-5-mfd-440-370-volt-round</v>
      </c>
      <c r="C1020" t="s">
        <v>2069</v>
      </c>
      <c r="D1020" t="s">
        <v>2641</v>
      </c>
      <c r="E1020" s="3" t="str">
        <f>HYPERLINK("https://www.amazon.com/Packard-TRCFD455-Capacitor-Replaces-PRCFD455/dp/B07TPFL8FB/ref=sr_1_4?keywords=Packard+TRCFD455+Titan+PRO+Run+Capacitor+45+5+MFD+440%2F370+Volt+Round&amp;qid=1695173400&amp;sr=8-4", "https://www.amazon.com/Packard-TRCFD455-Capacitor-Replaces-PRCFD455/dp/B07TPFL8FB/ref=sr_1_4?keywords=Packard+TRCFD455+Titan+PRO+Run+Capacitor+45+5+MFD+440%2F370+Volt+Round&amp;qid=1695173400&amp;sr=8-4")</f>
        <v>https://www.amazon.com/Packard-TRCFD455-Capacitor-Replaces-PRCFD455/dp/B07TPFL8FB/ref=sr_1_4?keywords=Packard+TRCFD455+Titan+PRO+Run+Capacitor+45+5+MFD+440%2F370+Volt+Round&amp;qid=1695173400&amp;sr=8-4</v>
      </c>
      <c r="F1020" t="s">
        <v>2642</v>
      </c>
      <c r="G1020" t="e">
        <f ca="1">_xludf.IMAGE("https://edmondsonsupply.com/cdn/shop/products/TRCFD455-2.jpg?v=1587147298")</f>
        <v>#NAME?</v>
      </c>
      <c r="H1020" t="e">
        <f ca="1">_xludf.IMAGE("https://m.media-amazon.com/images/I/51+hKIHWFoL._AC_UY218_.jpg")</f>
        <v>#NAME?</v>
      </c>
      <c r="I1020" t="s">
        <v>924</v>
      </c>
      <c r="J1020">
        <v>16.38</v>
      </c>
      <c r="K1020" s="4">
        <v>0.82199999999999995</v>
      </c>
      <c r="L1020">
        <v>5</v>
      </c>
      <c r="M1020">
        <v>5</v>
      </c>
      <c r="O1020" t="s">
        <v>171</v>
      </c>
      <c r="P1020" t="s">
        <v>138</v>
      </c>
      <c r="Q1020" t="s">
        <v>2072</v>
      </c>
    </row>
    <row r="1021" spans="1:17" ht="15.5" x14ac:dyDescent="0.35">
      <c r="A1021" s="3" t="str">
        <f>HYPERLINK("https://edmondsonsupply.com/collections/hvac/products/channellock-432", "https://edmondsonsupply.com/collections/hvac/products/channellock-432")</f>
        <v>https://edmondsonsupply.com/collections/hvac/products/channellock-432</v>
      </c>
      <c r="B1021" s="3" t="str">
        <f>HYPERLINK("https://edmondsonsupply.com/products/channellock-432", "https://edmondsonsupply.com/products/channellock-432")</f>
        <v>https://edmondsonsupply.com/products/channellock-432</v>
      </c>
      <c r="C1021" t="s">
        <v>2472</v>
      </c>
      <c r="D1021" t="s">
        <v>2643</v>
      </c>
      <c r="E1021" s="3" t="str">
        <f>HYPERLINK("https://www.amazon.com/Channellock-Tongue-12-Inch-Straight-Comfort/dp/B0BFXKVMMD/ref=sr_1_4?keywords=Channellock+440+12%22+Straight+Jaw+Tongue+%26+Groove+Pliers&amp;qid=1695173686&amp;sr=8-4", "https://www.amazon.com/Channellock-Tongue-12-Inch-Straight-Comfort/dp/B0BFXKVMMD/ref=sr_1_4?keywords=Channellock+440+12%22+Straight+Jaw+Tongue+%26+Groove+Pliers&amp;qid=1695173686&amp;sr=8-4")</f>
        <v>https://www.amazon.com/Channellock-Tongue-12-Inch-Straight-Comfort/dp/B0BFXKVMMD/ref=sr_1_4?keywords=Channellock+440+12%22+Straight+Jaw+Tongue+%26+Groove+Pliers&amp;qid=1695173686&amp;sr=8-4</v>
      </c>
      <c r="F1021" t="s">
        <v>2644</v>
      </c>
      <c r="G1021" t="e">
        <f ca="1">_xludf.IMAGE("https://edmondsonsupply.com/cdn/shop/products/440-546x1024.jpg?v=1587148892")</f>
        <v>#NAME?</v>
      </c>
      <c r="H1021" t="e">
        <f ca="1">_xludf.IMAGE("https://m.media-amazon.com/images/I/41AZjjLwtIL._AC_UL320_.jpg")</f>
        <v>#NAME?</v>
      </c>
      <c r="I1021" t="s">
        <v>2475</v>
      </c>
      <c r="J1021">
        <v>39.94</v>
      </c>
      <c r="K1021" s="4">
        <v>0.8196</v>
      </c>
      <c r="L1021">
        <v>3</v>
      </c>
      <c r="M1021">
        <v>1</v>
      </c>
      <c r="O1021" t="s">
        <v>25</v>
      </c>
      <c r="P1021" t="s">
        <v>2476</v>
      </c>
      <c r="Q1021" t="s">
        <v>2477</v>
      </c>
    </row>
    <row r="1022" spans="1:17" ht="15.5" x14ac:dyDescent="0.35">
      <c r="A1022"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1022" s="3" t="str">
        <f>HYPERLINK("https://edmondsonsupply.com/products/packard-c140a-contactor-1-pole-40-amps-24-coil-voltage", "https://edmondsonsupply.com/products/packard-c140a-contactor-1-pole-40-amps-24-coil-voltage")</f>
        <v>https://edmondsonsupply.com/products/packard-c140a-contactor-1-pole-40-amps-24-coil-voltage</v>
      </c>
      <c r="C1022" t="s">
        <v>2339</v>
      </c>
      <c r="D1022" t="s">
        <v>2645</v>
      </c>
      <c r="E1022" s="3" t="str">
        <f>HYPERLINK("https://www.amazon.com/Lennox-Packard-Replacement-Contactor-C140A/dp/B00S8IYPCK/ref=sr_1_5?keywords=Packard+C140A+Contactor+1+Pole+40+AMPS+24+Coil+Voltage&amp;qid=1695173362&amp;sr=8-5", "https://www.amazon.com/Lennox-Packard-Replacement-Contactor-C140A/dp/B00S8IYPCK/ref=sr_1_5?keywords=Packard+C140A+Contactor+1+Pole+40+AMPS+24+Coil+Voltage&amp;qid=1695173362&amp;sr=8-5")</f>
        <v>https://www.amazon.com/Lennox-Packard-Replacement-Contactor-C140A/dp/B00S8IYPCK/ref=sr_1_5?keywords=Packard+C140A+Contactor+1+Pole+40+AMPS+24+Coil+Voltage&amp;qid=1695173362&amp;sr=8-5</v>
      </c>
      <c r="F1022" t="s">
        <v>2646</v>
      </c>
      <c r="G1022" t="e">
        <f ca="1">_xludf.IMAGE("https://edmondsonsupply.com/cdn/shop/products/C140A-1.jpg?v=1587147314")</f>
        <v>#NAME?</v>
      </c>
      <c r="H1022" t="e">
        <f ca="1">_xludf.IMAGE("https://m.media-amazon.com/images/I/51q4ngffe+L._AC_UY218_.jpg")</f>
        <v>#NAME?</v>
      </c>
      <c r="I1022" t="s">
        <v>2342</v>
      </c>
      <c r="J1022">
        <v>18.14</v>
      </c>
      <c r="K1022" s="4">
        <v>0.81759999999999999</v>
      </c>
      <c r="L1022">
        <v>4.5</v>
      </c>
      <c r="M1022">
        <v>12</v>
      </c>
      <c r="O1022" t="s">
        <v>25</v>
      </c>
      <c r="P1022" t="s">
        <v>138</v>
      </c>
      <c r="Q1022" t="s">
        <v>2343</v>
      </c>
    </row>
    <row r="1023" spans="1:17" ht="15.5" x14ac:dyDescent="0.35">
      <c r="A1023"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1023" s="3" t="str">
        <f>HYPERLINK("https://edmondsonsupply.com/products/packard-c140a-contactor-1-pole-40-amps-24-coil-voltage", "https://edmondsonsupply.com/products/packard-c140a-contactor-1-pole-40-amps-24-coil-voltage")</f>
        <v>https://edmondsonsupply.com/products/packard-c140a-contactor-1-pole-40-amps-24-coil-voltage</v>
      </c>
      <c r="C1023" t="s">
        <v>2339</v>
      </c>
      <c r="D1023" t="s">
        <v>2647</v>
      </c>
      <c r="E1023" s="3" t="str">
        <f>HYPERLINK("https://www.amazon.com/Goodman-Packard-Replacement-Contactor-C140A/dp/B00S8IZAR4/ref=sr_1_2?keywords=Packard+C140A+Contactor+1+Pole+40+AMPS+24+Coil+Voltage&amp;qid=1695173362&amp;sr=8-2", "https://www.amazon.com/Goodman-Packard-Replacement-Contactor-C140A/dp/B00S8IZAR4/ref=sr_1_2?keywords=Packard+C140A+Contactor+1+Pole+40+AMPS+24+Coil+Voltage&amp;qid=1695173362&amp;sr=8-2")</f>
        <v>https://www.amazon.com/Goodman-Packard-Replacement-Contactor-C140A/dp/B00S8IZAR4/ref=sr_1_2?keywords=Packard+C140A+Contactor+1+Pole+40+AMPS+24+Coil+Voltage&amp;qid=1695173362&amp;sr=8-2</v>
      </c>
      <c r="F1023" t="s">
        <v>2648</v>
      </c>
      <c r="G1023" t="e">
        <f ca="1">_xludf.IMAGE("https://edmondsonsupply.com/cdn/shop/products/C140A-1.jpg?v=1587147314")</f>
        <v>#NAME?</v>
      </c>
      <c r="H1023" t="e">
        <f ca="1">_xludf.IMAGE("https://m.media-amazon.com/images/I/51q4ngffe+L._AC_UY218_.jpg")</f>
        <v>#NAME?</v>
      </c>
      <c r="I1023" t="s">
        <v>2342</v>
      </c>
      <c r="J1023">
        <v>18.100000000000001</v>
      </c>
      <c r="K1023" s="4">
        <v>0.81359999999999999</v>
      </c>
      <c r="L1023">
        <v>4</v>
      </c>
      <c r="M1023">
        <v>14</v>
      </c>
      <c r="O1023" t="s">
        <v>25</v>
      </c>
      <c r="P1023" t="s">
        <v>138</v>
      </c>
      <c r="Q1023" t="s">
        <v>2343</v>
      </c>
    </row>
    <row r="1024" spans="1:17" ht="15.5" x14ac:dyDescent="0.35">
      <c r="A1024" s="3" t="str">
        <f>HYPERLINK("https://edmondsonsupply.com/collections/hvac/products/malco-tools-mshlc1-2-5-8-c-rhex-cleanable-reversible-magnetic-hex-driver-5-16-3-8", "https://edmondsonsupply.com/collections/hvac/products/malco-tools-mshlc1-2-5-8-c-rhex-cleanable-reversible-magnetic-hex-driver-5-16-3-8")</f>
        <v>https://edmondsonsupply.com/collections/hvac/products/malco-tools-mshlc1-2-5-8-c-rhex-cleanable-reversible-magnetic-hex-driver-5-16-3-8</v>
      </c>
      <c r="B1024" s="3" t="str">
        <f>HYPERLINK("https://edmondsonsupply.com/products/malco-tools-mshlc1-2-5-8-c-rhex-cleanable-reversible-magnetic-hex-driver-5-16-3-8", "https://edmondsonsupply.com/products/malco-tools-mshlc1-2-5-8-c-rhex-cleanable-reversible-magnetic-hex-driver-5-16-3-8")</f>
        <v>https://edmondsonsupply.com/products/malco-tools-mshlc1-2-5-8-c-rhex-cleanable-reversible-magnetic-hex-driver-5-16-3-8</v>
      </c>
      <c r="C1024" t="s">
        <v>2649</v>
      </c>
      <c r="D1024" t="s">
        <v>2650</v>
      </c>
      <c r="E1024" s="3" t="str">
        <f>HYPERLINK("https://www.amazon.com/C-RHEX-Cleanable-Reversible-Magnetic-Driver/dp/B09RPKFRDN/ref=sr_1_9?keywords=Malco+Tools+MSHLC1+2-5%2F8%22+C-Rhex+Cleanable%2C+Reversible+Magnetic+Hex+Driver%2C+5%2F16%22+%26+3%2F8%22&amp;qid=1695173553&amp;sr=8-9", "https://www.amazon.com/C-RHEX-Cleanable-Reversible-Magnetic-Driver/dp/B09RPKFRDN/ref=sr_1_9?keywords=Malco+Tools+MSHLC1+2-5%2F8%22+C-Rhex+Cleanable%2C+Reversible+Magnetic+Hex+Driver%2C+5%2F16%22+%26+3%2F8%22&amp;qid=1695173553&amp;sr=8-9")</f>
        <v>https://www.amazon.com/C-RHEX-Cleanable-Reversible-Magnetic-Driver/dp/B09RPKFRDN/ref=sr_1_9?keywords=Malco+Tools+MSHLC1+2-5%2F8%22+C-Rhex+Cleanable%2C+Reversible+Magnetic+Hex+Driver%2C+5%2F16%22+%26+3%2F8%22&amp;qid=1695173553&amp;sr=8-9</v>
      </c>
      <c r="F1024" t="s">
        <v>2651</v>
      </c>
      <c r="G1024" t="e">
        <f ca="1">_xludf.IMAGE("https://edmondsonsupply.com/cdn/shop/products/Malco-MSHLC1-516-38-1.jpg?v=1647198201")</f>
        <v>#NAME?</v>
      </c>
      <c r="H1024" t="e">
        <f ca="1">_xludf.IMAGE("https://m.media-amazon.com/images/I/31qo9UYAsJL._AC_UL320_.jpg")</f>
        <v>#NAME?</v>
      </c>
      <c r="I1024" t="s">
        <v>924</v>
      </c>
      <c r="J1024">
        <v>16.25</v>
      </c>
      <c r="K1024" s="4">
        <v>0.80759999999999998</v>
      </c>
      <c r="L1024">
        <v>5</v>
      </c>
      <c r="M1024">
        <v>1</v>
      </c>
      <c r="O1024" t="s">
        <v>25</v>
      </c>
      <c r="P1024" t="s">
        <v>2609</v>
      </c>
      <c r="Q1024" t="s">
        <v>2652</v>
      </c>
    </row>
    <row r="1025" spans="1:17" ht="15.5" x14ac:dyDescent="0.35">
      <c r="A1025" s="3" t="str">
        <f>HYPERLINK("https://edmondsonsupply.com/collections/hvac/products/icm-controls-icm280-lf-icm-furnace-board-goodman-oem-replacement-board", "https://edmondsonsupply.com/collections/hvac/products/icm-controls-icm280-lf-icm-furnace-board-goodman-oem-replacement-board")</f>
        <v>https://edmondsonsupply.com/collections/hvac/products/icm-controls-icm280-lf-icm-furnace-board-goodman-oem-replacement-board</v>
      </c>
      <c r="B1025" s="3" t="str">
        <f>HYPERLINK("https://edmondsonsupply.com/products/icm-controls-icm280-lf-icm-furnace-board-goodman-oem-replacement-board", "https://edmondsonsupply.com/products/icm-controls-icm280-lf-icm-furnace-board-goodman-oem-replacement-board")</f>
        <v>https://edmondsonsupply.com/products/icm-controls-icm280-lf-icm-furnace-board-goodman-oem-replacement-board</v>
      </c>
      <c r="C1025" t="s">
        <v>2653</v>
      </c>
      <c r="D1025" t="s">
        <v>2654</v>
      </c>
      <c r="E1025" s="3" t="str">
        <f>HYPERLINK("https://www.amazon.com/ICM-Controls-ICM2807-Replacement-325879-751/dp/B00QW2MQ5C/ref=sr_1_10?keywords=ICM+Controls+ICM280+Furnace+Board&amp;qid=1695173597&amp;sr=8-10", "https://www.amazon.com/ICM-Controls-ICM2807-Replacement-325879-751/dp/B00QW2MQ5C/ref=sr_1_10?keywords=ICM+Controls+ICM280+Furnace+Board&amp;qid=1695173597&amp;sr=8-10")</f>
        <v>https://www.amazon.com/ICM-Controls-ICM2807-Replacement-325879-751/dp/B00QW2MQ5C/ref=sr_1_10?keywords=ICM+Controls+ICM280+Furnace+Board&amp;qid=1695173597&amp;sr=8-10</v>
      </c>
      <c r="F1025" t="s">
        <v>2655</v>
      </c>
      <c r="G1025" t="e">
        <f ca="1">_xludf.IMAGE("https://edmondsonsupply.com/cdn/shop/products/ICM280.png?v=1664296085")</f>
        <v>#NAME?</v>
      </c>
      <c r="H1025" t="e">
        <f ca="1">_xludf.IMAGE("https://m.media-amazon.com/images/I/91LElyDgdnL._AC_UL320_.jpg")</f>
        <v>#NAME?</v>
      </c>
      <c r="I1025" t="s">
        <v>2656</v>
      </c>
      <c r="J1025">
        <v>164.5</v>
      </c>
      <c r="K1025" s="4">
        <v>0.80189999999999995</v>
      </c>
      <c r="L1025">
        <v>4.4000000000000004</v>
      </c>
      <c r="M1025">
        <v>32</v>
      </c>
      <c r="O1025" t="s">
        <v>25</v>
      </c>
      <c r="P1025" t="s">
        <v>2657</v>
      </c>
      <c r="Q1025" t="s">
        <v>2658</v>
      </c>
    </row>
    <row r="1026" spans="1:17" ht="15.5" x14ac:dyDescent="0.35">
      <c r="A1026" s="3" t="str">
        <f>HYPERLINK("https://edmondsonsupply.com/collections/hvac/products/klein-tools-70550-pro-folding-hex-key-set-11-fractional-inch-sized-keys", "https://edmondsonsupply.com/collections/hvac/products/klein-tools-70550-pro-folding-hex-key-set-11-fractional-inch-sized-keys")</f>
        <v>https://edmondsonsupply.com/collections/hvac/products/klein-tools-70550-pro-folding-hex-key-set-11-fractional-inch-sized-keys</v>
      </c>
      <c r="B1026"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1026" t="s">
        <v>2659</v>
      </c>
      <c r="D1026" t="s">
        <v>2660</v>
      </c>
      <c r="E1026" s="3" t="str">
        <f>HYPERLINK("https://www.amazon.com/Klein-Tools-Ratchet-5-Piece-Phillips/dp/B0CF2CH27G/ref=sr_1_2?keywords=Klein+Tools+70550+Pro+Folding+Hex+Key+Set%2C+11-Key%2C+SAE+Sizes&amp;qid=1695173667&amp;sr=8-2", "https://www.amazon.com/Klein-Tools-Ratchet-5-Piece-Phillips/dp/B0CF2CH27G/ref=sr_1_2?keywords=Klein+Tools+70550+Pro+Folding+Hex+Key+Set%2C+11-Key%2C+SAE+Sizes&amp;qid=1695173667&amp;sr=8-2")</f>
        <v>https://www.amazon.com/Klein-Tools-Ratchet-5-Piece-Phillips/dp/B0CF2CH27G/ref=sr_1_2?keywords=Klein+Tools+70550+Pro+Folding+Hex+Key+Set%2C+11-Key%2C+SAE+Sizes&amp;qid=1695173667&amp;sr=8-2</v>
      </c>
      <c r="F1026" t="s">
        <v>2661</v>
      </c>
      <c r="G1026" t="e">
        <f ca="1">_xludf.IMAGE("https://edmondsonsupply.com/cdn/shop/products/70550.jpg?v=1587145237")</f>
        <v>#NAME?</v>
      </c>
      <c r="H1026" t="e">
        <f ca="1">_xludf.IMAGE("https://m.media-amazon.com/images/I/51I-40ka6EL._AC_UL320_.jpg")</f>
        <v>#NAME?</v>
      </c>
      <c r="I1026" t="s">
        <v>893</v>
      </c>
      <c r="J1026">
        <v>35.93</v>
      </c>
      <c r="K1026" s="4">
        <v>0.79920000000000002</v>
      </c>
      <c r="L1026">
        <v>4.7</v>
      </c>
      <c r="M1026">
        <v>3970</v>
      </c>
      <c r="O1026" t="s">
        <v>25</v>
      </c>
      <c r="P1026" t="s">
        <v>2662</v>
      </c>
      <c r="Q1026" t="s">
        <v>2663</v>
      </c>
    </row>
    <row r="1027" spans="1:17" ht="15.5" x14ac:dyDescent="0.35">
      <c r="A1027" s="3" t="str">
        <f>HYPERLINK("https://edmondsonsupply.com/collections/hvac/products/refrigeration-technologies-rt375a-viper-aerosol-foaming-coil-cleaner", "https://edmondsonsupply.com/collections/hvac/products/refrigeration-technologies-rt375a-viper-aerosol-foaming-coil-cleaner")</f>
        <v>https://edmondsonsupply.com/collections/hvac/products/refrigeration-technologies-rt375a-viper-aerosol-foaming-coil-cleaner</v>
      </c>
      <c r="B1027" s="3" t="str">
        <f>HYPERLINK("https://edmondsonsupply.com/products/refrigeration-technologies-rt375a-viper-aerosol-foaming-coil-cleaner", "https://edmondsonsupply.com/products/refrigeration-technologies-rt375a-viper-aerosol-foaming-coil-cleaner")</f>
        <v>https://edmondsonsupply.com/products/refrigeration-technologies-rt375a-viper-aerosol-foaming-coil-cleaner</v>
      </c>
      <c r="C1027" t="s">
        <v>2664</v>
      </c>
      <c r="D1027" t="s">
        <v>2665</v>
      </c>
      <c r="E1027" s="3" t="str">
        <f>HYPERLINK("https://www.amazon.com/Refrigeration-Technologies-RT375A-VIPER-AEROSOL/dp/B008HOSR9W/ref=sr_1_2?keywords=Refrigeration+Technologies+RT375A+Viper+Aerosol+Foaming+Coil+Cleaner&amp;qid=1695173329&amp;sr=8-2", "https://www.amazon.com/Refrigeration-Technologies-RT375A-VIPER-AEROSOL/dp/B008HOSR9W/ref=sr_1_2?keywords=Refrigeration+Technologies+RT375A+Viper+Aerosol+Foaming+Coil+Cleaner&amp;qid=1695173329&amp;sr=8-2")</f>
        <v>https://www.amazon.com/Refrigeration-Technologies-RT375A-VIPER-AEROSOL/dp/B008HOSR9W/ref=sr_1_2?keywords=Refrigeration+Technologies+RT375A+Viper+Aerosol+Foaming+Coil+Cleaner&amp;qid=1695173329&amp;sr=8-2</v>
      </c>
      <c r="F1027" t="s">
        <v>2666</v>
      </c>
      <c r="G1027" t="e">
        <f ca="1">_xludf.IMAGE("https://edmondsonsupply.com/cdn/shop/products/Viper_Aerosol_Reflection-o17r8mukbuad3cksp9inhu09n67txxt340x6dk69z4.jpg?v=1633030253")</f>
        <v>#NAME?</v>
      </c>
      <c r="H1027" t="e">
        <f ca="1">_xludf.IMAGE("https://m.media-amazon.com/images/I/712DMzfJnWL._AC_UY218_.jpg")</f>
        <v>#NAME?</v>
      </c>
      <c r="I1027" t="s">
        <v>2667</v>
      </c>
      <c r="J1027">
        <v>17.59</v>
      </c>
      <c r="K1027" s="4">
        <v>0.79669999999999996</v>
      </c>
      <c r="L1027">
        <v>4.4000000000000004</v>
      </c>
      <c r="M1027">
        <v>117</v>
      </c>
      <c r="O1027" t="s">
        <v>25</v>
      </c>
      <c r="P1027" t="s">
        <v>2668</v>
      </c>
      <c r="Q1027" t="s">
        <v>2669</v>
      </c>
    </row>
    <row r="1028" spans="1:17" ht="15.5" x14ac:dyDescent="0.35">
      <c r="A1028"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1028" s="3" t="str">
        <f>HYPERLINK("https://edmondsonsupply.com/products/packard-prmj145a-motor-start-capacitor-145-174-mfd", "https://edmondsonsupply.com/products/packard-prmj145a-motor-start-capacitor-145-174-mfd")</f>
        <v>https://edmondsonsupply.com/products/packard-prmj145a-motor-start-capacitor-145-174-mfd</v>
      </c>
      <c r="C1028" t="s">
        <v>2227</v>
      </c>
      <c r="D1028" t="s">
        <v>2670</v>
      </c>
      <c r="E1028" s="3" t="str">
        <f>HYPERLINK("https://www.amazon.com/PMJ145-Packard-Upgraded-Replacement-Capacitor/dp/B0773SSCWS/ref=sr_1_3?keywords=Packard+PRMJ145A+Motor+Start+Capacitor+145-174+MFD&amp;qid=1695173645&amp;sr=8-3", "https://www.amazon.com/PMJ145-Packard-Upgraded-Replacement-Capacitor/dp/B0773SSCWS/ref=sr_1_3?keywords=Packard+PRMJ145A+Motor+Start+Capacitor+145-174+MFD&amp;qid=1695173645&amp;sr=8-3")</f>
        <v>https://www.amazon.com/PMJ145-Packard-Upgraded-Replacement-Capacitor/dp/B0773SSCWS/ref=sr_1_3?keywords=Packard+PRMJ145A+Motor+Start+Capacitor+145-174+MFD&amp;qid=1695173645&amp;sr=8-3</v>
      </c>
      <c r="F1028" t="s">
        <v>2671</v>
      </c>
      <c r="G1028" t="e">
        <f ca="1">_xludf.IMAGE("https://edmondsonsupply.com/cdn/shop/products/PRMJ145A-2.jpg?v=1633030335")</f>
        <v>#NAME?</v>
      </c>
      <c r="H1028" t="e">
        <f ca="1">_xludf.IMAGE("https://m.media-amazon.com/images/I/5199TvfrdTL._AC_UY218_.jpg")</f>
        <v>#NAME?</v>
      </c>
      <c r="I1028" t="s">
        <v>2230</v>
      </c>
      <c r="J1028">
        <v>13.49</v>
      </c>
      <c r="K1028" s="4">
        <v>0.79630000000000001</v>
      </c>
      <c r="L1028">
        <v>5</v>
      </c>
      <c r="M1028">
        <v>2</v>
      </c>
      <c r="O1028" t="s">
        <v>25</v>
      </c>
      <c r="P1028" t="s">
        <v>138</v>
      </c>
      <c r="Q1028" t="s">
        <v>2231</v>
      </c>
    </row>
    <row r="1029" spans="1:17" ht="15.5" x14ac:dyDescent="0.35">
      <c r="A1029" s="3" t="str">
        <f>HYPERLINK("https://edmondsonsupply.com/collections/hvac/products/packard-trcfd455-titan-pro-run-capacitor-45-5-mfd-440-370-volt-round", "https://edmondsonsupply.com/collections/hvac/products/packard-trcfd455-titan-pro-run-capacitor-45-5-mfd-440-370-volt-round")</f>
        <v>https://edmondsonsupply.com/collections/hvac/products/packard-trcfd455-titan-pro-run-capacitor-45-5-mfd-440-370-volt-round</v>
      </c>
      <c r="B1029" s="3" t="str">
        <f>HYPERLINK("https://edmondsonsupply.com/products/packard-trcfd455-titan-pro-run-capacitor-45-5-mfd-440-370-volt-round", "https://edmondsonsupply.com/products/packard-trcfd455-titan-pro-run-capacitor-45-5-mfd-440-370-volt-round")</f>
        <v>https://edmondsonsupply.com/products/packard-trcfd455-titan-pro-run-capacitor-45-5-mfd-440-370-volt-round</v>
      </c>
      <c r="C1029" t="s">
        <v>2069</v>
      </c>
      <c r="D1029" t="s">
        <v>2672</v>
      </c>
      <c r="E1029" s="3" t="str">
        <f>HYPERLINK("https://www.amazon.com/Titan-TRCFD455-Rated-Motor-Capacitor/dp/B01IC31EW4/ref=sr_1_2?keywords=Packard+TRCFD455+Titan+PRO+Run+Capacitor+45+5+MFD+440%2F370+Volt+Round&amp;qid=1695173400&amp;sr=8-2", "https://www.amazon.com/Titan-TRCFD455-Rated-Motor-Capacitor/dp/B01IC31EW4/ref=sr_1_2?keywords=Packard+TRCFD455+Titan+PRO+Run+Capacitor+45+5+MFD+440%2F370+Volt+Round&amp;qid=1695173400&amp;sr=8-2")</f>
        <v>https://www.amazon.com/Titan-TRCFD455-Rated-Motor-Capacitor/dp/B01IC31EW4/ref=sr_1_2?keywords=Packard+TRCFD455+Titan+PRO+Run+Capacitor+45+5+MFD+440%2F370+Volt+Round&amp;qid=1695173400&amp;sr=8-2</v>
      </c>
      <c r="F1029" t="s">
        <v>2673</v>
      </c>
      <c r="G1029" t="e">
        <f ca="1">_xludf.IMAGE("https://edmondsonsupply.com/cdn/shop/products/TRCFD455-2.jpg?v=1587147298")</f>
        <v>#NAME?</v>
      </c>
      <c r="H1029" t="e">
        <f ca="1">_xludf.IMAGE("https://m.media-amazon.com/images/I/41PR+nyKvsL._AC_UY218_.jpg")</f>
        <v>#NAME?</v>
      </c>
      <c r="I1029" t="s">
        <v>924</v>
      </c>
      <c r="J1029">
        <v>16.13</v>
      </c>
      <c r="K1029" s="4">
        <v>0.79420000000000002</v>
      </c>
      <c r="L1029">
        <v>4.2</v>
      </c>
      <c r="M1029">
        <v>39</v>
      </c>
      <c r="O1029" t="s">
        <v>171</v>
      </c>
      <c r="P1029" t="s">
        <v>138</v>
      </c>
      <c r="Q1029" t="s">
        <v>2072</v>
      </c>
    </row>
    <row r="1030" spans="1:17" ht="15.5" x14ac:dyDescent="0.35">
      <c r="A1030" s="3" t="str">
        <f>HYPERLINK("https://edmondsonsupply.com/collections/hvac/products/fieldpiece-anc4-medium-single-meter-case", "https://edmondsonsupply.com/collections/hvac/products/fieldpiece-anc4-medium-single-meter-case")</f>
        <v>https://edmondsonsupply.com/collections/hvac/products/fieldpiece-anc4-medium-single-meter-case</v>
      </c>
      <c r="B1030" s="3" t="str">
        <f>HYPERLINK("https://edmondsonsupply.com/products/fieldpiece-anc4-medium-single-meter-case", "https://edmondsonsupply.com/products/fieldpiece-anc4-medium-single-meter-case")</f>
        <v>https://edmondsonsupply.com/products/fieldpiece-anc4-medium-single-meter-case</v>
      </c>
      <c r="C1030" t="s">
        <v>347</v>
      </c>
      <c r="D1030" t="s">
        <v>373</v>
      </c>
      <c r="E1030" s="3" t="str">
        <f>HYPERLINK("https://www.amazon.com/Fieldpiece-ANC4-Medium-Single-Meter/dp/B000TJX68U/ref=sr_1_1?keywords=Fieldpiece+ANC4+-+Medium+Single+Meter+Case&amp;qid=1695173627&amp;sr=8-1", "https://www.amazon.com/Fieldpiece-ANC4-Medium-Single-Meter/dp/B000TJX68U/ref=sr_1_1?keywords=Fieldpiece+ANC4+-+Medium+Single+Meter+Case&amp;qid=1695173627&amp;sr=8-1")</f>
        <v>https://www.amazon.com/Fieldpiece-ANC4-Medium-Single-Meter/dp/B000TJX68U/ref=sr_1_1?keywords=Fieldpiece+ANC4+-+Medium+Single+Meter+Case&amp;qid=1695173627&amp;sr=8-1</v>
      </c>
      <c r="F1030" t="s">
        <v>374</v>
      </c>
      <c r="G1030" t="e">
        <f ca="1">_xludf.IMAGE("https://edmondsonsupply.com/cdn/shop/products/ANC4-SRC-product-300dpi.jpg?v=1633030970")</f>
        <v>#NAME?</v>
      </c>
      <c r="H1030" t="e">
        <f ca="1">_xludf.IMAGE("https://m.media-amazon.com/images/I/41zQTaZ+QEL._AC_UL320_.jpg")</f>
        <v>#NAME?</v>
      </c>
      <c r="I1030" t="s">
        <v>350</v>
      </c>
      <c r="J1030">
        <v>18.29</v>
      </c>
      <c r="K1030" s="4">
        <v>0.79310000000000003</v>
      </c>
      <c r="L1030">
        <v>4.4000000000000004</v>
      </c>
      <c r="M1030">
        <v>45</v>
      </c>
      <c r="O1030" t="s">
        <v>25</v>
      </c>
      <c r="P1030" t="s">
        <v>351</v>
      </c>
      <c r="Q1030" t="s">
        <v>352</v>
      </c>
    </row>
    <row r="1031" spans="1:17" ht="15.5" x14ac:dyDescent="0.35">
      <c r="A1031" s="3" t="str">
        <f>HYPERLINK("https://edmondsonsupply.com/collections/hvac/products/klein-tools-32304-14-in-1-hvac-adjustable-length-impact-screwdriver-with-flip-socket", "https://edmondsonsupply.com/collections/hvac/products/klein-tools-32304-14-in-1-hvac-adjustable-length-impact-screwdriver-with-flip-socket")</f>
        <v>https://edmondsonsupply.com/collections/hvac/products/klein-tools-32304-14-in-1-hvac-adjustable-length-impact-screwdriver-with-flip-socket</v>
      </c>
      <c r="B1031"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1031" t="s">
        <v>2115</v>
      </c>
      <c r="D1031" t="s">
        <v>2674</v>
      </c>
      <c r="E1031" s="3" t="str">
        <f>HYPERLINK("https://www.amazon.com/Adjustable-Screwdriver-Drivers-Klein-Tools/dp/B09Y84RPSB/ref=sr_1_4?keywords=Klein+Tools+32304+14-in-1+HVAC+Adjustable-Length+Impact+Screwdriver+with+Flip+Socket&amp;qid=1695173459&amp;sr=8-4", "https://www.amazon.com/Adjustable-Screwdriver-Drivers-Klein-Tools/dp/B09Y84RPSB/ref=sr_1_4?keywords=Klein+Tools+32304+14-in-1+HVAC+Adjustable-Length+Impact+Screwdriver+with+Flip+Socket&amp;qid=1695173459&amp;sr=8-4")</f>
        <v>https://www.amazon.com/Adjustable-Screwdriver-Drivers-Klein-Tools/dp/B09Y84RPSB/ref=sr_1_4?keywords=Klein+Tools+32304+14-in-1+HVAC+Adjustable-Length+Impact+Screwdriver+with+Flip+Socket&amp;qid=1695173459&amp;sr=8-4</v>
      </c>
      <c r="F1031" t="s">
        <v>2675</v>
      </c>
      <c r="G1031" t="e">
        <f ca="1">_xludf.IMAGE("https://edmondsonsupply.com/cdn/shop/products/32304.jpg?v=1666019479")</f>
        <v>#NAME?</v>
      </c>
      <c r="H1031" t="e">
        <f ca="1">_xludf.IMAGE("https://m.media-amazon.com/images/I/41KTNungRUL._AC_UL320_.jpg")</f>
        <v>#NAME?</v>
      </c>
      <c r="I1031" t="s">
        <v>859</v>
      </c>
      <c r="J1031">
        <v>44.76</v>
      </c>
      <c r="K1031" s="4">
        <v>0.79259999999999997</v>
      </c>
      <c r="L1031">
        <v>4.8</v>
      </c>
      <c r="M1031">
        <v>88</v>
      </c>
      <c r="O1031" t="s">
        <v>25</v>
      </c>
      <c r="P1031" t="s">
        <v>602</v>
      </c>
      <c r="Q1031" t="s">
        <v>2118</v>
      </c>
    </row>
    <row r="1032" spans="1:17" ht="15.5" x14ac:dyDescent="0.35">
      <c r="A1032" s="3" t="str">
        <f>HYPERLINK("https://edmondsonsupply.com/collections/hvac/products/diversitech-cp-22-condensate-pump-22ft-lift-120v", "https://edmondsonsupply.com/collections/hvac/products/diversitech-cp-22-condensate-pump-22ft-lift-120v")</f>
        <v>https://edmondsonsupply.com/collections/hvac/products/diversitech-cp-22-condensate-pump-22ft-lift-120v</v>
      </c>
      <c r="B1032" s="3" t="str">
        <f>HYPERLINK("https://edmondsonsupply.com/products/diversitech-cp-22-condensate-pump-22ft-lift-120v", "https://edmondsonsupply.com/products/diversitech-cp-22-condensate-pump-22ft-lift-120v")</f>
        <v>https://edmondsonsupply.com/products/diversitech-cp-22-condensate-pump-22ft-lift-120v</v>
      </c>
      <c r="C1032" t="s">
        <v>2676</v>
      </c>
      <c r="D1032" t="s">
        <v>2677</v>
      </c>
      <c r="E1032" s="3" t="str">
        <f>HYPERLINK("https://www.amazon.com/DiversiTech-CP-22T-Condensate-Pump-Lift/dp/B008FM1PVI/ref=sr_1_3?keywords=DiversiTech+Asurity%E2%84%A2+CP-22+Condensate+Pump%2C+22ft.+Lift%2C+120V&amp;qid=1695173452&amp;sr=8-3", "https://www.amazon.com/DiversiTech-CP-22T-Condensate-Pump-Lift/dp/B008FM1PVI/ref=sr_1_3?keywords=DiversiTech+Asurity%E2%84%A2+CP-22+Condensate+Pump%2C+22ft.+Lift%2C+120V&amp;qid=1695173452&amp;sr=8-3")</f>
        <v>https://www.amazon.com/DiversiTech-CP-22T-Condensate-Pump-Lift/dp/B008FM1PVI/ref=sr_1_3?keywords=DiversiTech+Asurity%E2%84%A2+CP-22+Condensate+Pump%2C+22ft.+Lift%2C+120V&amp;qid=1695173452&amp;sr=8-3</v>
      </c>
      <c r="F1032" t="s">
        <v>2678</v>
      </c>
      <c r="G1032" t="e">
        <f ca="1">_xludf.IMAGE("https://edmondsonsupply.com/cdn/shop/products/60d0d7fbd5566503101164.jpg?v=1633030352")</f>
        <v>#NAME?</v>
      </c>
      <c r="H1032" t="e">
        <f ca="1">_xludf.IMAGE("https://m.media-amazon.com/images/I/41xuB3fIDsL._AC_UL320_.jpg")</f>
        <v>#NAME?</v>
      </c>
      <c r="I1032" t="s">
        <v>2679</v>
      </c>
      <c r="J1032">
        <v>97.57</v>
      </c>
      <c r="K1032" s="4">
        <v>0.78900000000000003</v>
      </c>
      <c r="L1032">
        <v>4.5999999999999996</v>
      </c>
      <c r="M1032">
        <v>49</v>
      </c>
      <c r="O1032" t="s">
        <v>25</v>
      </c>
      <c r="P1032" t="s">
        <v>2680</v>
      </c>
      <c r="Q1032" t="s">
        <v>2681</v>
      </c>
    </row>
    <row r="1033" spans="1:17" ht="15.5" x14ac:dyDescent="0.35">
      <c r="A1033" s="3" t="str">
        <f>HYPERLINK("https://edmondsonsupply.com/collections/hvac/products/packard-prmj88-motor-start-capacitor-88-108-mfd-330-volt", "https://edmondsonsupply.com/collections/hvac/products/packard-prmj88-motor-start-capacitor-88-108-mfd-330-volt")</f>
        <v>https://edmondsonsupply.com/collections/hvac/products/packard-prmj88-motor-start-capacitor-88-108-mfd-330-volt</v>
      </c>
      <c r="B1033" s="3" t="str">
        <f>HYPERLINK("https://edmondsonsupply.com/products/packard-prmj88-motor-start-capacitor-88-108-mfd-330-volt", "https://edmondsonsupply.com/products/packard-prmj88-motor-start-capacitor-88-108-mfd-330-volt")</f>
        <v>https://edmondsonsupply.com/products/packard-prmj88-motor-start-capacitor-88-108-mfd-330-volt</v>
      </c>
      <c r="C1033" t="s">
        <v>1992</v>
      </c>
      <c r="D1033" t="s">
        <v>2682</v>
      </c>
      <c r="E1033" s="3" t="str">
        <f>HYPERLINK("https://www.amazon.com/PACKARD-CAPACITOR-PRMJ88-88-108-330VAC/dp/B004GCARCO/ref=sr_1_1?keywords=Packard+PRMJ88+Motor+Start+Capacitor+88-108+MFD+330+Volt&amp;qid=1695173645&amp;sr=8-1", "https://www.amazon.com/PACKARD-CAPACITOR-PRMJ88-88-108-330VAC/dp/B004GCARCO/ref=sr_1_1?keywords=Packard+PRMJ88+Motor+Start+Capacitor+88-108+MFD+330+Volt&amp;qid=1695173645&amp;sr=8-1")</f>
        <v>https://www.amazon.com/PACKARD-CAPACITOR-PRMJ88-88-108-330VAC/dp/B004GCARCO/ref=sr_1_1?keywords=Packard+PRMJ88+Motor+Start+Capacitor+88-108+MFD+330+Volt&amp;qid=1695173645&amp;sr=8-1</v>
      </c>
      <c r="F1033" t="s">
        <v>2683</v>
      </c>
      <c r="G1033" t="e">
        <f ca="1">_xludf.IMAGE("https://edmondsonsupply.com/cdn/shop/products/PRMJ88-2.jpg?v=1633030394")</f>
        <v>#NAME?</v>
      </c>
      <c r="H1033" t="e">
        <f ca="1">_xludf.IMAGE("https://m.media-amazon.com/images/I/41k5rZblOYL._AC_UY218_.jpg")</f>
        <v>#NAME?</v>
      </c>
      <c r="I1033" t="s">
        <v>1995</v>
      </c>
      <c r="J1033">
        <v>10</v>
      </c>
      <c r="K1033" s="4">
        <v>0.78890000000000005</v>
      </c>
      <c r="L1033">
        <v>4.5999999999999996</v>
      </c>
      <c r="M1033">
        <v>92</v>
      </c>
      <c r="O1033" t="s">
        <v>25</v>
      </c>
      <c r="P1033" t="s">
        <v>138</v>
      </c>
      <c r="Q1033" t="s">
        <v>1996</v>
      </c>
    </row>
    <row r="1034" spans="1:17" ht="15.5" x14ac:dyDescent="0.35">
      <c r="A1034" s="3" t="str">
        <f>HYPERLINK("https://edmondsonsupply.com/collections/hvac/products/white-rodgers-24a34-2-24v-electric-heat-sequencer-spst", "https://edmondsonsupply.com/collections/hvac/products/white-rodgers-24a34-2-24v-electric-heat-sequencer-spst")</f>
        <v>https://edmondsonsupply.com/collections/hvac/products/white-rodgers-24a34-2-24v-electric-heat-sequencer-spst</v>
      </c>
      <c r="B1034" s="3" t="str">
        <f>HYPERLINK("https://edmondsonsupply.com/products/white-rodgers-24a34-2-24v-electric-heat-sequencer-spst", "https://edmondsonsupply.com/products/white-rodgers-24a34-2-24v-electric-heat-sequencer-spst")</f>
        <v>https://edmondsonsupply.com/products/white-rodgers-24a34-2-24v-electric-heat-sequencer-spst</v>
      </c>
      <c r="C1034" t="s">
        <v>2561</v>
      </c>
      <c r="D1034" t="s">
        <v>2684</v>
      </c>
      <c r="E1034" s="3" t="str">
        <f>HYPERLINK("https://www.amazon.com/White-Rodgers-24A34-2-Electric-Sequencer/dp/B017RQXXFS/ref=sr_1_2?keywords=White-Rodgers+24A34-2+24V+Electric+Heat+Sequencer%2C+SPST&amp;qid=1695173537&amp;sr=8-2", "https://www.amazon.com/White-Rodgers-24A34-2-Electric-Sequencer/dp/B017RQXXFS/ref=sr_1_2?keywords=White-Rodgers+24A34-2+24V+Electric+Heat+Sequencer%2C+SPST&amp;qid=1695173537&amp;sr=8-2")</f>
        <v>https://www.amazon.com/White-Rodgers-24A34-2-Electric-Sequencer/dp/B017RQXXFS/ref=sr_1_2?keywords=White-Rodgers+24A34-2+24V+Electric+Heat+Sequencer%2C+SPST&amp;qid=1695173537&amp;sr=8-2</v>
      </c>
      <c r="F1034" t="s">
        <v>2685</v>
      </c>
      <c r="G1034" t="e">
        <f ca="1">_xludf.IMAGE("https://edmondsonsupply.com/cdn/shop/products/24A34-2.jpg?v=1633030752")</f>
        <v>#NAME?</v>
      </c>
      <c r="H1034" t="e">
        <f ca="1">_xludf.IMAGE("https://m.media-amazon.com/images/I/41E-ED7x6RL._AC_UY218_.jpg")</f>
        <v>#NAME?</v>
      </c>
      <c r="I1034" t="s">
        <v>2337</v>
      </c>
      <c r="J1034">
        <v>21.43</v>
      </c>
      <c r="K1034" s="4">
        <v>0.7873</v>
      </c>
      <c r="L1034">
        <v>5</v>
      </c>
      <c r="M1034">
        <v>1</v>
      </c>
      <c r="O1034" t="s">
        <v>25</v>
      </c>
      <c r="P1034" t="s">
        <v>2564</v>
      </c>
      <c r="Q1034" t="s">
        <v>2565</v>
      </c>
    </row>
    <row r="1035" spans="1:17" ht="15.5" x14ac:dyDescent="0.35">
      <c r="A1035" s="3" t="str">
        <f>HYPERLINK("https://edmondsonsupply.com/collections/hvac/products/white-rodgers-790-843a1-universal-flame-sensor", "https://edmondsonsupply.com/collections/hvac/products/white-rodgers-790-843a1-universal-flame-sensor")</f>
        <v>https://edmondsonsupply.com/collections/hvac/products/white-rodgers-790-843a1-universal-flame-sensor</v>
      </c>
      <c r="B1035" s="3" t="str">
        <f>HYPERLINK("https://edmondsonsupply.com/products/white-rodgers-790-843a1-universal-flame-sensor", "https://edmondsonsupply.com/products/white-rodgers-790-843a1-universal-flame-sensor")</f>
        <v>https://edmondsonsupply.com/products/white-rodgers-790-843a1-universal-flame-sensor</v>
      </c>
      <c r="C1035" t="s">
        <v>2686</v>
      </c>
      <c r="D1035" t="s">
        <v>2687</v>
      </c>
      <c r="E1035" s="3" t="str">
        <f>HYPERLINK("https://www.amazon.com/Replacement-Rodgers-790-843A1-Furnace-Carrier/dp/B09Y3V5472/ref=sr_1_1?keywords=White+Rodgers+790-843A1+Universal+Flame+Sensor&amp;qid=1695173483&amp;sr=8-1", "https://www.amazon.com/Replacement-Rodgers-790-843A1-Furnace-Carrier/dp/B09Y3V5472/ref=sr_1_1?keywords=White+Rodgers+790-843A1+Universal+Flame+Sensor&amp;qid=1695173483&amp;sr=8-1")</f>
        <v>https://www.amazon.com/Replacement-Rodgers-790-843A1-Furnace-Carrier/dp/B09Y3V5472/ref=sr_1_1?keywords=White+Rodgers+790-843A1+Universal+Flame+Sensor&amp;qid=1695173483&amp;sr=8-1</v>
      </c>
      <c r="F1035" t="s">
        <v>2688</v>
      </c>
      <c r="G1035" t="e">
        <f ca="1">_xludf.IMAGE("https://edmondsonsupply.com/cdn/shop/products/790-flame-sensors-universal.png?v=1633030916")</f>
        <v>#NAME?</v>
      </c>
      <c r="H1035" t="e">
        <f ca="1">_xludf.IMAGE("https://m.media-amazon.com/images/I/51BcLnIqheL._AC_UL320_.jpg")</f>
        <v>#NAME?</v>
      </c>
      <c r="I1035" t="s">
        <v>2689</v>
      </c>
      <c r="J1035">
        <v>29.99</v>
      </c>
      <c r="K1035" s="4">
        <v>0.78510000000000002</v>
      </c>
      <c r="L1035">
        <v>5</v>
      </c>
      <c r="M1035">
        <v>1</v>
      </c>
      <c r="O1035" t="s">
        <v>25</v>
      </c>
      <c r="P1035" t="s">
        <v>2690</v>
      </c>
      <c r="Q1035" t="s">
        <v>2691</v>
      </c>
    </row>
    <row r="1036" spans="1:17" ht="15.5" x14ac:dyDescent="0.35">
      <c r="A1036" s="3" t="str">
        <f>HYPERLINK("https://edmondsonsupply.com/collections/hvac/products/white-rodgers-50a55-843-integrated-furnace-control-board-universal-replacement", "https://edmondsonsupply.com/collections/hvac/products/white-rodgers-50a55-843-integrated-furnace-control-board-universal-replacement")</f>
        <v>https://edmondsonsupply.com/collections/hvac/products/white-rodgers-50a55-843-integrated-furnace-control-board-universal-replacement</v>
      </c>
      <c r="B1036" s="3" t="str">
        <f>HYPERLINK("https://edmondsonsupply.com/products/white-rodgers-50a55-843-integrated-furnace-control-board-universal-replacement", "https://edmondsonsupply.com/products/white-rodgers-50a55-843-integrated-furnace-control-board-universal-replacement")</f>
        <v>https://edmondsonsupply.com/products/white-rodgers-50a55-843-integrated-furnace-control-board-universal-replacement</v>
      </c>
      <c r="C1036" t="s">
        <v>2692</v>
      </c>
      <c r="D1036" t="s">
        <v>2693</v>
      </c>
      <c r="E1036" s="3" t="str">
        <f>HYPERLINK("https://www.amazon.com/White-Rodgers-21V51U-843-Universal-Circulator-Replacement/dp/B008FVEJVW/ref=sr_1_3?keywords=White-Rodgers+50A55-843+Integrated+Furnace+Control+Board%2C+Universal+Replacement&amp;qid=1695173406&amp;sr=8-3", "https://www.amazon.com/White-Rodgers-21V51U-843-Universal-Circulator-Replacement/dp/B008FVEJVW/ref=sr_1_3?keywords=White-Rodgers+50A55-843+Integrated+Furnace+Control+Board%2C+Universal+Replacement&amp;qid=1695173406&amp;sr=8-3")</f>
        <v>https://www.amazon.com/White-Rodgers-21V51U-843-Universal-Circulator-Replacement/dp/B008FVEJVW/ref=sr_1_3?keywords=White-Rodgers+50A55-843+Integrated+Furnace+Control+Board%2C+Universal+Replacement&amp;qid=1695173406&amp;sr=8-3</v>
      </c>
      <c r="F1036" t="s">
        <v>2694</v>
      </c>
      <c r="G1036" t="e">
        <f ca="1">_xludf.IMAGE("https://edmondsonsupply.com/cdn/shop/products/b-integrated-furnace-controls-universal-replacement-img-2a.jpg?v=1633030661")</f>
        <v>#NAME?</v>
      </c>
      <c r="H1036" t="e">
        <f ca="1">_xludf.IMAGE("https://m.media-amazon.com/images/I/81dVW6SXcmL._AC_UL320_.jpg")</f>
        <v>#NAME?</v>
      </c>
      <c r="I1036" t="s">
        <v>2695</v>
      </c>
      <c r="J1036">
        <v>241.4</v>
      </c>
      <c r="K1036" s="4">
        <v>0.78510000000000002</v>
      </c>
      <c r="L1036">
        <v>5</v>
      </c>
      <c r="M1036">
        <v>2</v>
      </c>
      <c r="O1036" t="s">
        <v>25</v>
      </c>
      <c r="P1036" t="s">
        <v>2696</v>
      </c>
      <c r="Q1036" t="s">
        <v>2697</v>
      </c>
    </row>
    <row r="1037" spans="1:17" ht="15.5" x14ac:dyDescent="0.35">
      <c r="A1037"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1037" s="3" t="str">
        <f>HYPERLINK("https://edmondsonsupply.com/products/packard-prmj270-motor-start-capacitor-270-324-mfd-330-vac", "https://edmondsonsupply.com/products/packard-prmj270-motor-start-capacitor-270-324-mfd-330-vac")</f>
        <v>https://edmondsonsupply.com/products/packard-prmj270-motor-start-capacitor-270-324-mfd-330-vac</v>
      </c>
      <c r="C1037" t="s">
        <v>2452</v>
      </c>
      <c r="D1037" t="s">
        <v>2607</v>
      </c>
      <c r="E1037" s="3" t="str">
        <f>HYPERLINK("https://www.amazon.com/PTMJ270-Packard-Upgraded-Replacement-Capacitor/dp/B0773WQJ2T/ref=sr_1_5?keywords=Packard+PRMJ270+Motor+Start+Capacitor+270-324+MFD+330+VAC&amp;qid=1695173486&amp;sr=8-5", "https://www.amazon.com/PTMJ270-Packard-Upgraded-Replacement-Capacitor/dp/B0773WQJ2T/ref=sr_1_5?keywords=Packard+PRMJ270+Motor+Start+Capacitor+270-324+MFD+330+VAC&amp;qid=1695173486&amp;sr=8-5")</f>
        <v>https://www.amazon.com/PTMJ270-Packard-Upgraded-Replacement-Capacitor/dp/B0773WQJ2T/ref=sr_1_5?keywords=Packard+PRMJ270+Motor+Start+Capacitor+270-324+MFD+330+VAC&amp;qid=1695173486&amp;sr=8-5</v>
      </c>
      <c r="F1037" t="s">
        <v>2608</v>
      </c>
      <c r="G1037" t="e">
        <f ca="1">_xludf.IMAGE("https://edmondsonsupply.com/cdn/shop/products/PRMJ270-2.jpg?v=1633030164")</f>
        <v>#NAME?</v>
      </c>
      <c r="H1037" t="e">
        <f ca="1">_xludf.IMAGE("https://m.media-amazon.com/images/I/41fqQrQgJaL._AC_UY218_.jpg")</f>
        <v>#NAME?</v>
      </c>
      <c r="I1037" t="s">
        <v>2455</v>
      </c>
      <c r="J1037">
        <v>18.489999999999998</v>
      </c>
      <c r="K1037" s="4">
        <v>0.78300000000000003</v>
      </c>
      <c r="L1037">
        <v>4.4000000000000004</v>
      </c>
      <c r="M1037">
        <v>10</v>
      </c>
      <c r="O1037" t="s">
        <v>25</v>
      </c>
      <c r="P1037" t="s">
        <v>138</v>
      </c>
      <c r="Q1037" t="s">
        <v>2456</v>
      </c>
    </row>
    <row r="1038" spans="1:17" ht="15.5" x14ac:dyDescent="0.35">
      <c r="A1038"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038"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038" t="s">
        <v>2155</v>
      </c>
      <c r="D1038" t="s">
        <v>2698</v>
      </c>
      <c r="E1038" s="3" t="str">
        <f>HYPERLINK("https://www.amazon.com/Non-Contact-Receptacle-Klein-Tools-RT250KIT/dp/B08YDFQ2FV/ref=sr_1_3?keywords=Klein+Tools+NCVT1XTKIT+Non-Contact+Voltage+and+GFCI+Receptacle+Premium+Test+Kit&amp;qid=1695173496&amp;sr=8-3", "https://www.amazon.com/Non-Contact-Receptacle-Klein-Tools-RT250KIT/dp/B08YDFQ2FV/ref=sr_1_3?keywords=Klein+Tools+NCVT1XTKIT+Non-Contact+Voltage+and+GFCI+Receptacle+Premium+Test+Kit&amp;qid=1695173496&amp;sr=8-3")</f>
        <v>https://www.amazon.com/Non-Contact-Receptacle-Klein-Tools-RT250KIT/dp/B08YDFQ2FV/ref=sr_1_3?keywords=Klein+Tools+NCVT1XTKIT+Non-Contact+Voltage+and+GFCI+Receptacle+Premium+Test+Kit&amp;qid=1695173496&amp;sr=8-3</v>
      </c>
      <c r="F1038" t="s">
        <v>2699</v>
      </c>
      <c r="G1038" t="e">
        <f ca="1">_xludf.IMAGE("https://edmondsonsupply.com/cdn/shop/products/ncvt1xtkit.jpg?v=1674497102")</f>
        <v>#NAME?</v>
      </c>
      <c r="H1038" t="e">
        <f ca="1">_xludf.IMAGE("https://m.media-amazon.com/images/I/61WaBlkJfxL._AC_UL320_.jpg")</f>
        <v>#NAME?</v>
      </c>
      <c r="I1038" t="s">
        <v>471</v>
      </c>
      <c r="J1038">
        <v>44.54</v>
      </c>
      <c r="K1038" s="4">
        <v>0.7823</v>
      </c>
      <c r="L1038">
        <v>4.8</v>
      </c>
      <c r="M1038">
        <v>1269</v>
      </c>
      <c r="O1038" t="s">
        <v>25</v>
      </c>
      <c r="P1038" t="s">
        <v>2158</v>
      </c>
      <c r="Q1038" t="s">
        <v>2159</v>
      </c>
    </row>
    <row r="1039" spans="1:17" ht="15.5" x14ac:dyDescent="0.35">
      <c r="A1039"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1039" s="3" t="str">
        <f>HYPERLINK("https://edmondsonsupply.com/products/packard-c140a-contactor-1-pole-40-amps-24-coil-voltage", "https://edmondsonsupply.com/products/packard-c140a-contactor-1-pole-40-amps-24-coil-voltage")</f>
        <v>https://edmondsonsupply.com/products/packard-c140a-contactor-1-pole-40-amps-24-coil-voltage</v>
      </c>
      <c r="C1039" t="s">
        <v>2339</v>
      </c>
      <c r="D1039" t="s">
        <v>2700</v>
      </c>
      <c r="E1039" s="3" t="str">
        <f>HYPERLINK("https://www.amazon.com/Trane-Packard-Replacement-Contactor-C140A/dp/B00S8IZ3WG/ref=sr_1_4?keywords=Packard+C140A+Contactor+1+Pole+40+AMPS+24+Coil+Voltage&amp;qid=1695173362&amp;sr=8-4", "https://www.amazon.com/Trane-Packard-Replacement-Contactor-C140A/dp/B00S8IZ3WG/ref=sr_1_4?keywords=Packard+C140A+Contactor+1+Pole+40+AMPS+24+Coil+Voltage&amp;qid=1695173362&amp;sr=8-4")</f>
        <v>https://www.amazon.com/Trane-Packard-Replacement-Contactor-C140A/dp/B00S8IZ3WG/ref=sr_1_4?keywords=Packard+C140A+Contactor+1+Pole+40+AMPS+24+Coil+Voltage&amp;qid=1695173362&amp;sr=8-4</v>
      </c>
      <c r="F1039" t="s">
        <v>2701</v>
      </c>
      <c r="G1039" t="e">
        <f ca="1">_xludf.IMAGE("https://edmondsonsupply.com/cdn/shop/products/C140A-1.jpg?v=1587147314")</f>
        <v>#NAME?</v>
      </c>
      <c r="H1039" t="e">
        <f ca="1">_xludf.IMAGE("https://m.media-amazon.com/images/I/51q4ngffe+L._AC_UY218_.jpg")</f>
        <v>#NAME?</v>
      </c>
      <c r="I1039" t="s">
        <v>2342</v>
      </c>
      <c r="J1039">
        <v>17.77</v>
      </c>
      <c r="K1039" s="4">
        <v>0.78059999999999996</v>
      </c>
      <c r="L1039">
        <v>4.7</v>
      </c>
      <c r="M1039">
        <v>4</v>
      </c>
      <c r="O1039" t="s">
        <v>25</v>
      </c>
      <c r="P1039" t="s">
        <v>138</v>
      </c>
      <c r="Q1039" t="s">
        <v>2343</v>
      </c>
    </row>
    <row r="1040" spans="1:17" ht="15.5" x14ac:dyDescent="0.35">
      <c r="A1040" s="3" t="str">
        <f>HYPERLINK("https://edmondsonsupply.com/collections/hvac/products/klein-tools-56220-led-headlamp-flashlight-with-strap-for-hard-hat", "https://edmondsonsupply.com/collections/hvac/products/klein-tools-56220-led-headlamp-flashlight-with-strap-for-hard-hat")</f>
        <v>https://edmondsonsupply.com/collections/hvac/products/klein-tools-56220-led-headlamp-flashlight-with-strap-for-hard-hat</v>
      </c>
      <c r="B1040"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1040" t="s">
        <v>933</v>
      </c>
      <c r="D1040" t="s">
        <v>934</v>
      </c>
      <c r="E1040" s="3" t="str">
        <f>HYPERLINK("https://www.amazon.com/Klein-Tools-Rechargeable-Auto-Off-Headlamp/dp/B09Z932C3Z/ref=sr_1_9?keywords=Klein+Tools+56220+LED+Headlamp+with+Silicone+Hard+Hat+Strap&amp;qid=1695173657&amp;sr=8-9", "https://www.amazon.com/Klein-Tools-Rechargeable-Auto-Off-Headlamp/dp/B09Z932C3Z/ref=sr_1_9?keywords=Klein+Tools+56220+LED+Headlamp+with+Silicone+Hard+Hat+Strap&amp;qid=1695173657&amp;sr=8-9")</f>
        <v>https://www.amazon.com/Klein-Tools-Rechargeable-Auto-Off-Headlamp/dp/B09Z932C3Z/ref=sr_1_9?keywords=Klein+Tools+56220+LED+Headlamp+with+Silicone+Hard+Hat+Strap&amp;qid=1695173657&amp;sr=8-9</v>
      </c>
      <c r="F1040" t="s">
        <v>935</v>
      </c>
      <c r="G1040" t="e">
        <f ca="1">_xludf.IMAGE("https://edmondsonsupply.com/cdn/shop/files/56220_874194e8-71d5-41d8-a579-6dec47b3f455.jpg?v=1687356671")</f>
        <v>#NAME?</v>
      </c>
      <c r="H1040" t="e">
        <f ca="1">_xludf.IMAGE("https://m.media-amazon.com/images/I/51-nHtYlwEL._AC_UL320_.jpg")</f>
        <v>#NAME?</v>
      </c>
      <c r="I1040" t="s">
        <v>936</v>
      </c>
      <c r="J1040">
        <v>47.94</v>
      </c>
      <c r="K1040" s="4">
        <v>0.77749999999999997</v>
      </c>
      <c r="L1040">
        <v>5</v>
      </c>
      <c r="M1040">
        <v>1</v>
      </c>
      <c r="O1040" t="s">
        <v>25</v>
      </c>
      <c r="P1040" t="s">
        <v>937</v>
      </c>
      <c r="Q1040" t="s">
        <v>938</v>
      </c>
    </row>
    <row r="1041" spans="1:17" ht="15.5" x14ac:dyDescent="0.35">
      <c r="A1041" s="3" t="str">
        <f>HYPERLINK("https://edmondsonsupply.com/collections/hvac/products/packard-pmj460-motor-start-capacitor-460-552-mfd-110-125-vac", "https://edmondsonsupply.com/collections/hvac/products/packard-pmj460-motor-start-capacitor-460-552-mfd-110-125-vac")</f>
        <v>https://edmondsonsupply.com/collections/hvac/products/packard-pmj460-motor-start-capacitor-460-552-mfd-110-125-vac</v>
      </c>
      <c r="B1041" s="3" t="str">
        <f>HYPERLINK("https://edmondsonsupply.com/products/packard-pmj460-motor-start-capacitor-460-552-mfd-110-125-vac", "https://edmondsonsupply.com/products/packard-pmj460-motor-start-capacitor-460-552-mfd-110-125-vac")</f>
        <v>https://edmondsonsupply.com/products/packard-pmj460-motor-start-capacitor-460-552-mfd-110-125-vac</v>
      </c>
      <c r="C1041" t="s">
        <v>1622</v>
      </c>
      <c r="D1041" t="s">
        <v>2702</v>
      </c>
      <c r="E1041" s="3" t="str">
        <f>HYPERLINK("https://www.amazon.com/460-552-MFD-110-125-Round-Capacitor/dp/B0C2KRV74C/ref=sr_1_10?keywords=Packard+PMJ460+Motor+Start+Capacitor+460-552+MFD+110-125+VAC&amp;qid=1695173457&amp;sr=8-10", "https://www.amazon.com/460-552-MFD-110-125-Round-Capacitor/dp/B0C2KRV74C/ref=sr_1_10?keywords=Packard+PMJ460+Motor+Start+Capacitor+460-552+MFD+110-125+VAC&amp;qid=1695173457&amp;sr=8-10")</f>
        <v>https://www.amazon.com/460-552-MFD-110-125-Round-Capacitor/dp/B0C2KRV74C/ref=sr_1_10?keywords=Packard+PMJ460+Motor+Start+Capacitor+460-552+MFD+110-125+VAC&amp;qid=1695173457&amp;sr=8-10</v>
      </c>
      <c r="F1041" t="s">
        <v>2703</v>
      </c>
      <c r="G1041" t="e">
        <f ca="1">_xludf.IMAGE("https://edmondsonsupply.com/cdn/shop/products/PMJ460-2.jpg?v=1633030333")</f>
        <v>#NAME?</v>
      </c>
      <c r="H1041" t="e">
        <f ca="1">_xludf.IMAGE("https://m.media-amazon.com/images/I/51SoYAVAgLL._AC_UY218_.jpg")</f>
        <v>#NAME?</v>
      </c>
      <c r="I1041" t="s">
        <v>1623</v>
      </c>
      <c r="J1041">
        <v>8.99</v>
      </c>
      <c r="K1041" s="4">
        <v>0.77669999999999995</v>
      </c>
      <c r="L1041">
        <v>4.7</v>
      </c>
      <c r="M1041">
        <v>21</v>
      </c>
      <c r="O1041" t="s">
        <v>171</v>
      </c>
      <c r="P1041" t="s">
        <v>138</v>
      </c>
      <c r="Q1041" t="s">
        <v>1624</v>
      </c>
    </row>
    <row r="1042" spans="1:17" ht="15.5" x14ac:dyDescent="0.35">
      <c r="A1042"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1042" s="3" t="str">
        <f>HYPERLINK("https://edmondsonsupply.com/products/packard-c140a-contactor-1-pole-40-amps-24-coil-voltage", "https://edmondsonsupply.com/products/packard-c140a-contactor-1-pole-40-amps-24-coil-voltage")</f>
        <v>https://edmondsonsupply.com/products/packard-c140a-contactor-1-pole-40-amps-24-coil-voltage</v>
      </c>
      <c r="C1042" t="s">
        <v>2339</v>
      </c>
      <c r="D1042" t="s">
        <v>2704</v>
      </c>
      <c r="E1042" s="3" t="str">
        <f>HYPERLINK("https://www.amazon.com/Coleman-Packard-Replacement-Contactor-C140A/dp/B00S8IYX72/ref=sr_1_6?keywords=Packard+C140A+Contactor+1+Pole+40+AMPS+24+Coil+Voltage&amp;qid=1695173362&amp;sr=8-6", "https://www.amazon.com/Coleman-Packard-Replacement-Contactor-C140A/dp/B00S8IYX72/ref=sr_1_6?keywords=Packard+C140A+Contactor+1+Pole+40+AMPS+24+Coil+Voltage&amp;qid=1695173362&amp;sr=8-6")</f>
        <v>https://www.amazon.com/Coleman-Packard-Replacement-Contactor-C140A/dp/B00S8IYX72/ref=sr_1_6?keywords=Packard+C140A+Contactor+1+Pole+40+AMPS+24+Coil+Voltage&amp;qid=1695173362&amp;sr=8-6</v>
      </c>
      <c r="F1042" t="s">
        <v>2705</v>
      </c>
      <c r="G1042" t="e">
        <f ca="1">_xludf.IMAGE("https://edmondsonsupply.com/cdn/shop/products/C140A-1.jpg?v=1587147314")</f>
        <v>#NAME?</v>
      </c>
      <c r="H1042" t="e">
        <f ca="1">_xludf.IMAGE("https://m.media-amazon.com/images/I/51q4ngffe+L._AC_UY218_.jpg")</f>
        <v>#NAME?</v>
      </c>
      <c r="I1042" t="s">
        <v>2342</v>
      </c>
      <c r="J1042">
        <v>17.61</v>
      </c>
      <c r="K1042" s="4">
        <v>0.76449999999999996</v>
      </c>
      <c r="L1042">
        <v>5</v>
      </c>
      <c r="M1042">
        <v>4</v>
      </c>
      <c r="O1042" t="s">
        <v>25</v>
      </c>
      <c r="P1042" t="s">
        <v>138</v>
      </c>
      <c r="Q1042" t="s">
        <v>2343</v>
      </c>
    </row>
    <row r="1043" spans="1:17" ht="15.5" x14ac:dyDescent="0.35">
      <c r="A1043" s="3" t="str">
        <f>HYPERLINK("https://edmondsonsupply.com/collections/hvac/products/white-rodgers-24a34-3-24v-electric-heat-sequencer-dpst", "https://edmondsonsupply.com/collections/hvac/products/white-rodgers-24a34-3-24v-electric-heat-sequencer-dpst")</f>
        <v>https://edmondsonsupply.com/collections/hvac/products/white-rodgers-24a34-3-24v-electric-heat-sequencer-dpst</v>
      </c>
      <c r="B1043" s="3" t="str">
        <f>HYPERLINK("https://edmondsonsupply.com/products/white-rodgers-24a34-3-24v-electric-heat-sequencer-dpst", "https://edmondsonsupply.com/products/white-rodgers-24a34-3-24v-electric-heat-sequencer-dpst")</f>
        <v>https://edmondsonsupply.com/products/white-rodgers-24a34-3-24v-electric-heat-sequencer-dpst</v>
      </c>
      <c r="C1043" t="s">
        <v>2706</v>
      </c>
      <c r="D1043" t="s">
        <v>2562</v>
      </c>
      <c r="E1043" s="3" t="str">
        <f>HYPERLINK("https://www.amazon.com/HVAC-Parts-White-Rodgers-Electric-Sequencer/dp/B09N9VYKL1/ref=sr_1_3?keywords=White-Rodgers+24A34-3+24V+Electric+Heat+Sequencer%2C+DPST&amp;qid=1695173389&amp;sr=8-3", "https://www.amazon.com/HVAC-Parts-White-Rodgers-Electric-Sequencer/dp/B09N9VYKL1/ref=sr_1_3?keywords=White-Rodgers+24A34-3+24V+Electric+Heat+Sequencer%2C+DPST&amp;qid=1695173389&amp;sr=8-3")</f>
        <v>https://www.amazon.com/HVAC-Parts-White-Rodgers-Electric-Sequencer/dp/B09N9VYKL1/ref=sr_1_3?keywords=White-Rodgers+24A34-3+24V+Electric+Heat+Sequencer%2C+DPST&amp;qid=1695173389&amp;sr=8-3</v>
      </c>
      <c r="F1043" t="s">
        <v>2563</v>
      </c>
      <c r="G1043" t="e">
        <f ca="1">_xludf.IMAGE("https://edmondsonsupply.com/cdn/shop/products/24A34-3.jpg?v=1633030705")</f>
        <v>#NAME?</v>
      </c>
      <c r="H1043" t="e">
        <f ca="1">_xludf.IMAGE("https://m.media-amazon.com/images/I/71IXexQVGwL._AC_UY218_.jpg")</f>
        <v>#NAME?</v>
      </c>
      <c r="I1043" t="s">
        <v>834</v>
      </c>
      <c r="J1043">
        <v>22.91</v>
      </c>
      <c r="K1043" s="4">
        <v>0.76370000000000005</v>
      </c>
      <c r="L1043">
        <v>5</v>
      </c>
      <c r="M1043">
        <v>1</v>
      </c>
      <c r="O1043" t="s">
        <v>25</v>
      </c>
      <c r="P1043" t="s">
        <v>2707</v>
      </c>
      <c r="Q1043" t="s">
        <v>2708</v>
      </c>
    </row>
    <row r="1044" spans="1:17" ht="15.5" x14ac:dyDescent="0.35">
      <c r="A1044" s="3" t="str">
        <f>HYPERLINK("https://edmondsonsupply.com/collections/hvac/products/white-rodgers-24a34-4-24v-electric-heat-sequencer-dpst", "https://edmondsonsupply.com/collections/hvac/products/white-rodgers-24a34-4-24v-electric-heat-sequencer-dpst")</f>
        <v>https://edmondsonsupply.com/collections/hvac/products/white-rodgers-24a34-4-24v-electric-heat-sequencer-dpst</v>
      </c>
      <c r="B1044" s="3" t="str">
        <f>HYPERLINK("https://edmondsonsupply.com/products/white-rodgers-24a34-4-24v-electric-heat-sequencer-dpst", "https://edmondsonsupply.com/products/white-rodgers-24a34-4-24v-electric-heat-sequencer-dpst")</f>
        <v>https://edmondsonsupply.com/products/white-rodgers-24a34-4-24v-electric-heat-sequencer-dpst</v>
      </c>
      <c r="C1044" t="s">
        <v>2709</v>
      </c>
      <c r="D1044" t="s">
        <v>2562</v>
      </c>
      <c r="E1044" s="3" t="str">
        <f>HYPERLINK("https://www.amazon.com/HVAC-Parts-White-Rodgers-Electric-Sequencer/dp/B09N9VYKL1/ref=sr_1_1?keywords=White-Rodgers+24A34-4+24V+Electric+Heat+Sequencer%2C+DPST&amp;qid=1695173471&amp;sr=8-1", "https://www.amazon.com/HVAC-Parts-White-Rodgers-Electric-Sequencer/dp/B09N9VYKL1/ref=sr_1_1?keywords=White-Rodgers+24A34-4+24V+Electric+Heat+Sequencer%2C+DPST&amp;qid=1695173471&amp;sr=8-1")</f>
        <v>https://www.amazon.com/HVAC-Parts-White-Rodgers-Electric-Sequencer/dp/B09N9VYKL1/ref=sr_1_1?keywords=White-Rodgers+24A34-4+24V+Electric+Heat+Sequencer%2C+DPST&amp;qid=1695173471&amp;sr=8-1</v>
      </c>
      <c r="F1044" t="s">
        <v>2563</v>
      </c>
      <c r="G1044" t="e">
        <f ca="1">_xludf.IMAGE("https://edmondsonsupply.com/cdn/shop/products/24A34-4.jpg?v=1633030706")</f>
        <v>#NAME?</v>
      </c>
      <c r="H1044" t="e">
        <f ca="1">_xludf.IMAGE("https://m.media-amazon.com/images/I/71IXexQVGwL._AC_UY218_.jpg")</f>
        <v>#NAME?</v>
      </c>
      <c r="I1044" t="s">
        <v>834</v>
      </c>
      <c r="J1044">
        <v>22.91</v>
      </c>
      <c r="K1044" s="4">
        <v>0.76370000000000005</v>
      </c>
      <c r="L1044">
        <v>5</v>
      </c>
      <c r="M1044">
        <v>1</v>
      </c>
      <c r="O1044" t="s">
        <v>25</v>
      </c>
      <c r="P1044" t="s">
        <v>2707</v>
      </c>
      <c r="Q1044" t="s">
        <v>2710</v>
      </c>
    </row>
    <row r="1045" spans="1:17" ht="15.5" x14ac:dyDescent="0.35">
      <c r="A1045" s="3" t="str">
        <f>HYPERLINK("https://edmondsonsupply.com/collections/hvac/products/klein-tools-32796-pro-impact-power-bits-assorted-7-pack", "https://edmondsonsupply.com/collections/hvac/products/klein-tools-32796-pro-impact-power-bits-assorted-7-pack")</f>
        <v>https://edmondsonsupply.com/collections/hvac/products/klein-tools-32796-pro-impact-power-bits-assorted-7-pack</v>
      </c>
      <c r="B1045" s="3" t="str">
        <f>HYPERLINK("https://edmondsonsupply.com/products/klein-tools-32796-pro-impact-power-bits-assorted-7-pack", "https://edmondsonsupply.com/products/klein-tools-32796-pro-impact-power-bits-assorted-7-pack")</f>
        <v>https://edmondsonsupply.com/products/klein-tools-32796-pro-impact-power-bits-assorted-7-pack</v>
      </c>
      <c r="C1045" t="s">
        <v>2711</v>
      </c>
      <c r="D1045" t="s">
        <v>2712</v>
      </c>
      <c r="E1045" s="3" t="str">
        <f>HYPERLINK("https://www.amazon.com/Klein-Tools-32796-Assorted-Drivers/dp/B07RL6TJPM/ref=sr_1_1?keywords=Klein+Tools+32796+Pro+Impact+Power+Bits%2C+Assorted+7-Pack&amp;qid=1695173632&amp;sr=8-1", "https://www.amazon.com/Klein-Tools-32796-Assorted-Drivers/dp/B07RL6TJPM/ref=sr_1_1?keywords=Klein+Tools+32796+Pro+Impact+Power+Bits%2C+Assorted+7-Pack&amp;qid=1695173632&amp;sr=8-1")</f>
        <v>https://www.amazon.com/Klein-Tools-32796-Assorted-Drivers/dp/B07RL6TJPM/ref=sr_1_1?keywords=Klein+Tools+32796+Pro+Impact+Power+Bits%2C+Assorted+7-Pack&amp;qid=1695173632&amp;sr=8-1</v>
      </c>
      <c r="F1045" t="s">
        <v>2713</v>
      </c>
      <c r="G1045" t="e">
        <f ca="1">_xludf.IMAGE("https://edmondsonsupply.com/cdn/shop/products/32796.jpg?v=1587146803")</f>
        <v>#NAME?</v>
      </c>
      <c r="H1045" t="e">
        <f ca="1">_xludf.IMAGE("https://m.media-amazon.com/images/I/51lVLHao0uL._AC_UL320_.jpg")</f>
        <v>#NAME?</v>
      </c>
      <c r="I1045" t="s">
        <v>2639</v>
      </c>
      <c r="J1045">
        <v>10.56</v>
      </c>
      <c r="K1045" s="4">
        <v>0.76290000000000002</v>
      </c>
      <c r="L1045">
        <v>4.4000000000000004</v>
      </c>
      <c r="M1045">
        <v>47</v>
      </c>
      <c r="O1045" t="s">
        <v>25</v>
      </c>
      <c r="P1045" t="s">
        <v>2714</v>
      </c>
      <c r="Q1045" t="s">
        <v>2715</v>
      </c>
    </row>
    <row r="1046" spans="1:17" ht="15.5" x14ac:dyDescent="0.35">
      <c r="A1046"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1046" s="3" t="str">
        <f>HYPERLINK("https://edmondsonsupply.com/products/nu-calgon-44171-75-evap-foam-no-rinse-aerosol-coil-cleaner", "https://edmondsonsupply.com/products/nu-calgon-44171-75-evap-foam-no-rinse-aerosol-coil-cleaner")</f>
        <v>https://edmondsonsupply.com/products/nu-calgon-44171-75-evap-foam-no-rinse-aerosol-coil-cleaner</v>
      </c>
      <c r="C1046" t="s">
        <v>1546</v>
      </c>
      <c r="D1046" t="s">
        <v>2716</v>
      </c>
      <c r="E1046" s="3" t="str">
        <f>HYPERLINK("https://www.amazon.com/4171-75-Nu-Calgon-Evaporator-Cleaner-Aerosol/dp/B00E2X3MRE/ref=sr_1_5?keywords=Nu-Calgon+4171-75+Evap+Foam+No+Rinse%2C+Aerosol+Coil+Cleaner+%2818+oz.+can%29&amp;qid=1695173370&amp;sr=8-5", "https://www.amazon.com/4171-75-Nu-Calgon-Evaporator-Cleaner-Aerosol/dp/B00E2X3MRE/ref=sr_1_5?keywords=Nu-Calgon+4171-75+Evap+Foam+No+Rinse%2C+Aerosol+Coil+Cleaner+%2818+oz.+can%29&amp;qid=1695173370&amp;sr=8-5")</f>
        <v>https://www.amazon.com/4171-75-Nu-Calgon-Evaporator-Cleaner-Aerosol/dp/B00E2X3MRE/ref=sr_1_5?keywords=Nu-Calgon+4171-75+Evap+Foam+No+Rinse%2C+Aerosol+Coil+Cleaner+%2818+oz.+can%29&amp;qid=1695173370&amp;sr=8-5</v>
      </c>
      <c r="F1046" t="s">
        <v>2717</v>
      </c>
      <c r="G1046" t="e">
        <f ca="1">_xludf.IMAGE("https://edmondsonsupply.com/cdn/shop/products/4171-75.jpg?v=1659099515")</f>
        <v>#NAME?</v>
      </c>
      <c r="H1046" t="e">
        <f ca="1">_xludf.IMAGE("https://m.media-amazon.com/images/I/41FecUXSw6L._AC_UL320_.jpg")</f>
        <v>#NAME?</v>
      </c>
      <c r="I1046" t="s">
        <v>234</v>
      </c>
      <c r="J1046">
        <v>20.71</v>
      </c>
      <c r="K1046" s="4">
        <v>0.76259999999999994</v>
      </c>
      <c r="L1046">
        <v>4.5999999999999996</v>
      </c>
      <c r="M1046">
        <v>29</v>
      </c>
      <c r="O1046" t="s">
        <v>25</v>
      </c>
      <c r="P1046" t="s">
        <v>1549</v>
      </c>
      <c r="Q1046" t="s">
        <v>1550</v>
      </c>
    </row>
    <row r="1047" spans="1:17" ht="15.5" x14ac:dyDescent="0.35">
      <c r="A1047" s="3" t="str">
        <f>HYPERLINK("https://edmondsonsupply.com/collections/hvac/products/rectorseal-66737-nokink-1-2-x-3-flexible-refrigerant-line-connector", "https://edmondsonsupply.com/collections/hvac/products/rectorseal-66737-nokink-1-2-x-3-flexible-refrigerant-line-connector")</f>
        <v>https://edmondsonsupply.com/collections/hvac/products/rectorseal-66737-nokink-1-2-x-3-flexible-refrigerant-line-connector</v>
      </c>
      <c r="B1047" s="3" t="str">
        <f>HYPERLINK("https://edmondsonsupply.com/products/rectorseal-66737-nokink-1-2-x-3-flexible-refrigerant-line-connector", "https://edmondsonsupply.com/products/rectorseal-66737-nokink-1-2-x-3-flexible-refrigerant-line-connector")</f>
        <v>https://edmondsonsupply.com/products/rectorseal-66737-nokink-1-2-x-3-flexible-refrigerant-line-connector</v>
      </c>
      <c r="C1047" t="s">
        <v>2718</v>
      </c>
      <c r="D1047" t="s">
        <v>2374</v>
      </c>
      <c r="E1047" s="3" t="str">
        <f>HYPERLINK("https://www.amazon.com/Rectorseal-68235-Flexible-Refrigerant-Connector/dp/B01ALRVLTA/ref=sr_1_2?keywords=RectorSeal+66737+NoKink+1%2F2%22+x+3%27+Flexible+Refrigerant+Line+Connector&amp;qid=1695173471&amp;sr=8-2", "https://www.amazon.com/Rectorseal-68235-Flexible-Refrigerant-Connector/dp/B01ALRVLTA/ref=sr_1_2?keywords=RectorSeal+66737+NoKink+1%2F2%22+x+3%27+Flexible+Refrigerant+Line+Connector&amp;qid=1695173471&amp;sr=8-2")</f>
        <v>https://www.amazon.com/Rectorseal-68235-Flexible-Refrigerant-Connector/dp/B01ALRVLTA/ref=sr_1_2?keywords=RectorSeal+66737+NoKink+1%2F2%22+x+3%27+Flexible+Refrigerant+Line+Connector&amp;qid=1695173471&amp;sr=8-2</v>
      </c>
      <c r="F1047" t="s">
        <v>2375</v>
      </c>
      <c r="G1047" t="e">
        <f ca="1">_xludf.IMAGE("https://edmondsonsupply.com/cdn/shop/products/66737.png?v=1665964950")</f>
        <v>#NAME?</v>
      </c>
      <c r="H1047" t="e">
        <f ca="1">_xludf.IMAGE("https://m.media-amazon.com/images/I/51pjB6ZOm9L._AC_UL320_.jpg")</f>
        <v>#NAME?</v>
      </c>
      <c r="I1047" t="s">
        <v>2719</v>
      </c>
      <c r="J1047">
        <v>133.66999999999999</v>
      </c>
      <c r="K1047" s="4">
        <v>0.7621</v>
      </c>
      <c r="L1047">
        <v>4</v>
      </c>
      <c r="M1047">
        <v>5</v>
      </c>
      <c r="O1047" t="s">
        <v>25</v>
      </c>
      <c r="P1047" t="s">
        <v>138</v>
      </c>
      <c r="Q1047" t="s">
        <v>2720</v>
      </c>
    </row>
    <row r="1048" spans="1:17" ht="15.5" x14ac:dyDescent="0.35">
      <c r="A1048" s="3" t="str">
        <f>HYPERLINK("https://edmondsonsupply.com/collections/hvac/products/packard-psmj400-motor-start-capacitor-400-480-mfd-165-vac", "https://edmondsonsupply.com/collections/hvac/products/packard-psmj400-motor-start-capacitor-400-480-mfd-165-vac")</f>
        <v>https://edmondsonsupply.com/collections/hvac/products/packard-psmj400-motor-start-capacitor-400-480-mfd-165-vac</v>
      </c>
      <c r="B1048" s="3" t="str">
        <f>HYPERLINK("https://edmondsonsupply.com/products/packard-psmj400-motor-start-capacitor-400-480-mfd-165-vac", "https://edmondsonsupply.com/products/packard-psmj400-motor-start-capacitor-400-480-mfd-165-vac")</f>
        <v>https://edmondsonsupply.com/products/packard-psmj400-motor-start-capacitor-400-480-mfd-165-vac</v>
      </c>
      <c r="C1048" t="s">
        <v>2330</v>
      </c>
      <c r="D1048" t="s">
        <v>2721</v>
      </c>
      <c r="E1048" s="3" t="str">
        <f>HYPERLINK("https://www.amazon.com/HQRP-400-480uf-Capacitor-Compressor-400-480MFD/dp/B088BQVDGQ/ref=sr_1_10?keywords=Packard+PSMJ400+Motor+Start+Capacitor+400-480+MFD+165+VAC&amp;qid=1695173567&amp;sr=8-10", "https://www.amazon.com/HQRP-400-480uf-Capacitor-Compressor-400-480MFD/dp/B088BQVDGQ/ref=sr_1_10?keywords=Packard+PSMJ400+Motor+Start+Capacitor+400-480+MFD+165+VAC&amp;qid=1695173567&amp;sr=8-10")</f>
        <v>https://www.amazon.com/HQRP-400-480uf-Capacitor-Compressor-400-480MFD/dp/B088BQVDGQ/ref=sr_1_10?keywords=Packard+PSMJ400+Motor+Start+Capacitor+400-480+MFD+165+VAC&amp;qid=1695173567&amp;sr=8-10</v>
      </c>
      <c r="F1048" t="s">
        <v>2722</v>
      </c>
      <c r="G1048" t="e">
        <f ca="1">_xludf.IMAGE("https://edmondsonsupply.com/cdn/shop/products/PSMJ400-2.jpg?v=1587142312")</f>
        <v>#NAME?</v>
      </c>
      <c r="H1048" t="e">
        <f ca="1">_xludf.IMAGE("https://m.media-amazon.com/images/I/61E3shTUbkL._AC_UY218_.jpg")</f>
        <v>#NAME?</v>
      </c>
      <c r="I1048" t="s">
        <v>2202</v>
      </c>
      <c r="J1048">
        <v>13.95</v>
      </c>
      <c r="K1048" s="4">
        <v>0.76139999999999997</v>
      </c>
      <c r="L1048">
        <v>4.5</v>
      </c>
      <c r="M1048">
        <v>1056</v>
      </c>
      <c r="O1048" t="s">
        <v>25</v>
      </c>
      <c r="P1048" t="s">
        <v>138</v>
      </c>
      <c r="Q1048" t="s">
        <v>2333</v>
      </c>
    </row>
    <row r="1049" spans="1:17" ht="15.5" x14ac:dyDescent="0.35">
      <c r="A1049" s="3" t="str">
        <f>HYPERLINK("https://edmondsonsupply.com/collections/hvac/products/malco-mshmlc-4-inch-c-rhex%C2%AE-dual-sided-magnetic-hex-driver", "https://edmondsonsupply.com/collections/hvac/products/malco-mshmlc-4-inch-c-rhex%C2%AE-dual-sided-magnetic-hex-driver")</f>
        <v>https://edmondsonsupply.com/collections/hvac/products/malco-mshmlc-4-inch-c-rhex%C2%AE-dual-sided-magnetic-hex-driver</v>
      </c>
      <c r="B1049" s="3" t="str">
        <f>HYPERLINK("https://edmondsonsupply.com/products/malco-mshmlc-4-inch-c-rhex%c2%ae-dual-sided-magnetic-hex-driver", "https://edmondsonsupply.com/products/malco-mshmlc-4-inch-c-rhex%c2%ae-dual-sided-magnetic-hex-driver")</f>
        <v>https://edmondsonsupply.com/products/malco-mshmlc-4-inch-c-rhex%c2%ae-dual-sided-magnetic-hex-driver</v>
      </c>
      <c r="C1049" t="s">
        <v>2723</v>
      </c>
      <c r="D1049" t="s">
        <v>153</v>
      </c>
      <c r="E1049" s="3" t="str">
        <f>HYPERLINK("https://www.amazon.com/Malco-MSH2XLC2-Construction-Cleanable-Reversible/dp/B0BX79N2BV/ref=sr_1_6?keywords=Malco+Tools+MSHMLC+4-Inch+C-Rhex+Cleanable%2C+Reversible+Magnetic+Hex+Driver%2C+1%2F4%22+%26+5%2F16%22&amp;qid=1695173566&amp;sr=8-6", "https://www.amazon.com/Malco-MSH2XLC2-Construction-Cleanable-Reversible/dp/B0BX79N2BV/ref=sr_1_6?keywords=Malco+Tools+MSHMLC+4-Inch+C-Rhex+Cleanable%2C+Reversible+Magnetic+Hex+Driver%2C+1%2F4%22+%26+5%2F16%22&amp;qid=1695173566&amp;sr=8-6")</f>
        <v>https://www.amazon.com/Malco-MSH2XLC2-Construction-Cleanable-Reversible/dp/B0BX79N2BV/ref=sr_1_6?keywords=Malco+Tools+MSHMLC+4-Inch+C-Rhex+Cleanable%2C+Reversible+Magnetic+Hex+Driver%2C+1%2F4%22+%26+5%2F16%22&amp;qid=1695173566&amp;sr=8-6</v>
      </c>
      <c r="F1049" t="s">
        <v>154</v>
      </c>
      <c r="G1049" t="e">
        <f ca="1">_xludf.IMAGE("https://edmondsonsupply.com/cdn/shop/products/Malco-MSHMLC-CRHEX-Slim-Design.jpg?v=1653096554")</f>
        <v>#NAME?</v>
      </c>
      <c r="H1049" t="e">
        <f ca="1">_xludf.IMAGE("https://m.media-amazon.com/images/I/31odlSGS4kL._AC_UL320_.jpg")</f>
        <v>#NAME?</v>
      </c>
      <c r="I1049" t="s">
        <v>834</v>
      </c>
      <c r="J1049">
        <v>22.86</v>
      </c>
      <c r="K1049" s="4">
        <v>0.75980000000000003</v>
      </c>
      <c r="L1049">
        <v>5</v>
      </c>
      <c r="M1049">
        <v>1</v>
      </c>
      <c r="O1049" t="s">
        <v>25</v>
      </c>
      <c r="P1049" t="s">
        <v>2724</v>
      </c>
      <c r="Q1049" t="s">
        <v>2725</v>
      </c>
    </row>
    <row r="1050" spans="1:17" ht="15.5" x14ac:dyDescent="0.35">
      <c r="A1050"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050" s="3" t="str">
        <f>HYPERLINK("https://edmondsonsupply.com/products/packard-c130a-contactor-1-pole-30-amps-24-coil-voltage", "https://edmondsonsupply.com/products/packard-c130a-contactor-1-pole-30-amps-24-coil-voltage")</f>
        <v>https://edmondsonsupply.com/products/packard-c130a-contactor-1-pole-30-amps-24-coil-voltage</v>
      </c>
      <c r="C1050" t="s">
        <v>2726</v>
      </c>
      <c r="D1050" t="s">
        <v>2727</v>
      </c>
      <c r="E1050" s="3" t="str">
        <f>HYPERLINK("https://www.amazon.com/Rheem-Packard-Replacement-Contactor-C130A/dp/B00S8JJZJ2/ref=sr_1_3?keywords=Packard+C130A+Contactor+1+Pole+30+Amps+24+Coil+Voltage&amp;qid=1695173411&amp;sr=8-3", "https://www.amazon.com/Rheem-Packard-Replacement-Contactor-C130A/dp/B00S8JJZJ2/ref=sr_1_3?keywords=Packard+C130A+Contactor+1+Pole+30+Amps+24+Coil+Voltage&amp;qid=1695173411&amp;sr=8-3")</f>
        <v>https://www.amazon.com/Rheem-Packard-Replacement-Contactor-C130A/dp/B00S8JJZJ2/ref=sr_1_3?keywords=Packard+C130A+Contactor+1+Pole+30+Amps+24+Coil+Voltage&amp;qid=1695173411&amp;sr=8-3</v>
      </c>
      <c r="F1050" t="s">
        <v>2728</v>
      </c>
      <c r="G1050" t="e">
        <f ca="1">_xludf.IMAGE("https://edmondsonsupply.com/cdn/shop/products/61bb566724620904123205.jpg?v=1650335931")</f>
        <v>#NAME?</v>
      </c>
      <c r="H1050" t="e">
        <f ca="1">_xludf.IMAGE("https://m.media-amazon.com/images/I/41Is+M5WoFL._AC_UY218_.jpg")</f>
        <v>#NAME?</v>
      </c>
      <c r="I1050" t="s">
        <v>2729</v>
      </c>
      <c r="J1050">
        <v>16.91</v>
      </c>
      <c r="K1050" s="4">
        <v>0.75780000000000003</v>
      </c>
      <c r="L1050">
        <v>5</v>
      </c>
      <c r="M1050">
        <v>1</v>
      </c>
      <c r="O1050" t="s">
        <v>25</v>
      </c>
      <c r="P1050" t="s">
        <v>138</v>
      </c>
      <c r="Q1050" t="s">
        <v>2730</v>
      </c>
    </row>
    <row r="1051" spans="1:17" ht="15.5" x14ac:dyDescent="0.35">
      <c r="A1051"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051" s="3" t="str">
        <f>HYPERLINK("https://edmondsonsupply.com/products/packard-c130a-contactor-1-pole-30-amps-24-coil-voltage", "https://edmondsonsupply.com/products/packard-c130a-contactor-1-pole-30-amps-24-coil-voltage")</f>
        <v>https://edmondsonsupply.com/products/packard-c130a-contactor-1-pole-30-amps-24-coil-voltage</v>
      </c>
      <c r="C1051" t="s">
        <v>2726</v>
      </c>
      <c r="D1051" t="s">
        <v>2731</v>
      </c>
      <c r="E1051" s="3" t="str">
        <f>HYPERLINK("https://www.amazon.com/Ruud-Packard-Replacement-Contactor-C130A/dp/B00S8JK10O/ref=sr_1_7?keywords=Packard+C130A+Contactor+1+Pole+30+Amps+24+Coil+Voltage&amp;qid=1695173411&amp;sr=8-7", "https://www.amazon.com/Ruud-Packard-Replacement-Contactor-C130A/dp/B00S8JK10O/ref=sr_1_7?keywords=Packard+C130A+Contactor+1+Pole+30+Amps+24+Coil+Voltage&amp;qid=1695173411&amp;sr=8-7")</f>
        <v>https://www.amazon.com/Ruud-Packard-Replacement-Contactor-C130A/dp/B00S8JK10O/ref=sr_1_7?keywords=Packard+C130A+Contactor+1+Pole+30+Amps+24+Coil+Voltage&amp;qid=1695173411&amp;sr=8-7</v>
      </c>
      <c r="F1051" t="s">
        <v>2732</v>
      </c>
      <c r="G1051" t="e">
        <f ca="1">_xludf.IMAGE("https://edmondsonsupply.com/cdn/shop/products/61bb566724620904123205.jpg?v=1650335931")</f>
        <v>#NAME?</v>
      </c>
      <c r="H1051" t="e">
        <f ca="1">_xludf.IMAGE("https://m.media-amazon.com/images/I/41Is+M5WoFL._AC_UY218_.jpg")</f>
        <v>#NAME?</v>
      </c>
      <c r="I1051" t="s">
        <v>2729</v>
      </c>
      <c r="J1051">
        <v>16.91</v>
      </c>
      <c r="K1051" s="4">
        <v>0.75780000000000003</v>
      </c>
      <c r="L1051">
        <v>5</v>
      </c>
      <c r="M1051">
        <v>1</v>
      </c>
      <c r="O1051" t="s">
        <v>25</v>
      </c>
      <c r="P1051" t="s">
        <v>138</v>
      </c>
      <c r="Q1051" t="s">
        <v>2730</v>
      </c>
    </row>
    <row r="1052" spans="1:17" ht="15.5" x14ac:dyDescent="0.35">
      <c r="A1052" s="3" t="str">
        <f>HYPERLINK("https://edmondsonsupply.com/collections/hvac/products/pro1-iaq-t701i-digital-wifi-programmable-thermostat-heat-1-cool", "https://edmondsonsupply.com/collections/hvac/products/pro1-iaq-t701i-digital-wifi-programmable-thermostat-heat-1-cool")</f>
        <v>https://edmondsonsupply.com/collections/hvac/products/pro1-iaq-t701i-digital-wifi-programmable-thermostat-heat-1-cool</v>
      </c>
      <c r="B1052" s="3" t="str">
        <f>HYPERLINK("https://edmondsonsupply.com/products/pro1-iaq-t701i-digital-wifi-programmable-thermostat-heat-1-cool", "https://edmondsonsupply.com/products/pro1-iaq-t701i-digital-wifi-programmable-thermostat-heat-1-cool")</f>
        <v>https://edmondsonsupply.com/products/pro1-iaq-t701i-digital-wifi-programmable-thermostat-heat-1-cool</v>
      </c>
      <c r="C1052" t="s">
        <v>2733</v>
      </c>
      <c r="D1052" t="s">
        <v>1780</v>
      </c>
      <c r="E1052" s="3" t="str">
        <f>HYPERLINK("https://www.amazon.com/WiFi-Thermostat-Programmable-Stages-Heat/dp/B01D0BT80I/ref=sr_1_4?keywords=PRO1+IAQ+T701i+Digital+WIFI+Programmable+Thermostat%2C+Heat+-+1+Cool&amp;qid=1695173622&amp;sr=8-4", "https://www.amazon.com/WiFi-Thermostat-Programmable-Stages-Heat/dp/B01D0BT80I/ref=sr_1_4?keywords=PRO1+IAQ+T701i+Digital+WIFI+Programmable+Thermostat%2C+Heat+-+1+Cool&amp;qid=1695173622&amp;sr=8-4")</f>
        <v>https://www.amazon.com/WiFi-Thermostat-Programmable-Stages-Heat/dp/B01D0BT80I/ref=sr_1_4?keywords=PRO1+IAQ+T701i+Digital+WIFI+Programmable+Thermostat%2C+Heat+-+1+Cool&amp;qid=1695173622&amp;sr=8-4</v>
      </c>
      <c r="F1052" t="s">
        <v>1781</v>
      </c>
      <c r="G1052" t="e">
        <f ca="1">_xludf.IMAGE("https://edmondsonsupply.com/cdn/shop/files/T721i-V2-02_368337bf-427f-4425-83da-b13f35abe190.png?v=1690143234")</f>
        <v>#NAME?</v>
      </c>
      <c r="H1052" t="e">
        <f ca="1">_xludf.IMAGE("https://m.media-amazon.com/images/I/51TIpGlBKiL._AC_UL320_.jpg")</f>
        <v>#NAME?</v>
      </c>
      <c r="I1052" t="s">
        <v>2734</v>
      </c>
      <c r="J1052">
        <v>146.01</v>
      </c>
      <c r="K1052" s="4">
        <v>0.75580000000000003</v>
      </c>
      <c r="L1052">
        <v>3.5</v>
      </c>
      <c r="M1052">
        <v>24</v>
      </c>
      <c r="O1052" t="s">
        <v>25</v>
      </c>
      <c r="P1052" t="s">
        <v>2735</v>
      </c>
      <c r="Q1052" t="s">
        <v>2736</v>
      </c>
    </row>
    <row r="1053" spans="1:17" ht="15.5" x14ac:dyDescent="0.35">
      <c r="A1053" s="3" t="str">
        <f>HYPERLINK("https://edmondsonsupply.com/collections/hvac/products/packard-c240a-contactor-2-pole-40-amps-24-coil-voltage", "https://edmondsonsupply.com/collections/hvac/products/packard-c240a-contactor-2-pole-40-amps-24-coil-voltage")</f>
        <v>https://edmondsonsupply.com/collections/hvac/products/packard-c240a-contactor-2-pole-40-amps-24-coil-voltage</v>
      </c>
      <c r="B1053" s="3" t="str">
        <f>HYPERLINK("https://edmondsonsupply.com/products/packard-c240a-contactor-2-pole-40-amps-24-coil-voltage", "https://edmondsonsupply.com/products/packard-c240a-contactor-2-pole-40-amps-24-coil-voltage")</f>
        <v>https://edmondsonsupply.com/products/packard-c240a-contactor-2-pole-40-amps-24-coil-voltage</v>
      </c>
      <c r="C1053" t="s">
        <v>2737</v>
      </c>
      <c r="D1053" t="s">
        <v>2738</v>
      </c>
      <c r="E1053" s="3" t="str">
        <f>HYPERLINK("https://www.amazon.com/Goodman-Fasco-Replacement-Contactor-C240A/dp/B00S8K7L0G/ref=sr_1_4?keywords=Packard+C240A+Contactor+2+Pole+40+AMPS+24+Coil+Voltage&amp;qid=1695173372&amp;sr=8-4", "https://www.amazon.com/Goodman-Fasco-Replacement-Contactor-C240A/dp/B00S8K7L0G/ref=sr_1_4?keywords=Packard+C240A+Contactor+2+Pole+40+AMPS+24+Coil+Voltage&amp;qid=1695173372&amp;sr=8-4")</f>
        <v>https://www.amazon.com/Goodman-Fasco-Replacement-Contactor-C240A/dp/B00S8K7L0G/ref=sr_1_4?keywords=Packard+C240A+Contactor+2+Pole+40+AMPS+24+Coil+Voltage&amp;qid=1695173372&amp;sr=8-4</v>
      </c>
      <c r="F1053" t="s">
        <v>2739</v>
      </c>
      <c r="G1053" t="e">
        <f ca="1">_xludf.IMAGE("https://edmondsonsupply.com/cdn/shop/products/C240A-1.jpg?v=1590239996")</f>
        <v>#NAME?</v>
      </c>
      <c r="H1053" t="e">
        <f ca="1">_xludf.IMAGE("https://m.media-amazon.com/images/I/419GkgJ35UL._AC_UY218_.jpg")</f>
        <v>#NAME?</v>
      </c>
      <c r="I1053" t="s">
        <v>1523</v>
      </c>
      <c r="J1053">
        <v>24.51</v>
      </c>
      <c r="K1053" s="4">
        <v>0.75570000000000004</v>
      </c>
      <c r="L1053">
        <v>5</v>
      </c>
      <c r="M1053">
        <v>5</v>
      </c>
      <c r="O1053" t="s">
        <v>25</v>
      </c>
      <c r="P1053" t="s">
        <v>138</v>
      </c>
      <c r="Q1053" t="s">
        <v>2740</v>
      </c>
    </row>
    <row r="1054" spans="1:17" ht="15.5" x14ac:dyDescent="0.35">
      <c r="A1054" s="3" t="str">
        <f>HYPERLINK("https://edmondsonsupply.com/collections/hvac/products/5-2-1-tpspd-thermally-protected-surge-protection-device", "https://edmondsonsupply.com/collections/hvac/products/5-2-1-tpspd-thermally-protected-surge-protection-device")</f>
        <v>https://edmondsonsupply.com/collections/hvac/products/5-2-1-tpspd-thermally-protected-surge-protection-device</v>
      </c>
      <c r="B1054" s="3" t="str">
        <f>HYPERLINK("https://edmondsonsupply.com/products/5-2-1-tpspd-thermally-protected-surge-protection-device", "https://edmondsonsupply.com/products/5-2-1-tpspd-thermally-protected-surge-protection-device")</f>
        <v>https://edmondsonsupply.com/products/5-2-1-tpspd-thermally-protected-surge-protection-device</v>
      </c>
      <c r="C1054" t="s">
        <v>2741</v>
      </c>
      <c r="D1054" t="s">
        <v>2741</v>
      </c>
      <c r="E1054" s="3" t="str">
        <f>HYPERLINK("https://www.amazon.com/CPS-Thermally-Protected-Protection-Device/dp/B07PFYCVWH/ref=sr_1_1?keywords=CPS+5-2-1+TPSPD+Thermally+Protected+Surge+Protection+Device&amp;qid=1695173493&amp;sr=8-1", "https://www.amazon.com/CPS-Thermally-Protected-Protection-Device/dp/B07PFYCVWH/ref=sr_1_1?keywords=CPS+5-2-1+TPSPD+Thermally+Protected+Surge+Protection+Device&amp;qid=1695173493&amp;sr=8-1")</f>
        <v>https://www.amazon.com/CPS-Thermally-Protected-Protection-Device/dp/B07PFYCVWH/ref=sr_1_1?keywords=CPS+5-2-1+TPSPD+Thermally+Protected+Surge+Protection+Device&amp;qid=1695173493&amp;sr=8-1</v>
      </c>
      <c r="F1054" t="s">
        <v>2742</v>
      </c>
      <c r="G1054" t="e">
        <f ca="1">_xludf.IMAGE("https://edmondsonsupply.com/cdn/shop/products/TPSPD-1_f4h6hj.jpg?v=1633030045")</f>
        <v>#NAME?</v>
      </c>
      <c r="H1054" t="e">
        <f ca="1">_xludf.IMAGE("https://m.media-amazon.com/images/I/61HhD9jN-fL._AC_UY218_.jpg")</f>
        <v>#NAME?</v>
      </c>
      <c r="I1054" t="s">
        <v>2743</v>
      </c>
      <c r="J1054">
        <v>123.44</v>
      </c>
      <c r="K1054" s="4">
        <v>0.75390000000000001</v>
      </c>
      <c r="L1054">
        <v>4.8</v>
      </c>
      <c r="M1054">
        <v>4</v>
      </c>
      <c r="O1054" t="s">
        <v>25</v>
      </c>
      <c r="P1054" t="s">
        <v>2744</v>
      </c>
      <c r="Q1054" t="s">
        <v>2745</v>
      </c>
    </row>
    <row r="1055" spans="1:17" ht="15.5" x14ac:dyDescent="0.35">
      <c r="A1055" s="3" t="str">
        <f>HYPERLINK("https://edmondsonsupply.com/collections/hvac/products/ritchie-yellow-jacket-60440-swaging-and-45-flaring-tool-kit", "https://edmondsonsupply.com/collections/hvac/products/ritchie-yellow-jacket-60440-swaging-and-45-flaring-tool-kit")</f>
        <v>https://edmondsonsupply.com/collections/hvac/products/ritchie-yellow-jacket-60440-swaging-and-45-flaring-tool-kit</v>
      </c>
      <c r="B1055" s="3" t="str">
        <f>HYPERLINK("https://edmondsonsupply.com/products/ritchie-yellow-jacket-60440-swaging-and-45-flaring-tool-kit", "https://edmondsonsupply.com/products/ritchie-yellow-jacket-60440-swaging-and-45-flaring-tool-kit")</f>
        <v>https://edmondsonsupply.com/products/ritchie-yellow-jacket-60440-swaging-and-45-flaring-tool-kit</v>
      </c>
      <c r="C1055" t="s">
        <v>2746</v>
      </c>
      <c r="D1055" t="s">
        <v>2747</v>
      </c>
      <c r="E1055" s="3" t="str">
        <f>HYPERLINK("https://www.amazon.com/60431-Lightweight-Swaging-Flaring-Standard/dp/B072KKW9QG/ref=sr_1_2?keywords=Yellow+Jacket+60440+Swaging+and+45%C2%B0+Flaring+Tool+Kit&amp;qid=1695173579&amp;sr=8-2", "https://www.amazon.com/60431-Lightweight-Swaging-Flaring-Standard/dp/B072KKW9QG/ref=sr_1_2?keywords=Yellow+Jacket+60440+Swaging+and+45%C2%B0+Flaring+Tool+Kit&amp;qid=1695173579&amp;sr=8-2")</f>
        <v>https://www.amazon.com/60431-Lightweight-Swaging-Flaring-Standard/dp/B072KKW9QG/ref=sr_1_2?keywords=Yellow+Jacket+60440+Swaging+and+45%C2%B0+Flaring+Tool+Kit&amp;qid=1695173579&amp;sr=8-2</v>
      </c>
      <c r="F1055" t="s">
        <v>2748</v>
      </c>
      <c r="G1055" t="e">
        <f ca="1">_xludf.IMAGE("https://edmondsonsupply.com/cdn/shop/products/swaging-and-45-flaring-tools.jpg?v=1656687103")</f>
        <v>#NAME?</v>
      </c>
      <c r="H1055" t="e">
        <f ca="1">_xludf.IMAGE("https://m.media-amazon.com/images/I/71f84sE8e-L._AC_UL320_.jpg")</f>
        <v>#NAME?</v>
      </c>
      <c r="I1055" t="s">
        <v>2749</v>
      </c>
      <c r="J1055">
        <v>346.87</v>
      </c>
      <c r="K1055" s="4">
        <v>0.75309999999999999</v>
      </c>
      <c r="L1055">
        <v>5</v>
      </c>
      <c r="M1055">
        <v>3</v>
      </c>
      <c r="O1055" t="s">
        <v>25</v>
      </c>
      <c r="P1055" t="s">
        <v>138</v>
      </c>
      <c r="Q1055" t="s">
        <v>2750</v>
      </c>
    </row>
    <row r="1056" spans="1:17" ht="15.5" x14ac:dyDescent="0.35">
      <c r="A1056" s="3" t="str">
        <f>HYPERLINK("https://edmondsonsupply.com/collections/hvac/products/refrigeration-technologies-rt200r-nylog-red-gasket-thread-sealant", "https://edmondsonsupply.com/collections/hvac/products/refrigeration-technologies-rt200r-nylog-red-gasket-thread-sealant")</f>
        <v>https://edmondsonsupply.com/collections/hvac/products/refrigeration-technologies-rt200r-nylog-red-gasket-thread-sealant</v>
      </c>
      <c r="B1056" s="3" t="str">
        <f>HYPERLINK("https://edmondsonsupply.com/products/refrigeration-technologies-rt200r-nylog-red-gasket-thread-sealant", "https://edmondsonsupply.com/products/refrigeration-technologies-rt200r-nylog-red-gasket-thread-sealant")</f>
        <v>https://edmondsonsupply.com/products/refrigeration-technologies-rt200r-nylog-red-gasket-thread-sealant</v>
      </c>
      <c r="C1056" t="s">
        <v>2751</v>
      </c>
      <c r="D1056" t="s">
        <v>2752</v>
      </c>
      <c r="E1056" s="3" t="str">
        <f>HYPERLINK("https://www.amazon.com/Refrigeration-Technologies-Sealant-RT201BP-RT200RP/dp/B0BYX4DYVL/ref=sr_1_1?keywords=Refrigeration+Technologies+RT200R+Viper+Nylog+Red+-+Gasket+%26+Thread+Sealant&amp;qid=1695173429&amp;sr=8-1", "https://www.amazon.com/Refrigeration-Technologies-Sealant-RT201BP-RT200RP/dp/B0BYX4DYVL/ref=sr_1_1?keywords=Refrigeration+Technologies+RT200R+Viper+Nylog+Red+-+Gasket+%26+Thread+Sealant&amp;qid=1695173429&amp;sr=8-1")</f>
        <v>https://www.amazon.com/Refrigeration-Technologies-Sealant-RT201BP-RT200RP/dp/B0BYX4DYVL/ref=sr_1_1?keywords=Refrigeration+Technologies+RT200R+Viper+Nylog+Red+-+Gasket+%26+Thread+Sealant&amp;qid=1695173429&amp;sr=8-1</v>
      </c>
      <c r="F1056" t="s">
        <v>2753</v>
      </c>
      <c r="G1056" t="e">
        <f ca="1">_xludf.IMAGE("https://edmondsonsupply.com/cdn/shop/products/Nylog-Red-Reflection-Web.jpg?v=1633030226")</f>
        <v>#NAME?</v>
      </c>
      <c r="H1056" t="e">
        <f ca="1">_xludf.IMAGE("https://m.media-amazon.com/images/I/61U3Xd3-VnL._AC_UY218_.jpg")</f>
        <v>#NAME?</v>
      </c>
      <c r="I1056" t="s">
        <v>2754</v>
      </c>
      <c r="J1056">
        <v>11.99</v>
      </c>
      <c r="K1056" s="4">
        <v>0.75290000000000001</v>
      </c>
      <c r="L1056">
        <v>4.5999999999999996</v>
      </c>
      <c r="M1056">
        <v>3</v>
      </c>
      <c r="O1056" t="s">
        <v>25</v>
      </c>
      <c r="P1056" t="s">
        <v>2755</v>
      </c>
      <c r="Q1056" t="s">
        <v>2756</v>
      </c>
    </row>
    <row r="1057" spans="1:17" ht="15.5" x14ac:dyDescent="0.35">
      <c r="A1057" s="3" t="str">
        <f>HYPERLINK("https://edmondsonsupply.com/collections/hvac/products/refrigeration-technologies-rt640a-viper-coil-coating-aerosol-15oz", "https://edmondsonsupply.com/collections/hvac/products/refrigeration-technologies-rt640a-viper-coil-coating-aerosol-15oz")</f>
        <v>https://edmondsonsupply.com/collections/hvac/products/refrigeration-technologies-rt640a-viper-coil-coating-aerosol-15oz</v>
      </c>
      <c r="B1057" s="3" t="str">
        <f>HYPERLINK("https://edmondsonsupply.com/products/refrigeration-technologies-rt640a-viper-coil-coating-aerosol-15oz", "https://edmondsonsupply.com/products/refrigeration-technologies-rt640a-viper-coil-coating-aerosol-15oz")</f>
        <v>https://edmondsonsupply.com/products/refrigeration-technologies-rt640a-viper-coil-coating-aerosol-15oz</v>
      </c>
      <c r="C1057" t="s">
        <v>2757</v>
      </c>
      <c r="D1057" t="s">
        <v>2758</v>
      </c>
      <c r="E1057" s="3" t="str">
        <f>HYPERLINK("https://www.amazon.com/Refrigeration-Technologies-Viper-Coating-RT640A/dp/B0BTCGWX6C/ref=sr_1_2?keywords=Refrigeration+Technologies+RT640A+Viper+Coil+Coating+Aerosol+%2815oz%29&amp;qid=1695173540&amp;sr=8-2", "https://www.amazon.com/Refrigeration-Technologies-Viper-Coating-RT640A/dp/B0BTCGWX6C/ref=sr_1_2?keywords=Refrigeration+Technologies+RT640A+Viper+Coil+Coating+Aerosol+%2815oz%29&amp;qid=1695173540&amp;sr=8-2")</f>
        <v>https://www.amazon.com/Refrigeration-Technologies-Viper-Coating-RT640A/dp/B0BTCGWX6C/ref=sr_1_2?keywords=Refrigeration+Technologies+RT640A+Viper+Coil+Coating+Aerosol+%2815oz%29&amp;qid=1695173540&amp;sr=8-2</v>
      </c>
      <c r="F1057" t="s">
        <v>2759</v>
      </c>
      <c r="G1057" t="e">
        <f ca="1">_xludf.IMAGE("https://edmondsonsupply.com/cdn/shop/products/CoilCoating_Aerosol_Reflection-o17r8mukbuad3cksp9inhu09n67txxt340x6dk69z4.webp?v=1680194155")</f>
        <v>#NAME?</v>
      </c>
      <c r="H1057" t="e">
        <f ca="1">_xludf.IMAGE("https://m.media-amazon.com/images/I/31ViFYV1v2L._AC_UL320_.jpg")</f>
        <v>#NAME?</v>
      </c>
      <c r="I1057" t="s">
        <v>2760</v>
      </c>
      <c r="J1057">
        <v>47.99</v>
      </c>
      <c r="K1057" s="4">
        <v>0.75209999999999999</v>
      </c>
      <c r="L1057">
        <v>5</v>
      </c>
      <c r="M1057">
        <v>1</v>
      </c>
      <c r="O1057" t="s">
        <v>25</v>
      </c>
      <c r="P1057" t="s">
        <v>2761</v>
      </c>
      <c r="Q1057" t="s">
        <v>2762</v>
      </c>
    </row>
    <row r="1058" spans="1:17" ht="15.5" x14ac:dyDescent="0.35">
      <c r="A1058" s="3" t="str">
        <f>HYPERLINK("https://edmondsonsupply.com/collections/hvac/products/packard-trcfd555-titan-pro-run-capacitor-55-5-mfd-440-370-volt-round", "https://edmondsonsupply.com/collections/hvac/products/packard-trcfd555-titan-pro-run-capacitor-55-5-mfd-440-370-volt-round")</f>
        <v>https://edmondsonsupply.com/collections/hvac/products/packard-trcfd555-titan-pro-run-capacitor-55-5-mfd-440-370-volt-round</v>
      </c>
      <c r="B1058" s="3" t="str">
        <f>HYPERLINK("https://edmondsonsupply.com/products/packard-trcfd555-titan-pro-run-capacitor-55-5-mfd-440-370-volt-round", "https://edmondsonsupply.com/products/packard-trcfd555-titan-pro-run-capacitor-55-5-mfd-440-370-volt-round")</f>
        <v>https://edmondsonsupply.com/products/packard-trcfd555-titan-pro-run-capacitor-55-5-mfd-440-370-volt-round</v>
      </c>
      <c r="C1058" t="s">
        <v>2763</v>
      </c>
      <c r="D1058" t="s">
        <v>2764</v>
      </c>
      <c r="E1058" s="3" t="str">
        <f>HYPERLINK("https://www.amazon.com/Titan-TRCFD555-Rated-Motor-Capacitor/dp/B01IC1YX74/ref=sr_1_2?keywords=Packard+TRCFD555+Titan+PRO+Run+Capacitor+55+5+MFD+440%2F370+Volt+Round&amp;qid=1695173364&amp;sr=8-2", "https://www.amazon.com/Titan-TRCFD555-Rated-Motor-Capacitor/dp/B01IC1YX74/ref=sr_1_2?keywords=Packard+TRCFD555+Titan+PRO+Run+Capacitor+55+5+MFD+440%2F370+Volt+Round&amp;qid=1695173364&amp;sr=8-2")</f>
        <v>https://www.amazon.com/Titan-TRCFD555-Rated-Motor-Capacitor/dp/B01IC1YX74/ref=sr_1_2?keywords=Packard+TRCFD555+Titan+PRO+Run+Capacitor+55+5+MFD+440%2F370+Volt+Round&amp;qid=1695173364&amp;sr=8-2</v>
      </c>
      <c r="F1058" t="s">
        <v>2765</v>
      </c>
      <c r="G1058" t="e">
        <f ca="1">_xludf.IMAGE("https://edmondsonsupply.com/cdn/shop/products/TRCFD555-2.jpg?v=1633030311")</f>
        <v>#NAME?</v>
      </c>
      <c r="H1058" t="e">
        <f ca="1">_xludf.IMAGE("https://m.media-amazon.com/images/I/81rHH7HwrAL._AC_UY218_.jpg")</f>
        <v>#NAME?</v>
      </c>
      <c r="I1058" t="s">
        <v>2766</v>
      </c>
      <c r="J1058">
        <v>18.05</v>
      </c>
      <c r="K1058" s="4">
        <v>0.75070000000000003</v>
      </c>
      <c r="L1058">
        <v>4.8</v>
      </c>
      <c r="M1058">
        <v>60</v>
      </c>
      <c r="O1058" t="s">
        <v>25</v>
      </c>
      <c r="P1058" t="s">
        <v>138</v>
      </c>
      <c r="Q1058" t="s">
        <v>2767</v>
      </c>
    </row>
    <row r="1059" spans="1:17" ht="15.5" x14ac:dyDescent="0.35">
      <c r="A1059" s="3" t="str">
        <f>HYPERLINK("https://edmondsonsupply.com/collections/hvac/products/esp-pop5-lil-popper-control-board-circuit-breaker-5-amp", "https://edmondsonsupply.com/collections/hvac/products/esp-pop5-lil-popper-control-board-circuit-breaker-5-amp")</f>
        <v>https://edmondsonsupply.com/collections/hvac/products/esp-pop5-lil-popper-control-board-circuit-breaker-5-amp</v>
      </c>
      <c r="B1059" s="3" t="str">
        <f>HYPERLINK("https://edmondsonsupply.com/products/esp-pop5-lil-popper-control-board-circuit-breaker-5-amp", "https://edmondsonsupply.com/products/esp-pop5-lil-popper-control-board-circuit-breaker-5-amp")</f>
        <v>https://edmondsonsupply.com/products/esp-pop5-lil-popper-control-board-circuit-breaker-5-amp</v>
      </c>
      <c r="C1059" t="s">
        <v>2768</v>
      </c>
      <c r="D1059" t="s">
        <v>2769</v>
      </c>
      <c r="E1059" s="3" t="str">
        <f>HYPERLINK("https://www.amazon.com/EvertechPRO-Control-Circuit-Breaker-Replacement/dp/B08R7RZHBK/ref=sr_1_6?keywords=ESP+POP5+Lil+Popper+Control+Board+Circuit+Breaker-+5+Amp&amp;qid=1695173543&amp;sr=8-6", "https://www.amazon.com/EvertechPRO-Control-Circuit-Breaker-Replacement/dp/B08R7RZHBK/ref=sr_1_6?keywords=ESP+POP5+Lil+Popper+Control+Board+Circuit+Breaker-+5+Amp&amp;qid=1695173543&amp;sr=8-6")</f>
        <v>https://www.amazon.com/EvertechPRO-Control-Circuit-Breaker-Replacement/dp/B08R7RZHBK/ref=sr_1_6?keywords=ESP+POP5+Lil+Popper+Control+Board+Circuit+Breaker-+5+Amp&amp;qid=1695173543&amp;sr=8-6</v>
      </c>
      <c r="F1059" t="s">
        <v>2770</v>
      </c>
      <c r="G1059" t="e">
        <f ca="1">_xludf.IMAGE("https://edmondsonsupply.com/cdn/shop/products/pop5_xl_1.jpg?v=1633030636")</f>
        <v>#NAME?</v>
      </c>
      <c r="H1059" t="e">
        <f ca="1">_xludf.IMAGE("https://m.media-amazon.com/images/I/617cW+-1dhL._AC_UL320_.jpg")</f>
        <v>#NAME?</v>
      </c>
      <c r="I1059" t="s">
        <v>2337</v>
      </c>
      <c r="J1059">
        <v>20.99</v>
      </c>
      <c r="K1059" s="4">
        <v>0.75060000000000004</v>
      </c>
      <c r="L1059">
        <v>4.7</v>
      </c>
      <c r="M1059">
        <v>94</v>
      </c>
      <c r="O1059" t="s">
        <v>25</v>
      </c>
      <c r="P1059" t="s">
        <v>138</v>
      </c>
      <c r="Q1059" t="s">
        <v>2771</v>
      </c>
    </row>
    <row r="1060" spans="1:17" ht="15.5" x14ac:dyDescent="0.35">
      <c r="A1060" s="3" t="str">
        <f>HYPERLINK("https://edmondsonsupply.com/collections/hvac/products/esp-pop3-lil-popper-control-board-circuit-breaker-3-amp", "https://edmondsonsupply.com/collections/hvac/products/esp-pop3-lil-popper-control-board-circuit-breaker-3-amp")</f>
        <v>https://edmondsonsupply.com/collections/hvac/products/esp-pop3-lil-popper-control-board-circuit-breaker-3-amp</v>
      </c>
      <c r="B1060" s="3" t="str">
        <f>HYPERLINK("https://edmondsonsupply.com/products/esp-pop3-lil-popper-control-board-circuit-breaker-3-amp", "https://edmondsonsupply.com/products/esp-pop3-lil-popper-control-board-circuit-breaker-3-amp")</f>
        <v>https://edmondsonsupply.com/products/esp-pop3-lil-popper-control-board-circuit-breaker-3-amp</v>
      </c>
      <c r="C1060" t="s">
        <v>2772</v>
      </c>
      <c r="D1060" t="s">
        <v>2769</v>
      </c>
      <c r="E1060" s="3" t="str">
        <f>HYPERLINK("https://www.amazon.com/EvertechPRO-Control-Circuit-Breaker-Replacement/dp/B08R7RZHBK/ref=sr_1_4?keywords=ESP+POP3+Li%27l+Popper+Control+Board+Circuit+Breaker-+3+Amp&amp;qid=1695173376&amp;sr=8-4", "https://www.amazon.com/EvertechPRO-Control-Circuit-Breaker-Replacement/dp/B08R7RZHBK/ref=sr_1_4?keywords=ESP+POP3+Li%27l+Popper+Control+Board+Circuit+Breaker-+3+Amp&amp;qid=1695173376&amp;sr=8-4")</f>
        <v>https://www.amazon.com/EvertechPRO-Control-Circuit-Breaker-Replacement/dp/B08R7RZHBK/ref=sr_1_4?keywords=ESP+POP3+Li%27l+Popper+Control+Board+Circuit+Breaker-+3+Amp&amp;qid=1695173376&amp;sr=8-4</v>
      </c>
      <c r="F1060" t="s">
        <v>2770</v>
      </c>
      <c r="G1060" t="e">
        <f ca="1">_xludf.IMAGE("https://edmondsonsupply.com/cdn/shop/products/pop3_xl_1.jpg?v=1633030635")</f>
        <v>#NAME?</v>
      </c>
      <c r="H1060" t="e">
        <f ca="1">_xludf.IMAGE("https://m.media-amazon.com/images/I/617cW+-1dhL._AC_UL320_.jpg")</f>
        <v>#NAME?</v>
      </c>
      <c r="I1060" t="s">
        <v>2337</v>
      </c>
      <c r="J1060">
        <v>20.99</v>
      </c>
      <c r="K1060" s="4">
        <v>0.75060000000000004</v>
      </c>
      <c r="L1060">
        <v>4.7</v>
      </c>
      <c r="M1060">
        <v>94</v>
      </c>
      <c r="O1060" t="s">
        <v>25</v>
      </c>
      <c r="P1060" t="s">
        <v>138</v>
      </c>
      <c r="Q1060" t="s">
        <v>2773</v>
      </c>
    </row>
    <row r="1061" spans="1:17" ht="15.5" x14ac:dyDescent="0.35">
      <c r="A1061" s="3" t="str">
        <f>HYPERLINK("https://edmondsonsupply.com/collections/hvac/products/klein-tools-94155-american-legacy-lineman-pliers-and-klein-kurve%C2%AE-wire-stripper-cutter", "https://edmondsonsupply.com/collections/hvac/products/klein-tools-94155-american-legacy-lineman-pliers-and-klein-kurve%C2%AE-wire-stripper-cutter")</f>
        <v>https://edmondsonsupply.com/collections/hvac/products/klein-tools-94155-american-legacy-lineman-pliers-and-klein-kurve%C2%AE-wire-stripper-cutter</v>
      </c>
      <c r="B1061"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1061" t="s">
        <v>195</v>
      </c>
      <c r="D1061" t="s">
        <v>196</v>
      </c>
      <c r="E1061" s="3" t="str">
        <f>HYPERLINK("https://www.amazon.com/Linemans-Side-Cutting-Klein-Tools-80043/dp/B0977RM5G5/ref=sr_1_4?keywords=Klein+Tools+94155+American+Legacy+Lineman+Pliers+and+Klein-Kurve%C2%AE+Wire+Stripper+%2F+Cutter&amp;qid=1695173330&amp;sr=8-4", "https://www.amazon.com/Linemans-Side-Cutting-Klein-Tools-80043/dp/B0977RM5G5/ref=sr_1_4?keywords=Klein+Tools+94155+American+Legacy+Lineman+Pliers+and+Klein-Kurve%C2%AE+Wire+Stripper+%2F+Cutter&amp;qid=1695173330&amp;sr=8-4")</f>
        <v>https://www.amazon.com/Linemans-Side-Cutting-Klein-Tools-80043/dp/B0977RM5G5/ref=sr_1_4?keywords=Klein+Tools+94155+American+Legacy+Lineman+Pliers+and+Klein-Kurve%C2%AE+Wire+Stripper+%2F+Cutter&amp;qid=1695173330&amp;sr=8-4</v>
      </c>
      <c r="F1061" t="s">
        <v>197</v>
      </c>
      <c r="G1061" t="e">
        <f ca="1">_xludf.IMAGE("https://edmondsonsupply.com/cdn/shop/products/94155.jpg?v=1674141590")</f>
        <v>#NAME?</v>
      </c>
      <c r="H1061" t="e">
        <f ca="1">_xludf.IMAGE("https://m.media-amazon.com/images/I/51t8JGB+SAS._AC_UL320_.jpg")</f>
        <v>#NAME?</v>
      </c>
      <c r="I1061" t="s">
        <v>198</v>
      </c>
      <c r="J1061">
        <v>69.989999999999995</v>
      </c>
      <c r="K1061" s="4">
        <v>0.75019999999999998</v>
      </c>
      <c r="L1061">
        <v>4.8</v>
      </c>
      <c r="M1061">
        <v>1451</v>
      </c>
      <c r="O1061" t="s">
        <v>25</v>
      </c>
      <c r="P1061" t="s">
        <v>199</v>
      </c>
      <c r="Q1061" t="s">
        <v>200</v>
      </c>
    </row>
    <row r="1062" spans="1:17" ht="15.5" x14ac:dyDescent="0.35">
      <c r="A1062" s="3" t="str">
        <f>HYPERLINK("https://edmondsonsupply.com/collections/hvac/products/klein-tools-70550-pro-folding-hex-key-set-11-fractional-inch-sized-keys", "https://edmondsonsupply.com/collections/hvac/products/klein-tools-70550-pro-folding-hex-key-set-11-fractional-inch-sized-keys")</f>
        <v>https://edmondsonsupply.com/collections/hvac/products/klein-tools-70550-pro-folding-hex-key-set-11-fractional-inch-sized-keys</v>
      </c>
      <c r="B1062"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1062" t="s">
        <v>2659</v>
      </c>
      <c r="D1062" t="s">
        <v>2774</v>
      </c>
      <c r="E1062" s="3" t="str">
        <f>HYPERLINK("https://www.amazon.com/Klein-Tools-Conduit-Lockout-Locknuts/dp/B0CF2F1JTM/ref=sr_1_4?keywords=Klein+Tools+70550+Pro+Folding+Hex+Key+Set%2C+11-Key%2C+SAE+Sizes&amp;qid=1695173667&amp;sr=8-4", "https://www.amazon.com/Klein-Tools-Conduit-Lockout-Locknuts/dp/B0CF2F1JTM/ref=sr_1_4?keywords=Klein+Tools+70550+Pro+Folding+Hex+Key+Set%2C+11-Key%2C+SAE+Sizes&amp;qid=1695173667&amp;sr=8-4")</f>
        <v>https://www.amazon.com/Klein-Tools-Conduit-Lockout-Locknuts/dp/B0CF2F1JTM/ref=sr_1_4?keywords=Klein+Tools+70550+Pro+Folding+Hex+Key+Set%2C+11-Key%2C+SAE+Sizes&amp;qid=1695173667&amp;sr=8-4</v>
      </c>
      <c r="F1062" t="s">
        <v>2775</v>
      </c>
      <c r="G1062" t="e">
        <f ca="1">_xludf.IMAGE("https://edmondsonsupply.com/cdn/shop/products/70550.jpg?v=1587145237")</f>
        <v>#NAME?</v>
      </c>
      <c r="H1062" t="e">
        <f ca="1">_xludf.IMAGE("https://m.media-amazon.com/images/I/41bIGhL6z5L._AC_UL320_.jpg")</f>
        <v>#NAME?</v>
      </c>
      <c r="I1062" t="s">
        <v>893</v>
      </c>
      <c r="J1062">
        <v>34.94</v>
      </c>
      <c r="K1062" s="4">
        <v>0.74960000000000004</v>
      </c>
      <c r="L1062">
        <v>4.5</v>
      </c>
      <c r="M1062">
        <v>127</v>
      </c>
      <c r="O1062" t="s">
        <v>25</v>
      </c>
      <c r="P1062" t="s">
        <v>2662</v>
      </c>
      <c r="Q1062" t="s">
        <v>2663</v>
      </c>
    </row>
    <row r="1063" spans="1:17" ht="15.5" x14ac:dyDescent="0.35">
      <c r="A1063"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1063" s="3" t="str">
        <f>HYPERLINK("https://edmondsonsupply.com/products/klein-tools-32907-7-in-1-impact-flip-socket-set-no-handle", "https://edmondsonsupply.com/products/klein-tools-32907-7-in-1-impact-flip-socket-set-no-handle")</f>
        <v>https://edmondsonsupply.com/products/klein-tools-32907-7-in-1-impact-flip-socket-set-no-handle</v>
      </c>
      <c r="C1063" t="s">
        <v>1833</v>
      </c>
      <c r="D1063" t="s">
        <v>2776</v>
      </c>
      <c r="E1063" s="3" t="str">
        <f>HYPERLINK("https://www.amazon.com/Klein-Tools-Conduit-Lockout-Locknuts/dp/B0CF2DNQ9B/ref=sr_1_4?keywords=Klein+Tools+32907+7-in-1+Impact+Flip+Socket+Set%2C+No+Handle&amp;qid=1695173428&amp;sr=8-4", "https://www.amazon.com/Klein-Tools-Conduit-Lockout-Locknuts/dp/B0CF2DNQ9B/ref=sr_1_4?keywords=Klein+Tools+32907+7-in-1+Impact+Flip+Socket+Set%2C+No+Handle&amp;qid=1695173428&amp;sr=8-4")</f>
        <v>https://www.amazon.com/Klein-Tools-Conduit-Lockout-Locknuts/dp/B0CF2DNQ9B/ref=sr_1_4?keywords=Klein+Tools+32907+7-in-1+Impact+Flip+Socket+Set%2C+No+Handle&amp;qid=1695173428&amp;sr=8-4</v>
      </c>
      <c r="F1063" t="s">
        <v>2777</v>
      </c>
      <c r="G1063" t="e">
        <f ca="1">_xludf.IMAGE("https://edmondsonsupply.com/cdn/shop/products/32907_b.jpg?v=1666025282")</f>
        <v>#NAME?</v>
      </c>
      <c r="H1063" t="e">
        <f ca="1">_xludf.IMAGE("https://m.media-amazon.com/images/I/41kMxpco1dL._AC_UL320_.jpg")</f>
        <v>#NAME?</v>
      </c>
      <c r="I1063" t="s">
        <v>577</v>
      </c>
      <c r="J1063">
        <v>34.96</v>
      </c>
      <c r="K1063" s="4">
        <v>0.74890000000000001</v>
      </c>
      <c r="L1063">
        <v>4.5</v>
      </c>
      <c r="M1063">
        <v>127</v>
      </c>
      <c r="O1063" t="s">
        <v>25</v>
      </c>
      <c r="P1063" t="s">
        <v>1836</v>
      </c>
      <c r="Q1063" t="s">
        <v>1837</v>
      </c>
    </row>
    <row r="1064" spans="1:17" ht="15.5" x14ac:dyDescent="0.35">
      <c r="A1064" s="3" t="str">
        <f>HYPERLINK("https://edmondsonsupply.com/collections/hvac/products/fieldpiece-anc11-sman-soft-case-black", "https://edmondsonsupply.com/collections/hvac/products/fieldpiece-anc11-sman-soft-case-black")</f>
        <v>https://edmondsonsupply.com/collections/hvac/products/fieldpiece-anc11-sman-soft-case-black</v>
      </c>
      <c r="B1064" s="3" t="str">
        <f>HYPERLINK("https://edmondsonsupply.com/products/fieldpiece-anc11-sman-soft-case-black", "https://edmondsonsupply.com/products/fieldpiece-anc11-sman-soft-case-black")</f>
        <v>https://edmondsonsupply.com/products/fieldpiece-anc11-sman-soft-case-black</v>
      </c>
      <c r="C1064" t="s">
        <v>383</v>
      </c>
      <c r="D1064" t="s">
        <v>384</v>
      </c>
      <c r="E1064" s="3" t="str">
        <f>HYPERLINK("https://www.amazon.com/Fieldpiece-ANC11-Padded-Drawstring-Case/dp/B08CMWRQ8V/ref=sr_1_1?keywords=Fieldpiece+ANC11+Manifold+Case&amp;qid=1695173387&amp;sr=8-1", "https://www.amazon.com/Fieldpiece-ANC11-Padded-Drawstring-Case/dp/B08CMWRQ8V/ref=sr_1_1?keywords=Fieldpiece+ANC11+Manifold+Case&amp;qid=1695173387&amp;sr=8-1")</f>
        <v>https://www.amazon.com/Fieldpiece-ANC11-Padded-Drawstring-Case/dp/B08CMWRQ8V/ref=sr_1_1?keywords=Fieldpiece+ANC11+Manifold+Case&amp;qid=1695173387&amp;sr=8-1</v>
      </c>
      <c r="F1064" t="s">
        <v>385</v>
      </c>
      <c r="G1064" t="e">
        <f ca="1">_xludf.IMAGE("https://edmondsonsupply.com/cdn/shop/products/ANC11-SRC-Product-300dpi.jpg?v=1633030204")</f>
        <v>#NAME?</v>
      </c>
      <c r="H1064" t="e">
        <f ca="1">_xludf.IMAGE("https://m.media-amazon.com/images/I/41cwlO2JZFL._AC_UL320_.jpg")</f>
        <v>#NAME?</v>
      </c>
      <c r="I1064" t="s">
        <v>386</v>
      </c>
      <c r="J1064">
        <v>54.99</v>
      </c>
      <c r="K1064" s="4">
        <v>0.74850000000000005</v>
      </c>
      <c r="L1064">
        <v>4.7</v>
      </c>
      <c r="M1064">
        <v>48</v>
      </c>
      <c r="O1064" t="s">
        <v>25</v>
      </c>
      <c r="P1064" t="s">
        <v>387</v>
      </c>
      <c r="Q1064" t="s">
        <v>388</v>
      </c>
    </row>
    <row r="1065" spans="1:17" ht="15.5" x14ac:dyDescent="0.35">
      <c r="A1065" s="3" t="str">
        <f>HYPERLINK("https://edmondsonsupply.com/collections/hvac/products/yellow-jacket-40860-p51-860-titan-digital-manifold", "https://edmondsonsupply.com/collections/hvac/products/yellow-jacket-40860-p51-860-titan-digital-manifold")</f>
        <v>https://edmondsonsupply.com/collections/hvac/products/yellow-jacket-40860-p51-860-titan-digital-manifold</v>
      </c>
      <c r="B1065" s="3" t="str">
        <f>HYPERLINK("https://edmondsonsupply.com/products/yellow-jacket-40860-p51-860-titan-digital-manifold", "https://edmondsonsupply.com/products/yellow-jacket-40860-p51-860-titan-digital-manifold")</f>
        <v>https://edmondsonsupply.com/products/yellow-jacket-40860-p51-860-titan-digital-manifold</v>
      </c>
      <c r="C1065" t="s">
        <v>2778</v>
      </c>
      <c r="D1065" t="s">
        <v>2779</v>
      </c>
      <c r="E1065" s="3" t="str">
        <f>HYPERLINK("https://www.amazon.com/Yellow-Jacket-P51-870-Digital-Manifold/dp/B07QMKT79M/ref=sr_1_2?keywords=Yellow+Jacket+40860+P51-860+Titan+Digital+Manifold&amp;qid=1695173577&amp;sr=8-2", "https://www.amazon.com/Yellow-Jacket-P51-870-Digital-Manifold/dp/B07QMKT79M/ref=sr_1_2?keywords=Yellow+Jacket+40860+P51-860+Titan+Digital+Manifold&amp;qid=1695173577&amp;sr=8-2")</f>
        <v>https://www.amazon.com/Yellow-Jacket-P51-870-Digital-Manifold/dp/B07QMKT79M/ref=sr_1_2?keywords=Yellow+Jacket+40860+P51-860+Titan+Digital+Manifold&amp;qid=1695173577&amp;sr=8-2</v>
      </c>
      <c r="F1065" t="s">
        <v>2780</v>
      </c>
      <c r="G1065" t="e">
        <f ca="1">_xludf.IMAGE("https://edmondsonsupply.com/cdn/shop/products/40860_1200x1200_9028ad62-78fb-466e-98e0-f5ac110d1c57.jpg?v=1587150764")</f>
        <v>#NAME?</v>
      </c>
      <c r="H1065" t="e">
        <f ca="1">_xludf.IMAGE("https://m.media-amazon.com/images/I/71U0lOmypaL._AC_UY218_.jpg")</f>
        <v>#NAME?</v>
      </c>
      <c r="I1065" t="s">
        <v>2781</v>
      </c>
      <c r="J1065">
        <v>887.68</v>
      </c>
      <c r="K1065" s="4">
        <v>0.74519999999999997</v>
      </c>
      <c r="L1065">
        <v>3.8</v>
      </c>
      <c r="M1065">
        <v>10</v>
      </c>
      <c r="O1065" t="s">
        <v>25</v>
      </c>
      <c r="P1065" t="s">
        <v>138</v>
      </c>
      <c r="Q1065" t="s">
        <v>2782</v>
      </c>
    </row>
    <row r="1066" spans="1:17" ht="15.5" x14ac:dyDescent="0.35">
      <c r="A1066" s="3" t="str">
        <f>HYPERLINK("https://edmondsonsupply.com/collections/hvac/products/milwaukee-48-22-1502-fastback%E2%84%A2-folding-utility-knife-w-blade-storage", "https://edmondsonsupply.com/collections/hvac/products/milwaukee-48-22-1502-fastback%E2%84%A2-folding-utility-knife-w-blade-storage")</f>
        <v>https://edmondsonsupply.com/collections/hvac/products/milwaukee-48-22-1502-fastback%E2%84%A2-folding-utility-knife-w-blade-storage</v>
      </c>
      <c r="B1066" s="3" t="str">
        <f>HYPERLINK("https://edmondsonsupply.com/products/milwaukee-48-22-1502-fastback%e2%84%a2-folding-utility-knife-w-blade-storage", "https://edmondsonsupply.com/products/milwaukee-48-22-1502-fastback%e2%84%a2-folding-utility-knife-w-blade-storage")</f>
        <v>https://edmondsonsupply.com/products/milwaukee-48-22-1502-fastback%e2%84%a2-folding-utility-knife-w-blade-storage</v>
      </c>
      <c r="C1066" t="s">
        <v>2783</v>
      </c>
      <c r="D1066" t="s">
        <v>1942</v>
      </c>
      <c r="E1066" s="3" t="str">
        <f>HYPERLINK("https://www.amazon.com/Milwaukee-48-22-1505-FastbackTM-Folding-Utility/dp/B0C69TGH9K/ref=sr_1_5?keywords=Milwaukee+48-22-1502+FASTBACK%E2%84%A2+Folding+Utility+Knife+w%2F+Blade+Storage&amp;qid=1695173435&amp;sr=8-5", "https://www.amazon.com/Milwaukee-48-22-1505-FastbackTM-Folding-Utility/dp/B0C69TGH9K/ref=sr_1_5?keywords=Milwaukee+48-22-1502+FASTBACK%E2%84%A2+Folding+Utility+Knife+w%2F+Blade+Storage&amp;qid=1695173435&amp;sr=8-5")</f>
        <v>https://www.amazon.com/Milwaukee-48-22-1505-FastbackTM-Folding-Utility/dp/B0C69TGH9K/ref=sr_1_5?keywords=Milwaukee+48-22-1502+FASTBACK%E2%84%A2+Folding+Utility+Knife+w%2F+Blade+Storage&amp;qid=1695173435&amp;sr=8-5</v>
      </c>
      <c r="F1066" t="s">
        <v>1943</v>
      </c>
      <c r="G1066" t="e">
        <f ca="1">_xludf.IMAGE("https://edmondsonsupply.com/cdn/shop/products/48-22-1502_3.png?v=1587148345")</f>
        <v>#NAME?</v>
      </c>
      <c r="H1066" t="e">
        <f ca="1">_xludf.IMAGE("https://m.media-amazon.com/images/I/41ZUsUsHByL._AC_UL320_.jpg")</f>
        <v>#NAME?</v>
      </c>
      <c r="I1066" t="s">
        <v>2784</v>
      </c>
      <c r="J1066">
        <v>26</v>
      </c>
      <c r="K1066" s="4">
        <v>0.73680000000000001</v>
      </c>
      <c r="L1066">
        <v>4.7</v>
      </c>
      <c r="M1066">
        <v>4</v>
      </c>
      <c r="O1066" t="s">
        <v>25</v>
      </c>
      <c r="P1066" t="s">
        <v>1707</v>
      </c>
      <c r="Q1066" t="s">
        <v>2785</v>
      </c>
    </row>
    <row r="1067" spans="1:17" ht="15.5" x14ac:dyDescent="0.35">
      <c r="A1067" s="3" t="str">
        <f>HYPERLINK("https://edmondsonsupply.com/collections/hvac/products/klein-tools-5183-tradesman-pro%E2%84%A2-drill-pouch", "https://edmondsonsupply.com/collections/hvac/products/klein-tools-5183-tradesman-pro%E2%84%A2-drill-pouch")</f>
        <v>https://edmondsonsupply.com/collections/hvac/products/klein-tools-5183-tradesman-pro%E2%84%A2-drill-pouch</v>
      </c>
      <c r="B1067" s="3" t="str">
        <f>HYPERLINK("https://edmondsonsupply.com/products/klein-tools-5183-tradesman-pro%e2%84%a2-drill-pouch", "https://edmondsonsupply.com/products/klein-tools-5183-tradesman-pro%e2%84%a2-drill-pouch")</f>
        <v>https://edmondsonsupply.com/products/klein-tools-5183-tradesman-pro%e2%84%a2-drill-pouch</v>
      </c>
      <c r="C1067" t="s">
        <v>359</v>
      </c>
      <c r="D1067" t="s">
        <v>395</v>
      </c>
      <c r="E1067" s="3" t="str">
        <f>HYPERLINK("https://www.amazon.com/Klein-Tools-Tradesman-Maintenance-Ballistic/dp/B0BGJ64ZZV/ref=sr_1_4?keywords=Klein+Tools+5183+Tool+Bag%2C+Tradesman+Pro%E2%84%A2+Drill+Pouch&amp;qid=1695173662&amp;sr=8-4", "https://www.amazon.com/Klein-Tools-Tradesman-Maintenance-Ballistic/dp/B0BGJ64ZZV/ref=sr_1_4?keywords=Klein+Tools+5183+Tool+Bag%2C+Tradesman+Pro%E2%84%A2+Drill+Pouch&amp;qid=1695173662&amp;sr=8-4")</f>
        <v>https://www.amazon.com/Klein-Tools-Tradesman-Maintenance-Ballistic/dp/B0BGJ64ZZV/ref=sr_1_4?keywords=Klein+Tools+5183+Tool+Bag%2C+Tradesman+Pro%E2%84%A2+Drill+Pouch&amp;qid=1695173662&amp;sr=8-4</v>
      </c>
      <c r="F1067" t="s">
        <v>396</v>
      </c>
      <c r="G1067" t="e">
        <f ca="1">_xludf.IMAGE("https://edmondsonsupply.com/cdn/shop/products/5183.jpg?v=1587145505")</f>
        <v>#NAME?</v>
      </c>
      <c r="H1067" t="e">
        <f ca="1">_xludf.IMAGE("https://m.media-amazon.com/images/I/51MhFcPcwgL._AC_UL320_.jpg")</f>
        <v>#NAME?</v>
      </c>
      <c r="I1067" t="s">
        <v>362</v>
      </c>
      <c r="J1067">
        <v>44.99</v>
      </c>
      <c r="K1067" s="4">
        <v>0.73109999999999997</v>
      </c>
      <c r="L1067">
        <v>4.5999999999999996</v>
      </c>
      <c r="M1067">
        <v>3</v>
      </c>
      <c r="O1067" t="s">
        <v>25</v>
      </c>
      <c r="P1067" t="s">
        <v>363</v>
      </c>
      <c r="Q1067" t="s">
        <v>364</v>
      </c>
    </row>
    <row r="1068" spans="1:17" ht="15.5" x14ac:dyDescent="0.35">
      <c r="A1068" s="3" t="str">
        <f>HYPERLINK("https://edmondsonsupply.com/collections/hvac/products/cps-btb300", "https://edmondsonsupply.com/collections/hvac/products/cps-btb300")</f>
        <v>https://edmondsonsupply.com/collections/hvac/products/cps-btb300</v>
      </c>
      <c r="B1068" s="3" t="str">
        <f>HYPERLINK("https://edmondsonsupply.com/products/cps-btb300", "https://edmondsonsupply.com/products/cps-btb300")</f>
        <v>https://edmondsonsupply.com/products/cps-btb300</v>
      </c>
      <c r="C1068" t="s">
        <v>2786</v>
      </c>
      <c r="D1068" t="s">
        <v>2787</v>
      </c>
      <c r="E1068" s="3" t="str">
        <f>HYPERLINK("https://www.amazon.com/Equipments-BLACKMAX-Ratcheting-Adjustable-Electronic/dp/B0BMJRXXLS/ref=sr_1_1?keywords=CPS+Products+BTB300+BlackMax+Tubing+Bender+Kit&amp;qid=1695173573&amp;sr=8-1", "https://www.amazon.com/Equipments-BLACKMAX-Ratcheting-Adjustable-Electronic/dp/B0BMJRXXLS/ref=sr_1_1?keywords=CPS+Products+BTB300+BlackMax+Tubing+Bender+Kit&amp;qid=1695173573&amp;sr=8-1")</f>
        <v>https://www.amazon.com/Equipments-BLACKMAX-Ratcheting-Adjustable-Electronic/dp/B0BMJRXXLS/ref=sr_1_1?keywords=CPS+Products+BTB300+BlackMax+Tubing+Bender+Kit&amp;qid=1695173573&amp;sr=8-1</v>
      </c>
      <c r="F1068" t="s">
        <v>2788</v>
      </c>
      <c r="G1068" t="e">
        <f ca="1">_xludf.IMAGE("https://edmondsonsupply.com/cdn/shop/products/btb300.jpg?v=1587144067")</f>
        <v>#NAME?</v>
      </c>
      <c r="H1068" t="e">
        <f ca="1">_xludf.IMAGE("https://m.media-amazon.com/images/I/51rEotUOF-L._AC_UL320_.jpg")</f>
        <v>#NAME?</v>
      </c>
      <c r="I1068" t="s">
        <v>2789</v>
      </c>
      <c r="J1068">
        <v>362.23</v>
      </c>
      <c r="K1068" s="4">
        <v>0.72489999999999999</v>
      </c>
      <c r="L1068">
        <v>5</v>
      </c>
      <c r="M1068">
        <v>1</v>
      </c>
      <c r="O1068" t="s">
        <v>25</v>
      </c>
      <c r="P1068" t="s">
        <v>2790</v>
      </c>
      <c r="Q1068" t="s">
        <v>2791</v>
      </c>
    </row>
    <row r="1069" spans="1:17" ht="15.5" x14ac:dyDescent="0.35">
      <c r="A1069" s="3" t="str">
        <f>HYPERLINK("https://edmondsonsupply.com/collections/hvac/products/uniweld-utc702-premium-tubing-cutter", "https://edmondsonsupply.com/collections/hvac/products/uniweld-utc702-premium-tubing-cutter")</f>
        <v>https://edmondsonsupply.com/collections/hvac/products/uniweld-utc702-premium-tubing-cutter</v>
      </c>
      <c r="B1069" s="3" t="str">
        <f>HYPERLINK("https://edmondsonsupply.com/products/uniweld-utc702-premium-tubing-cutter", "https://edmondsonsupply.com/products/uniweld-utc702-premium-tubing-cutter")</f>
        <v>https://edmondsonsupply.com/products/uniweld-utc702-premium-tubing-cutter</v>
      </c>
      <c r="C1069" t="s">
        <v>2792</v>
      </c>
      <c r="D1069" t="s">
        <v>2793</v>
      </c>
      <c r="E1069" s="3" t="str">
        <f>HYPERLINK("https://www.amazon.com/Uniweld-UTC703-Premium-Tubing-Aluminum/dp/B00HNQRKIO/ref=sr_1_3?keywords=Uniweld+UTC702+1%2F8%E2%80%B3+to+1-1%2F8%E2%80%B3+Premium+Tubing+Cutter&amp;qid=1695173635&amp;sr=8-3", "https://www.amazon.com/Uniweld-UTC703-Premium-Tubing-Aluminum/dp/B00HNQRKIO/ref=sr_1_3?keywords=Uniweld+UTC702+1%2F8%E2%80%B3+to+1-1%2F8%E2%80%B3+Premium+Tubing+Cutter&amp;qid=1695173635&amp;sr=8-3")</f>
        <v>https://www.amazon.com/Uniweld-UTC703-Premium-Tubing-Aluminum/dp/B00HNQRKIO/ref=sr_1_3?keywords=Uniweld+UTC702+1%2F8%E2%80%B3+to+1-1%2F8%E2%80%B3+Premium+Tubing+Cutter&amp;qid=1695173635&amp;sr=8-3</v>
      </c>
      <c r="F1069" t="s">
        <v>2794</v>
      </c>
      <c r="G1069" t="e">
        <f ca="1">_xludf.IMAGE("https://edmondsonsupply.com/cdn/shop/products/utc702-front.jpg?v=1656354409")</f>
        <v>#NAME?</v>
      </c>
      <c r="H1069" t="e">
        <f ca="1">_xludf.IMAGE("https://m.media-amazon.com/images/I/51xkqZ0h0lL._AC_UL320_.jpg")</f>
        <v>#NAME?</v>
      </c>
      <c r="I1069" t="s">
        <v>2795</v>
      </c>
      <c r="J1069">
        <v>42.39</v>
      </c>
      <c r="K1069" s="4">
        <v>0.72389999999999999</v>
      </c>
      <c r="L1069">
        <v>5</v>
      </c>
      <c r="M1069">
        <v>1</v>
      </c>
      <c r="O1069" t="s">
        <v>25</v>
      </c>
      <c r="P1069" t="s">
        <v>2796</v>
      </c>
      <c r="Q1069" t="s">
        <v>2797</v>
      </c>
    </row>
    <row r="1070" spans="1:17" ht="15.5" x14ac:dyDescent="0.35">
      <c r="A1070" s="3" t="str">
        <f>HYPERLINK("https://edmondsonsupply.com/collections/hvac/products/klein-tools-85073ins-screwdriver-set-1000v-insulated-3-piece", "https://edmondsonsupply.com/collections/hvac/products/klein-tools-85073ins-screwdriver-set-1000v-insulated-3-piece")</f>
        <v>https://edmondsonsupply.com/collections/hvac/products/klein-tools-85073ins-screwdriver-set-1000v-insulated-3-piece</v>
      </c>
      <c r="B1070"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1070" t="s">
        <v>2244</v>
      </c>
      <c r="D1070" t="s">
        <v>2798</v>
      </c>
      <c r="E1070" s="3" t="str">
        <f>HYPERLINK("https://www.amazon.com/Klein-Tools-33734INS-Insulated-Screwdriver/dp/B088NQ1D2B/ref=sr_1_9?keywords=Klein+Tools+85073INS+Screwdriver+Set%2C+1000V+Insulated%2C+3-Piece&amp;qid=1695173458&amp;sr=8-9", "https://www.amazon.com/Klein-Tools-33734INS-Insulated-Screwdriver/dp/B088NQ1D2B/ref=sr_1_9?keywords=Klein+Tools+85073INS+Screwdriver+Set%2C+1000V+Insulated%2C+3-Piece&amp;qid=1695173458&amp;sr=8-9")</f>
        <v>https://www.amazon.com/Klein-Tools-33734INS-Insulated-Screwdriver/dp/B088NQ1D2B/ref=sr_1_9?keywords=Klein+Tools+85073INS+Screwdriver+Set%2C+1000V+Insulated%2C+3-Piece&amp;qid=1695173458&amp;sr=8-9</v>
      </c>
      <c r="F1070" t="s">
        <v>2799</v>
      </c>
      <c r="G1070" t="e">
        <f ca="1">_xludf.IMAGE("https://edmondsonsupply.com/cdn/shop/products/85073ins.jpg?v=1664890503")</f>
        <v>#NAME?</v>
      </c>
      <c r="H1070" t="e">
        <f ca="1">_xludf.IMAGE("https://m.media-amazon.com/images/I/41+LCtq0IpL._AC_UL320_.jpg")</f>
        <v>#NAME?</v>
      </c>
      <c r="I1070" t="s">
        <v>2247</v>
      </c>
      <c r="J1070">
        <v>37.700000000000003</v>
      </c>
      <c r="K1070" s="4">
        <v>0.71599999999999997</v>
      </c>
      <c r="L1070">
        <v>4.8</v>
      </c>
      <c r="M1070">
        <v>1361</v>
      </c>
      <c r="O1070" t="s">
        <v>25</v>
      </c>
      <c r="P1070" t="s">
        <v>2158</v>
      </c>
      <c r="Q1070" t="s">
        <v>2248</v>
      </c>
    </row>
    <row r="1071" spans="1:17" ht="15.5" x14ac:dyDescent="0.35">
      <c r="A1071" s="3" t="str">
        <f>HYPERLINK("https://edmondsonsupply.com/collections/hvac/products/malco-tools-lp7r-eagle-grip-7-straight-jaw-locking-pliers", "https://edmondsonsupply.com/collections/hvac/products/malco-tools-lp7r-eagle-grip-7-straight-jaw-locking-pliers")</f>
        <v>https://edmondsonsupply.com/collections/hvac/products/malco-tools-lp7r-eagle-grip-7-straight-jaw-locking-pliers</v>
      </c>
      <c r="B1071" s="3" t="str">
        <f>HYPERLINK("https://edmondsonsupply.com/products/malco-tools-lp7r-eagle-grip-7-straight-jaw-locking-pliers", "https://edmondsonsupply.com/products/malco-tools-lp7r-eagle-grip-7-straight-jaw-locking-pliers")</f>
        <v>https://edmondsonsupply.com/products/malco-tools-lp7r-eagle-grip-7-straight-jaw-locking-pliers</v>
      </c>
      <c r="C1071" t="s">
        <v>2064</v>
      </c>
      <c r="D1071" t="s">
        <v>2800</v>
      </c>
      <c r="E1071" s="3" t="str">
        <f>HYPERLINK("https://www.amazon.com/Malco-Curved-Locking-Pliers-Straight/dp/B0BGPVRDJ6/ref=sr_1_3?keywords=Malco+Tools+LP7R+Eagle+Grip+7%E2%80%B3+Straight+Jaw+Locking+Pliers&amp;qid=1695173432&amp;sr=8-3", "https://www.amazon.com/Malco-Curved-Locking-Pliers-Straight/dp/B0BGPVRDJ6/ref=sr_1_3?keywords=Malco+Tools+LP7R+Eagle+Grip+7%E2%80%B3+Straight+Jaw+Locking+Pliers&amp;qid=1695173432&amp;sr=8-3")</f>
        <v>https://www.amazon.com/Malco-Curved-Locking-Pliers-Straight/dp/B0BGPVRDJ6/ref=sr_1_3?keywords=Malco+Tools+LP7R+Eagle+Grip+7%E2%80%B3+Straight+Jaw+Locking+Pliers&amp;qid=1695173432&amp;sr=8-3</v>
      </c>
      <c r="F1071" t="s">
        <v>2801</v>
      </c>
      <c r="G1071" t="e">
        <f ca="1">_xludf.IMAGE("https://edmondsonsupply.com/cdn/shop/products/LP7R-eagle-grip-locking-pliers-in-hand.jpg?v=1657291391")</f>
        <v>#NAME?</v>
      </c>
      <c r="H1071" t="e">
        <f ca="1">_xludf.IMAGE("https://m.media-amazon.com/images/I/411-49NbYHL._AC_UL320_.jpg")</f>
        <v>#NAME?</v>
      </c>
      <c r="I1071" t="s">
        <v>1931</v>
      </c>
      <c r="J1071">
        <v>85.72</v>
      </c>
      <c r="K1071" s="4">
        <v>0.7147</v>
      </c>
      <c r="L1071">
        <v>4.9000000000000004</v>
      </c>
      <c r="M1071">
        <v>426</v>
      </c>
      <c r="O1071" t="s">
        <v>25</v>
      </c>
      <c r="P1071" t="s">
        <v>2067</v>
      </c>
      <c r="Q1071" t="s">
        <v>2068</v>
      </c>
    </row>
    <row r="1072" spans="1:17" ht="15.5" x14ac:dyDescent="0.35">
      <c r="A1072" s="3" t="str">
        <f>HYPERLINK("https://edmondsonsupply.com/collections/hvac/products/packard-titan-pro-trcd5-run-capacitor-40-5-mfd-370-volt-round", "https://edmondsonsupply.com/collections/hvac/products/packard-titan-pro-trcd5-run-capacitor-40-5-mfd-370-volt-round")</f>
        <v>https://edmondsonsupply.com/collections/hvac/products/packard-titan-pro-trcd5-run-capacitor-40-5-mfd-370-volt-round</v>
      </c>
      <c r="B1072" s="3" t="str">
        <f>HYPERLINK("https://edmondsonsupply.com/products/packard-titan-pro-trcd5-run-capacitor-40-5-mfd-370-volt-round", "https://edmondsonsupply.com/products/packard-titan-pro-trcd5-run-capacitor-40-5-mfd-370-volt-round")</f>
        <v>https://edmondsonsupply.com/products/packard-titan-pro-trcd5-run-capacitor-40-5-mfd-370-volt-round</v>
      </c>
      <c r="C1072" t="s">
        <v>2090</v>
      </c>
      <c r="D1072" t="s">
        <v>2802</v>
      </c>
      <c r="E1072" s="3" t="str">
        <f>HYPERLINK("https://www.amazon.com/PACKARD-TRCD455-Capacitor-Replaces-PRCD455/dp/B01IU7YGT0/ref=sr_1_8?keywords=Packard+Titan+PRO+TRCD405+Run+Capacitor+40%2B5+MFD+370+Volt+Round&amp;qid=1695173641&amp;sr=8-8", "https://www.amazon.com/PACKARD-TRCD455-Capacitor-Replaces-PRCD455/dp/B01IU7YGT0/ref=sr_1_8?keywords=Packard+Titan+PRO+TRCD405+Run+Capacitor+40%2B5+MFD+370+Volt+Round&amp;qid=1695173641&amp;sr=8-8")</f>
        <v>https://www.amazon.com/PACKARD-TRCD455-Capacitor-Replaces-PRCD455/dp/B01IU7YGT0/ref=sr_1_8?keywords=Packard+Titan+PRO+TRCD405+Run+Capacitor+40%2B5+MFD+370+Volt+Round&amp;qid=1695173641&amp;sr=8-8</v>
      </c>
      <c r="F1072" t="s">
        <v>2803</v>
      </c>
      <c r="G1072" t="e">
        <f ca="1">_xludf.IMAGE("https://edmondsonsupply.com/cdn/shop/products/TRCD405-2.jpg?v=1633030397")</f>
        <v>#NAME?</v>
      </c>
      <c r="H1072" t="e">
        <f ca="1">_xludf.IMAGE("https://m.media-amazon.com/images/I/41FHysaaRIL._AC_UY218_.jpg")</f>
        <v>#NAME?</v>
      </c>
      <c r="I1072" t="s">
        <v>2091</v>
      </c>
      <c r="J1072">
        <v>15.48</v>
      </c>
      <c r="K1072" s="4">
        <v>0.71240000000000003</v>
      </c>
      <c r="L1072">
        <v>5</v>
      </c>
      <c r="M1072">
        <v>1</v>
      </c>
      <c r="O1072" t="s">
        <v>25</v>
      </c>
      <c r="P1072" t="s">
        <v>138</v>
      </c>
      <c r="Q1072" t="s">
        <v>2092</v>
      </c>
    </row>
    <row r="1073" spans="1:17" ht="15.5" x14ac:dyDescent="0.35">
      <c r="A1073" s="3" t="str">
        <f>HYPERLINK("https://edmondsonsupply.com/collections/hvac/products/white-rodgers-24a34-2-24v-electric-heat-sequencer-spst", "https://edmondsonsupply.com/collections/hvac/products/white-rodgers-24a34-2-24v-electric-heat-sequencer-spst")</f>
        <v>https://edmondsonsupply.com/collections/hvac/products/white-rodgers-24a34-2-24v-electric-heat-sequencer-spst</v>
      </c>
      <c r="B1073" s="3" t="str">
        <f>HYPERLINK("https://edmondsonsupply.com/products/white-rodgers-24a34-2-24v-electric-heat-sequencer-spst", "https://edmondsonsupply.com/products/white-rodgers-24a34-2-24v-electric-heat-sequencer-spst")</f>
        <v>https://edmondsonsupply.com/products/white-rodgers-24a34-2-24v-electric-heat-sequencer-spst</v>
      </c>
      <c r="C1073" t="s">
        <v>2561</v>
      </c>
      <c r="D1073" t="s">
        <v>2804</v>
      </c>
      <c r="E1073" s="3" t="str">
        <f>HYPERLINK("https://www.amazon.com/White-Rodgers-24A34-3-Electric-Sequencer-Switch/dp/B000LDGR4Y/ref=sr_1_4?keywords=White-Rodgers+24A34-2+24V+Electric+Heat+Sequencer%2C+SPST&amp;qid=1695173537&amp;sr=8-4", "https://www.amazon.com/White-Rodgers-24A34-3-Electric-Sequencer-Switch/dp/B000LDGR4Y/ref=sr_1_4?keywords=White-Rodgers+24A34-2+24V+Electric+Heat+Sequencer%2C+SPST&amp;qid=1695173537&amp;sr=8-4")</f>
        <v>https://www.amazon.com/White-Rodgers-24A34-3-Electric-Sequencer-Switch/dp/B000LDGR4Y/ref=sr_1_4?keywords=White-Rodgers+24A34-2+24V+Electric+Heat+Sequencer%2C+SPST&amp;qid=1695173537&amp;sr=8-4</v>
      </c>
      <c r="F1073" t="s">
        <v>2805</v>
      </c>
      <c r="G1073" t="e">
        <f ca="1">_xludf.IMAGE("https://edmondsonsupply.com/cdn/shop/products/24A34-2.jpg?v=1633030752")</f>
        <v>#NAME?</v>
      </c>
      <c r="H1073" t="e">
        <f ca="1">_xludf.IMAGE("https://m.media-amazon.com/images/I/81cvHpX0ILL._AC_UY218_.jpg")</f>
        <v>#NAME?</v>
      </c>
      <c r="I1073" t="s">
        <v>2337</v>
      </c>
      <c r="J1073">
        <v>20.47</v>
      </c>
      <c r="K1073" s="4">
        <v>0.70730000000000004</v>
      </c>
      <c r="L1073">
        <v>4.8</v>
      </c>
      <c r="M1073">
        <v>9</v>
      </c>
      <c r="O1073" t="s">
        <v>25</v>
      </c>
      <c r="P1073" t="s">
        <v>2564</v>
      </c>
      <c r="Q1073" t="s">
        <v>2565</v>
      </c>
    </row>
    <row r="1074" spans="1:17" ht="15.5" x14ac:dyDescent="0.35">
      <c r="A1074" s="3" t="str">
        <f>HYPERLINK("https://edmondsonsupply.com/collections/hvac/products/hilmor-1839108-tcc-thermocouple-clamp", "https://edmondsonsupply.com/collections/hvac/products/hilmor-1839108-tcc-thermocouple-clamp")</f>
        <v>https://edmondsonsupply.com/collections/hvac/products/hilmor-1839108-tcc-thermocouple-clamp</v>
      </c>
      <c r="B1074" s="3" t="str">
        <f>HYPERLINK("https://edmondsonsupply.com/products/hilmor-1839108-tcc-thermocouple-clamp", "https://edmondsonsupply.com/products/hilmor-1839108-tcc-thermocouple-clamp")</f>
        <v>https://edmondsonsupply.com/products/hilmor-1839108-tcc-thermocouple-clamp</v>
      </c>
      <c r="C1074" t="s">
        <v>2806</v>
      </c>
      <c r="D1074" t="s">
        <v>2807</v>
      </c>
      <c r="E1074" s="3" t="str">
        <f>HYPERLINK("https://www.amazon.com/hilmor-1839108-TCC-Thermocouple-Clamp/dp/B00G2R0CYY/ref=sr_1_2?keywords=Hilmor+1839108+TCC+Thermocouple+Clamp&amp;qid=1695173574&amp;sr=8-2", "https://www.amazon.com/hilmor-1839108-TCC-Thermocouple-Clamp/dp/B00G2R0CYY/ref=sr_1_2?keywords=Hilmor+1839108+TCC+Thermocouple+Clamp&amp;qid=1695173574&amp;sr=8-2")</f>
        <v>https://www.amazon.com/hilmor-1839108-TCC-Thermocouple-Clamp/dp/B00G2R0CYY/ref=sr_1_2?keywords=Hilmor+1839108+TCC+Thermocouple+Clamp&amp;qid=1695173574&amp;sr=8-2</v>
      </c>
      <c r="F1074" t="s">
        <v>2808</v>
      </c>
      <c r="G1074" t="e">
        <f ca="1">_xludf.IMAGE("https://edmondsonsupply.com/cdn/shop/products/1839108-O1.jpg?v=1587144125")</f>
        <v>#NAME?</v>
      </c>
      <c r="H1074" t="e">
        <f ca="1">_xludf.IMAGE("https://m.media-amazon.com/images/I/81DZ-bnLWoL._AC_UY218_.jpg")</f>
        <v>#NAME?</v>
      </c>
      <c r="I1074" t="s">
        <v>1981</v>
      </c>
      <c r="J1074">
        <v>81.39</v>
      </c>
      <c r="K1074" s="4">
        <v>0.70699999999999996</v>
      </c>
      <c r="L1074">
        <v>4.3</v>
      </c>
      <c r="M1074">
        <v>67</v>
      </c>
      <c r="O1074" t="s">
        <v>25</v>
      </c>
      <c r="P1074" t="s">
        <v>2809</v>
      </c>
      <c r="Q1074" t="s">
        <v>2810</v>
      </c>
    </row>
    <row r="1075" spans="1:17" ht="15.5" x14ac:dyDescent="0.35">
      <c r="A1075"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1075" s="3" t="str">
        <f>HYPERLINK("https://edmondsonsupply.com/products/packard-prmj270-motor-start-capacitor-270-324-mfd-330-vac", "https://edmondsonsupply.com/products/packard-prmj270-motor-start-capacitor-270-324-mfd-330-vac")</f>
        <v>https://edmondsonsupply.com/products/packard-prmj270-motor-start-capacitor-270-324-mfd-330-vac</v>
      </c>
      <c r="C1075" t="s">
        <v>2452</v>
      </c>
      <c r="D1075" t="s">
        <v>2811</v>
      </c>
      <c r="E1075" s="3" t="str">
        <f>HYPERLINK("https://www.amazon.com/Packard-PRMJ270-Start-Capacitor-270-324/dp/B005YN6Q7O/ref=sr_1_2?keywords=Packard+PRMJ270+Motor+Start+Capacitor+270-324+MFD+330+VAC&amp;qid=1695173486&amp;sr=8-2", "https://www.amazon.com/Packard-PRMJ270-Start-Capacitor-270-324/dp/B005YN6Q7O/ref=sr_1_2?keywords=Packard+PRMJ270+Motor+Start+Capacitor+270-324+MFD+330+VAC&amp;qid=1695173486&amp;sr=8-2")</f>
        <v>https://www.amazon.com/Packard-PRMJ270-Start-Capacitor-270-324/dp/B005YN6Q7O/ref=sr_1_2?keywords=Packard+PRMJ270+Motor+Start+Capacitor+270-324+MFD+330+VAC&amp;qid=1695173486&amp;sr=8-2</v>
      </c>
      <c r="F1075" t="s">
        <v>2812</v>
      </c>
      <c r="G1075" t="e">
        <f ca="1">_xludf.IMAGE("https://edmondsonsupply.com/cdn/shop/products/PRMJ270-2.jpg?v=1633030164")</f>
        <v>#NAME?</v>
      </c>
      <c r="H1075" t="e">
        <f ca="1">_xludf.IMAGE("https://m.media-amazon.com/images/I/21-zqFsWL+L._AC_UY218_.jpg")</f>
        <v>#NAME?</v>
      </c>
      <c r="I1075" t="s">
        <v>2455</v>
      </c>
      <c r="J1075">
        <v>17.7</v>
      </c>
      <c r="K1075" s="4">
        <v>0.70679999999999998</v>
      </c>
      <c r="L1075">
        <v>4.5</v>
      </c>
      <c r="M1075">
        <v>64</v>
      </c>
      <c r="O1075" t="s">
        <v>25</v>
      </c>
      <c r="P1075" t="s">
        <v>138</v>
      </c>
      <c r="Q1075" t="s">
        <v>2456</v>
      </c>
    </row>
    <row r="1076" spans="1:17" ht="15.5" x14ac:dyDescent="0.35">
      <c r="A1076" s="3" t="str">
        <f>HYPERLINK("https://edmondsonsupply.com/collections/hvac/products/icm-controls-icm2805a-furnace-control-board-replacement-for-nordyne", "https://edmondsonsupply.com/collections/hvac/products/icm-controls-icm2805a-furnace-control-board-replacement-for-nordyne")</f>
        <v>https://edmondsonsupply.com/collections/hvac/products/icm-controls-icm2805a-furnace-control-board-replacement-for-nordyne</v>
      </c>
      <c r="B1076" s="3" t="str">
        <f>HYPERLINK("https://edmondsonsupply.com/products/icm-controls-icm2805a-furnace-control-board-replacement-for-nordyne", "https://edmondsonsupply.com/products/icm-controls-icm2805a-furnace-control-board-replacement-for-nordyne")</f>
        <v>https://edmondsonsupply.com/products/icm-controls-icm2805a-furnace-control-board-replacement-for-nordyne</v>
      </c>
      <c r="C1076" t="s">
        <v>2813</v>
      </c>
      <c r="D1076" t="s">
        <v>2814</v>
      </c>
      <c r="E1076" s="3" t="str">
        <f>HYPERLINK("https://www.amazon.com/Upgraded-Replacement-Furnace-Control-Circuit/dp/B00EFAYTG2/ref=sr_1_8?keywords=ICM+Controls+ICM2805A+Furnace+Control+Board+-+Replacement+for+Nordyne&amp;qid=1695173420&amp;sr=8-8", "https://www.amazon.com/Upgraded-Replacement-Furnace-Control-Circuit/dp/B00EFAYTG2/ref=sr_1_8?keywords=ICM+Controls+ICM2805A+Furnace+Control+Board+-+Replacement+for+Nordyne&amp;qid=1695173420&amp;sr=8-8")</f>
        <v>https://www.amazon.com/Upgraded-Replacement-Furnace-Control-Circuit/dp/B00EFAYTG2/ref=sr_1_8?keywords=ICM+Controls+ICM2805A+Furnace+Control+Board+-+Replacement+for+Nordyne&amp;qid=1695173420&amp;sr=8-8</v>
      </c>
      <c r="F1076" t="s">
        <v>2815</v>
      </c>
      <c r="G1076" t="e">
        <f ca="1">_xludf.IMAGE("https://edmondsonsupply.com/cdn/shop/products/57_3_42a53dd2-02e8-4469-bc0c-0265897201e7.jpg?v=1633031145")</f>
        <v>#NAME?</v>
      </c>
      <c r="H1076" t="e">
        <f ca="1">_xludf.IMAGE("https://m.media-amazon.com/images/I/515vIDTDHiL._AC_UL320_.jpg")</f>
        <v>#NAME?</v>
      </c>
      <c r="I1076" t="s">
        <v>2816</v>
      </c>
      <c r="J1076">
        <v>198.95</v>
      </c>
      <c r="K1076" s="4">
        <v>0.70640000000000003</v>
      </c>
      <c r="L1076">
        <v>4.5999999999999996</v>
      </c>
      <c r="M1076">
        <v>97</v>
      </c>
      <c r="O1076" t="s">
        <v>25</v>
      </c>
      <c r="P1076" t="s">
        <v>2817</v>
      </c>
      <c r="Q1076" t="s">
        <v>2818</v>
      </c>
    </row>
    <row r="1077" spans="1:17" ht="15.5" x14ac:dyDescent="0.35">
      <c r="A1077" s="3" t="str">
        <f>HYPERLINK("https://edmondsonsupply.com/collections/hvac/products/channellock-804", "https://edmondsonsupply.com/collections/hvac/products/channellock-804")</f>
        <v>https://edmondsonsupply.com/collections/hvac/products/channellock-804</v>
      </c>
      <c r="B1077" s="3" t="str">
        <f>HYPERLINK("https://edmondsonsupply.com/products/channellock-804", "https://edmondsonsupply.com/products/channellock-804")</f>
        <v>https://edmondsonsupply.com/products/channellock-804</v>
      </c>
      <c r="C1077" t="s">
        <v>1551</v>
      </c>
      <c r="D1077" t="s">
        <v>2819</v>
      </c>
      <c r="E1077" s="3" t="str">
        <f>HYPERLINK("https://www.amazon.com/Channellock-Adjustable-Wrench-Chrome-Plated/dp/B017082YG2/ref=sr_1_1?keywords=Channellock+804+4-Inch+Chrome+Adjustable+Wrench&amp;qid=1695173641&amp;sr=8-1", "https://www.amazon.com/Channellock-Adjustable-Wrench-Chrome-Plated/dp/B017082YG2/ref=sr_1_1?keywords=Channellock+804+4-Inch+Chrome+Adjustable+Wrench&amp;qid=1695173641&amp;sr=8-1")</f>
        <v>https://www.amazon.com/Channellock-Adjustable-Wrench-Chrome-Plated/dp/B017082YG2/ref=sr_1_1?keywords=Channellock+804+4-Inch+Chrome+Adjustable+Wrench&amp;qid=1695173641&amp;sr=8-1</v>
      </c>
      <c r="F1077" t="s">
        <v>2820</v>
      </c>
      <c r="G1077" t="e">
        <f ca="1">_xludf.IMAGE("https://edmondsonsupply.com/cdn/shop/products/804-683x1024.jpg?v=1587145853")</f>
        <v>#NAME?</v>
      </c>
      <c r="H1077" t="e">
        <f ca="1">_xludf.IMAGE("https://m.media-amazon.com/images/I/51KTfUlRtzL._AC_UL320_.jpg")</f>
        <v>#NAME?</v>
      </c>
      <c r="I1077" t="s">
        <v>1554</v>
      </c>
      <c r="J1077">
        <v>28.91</v>
      </c>
      <c r="K1077" s="4">
        <v>0.7056</v>
      </c>
      <c r="L1077">
        <v>5</v>
      </c>
      <c r="M1077">
        <v>3</v>
      </c>
      <c r="O1077" t="s">
        <v>25</v>
      </c>
      <c r="P1077" t="s">
        <v>1555</v>
      </c>
      <c r="Q1077" t="s">
        <v>1556</v>
      </c>
    </row>
    <row r="1078" spans="1:17" ht="15.5" x14ac:dyDescent="0.35">
      <c r="A1078"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1078" s="3" t="str">
        <f>HYPERLINK("https://edmondsonsupply.com/products/klein-tools-935dag-digital-angle-gauge-and-level", "https://edmondsonsupply.com/products/klein-tools-935dag-digital-angle-gauge-and-level")</f>
        <v>https://edmondsonsupply.com/products/klein-tools-935dag-digital-angle-gauge-and-level</v>
      </c>
      <c r="C1078" t="s">
        <v>1924</v>
      </c>
      <c r="D1078" t="s">
        <v>2821</v>
      </c>
      <c r="E1078" s="3" t="str">
        <f>HYPERLINK("https://www.amazon.com/Klein-Tools-Electronic-Measures-Protractor/dp/B09P843CWF/ref=sr_1_2?keywords=Klein+Tools+935DAG+Digital+Angle+Gauge+and+Level&amp;qid=1695173564&amp;sr=8-2", "https://www.amazon.com/Klein-Tools-Electronic-Measures-Protractor/dp/B09P843CWF/ref=sr_1_2?keywords=Klein+Tools+935DAG+Digital+Angle+Gauge+and+Level&amp;qid=1695173564&amp;sr=8-2")</f>
        <v>https://www.amazon.com/Klein-Tools-Electronic-Measures-Protractor/dp/B09P843CWF/ref=sr_1_2?keywords=Klein+Tools+935DAG+Digital+Angle+Gauge+and+Level&amp;qid=1695173564&amp;sr=8-2</v>
      </c>
      <c r="F1078" t="s">
        <v>2822</v>
      </c>
      <c r="G1078" t="e">
        <f ca="1">_xludf.IMAGE("https://edmondsonsupply.com/cdn/shop/products/935dag.jpg?v=1587145032")</f>
        <v>#NAME?</v>
      </c>
      <c r="H1078" t="e">
        <f ca="1">_xludf.IMAGE("https://m.media-amazon.com/images/I/51nqC5OG7xL._AC_UL320_.jpg")</f>
        <v>#NAME?</v>
      </c>
      <c r="I1078" t="s">
        <v>824</v>
      </c>
      <c r="J1078">
        <v>51.04</v>
      </c>
      <c r="K1078" s="4">
        <v>0.70299999999999996</v>
      </c>
      <c r="L1078">
        <v>4.8</v>
      </c>
      <c r="M1078">
        <v>29</v>
      </c>
      <c r="O1078" t="s">
        <v>25</v>
      </c>
      <c r="P1078" t="s">
        <v>73</v>
      </c>
      <c r="Q1078" t="s">
        <v>1927</v>
      </c>
    </row>
    <row r="1079" spans="1:17" ht="15.5" x14ac:dyDescent="0.35">
      <c r="A1079" s="3" t="str">
        <f>HYPERLINK("https://edmondsonsupply.com/collections/hvac/products/packard-c140b-contactor-1-pole-40-amps-120-coil-voltage", "https://edmondsonsupply.com/collections/hvac/products/packard-c140b-contactor-1-pole-40-amps-120-coil-voltage")</f>
        <v>https://edmondsonsupply.com/collections/hvac/products/packard-c140b-contactor-1-pole-40-amps-120-coil-voltage</v>
      </c>
      <c r="B1079" s="3" t="str">
        <f>HYPERLINK("https://edmondsonsupply.com/products/packard-c140b-contactor-1-pole-40-amps-120-coil-voltage", "https://edmondsonsupply.com/products/packard-c140b-contactor-1-pole-40-amps-120-coil-voltage")</f>
        <v>https://edmondsonsupply.com/products/packard-c140b-contactor-1-pole-40-amps-120-coil-voltage</v>
      </c>
      <c r="C1079" t="s">
        <v>2823</v>
      </c>
      <c r="D1079" t="s">
        <v>2824</v>
      </c>
      <c r="E1079" s="3" t="str">
        <f>HYPERLINK("https://www.amazon.com/Packard-C240B-Contactor-Pole-Voltage/dp/B004Z0RLL2/ref=sr_1_3?keywords=Packard+C140B+Contactor+1+Pole+40+Amps+120+Coil+Voltage&amp;qid=1695173471&amp;sr=8-3", "https://www.amazon.com/Packard-C240B-Contactor-Pole-Voltage/dp/B004Z0RLL2/ref=sr_1_3?keywords=Packard+C140B+Contactor+1+Pole+40+Amps+120+Coil+Voltage&amp;qid=1695173471&amp;sr=8-3")</f>
        <v>https://www.amazon.com/Packard-C240B-Contactor-Pole-Voltage/dp/B004Z0RLL2/ref=sr_1_3?keywords=Packard+C140B+Contactor+1+Pole+40+Amps+120+Coil+Voltage&amp;qid=1695173471&amp;sr=8-3</v>
      </c>
      <c r="F1079" t="s">
        <v>2825</v>
      </c>
      <c r="G1079" t="e">
        <f ca="1">_xludf.IMAGE("https://edmondsonsupply.com/cdn/shop/products/C140B-1.jpg?v=1633030391")</f>
        <v>#NAME?</v>
      </c>
      <c r="H1079" t="e">
        <f ca="1">_xludf.IMAGE("https://m.media-amazon.com/images/I/81OXIO+-K1L._AC_UY218_.jpg")</f>
        <v>#NAME?</v>
      </c>
      <c r="I1079" t="s">
        <v>2826</v>
      </c>
      <c r="J1079">
        <v>16.7</v>
      </c>
      <c r="K1079" s="4">
        <v>0.7006</v>
      </c>
      <c r="L1079">
        <v>4.5999999999999996</v>
      </c>
      <c r="M1079">
        <v>299</v>
      </c>
      <c r="O1079" t="s">
        <v>25</v>
      </c>
      <c r="P1079" t="s">
        <v>138</v>
      </c>
      <c r="Q1079" t="s">
        <v>2827</v>
      </c>
    </row>
    <row r="1080" spans="1:17" ht="15.5" x14ac:dyDescent="0.35">
      <c r="A1080" s="3" t="str">
        <f>HYPERLINK("https://edmondsonsupply.com/collections/hvac/products/klein-tools-69410-replacement-test-lead-set-right-angle", "https://edmondsonsupply.com/collections/hvac/products/klein-tools-69410-replacement-test-lead-set-right-angle")</f>
        <v>https://edmondsonsupply.com/collections/hvac/products/klein-tools-69410-replacement-test-lead-set-right-angle</v>
      </c>
      <c r="B1080" s="3" t="str">
        <f>HYPERLINK("https://edmondsonsupply.com/products/klein-tools-69410-replacement-test-lead-set-right-angle", "https://edmondsonsupply.com/products/klein-tools-69410-replacement-test-lead-set-right-angle")</f>
        <v>https://edmondsonsupply.com/products/klein-tools-69410-replacement-test-lead-set-right-angle</v>
      </c>
      <c r="C1080" t="s">
        <v>1463</v>
      </c>
      <c r="D1080" t="s">
        <v>2828</v>
      </c>
      <c r="E1080" s="3" t="str">
        <f>HYPERLINK("https://www.amazon.com/Klein-Tools-Replacement-Alligator-Heavy-Duty/dp/B0C3B9WXP6/ref=sr_1_2?keywords=Klein+Tools+69410+Replacement+Test+Lead+Set%2C+Right+Angle&amp;qid=1695173692&amp;sr=8-2", "https://www.amazon.com/Klein-Tools-Replacement-Alligator-Heavy-Duty/dp/B0C3B9WXP6/ref=sr_1_2?keywords=Klein+Tools+69410+Replacement+Test+Lead+Set%2C+Right+Angle&amp;qid=1695173692&amp;sr=8-2")</f>
        <v>https://www.amazon.com/Klein-Tools-Replacement-Alligator-Heavy-Duty/dp/B0C3B9WXP6/ref=sr_1_2?keywords=Klein+Tools+69410+Replacement+Test+Lead+Set%2C+Right+Angle&amp;qid=1695173692&amp;sr=8-2</v>
      </c>
      <c r="F1080" t="s">
        <v>2829</v>
      </c>
      <c r="G1080" t="e">
        <f ca="1">_xludf.IMAGE("https://edmondsonsupply.com/cdn/shop/products/69410.jpg?v=1587143393")</f>
        <v>#NAME?</v>
      </c>
      <c r="H1080" t="e">
        <f ca="1">_xludf.IMAGE("https://m.media-amazon.com/images/I/51n7wUjxshL._AC_UY218_.jpg")</f>
        <v>#NAME?</v>
      </c>
      <c r="I1080" t="s">
        <v>893</v>
      </c>
      <c r="J1080">
        <v>33.96</v>
      </c>
      <c r="K1080" s="4">
        <v>0.7006</v>
      </c>
      <c r="L1080">
        <v>4.5</v>
      </c>
      <c r="M1080">
        <v>10</v>
      </c>
      <c r="O1080" t="s">
        <v>25</v>
      </c>
      <c r="P1080" t="s">
        <v>1466</v>
      </c>
      <c r="Q1080" t="s">
        <v>1467</v>
      </c>
    </row>
    <row r="1081" spans="1:17" ht="15.5" x14ac:dyDescent="0.35">
      <c r="A1081" s="3" t="str">
        <f>HYPERLINK("https://edmondsonsupply.com/collections/hvac/products/icm-controls-icm2805a-furnace-control-board-replacement-for-nordyne", "https://edmondsonsupply.com/collections/hvac/products/icm-controls-icm2805a-furnace-control-board-replacement-for-nordyne")</f>
        <v>https://edmondsonsupply.com/collections/hvac/products/icm-controls-icm2805a-furnace-control-board-replacement-for-nordyne</v>
      </c>
      <c r="B1081" s="3" t="str">
        <f>HYPERLINK("https://edmondsonsupply.com/products/icm-controls-icm2805a-furnace-control-board-replacement-for-nordyne", "https://edmondsonsupply.com/products/icm-controls-icm2805a-furnace-control-board-replacement-for-nordyne")</f>
        <v>https://edmondsonsupply.com/products/icm-controls-icm2805a-furnace-control-board-replacement-for-nordyne</v>
      </c>
      <c r="C1081" t="s">
        <v>2813</v>
      </c>
      <c r="D1081" t="s">
        <v>2830</v>
      </c>
      <c r="E1081" s="3" t="str">
        <f>HYPERLINK("https://www.amazon.com/624631-B-Replacement-Nordyne-Furnace-Control/dp/B00YYFBC72/ref=sr_1_10?keywords=ICM+Controls+ICM2805A+Furnace+Control+Board+-+Replacement+for+Nordyne&amp;qid=1695173420&amp;sr=8-10", "https://www.amazon.com/624631-B-Replacement-Nordyne-Furnace-Control/dp/B00YYFBC72/ref=sr_1_10?keywords=ICM+Controls+ICM2805A+Furnace+Control+Board+-+Replacement+for+Nordyne&amp;qid=1695173420&amp;sr=8-10")</f>
        <v>https://www.amazon.com/624631-B-Replacement-Nordyne-Furnace-Control/dp/B00YYFBC72/ref=sr_1_10?keywords=ICM+Controls+ICM2805A+Furnace+Control+Board+-+Replacement+for+Nordyne&amp;qid=1695173420&amp;sr=8-10</v>
      </c>
      <c r="F1081" t="s">
        <v>2831</v>
      </c>
      <c r="G1081" t="e">
        <f ca="1">_xludf.IMAGE("https://edmondsonsupply.com/cdn/shop/products/57_3_42a53dd2-02e8-4469-bc0c-0265897201e7.jpg?v=1633031145")</f>
        <v>#NAME?</v>
      </c>
      <c r="H1081" t="e">
        <f ca="1">_xludf.IMAGE("https://m.media-amazon.com/images/I/51zkInbD61L._AC_UL320_.jpg")</f>
        <v>#NAME?</v>
      </c>
      <c r="I1081" t="s">
        <v>2816</v>
      </c>
      <c r="J1081">
        <v>197.98</v>
      </c>
      <c r="K1081" s="4">
        <v>0.69810000000000005</v>
      </c>
      <c r="L1081">
        <v>4.7</v>
      </c>
      <c r="M1081">
        <v>46</v>
      </c>
      <c r="O1081" t="s">
        <v>25</v>
      </c>
      <c r="P1081" t="s">
        <v>2817</v>
      </c>
      <c r="Q1081" t="s">
        <v>2818</v>
      </c>
    </row>
    <row r="1082" spans="1:17" ht="15.5" x14ac:dyDescent="0.35">
      <c r="A1082" s="3" t="str">
        <f>HYPERLINK("https://edmondsonsupply.com/collections/hvac/products/icm-controls-umsr-50-universal-motor-starting-relay", "https://edmondsonsupply.com/collections/hvac/products/icm-controls-umsr-50-universal-motor-starting-relay")</f>
        <v>https://edmondsonsupply.com/collections/hvac/products/icm-controls-umsr-50-universal-motor-starting-relay</v>
      </c>
      <c r="B1082" s="3" t="str">
        <f>HYPERLINK("https://edmondsonsupply.com/products/icm-controls-umsr-50-universal-motor-starting-relay", "https://edmondsonsupply.com/products/icm-controls-umsr-50-universal-motor-starting-relay")</f>
        <v>https://edmondsonsupply.com/products/icm-controls-umsr-50-universal-motor-starting-relay</v>
      </c>
      <c r="C1082" t="s">
        <v>2832</v>
      </c>
      <c r="D1082" t="s">
        <v>2833</v>
      </c>
      <c r="E1082" s="3" t="str">
        <f>HYPERLINK("https://www.amazon.com/ICM-Controls-UMSR-50-Universal-differential/dp/B002JE3L9M/ref=sr_1_1?keywords=ICM+Controls+UMSR-50+Universal+Motor+Starting+Relay&amp;qid=1695173377&amp;sr=8-1", "https://www.amazon.com/ICM-Controls-UMSR-50-Universal-differential/dp/B002JE3L9M/ref=sr_1_1?keywords=ICM+Controls+UMSR-50+Universal+Motor+Starting+Relay&amp;qid=1695173377&amp;sr=8-1")</f>
        <v>https://www.amazon.com/ICM-Controls-UMSR-50-Universal-differential/dp/B002JE3L9M/ref=sr_1_1?keywords=ICM+Controls+UMSR-50+Universal+Motor+Starting+Relay&amp;qid=1695173377&amp;sr=8-1</v>
      </c>
      <c r="F1082" t="s">
        <v>2834</v>
      </c>
      <c r="G1082" t="e">
        <f ca="1">_xludf.IMAGE("https://edmondsonsupply.com/cdn/shop/files/UMSR50.png?v=1684277014")</f>
        <v>#NAME?</v>
      </c>
      <c r="H1082" t="e">
        <f ca="1">_xludf.IMAGE("https://m.media-amazon.com/images/I/61Tg3J+1zSL._AC_UY218_.jpg")</f>
        <v>#NAME?</v>
      </c>
      <c r="I1082" t="s">
        <v>1716</v>
      </c>
      <c r="J1082">
        <v>39</v>
      </c>
      <c r="K1082" s="4">
        <v>0.69789999999999996</v>
      </c>
      <c r="L1082">
        <v>4</v>
      </c>
      <c r="M1082">
        <v>15</v>
      </c>
      <c r="O1082" t="s">
        <v>25</v>
      </c>
      <c r="P1082" t="s">
        <v>2835</v>
      </c>
      <c r="Q1082" t="s">
        <v>2836</v>
      </c>
    </row>
    <row r="1083" spans="1:17" ht="15.5" x14ac:dyDescent="0.35">
      <c r="A1083" s="3" t="str">
        <f>HYPERLINK("https://edmondsonsupply.com/collections/hvac/products/milwaukee-48-22-0305-folding-jab-saw", "https://edmondsonsupply.com/collections/hvac/products/milwaukee-48-22-0305-folding-jab-saw")</f>
        <v>https://edmondsonsupply.com/collections/hvac/products/milwaukee-48-22-0305-folding-jab-saw</v>
      </c>
      <c r="B1083" s="3" t="str">
        <f>HYPERLINK("https://edmondsonsupply.com/products/milwaukee-48-22-0305-folding-jab-saw", "https://edmondsonsupply.com/products/milwaukee-48-22-0305-folding-jab-saw")</f>
        <v>https://edmondsonsupply.com/products/milwaukee-48-22-0305-folding-jab-saw</v>
      </c>
      <c r="C1083" t="s">
        <v>2139</v>
      </c>
      <c r="D1083" t="s">
        <v>2139</v>
      </c>
      <c r="E1083" s="3" t="str">
        <f>HYPERLINK("https://www.amazon.com/Milwaukee-48-22-0305-Folding-Jab-Saw/dp/B07FB3LJ2M/ref=sr_1_3?keywords=Milwaukee+48-22-0305+Folding+Jab+Saw&amp;qid=1695173671&amp;sr=8-3", "https://www.amazon.com/Milwaukee-48-22-0305-Folding-Jab-Saw/dp/B07FB3LJ2M/ref=sr_1_3?keywords=Milwaukee+48-22-0305+Folding+Jab+Saw&amp;qid=1695173671&amp;sr=8-3")</f>
        <v>https://www.amazon.com/Milwaukee-48-22-0305-Folding-Jab-Saw/dp/B07FB3LJ2M/ref=sr_1_3?keywords=Milwaukee+48-22-0305+Folding+Jab+Saw&amp;qid=1695173671&amp;sr=8-3</v>
      </c>
      <c r="F1083" t="s">
        <v>2837</v>
      </c>
      <c r="G1083" t="e">
        <f ca="1">_xludf.IMAGE("https://edmondsonsupply.com/cdn/shop/products/49678_48-22-0305-lg.jpg?v=1587148349")</f>
        <v>#NAME?</v>
      </c>
      <c r="H1083" t="e">
        <f ca="1">_xludf.IMAGE("https://m.media-amazon.com/images/I/31MwF2AgpNL._AC_UL320_.jpg")</f>
        <v>#NAME?</v>
      </c>
      <c r="I1083" t="s">
        <v>893</v>
      </c>
      <c r="J1083">
        <v>33.869999999999997</v>
      </c>
      <c r="K1083" s="4">
        <v>0.69599999999999995</v>
      </c>
      <c r="L1083">
        <v>4.0999999999999996</v>
      </c>
      <c r="M1083">
        <v>19</v>
      </c>
      <c r="O1083" t="s">
        <v>25</v>
      </c>
      <c r="P1083" t="s">
        <v>2142</v>
      </c>
      <c r="Q1083" t="s">
        <v>2143</v>
      </c>
    </row>
    <row r="1084" spans="1:17" ht="15.5" x14ac:dyDescent="0.35">
      <c r="A1084" s="3" t="str">
        <f>HYPERLINK("https://edmondsonsupply.com/collections/hvac/products/supco-magtract-retractable-magnetic-jumper", "https://edmondsonsupply.com/collections/hvac/products/supco-magtract-retractable-magnetic-jumper")</f>
        <v>https://edmondsonsupply.com/collections/hvac/products/supco-magtract-retractable-magnetic-jumper</v>
      </c>
      <c r="B1084" s="3" t="str">
        <f>HYPERLINK("https://edmondsonsupply.com/products/supco-magtract-retractable-magnetic-jumper", "https://edmondsonsupply.com/products/supco-magtract-retractable-magnetic-jumper")</f>
        <v>https://edmondsonsupply.com/products/supco-magtract-retractable-magnetic-jumper</v>
      </c>
      <c r="C1084" t="s">
        <v>2838</v>
      </c>
      <c r="D1084" t="s">
        <v>2839</v>
      </c>
      <c r="E1084" s="3" t="str">
        <f>HYPERLINK("https://www.amazon.com/Supplying-Demand-MAGTRACT-Retractable-Thermostats/dp/B094TGP7YZ/ref=sr_1_1?keywords=Supco+MAGTRACT+Retractable+Magnetic+Jumper&amp;qid=1695173380&amp;sr=8-1", "https://www.amazon.com/Supplying-Demand-MAGTRACT-Retractable-Thermostats/dp/B094TGP7YZ/ref=sr_1_1?keywords=Supco+MAGTRACT+Retractable+Magnetic+Jumper&amp;qid=1695173380&amp;sr=8-1")</f>
        <v>https://www.amazon.com/Supplying-Demand-MAGTRACT-Retractable-Thermostats/dp/B094TGP7YZ/ref=sr_1_1?keywords=Supco+MAGTRACT+Retractable+Magnetic+Jumper&amp;qid=1695173380&amp;sr=8-1</v>
      </c>
      <c r="F1084" t="s">
        <v>2840</v>
      </c>
      <c r="G1084" t="e">
        <f ca="1">_xludf.IMAGE("https://edmondsonsupply.com/cdn/shop/products/magtract.jpg?v=1633030328")</f>
        <v>#NAME?</v>
      </c>
      <c r="H1084" t="e">
        <f ca="1">_xludf.IMAGE("https://m.media-amazon.com/images/I/41GNf4-XHuS._AC_UY218_.jpg")</f>
        <v>#NAME?</v>
      </c>
      <c r="I1084" t="s">
        <v>2841</v>
      </c>
      <c r="J1084">
        <v>18.989999999999998</v>
      </c>
      <c r="K1084" s="4">
        <v>0.69550000000000001</v>
      </c>
      <c r="L1084">
        <v>4.0999999999999996</v>
      </c>
      <c r="M1084">
        <v>7</v>
      </c>
      <c r="O1084" t="s">
        <v>25</v>
      </c>
      <c r="P1084" t="s">
        <v>138</v>
      </c>
      <c r="Q1084" t="s">
        <v>2842</v>
      </c>
    </row>
    <row r="1085" spans="1:17" ht="15.5" x14ac:dyDescent="0.35">
      <c r="A1085" s="3" t="str">
        <f>HYPERLINK("https://edmondsonsupply.com/collections/hvac/products/jb-industries-dv-200n-platinum-7-cfm-vacuum-pump", "https://edmondsonsupply.com/collections/hvac/products/jb-industries-dv-200n-platinum-7-cfm-vacuum-pump")</f>
        <v>https://edmondsonsupply.com/collections/hvac/products/jb-industries-dv-200n-platinum-7-cfm-vacuum-pump</v>
      </c>
      <c r="B1085" s="3" t="str">
        <f>HYPERLINK("https://edmondsonsupply.com/products/jb-industries-dv-200n-platinum-7-cfm-vacuum-pump", "https://edmondsonsupply.com/products/jb-industries-dv-200n-platinum-7-cfm-vacuum-pump")</f>
        <v>https://edmondsonsupply.com/products/jb-industries-dv-200n-platinum-7-cfm-vacuum-pump</v>
      </c>
      <c r="C1085" t="s">
        <v>2843</v>
      </c>
      <c r="D1085" t="s">
        <v>2844</v>
      </c>
      <c r="E1085" s="3" t="str">
        <f>HYPERLINK("https://www.amazon.com/JB-Industries-DV-285N-Platinum-Vacuum/dp/B003M5JFFG/ref=sr_1_5?keywords=JB+Industries+DV-200N+Platinum+7+CFM+Vacuum+Pump&amp;qid=1695173576&amp;sr=8-5", "https://www.amazon.com/JB-Industries-DV-285N-Platinum-Vacuum/dp/B003M5JFFG/ref=sr_1_5?keywords=JB+Industries+DV-200N+Platinum+7+CFM+Vacuum+Pump&amp;qid=1695173576&amp;sr=8-5")</f>
        <v>https://www.amazon.com/JB-Industries-DV-285N-Platinum-Vacuum/dp/B003M5JFFG/ref=sr_1_5?keywords=JB+Industries+DV-200N+Platinum+7+CFM+Vacuum+Pump&amp;qid=1695173576&amp;sr=8-5</v>
      </c>
      <c r="F1085" t="s">
        <v>2845</v>
      </c>
      <c r="G1085" t="e">
        <f ca="1">_xludf.IMAGE("https://edmondsonsupply.com/cdn/shop/products/dv-200n.jpg?v=1587145620")</f>
        <v>#NAME?</v>
      </c>
      <c r="H1085" t="e">
        <f ca="1">_xludf.IMAGE("https://m.media-amazon.com/images/I/61j+Wpn6cxL._AC_UY218_.jpg")</f>
        <v>#NAME?</v>
      </c>
      <c r="I1085" t="s">
        <v>2846</v>
      </c>
      <c r="J1085">
        <v>1032</v>
      </c>
      <c r="K1085" s="4">
        <v>0.6885</v>
      </c>
      <c r="L1085">
        <v>4.9000000000000004</v>
      </c>
      <c r="M1085">
        <v>18</v>
      </c>
      <c r="O1085" t="s">
        <v>25</v>
      </c>
      <c r="P1085" t="s">
        <v>2847</v>
      </c>
      <c r="Q1085" t="s">
        <v>2848</v>
      </c>
    </row>
    <row r="1086" spans="1:17" ht="15.5" x14ac:dyDescent="0.35">
      <c r="A1086" s="3" t="str">
        <f>HYPERLINK("https://edmondsonsupply.com/collections/hvac/products/klein-tools-et450-advanced-circuit-tracer-kit", "https://edmondsonsupply.com/collections/hvac/products/klein-tools-et450-advanced-circuit-tracer-kit")</f>
        <v>https://edmondsonsupply.com/collections/hvac/products/klein-tools-et450-advanced-circuit-tracer-kit</v>
      </c>
      <c r="B1086" s="3" t="str">
        <f>HYPERLINK("https://edmondsonsupply.com/products/klein-tools-et450-advanced-circuit-tracer-kit", "https://edmondsonsupply.com/products/klein-tools-et450-advanced-circuit-tracer-kit")</f>
        <v>https://edmondsonsupply.com/products/klein-tools-et450-advanced-circuit-tracer-kit</v>
      </c>
      <c r="C1086" t="s">
        <v>2849</v>
      </c>
      <c r="D1086" t="s">
        <v>2850</v>
      </c>
      <c r="E1086" s="3" t="str">
        <f>HYPERLINK("https://www.amazon.com/Klein-Tools-Megohmmeter-Insulation-Ohms-Resistance-Auto-Ranging/dp/B0C2V14DQF/ref=sr_1_7?keywords=Klein+Tools+ET450+Advanced+Circuit+Tracer+Kit&amp;qid=1695173503&amp;sr=8-7", "https://www.amazon.com/Klein-Tools-Megohmmeter-Insulation-Ohms-Resistance-Auto-Ranging/dp/B0C2V14DQF/ref=sr_1_7?keywords=Klein+Tools+ET450+Advanced+Circuit+Tracer+Kit&amp;qid=1695173503&amp;sr=8-7")</f>
        <v>https://www.amazon.com/Klein-Tools-Megohmmeter-Insulation-Ohms-Resistance-Auto-Ranging/dp/B0C2V14DQF/ref=sr_1_7?keywords=Klein+Tools+ET450+Advanced+Circuit+Tracer+Kit&amp;qid=1695173503&amp;sr=8-7</v>
      </c>
      <c r="F1086" t="s">
        <v>2851</v>
      </c>
      <c r="G1086" t="e">
        <f ca="1">_xludf.IMAGE("https://edmondsonsupply.com/cdn/shop/products/et450.jpg?v=1660165248")</f>
        <v>#NAME?</v>
      </c>
      <c r="H1086" t="e">
        <f ca="1">_xludf.IMAGE("https://m.media-amazon.com/images/I/61413mHKf0L._AC_UL320_.jpg")</f>
        <v>#NAME?</v>
      </c>
      <c r="I1086" t="s">
        <v>759</v>
      </c>
      <c r="J1086">
        <v>404.98</v>
      </c>
      <c r="K1086" s="4">
        <v>0.6875</v>
      </c>
      <c r="L1086">
        <v>5</v>
      </c>
      <c r="M1086">
        <v>1</v>
      </c>
      <c r="O1086" t="s">
        <v>25</v>
      </c>
      <c r="P1086" t="s">
        <v>2852</v>
      </c>
      <c r="Q1086" t="s">
        <v>2853</v>
      </c>
    </row>
    <row r="1087" spans="1:17" ht="15.5" x14ac:dyDescent="0.35">
      <c r="A1087" s="3" t="str">
        <f>HYPERLINK("https://edmondsonsupply.com/collections/hvac/products/greenlee-dtap1-4-20-drill-tap-1-4-20", "https://edmondsonsupply.com/collections/hvac/products/greenlee-dtap1-4-20-drill-tap-1-4-20")</f>
        <v>https://edmondsonsupply.com/collections/hvac/products/greenlee-dtap1-4-20-drill-tap-1-4-20</v>
      </c>
      <c r="B1087" s="3" t="str">
        <f>HYPERLINK("https://edmondsonsupply.com/products/greenlee-dtap1-4-20-drill-tap-1-4-20", "https://edmondsonsupply.com/products/greenlee-dtap1-4-20-drill-tap-1-4-20")</f>
        <v>https://edmondsonsupply.com/products/greenlee-dtap1-4-20-drill-tap-1-4-20</v>
      </c>
      <c r="C1087" t="s">
        <v>2854</v>
      </c>
      <c r="D1087" t="s">
        <v>2855</v>
      </c>
      <c r="E1087" s="3" t="str">
        <f>HYPERLINK("https://www.amazon.com/Greenlee-LDTAP1-4-20-Long-Drill/dp/B00E62G6AG/ref=sr_1_2?keywords=Greenlee+DTAP1%2F4-20+Drill%2FTap%2C+1%2F4-20&amp;qid=1695173673&amp;sr=8-2", "https://www.amazon.com/Greenlee-LDTAP1-4-20-Long-Drill/dp/B00E62G6AG/ref=sr_1_2?keywords=Greenlee+DTAP1%2F4-20+Drill%2FTap%2C+1%2F4-20&amp;qid=1695173673&amp;sr=8-2")</f>
        <v>https://www.amazon.com/Greenlee-LDTAP1-4-20-Long-Drill/dp/B00E62G6AG/ref=sr_1_2?keywords=Greenlee+DTAP1%2F4-20+Drill%2FTap%2C+1%2F4-20&amp;qid=1695173673&amp;sr=8-2</v>
      </c>
      <c r="F1087" t="s">
        <v>2856</v>
      </c>
      <c r="G1087" t="e">
        <f ca="1">_xludf.IMAGE("https://edmondsonsupply.com/cdn/shop/products/DTAP1-4-20.jpg?v=1587151009")</f>
        <v>#NAME?</v>
      </c>
      <c r="H1087" t="e">
        <f ca="1">_xludf.IMAGE("https://m.media-amazon.com/images/I/61R41z3ZKQL._AC_UL320_.jpg")</f>
        <v>#NAME?</v>
      </c>
      <c r="I1087" t="s">
        <v>924</v>
      </c>
      <c r="J1087">
        <v>15.16</v>
      </c>
      <c r="K1087" s="4">
        <v>0.68630000000000002</v>
      </c>
      <c r="L1087">
        <v>3.7</v>
      </c>
      <c r="M1087">
        <v>7</v>
      </c>
      <c r="O1087" t="s">
        <v>25</v>
      </c>
      <c r="P1087" t="s">
        <v>2857</v>
      </c>
      <c r="Q1087" t="s">
        <v>2858</v>
      </c>
    </row>
    <row r="1088" spans="1:17" ht="15.5" x14ac:dyDescent="0.35">
      <c r="A1088"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088" s="3" t="str">
        <f>HYPERLINK("https://edmondsonsupply.com/products/klein-tools-jth4e17-1-2-inch-hex-key-journeyman-t-handle-4-inch", "https://edmondsonsupply.com/products/klein-tools-jth4e17-1-2-inch-hex-key-journeyman-t-handle-4-inch")</f>
        <v>https://edmondsonsupply.com/products/klein-tools-jth4e17-1-2-inch-hex-key-journeyman-t-handle-4-inch</v>
      </c>
      <c r="C1088" t="s">
        <v>2385</v>
      </c>
      <c r="D1088" t="s">
        <v>2859</v>
      </c>
      <c r="E1088" s="3" t="str">
        <f>HYPERLINK("https://www.amazon.com/Journeyman-T-Handle-Klein-Tools-JTH6M3BE/dp/B005G394V2/ref=sr_1_6?keywords=Klein+Tools+JTH4E11+3%2F16-Inch+Hex+Key+with+Journeyman+T-Handle%2C+4-Inch&amp;qid=1695173548&amp;sr=8-6", "https://www.amazon.com/Journeyman-T-Handle-Klein-Tools-JTH6M3BE/dp/B005G394V2/ref=sr_1_6?keywords=Klein+Tools+JTH4E11+3%2F16-Inch+Hex+Key+with+Journeyman+T-Handle%2C+4-Inch&amp;qid=1695173548&amp;sr=8-6")</f>
        <v>https://www.amazon.com/Journeyman-T-Handle-Klein-Tools-JTH6M3BE/dp/B005G394V2/ref=sr_1_6?keywords=Klein+Tools+JTH4E11+3%2F16-Inch+Hex+Key+with+Journeyman+T-Handle%2C+4-Inch&amp;qid=1695173548&amp;sr=8-6</v>
      </c>
      <c r="F1088" t="s">
        <v>2860</v>
      </c>
      <c r="G1088" t="e">
        <f ca="1">_xludf.IMAGE("https://edmondsonsupply.com/cdn/shop/products/jth4e17.jpg?v=1587144836")</f>
        <v>#NAME?</v>
      </c>
      <c r="H1088" t="e">
        <f ca="1">_xludf.IMAGE("https://m.media-amazon.com/images/I/51huXA+ij8L._AC_UL320_.jpg")</f>
        <v>#NAME?</v>
      </c>
      <c r="I1088" t="s">
        <v>2388</v>
      </c>
      <c r="J1088">
        <v>8.41</v>
      </c>
      <c r="K1088" s="4">
        <v>0.68540000000000001</v>
      </c>
      <c r="L1088">
        <v>4.5999999999999996</v>
      </c>
      <c r="M1088">
        <v>184</v>
      </c>
      <c r="O1088" t="s">
        <v>25</v>
      </c>
      <c r="P1088" t="s">
        <v>2389</v>
      </c>
      <c r="Q1088" t="s">
        <v>2390</v>
      </c>
    </row>
    <row r="1089" spans="1:17" ht="15.5" x14ac:dyDescent="0.35">
      <c r="A1089"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1089"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1089" t="s">
        <v>2391</v>
      </c>
      <c r="D1089" t="s">
        <v>2859</v>
      </c>
      <c r="E1089" s="3" t="str">
        <f>HYPERLINK("https://www.amazon.com/Journeyman-T-Handle-Klein-Tools-JTH6M3BE/dp/B005G394V2/ref=sr_1_4?keywords=Klein+Tools+JTH6E11+3%2F16-Inch+Hex+Key%2C+Journeyman+T-Handle%2C+6-Inch&amp;qid=1695173553&amp;sr=8-4", "https://www.amazon.com/Journeyman-T-Handle-Klein-Tools-JTH6M3BE/dp/B005G394V2/ref=sr_1_4?keywords=Klein+Tools+JTH6E11+3%2F16-Inch+Hex+Key%2C+Journeyman+T-Handle%2C+6-Inch&amp;qid=1695173553&amp;sr=8-4")</f>
        <v>https://www.amazon.com/Journeyman-T-Handle-Klein-Tools-JTH6M3BE/dp/B005G394V2/ref=sr_1_4?keywords=Klein+Tools+JTH6E11+3%2F16-Inch+Hex+Key%2C+Journeyman+T-Handle%2C+6-Inch&amp;qid=1695173553&amp;sr=8-4</v>
      </c>
      <c r="F1089" t="s">
        <v>2860</v>
      </c>
      <c r="G1089" t="e">
        <f ca="1">_xludf.IMAGE("https://edmondsonsupply.com/cdn/shop/products/jth6e15_0266106d-0a3b-44ba-997b-66db7749d83f.jpg?v=1587144829")</f>
        <v>#NAME?</v>
      </c>
      <c r="H1089" t="e">
        <f ca="1">_xludf.IMAGE("https://m.media-amazon.com/images/I/51huXA+ij8L._AC_UL320_.jpg")</f>
        <v>#NAME?</v>
      </c>
      <c r="I1089" t="s">
        <v>2388</v>
      </c>
      <c r="J1089">
        <v>8.41</v>
      </c>
      <c r="K1089" s="4">
        <v>0.68540000000000001</v>
      </c>
      <c r="L1089">
        <v>4.5999999999999996</v>
      </c>
      <c r="M1089">
        <v>184</v>
      </c>
      <c r="O1089" t="s">
        <v>25</v>
      </c>
      <c r="P1089" t="s">
        <v>2392</v>
      </c>
      <c r="Q1089" t="s">
        <v>2393</v>
      </c>
    </row>
    <row r="1090" spans="1:17" ht="15.5" x14ac:dyDescent="0.35">
      <c r="A1090"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090" s="3" t="str">
        <f>HYPERLINK("https://edmondsonsupply.com/products/packard-c130a-contactor-1-pole-30-amps-24-coil-voltage", "https://edmondsonsupply.com/products/packard-c130a-contactor-1-pole-30-amps-24-coil-voltage")</f>
        <v>https://edmondsonsupply.com/products/packard-c130a-contactor-1-pole-30-amps-24-coil-voltage</v>
      </c>
      <c r="C1090" t="s">
        <v>2726</v>
      </c>
      <c r="D1090" t="s">
        <v>2861</v>
      </c>
      <c r="E1090" s="3" t="str">
        <f>HYPERLINK("https://www.amazon.com/Goodman-Packard-Replacement-Contactor-C130A/dp/B00S8JKFIC/ref=sr_1_4?keywords=Packard+C130A+Contactor+1+Pole+30+Amps+24+Coil+Voltage&amp;qid=1695173411&amp;sr=8-4", "https://www.amazon.com/Goodman-Packard-Replacement-Contactor-C130A/dp/B00S8JKFIC/ref=sr_1_4?keywords=Packard+C130A+Contactor+1+Pole+30+Amps+24+Coil+Voltage&amp;qid=1695173411&amp;sr=8-4")</f>
        <v>https://www.amazon.com/Goodman-Packard-Replacement-Contactor-C130A/dp/B00S8JKFIC/ref=sr_1_4?keywords=Packard+C130A+Contactor+1+Pole+30+Amps+24+Coil+Voltage&amp;qid=1695173411&amp;sr=8-4</v>
      </c>
      <c r="F1090" t="s">
        <v>2862</v>
      </c>
      <c r="G1090" t="e">
        <f ca="1">_xludf.IMAGE("https://edmondsonsupply.com/cdn/shop/products/61bb566724620904123205.jpg?v=1650335931")</f>
        <v>#NAME?</v>
      </c>
      <c r="H1090" t="e">
        <f ca="1">_xludf.IMAGE("https://m.media-amazon.com/images/I/41lpHMZqPiL._AC_UY218_.jpg")</f>
        <v>#NAME?</v>
      </c>
      <c r="I1090" t="s">
        <v>2729</v>
      </c>
      <c r="J1090">
        <v>16.21</v>
      </c>
      <c r="K1090" s="4">
        <v>0.68500000000000005</v>
      </c>
      <c r="L1090">
        <v>4.5999999999999996</v>
      </c>
      <c r="M1090">
        <v>132</v>
      </c>
      <c r="O1090" t="s">
        <v>25</v>
      </c>
      <c r="P1090" t="s">
        <v>138</v>
      </c>
      <c r="Q1090" t="s">
        <v>2730</v>
      </c>
    </row>
    <row r="1091" spans="1:17" ht="15.5" x14ac:dyDescent="0.35">
      <c r="A1091" s="3" t="str">
        <f>HYPERLINK("https://edmondsonsupply.com/collections/hvac/products/milwaukee-2111-21-475-lumen-usb-rechargeable-hard-hat-headlamp", "https://edmondsonsupply.com/collections/hvac/products/milwaukee-2111-21-475-lumen-usb-rechargeable-hard-hat-headlamp")</f>
        <v>https://edmondsonsupply.com/collections/hvac/products/milwaukee-2111-21-475-lumen-usb-rechargeable-hard-hat-headlamp</v>
      </c>
      <c r="B1091" s="3" t="str">
        <f>HYPERLINK("https://edmondsonsupply.com/products/milwaukee-2111-21-475-lumen-usb-rechargeable-hard-hat-headlamp", "https://edmondsonsupply.com/products/milwaukee-2111-21-475-lumen-usb-rechargeable-hard-hat-headlamp")</f>
        <v>https://edmondsonsupply.com/products/milwaukee-2111-21-475-lumen-usb-rechargeable-hard-hat-headlamp</v>
      </c>
      <c r="C1091" t="s">
        <v>2863</v>
      </c>
      <c r="D1091" t="s">
        <v>2864</v>
      </c>
      <c r="E1091" s="3" t="str">
        <f>HYPERLINK("https://www.amazon.com/Milwaukee-2111-21-Rechargeable-TRUEVIEW-Headlamp/dp/B07XZFN514/ref=sr_1_1?keywords=Milwaukee+2111-21+475-Lumen+USB+Rechargeable+Hard+Hat+Headlamp&amp;qid=1695173675&amp;sr=8-1", "https://www.amazon.com/Milwaukee-2111-21-Rechargeable-TRUEVIEW-Headlamp/dp/B07XZFN514/ref=sr_1_1?keywords=Milwaukee+2111-21+475-Lumen+USB+Rechargeable+Hard+Hat+Headlamp&amp;qid=1695173675&amp;sr=8-1")</f>
        <v>https://www.amazon.com/Milwaukee-2111-21-Rechargeable-TRUEVIEW-Headlamp/dp/B07XZFN514/ref=sr_1_1?keywords=Milwaukee+2111-21+475-Lumen+USB+Rechargeable+Hard+Hat+Headlamp&amp;qid=1695173675&amp;sr=8-1</v>
      </c>
      <c r="F1091" t="s">
        <v>2865</v>
      </c>
      <c r="G1091" t="e">
        <f ca="1">_xludf.IMAGE("https://edmondsonsupply.com/cdn/shop/products/2111-21_3_Overlay_1.png?v=1587142535")</f>
        <v>#NAME?</v>
      </c>
      <c r="H1091" t="e">
        <f ca="1">_xludf.IMAGE("https://m.media-amazon.com/images/I/71r+OMacODL._AC_UL320_.jpg")</f>
        <v>#NAME?</v>
      </c>
      <c r="I1091" t="s">
        <v>356</v>
      </c>
      <c r="J1091">
        <v>117.84</v>
      </c>
      <c r="K1091" s="4">
        <v>0.68420000000000003</v>
      </c>
      <c r="L1091">
        <v>4.7</v>
      </c>
      <c r="M1091">
        <v>264</v>
      </c>
      <c r="O1091" t="s">
        <v>171</v>
      </c>
      <c r="P1091" t="s">
        <v>2866</v>
      </c>
      <c r="Q1091" t="s">
        <v>2867</v>
      </c>
    </row>
    <row r="1092" spans="1:17" ht="15.5" x14ac:dyDescent="0.35">
      <c r="A1092" s="3" t="str">
        <f>HYPERLINK("https://edmondsonsupply.com/collections/hvac/products/klein-tools-60401-hard-hat-vented-full-brim-style", "https://edmondsonsupply.com/collections/hvac/products/klein-tools-60401-hard-hat-vented-full-brim-style")</f>
        <v>https://edmondsonsupply.com/collections/hvac/products/klein-tools-60401-hard-hat-vented-full-brim-style</v>
      </c>
      <c r="B1092" s="3" t="str">
        <f>HYPERLINK("https://edmondsonsupply.com/products/klein-tools-60401-hard-hat-vented-full-brim-style", "https://edmondsonsupply.com/products/klein-tools-60401-hard-hat-vented-full-brim-style")</f>
        <v>https://edmondsonsupply.com/products/klein-tools-60401-hard-hat-vented-full-brim-style</v>
      </c>
      <c r="C1092" t="s">
        <v>943</v>
      </c>
      <c r="D1092" t="s">
        <v>944</v>
      </c>
      <c r="E1092" s="3" t="str">
        <f>HYPERLINK("https://www.amazon.com/Klein-Tools-KHHTOPPAD-Replaceable-Suspension/dp/B08KGPS8XH/ref=sr_1_6?keywords=Klein+Tools+60401+Hard+Hat%2C+Vented%2C+Full+Brim+Style&amp;qid=1695173675&amp;sr=8-6", "https://www.amazon.com/Klein-Tools-KHHTOPPAD-Replaceable-Suspension/dp/B08KGPS8XH/ref=sr_1_6?keywords=Klein+Tools+60401+Hard+Hat%2C+Vented%2C+Full+Brim+Style&amp;qid=1695173675&amp;sr=8-6")</f>
        <v>https://www.amazon.com/Klein-Tools-KHHTOPPAD-Replaceable-Suspension/dp/B08KGPS8XH/ref=sr_1_6?keywords=Klein+Tools+60401+Hard+Hat%2C+Vented%2C+Full+Brim+Style&amp;qid=1695173675&amp;sr=8-6</v>
      </c>
      <c r="F1092" t="s">
        <v>945</v>
      </c>
      <c r="G1092" t="e">
        <f ca="1">_xludf.IMAGE("https://edmondsonsupply.com/cdn/shop/products/60401.jpg?v=1587143271")</f>
        <v>#NAME?</v>
      </c>
      <c r="H1092" t="e">
        <f ca="1">_xludf.IMAGE("https://m.media-amazon.com/images/I/61bjZBPtOIL._AC_UL320_.jpg")</f>
        <v>#NAME?</v>
      </c>
      <c r="I1092" t="s">
        <v>946</v>
      </c>
      <c r="J1092">
        <v>75.709999999999994</v>
      </c>
      <c r="K1092" s="4">
        <v>0.68279999999999996</v>
      </c>
      <c r="L1092">
        <v>4.7</v>
      </c>
      <c r="M1092">
        <v>19</v>
      </c>
      <c r="O1092" t="s">
        <v>25</v>
      </c>
      <c r="P1092" t="s">
        <v>947</v>
      </c>
      <c r="Q1092" t="s">
        <v>948</v>
      </c>
    </row>
    <row r="1093" spans="1:17" ht="15.5" x14ac:dyDescent="0.35">
      <c r="A1093" s="3" t="str">
        <f>HYPERLINK("https://edmondsonsupply.com/collections/hvac/products/uei-dl429b-true-rms-digital-clamp-meter-w-wireless-and-differential-temperature", "https://edmondsonsupply.com/collections/hvac/products/uei-dl429b-true-rms-digital-clamp-meter-w-wireless-and-differential-temperature")</f>
        <v>https://edmondsonsupply.com/collections/hvac/products/uei-dl429b-true-rms-digital-clamp-meter-w-wireless-and-differential-temperature</v>
      </c>
      <c r="B1093"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1093" t="s">
        <v>2868</v>
      </c>
      <c r="D1093" t="s">
        <v>2869</v>
      </c>
      <c r="E1093" s="3" t="str">
        <f>HYPERLINK("https://www.amazon.com/UEi-Test-Instruments-DL429-Phoenix/dp/B00W5B15P6/ref=sr_1_3?keywords=UEi+DL479+AC+600A+True+RMS+HVAC%2FR+Clamp+Meter&amp;qid=1695173563&amp;sr=8-3", "https://www.amazon.com/UEi-Test-Instruments-DL429-Phoenix/dp/B00W5B15P6/ref=sr_1_3?keywords=UEi+DL479+AC+600A+True+RMS+HVAC%2FR+Clamp+Meter&amp;qid=1695173563&amp;sr=8-3")</f>
        <v>https://www.amazon.com/UEi-Test-Instruments-DL429-Phoenix/dp/B00W5B15P6/ref=sr_1_3?keywords=UEi+DL479+AC+600A+True+RMS+HVAC%2FR+Clamp+Meter&amp;qid=1695173563&amp;sr=8-3</v>
      </c>
      <c r="F1093" t="s">
        <v>2870</v>
      </c>
      <c r="G1093" t="e">
        <f ca="1">_xludf.IMAGE("https://edmondsonsupply.com/cdn/shop/products/DL479-1.jpg?v=1587142104")</f>
        <v>#NAME?</v>
      </c>
      <c r="H1093" t="e">
        <f ca="1">_xludf.IMAGE("https://m.media-amazon.com/images/I/61BXB98tFDS._AC_UY218_.jpg")</f>
        <v>#NAME?</v>
      </c>
      <c r="I1093" t="s">
        <v>2871</v>
      </c>
      <c r="J1093">
        <v>232.99</v>
      </c>
      <c r="K1093" s="4">
        <v>0.68210000000000004</v>
      </c>
      <c r="L1093">
        <v>4.5</v>
      </c>
      <c r="M1093">
        <v>184</v>
      </c>
      <c r="O1093" t="s">
        <v>171</v>
      </c>
      <c r="P1093" t="s">
        <v>2872</v>
      </c>
      <c r="Q1093" t="s">
        <v>2873</v>
      </c>
    </row>
    <row r="1094" spans="1:17" ht="15.5" x14ac:dyDescent="0.35">
      <c r="A1094" s="3" t="str">
        <f>HYPERLINK("https://edmondsonsupply.com/collections/hvac/products/testo-0564-2552-01-552i-app-controlled-wireless-vacuum-probe", "https://edmondsonsupply.com/collections/hvac/products/testo-0564-2552-01-552i-app-controlled-wireless-vacuum-probe")</f>
        <v>https://edmondsonsupply.com/collections/hvac/products/testo-0564-2552-01-552i-app-controlled-wireless-vacuum-probe</v>
      </c>
      <c r="B1094" s="3" t="str">
        <f>HYPERLINK("https://edmondsonsupply.com/products/testo-0564-2552-01-552i-app-controlled-wireless-vacuum-probe", "https://edmondsonsupply.com/products/testo-0564-2552-01-552i-app-controlled-wireless-vacuum-probe")</f>
        <v>https://edmondsonsupply.com/products/testo-0564-2552-01-552i-app-controlled-wireless-vacuum-probe</v>
      </c>
      <c r="C1094" t="s">
        <v>1899</v>
      </c>
      <c r="D1094" t="s">
        <v>2874</v>
      </c>
      <c r="E1094" s="3" t="str">
        <f>HYPERLINK("https://www.amazon.com/Testo-Thermohygrometer-Temperature-Measurement-App-Controlled/dp/B0C3MY4GXJ/ref=sr_1_5?keywords=Testo+0564+2552+01+552i+App-Controlled+Wireless+Vacuum+Probe&amp;qid=1695173617&amp;sr=8-5", "https://www.amazon.com/Testo-Thermohygrometer-Temperature-Measurement-App-Controlled/dp/B0C3MY4GXJ/ref=sr_1_5?keywords=Testo+0564+2552+01+552i+App-Controlled+Wireless+Vacuum+Probe&amp;qid=1695173617&amp;sr=8-5")</f>
        <v>https://www.amazon.com/Testo-Thermohygrometer-Temperature-Measurement-App-Controlled/dp/B0C3MY4GXJ/ref=sr_1_5?keywords=Testo+0564+2552+01+552i+App-Controlled+Wireless+Vacuum+Probe&amp;qid=1695173617&amp;sr=8-5</v>
      </c>
      <c r="F1094" t="s">
        <v>2875</v>
      </c>
      <c r="G1094" t="e">
        <f ca="1">_xludf.IMAGE("https://edmondsonsupply.com/cdn/shop/products/testo-552i-front_master.jpg?v=1633031193")</f>
        <v>#NAME?</v>
      </c>
      <c r="H1094" t="e">
        <f ca="1">_xludf.IMAGE("https://m.media-amazon.com/images/I/41+zkws2n9L._AC_UY218_.jpg")</f>
        <v>#NAME?</v>
      </c>
      <c r="I1094" t="s">
        <v>1902</v>
      </c>
      <c r="J1094">
        <v>298.43</v>
      </c>
      <c r="K1094" s="4">
        <v>0.67989999999999995</v>
      </c>
      <c r="L1094">
        <v>4.8</v>
      </c>
      <c r="M1094">
        <v>270</v>
      </c>
      <c r="O1094" t="s">
        <v>25</v>
      </c>
      <c r="P1094" t="s">
        <v>697</v>
      </c>
      <c r="Q1094" t="s">
        <v>1903</v>
      </c>
    </row>
    <row r="1095" spans="1:17" ht="15.5" x14ac:dyDescent="0.35">
      <c r="A1095" s="3" t="str">
        <f>HYPERLINK("https://edmondsonsupply.com/collections/hvac/products/klein-tools-60246-p100-half-mask-respirator-s-m", "https://edmondsonsupply.com/collections/hvac/products/klein-tools-60246-p100-half-mask-respirator-s-m")</f>
        <v>https://edmondsonsupply.com/collections/hvac/products/klein-tools-60246-p100-half-mask-respirator-s-m</v>
      </c>
      <c r="B1095" s="3" t="str">
        <f>HYPERLINK("https://edmondsonsupply.com/products/klein-tools-60246-p100-half-mask-respirator-s-m", "https://edmondsonsupply.com/products/klein-tools-60246-p100-half-mask-respirator-s-m")</f>
        <v>https://edmondsonsupply.com/products/klein-tools-60246-p100-half-mask-respirator-s-m</v>
      </c>
      <c r="C1095" t="s">
        <v>951</v>
      </c>
      <c r="D1095" t="s">
        <v>843</v>
      </c>
      <c r="E1095" s="3" t="str">
        <f>HYPERLINK("https://www.amazon.com/Klein-80044-Half-Mask-Respirator-Replacement/dp/B09FW2FRX8/ref=sr_1_2?keywords=Klein+Tools+60246+P100+Half-Mask+Respirator%2C+S%2FM&amp;qid=1695173478&amp;sr=8-2", "https://www.amazon.com/Klein-80044-Half-Mask-Respirator-Replacement/dp/B09FW2FRX8/ref=sr_1_2?keywords=Klein+Tools+60246+P100+Half-Mask+Respirator%2C+S%2FM&amp;qid=1695173478&amp;sr=8-2")</f>
        <v>https://www.amazon.com/Klein-80044-Half-Mask-Respirator-Replacement/dp/B09FW2FRX8/ref=sr_1_2?keywords=Klein+Tools+60246+P100+Half-Mask+Respirator%2C+S%2FM&amp;qid=1695173478&amp;sr=8-2</v>
      </c>
      <c r="F1095" t="s">
        <v>844</v>
      </c>
      <c r="G1095" t="e">
        <f ca="1">_xludf.IMAGE("https://edmondsonsupply.com/cdn/shop/products/60246.jpg?v=1661862728")</f>
        <v>#NAME?</v>
      </c>
      <c r="H1095" t="e">
        <f ca="1">_xludf.IMAGE("https://m.media-amazon.com/images/I/61kQgRHQL4L._AC_UL320_.jpg")</f>
        <v>#NAME?</v>
      </c>
      <c r="I1095" t="s">
        <v>26</v>
      </c>
      <c r="J1095">
        <v>50.35</v>
      </c>
      <c r="K1095" s="4">
        <v>0.67889999999999995</v>
      </c>
      <c r="L1095">
        <v>4.5</v>
      </c>
      <c r="M1095">
        <v>21</v>
      </c>
      <c r="O1095" t="s">
        <v>25</v>
      </c>
      <c r="P1095" t="s">
        <v>952</v>
      </c>
      <c r="Q1095" t="s">
        <v>953</v>
      </c>
    </row>
    <row r="1096" spans="1:17" ht="15.5" x14ac:dyDescent="0.35">
      <c r="A1096" s="3" t="str">
        <f>HYPERLINK("https://edmondsonsupply.com/collections/hvac/products/packard-c230a-contactor-2-pole-30-amps-24-coil-voltage", "https://edmondsonsupply.com/collections/hvac/products/packard-c230a-contactor-2-pole-30-amps-24-coil-voltage")</f>
        <v>https://edmondsonsupply.com/collections/hvac/products/packard-c230a-contactor-2-pole-30-amps-24-coil-voltage</v>
      </c>
      <c r="B1096" s="3" t="str">
        <f>HYPERLINK("https://edmondsonsupply.com/products/packard-c230a-contactor-2-pole-30-amps-24-coil-voltage", "https://edmondsonsupply.com/products/packard-c230a-contactor-2-pole-30-amps-24-coil-voltage")</f>
        <v>https://edmondsonsupply.com/products/packard-c230a-contactor-2-pole-30-amps-24-coil-voltage</v>
      </c>
      <c r="C1096" t="s">
        <v>2876</v>
      </c>
      <c r="D1096" t="s">
        <v>2877</v>
      </c>
      <c r="E1096" s="3" t="str">
        <f>HYPERLINK("https://www.amazon.com/Packard-C230B-Pole-Contactor-Voltage/dp/B001KGSJ74/ref=sr_1_5?keywords=Packard+C230A+Contactor+2+Pole+30+Amps+24+Coil+Voltage&amp;qid=1695173405&amp;sr=8-5", "https://www.amazon.com/Packard-C230B-Pole-Contactor-Voltage/dp/B001KGSJ74/ref=sr_1_5?keywords=Packard+C230A+Contactor+2+Pole+30+Amps+24+Coil+Voltage&amp;qid=1695173405&amp;sr=8-5")</f>
        <v>https://www.amazon.com/Packard-C230B-Pole-Contactor-Voltage/dp/B001KGSJ74/ref=sr_1_5?keywords=Packard+C230A+Contactor+2+Pole+30+Amps+24+Coil+Voltage&amp;qid=1695173405&amp;sr=8-5</v>
      </c>
      <c r="F1096" t="s">
        <v>2878</v>
      </c>
      <c r="G1096" t="e">
        <f ca="1">_xludf.IMAGE("https://edmondsonsupply.com/cdn/shop/products/C230A-1.jpg?v=1633030392")</f>
        <v>#NAME?</v>
      </c>
      <c r="H1096" t="e">
        <f ca="1">_xludf.IMAGE("https://m.media-amazon.com/images/I/71JufxTm19L._AC_UY218_.jpg")</f>
        <v>#NAME?</v>
      </c>
      <c r="I1096" t="s">
        <v>2176</v>
      </c>
      <c r="J1096">
        <v>18.14</v>
      </c>
      <c r="K1096" s="4">
        <v>0.67649999999999999</v>
      </c>
      <c r="L1096">
        <v>4.5999999999999996</v>
      </c>
      <c r="M1096">
        <v>1674</v>
      </c>
      <c r="O1096" t="s">
        <v>25</v>
      </c>
      <c r="P1096" t="s">
        <v>138</v>
      </c>
      <c r="Q1096" t="s">
        <v>2879</v>
      </c>
    </row>
    <row r="1097" spans="1:17" ht="15.5" x14ac:dyDescent="0.35">
      <c r="A1097"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1097" s="3" t="str">
        <f>HYPERLINK("https://edmondsonsupply.com/products/packard-c230b-contactor-2-pole-30-amps-120-coil-voltage", "https://edmondsonsupply.com/products/packard-c230b-contactor-2-pole-30-amps-120-coil-voltage")</f>
        <v>https://edmondsonsupply.com/products/packard-c230b-contactor-2-pole-30-amps-120-coil-voltage</v>
      </c>
      <c r="C1097" t="s">
        <v>2173</v>
      </c>
      <c r="D1097" t="s">
        <v>2877</v>
      </c>
      <c r="E1097" s="3" t="str">
        <f>HYPERLINK("https://www.amazon.com/Packard-C230B-Pole-Contactor-Voltage/dp/B001KGSJ74/ref=sr_1_1?keywords=Packard+C230B+Contactor+2+Pole+30+AMPS+120+Coil+Voltage&amp;qid=1695173673&amp;sr=8-1", "https://www.amazon.com/Packard-C230B-Pole-Contactor-Voltage/dp/B001KGSJ74/ref=sr_1_1?keywords=Packard+C230B+Contactor+2+Pole+30+AMPS+120+Coil+Voltage&amp;qid=1695173673&amp;sr=8-1")</f>
        <v>https://www.amazon.com/Packard-C230B-Pole-Contactor-Voltage/dp/B001KGSJ74/ref=sr_1_1?keywords=Packard+C230B+Contactor+2+Pole+30+AMPS+120+Coil+Voltage&amp;qid=1695173673&amp;sr=8-1</v>
      </c>
      <c r="F1097" t="s">
        <v>2878</v>
      </c>
      <c r="G1097" t="e">
        <f ca="1">_xludf.IMAGE("https://edmondsonsupply.com/cdn/shop/products/C230B-1.jpg?v=1587142333")</f>
        <v>#NAME?</v>
      </c>
      <c r="H1097" t="e">
        <f ca="1">_xludf.IMAGE("https://m.media-amazon.com/images/I/71JufxTm19L._AC_UY218_.jpg")</f>
        <v>#NAME?</v>
      </c>
      <c r="I1097" t="s">
        <v>2176</v>
      </c>
      <c r="J1097">
        <v>18.14</v>
      </c>
      <c r="K1097" s="4">
        <v>0.67649999999999999</v>
      </c>
      <c r="L1097">
        <v>4.5999999999999996</v>
      </c>
      <c r="M1097">
        <v>1674</v>
      </c>
      <c r="O1097" t="s">
        <v>25</v>
      </c>
      <c r="P1097" t="s">
        <v>138</v>
      </c>
      <c r="Q1097" t="s">
        <v>2177</v>
      </c>
    </row>
    <row r="1098" spans="1:17" ht="15.5" x14ac:dyDescent="0.35">
      <c r="A1098" s="3" t="str">
        <f>HYPERLINK("https://edmondsonsupply.com/collections/hvac/products/packard-trcfd455-titan-pro-run-capacitor-45-5-mfd-440-370-volt-round", "https://edmondsonsupply.com/collections/hvac/products/packard-trcfd455-titan-pro-run-capacitor-45-5-mfd-440-370-volt-round")</f>
        <v>https://edmondsonsupply.com/collections/hvac/products/packard-trcfd455-titan-pro-run-capacitor-45-5-mfd-440-370-volt-round</v>
      </c>
      <c r="B1098" s="3" t="str">
        <f>HYPERLINK("https://edmondsonsupply.com/products/packard-trcfd455-titan-pro-run-capacitor-45-5-mfd-440-370-volt-round", "https://edmondsonsupply.com/products/packard-trcfd455-titan-pro-run-capacitor-45-5-mfd-440-370-volt-round")</f>
        <v>https://edmondsonsupply.com/products/packard-trcfd455-titan-pro-run-capacitor-45-5-mfd-440-370-volt-round</v>
      </c>
      <c r="C1098" t="s">
        <v>2069</v>
      </c>
      <c r="D1098" t="s">
        <v>2880</v>
      </c>
      <c r="E1098" s="3" t="str">
        <f>HYPERLINK("https://www.amazon.com/Titan-TRCFD455-Rated-Motor-Capacitor/dp/B01HPIYGXG/ref=sr_1_5?keywords=Packard+TRCFD455+Titan+PRO+Run+Capacitor+45+5+MFD+440%2F370+Volt+Round&amp;qid=1695173400&amp;sr=8-5", "https://www.amazon.com/Titan-TRCFD455-Rated-Motor-Capacitor/dp/B01HPIYGXG/ref=sr_1_5?keywords=Packard+TRCFD455+Titan+PRO+Run+Capacitor+45+5+MFD+440%2F370+Volt+Round&amp;qid=1695173400&amp;sr=8-5")</f>
        <v>https://www.amazon.com/Titan-TRCFD455-Rated-Motor-Capacitor/dp/B01HPIYGXG/ref=sr_1_5?keywords=Packard+TRCFD455+Titan+PRO+Run+Capacitor+45+5+MFD+440%2F370+Volt+Round&amp;qid=1695173400&amp;sr=8-5</v>
      </c>
      <c r="F1098" t="s">
        <v>2881</v>
      </c>
      <c r="G1098" t="e">
        <f ca="1">_xludf.IMAGE("https://edmondsonsupply.com/cdn/shop/products/TRCFD455-2.jpg?v=1587147298")</f>
        <v>#NAME?</v>
      </c>
      <c r="H1098" t="e">
        <f ca="1">_xludf.IMAGE("https://m.media-amazon.com/images/I/41PR+nyKvsL._AC_UY218_.jpg")</f>
        <v>#NAME?</v>
      </c>
      <c r="I1098" t="s">
        <v>924</v>
      </c>
      <c r="J1098">
        <v>15.07</v>
      </c>
      <c r="K1098" s="4">
        <v>0.67630000000000001</v>
      </c>
      <c r="L1098">
        <v>4.7</v>
      </c>
      <c r="M1098">
        <v>233</v>
      </c>
      <c r="O1098" t="s">
        <v>171</v>
      </c>
      <c r="P1098" t="s">
        <v>138</v>
      </c>
      <c r="Q1098" t="s">
        <v>2072</v>
      </c>
    </row>
    <row r="1099" spans="1:17" ht="15.5" x14ac:dyDescent="0.35">
      <c r="A1099" s="3" t="str">
        <f>HYPERLINK("https://edmondsonsupply.com/collections/hvac/products/greenlee-gsb02-1-2-step-bit-2", "https://edmondsonsupply.com/collections/hvac/products/greenlee-gsb02-1-2-step-bit-2")</f>
        <v>https://edmondsonsupply.com/collections/hvac/products/greenlee-gsb02-1-2-step-bit-2</v>
      </c>
      <c r="B1099" s="3" t="str">
        <f>HYPERLINK("https://edmondsonsupply.com/products/greenlee-gsb02-1-2-step-bit-2", "https://edmondsonsupply.com/products/greenlee-gsb02-1-2-step-bit-2")</f>
        <v>https://edmondsonsupply.com/products/greenlee-gsb02-1-2-step-bit-2</v>
      </c>
      <c r="C1099" t="s">
        <v>2882</v>
      </c>
      <c r="D1099" t="s">
        <v>2320</v>
      </c>
      <c r="E1099" s="3" t="str">
        <f>HYPERLINK("https://www.amazon.com/Greenlee-Patented-Split-Step-Design-Cutting/dp/B08TVGF4MS/ref=sr_1_4?keywords=Greenlee+GSB02+1%2F2%22+Step+Bit+%28%232%29&amp;qid=1695173752&amp;sr=8-4", "https://www.amazon.com/Greenlee-Patented-Split-Step-Design-Cutting/dp/B08TVGF4MS/ref=sr_1_4?keywords=Greenlee+GSB02+1%2F2%22+Step+Bit+%28%232%29&amp;qid=1695173752&amp;sr=8-4")</f>
        <v>https://www.amazon.com/Greenlee-Patented-Split-Step-Design-Cutting/dp/B08TVGF4MS/ref=sr_1_4?keywords=Greenlee+GSB02+1%2F2%22+Step+Bit+%28%232%29&amp;qid=1695173752&amp;sr=8-4</v>
      </c>
      <c r="F1099" t="s">
        <v>2321</v>
      </c>
      <c r="G1099" t="e">
        <f ca="1">_xludf.IMAGE("https://edmondsonsupply.com/cdn/shop/files/GSB02_CAT1_72dpi.jpg?v=1687783943")</f>
        <v>#NAME?</v>
      </c>
      <c r="H1099" t="e">
        <f ca="1">_xludf.IMAGE("https://m.media-amazon.com/images/I/41J5YEXJLpL._AC_UY218_.jpg")</f>
        <v>#NAME?</v>
      </c>
      <c r="I1099" t="s">
        <v>2883</v>
      </c>
      <c r="J1099">
        <v>65.81</v>
      </c>
      <c r="K1099" s="4">
        <v>0.67500000000000004</v>
      </c>
      <c r="L1099">
        <v>3.8</v>
      </c>
      <c r="M1099">
        <v>5</v>
      </c>
      <c r="O1099" t="s">
        <v>25</v>
      </c>
      <c r="P1099" t="s">
        <v>2884</v>
      </c>
      <c r="Q1099" t="s">
        <v>2885</v>
      </c>
    </row>
    <row r="1100" spans="1:17" ht="15.5" x14ac:dyDescent="0.35">
      <c r="A1100" s="3" t="str">
        <f>HYPERLINK("https://edmondsonsupply.com/collections/hvac/products/viega-25206-3-4-x-3-4-megapressg-90-elbow", "https://edmondsonsupply.com/collections/hvac/products/viega-25206-3-4-x-3-4-megapressg-90-elbow")</f>
        <v>https://edmondsonsupply.com/collections/hvac/products/viega-25206-3-4-x-3-4-megapressg-90-elbow</v>
      </c>
      <c r="B1100" s="3" t="str">
        <f>HYPERLINK("https://edmondsonsupply.com/products/viega-25206-3-4-x-3-4-megapressg-90-elbow", "https://edmondsonsupply.com/products/viega-25206-3-4-x-3-4-megapressg-90-elbow")</f>
        <v>https://edmondsonsupply.com/products/viega-25206-3-4-x-3-4-megapressg-90-elbow</v>
      </c>
      <c r="C1100" t="s">
        <v>2886</v>
      </c>
      <c r="D1100" t="s">
        <v>2887</v>
      </c>
      <c r="E1100" s="3" t="str">
        <f>HYPERLINK("https://www.amazon.com/Viega-MegaPressG-Carbon-Steel-Elbow/dp/B00COVXBYK/ref=sr_1_2?keywords=Viega+25206+3%2F4%22+x+3%2F4%22+MegaPressG+90%C2%B0+Elbow&amp;qid=1695173698&amp;sr=8-2", "https://www.amazon.com/Viega-MegaPressG-Carbon-Steel-Elbow/dp/B00COVXBYK/ref=sr_1_2?keywords=Viega+25206+3%2F4%22+x+3%2F4%22+MegaPressG+90%C2%B0+Elbow&amp;qid=1695173698&amp;sr=8-2")</f>
        <v>https://www.amazon.com/Viega-MegaPressG-Carbon-Steel-Elbow/dp/B00COVXBYK/ref=sr_1_2?keywords=Viega+25206+3%2F4%22+x+3%2F4%22+MegaPressG+90%C2%B0+Elbow&amp;qid=1695173698&amp;sr=8-2</v>
      </c>
      <c r="F1100" t="s">
        <v>2888</v>
      </c>
      <c r="G1100" t="e">
        <f ca="1">_xludf.IMAGE("https://edmondsonsupply.com/cdn/shop/files/PPm6616_cc26a193-b30e-4392-a225-66209e0534b8.jpg?v=1693271419")</f>
        <v>#NAME?</v>
      </c>
      <c r="H1100" t="e">
        <f ca="1">_xludf.IMAGE("https://m.media-amazon.com/images/I/51cc8PBnNUL._AC_UL320_.jpg")</f>
        <v>#NAME?</v>
      </c>
      <c r="I1100" t="s">
        <v>2889</v>
      </c>
      <c r="J1100">
        <v>23.19</v>
      </c>
      <c r="K1100" s="4">
        <v>0.67320000000000002</v>
      </c>
      <c r="L1100">
        <v>5</v>
      </c>
      <c r="M1100">
        <v>1</v>
      </c>
      <c r="O1100" t="s">
        <v>25</v>
      </c>
      <c r="P1100" t="s">
        <v>2890</v>
      </c>
      <c r="Q1100" t="s">
        <v>2891</v>
      </c>
    </row>
    <row r="1101" spans="1:17" ht="15.5" x14ac:dyDescent="0.35">
      <c r="A1101"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1101"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1101" t="s">
        <v>2546</v>
      </c>
      <c r="D1101" t="s">
        <v>2892</v>
      </c>
      <c r="E1101" s="3" t="str">
        <f>HYPERLINK("https://www.amazon.com/YELLOW-JACKET-42004-Manifold-Gauges/dp/B005JV01ZE/ref=sr_1_2?keywords=Yellow+Jacket+42001+Series+41+Manifold+Only%2C+3-1%2F8%22+Gauges+-+R-22+%2F+404A+%2F+410A&amp;qid=1695173491&amp;sr=8-2", "https://www.amazon.com/YELLOW-JACKET-42004-Manifold-Gauges/dp/B005JV01ZE/ref=sr_1_2?keywords=Yellow+Jacket+42001+Series+41+Manifold+Only%2C+3-1%2F8%22+Gauges+-+R-22+%2F+404A+%2F+410A&amp;qid=1695173491&amp;sr=8-2")</f>
        <v>https://www.amazon.com/YELLOW-JACKET-42004-Manifold-Gauges/dp/B005JV01ZE/ref=sr_1_2?keywords=Yellow+Jacket+42001+Series+41+Manifold+Only%2C+3-1%2F8%22+Gauges+-+R-22+%2F+404A+%2F+410A&amp;qid=1695173491&amp;sr=8-2</v>
      </c>
      <c r="F1101" t="s">
        <v>2893</v>
      </c>
      <c r="G1101" t="e">
        <f ca="1">_xludf.IMAGE("https://edmondsonsupply.com/cdn/shop/products/series-41-manifolds-with-318-gauges.jpg?v=1633030025")</f>
        <v>#NAME?</v>
      </c>
      <c r="H1101" t="e">
        <f ca="1">_xludf.IMAGE("https://m.media-amazon.com/images/I/617urri5EqL._AC_UL320_.jpg")</f>
        <v>#NAME?</v>
      </c>
      <c r="I1101" t="s">
        <v>2549</v>
      </c>
      <c r="J1101">
        <v>163.43</v>
      </c>
      <c r="K1101" s="4">
        <v>0.67159999999999997</v>
      </c>
      <c r="L1101">
        <v>4.5999999999999996</v>
      </c>
      <c r="M1101">
        <v>150</v>
      </c>
      <c r="O1101" t="s">
        <v>25</v>
      </c>
      <c r="P1101" t="s">
        <v>138</v>
      </c>
      <c r="Q1101" t="s">
        <v>2550</v>
      </c>
    </row>
    <row r="1102" spans="1:17" ht="15.5" x14ac:dyDescent="0.35">
      <c r="A1102" s="3" t="str">
        <f>HYPERLINK("https://edmondsonsupply.com/collections/hvac/products/rectorseal-66735-nokink-5-8-x-3-flexible-refrigerant-line-connector", "https://edmondsonsupply.com/collections/hvac/products/rectorseal-66735-nokink-5-8-x-3-flexible-refrigerant-line-connector")</f>
        <v>https://edmondsonsupply.com/collections/hvac/products/rectorseal-66735-nokink-5-8-x-3-flexible-refrigerant-line-connector</v>
      </c>
      <c r="B1102" s="3" t="str">
        <f>HYPERLINK("https://edmondsonsupply.com/products/rectorseal-66735-nokink-5-8-x-3-flexible-refrigerant-line-connector", "https://edmondsonsupply.com/products/rectorseal-66735-nokink-5-8-x-3-flexible-refrigerant-line-connector")</f>
        <v>https://edmondsonsupply.com/products/rectorseal-66735-nokink-5-8-x-3-flexible-refrigerant-line-connector</v>
      </c>
      <c r="C1102" t="s">
        <v>2894</v>
      </c>
      <c r="D1102" t="s">
        <v>2374</v>
      </c>
      <c r="E1102" s="3" t="str">
        <f>HYPERLINK("https://www.amazon.com/Rectorseal-68235-Flexible-Refrigerant-Connector/dp/B01ALRVLTA/ref=sr_1_1?keywords=RectorSeal+66735+NoKink+5%2F8%22+x+3%27+Flexible+Refrigerant+Line+Connector&amp;qid=1695173468&amp;sr=8-1", "https://www.amazon.com/Rectorseal-68235-Flexible-Refrigerant-Connector/dp/B01ALRVLTA/ref=sr_1_1?keywords=RectorSeal+66735+NoKink+5%2F8%22+x+3%27+Flexible+Refrigerant+Line+Connector&amp;qid=1695173468&amp;sr=8-1")</f>
        <v>https://www.amazon.com/Rectorseal-68235-Flexible-Refrigerant-Connector/dp/B01ALRVLTA/ref=sr_1_1?keywords=RectorSeal+66735+NoKink+5%2F8%22+x+3%27+Flexible+Refrigerant+Line+Connector&amp;qid=1695173468&amp;sr=8-1</v>
      </c>
      <c r="F1102" t="s">
        <v>2375</v>
      </c>
      <c r="G1102" t="e">
        <f ca="1">_xludf.IMAGE("https://edmondsonsupply.com/cdn/shop/products/66735-1.jpg?v=1632264692")</f>
        <v>#NAME?</v>
      </c>
      <c r="H1102" t="e">
        <f ca="1">_xludf.IMAGE("https://m.media-amazon.com/images/I/51pjB6ZOm9L._AC_UY218_.jpg")</f>
        <v>#NAME?</v>
      </c>
      <c r="I1102" t="s">
        <v>300</v>
      </c>
      <c r="J1102">
        <v>133.66999999999999</v>
      </c>
      <c r="K1102" s="4">
        <v>0.67110000000000003</v>
      </c>
      <c r="L1102">
        <v>4</v>
      </c>
      <c r="M1102">
        <v>5</v>
      </c>
      <c r="O1102" t="s">
        <v>25</v>
      </c>
      <c r="P1102" t="s">
        <v>138</v>
      </c>
      <c r="Q1102" t="s">
        <v>2895</v>
      </c>
    </row>
    <row r="1103" spans="1:17" ht="15.5" x14ac:dyDescent="0.35">
      <c r="A1103" s="3" t="str">
        <f>HYPERLINK("https://edmondsonsupply.com/collections/hvac/products/fresh-aire-uv-apco-tuvl-215-2-year-replacement-uv-lamp", "https://edmondsonsupply.com/collections/hvac/products/fresh-aire-uv-apco-tuvl-215-2-year-replacement-uv-lamp")</f>
        <v>https://edmondsonsupply.com/collections/hvac/products/fresh-aire-uv-apco-tuvl-215-2-year-replacement-uv-lamp</v>
      </c>
      <c r="B1103" s="3" t="str">
        <f>HYPERLINK("https://edmondsonsupply.com/products/fresh-aire-uv-apco-tuvl-215-2-year-replacement-uv-lamp", "https://edmondsonsupply.com/products/fresh-aire-uv-apco-tuvl-215-2-year-replacement-uv-lamp")</f>
        <v>https://edmondsonsupply.com/products/fresh-aire-uv-apco-tuvl-215-2-year-replacement-uv-lamp</v>
      </c>
      <c r="C1103" t="s">
        <v>2896</v>
      </c>
      <c r="D1103" t="s">
        <v>2897</v>
      </c>
      <c r="E1103" s="3" t="str">
        <f>HYPERLINK("https://www.amazon.com/APCO-Fresh-Aire-TUVL-315-TUVL315-Replacement/dp/B09B7WYCC2/ref=sr_1_6?keywords=Fresh-Aire+UV+APCO+TUVL-215%2C+2-Year+Replacement+UV+Lamp&amp;qid=1695173344&amp;sr=8-6", "https://www.amazon.com/APCO-Fresh-Aire-TUVL-315-TUVL315-Replacement/dp/B09B7WYCC2/ref=sr_1_6?keywords=Fresh-Aire+UV+APCO+TUVL-215%2C+2-Year+Replacement+UV+Lamp&amp;qid=1695173344&amp;sr=8-6")</f>
        <v>https://www.amazon.com/APCO-Fresh-Aire-TUVL-315-TUVL315-Replacement/dp/B09B7WYCC2/ref=sr_1_6?keywords=Fresh-Aire+UV+APCO+TUVL-215%2C+2-Year+Replacement+UV+Lamp&amp;qid=1695173344&amp;sr=8-6</v>
      </c>
      <c r="F1103" t="s">
        <v>2898</v>
      </c>
      <c r="G1103" t="e">
        <f ca="1">_xludf.IMAGE("https://edmondsonsupply.com/cdn/shop/products/TUVL-215_1ea9b67d-7d35-4102-a10b-a43913714c29.jpg?v=1633030216")</f>
        <v>#NAME?</v>
      </c>
      <c r="H1103" t="e">
        <f ca="1">_xludf.IMAGE("https://m.media-amazon.com/images/I/21ORtJD7dsS._AC_UL320_.jpg")</f>
        <v>#NAME?</v>
      </c>
      <c r="I1103" t="s">
        <v>2899</v>
      </c>
      <c r="J1103">
        <v>180</v>
      </c>
      <c r="K1103" s="4">
        <v>0.66369999999999996</v>
      </c>
      <c r="L1103">
        <v>5</v>
      </c>
      <c r="M1103">
        <v>3</v>
      </c>
      <c r="O1103" t="s">
        <v>25</v>
      </c>
      <c r="P1103" t="s">
        <v>138</v>
      </c>
      <c r="Q1103" t="s">
        <v>2900</v>
      </c>
    </row>
    <row r="1104" spans="1:17" ht="15.5" x14ac:dyDescent="0.35">
      <c r="A1104" s="3" t="str">
        <f>HYPERLINK("https://edmondsonsupply.com/collections/hvac/products/packard-ptmj270a-motor-start-capacitor-220-250-volt-270-324-mfd", "https://edmondsonsupply.com/collections/hvac/products/packard-ptmj270a-motor-start-capacitor-220-250-volt-270-324-mfd")</f>
        <v>https://edmondsonsupply.com/collections/hvac/products/packard-ptmj270a-motor-start-capacitor-220-250-volt-270-324-mfd</v>
      </c>
      <c r="B1104" s="3" t="str">
        <f>HYPERLINK("https://edmondsonsupply.com/products/packard-ptmj270a-motor-start-capacitor-220-250-volt-270-324-mfd", "https://edmondsonsupply.com/products/packard-ptmj270a-motor-start-capacitor-220-250-volt-270-324-mfd")</f>
        <v>https://edmondsonsupply.com/products/packard-ptmj270a-motor-start-capacitor-220-250-volt-270-324-mfd</v>
      </c>
      <c r="C1104" t="s">
        <v>2606</v>
      </c>
      <c r="D1104" t="s">
        <v>2901</v>
      </c>
      <c r="E1104" s="3" t="str">
        <f>HYPERLINK("https://www.amazon.com/PTMJ270-Packard-Aftermarket-Replacement-Capacitor/dp/B00IWYHXOW/ref=sr_1_1?keywords=Packard+PTMJ270A+Motor+Start+Capacitor+220-250+Volt+270-324+MFD&amp;qid=1695173645&amp;sr=8-1", "https://www.amazon.com/PTMJ270-Packard-Aftermarket-Replacement-Capacitor/dp/B00IWYHXOW/ref=sr_1_1?keywords=Packard+PTMJ270A+Motor+Start+Capacitor+220-250+Volt+270-324+MFD&amp;qid=1695173645&amp;sr=8-1")</f>
        <v>https://www.amazon.com/PTMJ270-Packard-Aftermarket-Replacement-Capacitor/dp/B00IWYHXOW/ref=sr_1_1?keywords=Packard+PTMJ270A+Motor+Start+Capacitor+220-250+Volt+270-324+MFD&amp;qid=1695173645&amp;sr=8-1</v>
      </c>
      <c r="F1104" t="s">
        <v>2902</v>
      </c>
      <c r="G1104" t="e">
        <f ca="1">_xludf.IMAGE("https://edmondsonsupply.com/cdn/shop/products/PTMJ270A-2.jpg?v=1633030308")</f>
        <v>#NAME?</v>
      </c>
      <c r="H1104" t="e">
        <f ca="1">_xludf.IMAGE("https://m.media-amazon.com/images/I/41k5rZblOYL._AC_UY218_.jpg")</f>
        <v>#NAME?</v>
      </c>
      <c r="I1104" t="s">
        <v>2609</v>
      </c>
      <c r="J1104">
        <v>16.489999999999998</v>
      </c>
      <c r="K1104" s="4">
        <v>0.6623</v>
      </c>
      <c r="L1104">
        <v>5</v>
      </c>
      <c r="M1104">
        <v>3</v>
      </c>
      <c r="O1104" t="s">
        <v>25</v>
      </c>
      <c r="P1104" t="s">
        <v>138</v>
      </c>
      <c r="Q1104" t="s">
        <v>2610</v>
      </c>
    </row>
    <row r="1105" spans="1:17" ht="15.5" x14ac:dyDescent="0.35">
      <c r="A1105"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105"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105" t="s">
        <v>2903</v>
      </c>
      <c r="D1105" t="s">
        <v>2904</v>
      </c>
      <c r="E1105" s="3" t="str">
        <f>HYPERLINK("https://www.amazon.com/Diablo-SDS-Max-4-Cutter-Carbide-Hammer/dp/B089KWF9R4/ref=sr_1_10?keywords=Diablo+Tools+DMAMX1300+1-1%2F4+in.+x+16+in.+x+21+in.+Rebar+Demon%E2%84%A2+SDS-Max+4-Cutter+Full+Carbide+Head+Hammer+Drill+Bit&amp;qid=1695173488&amp;sr=8-10", "https://www.amazon.com/Diablo-SDS-Max-4-Cutter-Carbide-Hammer/dp/B089KWF9R4/ref=sr_1_10?keywords=Diablo+Tools+DMAMX1300+1-1%2F4+in.+x+16+in.+x+21+in.+Rebar+Demon%E2%84%A2+SDS-Max+4-Cutter+Full+Carbide+Head+Hammer+Drill+Bit&amp;qid=1695173488&amp;sr=8-10")</f>
        <v>https://www.amazon.com/Diablo-SDS-Max-4-Cutter-Carbide-Hammer/dp/B089KWF9R4/ref=sr_1_10?keywords=Diablo+Tools+DMAMX1300+1-1%2F4+in.+x+16+in.+x+21+in.+Rebar+Demon%E2%84%A2+SDS-Max+4-Cutter+Full+Carbide+Head+Hammer+Drill+Bit&amp;qid=1695173488&amp;sr=8-10</v>
      </c>
      <c r="F1105" t="s">
        <v>2905</v>
      </c>
      <c r="G1105" t="e">
        <f ca="1">_xludf.IMAGE("https://edmondsonsupply.com/cdn/shop/files/immoyh7jjmbau4fzhuq6_7dd7fd73-2865-4c12-9443-da45b48dbd51.webp?v=1685465465")</f>
        <v>#NAME?</v>
      </c>
      <c r="H1105" t="e">
        <f ca="1">_xludf.IMAGE("https://m.media-amazon.com/images/I/61UhVlNC+9L._AC_UL320_.jpg")</f>
        <v>#NAME?</v>
      </c>
      <c r="I1105" t="s">
        <v>2906</v>
      </c>
      <c r="J1105">
        <v>109.99</v>
      </c>
      <c r="K1105" s="4">
        <v>0.65649999999999997</v>
      </c>
      <c r="L1105">
        <v>5</v>
      </c>
      <c r="M1105">
        <v>3</v>
      </c>
      <c r="O1105" t="s">
        <v>171</v>
      </c>
      <c r="P1105" t="s">
        <v>2907</v>
      </c>
      <c r="Q1105" t="s">
        <v>2908</v>
      </c>
    </row>
    <row r="1106" spans="1:17" ht="15.5" x14ac:dyDescent="0.35">
      <c r="A1106" s="3" t="str">
        <f>HYPERLINK("https://edmondsonsupply.com/collections/hvac/products/yellow-jacket-yjii-vacuum-pump-5-cfm-93266", "https://edmondsonsupply.com/collections/hvac/products/yellow-jacket-yjii-vacuum-pump-5-cfm-93266")</f>
        <v>https://edmondsonsupply.com/collections/hvac/products/yellow-jacket-yjii-vacuum-pump-5-cfm-93266</v>
      </c>
      <c r="B1106" s="3" t="str">
        <f>HYPERLINK("https://edmondsonsupply.com/products/yellow-jacket-yjii-vacuum-pump-5-cfm-93266", "https://edmondsonsupply.com/products/yellow-jacket-yjii-vacuum-pump-5-cfm-93266")</f>
        <v>https://edmondsonsupply.com/products/yellow-jacket-yjii-vacuum-pump-5-cfm-93266</v>
      </c>
      <c r="C1106" t="s">
        <v>2075</v>
      </c>
      <c r="D1106" t="s">
        <v>2909</v>
      </c>
      <c r="E1106" s="3" t="str">
        <f>HYPERLINK("https://www.amazon.com/YELLOW-JACKET-93600-Bullet-Single/dp/B007ID2BKE/ref=sr_1_5?keywords=Yellow+Jacket+93266+YJII%E2%84%A2+5+CFM+Vacuum+Pump&amp;qid=1695173391&amp;sr=8-5", "https://www.amazon.com/YELLOW-JACKET-93600-Bullet-Single/dp/B007ID2BKE/ref=sr_1_5?keywords=Yellow+Jacket+93266+YJII%E2%84%A2+5+CFM+Vacuum+Pump&amp;qid=1695173391&amp;sr=8-5")</f>
        <v>https://www.amazon.com/YELLOW-JACKET-93600-Bullet-Single/dp/B007ID2BKE/ref=sr_1_5?keywords=Yellow+Jacket+93266+YJII%E2%84%A2+5+CFM+Vacuum+Pump&amp;qid=1695173391&amp;sr=8-5</v>
      </c>
      <c r="F1106" t="s">
        <v>2910</v>
      </c>
      <c r="G1106" t="e">
        <f ca="1">_xludf.IMAGE("https://edmondsonsupply.com/cdn/shop/products/93266-YJII-Vacuum-Pump-484x416.jpg?v=1605058989")</f>
        <v>#NAME?</v>
      </c>
      <c r="H1106" t="e">
        <f ca="1">_xludf.IMAGE("https://m.media-amazon.com/images/I/615RV1bqJ5S._AC_UL320_.jpg")</f>
        <v>#NAME?</v>
      </c>
      <c r="I1106" t="s">
        <v>2078</v>
      </c>
      <c r="J1106">
        <v>533.94000000000005</v>
      </c>
      <c r="K1106" s="4">
        <v>0.65529999999999999</v>
      </c>
      <c r="L1106">
        <v>4.3</v>
      </c>
      <c r="M1106">
        <v>34</v>
      </c>
      <c r="O1106" t="s">
        <v>25</v>
      </c>
      <c r="P1106" t="s">
        <v>138</v>
      </c>
      <c r="Q1106" t="s">
        <v>2079</v>
      </c>
    </row>
    <row r="1107" spans="1:17" ht="15.5" x14ac:dyDescent="0.35">
      <c r="A1107" s="3" t="str">
        <f>HYPERLINK("https://edmondsonsupply.com/collections/hvac/products/supco-brkpro-fuse-testing-super-kit", "https://edmondsonsupply.com/collections/hvac/products/supco-brkpro-fuse-testing-super-kit")</f>
        <v>https://edmondsonsupply.com/collections/hvac/products/supco-brkpro-fuse-testing-super-kit</v>
      </c>
      <c r="B1107" s="3" t="str">
        <f>HYPERLINK("https://edmondsonsupply.com/products/supco-brkpro-fuse-testing-super-kit", "https://edmondsonsupply.com/products/supco-brkpro-fuse-testing-super-kit")</f>
        <v>https://edmondsonsupply.com/products/supco-brkpro-fuse-testing-super-kit</v>
      </c>
      <c r="C1107" t="s">
        <v>2911</v>
      </c>
      <c r="D1107" t="s">
        <v>2912</v>
      </c>
      <c r="E1107" s="3" t="str">
        <f>HYPERLINK("https://www.amazon.com/Supplying-Demand-Tester-Light-Plugs/dp/B08G5CCG25/ref=sr_1_1?keywords=Supco+BRK3+3+Amp+Fuse+Pro+Breaker+-+Tester+with+Light&amp;qid=1695173477&amp;sr=8-1", "https://www.amazon.com/Supplying-Demand-Tester-Light-Plugs/dp/B08G5CCG25/ref=sr_1_1?keywords=Supco+BRK3+3+Amp+Fuse+Pro+Breaker+-+Tester+with+Light&amp;qid=1695173477&amp;sr=8-1")</f>
        <v>https://www.amazon.com/Supplying-Demand-Tester-Light-Plugs/dp/B08G5CCG25/ref=sr_1_1?keywords=Supco+BRK3+3+Amp+Fuse+Pro+Breaker+-+Tester+with+Light&amp;qid=1695173477&amp;sr=8-1</v>
      </c>
      <c r="F1107" t="s">
        <v>2913</v>
      </c>
      <c r="G1107" t="e">
        <f ca="1">_xludf.IMAGE("https://edmondsonsupply.com/cdn/shop/products/BRK3.png?v=1681778790")</f>
        <v>#NAME?</v>
      </c>
      <c r="H1107" t="e">
        <f ca="1">_xludf.IMAGE("https://m.media-amazon.com/images/I/61OQNAV+E0L._AC_UL320_.jpg")</f>
        <v>#NAME?</v>
      </c>
      <c r="I1107" t="s">
        <v>2914</v>
      </c>
      <c r="J1107">
        <v>19.690000000000001</v>
      </c>
      <c r="K1107" s="4">
        <v>0.65459999999999996</v>
      </c>
      <c r="L1107">
        <v>4.4000000000000004</v>
      </c>
      <c r="M1107">
        <v>33</v>
      </c>
      <c r="O1107" t="s">
        <v>25</v>
      </c>
      <c r="P1107" t="s">
        <v>138</v>
      </c>
      <c r="Q1107" t="s">
        <v>2915</v>
      </c>
    </row>
    <row r="1108" spans="1:17" ht="15.5" x14ac:dyDescent="0.35">
      <c r="A1108"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108" s="3" t="str">
        <f>HYPERLINK("https://edmondsonsupply.com/products/packard-c130a-contactor-1-pole-30-amps-24-coil-voltage", "https://edmondsonsupply.com/products/packard-c130a-contactor-1-pole-30-amps-24-coil-voltage")</f>
        <v>https://edmondsonsupply.com/products/packard-c130a-contactor-1-pole-30-amps-24-coil-voltage</v>
      </c>
      <c r="C1108" t="s">
        <v>2726</v>
      </c>
      <c r="D1108" t="s">
        <v>2916</v>
      </c>
      <c r="E1108" s="3" t="str">
        <f>HYPERLINK("https://www.amazon.com/Carrier-Packard-Replacement-Contactor-C130A/dp/B00S8JK3AW/ref=sr_1_2?keywords=Packard+C130A+Contactor+1+Pole+30+Amps+24+Coil+Voltage&amp;qid=1695173411&amp;sr=8-2", "https://www.amazon.com/Carrier-Packard-Replacement-Contactor-C130A/dp/B00S8JK3AW/ref=sr_1_2?keywords=Packard+C130A+Contactor+1+Pole+30+Amps+24+Coil+Voltage&amp;qid=1695173411&amp;sr=8-2")</f>
        <v>https://www.amazon.com/Carrier-Packard-Replacement-Contactor-C130A/dp/B00S8JK3AW/ref=sr_1_2?keywords=Packard+C130A+Contactor+1+Pole+30+Amps+24+Coil+Voltage&amp;qid=1695173411&amp;sr=8-2</v>
      </c>
      <c r="F1108" t="s">
        <v>2917</v>
      </c>
      <c r="G1108" t="e">
        <f ca="1">_xludf.IMAGE("https://edmondsonsupply.com/cdn/shop/products/61bb566724620904123205.jpg?v=1650335931")</f>
        <v>#NAME?</v>
      </c>
      <c r="H1108" t="e">
        <f ca="1">_xludf.IMAGE("https://m.media-amazon.com/images/I/31UJH6sUaNL._AC_UY218_.jpg")</f>
        <v>#NAME?</v>
      </c>
      <c r="I1108" t="s">
        <v>2729</v>
      </c>
      <c r="J1108">
        <v>15.91</v>
      </c>
      <c r="K1108" s="4">
        <v>0.65380000000000005</v>
      </c>
      <c r="L1108">
        <v>4.5</v>
      </c>
      <c r="M1108">
        <v>26</v>
      </c>
      <c r="O1108" t="s">
        <v>25</v>
      </c>
      <c r="P1108" t="s">
        <v>138</v>
      </c>
      <c r="Q1108" t="s">
        <v>2730</v>
      </c>
    </row>
    <row r="1109" spans="1:17" ht="15.5" x14ac:dyDescent="0.35">
      <c r="A1109" s="3" t="str">
        <f>HYPERLINK("https://edmondsonsupply.com/collections/hvac/products/solderweld-sw-alcu5k-al-cop-braze-aluminum-to-copper-brazing-rod-flux-core-5-rod-pack", "https://edmondsonsupply.com/collections/hvac/products/solderweld-sw-alcu5k-al-cop-braze-aluminum-to-copper-brazing-rod-flux-core-5-rod-pack")</f>
        <v>https://edmondsonsupply.com/collections/hvac/products/solderweld-sw-alcu5k-al-cop-braze-aluminum-to-copper-brazing-rod-flux-core-5-rod-pack</v>
      </c>
      <c r="B1109" s="3" t="str">
        <f>HYPERLINK("https://edmondsonsupply.com/products/solderweld-sw-alcu5k-al-cop-braze-aluminum-to-copper-brazing-rod-flux-core-5-rod-pack", "https://edmondsonsupply.com/products/solderweld-sw-alcu5k-al-cop-braze-aluminum-to-copper-brazing-rod-flux-core-5-rod-pack")</f>
        <v>https://edmondsonsupply.com/products/solderweld-sw-alcu5k-al-cop-braze-aluminum-to-copper-brazing-rod-flux-core-5-rod-pack</v>
      </c>
      <c r="C1109" t="s">
        <v>2918</v>
      </c>
      <c r="D1109" t="s">
        <v>2919</v>
      </c>
      <c r="E1109" s="3" t="str">
        <f>HYPERLINK("https://www.amazon.com/Solderweld-SW-ALCU8K-Al-Cop-Aluminum-Brazing/dp/B0B75JZYC7/ref=sr_1_1?keywords=SolderWeld+SW-AlCu5K+Al-Cop+Braze+-+Aluminum+to+Copper+Brazing+Rod+-+Flux+Core%2C+5+Rod+Pack&amp;qid=1695173360&amp;sr=8-1", "https://www.amazon.com/Solderweld-SW-ALCU8K-Al-Cop-Aluminum-Brazing/dp/B0B75JZYC7/ref=sr_1_1?keywords=SolderWeld+SW-AlCu5K+Al-Cop+Braze+-+Aluminum+to+Copper+Brazing+Rod+-+Flux+Core%2C+5+Rod+Pack&amp;qid=1695173360&amp;sr=8-1")</f>
        <v>https://www.amazon.com/Solderweld-SW-ALCU8K-Al-Cop-Aluminum-Brazing/dp/B0B75JZYC7/ref=sr_1_1?keywords=SolderWeld+SW-AlCu5K+Al-Cop+Braze+-+Aluminum+to+Copper+Brazing+Rod+-+Flux+Core%2C+5+Rod+Pack&amp;qid=1695173360&amp;sr=8-1</v>
      </c>
      <c r="F1109" t="s">
        <v>2920</v>
      </c>
      <c r="G1109" t="e">
        <f ca="1">_xludf.IMAGE("https://edmondsonsupply.com/cdn/shop/products/AlCopBraze_1024x1024_c03bc993-98ff-4fd2-9871-1a1e24a818d0.jpg?v=1633030235")</f>
        <v>#NAME?</v>
      </c>
      <c r="H1109" t="e">
        <f ca="1">_xludf.IMAGE("https://m.media-amazon.com/images/I/61R6G7N8daL._AC_UL320_.jpg")</f>
        <v>#NAME?</v>
      </c>
      <c r="I1109" t="s">
        <v>2921</v>
      </c>
      <c r="J1109">
        <v>45.85</v>
      </c>
      <c r="K1109" s="4">
        <v>0.65229999999999999</v>
      </c>
      <c r="L1109">
        <v>5</v>
      </c>
      <c r="M1109">
        <v>1</v>
      </c>
      <c r="O1109" t="s">
        <v>25</v>
      </c>
      <c r="P1109" t="s">
        <v>138</v>
      </c>
      <c r="Q1109" t="s">
        <v>2922</v>
      </c>
    </row>
    <row r="1110" spans="1:17" ht="15.5" x14ac:dyDescent="0.35">
      <c r="A1110" s="3" t="str">
        <f>HYPERLINK("https://edmondsonsupply.com/collections/hvac/products/supco-zmf56", "https://edmondsonsupply.com/collections/hvac/products/supco-zmf56")</f>
        <v>https://edmondsonsupply.com/collections/hvac/products/supco-zmf56</v>
      </c>
      <c r="B1110" s="3" t="str">
        <f>HYPERLINK("https://edmondsonsupply.com/products/supco-zmf56", "https://edmondsonsupply.com/products/supco-zmf56")</f>
        <v>https://edmondsonsupply.com/products/supco-zmf56</v>
      </c>
      <c r="C1110" t="s">
        <v>2923</v>
      </c>
      <c r="D1110" t="s">
        <v>2924</v>
      </c>
      <c r="E1110" s="3" t="str">
        <f>HYPERLINK("https://www.amazon.com/Supplying-Demand-Flexible-Adapter-Fittings/dp/B094SRRBGR/ref=sr_1_1?keywords=Supco+ZMF56+Mini-Fit%E2%84%A2+Flexible+Mini-Split+Adapter&amp;qid=1695173340&amp;sr=8-1", "https://www.amazon.com/Supplying-Demand-Flexible-Adapter-Fittings/dp/B094SRRBGR/ref=sr_1_1?keywords=Supco+ZMF56+Mini-Fit%E2%84%A2+Flexible+Mini-Split+Adapter&amp;qid=1695173340&amp;sr=8-1")</f>
        <v>https://www.amazon.com/Supplying-Demand-Flexible-Adapter-Fittings/dp/B094SRRBGR/ref=sr_1_1?keywords=Supco+ZMF56+Mini-Fit%E2%84%A2+Flexible+Mini-Split+Adapter&amp;qid=1695173340&amp;sr=8-1</v>
      </c>
      <c r="F1110" t="s">
        <v>2925</v>
      </c>
      <c r="G1110" t="e">
        <f ca="1">_xludf.IMAGE("https://edmondsonsupply.com/cdn/shop/products/zmf56.jpg?v=1633030329")</f>
        <v>#NAME?</v>
      </c>
      <c r="H1110" t="e">
        <f ca="1">_xludf.IMAGE("https://m.media-amazon.com/images/I/51F6L+HRiAS._AC_UL320_.jpg")</f>
        <v>#NAME?</v>
      </c>
      <c r="I1110" t="s">
        <v>2926</v>
      </c>
      <c r="J1110">
        <v>19.989999999999998</v>
      </c>
      <c r="K1110" s="4">
        <v>0.65069999999999995</v>
      </c>
      <c r="L1110">
        <v>4.5</v>
      </c>
      <c r="M1110">
        <v>12</v>
      </c>
      <c r="O1110" t="s">
        <v>25</v>
      </c>
      <c r="P1110" t="s">
        <v>138</v>
      </c>
      <c r="Q1110" t="s">
        <v>2927</v>
      </c>
    </row>
    <row r="1111" spans="1:17" ht="15.5" x14ac:dyDescent="0.35">
      <c r="A1111" s="3" t="str">
        <f>HYPERLINK("https://edmondsonsupply.com/collections/hvac/products/icm-controls-icm2813-furnace-control-board-replacement-for-lennox", "https://edmondsonsupply.com/collections/hvac/products/icm-controls-icm2813-furnace-control-board-replacement-for-lennox")</f>
        <v>https://edmondsonsupply.com/collections/hvac/products/icm-controls-icm2813-furnace-control-board-replacement-for-lennox</v>
      </c>
      <c r="B1111" s="3" t="str">
        <f>HYPERLINK("https://edmondsonsupply.com/products/icm-controls-icm2813-furnace-control-board-replacement-for-lennox", "https://edmondsonsupply.com/products/icm-controls-icm2813-furnace-control-board-replacement-for-lennox")</f>
        <v>https://edmondsonsupply.com/products/icm-controls-icm2813-furnace-control-board-replacement-for-lennox</v>
      </c>
      <c r="C1111" t="s">
        <v>2928</v>
      </c>
      <c r="D1111" t="s">
        <v>2929</v>
      </c>
      <c r="E1111" s="3" t="str">
        <f>HYPERLINK("https://www.amazon.com/ICM282A-Replacement-HK42FZ004-HK42FZ007-HK42FZ008/dp/B0C5LZFXDK/ref=sr_1_3?keywords=ICM+Controls+ICM2813+Furnace+Control+Board+-+Replacement+for+Lennox&amp;qid=1695173342&amp;sr=8-3", "https://www.amazon.com/ICM282A-Replacement-HK42FZ004-HK42FZ007-HK42FZ008/dp/B0C5LZFXDK/ref=sr_1_3?keywords=ICM+Controls+ICM2813+Furnace+Control+Board+-+Replacement+for+Lennox&amp;qid=1695173342&amp;sr=8-3")</f>
        <v>https://www.amazon.com/ICM282A-Replacement-HK42FZ004-HK42FZ007-HK42FZ008/dp/B0C5LZFXDK/ref=sr_1_3?keywords=ICM+Controls+ICM2813+Furnace+Control+Board+-+Replacement+for+Lennox&amp;qid=1695173342&amp;sr=8-3</v>
      </c>
      <c r="F1111" t="s">
        <v>2930</v>
      </c>
      <c r="G1111" t="e">
        <f ca="1">_xludf.IMAGE("https://edmondsonsupply.com/cdn/shop/products/ICM2813.jpg?v=1666552363")</f>
        <v>#NAME?</v>
      </c>
      <c r="H1111" t="e">
        <f ca="1">_xludf.IMAGE("https://m.media-amazon.com/images/I/711ATMo0g6L._AC_UL320_.jpg")</f>
        <v>#NAME?</v>
      </c>
      <c r="I1111" t="s">
        <v>2224</v>
      </c>
      <c r="J1111">
        <v>165</v>
      </c>
      <c r="K1111" s="4">
        <v>0.6502</v>
      </c>
      <c r="L1111">
        <v>1</v>
      </c>
      <c r="M1111">
        <v>2</v>
      </c>
      <c r="O1111" t="s">
        <v>25</v>
      </c>
      <c r="P1111" t="s">
        <v>2931</v>
      </c>
      <c r="Q1111" t="s">
        <v>2932</v>
      </c>
    </row>
    <row r="1112" spans="1:17" ht="15.5" x14ac:dyDescent="0.35">
      <c r="A1112" s="3" t="str">
        <f>HYPERLINK("https://edmondsonsupply.com/collections/hvac/products/packard-c240c-contactor-2-pole-40-amps-208-240-coil-voltage", "https://edmondsonsupply.com/collections/hvac/products/packard-c240c-contactor-2-pole-40-amps-208-240-coil-voltage")</f>
        <v>https://edmondsonsupply.com/collections/hvac/products/packard-c240c-contactor-2-pole-40-amps-208-240-coil-voltage</v>
      </c>
      <c r="B1112" s="3" t="str">
        <f>HYPERLINK("https://edmondsonsupply.com/products/packard-c240c-contactor-2-pole-40-amps-208-240-coil-voltage", "https://edmondsonsupply.com/products/packard-c240c-contactor-2-pole-40-amps-208-240-coil-voltage")</f>
        <v>https://edmondsonsupply.com/products/packard-c240c-contactor-2-pole-40-amps-208-240-coil-voltage</v>
      </c>
      <c r="C1112" t="s">
        <v>2933</v>
      </c>
      <c r="D1112" t="s">
        <v>2934</v>
      </c>
      <c r="E1112" s="3" t="str">
        <f>HYPERLINK("https://www.amazon.com/Packard-C340C-Pole-Contactor-Volt/dp/B004ZRWGGA/ref=sr_1_6?keywords=Packard+C240C+Contactor+2+Pole+40+AMPS+208%2F240+Coil+Voltage&amp;qid=1695173364&amp;sr=8-6", "https://www.amazon.com/Packard-C340C-Pole-Contactor-Volt/dp/B004ZRWGGA/ref=sr_1_6?keywords=Packard+C240C+Contactor+2+Pole+40+AMPS+208%2F240+Coil+Voltage&amp;qid=1695173364&amp;sr=8-6")</f>
        <v>https://www.amazon.com/Packard-C340C-Pole-Contactor-Volt/dp/B004ZRWGGA/ref=sr_1_6?keywords=Packard+C240C+Contactor+2+Pole+40+AMPS+208%2F240+Coil+Voltage&amp;qid=1695173364&amp;sr=8-6</v>
      </c>
      <c r="F1112" t="s">
        <v>2935</v>
      </c>
      <c r="G1112" t="e">
        <f ca="1">_xludf.IMAGE("https://edmondsonsupply.com/cdn/shop/products/C240C-1.jpg?v=1633030123")</f>
        <v>#NAME?</v>
      </c>
      <c r="H1112" t="e">
        <f ca="1">_xludf.IMAGE("https://m.media-amazon.com/images/I/71LfPG7H6RL._AC_UY218_.jpg")</f>
        <v>#NAME?</v>
      </c>
      <c r="I1112" t="s">
        <v>2936</v>
      </c>
      <c r="J1112">
        <v>20.149999999999999</v>
      </c>
      <c r="K1112" s="4">
        <v>0.64890000000000003</v>
      </c>
      <c r="L1112">
        <v>4.4000000000000004</v>
      </c>
      <c r="M1112">
        <v>131</v>
      </c>
      <c r="O1112" t="s">
        <v>25</v>
      </c>
      <c r="P1112" t="s">
        <v>138</v>
      </c>
      <c r="Q1112" t="s">
        <v>2937</v>
      </c>
    </row>
    <row r="1113" spans="1:17" ht="15.5" x14ac:dyDescent="0.35">
      <c r="A1113" s="3" t="str">
        <f>HYPERLINK("https://edmondsonsupply.com/collections/hvac/products/packard-titan-pro-trcd455-run-capacitor-45-5-mfd-370-volt-round", "https://edmondsonsupply.com/collections/hvac/products/packard-titan-pro-trcd455-run-capacitor-45-5-mfd-370-volt-round")</f>
        <v>https://edmondsonsupply.com/collections/hvac/products/packard-titan-pro-trcd455-run-capacitor-45-5-mfd-370-volt-round</v>
      </c>
      <c r="B1113" s="3" t="str">
        <f>HYPERLINK("https://edmondsonsupply.com/products/packard-titan-pro-trcd455-run-capacitor-45-5-mfd-370-volt-round", "https://edmondsonsupply.com/products/packard-titan-pro-trcd455-run-capacitor-45-5-mfd-370-volt-round")</f>
        <v>https://edmondsonsupply.com/products/packard-titan-pro-trcd455-run-capacitor-45-5-mfd-370-volt-round</v>
      </c>
      <c r="C1113" t="s">
        <v>2504</v>
      </c>
      <c r="D1113" t="s">
        <v>2802</v>
      </c>
      <c r="E1113" s="3" t="str">
        <f>HYPERLINK("https://www.amazon.com/PACKARD-TRCD455-Capacitor-Replaces-PRCD455/dp/B01IU7YGT0/ref=sr_1_3?keywords=Packard+Titan+PRO+TRCD455+Run+Capacitor+45+5+MFD+370+Volt%2C+Round&amp;qid=1695173358&amp;sr=8-3", "https://www.amazon.com/PACKARD-TRCD455-Capacitor-Replaces-PRCD455/dp/B01IU7YGT0/ref=sr_1_3?keywords=Packard+Titan+PRO+TRCD455+Run+Capacitor+45+5+MFD+370+Volt%2C+Round&amp;qid=1695173358&amp;sr=8-3")</f>
        <v>https://www.amazon.com/PACKARD-TRCD455-Capacitor-Replaces-PRCD455/dp/B01IU7YGT0/ref=sr_1_3?keywords=Packard+Titan+PRO+TRCD455+Run+Capacitor+45+5+MFD+370+Volt%2C+Round&amp;qid=1695173358&amp;sr=8-3</v>
      </c>
      <c r="F1113" t="s">
        <v>2803</v>
      </c>
      <c r="G1113" t="e">
        <f ca="1">_xludf.IMAGE("https://edmondsonsupply.com/cdn/shop/products/TRCD455-2.jpg?v=1633030398")</f>
        <v>#NAME?</v>
      </c>
      <c r="H1113" t="e">
        <f ca="1">_xludf.IMAGE("https://m.media-amazon.com/images/I/41FHysaaRIL._AC_UY218_.jpg")</f>
        <v>#NAME?</v>
      </c>
      <c r="I1113" t="s">
        <v>2505</v>
      </c>
      <c r="J1113">
        <v>15.48</v>
      </c>
      <c r="K1113" s="4">
        <v>0.64859999999999995</v>
      </c>
      <c r="L1113">
        <v>5</v>
      </c>
      <c r="M1113">
        <v>1</v>
      </c>
      <c r="O1113" t="s">
        <v>25</v>
      </c>
      <c r="P1113" t="s">
        <v>138</v>
      </c>
      <c r="Q1113" t="s">
        <v>2506</v>
      </c>
    </row>
    <row r="1114" spans="1:17" ht="15.5" x14ac:dyDescent="0.35">
      <c r="A1114" s="3" t="str">
        <f>HYPERLINK("https://edmondsonsupply.com/collections/hvac/products/milwaukee-48-22-8432-packout%E2%84%A2-deep-organizer", "https://edmondsonsupply.com/collections/hvac/products/milwaukee-48-22-8432-packout%E2%84%A2-deep-organizer")</f>
        <v>https://edmondsonsupply.com/collections/hvac/products/milwaukee-48-22-8432-packout%E2%84%A2-deep-organizer</v>
      </c>
      <c r="B1114" s="3" t="str">
        <f>HYPERLINK("https://edmondsonsupply.com/products/milwaukee-48-22-8432-packout%e2%84%a2-deep-organizer", "https://edmondsonsupply.com/products/milwaukee-48-22-8432-packout%e2%84%a2-deep-organizer")</f>
        <v>https://edmondsonsupply.com/products/milwaukee-48-22-8432-packout%e2%84%a2-deep-organizer</v>
      </c>
      <c r="C1114" t="s">
        <v>302</v>
      </c>
      <c r="D1114" t="s">
        <v>404</v>
      </c>
      <c r="E1114" s="3" t="str">
        <f>HYPERLINK("https://www.amazon.com/48-22-8432-Milwaukee-Organizer-dividers-Capacity/dp/B0BPM74GMX/ref=sr_1_5?keywords=Milwaukee+48-22-8432+PACKOUT%E2%84%A2+Deep+Organizer&amp;qid=1695173765&amp;sr=8-5", "https://www.amazon.com/48-22-8432-Milwaukee-Organizer-dividers-Capacity/dp/B0BPM74GMX/ref=sr_1_5?keywords=Milwaukee+48-22-8432+PACKOUT%E2%84%A2+Deep+Organizer&amp;qid=1695173765&amp;sr=8-5")</f>
        <v>https://www.amazon.com/48-22-8432-Milwaukee-Organizer-dividers-Capacity/dp/B0BPM74GMX/ref=sr_1_5?keywords=Milwaukee+48-22-8432+PACKOUT%E2%84%A2+Deep+Organizer&amp;qid=1695173765&amp;sr=8-5</v>
      </c>
      <c r="F1114" t="s">
        <v>405</v>
      </c>
      <c r="G1114" t="e">
        <f ca="1">_xludf.IMAGE("https://edmondsonsupply.com/cdn/shop/files/48-22-8432_1.webp?v=1686667970")</f>
        <v>#NAME?</v>
      </c>
      <c r="H1114" t="e">
        <f ca="1">_xludf.IMAGE("https://m.media-amazon.com/images/I/51sPfn8O1uL._AC_UL320_.jpg")</f>
        <v>#NAME?</v>
      </c>
      <c r="I1114" t="s">
        <v>305</v>
      </c>
      <c r="J1114">
        <v>106.99</v>
      </c>
      <c r="K1114" s="4">
        <v>0.64680000000000004</v>
      </c>
      <c r="L1114">
        <v>3.8</v>
      </c>
      <c r="M1114">
        <v>3</v>
      </c>
      <c r="O1114" t="s">
        <v>171</v>
      </c>
      <c r="P1114" t="s">
        <v>306</v>
      </c>
      <c r="Q1114" t="s">
        <v>307</v>
      </c>
    </row>
    <row r="1115" spans="1:17" ht="15.5" x14ac:dyDescent="0.35">
      <c r="A1115" s="3" t="str">
        <f>HYPERLINK("https://edmondsonsupply.com/collections/hvac/products/milwaukee-48-22-8432-packout%E2%84%A2-deep-organizer", "https://edmondsonsupply.com/collections/hvac/products/milwaukee-48-22-8432-packout%E2%84%A2-deep-organizer")</f>
        <v>https://edmondsonsupply.com/collections/hvac/products/milwaukee-48-22-8432-packout%E2%84%A2-deep-organizer</v>
      </c>
      <c r="B1115" s="3" t="str">
        <f>HYPERLINK("https://edmondsonsupply.com/products/milwaukee-48-22-8432-packout%e2%84%a2-deep-organizer", "https://edmondsonsupply.com/products/milwaukee-48-22-8432-packout%e2%84%a2-deep-organizer")</f>
        <v>https://edmondsonsupply.com/products/milwaukee-48-22-8432-packout%e2%84%a2-deep-organizer</v>
      </c>
      <c r="C1115" t="s">
        <v>302</v>
      </c>
      <c r="D1115" t="s">
        <v>406</v>
      </c>
      <c r="E1115" s="3" t="str">
        <f>HYPERLINK("https://www.amazon.com/48-22-8432-Milwaukee-PACKOUT-Organizer-Capacity/dp/B0BXS63FLD/ref=sr_1_4?keywords=Milwaukee+48-22-8432+PACKOUT%E2%84%A2+Deep+Organizer&amp;qid=1695173765&amp;sr=8-4", "https://www.amazon.com/48-22-8432-Milwaukee-PACKOUT-Organizer-Capacity/dp/B0BXS63FLD/ref=sr_1_4?keywords=Milwaukee+48-22-8432+PACKOUT%E2%84%A2+Deep+Organizer&amp;qid=1695173765&amp;sr=8-4")</f>
        <v>https://www.amazon.com/48-22-8432-Milwaukee-PACKOUT-Organizer-Capacity/dp/B0BXS63FLD/ref=sr_1_4?keywords=Milwaukee+48-22-8432+PACKOUT%E2%84%A2+Deep+Organizer&amp;qid=1695173765&amp;sr=8-4</v>
      </c>
      <c r="F1115" t="s">
        <v>407</v>
      </c>
      <c r="G1115" t="e">
        <f ca="1">_xludf.IMAGE("https://edmondsonsupply.com/cdn/shop/files/48-22-8432_1.webp?v=1686667970")</f>
        <v>#NAME?</v>
      </c>
      <c r="H1115" t="e">
        <f ca="1">_xludf.IMAGE("https://m.media-amazon.com/images/I/51kqo5VoH0L._AC_UL320_.jpg")</f>
        <v>#NAME?</v>
      </c>
      <c r="I1115" t="s">
        <v>305</v>
      </c>
      <c r="J1115">
        <v>106.99</v>
      </c>
      <c r="K1115" s="4">
        <v>0.64680000000000004</v>
      </c>
      <c r="L1115">
        <v>5</v>
      </c>
      <c r="M1115">
        <v>1</v>
      </c>
      <c r="O1115" t="s">
        <v>171</v>
      </c>
      <c r="P1115" t="s">
        <v>306</v>
      </c>
      <c r="Q1115" t="s">
        <v>307</v>
      </c>
    </row>
    <row r="1116" spans="1:17" ht="15.5" x14ac:dyDescent="0.35">
      <c r="A1116"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1116" s="3" t="str">
        <f>HYPERLINK("https://edmondsonsupply.com/products/midwest-mwt-6510s-straight-offset-aviation-snip", "https://edmondsonsupply.com/products/midwest-mwt-6510s-straight-offset-aviation-snip")</f>
        <v>https://edmondsonsupply.com/products/midwest-mwt-6510s-straight-offset-aviation-snip</v>
      </c>
      <c r="C1116" t="s">
        <v>1736</v>
      </c>
      <c r="D1116" t="s">
        <v>2938</v>
      </c>
      <c r="E1116" s="3" t="str">
        <f>HYPERLINK("https://www.amazon.com/MIDWEST-Aviation-Snip-KUSHN-POWER-MWT-6510S/dp/B00P7FFF6M/ref=sr_1_1?keywords=Midwest+MWT-6510S+Straight+Offset+Aviation+Snip&amp;qid=1695173382&amp;sr=8-1", "https://www.amazon.com/MIDWEST-Aviation-Snip-KUSHN-POWER-MWT-6510S/dp/B00P7FFF6M/ref=sr_1_1?keywords=Midwest+MWT-6510S+Straight+Offset+Aviation+Snip&amp;qid=1695173382&amp;sr=8-1")</f>
        <v>https://www.amazon.com/MIDWEST-Aviation-Snip-KUSHN-POWER-MWT-6510S/dp/B00P7FFF6M/ref=sr_1_1?keywords=Midwest+MWT-6510S+Straight+Offset+Aviation+Snip&amp;qid=1695173382&amp;sr=8-1</v>
      </c>
      <c r="F1116" t="s">
        <v>2939</v>
      </c>
      <c r="G1116" t="e">
        <f ca="1">_xludf.IMAGE("https://edmondsonsupply.com/cdn/shop/products/MWT-6510S-1.jpg?v=1587150061")</f>
        <v>#NAME?</v>
      </c>
      <c r="H1116" t="e">
        <f ca="1">_xludf.IMAGE("https://m.media-amazon.com/images/I/71dEll5ok5L._AC_UL320_.jpg")</f>
        <v>#NAME?</v>
      </c>
      <c r="I1116" t="s">
        <v>1737</v>
      </c>
      <c r="J1116">
        <v>38.549999999999997</v>
      </c>
      <c r="K1116" s="4">
        <v>0.6411</v>
      </c>
      <c r="L1116">
        <v>4.7</v>
      </c>
      <c r="M1116">
        <v>3425</v>
      </c>
      <c r="O1116" t="s">
        <v>171</v>
      </c>
      <c r="P1116" t="s">
        <v>260</v>
      </c>
      <c r="Q1116" t="s">
        <v>1738</v>
      </c>
    </row>
    <row r="1117" spans="1:17" ht="15.5" x14ac:dyDescent="0.35">
      <c r="A1117"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1117" s="3" t="str">
        <f>HYPERLINK("https://edmondsonsupply.com/products/packard-prmj270-motor-start-capacitor-270-324-mfd-330-vac", "https://edmondsonsupply.com/products/packard-prmj270-motor-start-capacitor-270-324-mfd-330-vac")</f>
        <v>https://edmondsonsupply.com/products/packard-prmj270-motor-start-capacitor-270-324-mfd-330-vac</v>
      </c>
      <c r="C1117" t="s">
        <v>2452</v>
      </c>
      <c r="D1117" t="s">
        <v>2940</v>
      </c>
      <c r="E1117" s="3" t="str">
        <f>HYPERLINK("https://www.amazon.com/270-324-Mfd-uF-250VAC-Replacement/dp/B0BP6M6Z24/ref=sr_1_7?keywords=Packard+PRMJ270+Motor+Start+Capacitor+270-324+MFD+330+VAC&amp;qid=1695173486&amp;sr=8-7", "https://www.amazon.com/270-324-Mfd-uF-250VAC-Replacement/dp/B0BP6M6Z24/ref=sr_1_7?keywords=Packard+PRMJ270+Motor+Start+Capacitor+270-324+MFD+330+VAC&amp;qid=1695173486&amp;sr=8-7")</f>
        <v>https://www.amazon.com/270-324-Mfd-uF-250VAC-Replacement/dp/B0BP6M6Z24/ref=sr_1_7?keywords=Packard+PRMJ270+Motor+Start+Capacitor+270-324+MFD+330+VAC&amp;qid=1695173486&amp;sr=8-7</v>
      </c>
      <c r="F1117" t="s">
        <v>2941</v>
      </c>
      <c r="G1117" t="e">
        <f ca="1">_xludf.IMAGE("https://edmondsonsupply.com/cdn/shop/products/PRMJ270-2.jpg?v=1633030164")</f>
        <v>#NAME?</v>
      </c>
      <c r="H1117" t="e">
        <f ca="1">_xludf.IMAGE("https://m.media-amazon.com/images/I/81n7Mr6dTvL._AC_UY218_.jpg")</f>
        <v>#NAME?</v>
      </c>
      <c r="I1117" t="s">
        <v>2455</v>
      </c>
      <c r="J1117">
        <v>16.989999999999998</v>
      </c>
      <c r="K1117" s="4">
        <v>0.63839999999999997</v>
      </c>
      <c r="L1117">
        <v>5</v>
      </c>
      <c r="M1117">
        <v>6</v>
      </c>
      <c r="O1117" t="s">
        <v>25</v>
      </c>
      <c r="P1117" t="s">
        <v>138</v>
      </c>
      <c r="Q1117" t="s">
        <v>2456</v>
      </c>
    </row>
    <row r="1118" spans="1:17" ht="15.5" x14ac:dyDescent="0.35">
      <c r="A1118" s="3" t="str">
        <f>HYPERLINK("https://edmondsonsupply.com/collections/hvac/products/uei-dmg150-digital-micron-gauge", "https://edmondsonsupply.com/collections/hvac/products/uei-dmg150-digital-micron-gauge")</f>
        <v>https://edmondsonsupply.com/collections/hvac/products/uei-dmg150-digital-micron-gauge</v>
      </c>
      <c r="B1118" s="3" t="str">
        <f>HYPERLINK("https://edmondsonsupply.com/products/uei-dmg150-digital-micron-gauge", "https://edmondsonsupply.com/products/uei-dmg150-digital-micron-gauge")</f>
        <v>https://edmondsonsupply.com/products/uei-dmg150-digital-micron-gauge</v>
      </c>
      <c r="C1118" t="s">
        <v>1496</v>
      </c>
      <c r="D1118" t="s">
        <v>2942</v>
      </c>
      <c r="E1118" s="3" t="str">
        <f>HYPERLINK("https://www.amazon.com/UEi-PDT655-Folding-Pocket-Thermometer/dp/B0938HPW8R/ref=sr_1_4?keywords=UEi+PDT650+Digital+Folding+Pocket+Thermometer&amp;qid=1695173385&amp;sr=8-4", "https://www.amazon.com/UEi-PDT655-Folding-Pocket-Thermometer/dp/B0938HPW8R/ref=sr_1_4?keywords=UEi+PDT650+Digital+Folding+Pocket+Thermometer&amp;qid=1695173385&amp;sr=8-4")</f>
        <v>https://www.amazon.com/UEi-PDT655-Folding-Pocket-Thermometer/dp/B0938HPW8R/ref=sr_1_4?keywords=UEi+PDT650+Digital+Folding+Pocket+Thermometer&amp;qid=1695173385&amp;sr=8-4</v>
      </c>
      <c r="F1118" t="s">
        <v>2943</v>
      </c>
      <c r="G1118" t="e">
        <f ca="1">_xludf.IMAGE("https://edmondsonsupply.com/cdn/shop/products/PDT650-1.png?v=1633030101")</f>
        <v>#NAME?</v>
      </c>
      <c r="H1118" t="e">
        <f ca="1">_xludf.IMAGE("https://m.media-amazon.com/images/I/41g8A4ZvhTS._AC_UY218_.jpg")</f>
        <v>#NAME?</v>
      </c>
      <c r="I1118" t="s">
        <v>1499</v>
      </c>
      <c r="J1118">
        <v>31.95</v>
      </c>
      <c r="K1118" s="4">
        <v>0.63759999999999994</v>
      </c>
      <c r="L1118">
        <v>4.5999999999999996</v>
      </c>
      <c r="M1118">
        <v>53</v>
      </c>
      <c r="O1118" t="s">
        <v>25</v>
      </c>
      <c r="P1118" t="s">
        <v>1500</v>
      </c>
      <c r="Q1118" t="s">
        <v>1501</v>
      </c>
    </row>
    <row r="1119" spans="1:17" ht="15.5" x14ac:dyDescent="0.35">
      <c r="A1119" s="3" t="str">
        <f>HYPERLINK("https://edmondsonsupply.com/collections/hvac/products/klein-tools-32791-pro-impact-power-bit-extension-1-4-inch-hex", "https://edmondsonsupply.com/collections/hvac/products/klein-tools-32791-pro-impact-power-bit-extension-1-4-inch-hex")</f>
        <v>https://edmondsonsupply.com/collections/hvac/products/klein-tools-32791-pro-impact-power-bit-extension-1-4-inch-hex</v>
      </c>
      <c r="B1119" s="3" t="str">
        <f>HYPERLINK("https://edmondsonsupply.com/products/klein-tools-32791-pro-impact-power-bit-extension-1-4-inch-hex", "https://edmondsonsupply.com/products/klein-tools-32791-pro-impact-power-bit-extension-1-4-inch-hex")</f>
        <v>https://edmondsonsupply.com/products/klein-tools-32791-pro-impact-power-bit-extension-1-4-inch-hex</v>
      </c>
      <c r="C1119" t="s">
        <v>2944</v>
      </c>
      <c r="D1119" t="s">
        <v>2945</v>
      </c>
      <c r="E1119" s="3" t="str">
        <f>HYPERLINK("https://www.amazon.com/Klein-Tools-32791-Impact-Extension/dp/B07RMQD27L/ref=sr_1_1?keywords=Klein+Tools+32791+Pro+Impact+Power+Bit+Extension+1%2F4-Inch+Hex&amp;qid=1695173651&amp;sr=8-1", "https://www.amazon.com/Klein-Tools-32791-Impact-Extension/dp/B07RMQD27L/ref=sr_1_1?keywords=Klein+Tools+32791+Pro+Impact+Power+Bit+Extension+1%2F4-Inch+Hex&amp;qid=1695173651&amp;sr=8-1")</f>
        <v>https://www.amazon.com/Klein-Tools-32791-Impact-Extension/dp/B07RMQD27L/ref=sr_1_1?keywords=Klein+Tools+32791+Pro+Impact+Power+Bit+Extension+1%2F4-Inch+Hex&amp;qid=1695173651&amp;sr=8-1</v>
      </c>
      <c r="F1119" t="s">
        <v>2946</v>
      </c>
      <c r="G1119" t="e">
        <f ca="1">_xludf.IMAGE("https://edmondsonsupply.com/cdn/shop/products/32791.jpg?v=1587145614")</f>
        <v>#NAME?</v>
      </c>
      <c r="H1119" t="e">
        <f ca="1">_xludf.IMAGE("https://m.media-amazon.com/images/I/51fXXIx2SdL._AC_UL320_.jpg")</f>
        <v>#NAME?</v>
      </c>
      <c r="I1119" t="s">
        <v>2347</v>
      </c>
      <c r="J1119">
        <v>11.44</v>
      </c>
      <c r="K1119" s="4">
        <v>0.63660000000000005</v>
      </c>
      <c r="L1119">
        <v>4.7</v>
      </c>
      <c r="M1119">
        <v>119</v>
      </c>
      <c r="O1119" t="s">
        <v>25</v>
      </c>
      <c r="P1119" t="s">
        <v>2826</v>
      </c>
      <c r="Q1119" t="s">
        <v>2947</v>
      </c>
    </row>
    <row r="1120" spans="1:17" ht="15.5" x14ac:dyDescent="0.35">
      <c r="A1120" s="3" t="str">
        <f>HYPERLINK("https://edmondsonsupply.com/collections/hvac/products/klein-tools-ir07-dual-ir-probe-thermometer", "https://edmondsonsupply.com/collections/hvac/products/klein-tools-ir07-dual-ir-probe-thermometer")</f>
        <v>https://edmondsonsupply.com/collections/hvac/products/klein-tools-ir07-dual-ir-probe-thermometer</v>
      </c>
      <c r="B1120" s="3" t="str">
        <f>HYPERLINK("https://edmondsonsupply.com/products/klein-tools-ir07-dual-ir-probe-thermometer", "https://edmondsonsupply.com/products/klein-tools-ir07-dual-ir-probe-thermometer")</f>
        <v>https://edmondsonsupply.com/products/klein-tools-ir07-dual-ir-probe-thermometer</v>
      </c>
      <c r="C1120" t="s">
        <v>2948</v>
      </c>
      <c r="D1120" t="s">
        <v>2949</v>
      </c>
      <c r="E1120" s="3" t="str">
        <f>HYPERLINK("https://www.amazon.com/Klein-Tools-Thermometer-Non-Destructive-Detection/dp/B0BD41GF81/ref=sr_1_4?keywords=Klein+Tools+IR07+Dual+IR%2FProbe+Thermometer&amp;qid=1695173681&amp;sr=8-4", "https://www.amazon.com/Klein-Tools-Thermometer-Non-Destructive-Detection/dp/B0BD41GF81/ref=sr_1_4?keywords=Klein+Tools+IR07+Dual+IR%2FProbe+Thermometer&amp;qid=1695173681&amp;sr=8-4")</f>
        <v>https://www.amazon.com/Klein-Tools-Thermometer-Non-Destructive-Detection/dp/B0BD41GF81/ref=sr_1_4?keywords=Klein+Tools+IR07+Dual+IR%2FProbe+Thermometer&amp;qid=1695173681&amp;sr=8-4</v>
      </c>
      <c r="F1120" t="s">
        <v>2950</v>
      </c>
      <c r="G1120" t="e">
        <f ca="1">_xludf.IMAGE("https://edmondsonsupply.com/cdn/shop/products/ir07.jpg?v=1599003623")</f>
        <v>#NAME?</v>
      </c>
      <c r="H1120" t="e">
        <f ca="1">_xludf.IMAGE("https://m.media-amazon.com/images/I/41ZBBvpbShL._AC_UY218_.jpg")</f>
        <v>#NAME?</v>
      </c>
      <c r="I1120" t="s">
        <v>2951</v>
      </c>
      <c r="J1120">
        <v>93.94</v>
      </c>
      <c r="K1120" s="4">
        <v>0.63400000000000001</v>
      </c>
      <c r="L1120">
        <v>5</v>
      </c>
      <c r="M1120">
        <v>2</v>
      </c>
      <c r="O1120" t="s">
        <v>25</v>
      </c>
      <c r="P1120" t="s">
        <v>2952</v>
      </c>
      <c r="Q1120" t="s">
        <v>2953</v>
      </c>
    </row>
    <row r="1121" spans="1:17" ht="15.5" x14ac:dyDescent="0.35">
      <c r="A1121" s="3" t="str">
        <f>HYPERLINK("https://edmondsonsupply.com/collections/hvac/products/klein-tools-3005cr-ratcheting-crimper-10-22-awg", "https://edmondsonsupply.com/collections/hvac/products/klein-tools-3005cr-ratcheting-crimper-10-22-awg")</f>
        <v>https://edmondsonsupply.com/collections/hvac/products/klein-tools-3005cr-ratcheting-crimper-10-22-awg</v>
      </c>
      <c r="B1121" s="3" t="str">
        <f>HYPERLINK("https://edmondsonsupply.com/products/klein-tools-3005cr-ratcheting-crimper-10-22-awg", "https://edmondsonsupply.com/products/klein-tools-3005cr-ratcheting-crimper-10-22-awg")</f>
        <v>https://edmondsonsupply.com/products/klein-tools-3005cr-ratcheting-crimper-10-22-awg</v>
      </c>
      <c r="C1121" t="s">
        <v>1987</v>
      </c>
      <c r="D1121" t="s">
        <v>2954</v>
      </c>
      <c r="E1121" s="3" t="str">
        <f>HYPERLINK("https://www.amazon.com/Titan-Ratcheting-Insulated-Terminals-Electrical/dp/B08DY433KH/ref=sr_1_6?keywords=Klein+Tools+3005CR+Ratcheting+Crimper%2C+10-22+AWG+-+Insulated+Terminals&amp;qid=1695173487&amp;sr=8-6", "https://www.amazon.com/Titan-Ratcheting-Insulated-Terminals-Electrical/dp/B08DY433KH/ref=sr_1_6?keywords=Klein+Tools+3005CR+Ratcheting+Crimper%2C+10-22+AWG+-+Insulated+Terminals&amp;qid=1695173487&amp;sr=8-6")</f>
        <v>https://www.amazon.com/Titan-Ratcheting-Insulated-Terminals-Electrical/dp/B08DY433KH/ref=sr_1_6?keywords=Klein+Tools+3005CR+Ratcheting+Crimper%2C+10-22+AWG+-+Insulated+Terminals&amp;qid=1695173487&amp;sr=8-6</v>
      </c>
      <c r="F1121" t="s">
        <v>2955</v>
      </c>
      <c r="G1121" t="e">
        <f ca="1">_xludf.IMAGE("https://edmondsonsupply.com/cdn/shop/products/3005cr.jpg?v=1587146892")</f>
        <v>#NAME?</v>
      </c>
      <c r="H1121" t="e">
        <f ca="1">_xludf.IMAGE("https://m.media-amazon.com/images/I/41RLyNO17GL._AC_UL320_.jpg")</f>
        <v>#NAME?</v>
      </c>
      <c r="I1121" t="s">
        <v>824</v>
      </c>
      <c r="J1121">
        <v>48.96</v>
      </c>
      <c r="K1121" s="4">
        <v>0.63360000000000005</v>
      </c>
      <c r="L1121">
        <v>4.5999999999999996</v>
      </c>
      <c r="M1121">
        <v>3</v>
      </c>
      <c r="O1121" t="s">
        <v>25</v>
      </c>
      <c r="P1121" t="s">
        <v>1990</v>
      </c>
      <c r="Q1121" t="s">
        <v>1991</v>
      </c>
    </row>
    <row r="1122" spans="1:17" ht="15.5" x14ac:dyDescent="0.35">
      <c r="A1122" s="3" t="str">
        <f>HYPERLINK("https://edmondsonsupply.com/collections/hvac/products/milwaukee-48-22-8432-packout%E2%84%A2-deep-organizer", "https://edmondsonsupply.com/collections/hvac/products/milwaukee-48-22-8432-packout%E2%84%A2-deep-organizer")</f>
        <v>https://edmondsonsupply.com/collections/hvac/products/milwaukee-48-22-8432-packout%E2%84%A2-deep-organizer</v>
      </c>
      <c r="B1122" s="3" t="str">
        <f>HYPERLINK("https://edmondsonsupply.com/products/milwaukee-48-22-8432-packout%e2%84%a2-deep-organizer", "https://edmondsonsupply.com/products/milwaukee-48-22-8432-packout%e2%84%a2-deep-organizer")</f>
        <v>https://edmondsonsupply.com/products/milwaukee-48-22-8432-packout%e2%84%a2-deep-organizer</v>
      </c>
      <c r="C1122" t="s">
        <v>302</v>
      </c>
      <c r="D1122" t="s">
        <v>408</v>
      </c>
      <c r="E1122" s="3" t="str">
        <f>HYPERLINK("https://www.amazon.com/Milwaukee-48-22-8432-PACKOUT-Organizer-Compartments/dp/B0C5T4G43M/ref=sr_1_1?keywords=Milwaukee+48-22-8432+PACKOUT%E2%84%A2+Deep+Organizer&amp;qid=1695173765&amp;sr=8-1", "https://www.amazon.com/Milwaukee-48-22-8432-PACKOUT-Organizer-Compartments/dp/B0C5T4G43M/ref=sr_1_1?keywords=Milwaukee+48-22-8432+PACKOUT%E2%84%A2+Deep+Organizer&amp;qid=1695173765&amp;sr=8-1")</f>
        <v>https://www.amazon.com/Milwaukee-48-22-8432-PACKOUT-Organizer-Compartments/dp/B0C5T4G43M/ref=sr_1_1?keywords=Milwaukee+48-22-8432+PACKOUT%E2%84%A2+Deep+Organizer&amp;qid=1695173765&amp;sr=8-1</v>
      </c>
      <c r="F1122" t="s">
        <v>409</v>
      </c>
      <c r="G1122" t="e">
        <f ca="1">_xludf.IMAGE("https://edmondsonsupply.com/cdn/shop/files/48-22-8432_1.webp?v=1686667970")</f>
        <v>#NAME?</v>
      </c>
      <c r="H1122" t="e">
        <f ca="1">_xludf.IMAGE("https://m.media-amazon.com/images/I/51LWDwYHz-L._AC_UL320_.jpg")</f>
        <v>#NAME?</v>
      </c>
      <c r="I1122" t="s">
        <v>305</v>
      </c>
      <c r="J1122">
        <v>105.99</v>
      </c>
      <c r="K1122" s="4">
        <v>0.63139999999999996</v>
      </c>
      <c r="L1122">
        <v>5</v>
      </c>
      <c r="M1122">
        <v>1</v>
      </c>
      <c r="O1122" t="s">
        <v>171</v>
      </c>
      <c r="P1122" t="s">
        <v>306</v>
      </c>
      <c r="Q1122" t="s">
        <v>307</v>
      </c>
    </row>
    <row r="1123" spans="1:17" ht="15.5" x14ac:dyDescent="0.35">
      <c r="A1123" s="3" t="str">
        <f>HYPERLINK("https://edmondsonsupply.com/collections/hvac/products/pro1-iaq-t705-digital-7-day-or-5-1-1-programmable-thermostat-1-heat-1-cool", "https://edmondsonsupply.com/collections/hvac/products/pro1-iaq-t705-digital-7-day-or-5-1-1-programmable-thermostat-1-heat-1-cool")</f>
        <v>https://edmondsonsupply.com/collections/hvac/products/pro1-iaq-t705-digital-7-day-or-5-1-1-programmable-thermostat-1-heat-1-cool</v>
      </c>
      <c r="B1123" s="3" t="str">
        <f>HYPERLINK("https://edmondsonsupply.com/products/pro1-iaq-t705-digital-7-day-or-5-1-1-programmable-thermostat-1-heat-1-cool", "https://edmondsonsupply.com/products/pro1-iaq-t705-digital-7-day-or-5-1-1-programmable-thermostat-1-heat-1-cool")</f>
        <v>https://edmondsonsupply.com/products/pro1-iaq-t705-digital-7-day-or-5-1-1-programmable-thermostat-1-heat-1-cool</v>
      </c>
      <c r="C1123" t="s">
        <v>1779</v>
      </c>
      <c r="D1123" t="s">
        <v>2956</v>
      </c>
      <c r="E1123" s="3" t="str">
        <f>HYPERLINK("https://www.amazon.com/PRO1-Programmable-Digital-Thermostat-display/dp/B00H8B382Q/ref=sr_1_7?keywords=PRO1+IAQ+T705+Digital+7-Day+or+5%2F1%2F1+Programmable+Thermostat%2C+1+Heat+-+1+Cool&amp;qid=1695173733&amp;sr=8-7", "https://www.amazon.com/PRO1-Programmable-Digital-Thermostat-display/dp/B00H8B382Q/ref=sr_1_7?keywords=PRO1+IAQ+T705+Digital+7-Day+or+5%2F1%2F1+Programmable+Thermostat%2C+1+Heat+-+1+Cool&amp;qid=1695173733&amp;sr=8-7")</f>
        <v>https://www.amazon.com/PRO1-Programmable-Digital-Thermostat-display/dp/B00H8B382Q/ref=sr_1_7?keywords=PRO1+IAQ+T705+Digital+7-Day+or+5%2F1%2F1+Programmable+Thermostat%2C+1+Heat+-+1+Cool&amp;qid=1695173733&amp;sr=8-7</v>
      </c>
      <c r="F1123" t="s">
        <v>2957</v>
      </c>
      <c r="G1123" t="e">
        <f ca="1">_xludf.IMAGE("https://edmondsonsupply.com/cdn/shop/files/pro1-t705-hero.png?v=1690139090")</f>
        <v>#NAME?</v>
      </c>
      <c r="H1123" t="e">
        <f ca="1">_xludf.IMAGE("https://m.media-amazon.com/images/I/414Pzq8ZHvL._AC_UL320_.jpg")</f>
        <v>#NAME?</v>
      </c>
      <c r="I1123" t="s">
        <v>1782</v>
      </c>
      <c r="J1123">
        <v>69.989999999999995</v>
      </c>
      <c r="K1123" s="4">
        <v>0.62880000000000003</v>
      </c>
      <c r="L1123">
        <v>4.5</v>
      </c>
      <c r="M1123">
        <v>21</v>
      </c>
      <c r="O1123" t="s">
        <v>25</v>
      </c>
      <c r="P1123" t="s">
        <v>1783</v>
      </c>
      <c r="Q1123" t="s">
        <v>1784</v>
      </c>
    </row>
    <row r="1124" spans="1:17" ht="15.5" x14ac:dyDescent="0.35">
      <c r="A1124" s="3" t="str">
        <f>HYPERLINK("https://edmondsonsupply.com/collections/hvac/products/klein-tools-94155-american-legacy-lineman-pliers-and-klein-kurve%C2%AE-wire-stripper-cutter", "https://edmondsonsupply.com/collections/hvac/products/klein-tools-94155-american-legacy-lineman-pliers-and-klein-kurve%C2%AE-wire-stripper-cutter")</f>
        <v>https://edmondsonsupply.com/collections/hvac/products/klein-tools-94155-american-legacy-lineman-pliers-and-klein-kurve%C2%AE-wire-stripper-cutter</v>
      </c>
      <c r="B1124"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1124" t="s">
        <v>195</v>
      </c>
      <c r="D1124" t="s">
        <v>201</v>
      </c>
      <c r="E1124" s="3" t="str">
        <f>HYPERLINK("https://www.amazon.com/Klein-Tools-80121-Stripper-Strippers/dp/B0BMN726NC/ref=sr_1_2?keywords=Klein+Tools+94155+American+Legacy+Lineman+Pliers+and+Klein-Kurve%C2%AE+Wire+Stripper+%2F+Cutter&amp;qid=1695173330&amp;sr=8-2", "https://www.amazon.com/Klein-Tools-80121-Stripper-Strippers/dp/B0BMN726NC/ref=sr_1_2?keywords=Klein+Tools+94155+American+Legacy+Lineman+Pliers+and+Klein-Kurve%C2%AE+Wire+Stripper+%2F+Cutter&amp;qid=1695173330&amp;sr=8-2")</f>
        <v>https://www.amazon.com/Klein-Tools-80121-Stripper-Strippers/dp/B0BMN726NC/ref=sr_1_2?keywords=Klein+Tools+94155+American+Legacy+Lineman+Pliers+and+Klein-Kurve%C2%AE+Wire+Stripper+%2F+Cutter&amp;qid=1695173330&amp;sr=8-2</v>
      </c>
      <c r="F1124" t="s">
        <v>202</v>
      </c>
      <c r="G1124" t="e">
        <f ca="1">_xludf.IMAGE("https://edmondsonsupply.com/cdn/shop/products/94155.jpg?v=1674141590")</f>
        <v>#NAME?</v>
      </c>
      <c r="H1124" t="e">
        <f ca="1">_xludf.IMAGE("https://m.media-amazon.com/images/I/51BBSMLtwZL._AC_UL320_.jpg")</f>
        <v>#NAME?</v>
      </c>
      <c r="I1124" t="s">
        <v>198</v>
      </c>
      <c r="J1124">
        <v>64.989999999999995</v>
      </c>
      <c r="K1124" s="4">
        <v>0.62519999999999998</v>
      </c>
      <c r="L1124">
        <v>5</v>
      </c>
      <c r="M1124">
        <v>8</v>
      </c>
      <c r="O1124" t="s">
        <v>25</v>
      </c>
      <c r="P1124" t="s">
        <v>199</v>
      </c>
      <c r="Q1124" t="s">
        <v>200</v>
      </c>
    </row>
    <row r="1125" spans="1:17" ht="15.5" x14ac:dyDescent="0.35">
      <c r="A1125" s="3" t="str">
        <f>HYPERLINK("https://edmondsonsupply.com/collections/hvac/products/klein-tools-94156-american-legacy-diagonal-plier-and-klein-kurve%C2%AE-wire-stripper-cutter", "https://edmondsonsupply.com/collections/hvac/products/klein-tools-94156-american-legacy-diagonal-plier-and-klein-kurve%C2%AE-wire-stripper-cutter")</f>
        <v>https://edmondsonsupply.com/collections/hvac/products/klein-tools-94156-american-legacy-diagonal-plier-and-klein-kurve%C2%AE-wire-stripper-cutter</v>
      </c>
      <c r="B1125" s="3" t="str">
        <f>HYPERLINK("https://edmondsonsupply.com/products/klein-tools-94156-american-legacy-diagonal-plier-and-klein-kurve%c2%ae-wire-stripper-cutter", "https://edmondsonsupply.com/products/klein-tools-94156-american-legacy-diagonal-plier-and-klein-kurve%c2%ae-wire-stripper-cutter")</f>
        <v>https://edmondsonsupply.com/products/klein-tools-94156-american-legacy-diagonal-plier-and-klein-kurve%c2%ae-wire-stripper-cutter</v>
      </c>
      <c r="C1125" t="s">
        <v>203</v>
      </c>
      <c r="D1125" t="s">
        <v>201</v>
      </c>
      <c r="E1125" s="3" t="str">
        <f>HYPERLINK("https://www.amazon.com/Klein-Tools-80121-Stripper-Strippers/dp/B0BMN726NC/ref=sr_1_2?keywords=Klein+Tools+94156+American+Legacy+Diagonal+Plier+and+Klein-Kurve%C2%AE+Wire+Stripper+%2F+Cutter&amp;qid=1695173331&amp;sr=8-2", "https://www.amazon.com/Klein-Tools-80121-Stripper-Strippers/dp/B0BMN726NC/ref=sr_1_2?keywords=Klein+Tools+94156+American+Legacy+Diagonal+Plier+and+Klein-Kurve%C2%AE+Wire+Stripper+%2F+Cutter&amp;qid=1695173331&amp;sr=8-2")</f>
        <v>https://www.amazon.com/Klein-Tools-80121-Stripper-Strippers/dp/B0BMN726NC/ref=sr_1_2?keywords=Klein+Tools+94156+American+Legacy+Diagonal+Plier+and+Klein-Kurve%C2%AE+Wire+Stripper+%2F+Cutter&amp;qid=1695173331&amp;sr=8-2</v>
      </c>
      <c r="F1125" t="s">
        <v>202</v>
      </c>
      <c r="G1125" t="e">
        <f ca="1">_xludf.IMAGE("https://edmondsonsupply.com/cdn/shop/products/94156.jpg?v=1674142114")</f>
        <v>#NAME?</v>
      </c>
      <c r="H1125" t="e">
        <f ca="1">_xludf.IMAGE("https://m.media-amazon.com/images/I/51BBSMLtwZL._AC_UL320_.jpg")</f>
        <v>#NAME?</v>
      </c>
      <c r="I1125" t="s">
        <v>198</v>
      </c>
      <c r="J1125">
        <v>64.989999999999995</v>
      </c>
      <c r="K1125" s="4">
        <v>0.62519999999999998</v>
      </c>
      <c r="L1125">
        <v>5</v>
      </c>
      <c r="M1125">
        <v>8</v>
      </c>
      <c r="O1125" t="s">
        <v>25</v>
      </c>
      <c r="P1125" t="s">
        <v>199</v>
      </c>
      <c r="Q1125" t="s">
        <v>204</v>
      </c>
    </row>
    <row r="1126" spans="1:17" ht="15.5" x14ac:dyDescent="0.35">
      <c r="A1126"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1126" s="3" t="str">
        <f>HYPERLINK("https://edmondsonsupply.com/products/klein-tools-32314-14-in-1-precision-screwdriver-nut-driver", "https://edmondsonsupply.com/products/klein-tools-32314-14-in-1-precision-screwdriver-nut-driver")</f>
        <v>https://edmondsonsupply.com/products/klein-tools-32314-14-in-1-precision-screwdriver-nut-driver</v>
      </c>
      <c r="C1126" t="s">
        <v>1999</v>
      </c>
      <c r="D1126" t="s">
        <v>2958</v>
      </c>
      <c r="E1126" s="3" t="str">
        <f>HYPERLINK("https://www.amazon.com/Klein-Tools-Electronic-Screwdriver-Precision/dp/B09Z9278H4/ref=sr_1_3?keywords=Klein+Tools+32314+14-in-1+Precision+Screwdriver%2F+Nut+Driver&amp;qid=1695173510&amp;sr=8-3", "https://www.amazon.com/Klein-Tools-Electronic-Screwdriver-Precision/dp/B09Z9278H4/ref=sr_1_3?keywords=Klein+Tools+32314+14-in-1+Precision+Screwdriver%2F+Nut+Driver&amp;qid=1695173510&amp;sr=8-3")</f>
        <v>https://www.amazon.com/Klein-Tools-Electronic-Screwdriver-Precision/dp/B09Z9278H4/ref=sr_1_3?keywords=Klein+Tools+32314+14-in-1+Precision+Screwdriver%2F+Nut+Driver&amp;qid=1695173510&amp;sr=8-3</v>
      </c>
      <c r="F1126" t="s">
        <v>2959</v>
      </c>
      <c r="G1126" t="e">
        <f ca="1">_xludf.IMAGE("https://edmondsonsupply.com/cdn/shop/products/32314.jpg?v=1646593726")</f>
        <v>#NAME?</v>
      </c>
      <c r="H1126" t="e">
        <f ca="1">_xludf.IMAGE("https://m.media-amazon.com/images/I/41L4nOieMWL._AC_UL320_.jpg")</f>
        <v>#NAME?</v>
      </c>
      <c r="I1126" t="s">
        <v>143</v>
      </c>
      <c r="J1126">
        <v>25.94</v>
      </c>
      <c r="K1126" s="4">
        <v>0.62429999999999997</v>
      </c>
      <c r="L1126">
        <v>4.8</v>
      </c>
      <c r="M1126">
        <v>7</v>
      </c>
      <c r="O1126" t="s">
        <v>25</v>
      </c>
      <c r="P1126" t="s">
        <v>2002</v>
      </c>
      <c r="Q1126" t="s">
        <v>2003</v>
      </c>
    </row>
    <row r="1127" spans="1:17" ht="15.5" x14ac:dyDescent="0.35">
      <c r="A1127"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1127" s="3" t="str">
        <f>HYPERLINK("https://edmondsonsupply.com/products/packard-c230b-contactor-2-pole-30-amps-120-coil-voltage", "https://edmondsonsupply.com/products/packard-c230b-contactor-2-pole-30-amps-120-coil-voltage")</f>
        <v>https://edmondsonsupply.com/products/packard-c230b-contactor-2-pole-30-amps-120-coil-voltage</v>
      </c>
      <c r="C1127" t="s">
        <v>2173</v>
      </c>
      <c r="D1127" t="s">
        <v>2960</v>
      </c>
      <c r="E1127" s="3" t="str">
        <f>HYPERLINK("https://www.amazon.com/Double-Definite-Purpose-Contactor-Packard/dp/B00PXJOTPK/ref=sr_1_4?keywords=Packard+C230B+Contactor+2+Pole+30+AMPS+120+Coil+Voltage&amp;qid=1695173673&amp;sr=8-4", "https://www.amazon.com/Double-Definite-Purpose-Contactor-Packard/dp/B00PXJOTPK/ref=sr_1_4?keywords=Packard+C230B+Contactor+2+Pole+30+AMPS+120+Coil+Voltage&amp;qid=1695173673&amp;sr=8-4")</f>
        <v>https://www.amazon.com/Double-Definite-Purpose-Contactor-Packard/dp/B00PXJOTPK/ref=sr_1_4?keywords=Packard+C230B+Contactor+2+Pole+30+AMPS+120+Coil+Voltage&amp;qid=1695173673&amp;sr=8-4</v>
      </c>
      <c r="F1127" t="s">
        <v>2961</v>
      </c>
      <c r="G1127" t="e">
        <f ca="1">_xludf.IMAGE("https://edmondsonsupply.com/cdn/shop/products/C230B-1.jpg?v=1587142333")</f>
        <v>#NAME?</v>
      </c>
      <c r="H1127" t="e">
        <f ca="1">_xludf.IMAGE("https://m.media-amazon.com/images/I/517SFvwTTgL._AC_UY218_.jpg")</f>
        <v>#NAME?</v>
      </c>
      <c r="I1127" t="s">
        <v>2176</v>
      </c>
      <c r="J1127">
        <v>17.57</v>
      </c>
      <c r="K1127" s="4">
        <v>0.62380000000000002</v>
      </c>
      <c r="L1127">
        <v>5</v>
      </c>
      <c r="M1127">
        <v>1</v>
      </c>
      <c r="O1127" t="s">
        <v>25</v>
      </c>
      <c r="P1127" t="s">
        <v>138</v>
      </c>
      <c r="Q1127" t="s">
        <v>2177</v>
      </c>
    </row>
    <row r="1128" spans="1:17" ht="15.5" x14ac:dyDescent="0.35">
      <c r="A1128" s="3" t="str">
        <f>HYPERLINK("https://edmondsonsupply.com/collections/hvac/products/klein-tools-65200-electricians-mini-ratchet-set-5-piece", "https://edmondsonsupply.com/collections/hvac/products/klein-tools-65200-electricians-mini-ratchet-set-5-piece")</f>
        <v>https://edmondsonsupply.com/collections/hvac/products/klein-tools-65200-electricians-mini-ratchet-set-5-piece</v>
      </c>
      <c r="B1128" s="3" t="str">
        <f>HYPERLINK("https://edmondsonsupply.com/products/klein-tools-65200-electricians-mini-ratchet-set-5-piece", "https://edmondsonsupply.com/products/klein-tools-65200-electricians-mini-ratchet-set-5-piece")</f>
        <v>https://edmondsonsupply.com/products/klein-tools-65200-electricians-mini-ratchet-set-5-piece</v>
      </c>
      <c r="C1128" t="s">
        <v>140</v>
      </c>
      <c r="D1128" t="s">
        <v>205</v>
      </c>
      <c r="E1128" s="3" t="str">
        <f>HYPERLINK("https://www.amazon.com/Klein-Tools-Demagnetizer-Magnetizer-Screwdriver/dp/B09Z917XB6/ref=sr_1_4?keywords=Klein+Tools+65200+Slim-Profile+Mini+Ratchet+Set%2C+5-Piece&amp;qid=1695173348&amp;sr=8-4", "https://www.amazon.com/Klein-Tools-Demagnetizer-Magnetizer-Screwdriver/dp/B09Z917XB6/ref=sr_1_4?keywords=Klein+Tools+65200+Slim-Profile+Mini+Ratchet+Set%2C+5-Piece&amp;qid=1695173348&amp;sr=8-4")</f>
        <v>https://www.amazon.com/Klein-Tools-Demagnetizer-Magnetizer-Screwdriver/dp/B09Z917XB6/ref=sr_1_4?keywords=Klein+Tools+65200+Slim-Profile+Mini+Ratchet+Set%2C+5-Piece&amp;qid=1695173348&amp;sr=8-4</v>
      </c>
      <c r="F1128" t="s">
        <v>206</v>
      </c>
      <c r="G1128" t="e">
        <f ca="1">_xludf.IMAGE("https://edmondsonsupply.com/cdn/shop/products/65200.jpg?v=1633030630")</f>
        <v>#NAME?</v>
      </c>
      <c r="H1128" t="e">
        <f ca="1">_xludf.IMAGE("https://m.media-amazon.com/images/I/41yfZTQhEVL._AC_UL320_.jpg")</f>
        <v>#NAME?</v>
      </c>
      <c r="I1128" t="s">
        <v>143</v>
      </c>
      <c r="J1128">
        <v>25.93</v>
      </c>
      <c r="K1128" s="4">
        <v>0.62370000000000003</v>
      </c>
      <c r="L1128">
        <v>4.9000000000000004</v>
      </c>
      <c r="M1128">
        <v>17</v>
      </c>
      <c r="O1128" t="s">
        <v>25</v>
      </c>
      <c r="P1128" t="s">
        <v>144</v>
      </c>
      <c r="Q1128" t="s">
        <v>145</v>
      </c>
    </row>
    <row r="1129" spans="1:17" ht="15.5" x14ac:dyDescent="0.35">
      <c r="A1129"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1129" s="3" t="str">
        <f>HYPERLINK("https://edmondsonsupply.com/products/midwest-mwt-6510s-straight-offset-aviation-snip", "https://edmondsonsupply.com/products/midwest-mwt-6510s-straight-offset-aviation-snip")</f>
        <v>https://edmondsonsupply.com/products/midwest-mwt-6510s-straight-offset-aviation-snip</v>
      </c>
      <c r="C1129" t="s">
        <v>1736</v>
      </c>
      <c r="D1129" t="s">
        <v>2962</v>
      </c>
      <c r="E1129" s="3" t="str">
        <f>HYPERLINK("https://www.amazon.com/MIDWEST-Power-Cutters-Long-Snip/dp/B00OCGQJDA/ref=sr_1_4?keywords=Midwest+MWT-6510S+Straight+Offset+Aviation+Snip&amp;qid=1695173382&amp;sr=8-4", "https://www.amazon.com/MIDWEST-Power-Cutters-Long-Snip/dp/B00OCGQJDA/ref=sr_1_4?keywords=Midwest+MWT-6510S+Straight+Offset+Aviation+Snip&amp;qid=1695173382&amp;sr=8-4")</f>
        <v>https://www.amazon.com/MIDWEST-Power-Cutters-Long-Snip/dp/B00OCGQJDA/ref=sr_1_4?keywords=Midwest+MWT-6510S+Straight+Offset+Aviation+Snip&amp;qid=1695173382&amp;sr=8-4</v>
      </c>
      <c r="F1129" t="s">
        <v>2963</v>
      </c>
      <c r="G1129" t="e">
        <f ca="1">_xludf.IMAGE("https://edmondsonsupply.com/cdn/shop/products/MWT-6510S-1.jpg?v=1587150061")</f>
        <v>#NAME?</v>
      </c>
      <c r="H1129" t="e">
        <f ca="1">_xludf.IMAGE("https://m.media-amazon.com/images/I/71QtxtcAK3L._AC_UL320_.jpg")</f>
        <v>#NAME?</v>
      </c>
      <c r="I1129" t="s">
        <v>1737</v>
      </c>
      <c r="J1129">
        <v>38.1</v>
      </c>
      <c r="K1129" s="4">
        <v>0.622</v>
      </c>
      <c r="L1129">
        <v>4.5999999999999996</v>
      </c>
      <c r="M1129">
        <v>1557</v>
      </c>
      <c r="O1129" t="s">
        <v>171</v>
      </c>
      <c r="P1129" t="s">
        <v>260</v>
      </c>
      <c r="Q1129" t="s">
        <v>1738</v>
      </c>
    </row>
    <row r="1130" spans="1:17" ht="15.5" x14ac:dyDescent="0.35">
      <c r="A1130"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1130" s="3" t="str">
        <f>HYPERLINK("https://edmondsonsupply.com/products/packard-prmj189-motor-start-capacitor-189-227-mfd-330-vac", "https://edmondsonsupply.com/products/packard-prmj189-motor-start-capacitor-189-227-mfd-330-vac")</f>
        <v>https://edmondsonsupply.com/products/packard-prmj189-motor-start-capacitor-189-227-mfd-330-vac</v>
      </c>
      <c r="C1130" t="s">
        <v>2216</v>
      </c>
      <c r="D1130" t="s">
        <v>2964</v>
      </c>
      <c r="E1130" s="3" t="str">
        <f>HYPERLINK("https://www.amazon.com/Packard-PRMJ189-Start-Capacitor-189-227/dp/B004GC7DQM/ref=sr_1_2?keywords=Packard+PRMJ189+Motor+Start+Capacitor+189-227+MFD+330+VAC&amp;qid=1695173678&amp;sr=8-2", "https://www.amazon.com/Packard-PRMJ189-Start-Capacitor-189-227/dp/B004GC7DQM/ref=sr_1_2?keywords=Packard+PRMJ189+Motor+Start+Capacitor+189-227+MFD+330+VAC&amp;qid=1695173678&amp;sr=8-2")</f>
        <v>https://www.amazon.com/Packard-PRMJ189-Start-Capacitor-189-227/dp/B004GC7DQM/ref=sr_1_2?keywords=Packard+PRMJ189+Motor+Start+Capacitor+189-227+MFD+330+VAC&amp;qid=1695173678&amp;sr=8-2</v>
      </c>
      <c r="F1130" t="s">
        <v>2965</v>
      </c>
      <c r="G1130" t="e">
        <f ca="1">_xludf.IMAGE("https://edmondsonsupply.com/cdn/shop/products/PRMJ189-2.jpg?v=1663378512")</f>
        <v>#NAME?</v>
      </c>
      <c r="H1130" t="e">
        <f ca="1">_xludf.IMAGE("https://m.media-amazon.com/images/I/614hyccIZzL._AC_UY218_.jpg")</f>
        <v>#NAME?</v>
      </c>
      <c r="I1130" t="s">
        <v>2219</v>
      </c>
      <c r="J1130">
        <v>13.91</v>
      </c>
      <c r="K1130" s="4">
        <v>0.61929999999999996</v>
      </c>
      <c r="L1130">
        <v>4.4000000000000004</v>
      </c>
      <c r="M1130">
        <v>117</v>
      </c>
      <c r="O1130" t="s">
        <v>25</v>
      </c>
      <c r="P1130" t="s">
        <v>138</v>
      </c>
      <c r="Q1130" t="s">
        <v>2220</v>
      </c>
    </row>
    <row r="1131" spans="1:17" ht="15.5" x14ac:dyDescent="0.35">
      <c r="A1131" s="3" t="str">
        <f>HYPERLINK("https://edmondsonsupply.com/collections/hvac/products/rectorseal-97085-safe-t-switch-ss1", "https://edmondsonsupply.com/collections/hvac/products/rectorseal-97085-safe-t-switch-ss1")</f>
        <v>https://edmondsonsupply.com/collections/hvac/products/rectorseal-97085-safe-t-switch-ss1</v>
      </c>
      <c r="B1131" s="3" t="str">
        <f>HYPERLINK("https://edmondsonsupply.com/products/rectorseal-97085-safe-t-switch-ss1", "https://edmondsonsupply.com/products/rectorseal-97085-safe-t-switch-ss1")</f>
        <v>https://edmondsonsupply.com/products/rectorseal-97085-safe-t-switch-ss1</v>
      </c>
      <c r="C1131" t="s">
        <v>2966</v>
      </c>
      <c r="D1131" t="s">
        <v>2520</v>
      </c>
      <c r="E1131" s="3" t="str">
        <f>HYPERLINK("https://www.amazon.com/Rectorseal-97085-Ss1-Generation-Safe-T-Switch/dp/B09QQR288Z/ref=sr_1_1?keywords=RectorSeal+97085+Safe-T-Switch+SS1&amp;qid=1695173727&amp;sr=8-1", "https://www.amazon.com/Rectorseal-97085-Ss1-Generation-Safe-T-Switch/dp/B09QQR288Z/ref=sr_1_1?keywords=RectorSeal+97085+Safe-T-Switch+SS1&amp;qid=1695173727&amp;sr=8-1")</f>
        <v>https://www.amazon.com/Rectorseal-97085-Ss1-Generation-Safe-T-Switch/dp/B09QQR288Z/ref=sr_1_1?keywords=RectorSeal+97085+Safe-T-Switch+SS1&amp;qid=1695173727&amp;sr=8-1</v>
      </c>
      <c r="F1131" t="s">
        <v>2521</v>
      </c>
      <c r="G1131" t="e">
        <f ca="1">_xludf.IMAGE("https://edmondsonsupply.com/cdn/shop/files/97085-ss1-ratchet-safe-t-switch-img.webp?v=1690985732")</f>
        <v>#NAME?</v>
      </c>
      <c r="H1131" t="e">
        <f ca="1">_xludf.IMAGE("https://m.media-amazon.com/images/I/417pn6XuhaL._AC_UY218_.jpg")</f>
        <v>#NAME?</v>
      </c>
      <c r="I1131" t="s">
        <v>2967</v>
      </c>
      <c r="J1131">
        <v>42.95</v>
      </c>
      <c r="K1131" s="4">
        <v>0.61890000000000001</v>
      </c>
      <c r="L1131">
        <v>4.7</v>
      </c>
      <c r="M1131">
        <v>7</v>
      </c>
      <c r="O1131" t="s">
        <v>25</v>
      </c>
      <c r="P1131" t="s">
        <v>2968</v>
      </c>
      <c r="Q1131" t="s">
        <v>2969</v>
      </c>
    </row>
    <row r="1132" spans="1:17" ht="15.5" x14ac:dyDescent="0.35">
      <c r="A1132" s="3" t="str">
        <f>HYPERLINK("https://edmondsonsupply.com/collections/hvac/products/icm-controls-icm2813-furnace-control-board-replacement-for-lennox", "https://edmondsonsupply.com/collections/hvac/products/icm-controls-icm2813-furnace-control-board-replacement-for-lennox")</f>
        <v>https://edmondsonsupply.com/collections/hvac/products/icm-controls-icm2813-furnace-control-board-replacement-for-lennox</v>
      </c>
      <c r="B1132" s="3" t="str">
        <f>HYPERLINK("https://edmondsonsupply.com/products/icm-controls-icm2813-furnace-control-board-replacement-for-lennox", "https://edmondsonsupply.com/products/icm-controls-icm2813-furnace-control-board-replacement-for-lennox")</f>
        <v>https://edmondsonsupply.com/products/icm-controls-icm2813-furnace-control-board-replacement-for-lennox</v>
      </c>
      <c r="C1132" t="s">
        <v>2928</v>
      </c>
      <c r="D1132" t="s">
        <v>2970</v>
      </c>
      <c r="E1132" s="3" t="str">
        <f>HYPERLINK("https://www.amazon.com/ICM-Controls-ICM289-Replacement-Replaces/dp/B004I55HHY/ref=sr_1_2?keywords=ICM+Controls+ICM2813+Furnace+Control+Board+-+Replacement+for+Lennox&amp;qid=1695173342&amp;sr=8-2", "https://www.amazon.com/ICM-Controls-ICM289-Replacement-Replaces/dp/B004I55HHY/ref=sr_1_2?keywords=ICM+Controls+ICM2813+Furnace+Control+Board+-+Replacement+for+Lennox&amp;qid=1695173342&amp;sr=8-2")</f>
        <v>https://www.amazon.com/ICM-Controls-ICM289-Replacement-Replaces/dp/B004I55HHY/ref=sr_1_2?keywords=ICM+Controls+ICM2813+Furnace+Control+Board+-+Replacement+for+Lennox&amp;qid=1695173342&amp;sr=8-2</v>
      </c>
      <c r="F1132" t="s">
        <v>2971</v>
      </c>
      <c r="G1132" t="e">
        <f ca="1">_xludf.IMAGE("https://edmondsonsupply.com/cdn/shop/products/ICM2813.jpg?v=1666552363")</f>
        <v>#NAME?</v>
      </c>
      <c r="H1132" t="e">
        <f ca="1">_xludf.IMAGE("https://m.media-amazon.com/images/I/617eMhg9d2L._AC_UL320_.jpg")</f>
        <v>#NAME?</v>
      </c>
      <c r="I1132" t="s">
        <v>2224</v>
      </c>
      <c r="J1132">
        <v>161.44</v>
      </c>
      <c r="K1132" s="4">
        <v>0.61460000000000004</v>
      </c>
      <c r="L1132">
        <v>4.8</v>
      </c>
      <c r="M1132">
        <v>156</v>
      </c>
      <c r="O1132" t="s">
        <v>25</v>
      </c>
      <c r="P1132" t="s">
        <v>2931</v>
      </c>
      <c r="Q1132" t="s">
        <v>2932</v>
      </c>
    </row>
    <row r="1133" spans="1:17" ht="15.5" x14ac:dyDescent="0.35">
      <c r="A1133" s="3" t="str">
        <f>HYPERLINK("https://edmondsonsupply.com/collections/hvac/products/yellow-jacket-40860-p51-860-titan-digital-manifold", "https://edmondsonsupply.com/collections/hvac/products/yellow-jacket-40860-p51-860-titan-digital-manifold")</f>
        <v>https://edmondsonsupply.com/collections/hvac/products/yellow-jacket-40860-p51-860-titan-digital-manifold</v>
      </c>
      <c r="B1133" s="3" t="str">
        <f>HYPERLINK("https://edmondsonsupply.com/products/yellow-jacket-40860-p51-860-titan-digital-manifold", "https://edmondsonsupply.com/products/yellow-jacket-40860-p51-860-titan-digital-manifold")</f>
        <v>https://edmondsonsupply.com/products/yellow-jacket-40860-p51-860-titan-digital-manifold</v>
      </c>
      <c r="C1133" t="s">
        <v>2778</v>
      </c>
      <c r="D1133" t="s">
        <v>2972</v>
      </c>
      <c r="E1133" s="3" t="str">
        <f>HYPERLINK("https://www.amazon.com/Ritchie-Yellowjacket-P51-870-Digital-Manifold/dp/B07GNB7PSK/ref=sr_1_3?keywords=Yellow+Jacket+40860+P51-860+Titan+Digital+Manifold&amp;qid=1695173577&amp;sr=8-3", "https://www.amazon.com/Ritchie-Yellowjacket-P51-870-Digital-Manifold/dp/B07GNB7PSK/ref=sr_1_3?keywords=Yellow+Jacket+40860+P51-860+Titan+Digital+Manifold&amp;qid=1695173577&amp;sr=8-3")</f>
        <v>https://www.amazon.com/Ritchie-Yellowjacket-P51-870-Digital-Manifold/dp/B07GNB7PSK/ref=sr_1_3?keywords=Yellow+Jacket+40860+P51-860+Titan+Digital+Manifold&amp;qid=1695173577&amp;sr=8-3</v>
      </c>
      <c r="F1133" t="s">
        <v>2973</v>
      </c>
      <c r="G1133" t="e">
        <f ca="1">_xludf.IMAGE("https://edmondsonsupply.com/cdn/shop/products/40860_1200x1200_9028ad62-78fb-466e-98e0-f5ac110d1c57.jpg?v=1587150764")</f>
        <v>#NAME?</v>
      </c>
      <c r="H1133" t="e">
        <f ca="1">_xludf.IMAGE("https://m.media-amazon.com/images/I/61W3Rnb2AyL._AC_UY218_.jpg")</f>
        <v>#NAME?</v>
      </c>
      <c r="I1133" t="s">
        <v>2781</v>
      </c>
      <c r="J1133">
        <v>821.19</v>
      </c>
      <c r="K1133" s="4">
        <v>0.61450000000000005</v>
      </c>
      <c r="L1133">
        <v>3.3</v>
      </c>
      <c r="M1133">
        <v>37</v>
      </c>
      <c r="O1133" t="s">
        <v>25</v>
      </c>
      <c r="P1133" t="s">
        <v>138</v>
      </c>
      <c r="Q1133" t="s">
        <v>2782</v>
      </c>
    </row>
    <row r="1134" spans="1:17" ht="15.5" x14ac:dyDescent="0.35">
      <c r="A1134" s="3" t="str">
        <f>HYPERLINK("https://edmondsonsupply.com/collections/hvac/products/sioux-chief-672xv0490-3-4-pex-inlet-x-4-1-2-pex-branches-valved-manifold", "https://edmondsonsupply.com/collections/hvac/products/sioux-chief-672xv0490-3-4-pex-inlet-x-4-1-2-pex-branches-valved-manifold")</f>
        <v>https://edmondsonsupply.com/collections/hvac/products/sioux-chief-672xv0490-3-4-pex-inlet-x-4-1-2-pex-branches-valved-manifold</v>
      </c>
      <c r="B1134" s="3" t="str">
        <f>HYPERLINK("https://edmondsonsupply.com/products/sioux-chief-672xv0490-3-4-pex-inlet-x-4-1-2-pex-branches-valved-manifold", "https://edmondsonsupply.com/products/sioux-chief-672xv0490-3-4-pex-inlet-x-4-1-2-pex-branches-valved-manifold")</f>
        <v>https://edmondsonsupply.com/products/sioux-chief-672xv0490-3-4-pex-inlet-x-4-1-2-pex-branches-valved-manifold</v>
      </c>
      <c r="C1134" t="s">
        <v>2526</v>
      </c>
      <c r="D1134" t="s">
        <v>2974</v>
      </c>
      <c r="E1134" s="3" t="str">
        <f>HYPERLINK("https://www.amazon.com/Sioux-Chief-672XV0690-Manifold-valves/dp/B003QSPMLU/ref=sr_1_5?keywords=Sioux+Chief+672XV0490+3%2F4%22+PEX+Inlet+x+%284%29+1%2F2%22+PEX+Branches+Valved+Manifold&amp;qid=1695173446&amp;sr=8-5", "https://www.amazon.com/Sioux-Chief-672XV0690-Manifold-valves/dp/B003QSPMLU/ref=sr_1_5?keywords=Sioux+Chief+672XV0490+3%2F4%22+PEX+Inlet+x+%284%29+1%2F2%22+PEX+Branches+Valved+Manifold&amp;qid=1695173446&amp;sr=8-5")</f>
        <v>https://www.amazon.com/Sioux-Chief-672XV0690-Manifold-valves/dp/B003QSPMLU/ref=sr_1_5?keywords=Sioux+Chief+672XV0490+3%2F4%22+PEX+Inlet+x+%284%29+1%2F2%22+PEX+Branches+Valved+Manifold&amp;qid=1695173446&amp;sr=8-5</v>
      </c>
      <c r="F1134" t="s">
        <v>2975</v>
      </c>
      <c r="G1134" t="e">
        <f ca="1">_xludf.IMAGE("https://edmondsonsupply.com/cdn/shop/products/672XV0490.jpg?v=1587147465")</f>
        <v>#NAME?</v>
      </c>
      <c r="H1134" t="e">
        <f ca="1">_xludf.IMAGE("https://m.media-amazon.com/images/I/21FhWXibZeL._AC_UL320_.jpg")</f>
        <v>#NAME?</v>
      </c>
      <c r="I1134" t="s">
        <v>2529</v>
      </c>
      <c r="J1134">
        <v>110</v>
      </c>
      <c r="K1134" s="4">
        <v>0.61170000000000002</v>
      </c>
      <c r="L1134">
        <v>3.8</v>
      </c>
      <c r="M1134">
        <v>24</v>
      </c>
      <c r="O1134" t="s">
        <v>25</v>
      </c>
      <c r="P1134" t="s">
        <v>1135</v>
      </c>
      <c r="Q1134" t="s">
        <v>2530</v>
      </c>
    </row>
    <row r="1135" spans="1:17" ht="15.5" x14ac:dyDescent="0.35">
      <c r="A1135" s="3" t="str">
        <f>HYPERLINK("https://edmondsonsupply.com/collections/hvac/products/icm-controls-umsr-50-universal-motor-starting-relay", "https://edmondsonsupply.com/collections/hvac/products/icm-controls-umsr-50-universal-motor-starting-relay")</f>
        <v>https://edmondsonsupply.com/collections/hvac/products/icm-controls-umsr-50-universal-motor-starting-relay</v>
      </c>
      <c r="B1135" s="3" t="str">
        <f>HYPERLINK("https://edmondsonsupply.com/products/icm-controls-umsr-50-universal-motor-starting-relay", "https://edmondsonsupply.com/products/icm-controls-umsr-50-universal-motor-starting-relay")</f>
        <v>https://edmondsonsupply.com/products/icm-controls-umsr-50-universal-motor-starting-relay</v>
      </c>
      <c r="C1135" t="s">
        <v>2832</v>
      </c>
      <c r="D1135" t="s">
        <v>2976</v>
      </c>
      <c r="E1135" s="3" t="str">
        <f>HYPERLINK("https://www.amazon.com/Universal-Motor-Starting-Relay-Amps/dp/B007IAPINY/ref=sr_1_4?keywords=ICM+Controls+UMSR-50+Universal+Motor+Starting+Relay&amp;qid=1695173377&amp;sr=8-4", "https://www.amazon.com/Universal-Motor-Starting-Relay-Amps/dp/B007IAPINY/ref=sr_1_4?keywords=ICM+Controls+UMSR-50+Universal+Motor+Starting+Relay&amp;qid=1695173377&amp;sr=8-4")</f>
        <v>https://www.amazon.com/Universal-Motor-Starting-Relay-Amps/dp/B007IAPINY/ref=sr_1_4?keywords=ICM+Controls+UMSR-50+Universal+Motor+Starting+Relay&amp;qid=1695173377&amp;sr=8-4</v>
      </c>
      <c r="F1135" t="s">
        <v>2977</v>
      </c>
      <c r="G1135" t="e">
        <f ca="1">_xludf.IMAGE("https://edmondsonsupply.com/cdn/shop/files/UMSR50.png?v=1684277014")</f>
        <v>#NAME?</v>
      </c>
      <c r="H1135" t="e">
        <f ca="1">_xludf.IMAGE("https://m.media-amazon.com/images/I/61Tg3J+1zSL._AC_UY218_.jpg")</f>
        <v>#NAME?</v>
      </c>
      <c r="I1135" t="s">
        <v>1716</v>
      </c>
      <c r="J1135">
        <v>36.909999999999997</v>
      </c>
      <c r="K1135" s="4">
        <v>0.6069</v>
      </c>
      <c r="L1135">
        <v>4</v>
      </c>
      <c r="M1135">
        <v>1</v>
      </c>
      <c r="O1135" t="s">
        <v>25</v>
      </c>
      <c r="P1135" t="s">
        <v>2835</v>
      </c>
      <c r="Q1135" t="s">
        <v>2836</v>
      </c>
    </row>
    <row r="1136" spans="1:17" ht="15.5" x14ac:dyDescent="0.35">
      <c r="A1136" s="3" t="str">
        <f>HYPERLINK("https://edmondsonsupply.com/collections/hvac/products/icm-controls-icm206-delay-on-break-timer-with-3-10-minute-time-delay-18-30-vac", "https://edmondsonsupply.com/collections/hvac/products/icm-controls-icm206-delay-on-break-timer-with-3-10-minute-time-delay-18-30-vac")</f>
        <v>https://edmondsonsupply.com/collections/hvac/products/icm-controls-icm206-delay-on-break-timer-with-3-10-minute-time-delay-18-30-vac</v>
      </c>
      <c r="B1136" s="3" t="str">
        <f>HYPERLINK("https://edmondsonsupply.com/products/icm-controls-icm206-delay-on-break-timer-with-3-10-minute-time-delay-18-30-vac", "https://edmondsonsupply.com/products/icm-controls-icm206-delay-on-break-timer-with-3-10-minute-time-delay-18-30-vac")</f>
        <v>https://edmondsonsupply.com/products/icm-controls-icm206-delay-on-break-timer-with-3-10-minute-time-delay-18-30-vac</v>
      </c>
      <c r="C1136" t="s">
        <v>2978</v>
      </c>
      <c r="D1136" t="s">
        <v>1937</v>
      </c>
      <c r="E1136" s="3" t="str">
        <f>HYPERLINK("https://www.amazon.com/ICM-Controls-ICM104-Seconds-Adjustable/dp/B00GIP4LCO/ref=sr_1_9?keywords=ICM+Controls+ICM206+Delay+on+Break+Timer+with+3-10+Minute+Time+Delay%2C+18-30+VAC&amp;qid=1695173338&amp;sr=8-9", "https://www.amazon.com/ICM-Controls-ICM104-Seconds-Adjustable/dp/B00GIP4LCO/ref=sr_1_9?keywords=ICM+Controls+ICM206+Delay+on+Break+Timer+with+3-10+Minute+Time+Delay%2C+18-30+VAC&amp;qid=1695173338&amp;sr=8-9")</f>
        <v>https://www.amazon.com/ICM-Controls-ICM104-Seconds-Adjustable/dp/B00GIP4LCO/ref=sr_1_9?keywords=ICM+Controls+ICM206+Delay+on+Break+Timer+with+3-10+Minute+Time+Delay%2C+18-30+VAC&amp;qid=1695173338&amp;sr=8-9</v>
      </c>
      <c r="F1136" t="s">
        <v>1938</v>
      </c>
      <c r="G1136" t="e">
        <f ca="1">_xludf.IMAGE("https://edmondsonsupply.com/cdn/shop/products/61Oa3Tbl-VL._SL1000.jpg?v=1633030862")</f>
        <v>#NAME?</v>
      </c>
      <c r="H1136" t="e">
        <f ca="1">_xludf.IMAGE("https://m.media-amazon.com/images/I/61RFS2vXJzL._AC_UL320_.jpg")</f>
        <v>#NAME?</v>
      </c>
      <c r="I1136" t="s">
        <v>2979</v>
      </c>
      <c r="J1136">
        <v>50.95</v>
      </c>
      <c r="K1136" s="4">
        <v>0.60270000000000001</v>
      </c>
      <c r="L1136">
        <v>4.7</v>
      </c>
      <c r="M1136">
        <v>6</v>
      </c>
      <c r="O1136" t="s">
        <v>25</v>
      </c>
      <c r="P1136" t="s">
        <v>2980</v>
      </c>
      <c r="Q1136" t="s">
        <v>2981</v>
      </c>
    </row>
    <row r="1137" spans="1:17" ht="15.5" x14ac:dyDescent="0.35">
      <c r="A1137"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1137" s="3" t="str">
        <f>HYPERLINK("https://edmondsonsupply.com/products/packard-c140a-contactor-1-pole-40-amps-24-coil-voltage", "https://edmondsonsupply.com/products/packard-c140a-contactor-1-pole-40-amps-24-coil-voltage")</f>
        <v>https://edmondsonsupply.com/products/packard-c140a-contactor-1-pole-40-amps-24-coil-voltage</v>
      </c>
      <c r="C1137" t="s">
        <v>2339</v>
      </c>
      <c r="D1137" t="s">
        <v>2982</v>
      </c>
      <c r="E1137" s="3" t="str">
        <f>HYPERLINK("https://www.amazon.com/Bryant-Packard-Replacement-Contactor-C140A/dp/B00S8IYU6G/ref=sr_1_3?keywords=Packard+C140A+Contactor+1+Pole+40+AMPS+24+Coil+Voltage&amp;qid=1695173362&amp;sr=8-3", "https://www.amazon.com/Bryant-Packard-Replacement-Contactor-C140A/dp/B00S8IYU6G/ref=sr_1_3?keywords=Packard+C140A+Contactor+1+Pole+40+AMPS+24+Coil+Voltage&amp;qid=1695173362&amp;sr=8-3")</f>
        <v>https://www.amazon.com/Bryant-Packard-Replacement-Contactor-C140A/dp/B00S8IYU6G/ref=sr_1_3?keywords=Packard+C140A+Contactor+1+Pole+40+AMPS+24+Coil+Voltage&amp;qid=1695173362&amp;sr=8-3</v>
      </c>
      <c r="F1137" t="s">
        <v>2983</v>
      </c>
      <c r="G1137" t="e">
        <f ca="1">_xludf.IMAGE("https://edmondsonsupply.com/cdn/shop/products/C140A-1.jpg?v=1587147314")</f>
        <v>#NAME?</v>
      </c>
      <c r="H1137" t="e">
        <f ca="1">_xludf.IMAGE("https://m.media-amazon.com/images/I/51q4ngffe+L._AC_UY218_.jpg")</f>
        <v>#NAME?</v>
      </c>
      <c r="I1137" t="s">
        <v>2342</v>
      </c>
      <c r="J1137">
        <v>15.99</v>
      </c>
      <c r="K1137" s="4">
        <v>0.60219999999999996</v>
      </c>
      <c r="L1137">
        <v>5</v>
      </c>
      <c r="M1137">
        <v>2</v>
      </c>
      <c r="O1137" t="s">
        <v>25</v>
      </c>
      <c r="P1137" t="s">
        <v>138</v>
      </c>
      <c r="Q1137" t="s">
        <v>2343</v>
      </c>
    </row>
    <row r="1138" spans="1:17" ht="15.5" x14ac:dyDescent="0.35">
      <c r="A1138" s="3" t="str">
        <f>HYPERLINK("https://edmondsonsupply.com/collections/hvac/products/packard-c125a-25-amp-24-vac-single-1-pole-definite-purpose-contactor-hvac", "https://edmondsonsupply.com/collections/hvac/products/packard-c125a-25-amp-24-vac-single-1-pole-definite-purpose-contactor-hvac")</f>
        <v>https://edmondsonsupply.com/collections/hvac/products/packard-c125a-25-amp-24-vac-single-1-pole-definite-purpose-contactor-hvac</v>
      </c>
      <c r="B1138" s="3" t="str">
        <f>HYPERLINK("https://edmondsonsupply.com/products/packard-c125a-25-amp-24-vac-single-1-pole-definite-purpose-contactor-hvac", "https://edmondsonsupply.com/products/packard-c125a-25-amp-24-vac-single-1-pole-definite-purpose-contactor-hvac")</f>
        <v>https://edmondsonsupply.com/products/packard-c125a-25-amp-24-vac-single-1-pole-definite-purpose-contactor-hvac</v>
      </c>
      <c r="C1138" t="s">
        <v>2984</v>
      </c>
      <c r="D1138" t="s">
        <v>2985</v>
      </c>
      <c r="E1138" s="3" t="str">
        <f>HYPERLINK("https://www.amazon.com/Contactor-Conditioner-Condenser-Compressor-Definite/dp/B0C7H9X655/ref=sr_1_2?keywords=Packard+C125A+25+AMP+24+VAC+Single+1-Pole+Definite+Purpose+Contactor+HVAC&amp;qid=1695173585&amp;sr=8-2", "https://www.amazon.com/Contactor-Conditioner-Condenser-Compressor-Definite/dp/B0C7H9X655/ref=sr_1_2?keywords=Packard+C125A+25+AMP+24+VAC+Single+1-Pole+Definite+Purpose+Contactor+HVAC&amp;qid=1695173585&amp;sr=8-2")</f>
        <v>https://www.amazon.com/Contactor-Conditioner-Condenser-Compressor-Definite/dp/B0C7H9X655/ref=sr_1_2?keywords=Packard+C125A+25+AMP+24+VAC+Single+1-Pole+Definite+Purpose+Contactor+HVAC&amp;qid=1695173585&amp;sr=8-2</v>
      </c>
      <c r="F1138" t="s">
        <v>2986</v>
      </c>
      <c r="G1138" t="e">
        <f ca="1">_xludf.IMAGE("https://edmondsonsupply.com/cdn/shop/products/C125A-1.jpg?v=1587144451")</f>
        <v>#NAME?</v>
      </c>
      <c r="H1138" t="e">
        <f ca="1">_xludf.IMAGE("https://m.media-amazon.com/images/I/717R6NMPnkL._AC_UY218_.jpg")</f>
        <v>#NAME?</v>
      </c>
      <c r="I1138" t="s">
        <v>2577</v>
      </c>
      <c r="J1138">
        <v>15.99</v>
      </c>
      <c r="K1138" s="4">
        <v>0.60060000000000002</v>
      </c>
      <c r="L1138">
        <v>4.7</v>
      </c>
      <c r="M1138">
        <v>130</v>
      </c>
      <c r="O1138" t="s">
        <v>25</v>
      </c>
      <c r="P1138" t="s">
        <v>138</v>
      </c>
      <c r="Q1138" t="s">
        <v>2987</v>
      </c>
    </row>
    <row r="1139" spans="1:17" ht="15.5" x14ac:dyDescent="0.35">
      <c r="A1139" s="3" t="str">
        <f>HYPERLINK("https://edmondsonsupply.com/collections/hvac/products/sioux-chief-672xv0490-3-4-pex-inlet-x-4-1-2-pex-branches-valved-manifold", "https://edmondsonsupply.com/collections/hvac/products/sioux-chief-672xv0490-3-4-pex-inlet-x-4-1-2-pex-branches-valved-manifold")</f>
        <v>https://edmondsonsupply.com/collections/hvac/products/sioux-chief-672xv0490-3-4-pex-inlet-x-4-1-2-pex-branches-valved-manifold</v>
      </c>
      <c r="B1139" s="3" t="str">
        <f>HYPERLINK("https://edmondsonsupply.com/products/sioux-chief-672xv0490-3-4-pex-inlet-x-4-1-2-pex-branches-valved-manifold", "https://edmondsonsupply.com/products/sioux-chief-672xv0490-3-4-pex-inlet-x-4-1-2-pex-branches-valved-manifold")</f>
        <v>https://edmondsonsupply.com/products/sioux-chief-672xv0490-3-4-pex-inlet-x-4-1-2-pex-branches-valved-manifold</v>
      </c>
      <c r="C1139" t="s">
        <v>2526</v>
      </c>
      <c r="D1139" t="s">
        <v>2988</v>
      </c>
      <c r="E1139" s="3" t="str">
        <f>HYPERLINK("https://www.amazon.com/Sioux-Chief-672XV0599-Manifold-valves/dp/B003QSOCKM/ref=sr_1_10?keywords=Sioux+Chief+672XV0490+3%2F4%22+PEX+Inlet+x+%284%29+1%2F2%22+PEX+Branches+Valved+Manifold&amp;qid=1695173446&amp;sr=8-10", "https://www.amazon.com/Sioux-Chief-672XV0599-Manifold-valves/dp/B003QSOCKM/ref=sr_1_10?keywords=Sioux+Chief+672XV0490+3%2F4%22+PEX+Inlet+x+%284%29+1%2F2%22+PEX+Branches+Valved+Manifold&amp;qid=1695173446&amp;sr=8-10")</f>
        <v>https://www.amazon.com/Sioux-Chief-672XV0599-Manifold-valves/dp/B003QSOCKM/ref=sr_1_10?keywords=Sioux+Chief+672XV0490+3%2F4%22+PEX+Inlet+x+%284%29+1%2F2%22+PEX+Branches+Valved+Manifold&amp;qid=1695173446&amp;sr=8-10</v>
      </c>
      <c r="F1139" t="s">
        <v>2989</v>
      </c>
      <c r="G1139" t="e">
        <f ca="1">_xludf.IMAGE("https://edmondsonsupply.com/cdn/shop/products/672XV0490.jpg?v=1587147465")</f>
        <v>#NAME?</v>
      </c>
      <c r="H1139" t="e">
        <f ca="1">_xludf.IMAGE("https://m.media-amazon.com/images/I/21BnD-pxVPL._AC_UL320_.jpg")</f>
        <v>#NAME?</v>
      </c>
      <c r="I1139" t="s">
        <v>2529</v>
      </c>
      <c r="J1139">
        <v>108.85</v>
      </c>
      <c r="K1139" s="4">
        <v>0.59489999999999998</v>
      </c>
      <c r="L1139">
        <v>5</v>
      </c>
      <c r="M1139">
        <v>2</v>
      </c>
      <c r="O1139" t="s">
        <v>25</v>
      </c>
      <c r="P1139" t="s">
        <v>1135</v>
      </c>
      <c r="Q1139" t="s">
        <v>2530</v>
      </c>
    </row>
    <row r="1140" spans="1:17" ht="15.5" x14ac:dyDescent="0.35">
      <c r="A1140" s="3" t="str">
        <f>HYPERLINK("https://edmondsonsupply.com/collections/hvac/products/robertshaw-rs9220", "https://edmondsonsupply.com/collections/hvac/products/robertshaw-rs9220")</f>
        <v>https://edmondsonsupply.com/collections/hvac/products/robertshaw-rs9220</v>
      </c>
      <c r="B1140" s="3" t="str">
        <f>HYPERLINK("https://edmondsonsupply.com/products/robertshaw-rs9220", "https://edmondsonsupply.com/products/robertshaw-rs9220")</f>
        <v>https://edmondsonsupply.com/products/robertshaw-rs9220</v>
      </c>
      <c r="C1140" t="s">
        <v>2990</v>
      </c>
      <c r="D1140" t="s">
        <v>2991</v>
      </c>
      <c r="E1140" s="3" t="str">
        <f>HYPERLINK("https://www.amazon.com/Robertshaw-RS10420T-Programmable-Multi-Stage-Conventional/dp/B00U5CBBJC/ref=sr_1_2?keywords=Robertshaw+RS9220+Programmable+Wall+Thermostat%2C+Multi-Stage+-+2+Heat+%2F+2+Cool&amp;qid=1695173696&amp;sr=8-2", "https://www.amazon.com/Robertshaw-RS10420T-Programmable-Multi-Stage-Conventional/dp/B00U5CBBJC/ref=sr_1_2?keywords=Robertshaw+RS9220+Programmable+Wall+Thermostat%2C+Multi-Stage+-+2+Heat+%2F+2+Cool&amp;qid=1695173696&amp;sr=8-2")</f>
        <v>https://www.amazon.com/Robertshaw-RS10420T-Programmable-Multi-Stage-Conventional/dp/B00U5CBBJC/ref=sr_1_2?keywords=Robertshaw+RS9220+Programmable+Wall+Thermostat%2C+Multi-Stage+-+2+Heat+%2F+2+Cool&amp;qid=1695173696&amp;sr=8-2</v>
      </c>
      <c r="F1140" t="s">
        <v>2992</v>
      </c>
      <c r="G1140" t="e">
        <f ca="1">_xludf.IMAGE("https://edmondsonsupply.com/cdn/shop/files/67652dc9-4ca4-4b9c-987a-a2c62c95b630.jpg?v=1693935585")</f>
        <v>#NAME?</v>
      </c>
      <c r="H1140" t="e">
        <f ca="1">_xludf.IMAGE("https://m.media-amazon.com/images/I/71tm1J0vjML._AC_UL320_.jpg")</f>
        <v>#NAME?</v>
      </c>
      <c r="I1140" t="s">
        <v>2993</v>
      </c>
      <c r="J1140">
        <v>74.95</v>
      </c>
      <c r="K1140" s="4">
        <v>0.59330000000000005</v>
      </c>
      <c r="L1140">
        <v>3.1</v>
      </c>
      <c r="M1140">
        <v>24</v>
      </c>
      <c r="O1140" t="s">
        <v>25</v>
      </c>
      <c r="P1140" t="s">
        <v>138</v>
      </c>
      <c r="Q1140" t="s">
        <v>2994</v>
      </c>
    </row>
    <row r="1141" spans="1:17" ht="15.5" x14ac:dyDescent="0.35">
      <c r="A1141" s="3" t="str">
        <f>HYPERLINK("https://edmondsonsupply.com/collections/hvac/products/klein-tools-ncvt-4ir-non-contact-voltage-tester-pen-12-1000v-with-infrared-thermometer", "https://edmondsonsupply.com/collections/hvac/products/klein-tools-ncvt-4ir-non-contact-voltage-tester-pen-12-1000v-with-infrared-thermometer")</f>
        <v>https://edmondsonsupply.com/collections/hvac/products/klein-tools-ncvt-4ir-non-contact-voltage-tester-pen-12-1000v-with-infrared-thermometer</v>
      </c>
      <c r="B1141" s="3" t="str">
        <f>HYPERLINK("https://edmondsonsupply.com/products/klein-tools-ncvt-4ir-non-contact-voltage-tester-pen-12-1000v-with-infrared-thermometer", "https://edmondsonsupply.com/products/klein-tools-ncvt-4ir-non-contact-voltage-tester-pen-12-1000v-with-infrared-thermometer")</f>
        <v>https://edmondsonsupply.com/products/klein-tools-ncvt-4ir-non-contact-voltage-tester-pen-12-1000v-with-infrared-thermometer</v>
      </c>
      <c r="C1141" t="s">
        <v>2995</v>
      </c>
      <c r="D1141" t="s">
        <v>2996</v>
      </c>
      <c r="E1141" s="3" t="str">
        <f>HYPERLINK("https://www.amazon.com/Klein-Tools-NCVT-4IR-Non-Contact-Tester/dp/B0BD41QXCP/ref=sr_1_1?keywords=Klein+Tools+NCVT-4IR+Non-Contact+Voltage+Tester+Pen%2C+12-1000V%2C+with+Infrared+Thermometer&amp;qid=1695173543&amp;sr=8-1", "https://www.amazon.com/Klein-Tools-NCVT-4IR-Non-Contact-Tester/dp/B0BD41QXCP/ref=sr_1_1?keywords=Klein+Tools+NCVT-4IR+Non-Contact+Voltage+Tester+Pen%2C+12-1000V%2C+with+Infrared+Thermometer&amp;qid=1695173543&amp;sr=8-1")</f>
        <v>https://www.amazon.com/Klein-Tools-NCVT-4IR-Non-Contact-Tester/dp/B0BD41QXCP/ref=sr_1_1?keywords=Klein+Tools+NCVT-4IR+Non-Contact+Voltage+Tester+Pen%2C+12-1000V%2C+with+Infrared+Thermometer&amp;qid=1695173543&amp;sr=8-1</v>
      </c>
      <c r="F1141" t="s">
        <v>2997</v>
      </c>
      <c r="G1141" t="e">
        <f ca="1">_xludf.IMAGE("https://edmondsonsupply.com/cdn/shop/products/ncvt4ir.jpg?v=1633030412")</f>
        <v>#NAME?</v>
      </c>
      <c r="H1141" t="e">
        <f ca="1">_xludf.IMAGE("https://m.media-amazon.com/images/I/418deU9NDfL._AC_UL320_.jpg")</f>
        <v>#NAME?</v>
      </c>
      <c r="I1141" t="s">
        <v>198</v>
      </c>
      <c r="J1141">
        <v>63.65</v>
      </c>
      <c r="K1141" s="4">
        <v>0.59160000000000001</v>
      </c>
      <c r="L1141">
        <v>5</v>
      </c>
      <c r="M1141">
        <v>1</v>
      </c>
      <c r="O1141" t="s">
        <v>25</v>
      </c>
      <c r="P1141" t="s">
        <v>2998</v>
      </c>
      <c r="Q1141" t="s">
        <v>2999</v>
      </c>
    </row>
    <row r="1142" spans="1:17" ht="15.5" x14ac:dyDescent="0.35">
      <c r="A1142" s="3" t="str">
        <f>HYPERLINK("https://edmondsonsupply.com/collections/hvac/products/klein-tools-32304-14-in-1-hvac-adjustable-length-impact-screwdriver-with-flip-socket", "https://edmondsonsupply.com/collections/hvac/products/klein-tools-32304-14-in-1-hvac-adjustable-length-impact-screwdriver-with-flip-socket")</f>
        <v>https://edmondsonsupply.com/collections/hvac/products/klein-tools-32304-14-in-1-hvac-adjustable-length-impact-screwdriver-with-flip-socket</v>
      </c>
      <c r="B1142"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1142" t="s">
        <v>2115</v>
      </c>
      <c r="D1142" t="s">
        <v>2107</v>
      </c>
      <c r="E1142" s="3" t="str">
        <f>HYPERLINK("https://www.amazon.com/Screwdriver-Adjustable-Klein-Tools-Electronic/dp/B0BM34Q1QR/ref=sr_1_3?keywords=Klein+Tools+32304+14-in-1+HVAC+Adjustable-Length+Impact+Screwdriver+with+Flip+Socket&amp;qid=1695173459&amp;sr=8-3", "https://www.amazon.com/Screwdriver-Adjustable-Klein-Tools-Electronic/dp/B0BM34Q1QR/ref=sr_1_3?keywords=Klein+Tools+32304+14-in-1+HVAC+Adjustable-Length+Impact+Screwdriver+with+Flip+Socket&amp;qid=1695173459&amp;sr=8-3")</f>
        <v>https://www.amazon.com/Screwdriver-Adjustable-Klein-Tools-Electronic/dp/B0BM34Q1QR/ref=sr_1_3?keywords=Klein+Tools+32304+14-in-1+HVAC+Adjustable-Length+Impact+Screwdriver+with+Flip+Socket&amp;qid=1695173459&amp;sr=8-3</v>
      </c>
      <c r="F1142" t="s">
        <v>2108</v>
      </c>
      <c r="G1142" t="e">
        <f ca="1">_xludf.IMAGE("https://edmondsonsupply.com/cdn/shop/products/32304.jpg?v=1666019479")</f>
        <v>#NAME?</v>
      </c>
      <c r="H1142" t="e">
        <f ca="1">_xludf.IMAGE("https://m.media-amazon.com/images/I/41C5e4ThtpL._AC_UL320_.jpg")</f>
        <v>#NAME?</v>
      </c>
      <c r="I1142" t="s">
        <v>859</v>
      </c>
      <c r="J1142">
        <v>39.74</v>
      </c>
      <c r="K1142" s="4">
        <v>0.59150000000000003</v>
      </c>
      <c r="L1142">
        <v>5</v>
      </c>
      <c r="M1142">
        <v>1</v>
      </c>
      <c r="O1142" t="s">
        <v>25</v>
      </c>
      <c r="P1142" t="s">
        <v>602</v>
      </c>
      <c r="Q1142" t="s">
        <v>2118</v>
      </c>
    </row>
    <row r="1143" spans="1:17" ht="15.5" x14ac:dyDescent="0.35">
      <c r="A1143" s="3" t="str">
        <f>HYPERLINK("https://edmondsonsupply.com/collections/hvac/products/greenlee-gsb03-3-4-step-bit-3", "https://edmondsonsupply.com/collections/hvac/products/greenlee-gsb03-3-4-step-bit-3")</f>
        <v>https://edmondsonsupply.com/collections/hvac/products/greenlee-gsb03-3-4-step-bit-3</v>
      </c>
      <c r="B1143" s="3" t="str">
        <f>HYPERLINK("https://edmondsonsupply.com/products/greenlee-gsb03-3-4-step-bit-3", "https://edmondsonsupply.com/products/greenlee-gsb03-3-4-step-bit-3")</f>
        <v>https://edmondsonsupply.com/products/greenlee-gsb03-3-4-step-bit-3</v>
      </c>
      <c r="C1143" t="s">
        <v>3000</v>
      </c>
      <c r="D1143" t="s">
        <v>3001</v>
      </c>
      <c r="E1143" s="3" t="str">
        <f>HYPERLINK("https://www.amazon.com/Greenlee-34403C-Cobalt-Step-Bit/dp/B016IZP4IS/ref=sr_1_10?keywords=Greenlee+GSB03+3%2F4%22+Step+Bit+%28%233%29&amp;qid=1695173752&amp;sr=8-10", "https://www.amazon.com/Greenlee-34403C-Cobalt-Step-Bit/dp/B016IZP4IS/ref=sr_1_10?keywords=Greenlee+GSB03+3%2F4%22+Step+Bit+%28%233%29&amp;qid=1695173752&amp;sr=8-10")</f>
        <v>https://www.amazon.com/Greenlee-34403C-Cobalt-Step-Bit/dp/B016IZP4IS/ref=sr_1_10?keywords=Greenlee+GSB03+3%2F4%22+Step+Bit+%28%233%29&amp;qid=1695173752&amp;sr=8-10</v>
      </c>
      <c r="F1143" t="s">
        <v>3002</v>
      </c>
      <c r="G1143" t="e">
        <f ca="1">_xludf.IMAGE("https://edmondsonsupply.com/cdn/shop/files/GSB03_CAT1_72dpi.jpg?v=1687784964")</f>
        <v>#NAME?</v>
      </c>
      <c r="H1143" t="e">
        <f ca="1">_xludf.IMAGE("https://m.media-amazon.com/images/I/71lpfxAxTRL._AC_UY218_.jpg")</f>
        <v>#NAME?</v>
      </c>
      <c r="I1143" t="s">
        <v>3003</v>
      </c>
      <c r="J1143">
        <v>76.989999999999995</v>
      </c>
      <c r="K1143" s="4">
        <v>0.59099999999999997</v>
      </c>
      <c r="L1143">
        <v>4</v>
      </c>
      <c r="M1143">
        <v>12</v>
      </c>
      <c r="O1143" t="s">
        <v>25</v>
      </c>
      <c r="P1143" t="s">
        <v>2614</v>
      </c>
      <c r="Q1143" t="s">
        <v>3004</v>
      </c>
    </row>
    <row r="1144" spans="1:17" ht="15.5" x14ac:dyDescent="0.35">
      <c r="A1144" s="3" t="str">
        <f>HYPERLINK("https://edmondsonsupply.com/collections/hvac/products/malco-mshlc-2-5-8-c-rhex-cleanable-reversible-magnetic-hex-driver-1-4-5-16", "https://edmondsonsupply.com/collections/hvac/products/malco-mshlc-2-5-8-c-rhex-cleanable-reversible-magnetic-hex-driver-1-4-5-16")</f>
        <v>https://edmondsonsupply.com/collections/hvac/products/malco-mshlc-2-5-8-c-rhex-cleanable-reversible-magnetic-hex-driver-1-4-5-16</v>
      </c>
      <c r="B1144" s="3" t="str">
        <f>HYPERLINK("https://edmondsonsupply.com/products/malco-mshlc-2-5-8-c-rhex-cleanable-reversible-magnetic-hex-driver-1-4-5-16", "https://edmondsonsupply.com/products/malco-mshlc-2-5-8-c-rhex-cleanable-reversible-magnetic-hex-driver-1-4-5-16")</f>
        <v>https://edmondsonsupply.com/products/malco-mshlc-2-5-8-c-rhex-cleanable-reversible-magnetic-hex-driver-1-4-5-16</v>
      </c>
      <c r="C1144" t="s">
        <v>2060</v>
      </c>
      <c r="D1144" t="s">
        <v>178</v>
      </c>
      <c r="E1144" s="3" t="str">
        <f>HYPERLINK("https://www.amazon.com/Malco-MSHMLC2-Construction-Cleanable-Reversible/dp/B0BX77PFCY/ref=sr_1_3?keywords=Malco+Tools+MSHLC+2-5%2F8%22+C-Rhex+Cleanable%2C+Reversible+Magnetic+Hex+Driver%2C+1%2F4%22+%26+5%2F16%22&amp;qid=1695173386&amp;sr=8-3", "https://www.amazon.com/Malco-MSHMLC2-Construction-Cleanable-Reversible/dp/B0BX77PFCY/ref=sr_1_3?keywords=Malco+Tools+MSHLC+2-5%2F8%22+C-Rhex+Cleanable%2C+Reversible+Magnetic+Hex+Driver%2C+1%2F4%22+%26+5%2F16%22&amp;qid=1695173386&amp;sr=8-3")</f>
        <v>https://www.amazon.com/Malco-MSHMLC2-Construction-Cleanable-Reversible/dp/B0BX77PFCY/ref=sr_1_3?keywords=Malco+Tools+MSHLC+2-5%2F8%22+C-Rhex+Cleanable%2C+Reversible+Magnetic+Hex+Driver%2C+1%2F4%22+%26+5%2F16%22&amp;qid=1695173386&amp;sr=8-3</v>
      </c>
      <c r="F1144" t="s">
        <v>179</v>
      </c>
      <c r="G1144" t="e">
        <f ca="1">_xludf.IMAGE("https://edmondsonsupply.com/cdn/shop/products/Malco-MSHLC-CRHEX-Slim-Design.jpg?v=1654737733")</f>
        <v>#NAME?</v>
      </c>
      <c r="H1144" t="e">
        <f ca="1">_xludf.IMAGE("https://m.media-amazon.com/images/I/61SpFpw6GjL._AC_UL320_.jpg")</f>
        <v>#NAME?</v>
      </c>
      <c r="I1144" t="s">
        <v>2061</v>
      </c>
      <c r="J1144">
        <v>13.91</v>
      </c>
      <c r="K1144" s="4">
        <v>0.58789999999999998</v>
      </c>
      <c r="L1144">
        <v>3</v>
      </c>
      <c r="M1144">
        <v>4</v>
      </c>
      <c r="O1144" t="s">
        <v>25</v>
      </c>
      <c r="P1144" t="s">
        <v>2062</v>
      </c>
      <c r="Q1144" t="s">
        <v>2063</v>
      </c>
    </row>
    <row r="1145" spans="1:17" ht="15.5" x14ac:dyDescent="0.35">
      <c r="A1145"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1145"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1145" t="s">
        <v>2546</v>
      </c>
      <c r="D1145" t="s">
        <v>3005</v>
      </c>
      <c r="E1145" s="3" t="str">
        <f>HYPERLINK("https://www.amazon.com/Yellow-Jacket-42007-Manifold-Standard/dp/B00R75RR48/ref=sr_1_7?keywords=Yellow+Jacket+42001+Series+41+Manifold+Only%2C+3-1%2F8%22+Gauges+-+R-22+%2F+404A+%2F+410A&amp;qid=1695173491&amp;sr=8-7", "https://www.amazon.com/Yellow-Jacket-42007-Manifold-Standard/dp/B00R75RR48/ref=sr_1_7?keywords=Yellow+Jacket+42001+Series+41+Manifold+Only%2C+3-1%2F8%22+Gauges+-+R-22+%2F+404A+%2F+410A&amp;qid=1695173491&amp;sr=8-7")</f>
        <v>https://www.amazon.com/Yellow-Jacket-42007-Manifold-Standard/dp/B00R75RR48/ref=sr_1_7?keywords=Yellow+Jacket+42001+Series+41+Manifold+Only%2C+3-1%2F8%22+Gauges+-+R-22+%2F+404A+%2F+410A&amp;qid=1695173491&amp;sr=8-7</v>
      </c>
      <c r="F1145" t="s">
        <v>3006</v>
      </c>
      <c r="G1145" t="e">
        <f ca="1">_xludf.IMAGE("https://edmondsonsupply.com/cdn/shop/products/series-41-manifolds-with-318-gauges.jpg?v=1633030025")</f>
        <v>#NAME?</v>
      </c>
      <c r="H1145" t="e">
        <f ca="1">_xludf.IMAGE("https://m.media-amazon.com/images/I/81muoIQQWtL._AC_UL320_.jpg")</f>
        <v>#NAME?</v>
      </c>
      <c r="I1145" t="s">
        <v>2549</v>
      </c>
      <c r="J1145">
        <v>154.62</v>
      </c>
      <c r="K1145" s="4">
        <v>0.58150000000000002</v>
      </c>
      <c r="L1145">
        <v>4.5</v>
      </c>
      <c r="M1145">
        <v>109</v>
      </c>
      <c r="O1145" t="s">
        <v>25</v>
      </c>
      <c r="P1145" t="s">
        <v>138</v>
      </c>
      <c r="Q1145" t="s">
        <v>2550</v>
      </c>
    </row>
    <row r="1146" spans="1:17" ht="15.5" x14ac:dyDescent="0.35">
      <c r="A1146" s="3" t="str">
        <f>HYPERLINK("https://edmondsonsupply.com/collections/hvac/products/esp-pop3-lil-popper-control-board-circuit-breaker-3-amp", "https://edmondsonsupply.com/collections/hvac/products/esp-pop3-lil-popper-control-board-circuit-breaker-3-amp")</f>
        <v>https://edmondsonsupply.com/collections/hvac/products/esp-pop3-lil-popper-control-board-circuit-breaker-3-amp</v>
      </c>
      <c r="B1146" s="3" t="str">
        <f>HYPERLINK("https://edmondsonsupply.com/products/esp-pop3-lil-popper-control-board-circuit-breaker-3-amp", "https://edmondsonsupply.com/products/esp-pop3-lil-popper-control-board-circuit-breaker-3-amp")</f>
        <v>https://edmondsonsupply.com/products/esp-pop3-lil-popper-control-board-circuit-breaker-3-amp</v>
      </c>
      <c r="C1146" t="s">
        <v>2772</v>
      </c>
      <c r="D1146" t="s">
        <v>3007</v>
      </c>
      <c r="E1146" s="3" t="str">
        <f>HYPERLINK("https://www.amazon.com/ESP-Popper-Control-Circuit-Tester/dp/B07FWCVFP1/ref=sr_1_1?keywords=ESP+POP3+Li%27l+Popper+Control+Board+Circuit+Breaker-+3+Amp&amp;qid=1695173376&amp;sr=8-1", "https://www.amazon.com/ESP-Popper-Control-Circuit-Tester/dp/B07FWCVFP1/ref=sr_1_1?keywords=ESP+POP3+Li%27l+Popper+Control+Board+Circuit+Breaker-+3+Amp&amp;qid=1695173376&amp;sr=8-1")</f>
        <v>https://www.amazon.com/ESP-Popper-Control-Circuit-Tester/dp/B07FWCVFP1/ref=sr_1_1?keywords=ESP+POP3+Li%27l+Popper+Control+Board+Circuit+Breaker-+3+Amp&amp;qid=1695173376&amp;sr=8-1</v>
      </c>
      <c r="F1146" t="s">
        <v>3008</v>
      </c>
      <c r="G1146" t="e">
        <f ca="1">_xludf.IMAGE("https://edmondsonsupply.com/cdn/shop/products/pop3_xl_1.jpg?v=1633030635")</f>
        <v>#NAME?</v>
      </c>
      <c r="H1146" t="e">
        <f ca="1">_xludf.IMAGE("https://m.media-amazon.com/images/I/51M9mrqgAwL._AC_UL320_.jpg")</f>
        <v>#NAME?</v>
      </c>
      <c r="I1146" t="s">
        <v>2337</v>
      </c>
      <c r="J1146">
        <v>18.95</v>
      </c>
      <c r="K1146" s="4">
        <v>0.58050000000000002</v>
      </c>
      <c r="L1146">
        <v>4.5999999999999996</v>
      </c>
      <c r="M1146">
        <v>42</v>
      </c>
      <c r="O1146" t="s">
        <v>25</v>
      </c>
      <c r="P1146" t="s">
        <v>138</v>
      </c>
      <c r="Q1146" t="s">
        <v>2773</v>
      </c>
    </row>
    <row r="1147" spans="1:17" ht="15.5" x14ac:dyDescent="0.35">
      <c r="A1147" s="3" t="str">
        <f>HYPERLINK("https://edmondsonsupply.com/collections/hvac/products/packard-psmj400-motor-start-capacitor-400-480-mfd-165-vac", "https://edmondsonsupply.com/collections/hvac/products/packard-psmj400-motor-start-capacitor-400-480-mfd-165-vac")</f>
        <v>https://edmondsonsupply.com/collections/hvac/products/packard-psmj400-motor-start-capacitor-400-480-mfd-165-vac</v>
      </c>
      <c r="B1147" s="3" t="str">
        <f>HYPERLINK("https://edmondsonsupply.com/products/packard-psmj400-motor-start-capacitor-400-480-mfd-165-vac", "https://edmondsonsupply.com/products/packard-psmj400-motor-start-capacitor-400-480-mfd-165-vac")</f>
        <v>https://edmondsonsupply.com/products/packard-psmj400-motor-start-capacitor-400-480-mfd-165-vac</v>
      </c>
      <c r="C1147" t="s">
        <v>2330</v>
      </c>
      <c r="D1147" t="s">
        <v>3009</v>
      </c>
      <c r="E1147" s="3" t="str">
        <f>HYPERLINK("https://www.amazon.com/400-480-Packard-Aftermarket-Replacement-Capacitor/dp/B00IWYFSOE/ref=sr_1_5?keywords=Packard+PSMJ400+Motor+Start+Capacitor+400-480+MFD+165+VAC&amp;qid=1695173567&amp;sr=8-5", "https://www.amazon.com/400-480-Packard-Aftermarket-Replacement-Capacitor/dp/B00IWYFSOE/ref=sr_1_5?keywords=Packard+PSMJ400+Motor+Start+Capacitor+400-480+MFD+165+VAC&amp;qid=1695173567&amp;sr=8-5")</f>
        <v>https://www.amazon.com/400-480-Packard-Aftermarket-Replacement-Capacitor/dp/B00IWYFSOE/ref=sr_1_5?keywords=Packard+PSMJ400+Motor+Start+Capacitor+400-480+MFD+165+VAC&amp;qid=1695173567&amp;sr=8-5</v>
      </c>
      <c r="F1147" t="s">
        <v>3010</v>
      </c>
      <c r="G1147" t="e">
        <f ca="1">_xludf.IMAGE("https://edmondsonsupply.com/cdn/shop/products/PSMJ400-2.jpg?v=1587142312")</f>
        <v>#NAME?</v>
      </c>
      <c r="H1147" t="e">
        <f ca="1">_xludf.IMAGE("https://m.media-amazon.com/images/I/41ECdi1aijL._AC_UY218_.jpg")</f>
        <v>#NAME?</v>
      </c>
      <c r="I1147" t="s">
        <v>2202</v>
      </c>
      <c r="J1147">
        <v>12.49</v>
      </c>
      <c r="K1147" s="4">
        <v>0.57699999999999996</v>
      </c>
      <c r="L1147">
        <v>4.4000000000000004</v>
      </c>
      <c r="M1147">
        <v>198</v>
      </c>
      <c r="O1147" t="s">
        <v>25</v>
      </c>
      <c r="P1147" t="s">
        <v>138</v>
      </c>
      <c r="Q1147" t="s">
        <v>2333</v>
      </c>
    </row>
    <row r="1148" spans="1:17" ht="15.5" x14ac:dyDescent="0.35">
      <c r="A1148" s="3" t="str">
        <f>HYPERLINK("https://edmondsonsupply.com/collections/hvac/products/white-rodgers-24a34-3-24v-electric-heat-sequencer-dpst", "https://edmondsonsupply.com/collections/hvac/products/white-rodgers-24a34-3-24v-electric-heat-sequencer-dpst")</f>
        <v>https://edmondsonsupply.com/collections/hvac/products/white-rodgers-24a34-3-24v-electric-heat-sequencer-dpst</v>
      </c>
      <c r="B1148" s="3" t="str">
        <f>HYPERLINK("https://edmondsonsupply.com/products/white-rodgers-24a34-3-24v-electric-heat-sequencer-dpst", "https://edmondsonsupply.com/products/white-rodgers-24a34-3-24v-electric-heat-sequencer-dpst")</f>
        <v>https://edmondsonsupply.com/products/white-rodgers-24a34-3-24v-electric-heat-sequencer-dpst</v>
      </c>
      <c r="C1148" t="s">
        <v>2706</v>
      </c>
      <c r="D1148" t="s">
        <v>2804</v>
      </c>
      <c r="E1148" s="3" t="str">
        <f>HYPERLINK("https://www.amazon.com/White-Rodgers-24A34-3-Electric-Sequencer-Switch/dp/B000LDGR4Y/ref=sr_1_4?keywords=White-Rodgers+24A34-3+24V+Electric+Heat+Sequencer%2C+DPST&amp;qid=1695173389&amp;sr=8-4", "https://www.amazon.com/White-Rodgers-24A34-3-Electric-Sequencer-Switch/dp/B000LDGR4Y/ref=sr_1_4?keywords=White-Rodgers+24A34-3+24V+Electric+Heat+Sequencer%2C+DPST&amp;qid=1695173389&amp;sr=8-4")</f>
        <v>https://www.amazon.com/White-Rodgers-24A34-3-Electric-Sequencer-Switch/dp/B000LDGR4Y/ref=sr_1_4?keywords=White-Rodgers+24A34-3+24V+Electric+Heat+Sequencer%2C+DPST&amp;qid=1695173389&amp;sr=8-4</v>
      </c>
      <c r="F1148" t="s">
        <v>2805</v>
      </c>
      <c r="G1148" t="e">
        <f ca="1">_xludf.IMAGE("https://edmondsonsupply.com/cdn/shop/products/24A34-3.jpg?v=1633030705")</f>
        <v>#NAME?</v>
      </c>
      <c r="H1148" t="e">
        <f ca="1">_xludf.IMAGE("https://m.media-amazon.com/images/I/81cvHpX0ILL._AC_UY218_.jpg")</f>
        <v>#NAME?</v>
      </c>
      <c r="I1148" t="s">
        <v>834</v>
      </c>
      <c r="J1148">
        <v>20.47</v>
      </c>
      <c r="K1148" s="4">
        <v>0.57579999999999998</v>
      </c>
      <c r="L1148">
        <v>4.8</v>
      </c>
      <c r="M1148">
        <v>9</v>
      </c>
      <c r="O1148" t="s">
        <v>25</v>
      </c>
      <c r="P1148" t="s">
        <v>2707</v>
      </c>
      <c r="Q1148" t="s">
        <v>2708</v>
      </c>
    </row>
    <row r="1149" spans="1:17" ht="15.5" x14ac:dyDescent="0.35">
      <c r="A1149" s="3" t="str">
        <f>HYPERLINK("https://edmondsonsupply.com/collections/hvac/products/white-rodgers-24a34-4-24v-electric-heat-sequencer-dpst", "https://edmondsonsupply.com/collections/hvac/products/white-rodgers-24a34-4-24v-electric-heat-sequencer-dpst")</f>
        <v>https://edmondsonsupply.com/collections/hvac/products/white-rodgers-24a34-4-24v-electric-heat-sequencer-dpst</v>
      </c>
      <c r="B1149" s="3" t="str">
        <f>HYPERLINK("https://edmondsonsupply.com/products/white-rodgers-24a34-4-24v-electric-heat-sequencer-dpst", "https://edmondsonsupply.com/products/white-rodgers-24a34-4-24v-electric-heat-sequencer-dpst")</f>
        <v>https://edmondsonsupply.com/products/white-rodgers-24a34-4-24v-electric-heat-sequencer-dpst</v>
      </c>
      <c r="C1149" t="s">
        <v>2709</v>
      </c>
      <c r="D1149" t="s">
        <v>2804</v>
      </c>
      <c r="E1149" s="3" t="str">
        <f>HYPERLINK("https://www.amazon.com/White-Rodgers-24A34-3-Electric-Sequencer-Switch/dp/B000LDGR4Y/ref=sr_1_3?keywords=White-Rodgers+24A34-4+24V+Electric+Heat+Sequencer%2C+DPST&amp;qid=1695173471&amp;sr=8-3", "https://www.amazon.com/White-Rodgers-24A34-3-Electric-Sequencer-Switch/dp/B000LDGR4Y/ref=sr_1_3?keywords=White-Rodgers+24A34-4+24V+Electric+Heat+Sequencer%2C+DPST&amp;qid=1695173471&amp;sr=8-3")</f>
        <v>https://www.amazon.com/White-Rodgers-24A34-3-Electric-Sequencer-Switch/dp/B000LDGR4Y/ref=sr_1_3?keywords=White-Rodgers+24A34-4+24V+Electric+Heat+Sequencer%2C+DPST&amp;qid=1695173471&amp;sr=8-3</v>
      </c>
      <c r="F1149" t="s">
        <v>2805</v>
      </c>
      <c r="G1149" t="e">
        <f ca="1">_xludf.IMAGE("https://edmondsonsupply.com/cdn/shop/products/24A34-4.jpg?v=1633030706")</f>
        <v>#NAME?</v>
      </c>
      <c r="H1149" t="e">
        <f ca="1">_xludf.IMAGE("https://m.media-amazon.com/images/I/81cvHpX0ILL._AC_UY218_.jpg")</f>
        <v>#NAME?</v>
      </c>
      <c r="I1149" t="s">
        <v>834</v>
      </c>
      <c r="J1149">
        <v>20.47</v>
      </c>
      <c r="K1149" s="4">
        <v>0.57579999999999998</v>
      </c>
      <c r="L1149">
        <v>4.8</v>
      </c>
      <c r="M1149">
        <v>9</v>
      </c>
      <c r="O1149" t="s">
        <v>25</v>
      </c>
      <c r="P1149" t="s">
        <v>2707</v>
      </c>
      <c r="Q1149" t="s">
        <v>2710</v>
      </c>
    </row>
    <row r="1150" spans="1:17" ht="15.5" x14ac:dyDescent="0.35">
      <c r="A1150" s="3" t="str">
        <f>HYPERLINK("https://edmondsonsupply.com/collections/hvac/products/sharkbite-u710-1-2-disconnect-clip", "https://edmondsonsupply.com/collections/hvac/products/sharkbite-u710-1-2-disconnect-clip")</f>
        <v>https://edmondsonsupply.com/collections/hvac/products/sharkbite-u710-1-2-disconnect-clip</v>
      </c>
      <c r="B1150" s="3" t="str">
        <f>HYPERLINK("https://edmondsonsupply.com/products/sharkbite-u710-1-2-disconnect-clip", "https://edmondsonsupply.com/products/sharkbite-u710-1-2-disconnect-clip")</f>
        <v>https://edmondsonsupply.com/products/sharkbite-u710-1-2-disconnect-clip</v>
      </c>
      <c r="C1150" t="s">
        <v>3011</v>
      </c>
      <c r="D1150" t="s">
        <v>3012</v>
      </c>
      <c r="E1150" s="3" t="str">
        <f>HYPERLINK("https://www.amazon.com/SharkBite-UP514-2-Inch-Plastic-Barb/dp/B00A8HRDN2/ref=sr_1_1?keywords=SharkBite+UP514+1%2F2%22+Poly+Crimp+PEX+Plug+%28Bag+of+25%29&amp;qid=1695173687&amp;sr=8-1", "https://www.amazon.com/SharkBite-UP514-2-Inch-Plastic-Barb/dp/B00A8HRDN2/ref=sr_1_1?keywords=SharkBite+UP514+1%2F2%22+Poly+Crimp+PEX+Plug+%28Bag+of+25%29&amp;qid=1695173687&amp;sr=8-1")</f>
        <v>https://www.amazon.com/SharkBite-UP514-2-Inch-Plastic-Barb/dp/B00A8HRDN2/ref=sr_1_1?keywords=SharkBite+UP514+1%2F2%22+Poly+Crimp+PEX+Plug+%28Bag+of+25%29&amp;qid=1695173687&amp;sr=8-1</v>
      </c>
      <c r="F1150" t="s">
        <v>3013</v>
      </c>
      <c r="G1150" t="e">
        <f ca="1">_xludf.IMAGE("https://edmondsonsupply.com/cdn/shop/products/SharkBite_UP514_12_Poly_Crimp_Plug.jpg?v=1599424725")</f>
        <v>#NAME?</v>
      </c>
      <c r="H1150" t="e">
        <f ca="1">_xludf.IMAGE("https://m.media-amazon.com/images/I/817WOBXKWbL._AC_UL320_.jpg")</f>
        <v>#NAME?</v>
      </c>
      <c r="I1150" t="s">
        <v>1003</v>
      </c>
      <c r="J1150">
        <v>12.58</v>
      </c>
      <c r="K1150" s="4">
        <v>0.57450000000000001</v>
      </c>
      <c r="L1150">
        <v>4.5</v>
      </c>
      <c r="M1150">
        <v>58</v>
      </c>
      <c r="O1150" t="s">
        <v>25</v>
      </c>
      <c r="P1150" t="s">
        <v>3014</v>
      </c>
      <c r="Q1150" t="s">
        <v>3015</v>
      </c>
    </row>
    <row r="1151" spans="1:17" ht="15.5" x14ac:dyDescent="0.35">
      <c r="A1151" s="3" t="str">
        <f>HYPERLINK("https://edmondsonsupply.com/collections/hvac/products/ritchie-yellow-jacket-60430-lightweight-swaging-flaring-tool", "https://edmondsonsupply.com/collections/hvac/products/ritchie-yellow-jacket-60430-lightweight-swaging-flaring-tool")</f>
        <v>https://edmondsonsupply.com/collections/hvac/products/ritchie-yellow-jacket-60430-lightweight-swaging-flaring-tool</v>
      </c>
      <c r="B1151" s="3" t="str">
        <f>HYPERLINK("https://edmondsonsupply.com/products/ritchie-yellow-jacket-60430-lightweight-swaging-flaring-tool", "https://edmondsonsupply.com/products/ritchie-yellow-jacket-60430-lightweight-swaging-flaring-tool")</f>
        <v>https://edmondsonsupply.com/products/ritchie-yellow-jacket-60430-lightweight-swaging-flaring-tool</v>
      </c>
      <c r="C1151" t="s">
        <v>3016</v>
      </c>
      <c r="D1151" t="s">
        <v>2747</v>
      </c>
      <c r="E1151" s="3" t="str">
        <f>HYPERLINK("https://www.amazon.com/60431-Lightweight-Swaging-Flaring-Standard/dp/B072KKW9QG/ref=sr_1_3?keywords=Yellow+Jacket+60430+Lightweight+Swaging%2FFlaring+Tool&amp;qid=1695173442&amp;sr=8-3", "https://www.amazon.com/60431-Lightweight-Swaging-Flaring-Standard/dp/B072KKW9QG/ref=sr_1_3?keywords=Yellow+Jacket+60430+Lightweight+Swaging%2FFlaring+Tool&amp;qid=1695173442&amp;sr=8-3")</f>
        <v>https://www.amazon.com/60431-Lightweight-Swaging-Flaring-Standard/dp/B072KKW9QG/ref=sr_1_3?keywords=Yellow+Jacket+60430+Lightweight+Swaging%2FFlaring+Tool&amp;qid=1695173442&amp;sr=8-3</v>
      </c>
      <c r="F1151" t="s">
        <v>2748</v>
      </c>
      <c r="G1151" t="e">
        <f ca="1">_xludf.IMAGE("https://edmondsonsupply.com/cdn/shop/products/s-l1600_97b6f076-8c6a-4e71-922a-495c14cf32c8.jpg?v=1638145595")</f>
        <v>#NAME?</v>
      </c>
      <c r="H1151" t="e">
        <f ca="1">_xludf.IMAGE("https://m.media-amazon.com/images/I/71f84sE8e-L._AC_UL320_.jpg")</f>
        <v>#NAME?</v>
      </c>
      <c r="I1151" t="s">
        <v>3017</v>
      </c>
      <c r="J1151">
        <v>346.87</v>
      </c>
      <c r="K1151" s="4">
        <v>0.57350000000000001</v>
      </c>
      <c r="L1151">
        <v>5</v>
      </c>
      <c r="M1151">
        <v>3</v>
      </c>
      <c r="O1151" t="s">
        <v>25</v>
      </c>
      <c r="P1151" t="s">
        <v>138</v>
      </c>
      <c r="Q1151" t="s">
        <v>3018</v>
      </c>
    </row>
    <row r="1152" spans="1:17" ht="15.5" x14ac:dyDescent="0.35">
      <c r="A1152" s="3" t="str">
        <f>HYPERLINK("https://edmondsonsupply.com/collections/hvac/products/nu-calgon-4372-24-triclean-2x-coil-cleaner-1-quart", "https://edmondsonsupply.com/collections/hvac/products/nu-calgon-4372-24-triclean-2x-coil-cleaner-1-quart")</f>
        <v>https://edmondsonsupply.com/collections/hvac/products/nu-calgon-4372-24-triclean-2x-coil-cleaner-1-quart</v>
      </c>
      <c r="B1152" s="3" t="str">
        <f>HYPERLINK("https://edmondsonsupply.com/products/nu-calgon-4372-24-triclean-2x-coil-cleaner-1-quart", "https://edmondsonsupply.com/products/nu-calgon-4372-24-triclean-2x-coil-cleaner-1-quart")</f>
        <v>https://edmondsonsupply.com/products/nu-calgon-4372-24-triclean-2x-coil-cleaner-1-quart</v>
      </c>
      <c r="C1152" t="s">
        <v>2048</v>
      </c>
      <c r="D1152" t="s">
        <v>3019</v>
      </c>
      <c r="E1152" s="3" t="str">
        <f>HYPERLINK("https://www.amazon.com/TriClean-Concentrate-Coil-Cleaner-Connector/dp/B01FCABBQO/ref=sr_1_4?keywords=Nu-Calgon+4372-24+TriClean+2x+Coil+Cleaner%2C+1+quart&amp;qid=1695173434&amp;sr=8-4", "https://www.amazon.com/TriClean-Concentrate-Coil-Cleaner-Connector/dp/B01FCABBQO/ref=sr_1_4?keywords=Nu-Calgon+4372-24+TriClean+2x+Coil+Cleaner%2C+1+quart&amp;qid=1695173434&amp;sr=8-4")</f>
        <v>https://www.amazon.com/TriClean-Concentrate-Coil-Cleaner-Connector/dp/B01FCABBQO/ref=sr_1_4?keywords=Nu-Calgon+4372-24+TriClean+2x+Coil+Cleaner%2C+1+quart&amp;qid=1695173434&amp;sr=8-4</v>
      </c>
      <c r="F1152" t="s">
        <v>3020</v>
      </c>
      <c r="G1152" t="e">
        <f ca="1">_xludf.IMAGE("https://edmondsonsupply.com/cdn/shop/products/4372-24.jpg?v=1658873195")</f>
        <v>#NAME?</v>
      </c>
      <c r="H1152" t="e">
        <f ca="1">_xludf.IMAGE("https://m.media-amazon.com/images/I/31wneIxbHyL._AC_UL320_.jpg")</f>
        <v>#NAME?</v>
      </c>
      <c r="I1152" t="s">
        <v>2051</v>
      </c>
      <c r="J1152">
        <v>36.619999999999997</v>
      </c>
      <c r="K1152" s="4">
        <v>0.57230000000000003</v>
      </c>
      <c r="L1152">
        <v>5</v>
      </c>
      <c r="M1152">
        <v>1</v>
      </c>
      <c r="O1152" t="s">
        <v>25</v>
      </c>
      <c r="P1152" t="s">
        <v>2052</v>
      </c>
      <c r="Q1152" t="s">
        <v>2053</v>
      </c>
    </row>
    <row r="1153" spans="1:17" ht="15.5" x14ac:dyDescent="0.35">
      <c r="A1153" s="3" t="str">
        <f>HYPERLINK("https://edmondsonsupply.com/collections/hvac/products/icm-controls-icm255-fan-blower-control-board-replacement-for-rheem-ruud", "https://edmondsonsupply.com/collections/hvac/products/icm-controls-icm255-fan-blower-control-board-replacement-for-rheem-ruud")</f>
        <v>https://edmondsonsupply.com/collections/hvac/products/icm-controls-icm255-fan-blower-control-board-replacement-for-rheem-ruud</v>
      </c>
      <c r="B1153" s="3" t="str">
        <f>HYPERLINK("https://edmondsonsupply.com/products/icm-controls-icm255-fan-blower-control-board-replacement-for-rheem-ruud", "https://edmondsonsupply.com/products/icm-controls-icm255-fan-blower-control-board-replacement-for-rheem-ruud")</f>
        <v>https://edmondsonsupply.com/products/icm-controls-icm255-fan-blower-control-board-replacement-for-rheem-ruud</v>
      </c>
      <c r="C1153" t="s">
        <v>3021</v>
      </c>
      <c r="D1153" t="s">
        <v>3022</v>
      </c>
      <c r="E1153" s="3" t="str">
        <f>HYPERLINK("https://www.amazon.com/ICM-Controls-ICM273-Replacement-240000-969/dp/B004I55GTI/ref=sr_1_5?keywords=ICM+Controls+ICM255+Fan+Blower+Control+Board+-+Replacement+for+Rheem%2FRuud&amp;qid=1695173411&amp;sr=8-5", "https://www.amazon.com/ICM-Controls-ICM273-Replacement-240000-969/dp/B004I55GTI/ref=sr_1_5?keywords=ICM+Controls+ICM255+Fan+Blower+Control+Board+-+Replacement+for+Rheem%2FRuud&amp;qid=1695173411&amp;sr=8-5")</f>
        <v>https://www.amazon.com/ICM-Controls-ICM273-Replacement-240000-969/dp/B004I55GTI/ref=sr_1_5?keywords=ICM+Controls+ICM255+Fan+Blower+Control+Board+-+Replacement+for+Rheem%2FRuud&amp;qid=1695173411&amp;sr=8-5</v>
      </c>
      <c r="F1153" t="s">
        <v>3023</v>
      </c>
      <c r="G1153" t="e">
        <f ca="1">_xludf.IMAGE("https://edmondsonsupply.com/cdn/shop/products/ICM255.png?v=1633030945")</f>
        <v>#NAME?</v>
      </c>
      <c r="H1153" t="e">
        <f ca="1">_xludf.IMAGE("https://m.media-amazon.com/images/I/61nv2wT3F+L._AC_UL320_.jpg")</f>
        <v>#NAME?</v>
      </c>
      <c r="I1153" t="s">
        <v>1589</v>
      </c>
      <c r="J1153">
        <v>36.130000000000003</v>
      </c>
      <c r="K1153" s="4">
        <v>0.5716</v>
      </c>
      <c r="L1153">
        <v>5</v>
      </c>
      <c r="M1153">
        <v>2</v>
      </c>
      <c r="O1153" t="s">
        <v>25</v>
      </c>
      <c r="P1153" t="s">
        <v>3024</v>
      </c>
      <c r="Q1153" t="s">
        <v>3025</v>
      </c>
    </row>
    <row r="1154" spans="1:17" ht="15.5" x14ac:dyDescent="0.35">
      <c r="A1154"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154" s="3" t="str">
        <f>HYPERLINK("https://edmondsonsupply.com/products/klein-tools-jth4e17-1-2-inch-hex-key-journeyman-t-handle-4-inch", "https://edmondsonsupply.com/products/klein-tools-jth4e17-1-2-inch-hex-key-journeyman-t-handle-4-inch")</f>
        <v>https://edmondsonsupply.com/products/klein-tools-jth4e17-1-2-inch-hex-key-journeyman-t-handle-4-inch</v>
      </c>
      <c r="C1154" t="s">
        <v>2385</v>
      </c>
      <c r="D1154" t="s">
        <v>3026</v>
      </c>
      <c r="E1154" s="3" t="str">
        <f>HYPERLINK("https://www.amazon.com/Journeyman-T-Handle-Klein-Tools-JTH9M4/dp/B005G3HJ8M/ref=sr_1_9?keywords=Klein+Tools+JTH4E11+3%2F16-Inch+Hex+Key+with+Journeyman+T-Handle%2C+4-Inch&amp;qid=1695173548&amp;sr=8-9", "https://www.amazon.com/Journeyman-T-Handle-Klein-Tools-JTH9M4/dp/B005G3HJ8M/ref=sr_1_9?keywords=Klein+Tools+JTH4E11+3%2F16-Inch+Hex+Key+with+Journeyman+T-Handle%2C+4-Inch&amp;qid=1695173548&amp;sr=8-9")</f>
        <v>https://www.amazon.com/Journeyman-T-Handle-Klein-Tools-JTH9M4/dp/B005G3HJ8M/ref=sr_1_9?keywords=Klein+Tools+JTH4E11+3%2F16-Inch+Hex+Key+with+Journeyman+T-Handle%2C+4-Inch&amp;qid=1695173548&amp;sr=8-9</v>
      </c>
      <c r="F1154" t="s">
        <v>3027</v>
      </c>
      <c r="G1154" t="e">
        <f ca="1">_xludf.IMAGE("https://edmondsonsupply.com/cdn/shop/products/jth4e17.jpg?v=1587144836")</f>
        <v>#NAME?</v>
      </c>
      <c r="H1154" t="e">
        <f ca="1">_xludf.IMAGE("https://m.media-amazon.com/images/I/51+1x0vz9XL._AC_UL320_.jpg")</f>
        <v>#NAME?</v>
      </c>
      <c r="I1154" t="s">
        <v>2388</v>
      </c>
      <c r="J1154">
        <v>7.84</v>
      </c>
      <c r="K1154" s="4">
        <v>0.57110000000000005</v>
      </c>
      <c r="L1154">
        <v>4.5999999999999996</v>
      </c>
      <c r="M1154">
        <v>135</v>
      </c>
      <c r="O1154" t="s">
        <v>25</v>
      </c>
      <c r="P1154" t="s">
        <v>2389</v>
      </c>
      <c r="Q1154" t="s">
        <v>2390</v>
      </c>
    </row>
    <row r="1155" spans="1:17" ht="15.5" x14ac:dyDescent="0.35">
      <c r="A1155" s="3" t="str">
        <f>HYPERLINK("https://edmondsonsupply.com/collections/hvac/products/packard-prmj108-motor-start-capacitor-108-130-mfd-330-volt", "https://edmondsonsupply.com/collections/hvac/products/packard-prmj108-motor-start-capacitor-108-130-mfd-330-volt")</f>
        <v>https://edmondsonsupply.com/collections/hvac/products/packard-prmj108-motor-start-capacitor-108-130-mfd-330-volt</v>
      </c>
      <c r="B1155" s="3" t="str">
        <f>HYPERLINK("https://edmondsonsupply.com/products/packard-prmj108-motor-start-capacitor-108-130-mfd-330-volt", "https://edmondsonsupply.com/products/packard-prmj108-motor-start-capacitor-108-130-mfd-330-volt")</f>
        <v>https://edmondsonsupply.com/products/packard-prmj108-motor-start-capacitor-108-130-mfd-330-volt</v>
      </c>
      <c r="C1155" t="s">
        <v>1636</v>
      </c>
      <c r="D1155" t="s">
        <v>3028</v>
      </c>
      <c r="E1155" s="3" t="str">
        <f>HYPERLINK("https://www.amazon.com/PMJ108-Packard-Aftermarket-Replacement-Capacitor/dp/B00IWYE5P2/ref=sr_1_8?keywords=Packard+PRMJ108+Motor+Start+Capacitor+108-130+MFD+330+Volt&amp;qid=1695173650&amp;sr=8-8", "https://www.amazon.com/PMJ108-Packard-Aftermarket-Replacement-Capacitor/dp/B00IWYE5P2/ref=sr_1_8?keywords=Packard+PRMJ108+Motor+Start+Capacitor+108-130+MFD+330+Volt&amp;qid=1695173650&amp;sr=8-8")</f>
        <v>https://www.amazon.com/PMJ108-Packard-Aftermarket-Replacement-Capacitor/dp/B00IWYE5P2/ref=sr_1_8?keywords=Packard+PRMJ108+Motor+Start+Capacitor+108-130+MFD+330+Volt&amp;qid=1695173650&amp;sr=8-8</v>
      </c>
      <c r="F1155" t="s">
        <v>3029</v>
      </c>
      <c r="G1155" t="e">
        <f ca="1">_xludf.IMAGE("https://edmondsonsupply.com/cdn/shop/products/PRMJ108-2.jpg?v=1633030309")</f>
        <v>#NAME?</v>
      </c>
      <c r="H1155" t="e">
        <f ca="1">_xludf.IMAGE("https://m.media-amazon.com/images/I/411oKZNAihL._AC_UY218_.jpg")</f>
        <v>#NAME?</v>
      </c>
      <c r="I1155" t="s">
        <v>1476</v>
      </c>
      <c r="J1155">
        <v>6.89</v>
      </c>
      <c r="K1155" s="4">
        <v>0.56950000000000001</v>
      </c>
      <c r="L1155">
        <v>4.4000000000000004</v>
      </c>
      <c r="M1155">
        <v>74</v>
      </c>
      <c r="O1155" t="s">
        <v>25</v>
      </c>
      <c r="P1155" t="s">
        <v>138</v>
      </c>
      <c r="Q1155" t="s">
        <v>1639</v>
      </c>
    </row>
    <row r="1156" spans="1:17" ht="15.5" x14ac:dyDescent="0.35">
      <c r="A1156" s="3" t="str">
        <f>HYPERLINK("https://edmondsonsupply.com/collections/hvac/products/klein-tools-610-stubby-nut-driver-set-1-1-2-inch-shafts-2-piece", "https://edmondsonsupply.com/collections/hvac/products/klein-tools-610-stubby-nut-driver-set-1-1-2-inch-shafts-2-piece")</f>
        <v>https://edmondsonsupply.com/collections/hvac/products/klein-tools-610-stubby-nut-driver-set-1-1-2-inch-shafts-2-piece</v>
      </c>
      <c r="B1156" s="3" t="str">
        <f>HYPERLINK("https://edmondsonsupply.com/products/klein-tools-610-stubby-nut-driver-set-1-1-2-inch-shafts-2-piece", "https://edmondsonsupply.com/products/klein-tools-610-stubby-nut-driver-set-1-1-2-inch-shafts-2-piece")</f>
        <v>https://edmondsonsupply.com/products/klein-tools-610-stubby-nut-driver-set-1-1-2-inch-shafts-2-piece</v>
      </c>
      <c r="C1156" t="s">
        <v>3030</v>
      </c>
      <c r="D1156" t="s">
        <v>1894</v>
      </c>
      <c r="E1156" s="3" t="str">
        <f>HYPERLINK("https://www.amazon.com/Magnetic-16-Inch-Klein-Tools-646M/dp/B000936QV0/ref=sr_1_7?keywords=Klein+Tools+610+Stubby+Nut+Driver+Set+1-1%2F2-Inch+Shafts+2-Piece&amp;qid=1695173671&amp;sr=8-7", "https://www.amazon.com/Magnetic-16-Inch-Klein-Tools-646M/dp/B000936QV0/ref=sr_1_7?keywords=Klein+Tools+610+Stubby+Nut+Driver+Set+1-1%2F2-Inch+Shafts+2-Piece&amp;qid=1695173671&amp;sr=8-7")</f>
        <v>https://www.amazon.com/Magnetic-16-Inch-Klein-Tools-646M/dp/B000936QV0/ref=sr_1_7?keywords=Klein+Tools+610+Stubby+Nut+Driver+Set+1-1%2F2-Inch+Shafts+2-Piece&amp;qid=1695173671&amp;sr=8-7</v>
      </c>
      <c r="F1156" t="s">
        <v>1895</v>
      </c>
      <c r="G1156" t="e">
        <f ca="1">_xludf.IMAGE("https://edmondsonsupply.com/cdn/shop/products/610m_169714eb-6816-4f42-aa86-ea17ea5fcbbb.jpg?v=1633030110")</f>
        <v>#NAME?</v>
      </c>
      <c r="H1156" t="e">
        <f ca="1">_xludf.IMAGE("https://m.media-amazon.com/images/I/41lkJ6KRq9L._AC_UL320_.jpg")</f>
        <v>#NAME?</v>
      </c>
      <c r="I1156" t="s">
        <v>252</v>
      </c>
      <c r="J1156">
        <v>24.99</v>
      </c>
      <c r="K1156" s="4">
        <v>0.56289999999999996</v>
      </c>
      <c r="L1156">
        <v>4.8</v>
      </c>
      <c r="M1156">
        <v>1654</v>
      </c>
      <c r="O1156" t="s">
        <v>25</v>
      </c>
      <c r="P1156" t="s">
        <v>3031</v>
      </c>
      <c r="Q1156" t="s">
        <v>3032</v>
      </c>
    </row>
    <row r="1157" spans="1:17" ht="15.5" x14ac:dyDescent="0.35">
      <c r="A1157" s="3" t="str">
        <f>HYPERLINK("https://edmondsonsupply.com/collections/hvac/products/nu-calgon-4290-75-nu-blast-aerosol-coil-cleaner", "https://edmondsonsupply.com/collections/hvac/products/nu-calgon-4290-75-nu-blast-aerosol-coil-cleaner")</f>
        <v>https://edmondsonsupply.com/collections/hvac/products/nu-calgon-4290-75-nu-blast-aerosol-coil-cleaner</v>
      </c>
      <c r="B1157" s="3" t="str">
        <f>HYPERLINK("https://edmondsonsupply.com/products/nu-calgon-4290-75-nu-blast-aerosol-coil-cleaner", "https://edmondsonsupply.com/products/nu-calgon-4290-75-nu-blast-aerosol-coil-cleaner")</f>
        <v>https://edmondsonsupply.com/products/nu-calgon-4290-75-nu-blast-aerosol-coil-cleaner</v>
      </c>
      <c r="C1157" t="s">
        <v>3033</v>
      </c>
      <c r="D1157" t="s">
        <v>3034</v>
      </c>
      <c r="E1157" s="3" t="str">
        <f>HYPERLINK("https://www.amazon.com/Nu-Calgon-4290-75-18-ounce-Condenser/dp/B00HWMXGZA/ref=sr_1_1?keywords=Nu-Calgon+4290-75+Nu-Blast+Aerosol+Coil+Cleaner&amp;qid=1695173437&amp;sr=8-1", "https://www.amazon.com/Nu-Calgon-4290-75-18-ounce-Condenser/dp/B00HWMXGZA/ref=sr_1_1?keywords=Nu-Calgon+4290-75+Nu-Blast+Aerosol+Coil+Cleaner&amp;qid=1695173437&amp;sr=8-1")</f>
        <v>https://www.amazon.com/Nu-Calgon-4290-75-18-ounce-Condenser/dp/B00HWMXGZA/ref=sr_1_1?keywords=Nu-Calgon+4290-75+Nu-Blast+Aerosol+Coil+Cleaner&amp;qid=1695173437&amp;sr=8-1</v>
      </c>
      <c r="F1157" t="s">
        <v>3035</v>
      </c>
      <c r="G1157" t="e">
        <f ca="1">_xludf.IMAGE("https://edmondsonsupply.com/cdn/shop/products/4290-75.jpg?v=1659464661")</f>
        <v>#NAME?</v>
      </c>
      <c r="H1157" t="e">
        <f ca="1">_xludf.IMAGE("https://m.media-amazon.com/images/I/61bCRHvoBRL._AC_UL320_.jpg")</f>
        <v>#NAME?</v>
      </c>
      <c r="I1157" t="s">
        <v>3036</v>
      </c>
      <c r="J1157">
        <v>29.35</v>
      </c>
      <c r="K1157" s="4">
        <v>0.56200000000000006</v>
      </c>
      <c r="L1157">
        <v>4.2</v>
      </c>
      <c r="M1157">
        <v>49</v>
      </c>
      <c r="O1157" t="s">
        <v>25</v>
      </c>
      <c r="P1157" t="s">
        <v>1794</v>
      </c>
      <c r="Q1157" t="s">
        <v>3037</v>
      </c>
    </row>
    <row r="1158" spans="1:17" ht="15.5" x14ac:dyDescent="0.35">
      <c r="A1158" s="3" t="str">
        <f>HYPERLINK("https://edmondsonsupply.com/collections/hvac/products/channellock-8wcb", "https://edmondsonsupply.com/collections/hvac/products/channellock-8wcb")</f>
        <v>https://edmondsonsupply.com/collections/hvac/products/channellock-8wcb</v>
      </c>
      <c r="B1158" s="3" t="str">
        <f>HYPERLINK("https://edmondsonsupply.com/products/channellock-8wcb", "https://edmondsonsupply.com/products/channellock-8wcb")</f>
        <v>https://edmondsonsupply.com/products/channellock-8wcb</v>
      </c>
      <c r="C1158" t="s">
        <v>3038</v>
      </c>
      <c r="D1158" t="s">
        <v>3039</v>
      </c>
      <c r="E1158" s="3" t="str">
        <f>HYPERLINK("https://www.amazon.com/Channellock-Adjustable-Wrenches-140-6Wcb-Bulk-adjustable/dp/B002FCM5AE/ref=sr_1_5?keywords=Channellock+8WCB+8%22+Code+Blue+WIDEAZZ+Adjustable+Wrench&amp;qid=1695173646&amp;sr=8-5", "https://www.amazon.com/Channellock-Adjustable-Wrenches-140-6Wcb-Bulk-adjustable/dp/B002FCM5AE/ref=sr_1_5?keywords=Channellock+8WCB+8%22+Code+Blue+WIDEAZZ+Adjustable+Wrench&amp;qid=1695173646&amp;sr=8-5")</f>
        <v>https://www.amazon.com/Channellock-Adjustable-Wrenches-140-6Wcb-Bulk-adjustable/dp/B002FCM5AE/ref=sr_1_5?keywords=Channellock+8WCB+8%22+Code+Blue+WIDEAZZ+Adjustable+Wrench&amp;qid=1695173646&amp;sr=8-5</v>
      </c>
      <c r="F1158" t="s">
        <v>3040</v>
      </c>
      <c r="G1158" t="e">
        <f ca="1">_xludf.IMAGE("https://edmondsonsupply.com/cdn/shop/products/8WCB-683x1024.jpg?v=1633030324")</f>
        <v>#NAME?</v>
      </c>
      <c r="H1158" t="e">
        <f ca="1">_xludf.IMAGE("https://m.media-amazon.com/images/I/31meoqqeFSL._AC_UL320_.jpg")</f>
        <v>#NAME?</v>
      </c>
      <c r="I1158" t="s">
        <v>3041</v>
      </c>
      <c r="J1158">
        <v>49.67</v>
      </c>
      <c r="K1158" s="4">
        <v>0.55459999999999998</v>
      </c>
      <c r="L1158">
        <v>4.8</v>
      </c>
      <c r="M1158">
        <v>3</v>
      </c>
      <c r="O1158" t="s">
        <v>25</v>
      </c>
      <c r="P1158" t="s">
        <v>3042</v>
      </c>
      <c r="Q1158" t="s">
        <v>3043</v>
      </c>
    </row>
    <row r="1159" spans="1:17" ht="15.5" x14ac:dyDescent="0.35">
      <c r="A1159" s="3" t="str">
        <f>HYPERLINK("https://edmondsonsupply.com/collections/hvac/products/sensible-products-oth-1-one-trip-hook", "https://edmondsonsupply.com/collections/hvac/products/sensible-products-oth-1-one-trip-hook")</f>
        <v>https://edmondsonsupply.com/collections/hvac/products/sensible-products-oth-1-one-trip-hook</v>
      </c>
      <c r="B1159" s="3" t="str">
        <f>HYPERLINK("https://edmondsonsupply.com/products/sensible-products-oth-1-one-trip-hook", "https://edmondsonsupply.com/products/sensible-products-oth-1-one-trip-hook")</f>
        <v>https://edmondsonsupply.com/products/sensible-products-oth-1-one-trip-hook</v>
      </c>
      <c r="C1159" t="s">
        <v>3044</v>
      </c>
      <c r="D1159" t="s">
        <v>3045</v>
      </c>
      <c r="E1159" s="3" t="str">
        <f>HYPERLINK("https://www.amazon.com/Supplying-Demand-OTH-1-Trip-Control/dp/B097Z8THWF/ref=sr_1_2?keywords=Sensible+Products+OTH-1+One+Trip+Hook&amp;qid=1695173483&amp;sr=8-2", "https://www.amazon.com/Supplying-Demand-OTH-1-Trip-Control/dp/B097Z8THWF/ref=sr_1_2?keywords=Sensible+Products+OTH-1+One+Trip+Hook&amp;qid=1695173483&amp;sr=8-2")</f>
        <v>https://www.amazon.com/Supplying-Demand-OTH-1-Trip-Control/dp/B097Z8THWF/ref=sr_1_2?keywords=Sensible+Products+OTH-1+One+Trip+Hook&amp;qid=1695173483&amp;sr=8-2</v>
      </c>
      <c r="F1159" t="s">
        <v>3046</v>
      </c>
      <c r="G1159" t="e">
        <f ca="1">_xludf.IMAGE("https://edmondsonsupply.com/cdn/shop/products/OTH-1-2.jpg?v=1587142433")</f>
        <v>#NAME?</v>
      </c>
      <c r="H1159" t="e">
        <f ca="1">_xludf.IMAGE("https://m.media-amazon.com/images/I/71j60N9KLkL._AC_UL320_.jpg")</f>
        <v>#NAME?</v>
      </c>
      <c r="I1159" t="s">
        <v>3047</v>
      </c>
      <c r="J1159">
        <v>40.99</v>
      </c>
      <c r="K1159" s="4">
        <v>0.55320000000000003</v>
      </c>
      <c r="L1159">
        <v>4.5999999999999996</v>
      </c>
      <c r="M1159">
        <v>9</v>
      </c>
      <c r="O1159" t="s">
        <v>25</v>
      </c>
      <c r="P1159" t="s">
        <v>138</v>
      </c>
      <c r="Q1159" t="s">
        <v>3048</v>
      </c>
    </row>
    <row r="1160" spans="1:17" ht="15.5" x14ac:dyDescent="0.35">
      <c r="A1160" s="3" t="str">
        <f>HYPERLINK("https://edmondsonsupply.com/collections/hvac/products/klein-tools-et20-wifi-borescope-inspection-camera", "https://edmondsonsupply.com/collections/hvac/products/klein-tools-et20-wifi-borescope-inspection-camera")</f>
        <v>https://edmondsonsupply.com/collections/hvac/products/klein-tools-et20-wifi-borescope-inspection-camera</v>
      </c>
      <c r="B1160" s="3" t="str">
        <f>HYPERLINK("https://edmondsonsupply.com/products/klein-tools-et20-wifi-borescope-inspection-camera", "https://edmondsonsupply.com/products/klein-tools-et20-wifi-borescope-inspection-camera")</f>
        <v>https://edmondsonsupply.com/products/klein-tools-et20-wifi-borescope-inspection-camera</v>
      </c>
      <c r="C1160" t="s">
        <v>3049</v>
      </c>
      <c r="D1160" t="s">
        <v>3050</v>
      </c>
      <c r="E1160" s="3" t="str">
        <f>HYPERLINK("https://www.amazon.com/Klein-Tools-Borescope-Inspection-Accessories/dp/B0BGJ6GM38/ref=sr_1_2?keywords=Klein+Tools+ET20+WiFi+Borescope+Inspection+Camera&amp;qid=1695173685&amp;sr=8-2", "https://www.amazon.com/Klein-Tools-Borescope-Inspection-Accessories/dp/B0BGJ6GM38/ref=sr_1_2?keywords=Klein+Tools+ET20+WiFi+Borescope+Inspection+Camera&amp;qid=1695173685&amp;sr=8-2")</f>
        <v>https://www.amazon.com/Klein-Tools-Borescope-Inspection-Accessories/dp/B0BGJ6GM38/ref=sr_1_2?keywords=Klein+Tools+ET20+WiFi+Borescope+Inspection+Camera&amp;qid=1695173685&amp;sr=8-2</v>
      </c>
      <c r="F1160" t="s">
        <v>3051</v>
      </c>
      <c r="G1160" t="e">
        <f ca="1">_xludf.IMAGE("https://edmondsonsupply.com/cdn/shop/products/et20.jpg?v=1587143169")</f>
        <v>#NAME?</v>
      </c>
      <c r="H1160" t="e">
        <f ca="1">_xludf.IMAGE("https://m.media-amazon.com/images/I/51yUa-rPATL._AC_UY218_.jpg")</f>
        <v>#NAME?</v>
      </c>
      <c r="I1160" t="s">
        <v>2224</v>
      </c>
      <c r="J1160">
        <v>154.97999999999999</v>
      </c>
      <c r="K1160" s="4">
        <v>0.55000000000000004</v>
      </c>
      <c r="L1160">
        <v>5</v>
      </c>
      <c r="M1160">
        <v>1</v>
      </c>
      <c r="O1160" t="s">
        <v>25</v>
      </c>
      <c r="P1160" t="s">
        <v>3052</v>
      </c>
      <c r="Q1160" t="s">
        <v>3053</v>
      </c>
    </row>
    <row r="1161" spans="1:17" ht="15.5" x14ac:dyDescent="0.35">
      <c r="A1161" s="3" t="str">
        <f>HYPERLINK("https://edmondsonsupply.com/collections/hvac/products/robertshaw-rs9220", "https://edmondsonsupply.com/collections/hvac/products/robertshaw-rs9220")</f>
        <v>https://edmondsonsupply.com/collections/hvac/products/robertshaw-rs9220</v>
      </c>
      <c r="B1161" s="3" t="str">
        <f>HYPERLINK("https://edmondsonsupply.com/products/robertshaw-rs9220", "https://edmondsonsupply.com/products/robertshaw-rs9220")</f>
        <v>https://edmondsonsupply.com/products/robertshaw-rs9220</v>
      </c>
      <c r="C1161" t="s">
        <v>2990</v>
      </c>
      <c r="D1161" t="s">
        <v>3054</v>
      </c>
      <c r="E1161" s="3" t="str">
        <f>HYPERLINK("https://www.amazon.com/Robertshaw-Programmable-Touchscreen-Multi-Stage-Conventional/dp/B00U5CB7TG/ref=sr_1_4?keywords=Robertshaw+RS9220+Programmable+Wall+Thermostat%2C+Multi-Stage+-+2+Heat+%2F+2+Cool&amp;qid=1695173696&amp;sr=8-4", "https://www.amazon.com/Robertshaw-Programmable-Touchscreen-Multi-Stage-Conventional/dp/B00U5CB7TG/ref=sr_1_4?keywords=Robertshaw+RS9220+Programmable+Wall+Thermostat%2C+Multi-Stage+-+2+Heat+%2F+2+Cool&amp;qid=1695173696&amp;sr=8-4")</f>
        <v>https://www.amazon.com/Robertshaw-Programmable-Touchscreen-Multi-Stage-Conventional/dp/B00U5CB7TG/ref=sr_1_4?keywords=Robertshaw+RS9220+Programmable+Wall+Thermostat%2C+Multi-Stage+-+2+Heat+%2F+2+Cool&amp;qid=1695173696&amp;sr=8-4</v>
      </c>
      <c r="F1161" t="s">
        <v>3055</v>
      </c>
      <c r="G1161" t="e">
        <f ca="1">_xludf.IMAGE("https://edmondsonsupply.com/cdn/shop/files/67652dc9-4ca4-4b9c-987a-a2c62c95b630.jpg?v=1693935585")</f>
        <v>#NAME?</v>
      </c>
      <c r="H1161" t="e">
        <f ca="1">_xludf.IMAGE("https://m.media-amazon.com/images/I/71J5tZZs0hL._AC_UL320_.jpg")</f>
        <v>#NAME?</v>
      </c>
      <c r="I1161" t="s">
        <v>2993</v>
      </c>
      <c r="J1161">
        <v>72.5</v>
      </c>
      <c r="K1161" s="4">
        <v>0.54120000000000001</v>
      </c>
      <c r="L1161">
        <v>3.8</v>
      </c>
      <c r="M1161">
        <v>8</v>
      </c>
      <c r="O1161" t="s">
        <v>25</v>
      </c>
      <c r="P1161" t="s">
        <v>138</v>
      </c>
      <c r="Q1161" t="s">
        <v>2994</v>
      </c>
    </row>
    <row r="1162" spans="1:17" ht="15.5" x14ac:dyDescent="0.35">
      <c r="A1162"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1162" s="3" t="str">
        <f>HYPERLINK("https://edmondsonsupply.com/products/midwest-mwt-6510l-left-offset-aviation-snip", "https://edmondsonsupply.com/products/midwest-mwt-6510l-left-offset-aviation-snip")</f>
        <v>https://edmondsonsupply.com/products/midwest-mwt-6510l-left-offset-aviation-snip</v>
      </c>
      <c r="C1162" t="s">
        <v>2023</v>
      </c>
      <c r="D1162" t="s">
        <v>215</v>
      </c>
      <c r="E1162" s="3" t="str">
        <f>HYPERLINK("https://www.amazon.com/MIDWEST-Aviation-Snip-KUSHN-POWER-MWT-SS6510R/dp/B00OMSVOZ6/ref=sr_1_9?keywords=Midwest+MWT-6510L+Left+Offset+Aviation+Snip&amp;qid=1695173407&amp;sr=8-9", "https://www.amazon.com/MIDWEST-Aviation-Snip-KUSHN-POWER-MWT-SS6510R/dp/B00OMSVOZ6/ref=sr_1_9?keywords=Midwest+MWT-6510L+Left+Offset+Aviation+Snip&amp;qid=1695173407&amp;sr=8-9")</f>
        <v>https://www.amazon.com/MIDWEST-Aviation-Snip-KUSHN-POWER-MWT-SS6510R/dp/B00OMSVOZ6/ref=sr_1_9?keywords=Midwest+MWT-6510L+Left+Offset+Aviation+Snip&amp;qid=1695173407&amp;sr=8-9</v>
      </c>
      <c r="F1162" t="s">
        <v>216</v>
      </c>
      <c r="G1162" t="e">
        <f ca="1">_xludf.IMAGE("https://edmondsonsupply.com/cdn/shop/products/mwt-6510l.png?v=1587142880")</f>
        <v>#NAME?</v>
      </c>
      <c r="H1162" t="e">
        <f ca="1">_xludf.IMAGE("https://m.media-amazon.com/images/I/6111Xzz5-TL._AC_UL320_.jpg")</f>
        <v>#NAME?</v>
      </c>
      <c r="I1162" t="s">
        <v>362</v>
      </c>
      <c r="J1162">
        <v>39.99</v>
      </c>
      <c r="K1162" s="4">
        <v>0.53869999999999996</v>
      </c>
      <c r="L1162">
        <v>4.3</v>
      </c>
      <c r="M1162">
        <v>99</v>
      </c>
      <c r="O1162" t="s">
        <v>25</v>
      </c>
      <c r="P1162" t="s">
        <v>260</v>
      </c>
      <c r="Q1162" t="s">
        <v>2026</v>
      </c>
    </row>
    <row r="1163" spans="1:17" ht="15.5" x14ac:dyDescent="0.35">
      <c r="A1163"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1163" s="3" t="str">
        <f>HYPERLINK("https://edmondsonsupply.com/products/midwest-mwt-6510l-left-offset-aviation-snip", "https://edmondsonsupply.com/products/midwest-mwt-6510l-left-offset-aviation-snip")</f>
        <v>https://edmondsonsupply.com/products/midwest-mwt-6510l-left-offset-aviation-snip</v>
      </c>
      <c r="C1163" t="s">
        <v>2023</v>
      </c>
      <c r="D1163" t="s">
        <v>3056</v>
      </c>
      <c r="E1163" s="3" t="str">
        <f>HYPERLINK("https://www.amazon.com/Midwest-P6510L-Forged-Offset-Aviation/dp/B002NGR71E/ref=sr_1_10?keywords=Midwest+MWT-6510L+Left+Offset+Aviation+Snip&amp;qid=1695173407&amp;sr=8-10", "https://www.amazon.com/Midwest-P6510L-Forged-Offset-Aviation/dp/B002NGR71E/ref=sr_1_10?keywords=Midwest+MWT-6510L+Left+Offset+Aviation+Snip&amp;qid=1695173407&amp;sr=8-10")</f>
        <v>https://www.amazon.com/Midwest-P6510L-Forged-Offset-Aviation/dp/B002NGR71E/ref=sr_1_10?keywords=Midwest+MWT-6510L+Left+Offset+Aviation+Snip&amp;qid=1695173407&amp;sr=8-10</v>
      </c>
      <c r="F1163" t="s">
        <v>3057</v>
      </c>
      <c r="G1163" t="e">
        <f ca="1">_xludf.IMAGE("https://edmondsonsupply.com/cdn/shop/products/mwt-6510l.png?v=1587142880")</f>
        <v>#NAME?</v>
      </c>
      <c r="H1163" t="e">
        <f ca="1">_xludf.IMAGE("https://m.media-amazon.com/images/I/51IeTByC8cL._AC_UL320_.jpg")</f>
        <v>#NAME?</v>
      </c>
      <c r="I1163" t="s">
        <v>362</v>
      </c>
      <c r="J1163">
        <v>39.99</v>
      </c>
      <c r="K1163" s="4">
        <v>0.53869999999999996</v>
      </c>
      <c r="L1163">
        <v>4.5999999999999996</v>
      </c>
      <c r="M1163">
        <v>483</v>
      </c>
      <c r="O1163" t="s">
        <v>25</v>
      </c>
      <c r="P1163" t="s">
        <v>260</v>
      </c>
      <c r="Q1163" t="s">
        <v>2026</v>
      </c>
    </row>
    <row r="1164" spans="1:17" ht="15.5" x14ac:dyDescent="0.35">
      <c r="A1164" s="3" t="str">
        <f>HYPERLINK("https://edmondsonsupply.com/collections/hvac/products/ritchie-yellow-jacket-60652-eight-head-precision-torque-wrench-kit", "https://edmondsonsupply.com/collections/hvac/products/ritchie-yellow-jacket-60652-eight-head-precision-torque-wrench-kit")</f>
        <v>https://edmondsonsupply.com/collections/hvac/products/ritchie-yellow-jacket-60652-eight-head-precision-torque-wrench-kit</v>
      </c>
      <c r="B1164" s="3" t="str">
        <f>HYPERLINK("https://edmondsonsupply.com/products/ritchie-yellow-jacket-60652-eight-head-precision-torque-wrench-kit", "https://edmondsonsupply.com/products/ritchie-yellow-jacket-60652-eight-head-precision-torque-wrench-kit")</f>
        <v>https://edmondsonsupply.com/products/ritchie-yellow-jacket-60652-eight-head-precision-torque-wrench-kit</v>
      </c>
      <c r="C1164" t="s">
        <v>3058</v>
      </c>
      <c r="D1164" t="s">
        <v>3059</v>
      </c>
      <c r="E1164" s="3" t="str">
        <f>HYPERLINK("https://www.amazon.com/Yellow-Jacket-Torque-Wrench-Universal/dp/B01M122IZD/ref=sr_1_2?keywords=Yellow+Jacket+60652+Eight+Head+Precision+Torque+Wrench+Kit&amp;qid=1695173432&amp;sr=8-2", "https://www.amazon.com/Yellow-Jacket-Torque-Wrench-Universal/dp/B01M122IZD/ref=sr_1_2?keywords=Yellow+Jacket+60652+Eight+Head+Precision+Torque+Wrench+Kit&amp;qid=1695173432&amp;sr=8-2")</f>
        <v>https://www.amazon.com/Yellow-Jacket-Torque-Wrench-Universal/dp/B01M122IZD/ref=sr_1_2?keywords=Yellow+Jacket+60652+Eight+Head+Precision+Torque+Wrench+Kit&amp;qid=1695173432&amp;sr=8-2</v>
      </c>
      <c r="F1164" t="s">
        <v>3060</v>
      </c>
      <c r="G1164" t="e">
        <f ca="1">_xludf.IMAGE("https://edmondsonsupply.com/cdn/shop/products/precision-torque-wrench.jpg?v=1640296268")</f>
        <v>#NAME?</v>
      </c>
      <c r="H1164" t="e">
        <f ca="1">_xludf.IMAGE("https://m.media-amazon.com/images/I/31Kzp-6hITL._AC_UL320_.jpg")</f>
        <v>#NAME?</v>
      </c>
      <c r="I1164" t="s">
        <v>3061</v>
      </c>
      <c r="J1164">
        <v>299.95</v>
      </c>
      <c r="K1164" s="4">
        <v>0.53720000000000001</v>
      </c>
      <c r="L1164">
        <v>4.7</v>
      </c>
      <c r="M1164">
        <v>27</v>
      </c>
      <c r="O1164" t="s">
        <v>171</v>
      </c>
      <c r="P1164" t="s">
        <v>138</v>
      </c>
      <c r="Q1164" t="s">
        <v>3062</v>
      </c>
    </row>
    <row r="1165" spans="1:17" ht="15.5" x14ac:dyDescent="0.35">
      <c r="A1165"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1165"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1165" t="s">
        <v>2546</v>
      </c>
      <c r="D1165" t="s">
        <v>3063</v>
      </c>
      <c r="E1165" s="3" t="str">
        <f>HYPERLINK("https://www.amazon.com/Yellow-Jacket-42006-Manifold-Gauge/dp/B0039KT74S/ref=sr_1_1?keywords=Yellow+Jacket+42001+Series+41+Manifold+Only%2C+3-1%2F8%22+Gauges+-+R-22+%2F+404A+%2F+410A&amp;qid=1695173491&amp;sr=8-1", "https://www.amazon.com/Yellow-Jacket-42006-Manifold-Gauge/dp/B0039KT74S/ref=sr_1_1?keywords=Yellow+Jacket+42001+Series+41+Manifold+Only%2C+3-1%2F8%22+Gauges+-+R-22+%2F+404A+%2F+410A&amp;qid=1695173491&amp;sr=8-1")</f>
        <v>https://www.amazon.com/Yellow-Jacket-42006-Manifold-Gauge/dp/B0039KT74S/ref=sr_1_1?keywords=Yellow+Jacket+42001+Series+41+Manifold+Only%2C+3-1%2F8%22+Gauges+-+R-22+%2F+404A+%2F+410A&amp;qid=1695173491&amp;sr=8-1</v>
      </c>
      <c r="F1165" t="s">
        <v>3064</v>
      </c>
      <c r="G1165" t="e">
        <f ca="1">_xludf.IMAGE("https://edmondsonsupply.com/cdn/shop/products/series-41-manifolds-with-318-gauges.jpg?v=1633030025")</f>
        <v>#NAME?</v>
      </c>
      <c r="H1165" t="e">
        <f ca="1">_xludf.IMAGE("https://m.media-amazon.com/images/I/91U-1z87ZlL._AC_UL320_.jpg")</f>
        <v>#NAME?</v>
      </c>
      <c r="I1165" t="s">
        <v>2549</v>
      </c>
      <c r="J1165">
        <v>150</v>
      </c>
      <c r="K1165" s="4">
        <v>0.53420000000000001</v>
      </c>
      <c r="L1165">
        <v>4.5999999999999996</v>
      </c>
      <c r="M1165">
        <v>1159</v>
      </c>
      <c r="O1165" t="s">
        <v>25</v>
      </c>
      <c r="P1165" t="s">
        <v>138</v>
      </c>
      <c r="Q1165" t="s">
        <v>2550</v>
      </c>
    </row>
    <row r="1166" spans="1:17" ht="15.5" x14ac:dyDescent="0.35">
      <c r="A1166"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1166" s="3" t="str">
        <f>HYPERLINK("https://edmondsonsupply.com/products/midwest-mwt-6510s-straight-offset-aviation-snip", "https://edmondsonsupply.com/products/midwest-mwt-6510s-straight-offset-aviation-snip")</f>
        <v>https://edmondsonsupply.com/products/midwest-mwt-6510s-straight-offset-aviation-snip</v>
      </c>
      <c r="C1166" t="s">
        <v>1736</v>
      </c>
      <c r="D1166" t="s">
        <v>215</v>
      </c>
      <c r="E1166" s="3" t="str">
        <f>HYPERLINK("https://www.amazon.com/MIDWEST-Aviation-Snip-KUSHN-POWER-MWT-SS6510R/dp/B00OMSVOZ6/ref=sr_1_2?keywords=Midwest+MWT-6510S+Straight+Offset+Aviation+Snip&amp;qid=1695173382&amp;sr=8-2", "https://www.amazon.com/MIDWEST-Aviation-Snip-KUSHN-POWER-MWT-SS6510R/dp/B00OMSVOZ6/ref=sr_1_2?keywords=Midwest+MWT-6510S+Straight+Offset+Aviation+Snip&amp;qid=1695173382&amp;sr=8-2")</f>
        <v>https://www.amazon.com/MIDWEST-Aviation-Snip-KUSHN-POWER-MWT-SS6510R/dp/B00OMSVOZ6/ref=sr_1_2?keywords=Midwest+MWT-6510S+Straight+Offset+Aviation+Snip&amp;qid=1695173382&amp;sr=8-2</v>
      </c>
      <c r="F1166" t="s">
        <v>216</v>
      </c>
      <c r="G1166" t="e">
        <f ca="1">_xludf.IMAGE("https://edmondsonsupply.com/cdn/shop/products/MWT-6510S-1.jpg?v=1587150061")</f>
        <v>#NAME?</v>
      </c>
      <c r="H1166" t="e">
        <f ca="1">_xludf.IMAGE("https://m.media-amazon.com/images/I/6111Xzz5-TL._AC_UL320_.jpg")</f>
        <v>#NAME?</v>
      </c>
      <c r="I1166" t="s">
        <v>1737</v>
      </c>
      <c r="J1166">
        <v>35.99</v>
      </c>
      <c r="K1166" s="4">
        <v>0.53210000000000002</v>
      </c>
      <c r="L1166">
        <v>4.3</v>
      </c>
      <c r="M1166">
        <v>99</v>
      </c>
      <c r="O1166" t="s">
        <v>171</v>
      </c>
      <c r="P1166" t="s">
        <v>260</v>
      </c>
      <c r="Q1166" t="s">
        <v>1738</v>
      </c>
    </row>
    <row r="1167" spans="1:17" ht="15.5" x14ac:dyDescent="0.35">
      <c r="A1167" s="3" t="str">
        <f>HYPERLINK("https://edmondsonsupply.com/collections/hvac/products/klein-tools-s12hb-grip-it%E2%84%A2-strap-wrench-1-1-2-to-5-inch-12-inch-handle", "https://edmondsonsupply.com/collections/hvac/products/klein-tools-s12hb-grip-it%E2%84%A2-strap-wrench-1-1-2-to-5-inch-12-inch-handle")</f>
        <v>https://edmondsonsupply.com/collections/hvac/products/klein-tools-s12hb-grip-it%E2%84%A2-strap-wrench-1-1-2-to-5-inch-12-inch-handle</v>
      </c>
      <c r="B1167" s="3" t="str">
        <f>HYPERLINK("https://edmondsonsupply.com/products/klein-tools-s12hb-grip-it%e2%84%a2-strap-wrench-1-1-2-to-5-inch-12-inch-handle", "https://edmondsonsupply.com/products/klein-tools-s12hb-grip-it%e2%84%a2-strap-wrench-1-1-2-to-5-inch-12-inch-handle")</f>
        <v>https://edmondsonsupply.com/products/klein-tools-s12hb-grip-it%e2%84%a2-strap-wrench-1-1-2-to-5-inch-12-inch-handle</v>
      </c>
      <c r="C1167" t="s">
        <v>3065</v>
      </c>
      <c r="D1167" t="s">
        <v>3066</v>
      </c>
      <c r="E1167" s="3" t="str">
        <f>HYPERLINK("https://www.amazon.com/Klein-Tools-S-12H-Capacity-12-Inch/dp/B0000DINCH/ref=sr_1_2?keywords=Klein+Tools+S12HB+Grip-It%E2%84%A2+Strap+Wrench%2C+1-1%2F2+to+5-Inch%2C+12-Inch+Handle&amp;qid=1695173740&amp;sr=8-2", "https://www.amazon.com/Klein-Tools-S-12H-Capacity-12-Inch/dp/B0000DINCH/ref=sr_1_2?keywords=Klein+Tools+S12HB+Grip-It%E2%84%A2+Strap+Wrench%2C+1-1%2F2+to+5-Inch%2C+12-Inch+Handle&amp;qid=1695173740&amp;sr=8-2")</f>
        <v>https://www.amazon.com/Klein-Tools-S-12H-Capacity-12-Inch/dp/B0000DINCH/ref=sr_1_2?keywords=Klein+Tools+S12HB+Grip-It%E2%84%A2+Strap+Wrench%2C+1-1%2F2+to+5-Inch%2C+12-Inch+Handle&amp;qid=1695173740&amp;sr=8-2</v>
      </c>
      <c r="F1167" t="s">
        <v>3067</v>
      </c>
      <c r="G1167" t="e">
        <f ca="1">_xludf.IMAGE("https://edmondsonsupply.com/cdn/shop/files/s12hb_b.jpg?v=1689783564")</f>
        <v>#NAME?</v>
      </c>
      <c r="H1167" t="e">
        <f ca="1">_xludf.IMAGE("https://m.media-amazon.com/images/I/51vbjGI4zpL._AC_UL320_.jpg")</f>
        <v>#NAME?</v>
      </c>
      <c r="I1167" t="s">
        <v>577</v>
      </c>
      <c r="J1167">
        <v>30.62</v>
      </c>
      <c r="K1167" s="4">
        <v>0.53180000000000005</v>
      </c>
      <c r="L1167">
        <v>4.4000000000000004</v>
      </c>
      <c r="M1167">
        <v>149</v>
      </c>
      <c r="O1167" t="s">
        <v>25</v>
      </c>
      <c r="P1167" t="s">
        <v>3068</v>
      </c>
      <c r="Q1167" t="s">
        <v>3069</v>
      </c>
    </row>
    <row r="1168" spans="1:17" ht="15.5" x14ac:dyDescent="0.35">
      <c r="A1168" s="3" t="str">
        <f>HYPERLINK("https://edmondsonsupply.com/collections/hvac/products/packard-c240c-contactor-2-pole-40-amps-208-240-coil-voltage", "https://edmondsonsupply.com/collections/hvac/products/packard-c240c-contactor-2-pole-40-amps-208-240-coil-voltage")</f>
        <v>https://edmondsonsupply.com/collections/hvac/products/packard-c240c-contactor-2-pole-40-amps-208-240-coil-voltage</v>
      </c>
      <c r="B1168" s="3" t="str">
        <f>HYPERLINK("https://edmondsonsupply.com/products/packard-c240c-contactor-2-pole-40-amps-208-240-coil-voltage", "https://edmondsonsupply.com/products/packard-c240c-contactor-2-pole-40-amps-208-240-coil-voltage")</f>
        <v>https://edmondsonsupply.com/products/packard-c240c-contactor-2-pole-40-amps-208-240-coil-voltage</v>
      </c>
      <c r="C1168" t="s">
        <v>2933</v>
      </c>
      <c r="D1168" t="s">
        <v>3070</v>
      </c>
      <c r="E1168" s="3" t="str">
        <f>HYPERLINK("https://www.amazon.com/Packard-C240C-Pole-Contactor-Volt/dp/B004Z0RLR6/ref=sr_1_1?keywords=Packard+C240C+Contactor+2+Pole+40+AMPS+208%2F240+Coil+Voltage&amp;qid=1695173364&amp;sr=8-1", "https://www.amazon.com/Packard-C240C-Pole-Contactor-Volt/dp/B004Z0RLR6/ref=sr_1_1?keywords=Packard+C240C+Contactor+2+Pole+40+AMPS+208%2F240+Coil+Voltage&amp;qid=1695173364&amp;sr=8-1")</f>
        <v>https://www.amazon.com/Packard-C240C-Pole-Contactor-Volt/dp/B004Z0RLR6/ref=sr_1_1?keywords=Packard+C240C+Contactor+2+Pole+40+AMPS+208%2F240+Coil+Voltage&amp;qid=1695173364&amp;sr=8-1</v>
      </c>
      <c r="F1168" t="s">
        <v>3071</v>
      </c>
      <c r="G1168" t="e">
        <f ca="1">_xludf.IMAGE("https://edmondsonsupply.com/cdn/shop/products/C240C-1.jpg?v=1633030123")</f>
        <v>#NAME?</v>
      </c>
      <c r="H1168" t="e">
        <f ca="1">_xludf.IMAGE("https://m.media-amazon.com/images/I/91HgJ588lHL._AC_UY218_.jpg")</f>
        <v>#NAME?</v>
      </c>
      <c r="I1168" t="s">
        <v>2936</v>
      </c>
      <c r="J1168">
        <v>18.7</v>
      </c>
      <c r="K1168" s="4">
        <v>0.53029999999999999</v>
      </c>
      <c r="L1168">
        <v>4.4000000000000004</v>
      </c>
      <c r="M1168">
        <v>119</v>
      </c>
      <c r="O1168" t="s">
        <v>25</v>
      </c>
      <c r="P1168" t="s">
        <v>138</v>
      </c>
      <c r="Q1168" t="s">
        <v>2937</v>
      </c>
    </row>
    <row r="1169" spans="1:17" ht="15.5" x14ac:dyDescent="0.35">
      <c r="A1169" s="3" t="str">
        <f>HYPERLINK("https://edmondsonsupply.com/collections/hvac/products/supco-mag1bk-30-vac-magnetic-test-leads", "https://edmondsonsupply.com/collections/hvac/products/supco-mag1bk-30-vac-magnetic-test-leads")</f>
        <v>https://edmondsonsupply.com/collections/hvac/products/supco-mag1bk-30-vac-magnetic-test-leads</v>
      </c>
      <c r="B1169" s="3" t="str">
        <f>HYPERLINK("https://edmondsonsupply.com/products/supco-mag1bk-30-vac-magnetic-test-leads", "https://edmondsonsupply.com/products/supco-mag1bk-30-vac-magnetic-test-leads")</f>
        <v>https://edmondsonsupply.com/products/supco-mag1bk-30-vac-magnetic-test-leads</v>
      </c>
      <c r="C1169" t="s">
        <v>2574</v>
      </c>
      <c r="D1169" t="s">
        <v>3072</v>
      </c>
      <c r="E1169" s="3" t="str">
        <f>HYPERLINK("https://www.amazon.com/Supco-MAG1RD-Orginal-Replacement-Parts/dp/B01KU954MY/ref=sr_1_4?keywords=Supco+MAG1BK+30+VAC+Magnetic+Test+Leads&amp;qid=1695173502&amp;sr=8-4", "https://www.amazon.com/Supco-MAG1RD-Orginal-Replacement-Parts/dp/B01KU954MY/ref=sr_1_4?keywords=Supco+MAG1BK+30+VAC+Magnetic+Test+Leads&amp;qid=1695173502&amp;sr=8-4")</f>
        <v>https://www.amazon.com/Supco-MAG1RD-Orginal-Replacement-Parts/dp/B01KU954MY/ref=sr_1_4?keywords=Supco+MAG1BK+30+VAC+Magnetic+Test+Leads&amp;qid=1695173502&amp;sr=8-4</v>
      </c>
      <c r="F1169" t="s">
        <v>3073</v>
      </c>
      <c r="G1169" t="e">
        <f ca="1">_xludf.IMAGE("https://edmondsonsupply.com/cdn/shop/products/mag1bk.png?v=1671744087")</f>
        <v>#NAME?</v>
      </c>
      <c r="H1169" t="e">
        <f ca="1">_xludf.IMAGE("https://m.media-amazon.com/images/I/61v5PaJ0-WL._AC_UY218_.jpg")</f>
        <v>#NAME?</v>
      </c>
      <c r="I1169" t="s">
        <v>2577</v>
      </c>
      <c r="J1169">
        <v>15.26</v>
      </c>
      <c r="K1169" s="4">
        <v>0.52749999999999997</v>
      </c>
      <c r="L1169">
        <v>4.3</v>
      </c>
      <c r="M1169">
        <v>123</v>
      </c>
      <c r="O1169" t="s">
        <v>25</v>
      </c>
      <c r="P1169" t="s">
        <v>138</v>
      </c>
      <c r="Q1169" t="s">
        <v>2578</v>
      </c>
    </row>
    <row r="1170" spans="1:17" ht="15.5" x14ac:dyDescent="0.35">
      <c r="A1170"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1170"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1170" t="s">
        <v>2546</v>
      </c>
      <c r="D1170" t="s">
        <v>3074</v>
      </c>
      <c r="E1170" s="3" t="str">
        <f>HYPERLINK("https://www.amazon.com/Yellow-Jacket-49863-Manifold-Refrigerant/dp/B0036FFUQ0/ref=sr_1_5?keywords=Yellow+Jacket+42001+Series+41+Manifold+Only%2C+3-1%2F8%22+Gauges+-+R-22+%2F+404A+%2F+410A&amp;qid=1695173491&amp;sr=8-5", "https://www.amazon.com/Yellow-Jacket-49863-Manifold-Refrigerant/dp/B0036FFUQ0/ref=sr_1_5?keywords=Yellow+Jacket+42001+Series+41+Manifold+Only%2C+3-1%2F8%22+Gauges+-+R-22+%2F+404A+%2F+410A&amp;qid=1695173491&amp;sr=8-5")</f>
        <v>https://www.amazon.com/Yellow-Jacket-49863-Manifold-Refrigerant/dp/B0036FFUQ0/ref=sr_1_5?keywords=Yellow+Jacket+42001+Series+41+Manifold+Only%2C+3-1%2F8%22+Gauges+-+R-22+%2F+404A+%2F+410A&amp;qid=1695173491&amp;sr=8-5</v>
      </c>
      <c r="F1170" t="s">
        <v>3075</v>
      </c>
      <c r="G1170" t="e">
        <f ca="1">_xludf.IMAGE("https://edmondsonsupply.com/cdn/shop/products/series-41-manifolds-with-318-gauges.jpg?v=1633030025")</f>
        <v>#NAME?</v>
      </c>
      <c r="H1170" t="e">
        <f ca="1">_xludf.IMAGE("https://m.media-amazon.com/images/I/6123jOzryQL._AC_UL320_.jpg")</f>
        <v>#NAME?</v>
      </c>
      <c r="I1170" t="s">
        <v>2549</v>
      </c>
      <c r="J1170">
        <v>149.13</v>
      </c>
      <c r="K1170" s="4">
        <v>0.52529999999999999</v>
      </c>
      <c r="L1170">
        <v>5</v>
      </c>
      <c r="M1170">
        <v>34</v>
      </c>
      <c r="O1170" t="s">
        <v>25</v>
      </c>
      <c r="P1170" t="s">
        <v>138</v>
      </c>
      <c r="Q1170" t="s">
        <v>2550</v>
      </c>
    </row>
    <row r="1171" spans="1:17" ht="15.5" x14ac:dyDescent="0.35">
      <c r="A1171"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1171" s="3" t="str">
        <f>HYPERLINK("https://edmondsonsupply.com/products/packard-prmj145a-motor-start-capacitor-145-174-mfd", "https://edmondsonsupply.com/products/packard-prmj145a-motor-start-capacitor-145-174-mfd")</f>
        <v>https://edmondsonsupply.com/products/packard-prmj145a-motor-start-capacitor-145-174-mfd</v>
      </c>
      <c r="C1171" t="s">
        <v>2227</v>
      </c>
      <c r="D1171" t="s">
        <v>3076</v>
      </c>
      <c r="E1171" s="3" t="str">
        <f>HYPERLINK("https://www.amazon.com/PACKARD-CAPACITOR-PTMJ145-145-174-220-250VAC/dp/B00C0Z23HG/ref=sr_1_6?keywords=Packard+PRMJ145A+Motor+Start+Capacitor+145-174+MFD&amp;qid=1695173645&amp;sr=8-6", "https://www.amazon.com/PACKARD-CAPACITOR-PTMJ145-145-174-220-250VAC/dp/B00C0Z23HG/ref=sr_1_6?keywords=Packard+PRMJ145A+Motor+Start+Capacitor+145-174+MFD&amp;qid=1695173645&amp;sr=8-6")</f>
        <v>https://www.amazon.com/PACKARD-CAPACITOR-PTMJ145-145-174-220-250VAC/dp/B00C0Z23HG/ref=sr_1_6?keywords=Packard+PRMJ145A+Motor+Start+Capacitor+145-174+MFD&amp;qid=1695173645&amp;sr=8-6</v>
      </c>
      <c r="F1171" t="s">
        <v>3077</v>
      </c>
      <c r="G1171" t="e">
        <f ca="1">_xludf.IMAGE("https://edmondsonsupply.com/cdn/shop/products/PRMJ145A-2.jpg?v=1633030335")</f>
        <v>#NAME?</v>
      </c>
      <c r="H1171" t="e">
        <f ca="1">_xludf.IMAGE("https://m.media-amazon.com/images/I/41k5rZblOYL._AC_UY218_.jpg")</f>
        <v>#NAME?</v>
      </c>
      <c r="I1171" t="s">
        <v>2230</v>
      </c>
      <c r="J1171">
        <v>11.45</v>
      </c>
      <c r="K1171" s="4">
        <v>0.52459999999999996</v>
      </c>
      <c r="L1171">
        <v>4.5</v>
      </c>
      <c r="M1171">
        <v>80</v>
      </c>
      <c r="O1171" t="s">
        <v>25</v>
      </c>
      <c r="P1171" t="s">
        <v>138</v>
      </c>
      <c r="Q1171" t="s">
        <v>2231</v>
      </c>
    </row>
    <row r="1172" spans="1:17" ht="15.5" x14ac:dyDescent="0.35">
      <c r="A1172" s="3" t="str">
        <f>HYPERLINK("https://edmondsonsupply.com/collections/hvac/products/milwaukee-48-22-8301", "https://edmondsonsupply.com/collections/hvac/products/milwaukee-48-22-8301")</f>
        <v>https://edmondsonsupply.com/collections/hvac/products/milwaukee-48-22-8301</v>
      </c>
      <c r="B1172" s="3" t="str">
        <f>HYPERLINK("https://edmondsonsupply.com/products/milwaukee-48-22-8301", "https://edmondsonsupply.com/products/milwaukee-48-22-8301")</f>
        <v>https://edmondsonsupply.com/products/milwaukee-48-22-8301</v>
      </c>
      <c r="C1172" t="s">
        <v>415</v>
      </c>
      <c r="D1172" t="s">
        <v>416</v>
      </c>
      <c r="E1172" s="3" t="str">
        <f>HYPERLINK("https://www.amazon.com/48-22-8301-PACKOUT-Backpack-Milwaukee-Tear-Resistant/dp/B0BXNRZLWR/ref=sr_1_1?keywords=Milwaukee+48-22-8301+PACKOUT%E2%84%A2+Backpack&amp;qid=1695173674&amp;sr=8-1", "https://www.amazon.com/48-22-8301-PACKOUT-Backpack-Milwaukee-Tear-Resistant/dp/B0BXNRZLWR/ref=sr_1_1?keywords=Milwaukee+48-22-8301+PACKOUT%E2%84%A2+Backpack&amp;qid=1695173674&amp;sr=8-1")</f>
        <v>https://www.amazon.com/48-22-8301-PACKOUT-Backpack-Milwaukee-Tear-Resistant/dp/B0BXNRZLWR/ref=sr_1_1?keywords=Milwaukee+48-22-8301+PACKOUT%E2%84%A2+Backpack&amp;qid=1695173674&amp;sr=8-1</v>
      </c>
      <c r="F1172" t="s">
        <v>417</v>
      </c>
      <c r="G1172" t="e">
        <f ca="1">_xludf.IMAGE("https://edmondsonsupply.com/cdn/shop/products/48-22-8301_1.png?v=1587150030")</f>
        <v>#NAME?</v>
      </c>
      <c r="H1172" t="e">
        <f ca="1">_xludf.IMAGE("https://m.media-amazon.com/images/I/71YLu+AwebL._AC_UL320_.jpg")</f>
        <v>#NAME?</v>
      </c>
      <c r="I1172" t="s">
        <v>418</v>
      </c>
      <c r="J1172">
        <v>198</v>
      </c>
      <c r="K1172" s="4">
        <v>0.52339999999999998</v>
      </c>
      <c r="L1172">
        <v>5</v>
      </c>
      <c r="M1172">
        <v>1</v>
      </c>
      <c r="O1172" t="s">
        <v>25</v>
      </c>
      <c r="P1172" t="s">
        <v>419</v>
      </c>
      <c r="Q1172" t="s">
        <v>420</v>
      </c>
    </row>
    <row r="1173" spans="1:17" ht="15.5" x14ac:dyDescent="0.35">
      <c r="A1173" s="3" t="str">
        <f>HYPERLINK("https://edmondsonsupply.com/collections/hvac/products/klein-tools-jth6t25-t25-torx%C2%AE-hex-key-with-journeyman-t-handle-6-inch", "https://edmondsonsupply.com/collections/hvac/products/klein-tools-jth6t25-t25-torx%C2%AE-hex-key-with-journeyman-t-handle-6-inch")</f>
        <v>https://edmondsonsupply.com/collections/hvac/products/klein-tools-jth6t25-t25-torx%C2%AE-hex-key-with-journeyman-t-handle-6-inch</v>
      </c>
      <c r="B1173" s="3" t="str">
        <f>HYPERLINK("https://edmondsonsupply.com/products/klein-tools-jth6t25-t25-torx%c2%ae-hex-key-with-journeyman-t-handle-6-inch", "https://edmondsonsupply.com/products/klein-tools-jth6t25-t25-torx%c2%ae-hex-key-with-journeyman-t-handle-6-inch")</f>
        <v>https://edmondsonsupply.com/products/klein-tools-jth6t25-t25-torx%c2%ae-hex-key-with-journeyman-t-handle-6-inch</v>
      </c>
      <c r="C1173" t="s">
        <v>3078</v>
      </c>
      <c r="D1173" t="s">
        <v>3079</v>
      </c>
      <c r="E1173" s="3" t="str">
        <f>HYPERLINK("https://www.amazon.com/Journeyman-T-Handle-Klein-Tools-JTH6T25/dp/B005G3B4HE/ref=sr_1_1?keywords=Klein+Tools+JTH6T25+T25+Torx%C2%AE+Hex+Key+with+Journeyman+T-Handle%2C+6-Inch&amp;qid=1695173551&amp;sr=8-1", "https://www.amazon.com/Journeyman-T-Handle-Klein-Tools-JTH6T25/dp/B005G3B4HE/ref=sr_1_1?keywords=Klein+Tools+JTH6T25+T25+Torx%C2%AE+Hex+Key+with+Journeyman+T-Handle%2C+6-Inch&amp;qid=1695173551&amp;sr=8-1")</f>
        <v>https://www.amazon.com/Journeyman-T-Handle-Klein-Tools-JTH6T25/dp/B005G3B4HE/ref=sr_1_1?keywords=Klein+Tools+JTH6T25+T25+Torx%C2%AE+Hex+Key+with+Journeyman+T-Handle%2C+6-Inch&amp;qid=1695173551&amp;sr=8-1</v>
      </c>
      <c r="F1173" t="s">
        <v>3080</v>
      </c>
      <c r="G1173" t="e">
        <f ca="1">_xludf.IMAGE("https://edmondsonsupply.com/cdn/shop/products/jth6t40_f27d4256-4343-44f4-afb3-5989c8c8fc7b.jpg?v=1613168190")</f>
        <v>#NAME?</v>
      </c>
      <c r="H1173" t="e">
        <f ca="1">_xludf.IMAGE("https://m.media-amazon.com/images/I/51Xj0Vsb-EL._AC_UL320_.jpg")</f>
        <v>#NAME?</v>
      </c>
      <c r="I1173" t="s">
        <v>1003</v>
      </c>
      <c r="J1173">
        <v>12.16</v>
      </c>
      <c r="K1173" s="4">
        <v>0.52190000000000003</v>
      </c>
      <c r="L1173">
        <v>4.8</v>
      </c>
      <c r="M1173">
        <v>1544</v>
      </c>
      <c r="O1173" t="s">
        <v>25</v>
      </c>
      <c r="P1173" t="s">
        <v>3081</v>
      </c>
      <c r="Q1173" t="s">
        <v>3082</v>
      </c>
    </row>
    <row r="1174" spans="1:17" ht="15.5" x14ac:dyDescent="0.35">
      <c r="A1174" s="3" t="str">
        <f>HYPERLINK("https://edmondsonsupply.com/collections/hvac/products/nu-calgon-4057-56-a-c-re-new-connect-inject", "https://edmondsonsupply.com/collections/hvac/products/nu-calgon-4057-56-a-c-re-new-connect-inject")</f>
        <v>https://edmondsonsupply.com/collections/hvac/products/nu-calgon-4057-56-a-c-re-new-connect-inject</v>
      </c>
      <c r="B1174" s="3" t="str">
        <f>HYPERLINK("https://edmondsonsupply.com/products/nu-calgon-4057-56-a-c-re-new-connect-inject", "https://edmondsonsupply.com/products/nu-calgon-4057-56-a-c-re-new-connect-inject")</f>
        <v>https://edmondsonsupply.com/products/nu-calgon-4057-56-a-c-re-new-connect-inject</v>
      </c>
      <c r="C1174" t="s">
        <v>3083</v>
      </c>
      <c r="D1174" t="s">
        <v>3084</v>
      </c>
      <c r="E1174" s="3" t="str">
        <f>HYPERLINK("https://www.amazon.com/Nu-Calgon-4057-99-Re-New-Injector-Tool/dp/B00OZVAR5I/ref=sr_1_5?keywords=Nu-Calgon+4057-56+A%2FC+Re-New+Connect+Inject&amp;qid=1695173397&amp;sr=8-5", "https://www.amazon.com/Nu-Calgon-4057-99-Re-New-Injector-Tool/dp/B00OZVAR5I/ref=sr_1_5?keywords=Nu-Calgon+4057-56+A%2FC+Re-New+Connect+Inject&amp;qid=1695173397&amp;sr=8-5")</f>
        <v>https://www.amazon.com/Nu-Calgon-4057-99-Re-New-Injector-Tool/dp/B00OZVAR5I/ref=sr_1_5?keywords=Nu-Calgon+4057-56+A%2FC+Re-New+Connect+Inject&amp;qid=1695173397&amp;sr=8-5</v>
      </c>
      <c r="F1174" t="s">
        <v>3085</v>
      </c>
      <c r="G1174" t="e">
        <f ca="1">_xludf.IMAGE("https://edmondsonsupply.com/cdn/shop/products/4057-56.jpg?v=1659034051")</f>
        <v>#NAME?</v>
      </c>
      <c r="H1174" t="e">
        <f ca="1">_xludf.IMAGE("https://m.media-amazon.com/images/I/619hw0kuSlL._AC_UL320_.jpg")</f>
        <v>#NAME?</v>
      </c>
      <c r="I1174" t="s">
        <v>3086</v>
      </c>
      <c r="J1174">
        <v>137.86000000000001</v>
      </c>
      <c r="K1174" s="4">
        <v>0.52080000000000004</v>
      </c>
      <c r="L1174">
        <v>3.9</v>
      </c>
      <c r="M1174">
        <v>9</v>
      </c>
      <c r="O1174" t="s">
        <v>25</v>
      </c>
      <c r="P1174" t="s">
        <v>3087</v>
      </c>
      <c r="Q1174" t="s">
        <v>3088</v>
      </c>
    </row>
    <row r="1175" spans="1:17" ht="15.5" x14ac:dyDescent="0.35">
      <c r="A1175"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1175" s="3" t="str">
        <f>HYPERLINK("https://edmondsonsupply.com/products/klein-tools-et120-combustible-gas-leak-detector", "https://edmondsonsupply.com/products/klein-tools-et120-combustible-gas-leak-detector")</f>
        <v>https://edmondsonsupply.com/products/klein-tools-et120-combustible-gas-leak-detector</v>
      </c>
      <c r="C1175" t="s">
        <v>1529</v>
      </c>
      <c r="D1175" t="s">
        <v>3089</v>
      </c>
      <c r="E1175" s="3" t="str">
        <f>HYPERLINK("https://www.amazon.com/Klein-Tools-Detector-Combustible-Tester/dp/B09Q651S9V/ref=sr_1_3?keywords=Klein+Tools+ET120+Combustible+Gas+Leak+Detector&amp;qid=1695173669&amp;sr=8-3", "https://www.amazon.com/Klein-Tools-Detector-Combustible-Tester/dp/B09Q651S9V/ref=sr_1_3?keywords=Klein+Tools+ET120+Combustible+Gas+Leak+Detector&amp;qid=1695173669&amp;sr=8-3")</f>
        <v>https://www.amazon.com/Klein-Tools-Detector-Combustible-Tester/dp/B09Q651S9V/ref=sr_1_3?keywords=Klein+Tools+ET120+Combustible+Gas+Leak+Detector&amp;qid=1695173669&amp;sr=8-3</v>
      </c>
      <c r="F1175" t="s">
        <v>3090</v>
      </c>
      <c r="G1175" t="e">
        <f ca="1">_xludf.IMAGE("https://edmondsonsupply.com/cdn/shop/products/et120.jpg?v=1587149243")</f>
        <v>#NAME?</v>
      </c>
      <c r="H1175" t="e">
        <f ca="1">_xludf.IMAGE("https://m.media-amazon.com/images/I/41OSqGUxNxL._AC_UL320_.jpg")</f>
        <v>#NAME?</v>
      </c>
      <c r="I1175" t="s">
        <v>74</v>
      </c>
      <c r="J1175">
        <v>182.41</v>
      </c>
      <c r="K1175" s="4">
        <v>0.5202</v>
      </c>
      <c r="L1175">
        <v>5</v>
      </c>
      <c r="M1175">
        <v>3</v>
      </c>
      <c r="O1175" t="s">
        <v>25</v>
      </c>
      <c r="P1175" t="s">
        <v>1532</v>
      </c>
      <c r="Q1175" t="s">
        <v>1533</v>
      </c>
    </row>
    <row r="1176" spans="1:17" ht="15.5" x14ac:dyDescent="0.35">
      <c r="A1176" s="3" t="str">
        <f>HYPERLINK("https://edmondsonsupply.com/collections/hvac/products/icm-controls-icm401-3-phase-line-voltage-monitor", "https://edmondsonsupply.com/collections/hvac/products/icm-controls-icm401-3-phase-line-voltage-monitor")</f>
        <v>https://edmondsonsupply.com/collections/hvac/products/icm-controls-icm401-3-phase-line-voltage-monitor</v>
      </c>
      <c r="B1176" s="3" t="str">
        <f>HYPERLINK("https://edmondsonsupply.com/products/icm-controls-icm401-3-phase-line-voltage-monitor", "https://edmondsonsupply.com/products/icm-controls-icm401-3-phase-line-voltage-monitor")</f>
        <v>https://edmondsonsupply.com/products/icm-controls-icm401-3-phase-line-voltage-monitor</v>
      </c>
      <c r="C1176" t="s">
        <v>1650</v>
      </c>
      <c r="D1176" t="s">
        <v>3091</v>
      </c>
      <c r="E1176" s="3" t="str">
        <f>HYPERLINK("https://www.amazon.com/Three-phase-Line-Voltage-Monitor-Icm401c/dp/B082J4SQY2/ref=sr_1_3?keywords=ICM+Controls+ICM401+3+Phase+Line+Voltage+Monitor&amp;qid=1695173605&amp;sr=8-3", "https://www.amazon.com/Three-phase-Line-Voltage-Monitor-Icm401c/dp/B082J4SQY2/ref=sr_1_3?keywords=ICM+Controls+ICM401+3+Phase+Line+Voltage+Monitor&amp;qid=1695173605&amp;sr=8-3")</f>
        <v>https://www.amazon.com/Three-phase-Line-Voltage-Monitor-Icm401c/dp/B082J4SQY2/ref=sr_1_3?keywords=ICM+Controls+ICM401+3+Phase+Line+Voltage+Monitor&amp;qid=1695173605&amp;sr=8-3</v>
      </c>
      <c r="F1176" t="s">
        <v>3092</v>
      </c>
      <c r="G1176" t="e">
        <f ca="1">_xludf.IMAGE("https://edmondsonsupply.com/cdn/shop/products/photo_3653_medium_52cb7f2c-e5f0-4da1-ac53-d344fb2403c9.png?v=1665087171")</f>
        <v>#NAME?</v>
      </c>
      <c r="H1176" t="e">
        <f ca="1">_xludf.IMAGE("https://m.media-amazon.com/images/I/41mYhTt0WNL._AC_UL320_.jpg")</f>
        <v>#NAME?</v>
      </c>
      <c r="I1176" t="s">
        <v>1653</v>
      </c>
      <c r="J1176">
        <v>52.79</v>
      </c>
      <c r="K1176" s="4">
        <v>0.51739999999999997</v>
      </c>
      <c r="L1176">
        <v>2</v>
      </c>
      <c r="M1176">
        <v>1</v>
      </c>
      <c r="O1176" t="s">
        <v>25</v>
      </c>
      <c r="P1176" t="s">
        <v>1654</v>
      </c>
      <c r="Q1176" t="s">
        <v>1655</v>
      </c>
    </row>
    <row r="1177" spans="1:17" ht="15.5" x14ac:dyDescent="0.35">
      <c r="A1177" s="3" t="str">
        <f>HYPERLINK("https://edmondsonsupply.com/collections/hvac/products/klein-tools-11046-wire-stripper-cutter-16-26-awg-stranded", "https://edmondsonsupply.com/collections/hvac/products/klein-tools-11046-wire-stripper-cutter-16-26-awg-stranded")</f>
        <v>https://edmondsonsupply.com/collections/hvac/products/klein-tools-11046-wire-stripper-cutter-16-26-awg-stranded</v>
      </c>
      <c r="B1177" s="3" t="str">
        <f>HYPERLINK("https://edmondsonsupply.com/products/klein-tools-11046-wire-stripper-cutter-16-26-awg-stranded", "https://edmondsonsupply.com/products/klein-tools-11046-wire-stripper-cutter-16-26-awg-stranded")</f>
        <v>https://edmondsonsupply.com/products/klein-tools-11046-wire-stripper-cutter-16-26-awg-stranded</v>
      </c>
      <c r="C1177" t="s">
        <v>2278</v>
      </c>
      <c r="D1177" t="s">
        <v>3093</v>
      </c>
      <c r="E1177" s="3" t="str">
        <f>HYPERLINK("https://www.amazon.com/Klein-Tools-Stripper-Stranded-Hakko-CHP-170/dp/B0BSKRVY7T/ref=sr_1_5?keywords=Klein+Tools+11046+Wire+Stripper%2FCutter+16-26+AWG+Stranded&amp;qid=1695173662&amp;sr=8-5", "https://www.amazon.com/Klein-Tools-Stripper-Stranded-Hakko-CHP-170/dp/B0BSKRVY7T/ref=sr_1_5?keywords=Klein+Tools+11046+Wire+Stripper%2FCutter+16-26+AWG+Stranded&amp;qid=1695173662&amp;sr=8-5")</f>
        <v>https://www.amazon.com/Klein-Tools-Stripper-Stranded-Hakko-CHP-170/dp/B0BSKRVY7T/ref=sr_1_5?keywords=Klein+Tools+11046+Wire+Stripper%2FCutter+16-26+AWG+Stranded&amp;qid=1695173662&amp;sr=8-5</v>
      </c>
      <c r="F1177" t="s">
        <v>3094</v>
      </c>
      <c r="G1177" t="e">
        <f ca="1">_xludf.IMAGE("https://edmondsonsupply.com/cdn/shop/products/11046.jpg?v=1587147965")</f>
        <v>#NAME?</v>
      </c>
      <c r="H1177" t="e">
        <f ca="1">_xludf.IMAGE("https://m.media-amazon.com/images/I/41c3ukqCE4L._AC_UL320_.jpg")</f>
        <v>#NAME?</v>
      </c>
      <c r="I1177" t="s">
        <v>143</v>
      </c>
      <c r="J1177">
        <v>24.21</v>
      </c>
      <c r="K1177" s="4">
        <v>0.51600000000000001</v>
      </c>
      <c r="L1177">
        <v>5</v>
      </c>
      <c r="M1177">
        <v>1</v>
      </c>
      <c r="O1177" t="s">
        <v>25</v>
      </c>
      <c r="P1177" t="s">
        <v>2281</v>
      </c>
      <c r="Q1177" t="s">
        <v>2282</v>
      </c>
    </row>
    <row r="1178" spans="1:17" ht="15.5" x14ac:dyDescent="0.35">
      <c r="A1178" s="3" t="str">
        <f>HYPERLINK("https://edmondsonsupply.com/collections/hvac/products/rectorseal-66733-nokink-3-8-x-3-flexible-refrigerant-line-connector", "https://edmondsonsupply.com/collections/hvac/products/rectorseal-66733-nokink-3-8-x-3-flexible-refrigerant-line-connector")</f>
        <v>https://edmondsonsupply.com/collections/hvac/products/rectorseal-66733-nokink-3-8-x-3-flexible-refrigerant-line-connector</v>
      </c>
      <c r="B1178" s="3" t="str">
        <f>HYPERLINK("https://edmondsonsupply.com/products/rectorseal-66733-nokink-3-8-x-3-flexible-refrigerant-line-connector", "https://edmondsonsupply.com/products/rectorseal-66733-nokink-3-8-x-3-flexible-refrigerant-line-connector")</f>
        <v>https://edmondsonsupply.com/products/rectorseal-66733-nokink-3-8-x-3-flexible-refrigerant-line-connector</v>
      </c>
      <c r="C1178" t="s">
        <v>2373</v>
      </c>
      <c r="D1178" t="s">
        <v>3095</v>
      </c>
      <c r="E1178" s="3" t="str">
        <f>HYPERLINK("https://www.amazon.com/Rectorseal-66733-Flexible-Refrigerant-Connector/dp/B00MTWACSW/ref=sr_1_2?keywords=RectorSeal+66733+NoKink+3%2F8%22+x+3%27+Flexible+Refrigerant+Line+Connector&amp;qid=1695173351&amp;sr=8-2", "https://www.amazon.com/Rectorseal-66733-Flexible-Refrigerant-Connector/dp/B00MTWACSW/ref=sr_1_2?keywords=RectorSeal+66733+NoKink+3%2F8%22+x+3%27+Flexible+Refrigerant+Line+Connector&amp;qid=1695173351&amp;sr=8-2")</f>
        <v>https://www.amazon.com/Rectorseal-66733-Flexible-Refrigerant-Connector/dp/B00MTWACSW/ref=sr_1_2?keywords=RectorSeal+66733+NoKink+3%2F8%22+x+3%27+Flexible+Refrigerant+Line+Connector&amp;qid=1695173351&amp;sr=8-2</v>
      </c>
      <c r="F1178" t="s">
        <v>3096</v>
      </c>
      <c r="G1178" t="e">
        <f ca="1">_xludf.IMAGE("https://edmondsonsupply.com/cdn/shop/products/66733-1.jpg?v=1632264229")</f>
        <v>#NAME?</v>
      </c>
      <c r="H1178" t="e">
        <f ca="1">_xludf.IMAGE("https://m.media-amazon.com/images/I/715p30FDZuL._AC_UL320_.jpg")</f>
        <v>#NAME?</v>
      </c>
      <c r="I1178" t="s">
        <v>703</v>
      </c>
      <c r="J1178">
        <v>95.27</v>
      </c>
      <c r="K1178" s="4">
        <v>0.51249999999999996</v>
      </c>
      <c r="L1178">
        <v>3.6</v>
      </c>
      <c r="M1178">
        <v>3</v>
      </c>
      <c r="O1178" t="s">
        <v>25</v>
      </c>
      <c r="P1178" t="s">
        <v>138</v>
      </c>
      <c r="Q1178" t="s">
        <v>2376</v>
      </c>
    </row>
    <row r="1179" spans="1:17" ht="15.5" x14ac:dyDescent="0.35">
      <c r="A1179" s="3" t="str">
        <f>HYPERLINK("https://edmondsonsupply.com/collections/hvac/products/ritchie-yellow-jacket-19165-1-2-female-acme-quick-coupler-x-1-4-male-flare", "https://edmondsonsupply.com/collections/hvac/products/ritchie-yellow-jacket-19165-1-2-female-acme-quick-coupler-x-1-4-male-flare")</f>
        <v>https://edmondsonsupply.com/collections/hvac/products/ritchie-yellow-jacket-19165-1-2-female-acme-quick-coupler-x-1-4-male-flare</v>
      </c>
      <c r="B1179" s="3" t="str">
        <f>HYPERLINK("https://edmondsonsupply.com/products/ritchie-yellow-jacket-19165-1-2-female-acme-quick-coupler-x-1-4-male-flare", "https://edmondsonsupply.com/products/ritchie-yellow-jacket-19165-1-2-female-acme-quick-coupler-x-1-4-male-flare")</f>
        <v>https://edmondsonsupply.com/products/ritchie-yellow-jacket-19165-1-2-female-acme-quick-coupler-x-1-4-male-flare</v>
      </c>
      <c r="C1179" t="s">
        <v>3097</v>
      </c>
      <c r="D1179" t="s">
        <v>3098</v>
      </c>
      <c r="E1179" s="3" t="str">
        <f>HYPERLINK("https://www.amazon.com/YELLOW-JACKET-19173-Schrader-Coupler/dp/B009AXJL3K/ref=sr_1_2?keywords=Yellow+Jacket+19165+1%2F2%22+Female+Acme+Quick+Coupler+X+1%2F4%22+Male+Flare&amp;qid=1695173569&amp;sr=8-2", "https://www.amazon.com/YELLOW-JACKET-19173-Schrader-Coupler/dp/B009AXJL3K/ref=sr_1_2?keywords=Yellow+Jacket+19165+1%2F2%22+Female+Acme+Quick+Coupler+X+1%2F4%22+Male+Flare&amp;qid=1695173569&amp;sr=8-2")</f>
        <v>https://www.amazon.com/YELLOW-JACKET-19173-Schrader-Coupler/dp/B009AXJL3K/ref=sr_1_2?keywords=Yellow+Jacket+19165+1%2F2%22+Female+Acme+Quick+Coupler+X+1%2F4%22+Male+Flare&amp;qid=1695173569&amp;sr=8-2</v>
      </c>
      <c r="F1179" t="s">
        <v>3099</v>
      </c>
      <c r="G1179" t="e">
        <f ca="1">_xludf.IMAGE("https://edmondsonsupply.com/cdn/shop/products/s-l500_35c9f138-c108-4fd6-aab6-baa85329b323.jpg?v=1597544718")</f>
        <v>#NAME?</v>
      </c>
      <c r="H1179" t="e">
        <f ca="1">_xludf.IMAGE("https://m.media-amazon.com/images/I/41VUeOE8TEL._AC_UL320_.jpg")</f>
        <v>#NAME?</v>
      </c>
      <c r="I1179" t="s">
        <v>3100</v>
      </c>
      <c r="J1179">
        <v>28.77</v>
      </c>
      <c r="K1179" s="4">
        <v>0.51180000000000003</v>
      </c>
      <c r="L1179">
        <v>5</v>
      </c>
      <c r="M1179">
        <v>2</v>
      </c>
      <c r="O1179" t="s">
        <v>25</v>
      </c>
      <c r="P1179" t="s">
        <v>138</v>
      </c>
      <c r="Q1179" t="s">
        <v>3101</v>
      </c>
    </row>
    <row r="1180" spans="1:17" ht="15.5" x14ac:dyDescent="0.35">
      <c r="A1180" s="3" t="str">
        <f>HYPERLINK("https://edmondsonsupply.com/collections/hvac/products/klein-tools-55580-tradesman-tumbler", "https://edmondsonsupply.com/collections/hvac/products/klein-tools-55580-tradesman-tumbler")</f>
        <v>https://edmondsonsupply.com/collections/hvac/products/klein-tools-55580-tradesman-tumbler</v>
      </c>
      <c r="B1180" s="3" t="str">
        <f>HYPERLINK("https://edmondsonsupply.com/products/klein-tools-55580-tradesman-tumbler", "https://edmondsonsupply.com/products/klein-tools-55580-tradesman-tumbler")</f>
        <v>https://edmondsonsupply.com/products/klein-tools-55580-tradesman-tumbler</v>
      </c>
      <c r="C1180" t="s">
        <v>1947</v>
      </c>
      <c r="D1180" t="s">
        <v>3102</v>
      </c>
      <c r="E1180" s="3" t="str">
        <f>HYPERLINK("https://www.amazon.com/Klein-Tools-Stainless-Electricians-Splitting/dp/B0BNL9BF2K/ref=sr_1_5?keywords=Klein+Tools+55580+Tradesman+Tumbler&amp;qid=1695173534&amp;sr=8-5", "https://www.amazon.com/Klein-Tools-Stainless-Electricians-Splitting/dp/B0BNL9BF2K/ref=sr_1_5?keywords=Klein+Tools+55580+Tradesman+Tumbler&amp;qid=1695173534&amp;sr=8-5")</f>
        <v>https://www.amazon.com/Klein-Tools-Stainless-Electricians-Splitting/dp/B0BNL9BF2K/ref=sr_1_5?keywords=Klein+Tools+55580+Tradesman+Tumbler&amp;qid=1695173534&amp;sr=8-5</v>
      </c>
      <c r="F1180" t="s">
        <v>3103</v>
      </c>
      <c r="G1180" t="e">
        <f ca="1">_xludf.IMAGE("https://edmondsonsupply.com/cdn/shop/products/55580.jpg?v=1633030612")</f>
        <v>#NAME?</v>
      </c>
      <c r="H1180" t="e">
        <f ca="1">_xludf.IMAGE("https://m.media-amazon.com/images/I/41iUFla+16L._AC_UL320_.jpg")</f>
        <v>#NAME?</v>
      </c>
      <c r="I1180" t="s">
        <v>824</v>
      </c>
      <c r="J1180">
        <v>45.3</v>
      </c>
      <c r="K1180" s="4">
        <v>0.51149999999999995</v>
      </c>
      <c r="L1180">
        <v>5</v>
      </c>
      <c r="M1180">
        <v>1</v>
      </c>
      <c r="O1180" t="s">
        <v>25</v>
      </c>
      <c r="P1180" t="s">
        <v>562</v>
      </c>
      <c r="Q1180" t="s">
        <v>1950</v>
      </c>
    </row>
    <row r="1181" spans="1:17" ht="15.5" x14ac:dyDescent="0.35">
      <c r="A1181" s="3" t="str">
        <f>HYPERLINK("https://edmondsonsupply.com/collections/hvac/products/packard-ptmj270a-motor-start-capacitor-220-250-volt-270-324-mfd", "https://edmondsonsupply.com/collections/hvac/products/packard-ptmj270a-motor-start-capacitor-220-250-volt-270-324-mfd")</f>
        <v>https://edmondsonsupply.com/collections/hvac/products/packard-ptmj270a-motor-start-capacitor-220-250-volt-270-324-mfd</v>
      </c>
      <c r="B1181" s="3" t="str">
        <f>HYPERLINK("https://edmondsonsupply.com/products/packard-ptmj270a-motor-start-capacitor-220-250-volt-270-324-mfd", "https://edmondsonsupply.com/products/packard-ptmj270a-motor-start-capacitor-220-250-volt-270-324-mfd")</f>
        <v>https://edmondsonsupply.com/products/packard-ptmj270a-motor-start-capacitor-220-250-volt-270-324-mfd</v>
      </c>
      <c r="C1181" t="s">
        <v>2606</v>
      </c>
      <c r="D1181" t="s">
        <v>3104</v>
      </c>
      <c r="E1181" s="3" t="str">
        <f>HYPERLINK("https://www.amazon.com/Motor-Start-Capacitor-270-324-220-250VAC/dp/B00CLJFZN0/ref=sr_1_6?keywords=Packard+PTMJ270A+Motor+Start+Capacitor+220-250+Volt+270-324+MFD&amp;qid=1695173645&amp;sr=8-6", "https://www.amazon.com/Motor-Start-Capacitor-270-324-220-250VAC/dp/B00CLJFZN0/ref=sr_1_6?keywords=Packard+PTMJ270A+Motor+Start+Capacitor+220-250+Volt+270-324+MFD&amp;qid=1695173645&amp;sr=8-6")</f>
        <v>https://www.amazon.com/Motor-Start-Capacitor-270-324-220-250VAC/dp/B00CLJFZN0/ref=sr_1_6?keywords=Packard+PTMJ270A+Motor+Start+Capacitor+220-250+Volt+270-324+MFD&amp;qid=1695173645&amp;sr=8-6</v>
      </c>
      <c r="F1181" t="s">
        <v>3105</v>
      </c>
      <c r="G1181" t="e">
        <f ca="1">_xludf.IMAGE("https://edmondsonsupply.com/cdn/shop/products/PTMJ270A-2.jpg?v=1633030308")</f>
        <v>#NAME?</v>
      </c>
      <c r="H1181" t="e">
        <f ca="1">_xludf.IMAGE("https://m.media-amazon.com/images/I/41VfB8p68ML._AC_UY218_.jpg")</f>
        <v>#NAME?</v>
      </c>
      <c r="I1181" t="s">
        <v>2609</v>
      </c>
      <c r="J1181">
        <v>14.99</v>
      </c>
      <c r="K1181" s="4">
        <v>0.5111</v>
      </c>
      <c r="L1181">
        <v>4.5</v>
      </c>
      <c r="M1181">
        <v>60</v>
      </c>
      <c r="O1181" t="s">
        <v>25</v>
      </c>
      <c r="P1181" t="s">
        <v>138</v>
      </c>
      <c r="Q1181" t="s">
        <v>2610</v>
      </c>
    </row>
    <row r="1182" spans="1:17" ht="15.5" x14ac:dyDescent="0.35">
      <c r="A1182" s="3" t="str">
        <f>HYPERLINK("https://edmondsonsupply.com/collections/hvac/products/packard-c230a-contactor-2-pole-30-amps-24-coil-voltage", "https://edmondsonsupply.com/collections/hvac/products/packard-c230a-contactor-2-pole-30-amps-24-coil-voltage")</f>
        <v>https://edmondsonsupply.com/collections/hvac/products/packard-c230a-contactor-2-pole-30-amps-24-coil-voltage</v>
      </c>
      <c r="B1182" s="3" t="str">
        <f>HYPERLINK("https://edmondsonsupply.com/products/packard-c230a-contactor-2-pole-30-amps-24-coil-voltage", "https://edmondsonsupply.com/products/packard-c230a-contactor-2-pole-30-amps-24-coil-voltage")</f>
        <v>https://edmondsonsupply.com/products/packard-c230a-contactor-2-pole-30-amps-24-coil-voltage</v>
      </c>
      <c r="C1182" t="s">
        <v>2876</v>
      </c>
      <c r="D1182" t="s">
        <v>3106</v>
      </c>
      <c r="E1182" s="3" t="str">
        <f>HYPERLINK("https://www.amazon.com/Ducane-Packard-Replacement-Contactor-C230A/dp/B00S8JNZKM/ref=sr_1_6?keywords=Packard+C230A+Contactor+2+Pole+30+Amps+24+Coil+Voltage&amp;qid=1695173405&amp;sr=8-6", "https://www.amazon.com/Ducane-Packard-Replacement-Contactor-C230A/dp/B00S8JNZKM/ref=sr_1_6?keywords=Packard+C230A+Contactor+2+Pole+30+Amps+24+Coil+Voltage&amp;qid=1695173405&amp;sr=8-6")</f>
        <v>https://www.amazon.com/Ducane-Packard-Replacement-Contactor-C230A/dp/B00S8JNZKM/ref=sr_1_6?keywords=Packard+C230A+Contactor+2+Pole+30+Amps+24+Coil+Voltage&amp;qid=1695173405&amp;sr=8-6</v>
      </c>
      <c r="F1182" t="s">
        <v>3107</v>
      </c>
      <c r="G1182" t="e">
        <f ca="1">_xludf.IMAGE("https://edmondsonsupply.com/cdn/shop/products/C230A-1.jpg?v=1633030392")</f>
        <v>#NAME?</v>
      </c>
      <c r="H1182" t="e">
        <f ca="1">_xludf.IMAGE("https://m.media-amazon.com/images/I/410eo0gTxnL._AC_UY218_.jpg")</f>
        <v>#NAME?</v>
      </c>
      <c r="I1182" t="s">
        <v>2176</v>
      </c>
      <c r="J1182">
        <v>16.34</v>
      </c>
      <c r="K1182" s="4">
        <v>0.51019999999999999</v>
      </c>
      <c r="L1182">
        <v>4.5999999999999996</v>
      </c>
      <c r="M1182">
        <v>10</v>
      </c>
      <c r="O1182" t="s">
        <v>25</v>
      </c>
      <c r="P1182" t="s">
        <v>138</v>
      </c>
      <c r="Q1182" t="s">
        <v>2879</v>
      </c>
    </row>
    <row r="1183" spans="1:17" ht="15.5" x14ac:dyDescent="0.35">
      <c r="A1183"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1183"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1183" t="s">
        <v>2344</v>
      </c>
      <c r="D1183" t="s">
        <v>2386</v>
      </c>
      <c r="E1183" s="3" t="str">
        <f>HYPERLINK("https://www.amazon.com/Journeyman-T-Handle-Klein-Tools-JTH6E13BE/dp/B004QW52YW/ref=sr_1_6?keywords=Klein+Tools+JTH6E14+5%2F16-Inch+Hex+Key+with+Journeyman+T-Handle%2C+6-Inch&amp;qid=1695173449&amp;sr=8-6", "https://www.amazon.com/Journeyman-T-Handle-Klein-Tools-JTH6E13BE/dp/B004QW52YW/ref=sr_1_6?keywords=Klein+Tools+JTH6E14+5%2F16-Inch+Hex+Key+with+Journeyman+T-Handle%2C+6-Inch&amp;qid=1695173449&amp;sr=8-6")</f>
        <v>https://www.amazon.com/Journeyman-T-Handle-Klein-Tools-JTH6E13BE/dp/B004QW52YW/ref=sr_1_6?keywords=Klein+Tools+JTH6E14+5%2F16-Inch+Hex+Key+with+Journeyman+T-Handle%2C+6-Inch&amp;qid=1695173449&amp;sr=8-6</v>
      </c>
      <c r="F1183" t="s">
        <v>2387</v>
      </c>
      <c r="G1183" t="e">
        <f ca="1">_xludf.IMAGE("https://edmondsonsupply.com/cdn/shop/products/jth6e15.jpg?v=1587148489")</f>
        <v>#NAME?</v>
      </c>
      <c r="H1183" t="e">
        <f ca="1">_xludf.IMAGE("https://m.media-amazon.com/images/I/51f9vBFVXgL._AC_UL320_.jpg")</f>
        <v>#NAME?</v>
      </c>
      <c r="I1183" t="s">
        <v>2347</v>
      </c>
      <c r="J1183">
        <v>10.55</v>
      </c>
      <c r="K1183" s="4">
        <v>0.50929999999999997</v>
      </c>
      <c r="L1183">
        <v>4.7</v>
      </c>
      <c r="M1183">
        <v>32</v>
      </c>
      <c r="O1183" t="s">
        <v>25</v>
      </c>
      <c r="P1183" t="s">
        <v>1140</v>
      </c>
      <c r="Q1183" t="s">
        <v>2348</v>
      </c>
    </row>
    <row r="1184" spans="1:17" ht="15.5" x14ac:dyDescent="0.35">
      <c r="A1184"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1184"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1184" t="s">
        <v>2344</v>
      </c>
      <c r="D1184" t="s">
        <v>3108</v>
      </c>
      <c r="E1184" s="3" t="str">
        <f>HYPERLINK("https://www.amazon.com/Journeyman-T-Handle-Klein-Tools-JTH6T15/dp/B005G3B43I/ref=sr_1_8?keywords=Klein+Tools+JTH6E14+5%2F16-Inch+Hex+Key+with+Journeyman+T-Handle%2C+6-Inch&amp;qid=1695173449&amp;sr=8-8", "https://www.amazon.com/Journeyman-T-Handle-Klein-Tools-JTH6T15/dp/B005G3B43I/ref=sr_1_8?keywords=Klein+Tools+JTH6E14+5%2F16-Inch+Hex+Key+with+Journeyman+T-Handle%2C+6-Inch&amp;qid=1695173449&amp;sr=8-8")</f>
        <v>https://www.amazon.com/Journeyman-T-Handle-Klein-Tools-JTH6T15/dp/B005G3B43I/ref=sr_1_8?keywords=Klein+Tools+JTH6E14+5%2F16-Inch+Hex+Key+with+Journeyman+T-Handle%2C+6-Inch&amp;qid=1695173449&amp;sr=8-8</v>
      </c>
      <c r="F1184" t="s">
        <v>3109</v>
      </c>
      <c r="G1184" t="e">
        <f ca="1">_xludf.IMAGE("https://edmondsonsupply.com/cdn/shop/products/jth6e15.jpg?v=1587148489")</f>
        <v>#NAME?</v>
      </c>
      <c r="H1184" t="e">
        <f ca="1">_xludf.IMAGE("https://m.media-amazon.com/images/I/51Xj0Vsb-EL._AC_UL320_.jpg")</f>
        <v>#NAME?</v>
      </c>
      <c r="I1184" t="s">
        <v>2347</v>
      </c>
      <c r="J1184">
        <v>10.53</v>
      </c>
      <c r="K1184" s="4">
        <v>0.50639999999999996</v>
      </c>
      <c r="L1184">
        <v>4.5999999999999996</v>
      </c>
      <c r="M1184">
        <v>232</v>
      </c>
      <c r="O1184" t="s">
        <v>25</v>
      </c>
      <c r="P1184" t="s">
        <v>1140</v>
      </c>
      <c r="Q1184" t="s">
        <v>2348</v>
      </c>
    </row>
    <row r="1185" spans="1:17" ht="15.5" x14ac:dyDescent="0.35">
      <c r="A1185"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1185"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1185" t="s">
        <v>1540</v>
      </c>
      <c r="D1185" t="s">
        <v>3110</v>
      </c>
      <c r="E1185" s="3" t="str">
        <f>HYPERLINK("https://www.amazon.com/ICM-Controls-ICM286-Replacement-0130F00005S/dp/B00QW2U7KS/ref=sr_1_1?keywords=ICM+Controls+ICM2811+Furnace+Control+Board+-+Replacement+for+Goodman&amp;qid=1695173453&amp;sr=8-1", "https://www.amazon.com/ICM-Controls-ICM286-Replacement-0130F00005S/dp/B00QW2U7KS/ref=sr_1_1?keywords=ICM+Controls+ICM2811+Furnace+Control+Board+-+Replacement+for+Goodman&amp;qid=1695173453&amp;sr=8-1")</f>
        <v>https://www.amazon.com/ICM-Controls-ICM286-Replacement-0130F00005S/dp/B00QW2U7KS/ref=sr_1_1?keywords=ICM+Controls+ICM2811+Furnace+Control+Board+-+Replacement+for+Goodman&amp;qid=1695173453&amp;sr=8-1</v>
      </c>
      <c r="F1185" t="s">
        <v>3111</v>
      </c>
      <c r="G1185" t="e">
        <f ca="1">_xludf.IMAGE("https://edmondsonsupply.com/cdn/shop/products/photo_3800_medium_86f45e25-a764-4839-bc84-759a6ce1c7bd.jpg?v=1659910436")</f>
        <v>#NAME?</v>
      </c>
      <c r="H1185" t="e">
        <f ca="1">_xludf.IMAGE("https://m.media-amazon.com/images/I/71CBn8jMCiL._AC_UL320_.jpg")</f>
        <v>#NAME?</v>
      </c>
      <c r="I1185" t="s">
        <v>1543</v>
      </c>
      <c r="J1185">
        <v>103.85</v>
      </c>
      <c r="K1185" s="4">
        <v>0.50529999999999997</v>
      </c>
      <c r="L1185">
        <v>4.3</v>
      </c>
      <c r="M1185">
        <v>157</v>
      </c>
      <c r="O1185" t="s">
        <v>25</v>
      </c>
      <c r="P1185" t="s">
        <v>1544</v>
      </c>
      <c r="Q1185" t="s">
        <v>1545</v>
      </c>
    </row>
    <row r="1186" spans="1:17" ht="15.5" x14ac:dyDescent="0.35">
      <c r="A1186" s="3" t="str">
        <f>HYPERLINK("https://edmondsonsupply.com/collections/hvac/products/channellock-432", "https://edmondsonsupply.com/collections/hvac/products/channellock-432")</f>
        <v>https://edmondsonsupply.com/collections/hvac/products/channellock-432</v>
      </c>
      <c r="B1186" s="3" t="str">
        <f>HYPERLINK("https://edmondsonsupply.com/products/channellock-432", "https://edmondsonsupply.com/products/channellock-432")</f>
        <v>https://edmondsonsupply.com/products/channellock-432</v>
      </c>
      <c r="C1186" t="s">
        <v>2472</v>
      </c>
      <c r="D1186" t="s">
        <v>3112</v>
      </c>
      <c r="E1186" s="3" t="str">
        <f>HYPERLINK("https://www.amazon.com/CHANNELLOCK-440X-12-inch-SPEEDGRIP-Straight/dp/B07R11V4X3/ref=sr_1_2?keywords=Channellock+440+12%22+Straight+Jaw+Tongue+%26+Groove+Pliers&amp;qid=1695173686&amp;sr=8-2", "https://www.amazon.com/CHANNELLOCK-440X-12-inch-SPEEDGRIP-Straight/dp/B07R11V4X3/ref=sr_1_2?keywords=Channellock+440+12%22+Straight+Jaw+Tongue+%26+Groove+Pliers&amp;qid=1695173686&amp;sr=8-2")</f>
        <v>https://www.amazon.com/CHANNELLOCK-440X-12-inch-SPEEDGRIP-Straight/dp/B07R11V4X3/ref=sr_1_2?keywords=Channellock+440+12%22+Straight+Jaw+Tongue+%26+Groove+Pliers&amp;qid=1695173686&amp;sr=8-2</v>
      </c>
      <c r="F1186" t="s">
        <v>3113</v>
      </c>
      <c r="G1186" t="e">
        <f ca="1">_xludf.IMAGE("https://edmondsonsupply.com/cdn/shop/products/440-546x1024.jpg?v=1587148892")</f>
        <v>#NAME?</v>
      </c>
      <c r="H1186" t="e">
        <f ca="1">_xludf.IMAGE("https://m.media-amazon.com/images/I/61zy7hHkDbL._AC_UL320_.jpg")</f>
        <v>#NAME?</v>
      </c>
      <c r="I1186" t="s">
        <v>2475</v>
      </c>
      <c r="J1186">
        <v>32.950000000000003</v>
      </c>
      <c r="K1186" s="4">
        <v>0.50109999999999999</v>
      </c>
      <c r="L1186">
        <v>4.4000000000000004</v>
      </c>
      <c r="M1186">
        <v>578</v>
      </c>
      <c r="O1186" t="s">
        <v>25</v>
      </c>
      <c r="P1186" t="s">
        <v>2476</v>
      </c>
      <c r="Q1186" t="s">
        <v>2477</v>
      </c>
    </row>
    <row r="1187" spans="1:17" ht="15.5" x14ac:dyDescent="0.35">
      <c r="A1187"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187" s="3" t="str">
        <f>HYPERLINK("https://edmondsonsupply.com/products/klein-tools-646-5-16-5-16-inch-nut-driver-6-inch-hollow-shaft", "https://edmondsonsupply.com/products/klein-tools-646-5-16-5-16-inch-nut-driver-6-inch-hollow-shaft")</f>
        <v>https://edmondsonsupply.com/products/klein-tools-646-5-16-5-16-inch-nut-driver-6-inch-hollow-shaft</v>
      </c>
      <c r="C1187" t="s">
        <v>1893</v>
      </c>
      <c r="D1187" t="s">
        <v>3114</v>
      </c>
      <c r="E1187" s="3" t="str">
        <f>HYPERLINK("https://www.amazon.com/Magnetic-Comfordome-Klein-Tools-S106M/dp/B0002RIA26/ref=sr_1_4?keywords=Klein+Tools+646-5%2F16+5%2F16-Inch+Nut+Driver%2C+6-Inch+Hollow+Shaft&amp;qid=1695173549&amp;sr=8-4", "https://www.amazon.com/Magnetic-Comfordome-Klein-Tools-S106M/dp/B0002RIA26/ref=sr_1_4?keywords=Klein+Tools+646-5%2F16+5%2F16-Inch+Nut+Driver%2C+6-Inch+Hollow+Shaft&amp;qid=1695173549&amp;sr=8-4")</f>
        <v>https://www.amazon.com/Magnetic-Comfordome-Klein-Tools-S106M/dp/B0002RIA26/ref=sr_1_4?keywords=Klein+Tools+646-5%2F16+5%2F16-Inch+Nut+Driver%2C+6-Inch+Hollow+Shaft&amp;qid=1695173549&amp;sr=8-4</v>
      </c>
      <c r="F1187" t="s">
        <v>3115</v>
      </c>
      <c r="G1187" t="e">
        <f ca="1">_xludf.IMAGE("https://edmondsonsupply.com/cdn/shop/products/646-1-2_e1540905-f750-4509-90c5-74ff653e4d83.jpg?v=1587145119")</f>
        <v>#NAME?</v>
      </c>
      <c r="H1187" t="e">
        <f ca="1">_xludf.IMAGE("https://m.media-amazon.com/images/I/310q8QPN+KL._AC_UL320_.jpg")</f>
        <v>#NAME?</v>
      </c>
      <c r="I1187" t="s">
        <v>1003</v>
      </c>
      <c r="J1187">
        <v>11.99</v>
      </c>
      <c r="K1187" s="4">
        <v>0.50060000000000004</v>
      </c>
      <c r="L1187">
        <v>4.5999999999999996</v>
      </c>
      <c r="M1187">
        <v>231</v>
      </c>
      <c r="O1187" t="s">
        <v>25</v>
      </c>
      <c r="P1187" t="s">
        <v>1481</v>
      </c>
      <c r="Q1187" t="s">
        <v>1896</v>
      </c>
    </row>
    <row r="1188" spans="1:17" ht="15.5" x14ac:dyDescent="0.35">
      <c r="A1188"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188" s="3" t="str">
        <f>HYPERLINK("https://edmondsonsupply.com/products/klein-tools-646-5-16-5-16-inch-nut-driver-6-inch-hollow-shaft", "https://edmondsonsupply.com/products/klein-tools-646-5-16-5-16-inch-nut-driver-6-inch-hollow-shaft")</f>
        <v>https://edmondsonsupply.com/products/klein-tools-646-5-16-5-16-inch-nut-driver-6-inch-hollow-shaft</v>
      </c>
      <c r="C1188" t="s">
        <v>1893</v>
      </c>
      <c r="D1188" t="s">
        <v>3116</v>
      </c>
      <c r="E1188" s="3" t="str">
        <f>HYPERLINK("https://www.amazon.com/Heavy-Duty-Driver-16-Inch-Klein-Tools/dp/B01D6FKW58/ref=sr_1_10?keywords=Klein+Tools+646-5%2F16+5%2F16-Inch+Nut+Driver%2C+6-Inch+Hollow+Shaft&amp;qid=1695173549&amp;sr=8-10", "https://www.amazon.com/Heavy-Duty-Driver-16-Inch-Klein-Tools/dp/B01D6FKW58/ref=sr_1_10?keywords=Klein+Tools+646-5%2F16+5%2F16-Inch+Nut+Driver%2C+6-Inch+Hollow+Shaft&amp;qid=1695173549&amp;sr=8-10")</f>
        <v>https://www.amazon.com/Heavy-Duty-Driver-16-Inch-Klein-Tools/dp/B01D6FKW58/ref=sr_1_10?keywords=Klein+Tools+646-5%2F16+5%2F16-Inch+Nut+Driver%2C+6-Inch+Hollow+Shaft&amp;qid=1695173549&amp;sr=8-10</v>
      </c>
      <c r="F1188" t="s">
        <v>3117</v>
      </c>
      <c r="G1188" t="e">
        <f ca="1">_xludf.IMAGE("https://edmondsonsupply.com/cdn/shop/products/646-1-2_e1540905-f750-4509-90c5-74ff653e4d83.jpg?v=1587145119")</f>
        <v>#NAME?</v>
      </c>
      <c r="H1188" t="e">
        <f ca="1">_xludf.IMAGE("https://m.media-amazon.com/images/I/41FuKJjYruL._AC_UL320_.jpg")</f>
        <v>#NAME?</v>
      </c>
      <c r="I1188" t="s">
        <v>1003</v>
      </c>
      <c r="J1188">
        <v>11.99</v>
      </c>
      <c r="K1188" s="4">
        <v>0.50060000000000004</v>
      </c>
      <c r="L1188">
        <v>4.7</v>
      </c>
      <c r="M1188">
        <v>971</v>
      </c>
      <c r="O1188" t="s">
        <v>25</v>
      </c>
      <c r="P1188" t="s">
        <v>1481</v>
      </c>
      <c r="Q1188" t="s">
        <v>1896</v>
      </c>
    </row>
    <row r="1189" spans="1:17" ht="15.5" x14ac:dyDescent="0.35">
      <c r="A1189"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1189"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1189" t="s">
        <v>3118</v>
      </c>
      <c r="D1189" t="s">
        <v>3119</v>
      </c>
      <c r="E1189" s="3" t="str">
        <f>HYPERLINK("https://www.amazon.com/Journeyman-T-Handle-Klein-Tools-JTH9E17/dp/B004QV6NL4/ref=sr_1_2?keywords=Klein+Tools+JTH4E17+1%2F2-Inch+Hex+Key%2C+Journeyman+T-Handle%2C+4-Inch&amp;qid=1695173633&amp;sr=8-2", "https://www.amazon.com/Journeyman-T-Handle-Klein-Tools-JTH9E17/dp/B004QV6NL4/ref=sr_1_2?keywords=Klein+Tools+JTH4E17+1%2F2-Inch+Hex+Key%2C+Journeyman+T-Handle%2C+4-Inch&amp;qid=1695173633&amp;sr=8-2")</f>
        <v>https://www.amazon.com/Journeyman-T-Handle-Klein-Tools-JTH9E17/dp/B004QV6NL4/ref=sr_1_2?keywords=Klein+Tools+JTH4E17+1%2F2-Inch+Hex+Key%2C+Journeyman+T-Handle%2C+4-Inch&amp;qid=1695173633&amp;sr=8-2</v>
      </c>
      <c r="F1189" t="s">
        <v>3120</v>
      </c>
      <c r="G1189" t="e">
        <f ca="1">_xludf.IMAGE("https://edmondsonsupply.com/cdn/shop/products/jth4e17_583549be-7b42-43c7-9c3d-a92f2416ede5.jpg?v=1610655610")</f>
        <v>#NAME?</v>
      </c>
      <c r="H1189" t="e">
        <f ca="1">_xludf.IMAGE("https://m.media-amazon.com/images/I/51Yb8h41vLL._AC_UL320_.jpg")</f>
        <v>#NAME?</v>
      </c>
      <c r="I1189" t="s">
        <v>252</v>
      </c>
      <c r="J1189">
        <v>23.99</v>
      </c>
      <c r="K1189" s="4">
        <v>0.50029999999999997</v>
      </c>
      <c r="L1189">
        <v>4.8</v>
      </c>
      <c r="M1189">
        <v>194</v>
      </c>
      <c r="O1189" t="s">
        <v>25</v>
      </c>
      <c r="P1189" t="s">
        <v>3121</v>
      </c>
      <c r="Q1189" t="s">
        <v>3122</v>
      </c>
    </row>
    <row r="1190" spans="1:17" ht="15.5" x14ac:dyDescent="0.35">
      <c r="A1190" s="3" t="str">
        <f>HYPERLINK("https://edmondsonsupply.com/collections/hvac/products/klein-tools-935r-aluminum-torpedo-level-rare-earth-magnet", "https://edmondsonsupply.com/collections/hvac/products/klein-tools-935r-aluminum-torpedo-level-rare-earth-magnet")</f>
        <v>https://edmondsonsupply.com/collections/hvac/products/klein-tools-935r-aluminum-torpedo-level-rare-earth-magnet</v>
      </c>
      <c r="B1190" s="3" t="str">
        <f>HYPERLINK("https://edmondsonsupply.com/products/klein-tools-935r-aluminum-torpedo-level-rare-earth-magnet", "https://edmondsonsupply.com/products/klein-tools-935r-aluminum-torpedo-level-rare-earth-magnet")</f>
        <v>https://edmondsonsupply.com/products/klein-tools-935r-aluminum-torpedo-level-rare-earth-magnet</v>
      </c>
      <c r="C1190" t="s">
        <v>3123</v>
      </c>
      <c r="D1190" t="s">
        <v>3124</v>
      </c>
      <c r="E1190" s="3" t="str">
        <f>HYPERLINK("https://www.amazon.com/Magnetic-Torpedo-Klein-Tools-9319RETT/dp/B01FFTADZW/ref=sr_1_2?keywords=Klein+Tools+935R+Aluminum+Torpedo+Level+Rare+Earth+Magnet%2C+9-Inch&amp;qid=1695173569&amp;sr=8-2", "https://www.amazon.com/Magnetic-Torpedo-Klein-Tools-9319RETT/dp/B01FFTADZW/ref=sr_1_2?keywords=Klein+Tools+935R+Aluminum+Torpedo+Level+Rare+Earth+Magnet%2C+9-Inch&amp;qid=1695173569&amp;sr=8-2")</f>
        <v>https://www.amazon.com/Magnetic-Torpedo-Klein-Tools-9319RETT/dp/B01FFTADZW/ref=sr_1_2?keywords=Klein+Tools+935R+Aluminum+Torpedo+Level+Rare+Earth+Magnet%2C+9-Inch&amp;qid=1695173569&amp;sr=8-2</v>
      </c>
      <c r="F1190" t="s">
        <v>3125</v>
      </c>
      <c r="G1190" t="e">
        <f ca="1">_xludf.IMAGE("https://edmondsonsupply.com/cdn/shop/products/935r_b.jpg?v=1658103129")</f>
        <v>#NAME?</v>
      </c>
      <c r="H1190" t="e">
        <f ca="1">_xludf.IMAGE("https://m.media-amazon.com/images/I/51koTKccewL._AC_UL320_.jpg")</f>
        <v>#NAME?</v>
      </c>
      <c r="I1190" t="s">
        <v>577</v>
      </c>
      <c r="J1190">
        <v>29.99</v>
      </c>
      <c r="K1190" s="4">
        <v>0.50029999999999997</v>
      </c>
      <c r="L1190">
        <v>4.4000000000000004</v>
      </c>
      <c r="M1190">
        <v>66</v>
      </c>
      <c r="O1190" t="s">
        <v>25</v>
      </c>
      <c r="P1190" t="s">
        <v>466</v>
      </c>
      <c r="Q1190" t="s">
        <v>3126</v>
      </c>
    </row>
    <row r="1191" spans="1:17" ht="15.5" x14ac:dyDescent="0.35">
      <c r="A1191" s="3" t="str">
        <f>HYPERLINK("https://edmondsonsupply.com/collections/hvac/products/white-rodgers-50m56u-843-integrated-furnace-control-board-universal-replacement", "https://edmondsonsupply.com/collections/hvac/products/white-rodgers-50m56u-843-integrated-furnace-control-board-universal-replacement")</f>
        <v>https://edmondsonsupply.com/collections/hvac/products/white-rodgers-50m56u-843-integrated-furnace-control-board-universal-replacement</v>
      </c>
      <c r="B1191" s="3" t="str">
        <f>HYPERLINK("https://edmondsonsupply.com/products/white-rodgers-50m56u-843-integrated-furnace-control-board-universal-replacement", "https://edmondsonsupply.com/products/white-rodgers-50m56u-843-integrated-furnace-control-board-universal-replacement")</f>
        <v>https://edmondsonsupply.com/products/white-rodgers-50m56u-843-integrated-furnace-control-board-universal-replacement</v>
      </c>
      <c r="C1191" t="s">
        <v>3127</v>
      </c>
      <c r="D1191" t="s">
        <v>2693</v>
      </c>
      <c r="E1191" s="3" t="str">
        <f>HYPERLINK("https://www.amazon.com/White-Rodgers-21V51U-843-Universal-Circulator-Replacement/dp/B008FVEJVW/ref=sr_1_2?keywords=White-Rodgers+50M56U-843+Integrated+Furnace+Control+Board%2C+Universal+Replacement&amp;qid=1695173373&amp;sr=8-2", "https://www.amazon.com/White-Rodgers-21V51U-843-Universal-Circulator-Replacement/dp/B008FVEJVW/ref=sr_1_2?keywords=White-Rodgers+50M56U-843+Integrated+Furnace+Control+Board%2C+Universal+Replacement&amp;qid=1695173373&amp;sr=8-2")</f>
        <v>https://www.amazon.com/White-Rodgers-21V51U-843-Universal-Circulator-Replacement/dp/B008FVEJVW/ref=sr_1_2?keywords=White-Rodgers+50M56U-843+Integrated+Furnace+Control+Board%2C+Universal+Replacement&amp;qid=1695173373&amp;sr=8-2</v>
      </c>
      <c r="F1191" t="s">
        <v>2694</v>
      </c>
      <c r="G1191" t="e">
        <f ca="1">_xludf.IMAGE("https://edmondsonsupply.com/cdn/shop/products/integrated-furnace-controls-universal-replacement-img-4a.jpg?v=1633030752")</f>
        <v>#NAME?</v>
      </c>
      <c r="H1191" t="e">
        <f ca="1">_xludf.IMAGE("https://m.media-amazon.com/images/I/81dVW6SXcmL._AC_UL320_.jpg")</f>
        <v>#NAME?</v>
      </c>
      <c r="I1191" t="s">
        <v>3128</v>
      </c>
      <c r="J1191">
        <v>241.4</v>
      </c>
      <c r="K1191" s="4">
        <v>0.50009999999999999</v>
      </c>
      <c r="L1191">
        <v>5</v>
      </c>
      <c r="M1191">
        <v>2</v>
      </c>
      <c r="O1191" t="s">
        <v>25</v>
      </c>
      <c r="P1191" t="s">
        <v>3129</v>
      </c>
      <c r="Q1191" t="s">
        <v>3130</v>
      </c>
    </row>
    <row r="1192" spans="1:17" ht="15.5" x14ac:dyDescent="0.35">
      <c r="A1192" s="3" t="str">
        <f>HYPERLINK("https://edmondsonsupply.com/collections/hvac/products/midwest-mwt-a2-scribe", "https://edmondsonsupply.com/collections/hvac/products/midwest-mwt-a2-scribe")</f>
        <v>https://edmondsonsupply.com/collections/hvac/products/midwest-mwt-a2-scribe</v>
      </c>
      <c r="B1192" s="3" t="str">
        <f>HYPERLINK("https://edmondsonsupply.com/products/midwest-mwt-a2-scribe", "https://edmondsonsupply.com/products/midwest-mwt-a2-scribe")</f>
        <v>https://edmondsonsupply.com/products/midwest-mwt-a2-scribe</v>
      </c>
      <c r="C1192" t="s">
        <v>3131</v>
      </c>
      <c r="D1192" t="s">
        <v>3132</v>
      </c>
      <c r="E1192" s="3" t="str">
        <f>HYPERLINK("https://www.amazon.com/Midwest-Tool-Cutlery-MWT-A2-Measure/dp/B01BYRB3F8/ref=sr_1_1?keywords=Midwest+MWT-A2+Scribe+Mark&amp;qid=1695173444&amp;sr=8-1", "https://www.amazon.com/Midwest-Tool-Cutlery-MWT-A2-Measure/dp/B01BYRB3F8/ref=sr_1_1?keywords=Midwest+MWT-A2+Scribe+Mark&amp;qid=1695173444&amp;sr=8-1")</f>
        <v>https://www.amazon.com/Midwest-Tool-Cutlery-MWT-A2-Measure/dp/B01BYRB3F8/ref=sr_1_1?keywords=Midwest+MWT-A2+Scribe+Mark&amp;qid=1695173444&amp;sr=8-1</v>
      </c>
      <c r="F1192" t="s">
        <v>3133</v>
      </c>
      <c r="G1192" t="e">
        <f ca="1">_xludf.IMAGE("https://edmondsonsupply.com/cdn/shop/products/MWT-A2.jpg?v=1587142621")</f>
        <v>#NAME?</v>
      </c>
      <c r="H1192" t="e">
        <f ca="1">_xludf.IMAGE("https://m.media-amazon.com/images/I/61q8gTLBh0L._AC_UL320_.jpg")</f>
        <v>#NAME?</v>
      </c>
      <c r="I1192" t="s">
        <v>3134</v>
      </c>
      <c r="J1192">
        <v>9.18</v>
      </c>
      <c r="K1192" s="4">
        <v>0.5</v>
      </c>
      <c r="L1192">
        <v>4.8</v>
      </c>
      <c r="M1192">
        <v>68</v>
      </c>
      <c r="O1192" t="s">
        <v>25</v>
      </c>
      <c r="P1192" t="s">
        <v>3135</v>
      </c>
      <c r="Q1192" t="s">
        <v>3136</v>
      </c>
    </row>
    <row r="1193" spans="1:17" ht="15.5" x14ac:dyDescent="0.35">
      <c r="A1193" s="3" t="str">
        <f>HYPERLINK("https://edmondsonsupply.com/collections/hvac/products/klein-tools-94130-1000v-insulated-tool-kit-5-piece", "https://edmondsonsupply.com/collections/hvac/products/klein-tools-94130-1000v-insulated-tool-kit-5-piece")</f>
        <v>https://edmondsonsupply.com/collections/hvac/products/klein-tools-94130-1000v-insulated-tool-kit-5-piece</v>
      </c>
      <c r="B1193" s="3" t="str">
        <f>HYPERLINK("https://edmondsonsupply.com/products/klein-tools-94130-1000v-insulated-tool-kit-5-piece", "https://edmondsonsupply.com/products/klein-tools-94130-1000v-insulated-tool-kit-5-piece")</f>
        <v>https://edmondsonsupply.com/products/klein-tools-94130-1000v-insulated-tool-kit-5-piece</v>
      </c>
      <c r="C1193" t="s">
        <v>2221</v>
      </c>
      <c r="D1193" t="s">
        <v>3137</v>
      </c>
      <c r="E1193" s="3" t="str">
        <f>HYPERLINK("https://www.amazon.com/Klein-Tools-Insulated-Screwdriver-Multi-Bit/dp/B0B56SPFP5/ref=sr_1_4?keywords=Klein+Tools+94130+1000V+Insulated+Tool+Kit%2C+5-Piece&amp;qid=1695173544&amp;sr=8-4", "https://www.amazon.com/Klein-Tools-Insulated-Screwdriver-Multi-Bit/dp/B0B56SPFP5/ref=sr_1_4?keywords=Klein+Tools+94130+1000V+Insulated+Tool+Kit%2C+5-Piece&amp;qid=1695173544&amp;sr=8-4")</f>
        <v>https://www.amazon.com/Klein-Tools-Insulated-Screwdriver-Multi-Bit/dp/B0B56SPFP5/ref=sr_1_4?keywords=Klein+Tools+94130+1000V+Insulated+Tool+Kit%2C+5-Piece&amp;qid=1695173544&amp;sr=8-4</v>
      </c>
      <c r="F1193" t="s">
        <v>3138</v>
      </c>
      <c r="G1193" t="e">
        <f ca="1">_xludf.IMAGE("https://edmondsonsupply.com/cdn/shop/products/94130.jpg?v=1633030386")</f>
        <v>#NAME?</v>
      </c>
      <c r="H1193" t="e">
        <f ca="1">_xludf.IMAGE("https://m.media-amazon.com/images/I/51tr7--NQkL._AC_UL320_.jpg")</f>
        <v>#NAME?</v>
      </c>
      <c r="I1193" t="s">
        <v>2224</v>
      </c>
      <c r="J1193">
        <v>149.97999999999999</v>
      </c>
      <c r="K1193" s="4">
        <v>0.49990000000000001</v>
      </c>
      <c r="L1193">
        <v>4.9000000000000004</v>
      </c>
      <c r="M1193">
        <v>11</v>
      </c>
      <c r="O1193" t="s">
        <v>25</v>
      </c>
      <c r="P1193" t="s">
        <v>2225</v>
      </c>
      <c r="Q1193" t="s">
        <v>2226</v>
      </c>
    </row>
    <row r="1194" spans="1:17" ht="15.5" x14ac:dyDescent="0.35">
      <c r="A1194" s="3" t="str">
        <f>HYPERLINK("https://edmondsonsupply.com/collections/hvac/products/rectorseal-66731-nokink-1-4-x-3-flexible-refrigerant-line-connector", "https://edmondsonsupply.com/collections/hvac/products/rectorseal-66731-nokink-1-4-x-3-flexible-refrigerant-line-connector")</f>
        <v>https://edmondsonsupply.com/collections/hvac/products/rectorseal-66731-nokink-1-4-x-3-flexible-refrigerant-line-connector</v>
      </c>
      <c r="B1194" s="3" t="str">
        <f>HYPERLINK("https://edmondsonsupply.com/products/rectorseal-66731-nokink-1-4-x-3-flexible-refrigerant-line-connector", "https://edmondsonsupply.com/products/rectorseal-66731-nokink-1-4-x-3-flexible-refrigerant-line-connector")</f>
        <v>https://edmondsonsupply.com/products/rectorseal-66731-nokink-1-4-x-3-flexible-refrigerant-line-connector</v>
      </c>
      <c r="C1194" t="s">
        <v>3139</v>
      </c>
      <c r="D1194" t="s">
        <v>3140</v>
      </c>
      <c r="E1194" s="3" t="str">
        <f>HYPERLINK("https://www.amazon.com/Rectorseal-66737-Flexible-Refrigerant-Connector/dp/B010M22SNM/ref=sr_1_1?keywords=RectorSeal+66731+NoKink+1%2F4%22+x+3%27+Flexible+Refrigerant+Line+Connector&amp;qid=1695173362&amp;sr=8-1", "https://www.amazon.com/Rectorseal-66737-Flexible-Refrigerant-Connector/dp/B010M22SNM/ref=sr_1_1?keywords=RectorSeal+66731+NoKink+1%2F4%22+x+3%27+Flexible+Refrigerant+Line+Connector&amp;qid=1695173362&amp;sr=8-1")</f>
        <v>https://www.amazon.com/Rectorseal-66737-Flexible-Refrigerant-Connector/dp/B010M22SNM/ref=sr_1_1?keywords=RectorSeal+66731+NoKink+1%2F4%22+x+3%27+Flexible+Refrigerant+Line+Connector&amp;qid=1695173362&amp;sr=8-1</v>
      </c>
      <c r="F1194" t="s">
        <v>3141</v>
      </c>
      <c r="G1194" t="e">
        <f ca="1">_xludf.IMAGE("https://edmondsonsupply.com/cdn/shop/products/66731-1.jpg?v=1632257869")</f>
        <v>#NAME?</v>
      </c>
      <c r="H1194" t="e">
        <f ca="1">_xludf.IMAGE("https://m.media-amazon.com/images/I/4101YLR79GL._AC_UY218_.jpg")</f>
        <v>#NAME?</v>
      </c>
      <c r="I1194" t="s">
        <v>905</v>
      </c>
      <c r="J1194">
        <v>89.97</v>
      </c>
      <c r="K1194" s="4">
        <v>0.49969999999999998</v>
      </c>
      <c r="L1194">
        <v>4.5</v>
      </c>
      <c r="M1194">
        <v>6</v>
      </c>
      <c r="O1194" t="s">
        <v>25</v>
      </c>
      <c r="P1194" t="s">
        <v>138</v>
      </c>
      <c r="Q1194" t="s">
        <v>3142</v>
      </c>
    </row>
    <row r="1195" spans="1:17" ht="15.5" x14ac:dyDescent="0.35">
      <c r="A1195" s="3" t="str">
        <f>HYPERLINK("https://edmondsonsupply.com/collections/hvac/products/klein-tools-32907-7-in-1-impact-flip-socket-set-no-handle", "https://edmondsonsupply.com/collections/hvac/products/klein-tools-32907-7-in-1-impact-flip-socket-set-no-handle")</f>
        <v>https://edmondsonsupply.com/collections/hvac/products/klein-tools-32907-7-in-1-impact-flip-socket-set-no-handle</v>
      </c>
      <c r="B1195" s="3" t="str">
        <f>HYPERLINK("https://edmondsonsupply.com/products/klein-tools-32907-7-in-1-impact-flip-socket-set-no-handle", "https://edmondsonsupply.com/products/klein-tools-32907-7-in-1-impact-flip-socket-set-no-handle")</f>
        <v>https://edmondsonsupply.com/products/klein-tools-32907-7-in-1-impact-flip-socket-set-no-handle</v>
      </c>
      <c r="C1195" t="s">
        <v>1833</v>
      </c>
      <c r="D1195" t="s">
        <v>3143</v>
      </c>
      <c r="E1195" s="3" t="str">
        <f>HYPERLINK("https://www.amazon.com/Klein-Tools-Precision-Screwdriver-Multi-Function/dp/B0CB12C2ND/ref=sr_1_7?keywords=Klein+Tools+32907+7-in-1+Impact+Flip+Socket+Set%2C+No+Handle&amp;qid=1695173428&amp;sr=8-7", "https://www.amazon.com/Klein-Tools-Precision-Screwdriver-Multi-Function/dp/B0CB12C2ND/ref=sr_1_7?keywords=Klein+Tools+32907+7-in-1+Impact+Flip+Socket+Set%2C+No+Handle&amp;qid=1695173428&amp;sr=8-7")</f>
        <v>https://www.amazon.com/Klein-Tools-Precision-Screwdriver-Multi-Function/dp/B0CB12C2ND/ref=sr_1_7?keywords=Klein+Tools+32907+7-in-1+Impact+Flip+Socket+Set%2C+No+Handle&amp;qid=1695173428&amp;sr=8-7</v>
      </c>
      <c r="F1195" t="s">
        <v>3144</v>
      </c>
      <c r="G1195" t="e">
        <f ca="1">_xludf.IMAGE("https://edmondsonsupply.com/cdn/shop/products/32907_b.jpg?v=1666025282")</f>
        <v>#NAME?</v>
      </c>
      <c r="H1195" t="e">
        <f ca="1">_xludf.IMAGE("https://m.media-amazon.com/images/I/51QIIQOlsBL._AC_UL320_.jpg")</f>
        <v>#NAME?</v>
      </c>
      <c r="I1195" t="s">
        <v>577</v>
      </c>
      <c r="J1195">
        <v>29.97</v>
      </c>
      <c r="K1195" s="4">
        <v>0.49919999999999998</v>
      </c>
      <c r="L1195">
        <v>4.9000000000000004</v>
      </c>
      <c r="M1195">
        <v>2770</v>
      </c>
      <c r="O1195" t="s">
        <v>25</v>
      </c>
      <c r="P1195" t="s">
        <v>1836</v>
      </c>
      <c r="Q1195" t="s">
        <v>1837</v>
      </c>
    </row>
    <row r="1196" spans="1:17" ht="15.5" x14ac:dyDescent="0.35">
      <c r="A1196" s="3" t="str">
        <f>HYPERLINK("https://edmondsonsupply.com/collections/hvac/products/icm-controls-icm289-furnace-control-board-replacement-for-lennox", "https://edmondsonsupply.com/collections/hvac/products/icm-controls-icm289-furnace-control-board-replacement-for-lennox")</f>
        <v>https://edmondsonsupply.com/collections/hvac/products/icm-controls-icm289-furnace-control-board-replacement-for-lennox</v>
      </c>
      <c r="B1196" s="3" t="str">
        <f>HYPERLINK("https://edmondsonsupply.com/products/icm-controls-icm289-furnace-control-board-replacement-for-lennox", "https://edmondsonsupply.com/products/icm-controls-icm289-furnace-control-board-replacement-for-lennox")</f>
        <v>https://edmondsonsupply.com/products/icm-controls-icm289-furnace-control-board-replacement-for-lennox</v>
      </c>
      <c r="C1196" t="s">
        <v>2160</v>
      </c>
      <c r="D1196" t="s">
        <v>3145</v>
      </c>
      <c r="E1196" s="3" t="str">
        <f>HYPERLINK("https://www.amazon.com/65K29-Lennox-ICM-Replacement-Furnace-Control/dp/B00G0394AS/ref=sr_1_5?keywords=ICM+Controls+ICM289+Furnace+Control+Board+-+Replacement+for+Lennox&amp;qid=1695173465&amp;sr=8-5", "https://www.amazon.com/65K29-Lennox-ICM-Replacement-Furnace-Control/dp/B00G0394AS/ref=sr_1_5?keywords=ICM+Controls+ICM289+Furnace+Control+Board+-+Replacement+for+Lennox&amp;qid=1695173465&amp;sr=8-5")</f>
        <v>https://www.amazon.com/65K29-Lennox-ICM-Replacement-Furnace-Control/dp/B00G0394AS/ref=sr_1_5?keywords=ICM+Controls+ICM289+Furnace+Control+Board+-+Replacement+for+Lennox&amp;qid=1695173465&amp;sr=8-5</v>
      </c>
      <c r="F1196" t="s">
        <v>3146</v>
      </c>
      <c r="G1196" t="e">
        <f ca="1">_xludf.IMAGE("https://edmondsonsupply.com/cdn/shop/products/photo_3601_medium_abc82be0-5d13-465a-9be5-04a6748e2d27.png?v=1656728911")</f>
        <v>#NAME?</v>
      </c>
      <c r="H1196" t="e">
        <f ca="1">_xludf.IMAGE("https://m.media-amazon.com/images/I/51FAYYdFMhL._AC_UL320_.jpg")</f>
        <v>#NAME?</v>
      </c>
      <c r="I1196" t="s">
        <v>460</v>
      </c>
      <c r="J1196">
        <v>201.99</v>
      </c>
      <c r="K1196" s="4">
        <v>0.49630000000000002</v>
      </c>
      <c r="L1196">
        <v>5</v>
      </c>
      <c r="M1196">
        <v>1</v>
      </c>
      <c r="O1196" t="s">
        <v>171</v>
      </c>
      <c r="P1196" t="s">
        <v>2163</v>
      </c>
      <c r="Q1196" t="s">
        <v>2164</v>
      </c>
    </row>
    <row r="1197" spans="1:17" ht="15.5" x14ac:dyDescent="0.35">
      <c r="A1197" s="3" t="str">
        <f>HYPERLINK("https://edmondsonsupply.com/collections/hvac/products/hilmor-1839032-cbk-compact-bender-kit-1-4-to-7-8", "https://edmondsonsupply.com/collections/hvac/products/hilmor-1839032-cbk-compact-bender-kit-1-4-to-7-8")</f>
        <v>https://edmondsonsupply.com/collections/hvac/products/hilmor-1839032-cbk-compact-bender-kit-1-4-to-7-8</v>
      </c>
      <c r="B1197" s="3" t="str">
        <f>HYPERLINK("https://edmondsonsupply.com/products/hilmor-1839032-cbk-compact-bender-kit-1-4-to-7-8", "https://edmondsonsupply.com/products/hilmor-1839032-cbk-compact-bender-kit-1-4-to-7-8")</f>
        <v>https://edmondsonsupply.com/products/hilmor-1839032-cbk-compact-bender-kit-1-4-to-7-8</v>
      </c>
      <c r="C1197" t="s">
        <v>3147</v>
      </c>
      <c r="D1197" t="s">
        <v>3148</v>
      </c>
      <c r="E1197" s="3" t="str">
        <f>HYPERLINK("https://www.amazon.com/hilmor-Compact-Reverse-Bending-Attachment/dp/B0BQ5F2JVJ/ref=sr_1_6?keywords=Hilmor+1839032+CBK+Compact+Bender+Kit+-+1%2F4%22+to+7%2F8%22&amp;qid=1695173356&amp;sr=8-6", "https://www.amazon.com/hilmor-Compact-Reverse-Bending-Attachment/dp/B0BQ5F2JVJ/ref=sr_1_6?keywords=Hilmor+1839032+CBK+Compact+Bender+Kit+-+1%2F4%22+to+7%2F8%22&amp;qid=1695173356&amp;sr=8-6")</f>
        <v>https://www.amazon.com/hilmor-Compact-Reverse-Bending-Attachment/dp/B0BQ5F2JVJ/ref=sr_1_6?keywords=Hilmor+1839032+CBK+Compact+Bender+Kit+-+1%2F4%22+to+7%2F8%22&amp;qid=1695173356&amp;sr=8-6</v>
      </c>
      <c r="F1197" t="s">
        <v>3149</v>
      </c>
      <c r="G1197" t="e">
        <f ca="1">_xludf.IMAGE("https://edmondsonsupply.com/cdn/shop/products/Compact_Bender_Detail_5_724px_Compact_Bender_Kit-600x400_3831f819-be7d-4c1e-971e-3b6358aeff8e.jpg?v=1620520717")</f>
        <v>#NAME?</v>
      </c>
      <c r="H1197" t="e">
        <f ca="1">_xludf.IMAGE("https://m.media-amazon.com/images/I/51hyNMjbjEL._AC_UL320_.jpg")</f>
        <v>#NAME?</v>
      </c>
      <c r="I1197" t="s">
        <v>3150</v>
      </c>
      <c r="J1197">
        <v>286.99</v>
      </c>
      <c r="K1197" s="4">
        <v>0.49630000000000002</v>
      </c>
      <c r="L1197">
        <v>5</v>
      </c>
      <c r="M1197">
        <v>1</v>
      </c>
      <c r="O1197" t="s">
        <v>25</v>
      </c>
      <c r="P1197" t="s">
        <v>3151</v>
      </c>
      <c r="Q1197" t="s">
        <v>3152</v>
      </c>
    </row>
    <row r="1198" spans="1:17" ht="15.5" x14ac:dyDescent="0.35">
      <c r="A1198" s="3" t="str">
        <f>HYPERLINK("https://edmondsonsupply.com/collections/hvac/products/fresh-aire-uv-blue-tube-uv-tuv-bter2-18-32-vac-2-year-uv-lamp", "https://edmondsonsupply.com/collections/hvac/products/fresh-aire-uv-blue-tube-uv-tuv-bter2-18-32-vac-2-year-uv-lamp")</f>
        <v>https://edmondsonsupply.com/collections/hvac/products/fresh-aire-uv-blue-tube-uv-tuv-bter2-18-32-vac-2-year-uv-lamp</v>
      </c>
      <c r="B1198" s="3" t="str">
        <f>HYPERLINK("https://edmondsonsupply.com/products/fresh-aire-uv-blue-tube-uv-tuv-bter2-18-32-vac-2-year-uv-lamp", "https://edmondsonsupply.com/products/fresh-aire-uv-blue-tube-uv-tuv-bter2-18-32-vac-2-year-uv-lamp")</f>
        <v>https://edmondsonsupply.com/products/fresh-aire-uv-blue-tube-uv-tuv-bter2-18-32-vac-2-year-uv-lamp</v>
      </c>
      <c r="C1198" t="s">
        <v>3153</v>
      </c>
      <c r="D1198" t="s">
        <v>2035</v>
      </c>
      <c r="E1198" s="3" t="str">
        <f>HYPERLINK("https://www.amazon.com/Fresh-Aire-Blue-Tube-UV-Voltage-germicidal/dp/B014MNU0Z0/ref=sr_1_1?keywords=Fresh-Aire+UV+Blue-Tube+UV+TUV-BTER2+18-32+VAC%2C+2-Year+UV+Lamp&amp;qid=1695173329&amp;sr=8-1", "https://www.amazon.com/Fresh-Aire-Blue-Tube-UV-Voltage-germicidal/dp/B014MNU0Z0/ref=sr_1_1?keywords=Fresh-Aire+UV+Blue-Tube+UV+TUV-BTER2+18-32+VAC%2C+2-Year+UV+Lamp&amp;qid=1695173329&amp;sr=8-1")</f>
        <v>https://www.amazon.com/Fresh-Aire-Blue-Tube-UV-Voltage-germicidal/dp/B014MNU0Z0/ref=sr_1_1?keywords=Fresh-Aire+UV+Blue-Tube+UV+TUV-BTER2+18-32+VAC%2C+2-Year+UV+Lamp&amp;qid=1695173329&amp;sr=8-1</v>
      </c>
      <c r="F1198" t="s">
        <v>2036</v>
      </c>
      <c r="G1198" t="e">
        <f ca="1">_xludf.IMAGE("https://edmondsonsupply.com/cdn/shop/products/apco_tuv-bter2__lamp.jpg?v=1587145673")</f>
        <v>#NAME?</v>
      </c>
      <c r="H1198" t="e">
        <f ca="1">_xludf.IMAGE("https://m.media-amazon.com/images/I/51KvZNQtFiL._AC_UL320_.jpg")</f>
        <v>#NAME?</v>
      </c>
      <c r="I1198" t="s">
        <v>3154</v>
      </c>
      <c r="J1198">
        <v>289.89</v>
      </c>
      <c r="K1198" s="4">
        <v>0.49440000000000001</v>
      </c>
      <c r="L1198">
        <v>4.4000000000000004</v>
      </c>
      <c r="M1198">
        <v>23</v>
      </c>
      <c r="O1198" t="s">
        <v>25</v>
      </c>
      <c r="P1198" t="s">
        <v>138</v>
      </c>
      <c r="Q1198" t="s">
        <v>3155</v>
      </c>
    </row>
    <row r="1199" spans="1:17" ht="15.5" x14ac:dyDescent="0.35">
      <c r="A1199" s="3" t="str">
        <f>HYPERLINK("https://edmondsonsupply.com/collections/hvac/products/packard-c240a-contactor-2-pole-40-amps-24-coil-voltage", "https://edmondsonsupply.com/collections/hvac/products/packard-c240a-contactor-2-pole-40-amps-24-coil-voltage")</f>
        <v>https://edmondsonsupply.com/collections/hvac/products/packard-c240a-contactor-2-pole-40-amps-24-coil-voltage</v>
      </c>
      <c r="B1199" s="3" t="str">
        <f>HYPERLINK("https://edmondsonsupply.com/products/packard-c240a-contactor-2-pole-40-amps-24-coil-voltage", "https://edmondsonsupply.com/products/packard-c240a-contactor-2-pole-40-amps-24-coil-voltage")</f>
        <v>https://edmondsonsupply.com/products/packard-c240a-contactor-2-pole-40-amps-24-coil-voltage</v>
      </c>
      <c r="C1199" t="s">
        <v>2737</v>
      </c>
      <c r="D1199" t="s">
        <v>3156</v>
      </c>
      <c r="E1199" s="3" t="str">
        <f>HYPERLINK("https://www.amazon.com/York-Fasco-Replacement-Contactor-C240A/dp/B00S8K235O/ref=sr_1_2?keywords=Packard+C240A+Contactor+2+Pole+40+AMPS+24+Coil+Voltage&amp;qid=1695173372&amp;sr=8-2", "https://www.amazon.com/York-Fasco-Replacement-Contactor-C240A/dp/B00S8K235O/ref=sr_1_2?keywords=Packard+C240A+Contactor+2+Pole+40+AMPS+24+Coil+Voltage&amp;qid=1695173372&amp;sr=8-2")</f>
        <v>https://www.amazon.com/York-Fasco-Replacement-Contactor-C240A/dp/B00S8K235O/ref=sr_1_2?keywords=Packard+C240A+Contactor+2+Pole+40+AMPS+24+Coil+Voltage&amp;qid=1695173372&amp;sr=8-2</v>
      </c>
      <c r="F1199" t="s">
        <v>3157</v>
      </c>
      <c r="G1199" t="e">
        <f ca="1">_xludf.IMAGE("https://edmondsonsupply.com/cdn/shop/products/C240A-1.jpg?v=1590239996")</f>
        <v>#NAME?</v>
      </c>
      <c r="H1199" t="e">
        <f ca="1">_xludf.IMAGE("https://m.media-amazon.com/images/I/419GkgJ35UL._AC_UY218_.jpg")</f>
        <v>#NAME?</v>
      </c>
      <c r="I1199" t="s">
        <v>1523</v>
      </c>
      <c r="J1199">
        <v>20.84</v>
      </c>
      <c r="K1199" s="4">
        <v>0.49280000000000002</v>
      </c>
      <c r="L1199">
        <v>5</v>
      </c>
      <c r="M1199">
        <v>2</v>
      </c>
      <c r="O1199" t="s">
        <v>25</v>
      </c>
      <c r="P1199" t="s">
        <v>138</v>
      </c>
      <c r="Q1199" t="s">
        <v>2740</v>
      </c>
    </row>
    <row r="1200" spans="1:17" ht="15.5" x14ac:dyDescent="0.35">
      <c r="A1200" s="3" t="str">
        <f>HYPERLINK("https://edmondsonsupply.com/collections/hvac/products/rack-a-tiers-65300-ladder-mate", "https://edmondsonsupply.com/collections/hvac/products/rack-a-tiers-65300-ladder-mate")</f>
        <v>https://edmondsonsupply.com/collections/hvac/products/rack-a-tiers-65300-ladder-mate</v>
      </c>
      <c r="B1200" s="3" t="str">
        <f>HYPERLINK("https://edmondsonsupply.com/products/rack-a-tiers-65300-ladder-mate", "https://edmondsonsupply.com/products/rack-a-tiers-65300-ladder-mate")</f>
        <v>https://edmondsonsupply.com/products/rack-a-tiers-65300-ladder-mate</v>
      </c>
      <c r="C1200" t="s">
        <v>257</v>
      </c>
      <c r="D1200" t="s">
        <v>257</v>
      </c>
      <c r="E1200" s="3" t="str">
        <f>HYPERLINK("https://www.amazon.com/Rack-A-Tiers-CECOMINOD071287-65300-Ladder-Mate/dp/B00ZVDLDZ2/ref=sr_1_1?keywords=Rack-A-Tiers+65300+Ladder+Mate&amp;qid=1695173329&amp;sr=8-1", "https://www.amazon.com/Rack-A-Tiers-CECOMINOD071287-65300-Ladder-Mate/dp/B00ZVDLDZ2/ref=sr_1_1?keywords=Rack-A-Tiers+65300+Ladder+Mate&amp;qid=1695173329&amp;sr=8-1")</f>
        <v>https://www.amazon.com/Rack-A-Tiers-CECOMINOD071287-65300-Ladder-Mate/dp/B00ZVDLDZ2/ref=sr_1_1?keywords=Rack-A-Tiers+65300+Ladder+Mate&amp;qid=1695173329&amp;sr=8-1</v>
      </c>
      <c r="F1200" t="s">
        <v>426</v>
      </c>
      <c r="G1200" t="e">
        <f ca="1">_xludf.IMAGE("https://edmondsonsupply.com/cdn/shop/products/65300-Ladder-Mate.png?v=1633031066")</f>
        <v>#NAME?</v>
      </c>
      <c r="H1200" t="e">
        <f ca="1">_xludf.IMAGE("https://m.media-amazon.com/images/I/41fRbR1BozL._AC_UL320_.jpg")</f>
        <v>#NAME?</v>
      </c>
      <c r="I1200" t="s">
        <v>260</v>
      </c>
      <c r="J1200">
        <v>49.99</v>
      </c>
      <c r="K1200" s="4">
        <v>0.49270000000000003</v>
      </c>
      <c r="L1200">
        <v>4.8</v>
      </c>
      <c r="M1200">
        <v>145</v>
      </c>
      <c r="O1200" t="s">
        <v>25</v>
      </c>
      <c r="P1200" t="s">
        <v>261</v>
      </c>
      <c r="Q1200" t="s">
        <v>262</v>
      </c>
    </row>
    <row r="1201" spans="1:17" ht="15.5" x14ac:dyDescent="0.35">
      <c r="A1201" s="3" t="str">
        <f>HYPERLINK("https://edmondsonsupply.com/collections/hvac/products/appion-mh380001bab-megaflow-megaflow-3-8in-hose-1-ft-1-4fl-to-1-4fl-45-blue", "https://edmondsonsupply.com/collections/hvac/products/appion-mh380001bab-megaflow-megaflow-3-8in-hose-1-ft-1-4fl-to-1-4fl-45-blue")</f>
        <v>https://edmondsonsupply.com/collections/hvac/products/appion-mh380001bab-megaflow-megaflow-3-8in-hose-1-ft-1-4fl-to-1-4fl-45-blue</v>
      </c>
      <c r="B1201" s="3" t="str">
        <f>HYPERLINK("https://edmondsonsupply.com/products/appion-mh380001bab-megaflow-megaflow-3-8in-hose-1-ft-1-4fl-to-1-4fl-45-blue", "https://edmondsonsupply.com/products/appion-mh380001bab-megaflow-megaflow-3-8in-hose-1-ft-1-4fl-to-1-4fl-45-blue")</f>
        <v>https://edmondsonsupply.com/products/appion-mh380001bab-megaflow-megaflow-3-8in-hose-1-ft-1-4fl-to-1-4fl-45-blue</v>
      </c>
      <c r="C1201" t="s">
        <v>3158</v>
      </c>
      <c r="D1201" t="s">
        <v>3159</v>
      </c>
      <c r="E1201" s="3" t="str">
        <f>HYPERLINK("https://www.amazon.com/Appion-MH380006AAY-Dia-6-foot-Yellow/dp/B072JBR98L/ref=sr_1_2?keywords=Appion+MH380001BAB+MegaFlow+3%2F8in+Hose+-+1+ft+%281%2F4FL+to+1%2F4FL-45%C2%B0%29+Blue&amp;qid=1695173496&amp;sr=8-2", "https://www.amazon.com/Appion-MH380006AAY-Dia-6-foot-Yellow/dp/B072JBR98L/ref=sr_1_2?keywords=Appion+MH380001BAB+MegaFlow+3%2F8in+Hose+-+1+ft+%281%2F4FL+to+1%2F4FL-45%C2%B0%29+Blue&amp;qid=1695173496&amp;sr=8-2")</f>
        <v>https://www.amazon.com/Appion-MH380006AAY-Dia-6-foot-Yellow/dp/B072JBR98L/ref=sr_1_2?keywords=Appion+MH380001BAB+MegaFlow+3%2F8in+Hose+-+1+ft+%281%2F4FL+to+1%2F4FL-45%C2%B0%29+Blue&amp;qid=1695173496&amp;sr=8-2</v>
      </c>
      <c r="F1201" t="s">
        <v>3160</v>
      </c>
      <c r="G1201" t="e">
        <f ca="1">_xludf.IMAGE("https://edmondsonsupply.com/cdn/shop/products/MH380001BAB_1080.png?v=1678328641")</f>
        <v>#NAME?</v>
      </c>
      <c r="H1201" t="e">
        <f ca="1">_xludf.IMAGE("https://m.media-amazon.com/images/I/51N9D8MncgL._AC_UY218_.jpg")</f>
        <v>#NAME?</v>
      </c>
      <c r="I1201" t="s">
        <v>3161</v>
      </c>
      <c r="J1201">
        <v>65.59</v>
      </c>
      <c r="K1201" s="4">
        <v>0.49099999999999999</v>
      </c>
      <c r="L1201">
        <v>4.4000000000000004</v>
      </c>
      <c r="M1201">
        <v>33</v>
      </c>
      <c r="O1201" t="s">
        <v>25</v>
      </c>
      <c r="P1201" t="s">
        <v>269</v>
      </c>
      <c r="Q1201" t="s">
        <v>3162</v>
      </c>
    </row>
    <row r="1202" spans="1:17" ht="15.5" x14ac:dyDescent="0.35">
      <c r="A1202"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202" s="3" t="str">
        <f>HYPERLINK("https://edmondsonsupply.com/products/klein-tools-jth4e17-1-2-inch-hex-key-journeyman-t-handle-4-inch", "https://edmondsonsupply.com/products/klein-tools-jth4e17-1-2-inch-hex-key-journeyman-t-handle-4-inch")</f>
        <v>https://edmondsonsupply.com/products/klein-tools-jth4e17-1-2-inch-hex-key-journeyman-t-handle-4-inch</v>
      </c>
      <c r="C1202" t="s">
        <v>2385</v>
      </c>
      <c r="D1202" t="s">
        <v>3163</v>
      </c>
      <c r="E1202" s="3" t="str">
        <f>HYPERLINK("https://www.amazon.com/Journeyman-T-Handle-Klein-Tools-JTH9E14/dp/B004QVAH4I/ref=sr_1_2?keywords=Klein+Tools+JTH4E11+3%2F16-Inch+Hex+Key+with+Journeyman+T-Handle%2C+4-Inch&amp;qid=1695173548&amp;sr=8-2", "https://www.amazon.com/Journeyman-T-Handle-Klein-Tools-JTH9E14/dp/B004QVAH4I/ref=sr_1_2?keywords=Klein+Tools+JTH4E11+3%2F16-Inch+Hex+Key+with+Journeyman+T-Handle%2C+4-Inch&amp;qid=1695173548&amp;sr=8-2")</f>
        <v>https://www.amazon.com/Journeyman-T-Handle-Klein-Tools-JTH9E14/dp/B004QVAH4I/ref=sr_1_2?keywords=Klein+Tools+JTH4E11+3%2F16-Inch+Hex+Key+with+Journeyman+T-Handle%2C+4-Inch&amp;qid=1695173548&amp;sr=8-2</v>
      </c>
      <c r="F1202" t="s">
        <v>3164</v>
      </c>
      <c r="G1202" t="e">
        <f ca="1">_xludf.IMAGE("https://edmondsonsupply.com/cdn/shop/products/jth4e17.jpg?v=1587144836")</f>
        <v>#NAME?</v>
      </c>
      <c r="H1202" t="e">
        <f ca="1">_xludf.IMAGE("https://m.media-amazon.com/images/I/51Yb8h41vLL._AC_UL320_.jpg")</f>
        <v>#NAME?</v>
      </c>
      <c r="I1202" t="s">
        <v>2388</v>
      </c>
      <c r="J1202">
        <v>7.44</v>
      </c>
      <c r="K1202" s="4">
        <v>0.49099999999999999</v>
      </c>
      <c r="L1202">
        <v>4.8</v>
      </c>
      <c r="M1202">
        <v>114</v>
      </c>
      <c r="O1202" t="s">
        <v>25</v>
      </c>
      <c r="P1202" t="s">
        <v>2389</v>
      </c>
      <c r="Q1202" t="s">
        <v>2390</v>
      </c>
    </row>
    <row r="1203" spans="1:17" ht="15.5" x14ac:dyDescent="0.35">
      <c r="A1203"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1203"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1203" t="s">
        <v>2391</v>
      </c>
      <c r="D1203" t="s">
        <v>3163</v>
      </c>
      <c r="E1203" s="3" t="str">
        <f>HYPERLINK("https://www.amazon.com/Journeyman-T-Handle-Klein-Tools-JTH9E14/dp/B004QVAH4I/ref=sr_1_6?keywords=Klein+Tools+JTH6E11+3%2F16-Inch+Hex+Key%2C+Journeyman+T-Handle%2C+6-Inch&amp;qid=1695173553&amp;sr=8-6", "https://www.amazon.com/Journeyman-T-Handle-Klein-Tools-JTH9E14/dp/B004QVAH4I/ref=sr_1_6?keywords=Klein+Tools+JTH6E11+3%2F16-Inch+Hex+Key%2C+Journeyman+T-Handle%2C+6-Inch&amp;qid=1695173553&amp;sr=8-6")</f>
        <v>https://www.amazon.com/Journeyman-T-Handle-Klein-Tools-JTH9E14/dp/B004QVAH4I/ref=sr_1_6?keywords=Klein+Tools+JTH6E11+3%2F16-Inch+Hex+Key%2C+Journeyman+T-Handle%2C+6-Inch&amp;qid=1695173553&amp;sr=8-6</v>
      </c>
      <c r="F1203" t="s">
        <v>3164</v>
      </c>
      <c r="G1203" t="e">
        <f ca="1">_xludf.IMAGE("https://edmondsonsupply.com/cdn/shop/products/jth6e15_0266106d-0a3b-44ba-997b-66db7749d83f.jpg?v=1587144829")</f>
        <v>#NAME?</v>
      </c>
      <c r="H1203" t="e">
        <f ca="1">_xludf.IMAGE("https://m.media-amazon.com/images/I/51Yb8h41vLL._AC_UL320_.jpg")</f>
        <v>#NAME?</v>
      </c>
      <c r="I1203" t="s">
        <v>2388</v>
      </c>
      <c r="J1203">
        <v>7.44</v>
      </c>
      <c r="K1203" s="4">
        <v>0.49099999999999999</v>
      </c>
      <c r="L1203">
        <v>4.8</v>
      </c>
      <c r="M1203">
        <v>114</v>
      </c>
      <c r="O1203" t="s">
        <v>25</v>
      </c>
      <c r="P1203" t="s">
        <v>2392</v>
      </c>
      <c r="Q1203" t="s">
        <v>2393</v>
      </c>
    </row>
    <row r="1204" spans="1:17" ht="15.5" x14ac:dyDescent="0.35">
      <c r="A1204" s="3" t="str">
        <f>HYPERLINK("https://edmondsonsupply.com/collections/hvac/products/yellow-jacket-63331-alloy-ratchet-tube-bender-kit", "https://edmondsonsupply.com/collections/hvac/products/yellow-jacket-63331-alloy-ratchet-tube-bender-kit")</f>
        <v>https://edmondsonsupply.com/collections/hvac/products/yellow-jacket-63331-alloy-ratchet-tube-bender-kit</v>
      </c>
      <c r="B1204" s="3" t="str">
        <f>HYPERLINK("https://edmondsonsupply.com/products/yellow-jacket-63331-alloy-ratchet-tube-bender-kit", "https://edmondsonsupply.com/products/yellow-jacket-63331-alloy-ratchet-tube-bender-kit")</f>
        <v>https://edmondsonsupply.com/products/yellow-jacket-63331-alloy-ratchet-tube-bender-kit</v>
      </c>
      <c r="C1204" t="s">
        <v>3165</v>
      </c>
      <c r="D1204" t="s">
        <v>3166</v>
      </c>
      <c r="E1204" s="3" t="str">
        <f>HYPERLINK("https://www.amazon.com/Yellow-Jacket-63325-Deluxe-Ratchet/dp/B08SFZP9W2/ref=sr_1_2?keywords=Yellow+Jacket+63331+Alloy+Ratchet+Tube+Bender+Kit&amp;qid=1695173610&amp;sr=8-2", "https://www.amazon.com/Yellow-Jacket-63325-Deluxe-Ratchet/dp/B08SFZP9W2/ref=sr_1_2?keywords=Yellow+Jacket+63331+Alloy+Ratchet+Tube+Bender+Kit&amp;qid=1695173610&amp;sr=8-2")</f>
        <v>https://www.amazon.com/Yellow-Jacket-63325-Deluxe-Ratchet/dp/B08SFZP9W2/ref=sr_1_2?keywords=Yellow+Jacket+63331+Alloy+Ratchet+Tube+Bender+Kit&amp;qid=1695173610&amp;sr=8-2</v>
      </c>
      <c r="F1204" t="s">
        <v>3167</v>
      </c>
      <c r="G1204" t="e">
        <f ca="1">_xludf.IMAGE("https://edmondsonsupply.com/cdn/shop/products/63331_3.jpg?v=1651518442")</f>
        <v>#NAME?</v>
      </c>
      <c r="H1204" t="e">
        <f ca="1">_xludf.IMAGE("https://m.media-amazon.com/images/I/71vDAZWbQ8L._AC_UL320_.jpg")</f>
        <v>#NAME?</v>
      </c>
      <c r="I1204" t="s">
        <v>3168</v>
      </c>
      <c r="J1204">
        <v>360.56</v>
      </c>
      <c r="K1204" s="4">
        <v>0.49099999999999999</v>
      </c>
      <c r="L1204">
        <v>4.8</v>
      </c>
      <c r="M1204">
        <v>50</v>
      </c>
      <c r="O1204" t="s">
        <v>25</v>
      </c>
      <c r="P1204" t="s">
        <v>138</v>
      </c>
      <c r="Q1204" t="s">
        <v>3169</v>
      </c>
    </row>
    <row r="1205" spans="1:17" ht="15.5" x14ac:dyDescent="0.35">
      <c r="A1205"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205"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205" t="s">
        <v>2903</v>
      </c>
      <c r="D1205" t="s">
        <v>3170</v>
      </c>
      <c r="E1205" s="3" t="str">
        <f>HYPERLINK("https://www.amazon.com/Diablo-SDS-Max-4-Cutter-Carbide-Tipped-Hammer/dp/B089KXF4R5/ref=sr_1_8?keywords=Diablo+Tools+DMAMX1300+1-1%2F4+in.+x+16+in.+x+21+in.+Rebar+Demon%E2%84%A2+SDS-Max+4-Cutter+Full+Carbide+Head+Hammer+Drill+Bit&amp;qid=1695173488&amp;sr=8-8", "https://www.amazon.com/Diablo-SDS-Max-4-Cutter-Carbide-Tipped-Hammer/dp/B089KXF4R5/ref=sr_1_8?keywords=Diablo+Tools+DMAMX1300+1-1%2F4+in.+x+16+in.+x+21+in.+Rebar+Demon%E2%84%A2+SDS-Max+4-Cutter+Full+Carbide+Head+Hammer+Drill+Bit&amp;qid=1695173488&amp;sr=8-8")</f>
        <v>https://www.amazon.com/Diablo-SDS-Max-4-Cutter-Carbide-Tipped-Hammer/dp/B089KXF4R5/ref=sr_1_8?keywords=Diablo+Tools+DMAMX1300+1-1%2F4+in.+x+16+in.+x+21+in.+Rebar+Demon%E2%84%A2+SDS-Max+4-Cutter+Full+Carbide+Head+Hammer+Drill+Bit&amp;qid=1695173488&amp;sr=8-8</v>
      </c>
      <c r="F1205" t="s">
        <v>3171</v>
      </c>
      <c r="G1205" t="e">
        <f ca="1">_xludf.IMAGE("https://edmondsonsupply.com/cdn/shop/files/immoyh7jjmbau4fzhuq6_7dd7fd73-2865-4c12-9443-da45b48dbd51.webp?v=1685465465")</f>
        <v>#NAME?</v>
      </c>
      <c r="H1205" t="e">
        <f ca="1">_xludf.IMAGE("https://m.media-amazon.com/images/I/61MTkJ-cWaL._AC_UL320_.jpg")</f>
        <v>#NAME?</v>
      </c>
      <c r="I1205" t="s">
        <v>2906</v>
      </c>
      <c r="J1205">
        <v>98.99</v>
      </c>
      <c r="K1205" s="4">
        <v>0.49080000000000001</v>
      </c>
      <c r="L1205">
        <v>5</v>
      </c>
      <c r="M1205">
        <v>5</v>
      </c>
      <c r="O1205" t="s">
        <v>171</v>
      </c>
      <c r="P1205" t="s">
        <v>2907</v>
      </c>
      <c r="Q1205" t="s">
        <v>2908</v>
      </c>
    </row>
    <row r="1206" spans="1:17" ht="15.5" x14ac:dyDescent="0.35">
      <c r="A1206"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1206"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1206" t="s">
        <v>2391</v>
      </c>
      <c r="D1206" t="s">
        <v>3172</v>
      </c>
      <c r="E1206" s="3" t="str">
        <f>HYPERLINK("https://www.amazon.com/Journeyman-T-Handle-Klein-Tools-JTH6M5BE/dp/B005G3959S/ref=sr_1_3?keywords=Klein+Tools+JTH6E11+3%2F16-Inch+Hex+Key%2C+Journeyman+T-Handle%2C+6-Inch&amp;qid=1695173553&amp;sr=8-3", "https://www.amazon.com/Journeyman-T-Handle-Klein-Tools-JTH6M5BE/dp/B005G3959S/ref=sr_1_3?keywords=Klein+Tools+JTH6E11+3%2F16-Inch+Hex+Key%2C+Journeyman+T-Handle%2C+6-Inch&amp;qid=1695173553&amp;sr=8-3")</f>
        <v>https://www.amazon.com/Journeyman-T-Handle-Klein-Tools-JTH6M5BE/dp/B005G3959S/ref=sr_1_3?keywords=Klein+Tools+JTH6E11+3%2F16-Inch+Hex+Key%2C+Journeyman+T-Handle%2C+6-Inch&amp;qid=1695173553&amp;sr=8-3</v>
      </c>
      <c r="F1206" t="s">
        <v>3173</v>
      </c>
      <c r="G1206" t="e">
        <f ca="1">_xludf.IMAGE("https://edmondsonsupply.com/cdn/shop/products/jth6e15_0266106d-0a3b-44ba-997b-66db7749d83f.jpg?v=1587144829")</f>
        <v>#NAME?</v>
      </c>
      <c r="H1206" t="e">
        <f ca="1">_xludf.IMAGE("https://m.media-amazon.com/images/I/51huXA+ij8L._AC_UL320_.jpg")</f>
        <v>#NAME?</v>
      </c>
      <c r="I1206" t="s">
        <v>2388</v>
      </c>
      <c r="J1206">
        <v>7.43</v>
      </c>
      <c r="K1206" s="4">
        <v>0.48899999999999999</v>
      </c>
      <c r="L1206">
        <v>4.8</v>
      </c>
      <c r="M1206">
        <v>988</v>
      </c>
      <c r="O1206" t="s">
        <v>25</v>
      </c>
      <c r="P1206" t="s">
        <v>2392</v>
      </c>
      <c r="Q1206" t="s">
        <v>2393</v>
      </c>
    </row>
    <row r="1207" spans="1:17" ht="15.5" x14ac:dyDescent="0.35">
      <c r="A1207" s="3" t="str">
        <f>HYPERLINK("https://edmondsonsupply.com/collections/hvac/products/klein-tools-k12065cr-klein-kurve%C2%AE-heavy-duty-wire-stripper-crimper-8-20-awg", "https://edmondsonsupply.com/collections/hvac/products/klein-tools-k12065cr-klein-kurve%C2%AE-heavy-duty-wire-stripper-crimper-8-20-awg")</f>
        <v>https://edmondsonsupply.com/collections/hvac/products/klein-tools-k12065cr-klein-kurve%C2%AE-heavy-duty-wire-stripper-crimper-8-20-awg</v>
      </c>
      <c r="B1207"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1207" t="s">
        <v>3174</v>
      </c>
      <c r="D1207" t="s">
        <v>3175</v>
      </c>
      <c r="E1207" s="3" t="str">
        <f>HYPERLINK("https://www.amazon.com/Klein-Tools-Stripper-Stranded-Electrical/dp/B08XKMZF55/ref=sr_1_1?keywords=Klein+Tools+K12065CR+Klein-Kurve%C2%AE+Heavy-Duty+Wire+Stripper+%2F+Cutter+%2F+Crimper+Multi+Tool%2C+8-20+AWG&amp;qid=1695173475&amp;sr=8-1", "https://www.amazon.com/Klein-Tools-Stripper-Stranded-Electrical/dp/B08XKMZF55/ref=sr_1_1?keywords=Klein+Tools+K12065CR+Klein-Kurve%C2%AE+Heavy-Duty+Wire+Stripper+%2F+Cutter+%2F+Crimper+Multi+Tool%2C+8-20+AWG&amp;qid=1695173475&amp;sr=8-1")</f>
        <v>https://www.amazon.com/Klein-Tools-Stripper-Stranded-Electrical/dp/B08XKMZF55/ref=sr_1_1?keywords=Klein+Tools+K12065CR+Klein-Kurve%C2%AE+Heavy-Duty+Wire+Stripper+%2F+Cutter+%2F+Crimper+Multi+Tool%2C+8-20+AWG&amp;qid=1695173475&amp;sr=8-1</v>
      </c>
      <c r="F1207" t="s">
        <v>3176</v>
      </c>
      <c r="G1207" t="e">
        <f ca="1">_xludf.IMAGE("https://edmondsonsupply.com/cdn/shop/products/k12065cr_b.jpg?v=1650066835")</f>
        <v>#NAME?</v>
      </c>
      <c r="H1207" t="e">
        <f ca="1">_xludf.IMAGE("https://m.media-amazon.com/images/I/410rkxkOErL._AC_UL320_.jpg")</f>
        <v>#NAME?</v>
      </c>
      <c r="I1207" t="s">
        <v>246</v>
      </c>
      <c r="J1207">
        <v>59.45</v>
      </c>
      <c r="K1207" s="4">
        <v>0.4874</v>
      </c>
      <c r="L1207">
        <v>4.9000000000000004</v>
      </c>
      <c r="M1207">
        <v>14</v>
      </c>
      <c r="O1207" t="s">
        <v>25</v>
      </c>
      <c r="P1207" t="s">
        <v>3177</v>
      </c>
      <c r="Q1207" t="s">
        <v>3178</v>
      </c>
    </row>
    <row r="1208" spans="1:17" ht="15.5" x14ac:dyDescent="0.35">
      <c r="A1208"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1208" s="3" t="str">
        <f>HYPERLINK("https://edmondsonsupply.com/products/bacharach-h-10-pro-refrigerant-leak-detector", "https://edmondsonsupply.com/products/bacharach-h-10-pro-refrigerant-leak-detector")</f>
        <v>https://edmondsonsupply.com/products/bacharach-h-10-pro-refrigerant-leak-detector</v>
      </c>
      <c r="C1208" t="s">
        <v>3179</v>
      </c>
      <c r="D1208" t="s">
        <v>1505</v>
      </c>
      <c r="E1208" s="3" t="str">
        <f>HYPERLINK("https://www.amazon.com/Bacharach-3015-8004-H-10-Refrigerant-Detectors/dp/B017PEZAUI/ref=sr_1_1?keywords=Bacharach+H-10+PRO+Refrigerant+Leak+Detector&amp;qid=1695173531&amp;sr=8-1", "https://www.amazon.com/Bacharach-3015-8004-H-10-Refrigerant-Detectors/dp/B017PEZAUI/ref=sr_1_1?keywords=Bacharach+H-10+PRO+Refrigerant+Leak+Detector&amp;qid=1695173531&amp;sr=8-1")</f>
        <v>https://www.amazon.com/Bacharach-3015-8004-H-10-Refrigerant-Detectors/dp/B017PEZAUI/ref=sr_1_1?keywords=Bacharach+H-10+PRO+Refrigerant+Leak+Detector&amp;qid=1695173531&amp;sr=8-1</v>
      </c>
      <c r="F1208" t="s">
        <v>1506</v>
      </c>
      <c r="G1208" t="e">
        <f ca="1">_xludf.IMAGE("https://edmondsonsupply.com/cdn/shop/products/featured-h-10-pro-refrigerant-leak-detector.jpg?v=1635555994")</f>
        <v>#NAME?</v>
      </c>
      <c r="H1208" t="e">
        <f ca="1">_xludf.IMAGE("https://m.media-amazon.com/images/I/81t1EHtEgPS._AC_UL320_.jpg")</f>
        <v>#NAME?</v>
      </c>
      <c r="I1208" t="s">
        <v>3180</v>
      </c>
      <c r="J1208">
        <v>974.99</v>
      </c>
      <c r="K1208" s="4">
        <v>0.4824</v>
      </c>
      <c r="L1208">
        <v>4</v>
      </c>
      <c r="M1208">
        <v>21</v>
      </c>
      <c r="O1208" t="s">
        <v>25</v>
      </c>
      <c r="P1208" t="s">
        <v>138</v>
      </c>
      <c r="Q1208" t="s">
        <v>3181</v>
      </c>
    </row>
    <row r="1209" spans="1:17" ht="15.5" x14ac:dyDescent="0.35">
      <c r="A1209" s="3" t="str">
        <f>HYPERLINK("https://edmondsonsupply.com/collections/hvac/products/midwest-mwt-6510lo-left-cutting-offset-aviation-snip-blackout-series", "https://edmondsonsupply.com/collections/hvac/products/midwest-mwt-6510lo-left-cutting-offset-aviation-snip-blackout-series")</f>
        <v>https://edmondsonsupply.com/collections/hvac/products/midwest-mwt-6510lo-left-cutting-offset-aviation-snip-blackout-series</v>
      </c>
      <c r="B1209" s="3" t="str">
        <f>HYPERLINK("https://edmondsonsupply.com/products/midwest-mwt-6510lo-left-cutting-offset-aviation-snip-blackout-series", "https://edmondsonsupply.com/products/midwest-mwt-6510lo-left-cutting-offset-aviation-snip-blackout-series")</f>
        <v>https://edmondsonsupply.com/products/midwest-mwt-6510lo-left-cutting-offset-aviation-snip-blackout-series</v>
      </c>
      <c r="C1209" t="s">
        <v>182</v>
      </c>
      <c r="D1209" t="s">
        <v>193</v>
      </c>
      <c r="E1209" s="3" t="str">
        <f>HYPERLINK("https://www.amazon.com/MIDWEST-Blackout-Aviation-Snip-KUSHN-POWER/dp/B00TJQL91U/ref=sr_1_1?keywords=Midwest+MWT-6510LO+Left-Cutting+Offset+Aviation+Snip+-+Blackout+Series&amp;qid=1695173331&amp;sr=8-1", "https://www.amazon.com/MIDWEST-Blackout-Aviation-Snip-KUSHN-POWER/dp/B00TJQL91U/ref=sr_1_1?keywords=Midwest+MWT-6510LO+Left-Cutting+Offset+Aviation+Snip+-+Blackout+Series&amp;qid=1695173331&amp;sr=8-1")</f>
        <v>https://www.amazon.com/MIDWEST-Blackout-Aviation-Snip-KUSHN-POWER/dp/B00TJQL91U/ref=sr_1_1?keywords=Midwest+MWT-6510LO+Left-Cutting+Offset+Aviation+Snip+-+Blackout+Series&amp;qid=1695173331&amp;sr=8-1</v>
      </c>
      <c r="F1209" t="s">
        <v>194</v>
      </c>
      <c r="G1209" t="e">
        <f ca="1">_xludf.IMAGE("https://edmondsonsupply.com/cdn/shop/products/mwt-6510lo.jpg?v=1587147580")</f>
        <v>#NAME?</v>
      </c>
      <c r="H1209" t="e">
        <f ca="1">_xludf.IMAGE("https://m.media-amazon.com/images/I/51OW3TahYsL._AC_UL320_.jpg")</f>
        <v>#NAME?</v>
      </c>
      <c r="I1209" t="s">
        <v>183</v>
      </c>
      <c r="J1209">
        <v>58.88</v>
      </c>
      <c r="K1209" s="4">
        <v>0.47749999999999998</v>
      </c>
      <c r="L1209">
        <v>4.7</v>
      </c>
      <c r="M1209">
        <v>1400</v>
      </c>
      <c r="O1209" t="s">
        <v>171</v>
      </c>
      <c r="P1209" t="s">
        <v>183</v>
      </c>
      <c r="Q1209" t="s">
        <v>184</v>
      </c>
    </row>
    <row r="1210" spans="1:17" ht="15.5" x14ac:dyDescent="0.35">
      <c r="A1210" s="3" t="str">
        <f>HYPERLINK("https://edmondsonsupply.com/collections/hvac/products/klein-tools-d502-6-pump-pliers-6-inch", "https://edmondsonsupply.com/collections/hvac/products/klein-tools-d502-6-pump-pliers-6-inch")</f>
        <v>https://edmondsonsupply.com/collections/hvac/products/klein-tools-d502-6-pump-pliers-6-inch</v>
      </c>
      <c r="B1210" s="3" t="str">
        <f>HYPERLINK("https://edmondsonsupply.com/products/klein-tools-d502-6-pump-pliers-6-inch", "https://edmondsonsupply.com/products/klein-tools-d502-6-pump-pliers-6-inch")</f>
        <v>https://edmondsonsupply.com/products/klein-tools-d502-6-pump-pliers-6-inch</v>
      </c>
      <c r="C1210" t="s">
        <v>3182</v>
      </c>
      <c r="D1210" t="s">
        <v>3183</v>
      </c>
      <c r="E1210" s="3" t="str">
        <f>HYPERLINK("https://www.amazon.com/Pliers-12-Inch-Klein-Tools-D502-12/dp/B000ODU0N0/ref=sr_1_fkmr0_1?keywords=Klein+Tools+D502-6+Pump+Pliers%2C+6-Inch&amp;qid=1695173615&amp;sr=8-1-fkmr0", "https://www.amazon.com/Pliers-12-Inch-Klein-Tools-D502-12/dp/B000ODU0N0/ref=sr_1_fkmr0_1?keywords=Klein+Tools+D502-6+Pump+Pliers%2C+6-Inch&amp;qid=1695173615&amp;sr=8-1-fkmr0")</f>
        <v>https://www.amazon.com/Pliers-12-Inch-Klein-Tools-D502-12/dp/B000ODU0N0/ref=sr_1_fkmr0_1?keywords=Klein+Tools+D502-6+Pump+Pliers%2C+6-Inch&amp;qid=1695173615&amp;sr=8-1-fkmr0</v>
      </c>
      <c r="F1210" t="s">
        <v>3184</v>
      </c>
      <c r="G1210" t="e">
        <f ca="1">_xludf.IMAGE("https://edmondsonsupply.com/cdn/shop/products/d5026.jpg?v=1587150839")</f>
        <v>#NAME?</v>
      </c>
      <c r="H1210" t="e">
        <f ca="1">_xludf.IMAGE("https://m.media-amazon.com/images/I/41h2qUlpjEL._AC_UL320_.jpg")</f>
        <v>#NAME?</v>
      </c>
      <c r="I1210" t="s">
        <v>3185</v>
      </c>
      <c r="J1210">
        <v>30.99</v>
      </c>
      <c r="K1210" s="4">
        <v>0.47639999999999999</v>
      </c>
      <c r="L1210">
        <v>4.8</v>
      </c>
      <c r="M1210">
        <v>59</v>
      </c>
      <c r="O1210" t="s">
        <v>25</v>
      </c>
      <c r="P1210" t="s">
        <v>3186</v>
      </c>
      <c r="Q1210" t="s">
        <v>3187</v>
      </c>
    </row>
    <row r="1211" spans="1:17" ht="15.5" x14ac:dyDescent="0.35">
      <c r="A1211" s="3" t="str">
        <f>HYPERLINK("https://edmondsonsupply.com/collections/hvac/products/packard-trcfd305-titan-pro-run-capacitor-30-5-mfd-440-370-volt-round", "https://edmondsonsupply.com/collections/hvac/products/packard-trcfd305-titan-pro-run-capacitor-30-5-mfd-440-370-volt-round")</f>
        <v>https://edmondsonsupply.com/collections/hvac/products/packard-trcfd305-titan-pro-run-capacitor-30-5-mfd-440-370-volt-round</v>
      </c>
      <c r="B1211" s="3" t="str">
        <f>HYPERLINK("https://edmondsonsupply.com/products/packard-trcfd305-titan-pro-run-capacitor-30-5-mfd-440-370-volt-round", "https://edmondsonsupply.com/products/packard-trcfd305-titan-pro-run-capacitor-30-5-mfd-440-370-volt-round")</f>
        <v>https://edmondsonsupply.com/products/packard-trcfd305-titan-pro-run-capacitor-30-5-mfd-440-370-volt-round</v>
      </c>
      <c r="C1211" t="s">
        <v>2351</v>
      </c>
      <c r="D1211" t="s">
        <v>3188</v>
      </c>
      <c r="E1211" s="3" t="str">
        <f>HYPERLINK("https://www.amazon.com/Titan-TRCFD305-Rated-Motor-Capacitor/dp/B01IC22Q5Y/ref=sr_1_2?keywords=Packard+TRCFD305+Titan+PRO+Run+Capacitor+30+5+MFD+440%2F370+Volt%2C+Round&amp;qid=1695173481&amp;sr=8-2", "https://www.amazon.com/Titan-TRCFD305-Rated-Motor-Capacitor/dp/B01IC22Q5Y/ref=sr_1_2?keywords=Packard+TRCFD305+Titan+PRO+Run+Capacitor+30+5+MFD+440%2F370+Volt%2C+Round&amp;qid=1695173481&amp;sr=8-2")</f>
        <v>https://www.amazon.com/Titan-TRCFD305-Rated-Motor-Capacitor/dp/B01IC22Q5Y/ref=sr_1_2?keywords=Packard+TRCFD305+Titan+PRO+Run+Capacitor+30+5+MFD+440%2F370+Volt%2C+Round&amp;qid=1695173481&amp;sr=8-2</v>
      </c>
      <c r="F1211" t="s">
        <v>3189</v>
      </c>
      <c r="G1211" t="e">
        <f ca="1">_xludf.IMAGE("https://edmondsonsupply.com/cdn/shop/products/TRCFD305-2.jpg?v=1587144425")</f>
        <v>#NAME?</v>
      </c>
      <c r="H1211" t="e">
        <f ca="1">_xludf.IMAGE("https://m.media-amazon.com/images/I/61ZOaIfuaxL._AC_UY218_.jpg")</f>
        <v>#NAME?</v>
      </c>
      <c r="I1211" t="s">
        <v>2354</v>
      </c>
      <c r="J1211">
        <v>10.76</v>
      </c>
      <c r="K1211" s="4">
        <v>0.47599999999999998</v>
      </c>
      <c r="L1211">
        <v>4.5999999999999996</v>
      </c>
      <c r="M1211">
        <v>100</v>
      </c>
      <c r="O1211" t="s">
        <v>171</v>
      </c>
      <c r="P1211" t="s">
        <v>138</v>
      </c>
      <c r="Q1211" t="s">
        <v>2355</v>
      </c>
    </row>
    <row r="1212" spans="1:17" ht="15.5" x14ac:dyDescent="0.35">
      <c r="A1212" s="3" t="str">
        <f>HYPERLINK("https://edmondsonsupply.com/collections/hvac/products/sensible-products-dwl-1-dual-worklight-blue", "https://edmondsonsupply.com/collections/hvac/products/sensible-products-dwl-1-dual-worklight-blue")</f>
        <v>https://edmondsonsupply.com/collections/hvac/products/sensible-products-dwl-1-dual-worklight-blue</v>
      </c>
      <c r="B1212" s="3" t="str">
        <f>HYPERLINK("https://edmondsonsupply.com/products/sensible-products-dwl-1-dual-worklight-blue", "https://edmondsonsupply.com/products/sensible-products-dwl-1-dual-worklight-blue")</f>
        <v>https://edmondsonsupply.com/products/sensible-products-dwl-1-dual-worklight-blue</v>
      </c>
      <c r="C1212" t="s">
        <v>3190</v>
      </c>
      <c r="D1212" t="s">
        <v>3191</v>
      </c>
      <c r="E1212" s="3" t="str">
        <f>HYPERLINK("https://www.amazon.com/Sensible-Products-Light-DWL-1-Holster/dp/B0BVGG3JRQ/ref=sr_1_1?keywords=Sensible+Products+DWL-1+Dual+Worklight%2C+Blue&amp;qid=1695173406&amp;sr=8-1", "https://www.amazon.com/Sensible-Products-Light-DWL-1-Holster/dp/B0BVGG3JRQ/ref=sr_1_1?keywords=Sensible+Products+DWL-1+Dual+Worklight%2C+Blue&amp;qid=1695173406&amp;sr=8-1")</f>
        <v>https://www.amazon.com/Sensible-Products-Light-DWL-1-Holster/dp/B0BVGG3JRQ/ref=sr_1_1?keywords=Sensible+Products+DWL-1+Dual+Worklight%2C+Blue&amp;qid=1695173406&amp;sr=8-1</v>
      </c>
      <c r="F1212" t="s">
        <v>3192</v>
      </c>
      <c r="G1212" t="e">
        <f ca="1">_xludf.IMAGE("https://edmondsonsupply.com/cdn/shop/products/DWL-1-2.jpg?v=1587148321")</f>
        <v>#NAME?</v>
      </c>
      <c r="H1212" t="e">
        <f ca="1">_xludf.IMAGE("https://m.media-amazon.com/images/I/51bpVy8B6iL._AC_UL320_.jpg")</f>
        <v>#NAME?</v>
      </c>
      <c r="I1212" t="s">
        <v>3193</v>
      </c>
      <c r="J1212">
        <v>41</v>
      </c>
      <c r="K1212" s="4">
        <v>0.47539999999999999</v>
      </c>
      <c r="L1212">
        <v>3</v>
      </c>
      <c r="M1212">
        <v>1</v>
      </c>
      <c r="O1212" t="s">
        <v>25</v>
      </c>
      <c r="P1212" t="s">
        <v>138</v>
      </c>
      <c r="Q1212" t="s">
        <v>3194</v>
      </c>
    </row>
    <row r="1213" spans="1:17" ht="15.5" x14ac:dyDescent="0.35">
      <c r="A1213" s="3" t="str">
        <f>HYPERLINK("https://edmondsonsupply.com/collections/hvac/products/packard-c230a-contactor-2-pole-30-amps-24-coil-voltage", "https://edmondsonsupply.com/collections/hvac/products/packard-c230a-contactor-2-pole-30-amps-24-coil-voltage")</f>
        <v>https://edmondsonsupply.com/collections/hvac/products/packard-c230a-contactor-2-pole-30-amps-24-coil-voltage</v>
      </c>
      <c r="B1213" s="3" t="str">
        <f>HYPERLINK("https://edmondsonsupply.com/products/packard-c230a-contactor-2-pole-30-amps-24-coil-voltage", "https://edmondsonsupply.com/products/packard-c230a-contactor-2-pole-30-amps-24-coil-voltage")</f>
        <v>https://edmondsonsupply.com/products/packard-c230a-contactor-2-pole-30-amps-24-coil-voltage</v>
      </c>
      <c r="C1213" t="s">
        <v>2876</v>
      </c>
      <c r="D1213" t="s">
        <v>3195</v>
      </c>
      <c r="E1213" s="3" t="str">
        <f>HYPERLINK("https://www.amazon.com/Rheem-Packard-Replacement-Contactor-C230A/dp/B00S8JNZIO/ref=sr_1_2?keywords=Packard+C230A+Contactor+2+Pole+30+Amps+24+Coil+Voltage&amp;qid=1695173405&amp;sr=8-2", "https://www.amazon.com/Rheem-Packard-Replacement-Contactor-C230A/dp/B00S8JNZIO/ref=sr_1_2?keywords=Packard+C230A+Contactor+2+Pole+30+Amps+24+Coil+Voltage&amp;qid=1695173405&amp;sr=8-2")</f>
        <v>https://www.amazon.com/Rheem-Packard-Replacement-Contactor-C230A/dp/B00S8JNZIO/ref=sr_1_2?keywords=Packard+C230A+Contactor+2+Pole+30+Amps+24+Coil+Voltage&amp;qid=1695173405&amp;sr=8-2</v>
      </c>
      <c r="F1213" t="s">
        <v>3196</v>
      </c>
      <c r="G1213" t="e">
        <f ca="1">_xludf.IMAGE("https://edmondsonsupply.com/cdn/shop/products/C230A-1.jpg?v=1633030392")</f>
        <v>#NAME?</v>
      </c>
      <c r="H1213" t="e">
        <f ca="1">_xludf.IMAGE("https://m.media-amazon.com/images/I/417Agyl02+L._AC_UY218_.jpg")</f>
        <v>#NAME?</v>
      </c>
      <c r="I1213" t="s">
        <v>2176</v>
      </c>
      <c r="J1213">
        <v>15.94</v>
      </c>
      <c r="K1213" s="4">
        <v>0.47320000000000001</v>
      </c>
      <c r="L1213">
        <v>4.8</v>
      </c>
      <c r="M1213">
        <v>18</v>
      </c>
      <c r="O1213" t="s">
        <v>25</v>
      </c>
      <c r="P1213" t="s">
        <v>138</v>
      </c>
      <c r="Q1213" t="s">
        <v>2879</v>
      </c>
    </row>
    <row r="1214" spans="1:17" ht="15.5" x14ac:dyDescent="0.35">
      <c r="A1214" s="3" t="str">
        <f>HYPERLINK("https://edmondsonsupply.com/collections/hvac/products/channellock-428", "https://edmondsonsupply.com/collections/hvac/products/channellock-428")</f>
        <v>https://edmondsonsupply.com/collections/hvac/products/channellock-428</v>
      </c>
      <c r="B1214" s="3" t="str">
        <f>HYPERLINK("https://edmondsonsupply.com/products/channellock-428", "https://edmondsonsupply.com/products/channellock-428")</f>
        <v>https://edmondsonsupply.com/products/channellock-428</v>
      </c>
      <c r="C1214" t="s">
        <v>1791</v>
      </c>
      <c r="D1214" t="s">
        <v>3197</v>
      </c>
      <c r="E1214" s="3" t="str">
        <f>HYPERLINK("https://www.amazon.com/CHANNELLOCK-428X-8-inch-SPEEDGRIP-Straight/dp/B07R27B4CJ/ref=sr_1_2?keywords=Channellock+428+8-Inch+Straight+Jaw+Tongue+%26+Groove+Pliers&amp;qid=1695173687&amp;sr=8-2", "https://www.amazon.com/CHANNELLOCK-428X-8-inch-SPEEDGRIP-Straight/dp/B07R27B4CJ/ref=sr_1_2?keywords=Channellock+428+8-Inch+Straight+Jaw+Tongue+%26+Groove+Pliers&amp;qid=1695173687&amp;sr=8-2")</f>
        <v>https://www.amazon.com/CHANNELLOCK-428X-8-inch-SPEEDGRIP-Straight/dp/B07R27B4CJ/ref=sr_1_2?keywords=Channellock+428+8-Inch+Straight+Jaw+Tongue+%26+Groove+Pliers&amp;qid=1695173687&amp;sr=8-2</v>
      </c>
      <c r="F1214" t="s">
        <v>3198</v>
      </c>
      <c r="G1214" t="e">
        <f ca="1">_xludf.IMAGE("https://edmondsonsupply.com/cdn/shop/products/428-683x1024.jpg?v=1587145854")</f>
        <v>#NAME?</v>
      </c>
      <c r="H1214" t="e">
        <f ca="1">_xludf.IMAGE("https://m.media-amazon.com/images/I/71WmLP+C0IL._AC_UL320_.jpg")</f>
        <v>#NAME?</v>
      </c>
      <c r="I1214" t="s">
        <v>1554</v>
      </c>
      <c r="J1214">
        <v>24.95</v>
      </c>
      <c r="K1214" s="4">
        <v>0.47199999999999998</v>
      </c>
      <c r="L1214">
        <v>4.4000000000000004</v>
      </c>
      <c r="M1214">
        <v>578</v>
      </c>
      <c r="O1214" t="s">
        <v>25</v>
      </c>
      <c r="P1214" t="s">
        <v>1794</v>
      </c>
      <c r="Q1214" t="s">
        <v>1795</v>
      </c>
    </row>
    <row r="1215" spans="1:17" ht="15.5" x14ac:dyDescent="0.35">
      <c r="A1215" s="3" t="str">
        <f>HYPERLINK("https://edmondsonsupply.com/collections/hvac/products/packard-trcfd505-titan-pro-run-capacitor-50-5-mfd-440-370-volt-round", "https://edmondsonsupply.com/collections/hvac/products/packard-trcfd505-titan-pro-run-capacitor-50-5-mfd-440-370-volt-round")</f>
        <v>https://edmondsonsupply.com/collections/hvac/products/packard-trcfd505-titan-pro-run-capacitor-50-5-mfd-440-370-volt-round</v>
      </c>
      <c r="B1215" s="3" t="str">
        <f>HYPERLINK("https://edmondsonsupply.com/products/packard-trcfd505-titan-pro-run-capacitor-50-5-mfd-440-370-volt-round", "https://edmondsonsupply.com/products/packard-trcfd505-titan-pro-run-capacitor-50-5-mfd-440-370-volt-round")</f>
        <v>https://edmondsonsupply.com/products/packard-trcfd505-titan-pro-run-capacitor-50-5-mfd-440-370-volt-round</v>
      </c>
      <c r="C1215" t="s">
        <v>3199</v>
      </c>
      <c r="D1215" t="s">
        <v>3200</v>
      </c>
      <c r="E1215" s="3" t="str">
        <f>HYPERLINK("https://www.amazon.com/Titan-TRCFD505-Rated-Motor-Capacitor/dp/B01IC20TUS/ref=sr_1_2?keywords=Packard+TRCFD505+TITAN+PRO+Run+Capacitor+50+5+MFD+440%2F370+Volt+Round&amp;qid=1695173402&amp;sr=8-2", "https://www.amazon.com/Titan-TRCFD505-Rated-Motor-Capacitor/dp/B01IC20TUS/ref=sr_1_2?keywords=Packard+TRCFD505+TITAN+PRO+Run+Capacitor+50+5+MFD+440%2F370+Volt+Round&amp;qid=1695173402&amp;sr=8-2")</f>
        <v>https://www.amazon.com/Titan-TRCFD505-Rated-Motor-Capacitor/dp/B01IC20TUS/ref=sr_1_2?keywords=Packard+TRCFD505+TITAN+PRO+Run+Capacitor+50+5+MFD+440%2F370+Volt+Round&amp;qid=1695173402&amp;sr=8-2</v>
      </c>
      <c r="F1215" t="s">
        <v>3201</v>
      </c>
      <c r="G1215" t="e">
        <f ca="1">_xludf.IMAGE("https://edmondsonsupply.com/cdn/shop/products/TRCFD505-2.jpg?v=1633030571")</f>
        <v>#NAME?</v>
      </c>
      <c r="H1215" t="e">
        <f ca="1">_xludf.IMAGE("https://m.media-amazon.com/images/I/41PR+nyKvsL._AC_UY218_.jpg")</f>
        <v>#NAME?</v>
      </c>
      <c r="I1215" t="s">
        <v>3202</v>
      </c>
      <c r="J1215">
        <v>14.66</v>
      </c>
      <c r="K1215" s="4">
        <v>0.47189999999999999</v>
      </c>
      <c r="L1215">
        <v>4.7</v>
      </c>
      <c r="M1215">
        <v>222</v>
      </c>
      <c r="O1215" t="s">
        <v>25</v>
      </c>
      <c r="P1215" t="s">
        <v>138</v>
      </c>
      <c r="Q1215" t="s">
        <v>3203</v>
      </c>
    </row>
    <row r="1216" spans="1:17" ht="15.5" x14ac:dyDescent="0.35">
      <c r="A1216" s="3" t="str">
        <f>HYPERLINK("https://edmondsonsupply.com/collections/hvac/products/appion-kt11aa-r-megaflow-hose-gasket-10-pack-for-1-4in-fl-fittings", "https://edmondsonsupply.com/collections/hvac/products/appion-kt11aa-r-megaflow-hose-gasket-10-pack-for-1-4in-fl-fittings")</f>
        <v>https://edmondsonsupply.com/collections/hvac/products/appion-kt11aa-r-megaflow-hose-gasket-10-pack-for-1-4in-fl-fittings</v>
      </c>
      <c r="B1216" s="3" t="str">
        <f>HYPERLINK("https://edmondsonsupply.com/products/appion-kt11aa-r-megaflow-hose-gasket-10-pack-for-1-4in-fl-fittings", "https://edmondsonsupply.com/products/appion-kt11aa-r-megaflow-hose-gasket-10-pack-for-1-4in-fl-fittings")</f>
        <v>https://edmondsonsupply.com/products/appion-kt11aa-r-megaflow-hose-gasket-10-pack-for-1-4in-fl-fittings</v>
      </c>
      <c r="C1216" t="s">
        <v>3204</v>
      </c>
      <c r="D1216" t="s">
        <v>3205</v>
      </c>
      <c r="E1216" s="3" t="str">
        <f>HYPERLINK("https://www.amazon.com/Appion-KT11AA-R-MegaFlow-Hose-Gasket/dp/B08CSF9CGQ/ref=sr_1_1?keywords=Appion+KT11AA-R+MegaFlow+Hose+Gasket+10+Pack+for+1%2F4in+FL+Fittings&amp;qid=1695173458&amp;sr=8-1", "https://www.amazon.com/Appion-KT11AA-R-MegaFlow-Hose-Gasket/dp/B08CSF9CGQ/ref=sr_1_1?keywords=Appion+KT11AA-R+MegaFlow+Hose+Gasket+10+Pack+for+1%2F4in+FL+Fittings&amp;qid=1695173458&amp;sr=8-1")</f>
        <v>https://www.amazon.com/Appion-KT11AA-R-MegaFlow-Hose-Gasket/dp/B08CSF9CGQ/ref=sr_1_1?keywords=Appion+KT11AA-R+MegaFlow+Hose+Gasket+10+Pack+for+1%2F4in+FL+Fittings&amp;qid=1695173458&amp;sr=8-1</v>
      </c>
      <c r="F1216" t="s">
        <v>3206</v>
      </c>
      <c r="G1216" t="e">
        <f ca="1">_xludf.IMAGE("https://edmondsonsupply.com/cdn/shop/products/KT11AA-R_1080.png?v=1679102629")</f>
        <v>#NAME?</v>
      </c>
      <c r="H1216" t="e">
        <f ca="1">_xludf.IMAGE("https://m.media-amazon.com/images/I/41FddP7Sy3L._AC_UY218_.jpg")</f>
        <v>#NAME?</v>
      </c>
      <c r="I1216" t="s">
        <v>1158</v>
      </c>
      <c r="J1216">
        <v>32.33</v>
      </c>
      <c r="K1216" s="4">
        <v>0.47020000000000001</v>
      </c>
      <c r="L1216">
        <v>5</v>
      </c>
      <c r="M1216">
        <v>10</v>
      </c>
      <c r="O1216" t="s">
        <v>25</v>
      </c>
      <c r="P1216" t="s">
        <v>3207</v>
      </c>
      <c r="Q1216" t="s">
        <v>3208</v>
      </c>
    </row>
    <row r="1217" spans="1:17" ht="15.5" x14ac:dyDescent="0.35">
      <c r="A1217" s="3" t="str">
        <f>HYPERLINK("https://edmondsonsupply.com/collections/hvac/products/solderweld-sw-as09305k-alloy-sol-aluminum-repair-and-joining-rods-5-rod-pack", "https://edmondsonsupply.com/collections/hvac/products/solderweld-sw-as09305k-alloy-sol-aluminum-repair-and-joining-rods-5-rod-pack")</f>
        <v>https://edmondsonsupply.com/collections/hvac/products/solderweld-sw-as09305k-alloy-sol-aluminum-repair-and-joining-rods-5-rod-pack</v>
      </c>
      <c r="B1217" s="3" t="str">
        <f>HYPERLINK("https://edmondsonsupply.com/products/solderweld-sw-as09305k-alloy-sol-aluminum-repair-and-joining-rods-5-rod-pack", "https://edmondsonsupply.com/products/solderweld-sw-as09305k-alloy-sol-aluminum-repair-and-joining-rods-5-rod-pack")</f>
        <v>https://edmondsonsupply.com/products/solderweld-sw-as09305k-alloy-sol-aluminum-repair-and-joining-rods-5-rod-pack</v>
      </c>
      <c r="C1217" t="s">
        <v>3209</v>
      </c>
      <c r="D1217" t="s">
        <v>3210</v>
      </c>
      <c r="E1217" s="3" t="str">
        <f>HYPERLINK("https://www.amazon.com/Solderweld-SW-AS09305K-Aluminum-Repair-Joining/dp/B0B75HS6J3/ref=sr_1_1?keywords=SolderWeld+SW-AS09305K+Alloy+Sol+Aluminum+Repair+and+Joining+Rods%2C+5+Rod+Pack&amp;qid=1695173545&amp;sr=8-1", "https://www.amazon.com/Solderweld-SW-AS09305K-Aluminum-Repair-Joining/dp/B0B75HS6J3/ref=sr_1_1?keywords=SolderWeld+SW-AS09305K+Alloy+Sol+Aluminum+Repair+and+Joining+Rods%2C+5+Rod+Pack&amp;qid=1695173545&amp;sr=8-1")</f>
        <v>https://www.amazon.com/Solderweld-SW-AS09305K-Aluminum-Repair-Joining/dp/B0B75HS6J3/ref=sr_1_1?keywords=SolderWeld+SW-AS09305K+Alloy+Sol+Aluminum+Repair+and+Joining+Rods%2C+5+Rod+Pack&amp;qid=1695173545&amp;sr=8-1</v>
      </c>
      <c r="F1217" t="s">
        <v>3211</v>
      </c>
      <c r="G1217" t="e">
        <f ca="1">_xludf.IMAGE("https://edmondsonsupply.com/cdn/shop/products/SW-AS09305K-3.jpg?v=1633030235")</f>
        <v>#NAME?</v>
      </c>
      <c r="H1217" t="e">
        <f ca="1">_xludf.IMAGE("https://m.media-amazon.com/images/I/61xbKqwYZkL._AC_UL320_.jpg")</f>
        <v>#NAME?</v>
      </c>
      <c r="I1217" t="s">
        <v>3212</v>
      </c>
      <c r="J1217">
        <v>23.41</v>
      </c>
      <c r="K1217" s="4">
        <v>0.46500000000000002</v>
      </c>
      <c r="L1217">
        <v>5</v>
      </c>
      <c r="M1217">
        <v>3</v>
      </c>
      <c r="O1217" t="s">
        <v>25</v>
      </c>
      <c r="P1217" t="s">
        <v>138</v>
      </c>
      <c r="Q1217" t="s">
        <v>3213</v>
      </c>
    </row>
    <row r="1218" spans="1:17" ht="15.5" x14ac:dyDescent="0.35">
      <c r="A1218" s="3" t="str">
        <f>HYPERLINK("https://edmondsonsupply.com/collections/hvac/products/supco-mb55-5-5-inch-motor-bracket", "https://edmondsonsupply.com/collections/hvac/products/supco-mb55-5-5-inch-motor-bracket")</f>
        <v>https://edmondsonsupply.com/collections/hvac/products/supco-mb55-5-5-inch-motor-bracket</v>
      </c>
      <c r="B1218" s="3" t="str">
        <f>HYPERLINK("https://edmondsonsupply.com/products/supco-mb55-5-5-inch-motor-bracket", "https://edmondsonsupply.com/products/supco-mb55-5-5-inch-motor-bracket")</f>
        <v>https://edmondsonsupply.com/products/supco-mb55-5-5-inch-motor-bracket</v>
      </c>
      <c r="C1218" t="s">
        <v>1772</v>
      </c>
      <c r="D1218" t="s">
        <v>3214</v>
      </c>
      <c r="E1218" s="3" t="str">
        <f>HYPERLINK("https://www.amazon.com/Air-Conditioner-Replacement-Parts-Bracket/dp/B0711S9NXB/ref=sr_1_3?keywords=Supco+MB55+5.5+Inch+Motor+Bracket&amp;qid=1695173590&amp;sr=8-3", "https://www.amazon.com/Air-Conditioner-Replacement-Parts-Bracket/dp/B0711S9NXB/ref=sr_1_3?keywords=Supco+MB55+5.5+Inch+Motor+Bracket&amp;qid=1695173590&amp;sr=8-3")</f>
        <v>https://www.amazon.com/Air-Conditioner-Replacement-Parts-Bracket/dp/B0711S9NXB/ref=sr_1_3?keywords=Supco+MB55+5.5+Inch+Motor+Bracket&amp;qid=1695173590&amp;sr=8-3</v>
      </c>
      <c r="F1218" t="s">
        <v>3215</v>
      </c>
      <c r="G1218" t="e">
        <f ca="1">_xludf.IMAGE("https://edmondsonsupply.com/cdn/shop/products/MB55_L.png?v=1671842986")</f>
        <v>#NAME?</v>
      </c>
      <c r="H1218" t="e">
        <f ca="1">_xludf.IMAGE("https://m.media-amazon.com/images/I/31USClPy+rL._AC_UL320_.jpg")</f>
        <v>#NAME?</v>
      </c>
      <c r="I1218" t="s">
        <v>834</v>
      </c>
      <c r="J1218">
        <v>18.989999999999998</v>
      </c>
      <c r="K1218" s="4">
        <v>0.46189999999999998</v>
      </c>
      <c r="L1218">
        <v>4.3</v>
      </c>
      <c r="M1218">
        <v>21</v>
      </c>
      <c r="O1218" t="s">
        <v>25</v>
      </c>
      <c r="P1218" t="s">
        <v>138</v>
      </c>
      <c r="Q1218" t="s">
        <v>1775</v>
      </c>
    </row>
    <row r="1219" spans="1:17" ht="15.5" x14ac:dyDescent="0.35">
      <c r="A1219" s="3" t="str">
        <f>HYPERLINK("https://edmondsonsupply.com/collections/hvac/products/midwest-mwt-ss6716r-special-hardness-aviation-snip-right-cutting", "https://edmondsonsupply.com/collections/hvac/products/midwest-mwt-ss6716r-special-hardness-aviation-snip-right-cutting")</f>
        <v>https://edmondsonsupply.com/collections/hvac/products/midwest-mwt-ss6716r-special-hardness-aviation-snip-right-cutting</v>
      </c>
      <c r="B1219" s="3" t="str">
        <f>HYPERLINK("https://edmondsonsupply.com/products/midwest-mwt-ss6716r-special-hardness-aviation-snip-right-cutting", "https://edmondsonsupply.com/products/midwest-mwt-ss6716r-special-hardness-aviation-snip-right-cutting")</f>
        <v>https://edmondsonsupply.com/products/midwest-mwt-ss6716r-special-hardness-aviation-snip-right-cutting</v>
      </c>
      <c r="C1219" t="s">
        <v>1768</v>
      </c>
      <c r="D1219" t="s">
        <v>215</v>
      </c>
      <c r="E1219" s="3" t="str">
        <f>HYPERLINK("https://www.amazon.com/MIDWEST-Aviation-Snip-KUSHN-POWER-MWT-SS6510R/dp/B00OMSVOZ6/ref=sr_1_2?keywords=Midwest+MWT-SS6716R+Special+Hardness+Aviation+Snip+-+Right-Cutting&amp;qid=1695173444&amp;sr=8-2", "https://www.amazon.com/MIDWEST-Aviation-Snip-KUSHN-POWER-MWT-SS6510R/dp/B00OMSVOZ6/ref=sr_1_2?keywords=Midwest+MWT-SS6716R+Special+Hardness+Aviation+Snip+-+Right-Cutting&amp;qid=1695173444&amp;sr=8-2")</f>
        <v>https://www.amazon.com/MIDWEST-Aviation-Snip-KUSHN-POWER-MWT-SS6510R/dp/B00OMSVOZ6/ref=sr_1_2?keywords=Midwest+MWT-SS6716R+Special+Hardness+Aviation+Snip+-+Right-Cutting&amp;qid=1695173444&amp;sr=8-2</v>
      </c>
      <c r="F1219" t="s">
        <v>216</v>
      </c>
      <c r="G1219" t="e">
        <f ca="1">_xludf.IMAGE("https://edmondsonsupply.com/cdn/shop/products/MWT-SS6716R1.jpg?v=1587146219")</f>
        <v>#NAME?</v>
      </c>
      <c r="H1219" t="e">
        <f ca="1">_xludf.IMAGE("https://m.media-amazon.com/images/I/6111Xzz5-TL._AC_UL320_.jpg")</f>
        <v>#NAME?</v>
      </c>
      <c r="I1219" t="s">
        <v>1769</v>
      </c>
      <c r="J1219">
        <v>35.99</v>
      </c>
      <c r="K1219" s="4">
        <v>0.45939999999999998</v>
      </c>
      <c r="L1219">
        <v>4.3</v>
      </c>
      <c r="M1219">
        <v>99</v>
      </c>
      <c r="O1219" t="s">
        <v>25</v>
      </c>
      <c r="P1219" t="s">
        <v>1770</v>
      </c>
      <c r="Q1219" t="s">
        <v>1771</v>
      </c>
    </row>
    <row r="1220" spans="1:17" ht="15.5" x14ac:dyDescent="0.35">
      <c r="A1220"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1220"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1220" t="s">
        <v>2430</v>
      </c>
      <c r="D1220" t="s">
        <v>3216</v>
      </c>
      <c r="E1220" s="3" t="str">
        <f>HYPERLINK("https://www.amazon.com/Klein-Tools-6916INS-Insulated-Screwdriver/dp/B089DR97MJ/ref=sr_1_10?keywords=Klein+Tools+605-6+1%2F4-Inch+Cabinet+Tip+Screwdriver%2C+Heavy+Duty%2C+6-Inch&amp;qid=1695173547&amp;sr=8-10", "https://www.amazon.com/Klein-Tools-6916INS-Insulated-Screwdriver/dp/B089DR97MJ/ref=sr_1_10?keywords=Klein+Tools+605-6+1%2F4-Inch+Cabinet+Tip+Screwdriver%2C+Heavy+Duty%2C+6-Inch&amp;qid=1695173547&amp;sr=8-10")</f>
        <v>https://www.amazon.com/Klein-Tools-6916INS-Insulated-Screwdriver/dp/B089DR97MJ/ref=sr_1_10?keywords=Klein+Tools+605-6+1%2F4-Inch+Cabinet+Tip+Screwdriver%2C+Heavy+Duty%2C+6-Inch&amp;qid=1695173547&amp;sr=8-10</v>
      </c>
      <c r="F1220" t="s">
        <v>3217</v>
      </c>
      <c r="G1220" t="e">
        <f ca="1">_xludf.IMAGE("https://edmondsonsupply.com/cdn/shop/products/605-6.jpg?v=1587149759")</f>
        <v>#NAME?</v>
      </c>
      <c r="H1220" t="e">
        <f ca="1">_xludf.IMAGE("https://m.media-amazon.com/images/I/41JpJG+Jh0L._AC_UL320_.jpg")</f>
        <v>#NAME?</v>
      </c>
      <c r="I1220" t="s">
        <v>2433</v>
      </c>
      <c r="J1220">
        <v>13.85</v>
      </c>
      <c r="K1220" s="4">
        <v>0.45939999999999998</v>
      </c>
      <c r="L1220">
        <v>4.8</v>
      </c>
      <c r="M1220">
        <v>1361</v>
      </c>
      <c r="O1220" t="s">
        <v>25</v>
      </c>
      <c r="P1220" t="s">
        <v>2434</v>
      </c>
      <c r="Q1220" t="s">
        <v>2435</v>
      </c>
    </row>
    <row r="1221" spans="1:17" ht="15.5" x14ac:dyDescent="0.35">
      <c r="A1221" s="3" t="str">
        <f>HYPERLINK("https://edmondsonsupply.com/collections/hvac/products/klein-tools-89552-hole-cutter-for-duct-and-sheet-metal-2-to-12-inch", "https://edmondsonsupply.com/collections/hvac/products/klein-tools-89552-hole-cutter-for-duct-and-sheet-metal-2-to-12-inch")</f>
        <v>https://edmondsonsupply.com/collections/hvac/products/klein-tools-89552-hole-cutter-for-duct-and-sheet-metal-2-to-12-inch</v>
      </c>
      <c r="B1221" s="3" t="str">
        <f>HYPERLINK("https://edmondsonsupply.com/products/klein-tools-89552-hole-cutter-for-duct-and-sheet-metal-2-to-12-inch", "https://edmondsonsupply.com/products/klein-tools-89552-hole-cutter-for-duct-and-sheet-metal-2-to-12-inch")</f>
        <v>https://edmondsonsupply.com/products/klein-tools-89552-hole-cutter-for-duct-and-sheet-metal-2-to-12-inch</v>
      </c>
      <c r="C1221" t="s">
        <v>1762</v>
      </c>
      <c r="D1221" t="s">
        <v>3218</v>
      </c>
      <c r="E1221" s="3" t="str">
        <f>HYPERLINK("https://www.amazon.com/Klein-Tools-Cutter-Adjustable-Stainless/dp/B0BGPWHHD6/ref=sr_1_4?keywords=Klein+Tools+89552+Hole+Cutter+for+Duct+and+Sheet+Metal%2C+2+to+12-Inch&amp;qid=1695173674&amp;sr=8-4", "https://www.amazon.com/Klein-Tools-Cutter-Adjustable-Stainless/dp/B0BGPWHHD6/ref=sr_1_4?keywords=Klein+Tools+89552+Hole+Cutter+for+Duct+and+Sheet+Metal%2C+2+to+12-Inch&amp;qid=1695173674&amp;sr=8-4")</f>
        <v>https://www.amazon.com/Klein-Tools-Cutter-Adjustable-Stainless/dp/B0BGPWHHD6/ref=sr_1_4?keywords=Klein+Tools+89552+Hole+Cutter+for+Duct+and+Sheet+Metal%2C+2+to+12-Inch&amp;qid=1695173674&amp;sr=8-4</v>
      </c>
      <c r="F1221" t="s">
        <v>3219</v>
      </c>
      <c r="G1221" t="e">
        <f ca="1">_xludf.IMAGE("https://edmondsonsupply.com/cdn/shop/products/89552.jpg?v=1587143132")</f>
        <v>#NAME?</v>
      </c>
      <c r="H1221" t="e">
        <f ca="1">_xludf.IMAGE("https://m.media-amazon.com/images/I/311p0VBWVOL._AC_UL320_.jpg")</f>
        <v>#NAME?</v>
      </c>
      <c r="I1221" t="s">
        <v>1765</v>
      </c>
      <c r="J1221">
        <v>82.98</v>
      </c>
      <c r="K1221" s="4">
        <v>0.45600000000000002</v>
      </c>
      <c r="L1221">
        <v>4</v>
      </c>
      <c r="M1221">
        <v>1</v>
      </c>
      <c r="O1221" t="s">
        <v>25</v>
      </c>
      <c r="P1221" t="s">
        <v>1766</v>
      </c>
      <c r="Q1221" t="s">
        <v>1767</v>
      </c>
    </row>
    <row r="1222" spans="1:17" ht="15.5" x14ac:dyDescent="0.35">
      <c r="A1222" s="3" t="str">
        <f>HYPERLINK("https://edmondsonsupply.com/collections/hvac/products/nu-calgon-44171-75-evap-foam-no-rinse-aerosol-coil-cleaner", "https://edmondsonsupply.com/collections/hvac/products/nu-calgon-44171-75-evap-foam-no-rinse-aerosol-coil-cleaner")</f>
        <v>https://edmondsonsupply.com/collections/hvac/products/nu-calgon-44171-75-evap-foam-no-rinse-aerosol-coil-cleaner</v>
      </c>
      <c r="B1222" s="3" t="str">
        <f>HYPERLINK("https://edmondsonsupply.com/products/nu-calgon-44171-75-evap-foam-no-rinse-aerosol-coil-cleaner", "https://edmondsonsupply.com/products/nu-calgon-44171-75-evap-foam-no-rinse-aerosol-coil-cleaner")</f>
        <v>https://edmondsonsupply.com/products/nu-calgon-44171-75-evap-foam-no-rinse-aerosol-coil-cleaner</v>
      </c>
      <c r="C1222" t="s">
        <v>1546</v>
      </c>
      <c r="D1222" t="s">
        <v>3220</v>
      </c>
      <c r="E1222" s="3" t="str">
        <f>HYPERLINK("https://www.amazon.com/Nu-Calgon-4171-75-Rinse-Evaporator-Cleaner/dp/B00DM8KQ3I/ref=sr_1_1?keywords=Nu-Calgon+4171-75+Evap+Foam+No+Rinse%2C+Aerosol+Coil+Cleaner+%2818+oz.+can%29&amp;qid=1695173370&amp;sr=8-1", "https://www.amazon.com/Nu-Calgon-4171-75-Rinse-Evaporator-Cleaner/dp/B00DM8KQ3I/ref=sr_1_1?keywords=Nu-Calgon+4171-75+Evap+Foam+No+Rinse%2C+Aerosol+Coil+Cleaner+%2818+oz.+can%29&amp;qid=1695173370&amp;sr=8-1")</f>
        <v>https://www.amazon.com/Nu-Calgon-4171-75-Rinse-Evaporator-Cleaner/dp/B00DM8KQ3I/ref=sr_1_1?keywords=Nu-Calgon+4171-75+Evap+Foam+No+Rinse%2C+Aerosol+Coil+Cleaner+%2818+oz.+can%29&amp;qid=1695173370&amp;sr=8-1</v>
      </c>
      <c r="F1222" t="s">
        <v>3221</v>
      </c>
      <c r="G1222" t="e">
        <f ca="1">_xludf.IMAGE("https://edmondsonsupply.com/cdn/shop/products/4171-75.jpg?v=1659099515")</f>
        <v>#NAME?</v>
      </c>
      <c r="H1222" t="e">
        <f ca="1">_xludf.IMAGE("https://m.media-amazon.com/images/I/81-yHq9kc4L._AC_UL320_.jpg")</f>
        <v>#NAME?</v>
      </c>
      <c r="I1222" t="s">
        <v>234</v>
      </c>
      <c r="J1222">
        <v>17.09</v>
      </c>
      <c r="K1222" s="4">
        <v>0.45450000000000002</v>
      </c>
      <c r="L1222">
        <v>4.5</v>
      </c>
      <c r="M1222">
        <v>11423</v>
      </c>
      <c r="O1222" t="s">
        <v>25</v>
      </c>
      <c r="P1222" t="s">
        <v>1549</v>
      </c>
      <c r="Q1222" t="s">
        <v>1550</v>
      </c>
    </row>
    <row r="1223" spans="1:17" ht="15.5" x14ac:dyDescent="0.35">
      <c r="A1223" s="3" t="str">
        <f>HYPERLINK("https://edmondsonsupply.com/collections/hvac/products/fieldpiece-sc260", "https://edmondsonsupply.com/collections/hvac/products/fieldpiece-sc260")</f>
        <v>https://edmondsonsupply.com/collections/hvac/products/fieldpiece-sc260</v>
      </c>
      <c r="B1223" s="3" t="str">
        <f>HYPERLINK("https://edmondsonsupply.com/products/fieldpiece-sc260", "https://edmondsonsupply.com/products/fieldpiece-sc260")</f>
        <v>https://edmondsonsupply.com/products/fieldpiece-sc260</v>
      </c>
      <c r="C1223" t="s">
        <v>3222</v>
      </c>
      <c r="D1223" t="s">
        <v>3223</v>
      </c>
      <c r="E1223" s="3" t="str">
        <f>HYPERLINK("https://www.amazon.com/Fieldpiece-SC440-Temperature-Capacitance-Backlight/dp/B00KLYJMNQ/ref=sr_1_3?keywords=Fieldpiece+SC260+Compact+Clamp+Meter+with+True+RMS&amp;qid=1695173695&amp;sr=8-3", "https://www.amazon.com/Fieldpiece-SC440-Temperature-Capacitance-Backlight/dp/B00KLYJMNQ/ref=sr_1_3?keywords=Fieldpiece+SC260+Compact+Clamp+Meter+with+True+RMS&amp;qid=1695173695&amp;sr=8-3")</f>
        <v>https://www.amazon.com/Fieldpiece-SC440-Temperature-Capacitance-Backlight/dp/B00KLYJMNQ/ref=sr_1_3?keywords=Fieldpiece+SC260+Compact+Clamp+Meter+with+True+RMS&amp;qid=1695173695&amp;sr=8-3</v>
      </c>
      <c r="F1223" t="s">
        <v>3224</v>
      </c>
      <c r="G1223" t="e">
        <f ca="1">_xludf.IMAGE("https://edmondsonsupply.com/cdn/shop/products/SC260-SRC-product.jpg?v=1633030161")</f>
        <v>#NAME?</v>
      </c>
      <c r="H1223" t="e">
        <f ca="1">_xludf.IMAGE("https://m.media-amazon.com/images/I/51Yh8BCUNPL._AC_UY218_.jpg")</f>
        <v>#NAME?</v>
      </c>
      <c r="I1223" t="s">
        <v>3225</v>
      </c>
      <c r="J1223">
        <v>201.45</v>
      </c>
      <c r="K1223" s="4">
        <v>0.45400000000000001</v>
      </c>
      <c r="L1223">
        <v>4.7</v>
      </c>
      <c r="M1223">
        <v>700</v>
      </c>
      <c r="O1223" t="s">
        <v>25</v>
      </c>
      <c r="P1223" t="s">
        <v>1508</v>
      </c>
      <c r="Q1223" t="s">
        <v>3226</v>
      </c>
    </row>
    <row r="1224" spans="1:17" ht="15.5" x14ac:dyDescent="0.35">
      <c r="A1224" s="3" t="str">
        <f>HYPERLINK("https://edmondsonsupply.com/collections/hvac/products/klein-tools-mm300kit-digital-multimeter-electrical-test-kit", "https://edmondsonsupply.com/collections/hvac/products/klein-tools-mm300kit-digital-multimeter-electrical-test-kit")</f>
        <v>https://edmondsonsupply.com/collections/hvac/products/klein-tools-mm300kit-digital-multimeter-electrical-test-kit</v>
      </c>
      <c r="B1224"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1224" t="s">
        <v>3227</v>
      </c>
      <c r="D1224" t="s">
        <v>3228</v>
      </c>
      <c r="E1224" s="3" t="str">
        <f>HYPERLINK("https://www.amazon.com/Multimeter-Non-Contact-Klein-Tools-Electricians/dp/B0BVGB1TXZ/ref=sr_1_2?keywords=Klein+Tools+MM320KIT+Digital+Multimeter+Electrical+Test+Kit&amp;qid=1695173460&amp;sr=8-2", "https://www.amazon.com/Multimeter-Non-Contact-Klein-Tools-Electricians/dp/B0BVGB1TXZ/ref=sr_1_2?keywords=Klein+Tools+MM320KIT+Digital+Multimeter+Electrical+Test+Kit&amp;qid=1695173460&amp;sr=8-2")</f>
        <v>https://www.amazon.com/Multimeter-Non-Contact-Klein-Tools-Electricians/dp/B0BVGB1TXZ/ref=sr_1_2?keywords=Klein+Tools+MM320KIT+Digital+Multimeter+Electrical+Test+Kit&amp;qid=1695173460&amp;sr=8-2</v>
      </c>
      <c r="F1224" t="s">
        <v>3229</v>
      </c>
      <c r="G1224" t="e">
        <f ca="1">_xludf.IMAGE("https://edmondsonsupply.com/cdn/shop/products/mm320kit_photo.jpg?v=1660756496")</f>
        <v>#NAME?</v>
      </c>
      <c r="H1224" t="e">
        <f ca="1">_xludf.IMAGE("https://m.media-amazon.com/images/I/5187WRo8ulL._AC_UL320_.jpg")</f>
        <v>#NAME?</v>
      </c>
      <c r="I1224" t="s">
        <v>380</v>
      </c>
      <c r="J1224">
        <v>72.459999999999994</v>
      </c>
      <c r="K1224" s="4">
        <v>0.4501</v>
      </c>
      <c r="L1224">
        <v>5</v>
      </c>
      <c r="M1224">
        <v>1</v>
      </c>
      <c r="O1224" t="s">
        <v>25</v>
      </c>
      <c r="P1224" t="s">
        <v>3230</v>
      </c>
      <c r="Q1224" t="s">
        <v>3231</v>
      </c>
    </row>
    <row r="1225" spans="1:17" ht="15.5" x14ac:dyDescent="0.35">
      <c r="A1225" s="3" t="str">
        <f>HYPERLINK("https://edmondsonsupply.com/collections/hvac/products/copy-of-trion-455602-527-air-bear-supreme-2000-20x25x5-merv-11-air-cleaner-cabinet-grey-1", "https://edmondsonsupply.com/collections/hvac/products/copy-of-trion-455602-527-air-bear-supreme-2000-20x25x5-merv-11-air-cleaner-cabinet-grey-1")</f>
        <v>https://edmondsonsupply.com/collections/hvac/products/copy-of-trion-455602-527-air-bear-supreme-2000-20x25x5-merv-11-air-cleaner-cabinet-grey-1</v>
      </c>
      <c r="B1225" s="3" t="str">
        <f>HYPERLINK("https://edmondsonsupply.com/products/copy-of-trion-455602-527-air-bear-supreme-2000-20x25x5-merv-11-air-cleaner-cabinet-grey-1", "https://edmondsonsupply.com/products/copy-of-trion-455602-527-air-bear-supreme-2000-20x25x5-merv-11-air-cleaner-cabinet-grey-1")</f>
        <v>https://edmondsonsupply.com/products/copy-of-trion-455602-527-air-bear-supreme-2000-20x25x5-merv-11-air-cleaner-cabinet-grey-1</v>
      </c>
      <c r="C1225" t="s">
        <v>3232</v>
      </c>
      <c r="D1225" t="s">
        <v>3233</v>
      </c>
      <c r="E1225" s="3" t="str">
        <f>HYPERLINK("https://www.amazon.com/Trion-455602-227-Supreme-20x20x5-Cleaner/dp/B079Y8CP9M/ref=sr_1_1?keywords=Trion+455602-027+Air+Bear+Supreme+2000+20x25x5+MERV-8+Air+Cleaner+Cabinet+%28Grey%29&amp;qid=1695173585&amp;sr=8-1", "https://www.amazon.com/Trion-455602-227-Supreme-20x20x5-Cleaner/dp/B079Y8CP9M/ref=sr_1_1?keywords=Trion+455602-027+Air+Bear+Supreme+2000+20x25x5+MERV-8+Air+Cleaner+Cabinet+%28Grey%29&amp;qid=1695173585&amp;sr=8-1")</f>
        <v>https://www.amazon.com/Trion-455602-227-Supreme-20x20x5-Cleaner/dp/B079Y8CP9M/ref=sr_1_1?keywords=Trion+455602-027+Air+Bear+Supreme+2000+20x25x5+MERV-8+Air+Cleaner+Cabinet+%28Grey%29&amp;qid=1695173585&amp;sr=8-1</v>
      </c>
      <c r="F1225" t="s">
        <v>3234</v>
      </c>
      <c r="G1225" t="e">
        <f ca="1">_xludf.IMAGE("https://edmondsonsupply.com/cdn/shop/products/00_86dca442-e626-4c75-b893-92c884df73e1.png?v=1677884533")</f>
        <v>#NAME?</v>
      </c>
      <c r="H1225" t="e">
        <f ca="1">_xludf.IMAGE("https://m.media-amazon.com/images/I/517NY7hZ4rL._AC_UL320_.jpg")</f>
        <v>#NAME?</v>
      </c>
      <c r="I1225" t="s">
        <v>3235</v>
      </c>
      <c r="J1225">
        <v>173.14</v>
      </c>
      <c r="K1225" s="4">
        <v>0.44779999999999998</v>
      </c>
      <c r="L1225">
        <v>5</v>
      </c>
      <c r="M1225">
        <v>3</v>
      </c>
      <c r="O1225" t="s">
        <v>25</v>
      </c>
      <c r="P1225" t="s">
        <v>138</v>
      </c>
      <c r="Q1225" t="s">
        <v>3236</v>
      </c>
    </row>
    <row r="1226" spans="1:17" ht="15.5" x14ac:dyDescent="0.35">
      <c r="A1226" s="3" t="str">
        <f>HYPERLINK("https://edmondsonsupply.com/collections/hvac/products/malco-tools-avm7-ev-mini-offset-aviation-snip-right-cutting", "https://edmondsonsupply.com/collections/hvac/products/malco-tools-avm7-ev-mini-offset-aviation-snip-right-cutting")</f>
        <v>https://edmondsonsupply.com/collections/hvac/products/malco-tools-avm7-ev-mini-offset-aviation-snip-right-cutting</v>
      </c>
      <c r="B1226" s="3" t="str">
        <f>HYPERLINK("https://edmondsonsupply.com/products/malco-tools-avm7-ev-mini-offset-aviation-snip-right-cutting", "https://edmondsonsupply.com/products/malco-tools-avm7-ev-mini-offset-aviation-snip-right-cutting")</f>
        <v>https://edmondsonsupply.com/products/malco-tools-avm7-ev-mini-offset-aviation-snip-right-cutting</v>
      </c>
      <c r="C1226" t="s">
        <v>3237</v>
      </c>
      <c r="D1226" t="s">
        <v>3238</v>
      </c>
      <c r="E1226" s="3" t="str">
        <f>HYPERLINK("https://www.amazon.com/Malco-AVM7-Offset-Aviation-Cutting/dp/B00QV2NOS6/ref=sr_1_1?keywords=Malco+Tools+AVM7+EV+Mini+Offset+Aviation+Snip%2C+Right+Cutting&amp;qid=1695173614&amp;sr=8-1", "https://www.amazon.com/Malco-AVM7-Offset-Aviation-Cutting/dp/B00QV2NOS6/ref=sr_1_1?keywords=Malco+Tools+AVM7+EV+Mini+Offset+Aviation+Snip%2C+Right+Cutting&amp;qid=1695173614&amp;sr=8-1")</f>
        <v>https://www.amazon.com/Malco-AVM7-Offset-Aviation-Cutting/dp/B00QV2NOS6/ref=sr_1_1?keywords=Malco+Tools+AVM7+EV+Mini+Offset+Aviation+Snip%2C+Right+Cutting&amp;qid=1695173614&amp;sr=8-1</v>
      </c>
      <c r="F1226" t="s">
        <v>3239</v>
      </c>
      <c r="G1226" t="e">
        <f ca="1">_xludf.IMAGE("https://edmondsonsupply.com/cdn/shop/products/avm7_catalog-big.jpg?v=1650070180")</f>
        <v>#NAME?</v>
      </c>
      <c r="H1226" t="e">
        <f ca="1">_xludf.IMAGE("https://m.media-amazon.com/images/I/51PQxD-X5RL._AC_UL320_.jpg")</f>
        <v>#NAME?</v>
      </c>
      <c r="I1226" t="s">
        <v>3240</v>
      </c>
      <c r="J1226">
        <v>22.99</v>
      </c>
      <c r="K1226" s="4">
        <v>0.44679999999999997</v>
      </c>
      <c r="L1226">
        <v>4.5</v>
      </c>
      <c r="M1226">
        <v>145</v>
      </c>
      <c r="O1226" t="s">
        <v>25</v>
      </c>
      <c r="P1226" t="s">
        <v>3241</v>
      </c>
      <c r="Q1226" t="s">
        <v>3242</v>
      </c>
    </row>
    <row r="1227" spans="1:17" ht="15.5" x14ac:dyDescent="0.35">
      <c r="A1227"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1227"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1227" t="s">
        <v>2344</v>
      </c>
      <c r="D1227" t="s">
        <v>3243</v>
      </c>
      <c r="E1227" s="3" t="str">
        <f>HYPERLINK("https://www.amazon.com/Journeyman-T-Handle-Klein-Tools-JTH6E14BE/dp/B004QW1IC2/ref=sr_1_2?keywords=Klein+Tools+JTH6E14+5%2F16-Inch+Hex+Key+with+Journeyman+T-Handle%2C+6-Inch&amp;qid=1695173449&amp;sr=8-2", "https://www.amazon.com/Journeyman-T-Handle-Klein-Tools-JTH6E14BE/dp/B004QW1IC2/ref=sr_1_2?keywords=Klein+Tools+JTH6E14+5%2F16-Inch+Hex+Key+with+Journeyman+T-Handle%2C+6-Inch&amp;qid=1695173449&amp;sr=8-2")</f>
        <v>https://www.amazon.com/Journeyman-T-Handle-Klein-Tools-JTH6E14BE/dp/B004QW1IC2/ref=sr_1_2?keywords=Klein+Tools+JTH6E14+5%2F16-Inch+Hex+Key+with+Journeyman+T-Handle%2C+6-Inch&amp;qid=1695173449&amp;sr=8-2</v>
      </c>
      <c r="F1227" t="s">
        <v>3244</v>
      </c>
      <c r="G1227" t="e">
        <f ca="1">_xludf.IMAGE("https://edmondsonsupply.com/cdn/shop/products/jth6e15.jpg?v=1587148489")</f>
        <v>#NAME?</v>
      </c>
      <c r="H1227" t="e">
        <f ca="1">_xludf.IMAGE("https://m.media-amazon.com/images/I/51f9vBFVXgL._AC_UL320_.jpg")</f>
        <v>#NAME?</v>
      </c>
      <c r="I1227" t="s">
        <v>2347</v>
      </c>
      <c r="J1227">
        <v>10.11</v>
      </c>
      <c r="K1227" s="4">
        <v>0.44640000000000002</v>
      </c>
      <c r="L1227">
        <v>4.8</v>
      </c>
      <c r="M1227">
        <v>456</v>
      </c>
      <c r="O1227" t="s">
        <v>25</v>
      </c>
      <c r="P1227" t="s">
        <v>1140</v>
      </c>
      <c r="Q1227" t="s">
        <v>2348</v>
      </c>
    </row>
    <row r="1228" spans="1:17" ht="15.5" x14ac:dyDescent="0.35">
      <c r="A1228"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1228" s="3" t="str">
        <f>HYPERLINK("https://edmondsonsupply.com/products/midwest-mwt-6510r-right-offset-aviation-snip", "https://edmondsonsupply.com/products/midwest-mwt-6510r-right-offset-aviation-snip")</f>
        <v>https://edmondsonsupply.com/products/midwest-mwt-6510r-right-offset-aviation-snip</v>
      </c>
      <c r="C1228" t="s">
        <v>1776</v>
      </c>
      <c r="D1228" t="s">
        <v>215</v>
      </c>
      <c r="E1228" s="3" t="str">
        <f>HYPERLINK("https://www.amazon.com/MIDWEST-Aviation-Snip-KUSHN-POWER-MWT-SS6510R/dp/B00OMSVOZ6/ref=sr_1_5?keywords=Midwest+MWT-6510R+Right+Offset+Aviation+Snip&amp;qid=1695173557&amp;sr=8-5", "https://www.amazon.com/MIDWEST-Aviation-Snip-KUSHN-POWER-MWT-SS6510R/dp/B00OMSVOZ6/ref=sr_1_5?keywords=Midwest+MWT-6510R+Right+Offset+Aviation+Snip&amp;qid=1695173557&amp;sr=8-5")</f>
        <v>https://www.amazon.com/MIDWEST-Aviation-Snip-KUSHN-POWER-MWT-SS6510R/dp/B00OMSVOZ6/ref=sr_1_5?keywords=Midwest+MWT-6510R+Right+Offset+Aviation+Snip&amp;qid=1695173557&amp;sr=8-5</v>
      </c>
      <c r="F1228" t="s">
        <v>216</v>
      </c>
      <c r="G1228" t="e">
        <f ca="1">_xludf.IMAGE("https://edmondsonsupply.com/cdn/shop/products/MWT-6510R.png?v=1587144877")</f>
        <v>#NAME?</v>
      </c>
      <c r="H1228" t="e">
        <f ca="1">_xludf.IMAGE("https://m.media-amazon.com/images/I/6111Xzz5-TL._AC_UL320_.jpg")</f>
        <v>#NAME?</v>
      </c>
      <c r="I1228" t="s">
        <v>1777</v>
      </c>
      <c r="J1228">
        <v>35.99</v>
      </c>
      <c r="K1228" s="4">
        <v>0.44600000000000001</v>
      </c>
      <c r="L1228">
        <v>4.3</v>
      </c>
      <c r="M1228">
        <v>99</v>
      </c>
      <c r="O1228" t="s">
        <v>25</v>
      </c>
      <c r="P1228" t="s">
        <v>260</v>
      </c>
      <c r="Q1228" t="s">
        <v>1778</v>
      </c>
    </row>
    <row r="1229" spans="1:17" ht="15.5" x14ac:dyDescent="0.35">
      <c r="A1229"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1229" s="3" t="str">
        <f>HYPERLINK("https://edmondsonsupply.com/products/packard-prmj270-motor-start-capacitor-270-324-mfd-330-vac", "https://edmondsonsupply.com/products/packard-prmj270-motor-start-capacitor-270-324-mfd-330-vac")</f>
        <v>https://edmondsonsupply.com/products/packard-prmj270-motor-start-capacitor-270-324-mfd-330-vac</v>
      </c>
      <c r="C1229" t="s">
        <v>2452</v>
      </c>
      <c r="D1229" t="s">
        <v>3104</v>
      </c>
      <c r="E1229" s="3" t="str">
        <f>HYPERLINK("https://www.amazon.com/Motor-Start-Capacitor-270-324-220-250VAC/dp/B00CLJFZN0/ref=sr_1_9?keywords=Packard+PRMJ270+Motor+Start+Capacitor+270-324+MFD+330+VAC&amp;qid=1695173486&amp;sr=8-9", "https://www.amazon.com/Motor-Start-Capacitor-270-324-220-250VAC/dp/B00CLJFZN0/ref=sr_1_9?keywords=Packard+PRMJ270+Motor+Start+Capacitor+270-324+MFD+330+VAC&amp;qid=1695173486&amp;sr=8-9")</f>
        <v>https://www.amazon.com/Motor-Start-Capacitor-270-324-220-250VAC/dp/B00CLJFZN0/ref=sr_1_9?keywords=Packard+PRMJ270+Motor+Start+Capacitor+270-324+MFD+330+VAC&amp;qid=1695173486&amp;sr=8-9</v>
      </c>
      <c r="F1229" t="s">
        <v>3105</v>
      </c>
      <c r="G1229" t="e">
        <f ca="1">_xludf.IMAGE("https://edmondsonsupply.com/cdn/shop/products/PRMJ270-2.jpg?v=1633030164")</f>
        <v>#NAME?</v>
      </c>
      <c r="H1229" t="e">
        <f ca="1">_xludf.IMAGE("https://m.media-amazon.com/images/I/41VfB8p68ML._AC_UY218_.jpg")</f>
        <v>#NAME?</v>
      </c>
      <c r="I1229" t="s">
        <v>2455</v>
      </c>
      <c r="J1229">
        <v>14.99</v>
      </c>
      <c r="K1229" s="4">
        <v>0.44550000000000001</v>
      </c>
      <c r="L1229">
        <v>4.5</v>
      </c>
      <c r="M1229">
        <v>60</v>
      </c>
      <c r="O1229" t="s">
        <v>25</v>
      </c>
      <c r="P1229" t="s">
        <v>138</v>
      </c>
      <c r="Q1229" t="s">
        <v>2456</v>
      </c>
    </row>
    <row r="1230" spans="1:17" ht="15.5" x14ac:dyDescent="0.35">
      <c r="A1230" s="3" t="str">
        <f>HYPERLINK("https://edmondsonsupply.com/collections/hvac/products/klein-tools-60401-hard-hat-vented-full-brim-style", "https://edmondsonsupply.com/collections/hvac/products/klein-tools-60401-hard-hat-vented-full-brim-style")</f>
        <v>https://edmondsonsupply.com/collections/hvac/products/klein-tools-60401-hard-hat-vented-full-brim-style</v>
      </c>
      <c r="B1230" s="3" t="str">
        <f>HYPERLINK("https://edmondsonsupply.com/products/klein-tools-60401-hard-hat-vented-full-brim-style", "https://edmondsonsupply.com/products/klein-tools-60401-hard-hat-vented-full-brim-style")</f>
        <v>https://edmondsonsupply.com/products/klein-tools-60401-hard-hat-vented-full-brim-style</v>
      </c>
      <c r="C1230" t="s">
        <v>943</v>
      </c>
      <c r="D1230" t="s">
        <v>998</v>
      </c>
      <c r="E1230" s="3" t="str">
        <f>HYPERLINK("https://www.amazon.com/Klein-Tools-Headlamp-Multi-point-Adjustment/dp/B08KGCJDG8/ref=sr_1_5?keywords=Klein+Tools+60401+Hard+Hat%2C+Vented%2C+Full+Brim+Style&amp;qid=1695173675&amp;sr=8-5", "https://www.amazon.com/Klein-Tools-Headlamp-Multi-point-Adjustment/dp/B08KGCJDG8/ref=sr_1_5?keywords=Klein+Tools+60401+Hard+Hat%2C+Vented%2C+Full+Brim+Style&amp;qid=1695173675&amp;sr=8-5")</f>
        <v>https://www.amazon.com/Klein-Tools-Headlamp-Multi-point-Adjustment/dp/B08KGCJDG8/ref=sr_1_5?keywords=Klein+Tools+60401+Hard+Hat%2C+Vented%2C+Full+Brim+Style&amp;qid=1695173675&amp;sr=8-5</v>
      </c>
      <c r="F1230" t="s">
        <v>999</v>
      </c>
      <c r="G1230" t="e">
        <f ca="1">_xludf.IMAGE("https://edmondsonsupply.com/cdn/shop/products/60401.jpg?v=1587143271")</f>
        <v>#NAME?</v>
      </c>
      <c r="H1230" t="e">
        <f ca="1">_xludf.IMAGE("https://m.media-amazon.com/images/I/51tnGRYa57L._AC_UL320_.jpg")</f>
        <v>#NAME?</v>
      </c>
      <c r="I1230" t="s">
        <v>946</v>
      </c>
      <c r="J1230">
        <v>64.959999999999994</v>
      </c>
      <c r="K1230" s="4">
        <v>0.44390000000000002</v>
      </c>
      <c r="L1230">
        <v>4.8</v>
      </c>
      <c r="M1230">
        <v>8</v>
      </c>
      <c r="O1230" t="s">
        <v>25</v>
      </c>
      <c r="P1230" t="s">
        <v>947</v>
      </c>
      <c r="Q1230" t="s">
        <v>948</v>
      </c>
    </row>
    <row r="1231" spans="1:17" ht="15.5" x14ac:dyDescent="0.35">
      <c r="A1231" s="3" t="str">
        <f>HYPERLINK("https://edmondsonsupply.com/collections/hvac/products/klein-tools-60401-hard-hat-vented-full-brim-style", "https://edmondsonsupply.com/collections/hvac/products/klein-tools-60401-hard-hat-vented-full-brim-style")</f>
        <v>https://edmondsonsupply.com/collections/hvac/products/klein-tools-60401-hard-hat-vented-full-brim-style</v>
      </c>
      <c r="B1231" s="3" t="str">
        <f>HYPERLINK("https://edmondsonsupply.com/products/klein-tools-60401-hard-hat-vented-full-brim-style", "https://edmondsonsupply.com/products/klein-tools-60401-hard-hat-vented-full-brim-style")</f>
        <v>https://edmondsonsupply.com/products/klein-tools-60401-hard-hat-vented-full-brim-style</v>
      </c>
      <c r="C1231" t="s">
        <v>943</v>
      </c>
      <c r="D1231" t="s">
        <v>888</v>
      </c>
      <c r="E1231" s="3" t="str">
        <f>HYPERLINK("https://www.amazon.com/Klein-Tools-Self-Wicking-Odor-Resistant-Sweatband/dp/B0B68NYYM7/ref=sr_1_9?keywords=Klein+Tools+60401+Hard+Hat%2C+Vented%2C+Full+Brim+Style&amp;qid=1695173675&amp;sr=8-9", "https://www.amazon.com/Klein-Tools-Self-Wicking-Odor-Resistant-Sweatband/dp/B0B68NYYM7/ref=sr_1_9?keywords=Klein+Tools+60401+Hard+Hat%2C+Vented%2C+Full+Brim+Style&amp;qid=1695173675&amp;sr=8-9")</f>
        <v>https://www.amazon.com/Klein-Tools-Self-Wicking-Odor-Resistant-Sweatband/dp/B0B68NYYM7/ref=sr_1_9?keywords=Klein+Tools+60401+Hard+Hat%2C+Vented%2C+Full+Brim+Style&amp;qid=1695173675&amp;sr=8-9</v>
      </c>
      <c r="F1231" t="s">
        <v>889</v>
      </c>
      <c r="G1231" t="e">
        <f ca="1">_xludf.IMAGE("https://edmondsonsupply.com/cdn/shop/products/60401.jpg?v=1587143271")</f>
        <v>#NAME?</v>
      </c>
      <c r="H1231" t="e">
        <f ca="1">_xludf.IMAGE("https://m.media-amazon.com/images/I/41IulVK0+jL._AC_UL320_.jpg")</f>
        <v>#NAME?</v>
      </c>
      <c r="I1231" t="s">
        <v>946</v>
      </c>
      <c r="J1231">
        <v>64.959999999999994</v>
      </c>
      <c r="K1231" s="4">
        <v>0.44390000000000002</v>
      </c>
      <c r="L1231">
        <v>4.5</v>
      </c>
      <c r="M1231">
        <v>15</v>
      </c>
      <c r="O1231" t="s">
        <v>25</v>
      </c>
      <c r="P1231" t="s">
        <v>947</v>
      </c>
      <c r="Q1231" t="s">
        <v>948</v>
      </c>
    </row>
    <row r="1232" spans="1:17" ht="15.5" x14ac:dyDescent="0.35">
      <c r="A1232" s="3" t="str">
        <f>HYPERLINK("https://edmondsonsupply.com/collections/hvac/products/greenlee-gsb01-1-2-step-bit-1", "https://edmondsonsupply.com/collections/hvac/products/greenlee-gsb01-1-2-step-bit-1")</f>
        <v>https://edmondsonsupply.com/collections/hvac/products/greenlee-gsb01-1-2-step-bit-1</v>
      </c>
      <c r="B1232" s="3" t="str">
        <f>HYPERLINK("https://edmondsonsupply.com/products/greenlee-gsb01-1-2-step-bit-1", "https://edmondsonsupply.com/products/greenlee-gsb01-1-2-step-bit-1")</f>
        <v>https://edmondsonsupply.com/products/greenlee-gsb01-1-2-step-bit-1</v>
      </c>
      <c r="C1232" t="s">
        <v>2319</v>
      </c>
      <c r="D1232" t="s">
        <v>3245</v>
      </c>
      <c r="E1232" s="3" t="str">
        <f>HYPERLINK("https://www.amazon.com/Greenlee-GSB12-Step-Bit-1-3/dp/B08TVF7KMP/ref=sr_1_2?keywords=Greenlee+GSB01+1%2F2%22+Step+Bit+%28%231%29&amp;qid=1695173747&amp;sr=8-2", "https://www.amazon.com/Greenlee-GSB12-Step-Bit-1-3/dp/B08TVF7KMP/ref=sr_1_2?keywords=Greenlee+GSB01+1%2F2%22+Step+Bit+%28%231%29&amp;qid=1695173747&amp;sr=8-2")</f>
        <v>https://www.amazon.com/Greenlee-GSB12-Step-Bit-1-3/dp/B08TVF7KMP/ref=sr_1_2?keywords=Greenlee+GSB01+1%2F2%22+Step+Bit+%28%231%29&amp;qid=1695173747&amp;sr=8-2</v>
      </c>
      <c r="F1232" t="s">
        <v>3246</v>
      </c>
      <c r="G1232" t="e">
        <f ca="1">_xludf.IMAGE("https://edmondsonsupply.com/cdn/shop/files/GSB01_CAT1_72dpi_1.jpg?v=1687790366")</f>
        <v>#NAME?</v>
      </c>
      <c r="H1232" t="e">
        <f ca="1">_xludf.IMAGE("https://m.media-amazon.com/images/I/41Z8kxeeZfL._AC_UY218_.jpg")</f>
        <v>#NAME?</v>
      </c>
      <c r="I1232" t="s">
        <v>2322</v>
      </c>
      <c r="J1232">
        <v>45</v>
      </c>
      <c r="K1232" s="4">
        <v>0.44140000000000001</v>
      </c>
      <c r="L1232">
        <v>4.8</v>
      </c>
      <c r="M1232">
        <v>27</v>
      </c>
      <c r="O1232" t="s">
        <v>25</v>
      </c>
      <c r="P1232" t="s">
        <v>138</v>
      </c>
      <c r="Q1232" t="s">
        <v>2323</v>
      </c>
    </row>
    <row r="1233" spans="1:17" ht="15.5" x14ac:dyDescent="0.35">
      <c r="A1233"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1233" s="3" t="str">
        <f>HYPERLINK("https://edmondsonsupply.com/products/packard-c230b-contactor-2-pole-30-amps-120-coil-voltage", "https://edmondsonsupply.com/products/packard-c230b-contactor-2-pole-30-amps-120-coil-voltage")</f>
        <v>https://edmondsonsupply.com/products/packard-c230b-contactor-2-pole-30-amps-120-coil-voltage</v>
      </c>
      <c r="C1233" t="s">
        <v>2173</v>
      </c>
      <c r="D1233" t="s">
        <v>3247</v>
      </c>
      <c r="E1233" s="3" t="str">
        <f>HYPERLINK("https://www.amazon.com/Packard-C230B-Contactor-Voltage-Limited/dp/B07C1YQB6R/ref=sr_1_2?keywords=Packard+C230B+Contactor+2+Pole+30+AMPS+120+Coil+Voltage&amp;qid=1695173673&amp;sr=8-2", "https://www.amazon.com/Packard-C230B-Contactor-Voltage-Limited/dp/B07C1YQB6R/ref=sr_1_2?keywords=Packard+C230B+Contactor+2+Pole+30+AMPS+120+Coil+Voltage&amp;qid=1695173673&amp;sr=8-2")</f>
        <v>https://www.amazon.com/Packard-C230B-Contactor-Voltage-Limited/dp/B07C1YQB6R/ref=sr_1_2?keywords=Packard+C230B+Contactor+2+Pole+30+AMPS+120+Coil+Voltage&amp;qid=1695173673&amp;sr=8-2</v>
      </c>
      <c r="F1233" t="s">
        <v>3248</v>
      </c>
      <c r="G1233" t="e">
        <f ca="1">_xludf.IMAGE("https://edmondsonsupply.com/cdn/shop/products/C230B-1.jpg?v=1587142333")</f>
        <v>#NAME?</v>
      </c>
      <c r="H1233" t="e">
        <f ca="1">_xludf.IMAGE("https://m.media-amazon.com/images/I/71HXTdpmisL._AC_UY218_.jpg")</f>
        <v>#NAME?</v>
      </c>
      <c r="I1233" t="s">
        <v>2176</v>
      </c>
      <c r="J1233">
        <v>15.56</v>
      </c>
      <c r="K1233" s="4">
        <v>0.43809999999999999</v>
      </c>
      <c r="L1233">
        <v>4.8</v>
      </c>
      <c r="M1233">
        <v>74</v>
      </c>
      <c r="O1233" t="s">
        <v>25</v>
      </c>
      <c r="P1233" t="s">
        <v>138</v>
      </c>
      <c r="Q1233" t="s">
        <v>2177</v>
      </c>
    </row>
    <row r="1234" spans="1:17" ht="15.5" x14ac:dyDescent="0.35">
      <c r="A1234" s="3" t="str">
        <f>HYPERLINK("https://edmondsonsupply.com/collections/hvac/products/spin-tools-f5000", "https://edmondsonsupply.com/collections/hvac/products/spin-tools-f5000")</f>
        <v>https://edmondsonsupply.com/collections/hvac/products/spin-tools-f5000</v>
      </c>
      <c r="B1234" s="3" t="str">
        <f>HYPERLINK("https://edmondsonsupply.com/products/spin-tools-f5000", "https://edmondsonsupply.com/products/spin-tools-f5000")</f>
        <v>https://edmondsonsupply.com/products/spin-tools-f5000</v>
      </c>
      <c r="C1234" t="s">
        <v>3249</v>
      </c>
      <c r="D1234" t="s">
        <v>3250</v>
      </c>
      <c r="E1234" s="3" t="str">
        <f>HYPERLINK("https://www.amazon.com/F6000-Flaring-Tool-Drill-Bits/dp/B07L7C7DPT/ref=sr_1_5?keywords=SPIN+Tools+F5000+Flaring+Drill+Bit+Set%2C+1%2F4%22%2C+3%2F8%22%2C+1%2F2%22%2C+5%2F8%22+%26+3%2F4%22&amp;qid=1695173666&amp;sr=8-5", "https://www.amazon.com/F6000-Flaring-Tool-Drill-Bits/dp/B07L7C7DPT/ref=sr_1_5?keywords=SPIN+Tools+F5000+Flaring+Drill+Bit+Set%2C+1%2F4%22%2C+3%2F8%22%2C+1%2F2%22%2C+5%2F8%22+%26+3%2F4%22&amp;qid=1695173666&amp;sr=8-5")</f>
        <v>https://www.amazon.com/F6000-Flaring-Tool-Drill-Bits/dp/B07L7C7DPT/ref=sr_1_5?keywords=SPIN+Tools+F5000+Flaring+Drill+Bit+Set%2C+1%2F4%22%2C+3%2F8%22%2C+1%2F2%22%2C+5%2F8%22+%26+3%2F4%22&amp;qid=1695173666&amp;sr=8-5</v>
      </c>
      <c r="F1234" t="s">
        <v>3251</v>
      </c>
      <c r="G1234" t="e">
        <f ca="1">_xludf.IMAGE("https://edmondsonsupply.com/cdn/shop/products/f5000-1.jpg?v=1587405635")</f>
        <v>#NAME?</v>
      </c>
      <c r="H1234" t="e">
        <f ca="1">_xludf.IMAGE("https://m.media-amazon.com/images/I/618+pdlmdeL._AC_UL320_.jpg")</f>
        <v>#NAME?</v>
      </c>
      <c r="I1234" t="s">
        <v>3252</v>
      </c>
      <c r="J1234">
        <v>90</v>
      </c>
      <c r="K1234" s="4">
        <v>0.4375</v>
      </c>
      <c r="L1234">
        <v>4.5</v>
      </c>
      <c r="M1234">
        <v>220</v>
      </c>
      <c r="O1234" t="s">
        <v>25</v>
      </c>
      <c r="P1234" t="s">
        <v>3253</v>
      </c>
      <c r="Q1234" t="s">
        <v>3254</v>
      </c>
    </row>
    <row r="1235" spans="1:17" ht="15.5" x14ac:dyDescent="0.35">
      <c r="A1235" s="3" t="str">
        <f>HYPERLINK("https://edmondsonsupply.com/collections/hvac/products/icm-controls-icm325a-low-ambient-head-pressure-control", "https://edmondsonsupply.com/collections/hvac/products/icm-controls-icm325a-low-ambient-head-pressure-control")</f>
        <v>https://edmondsonsupply.com/collections/hvac/products/icm-controls-icm325a-low-ambient-head-pressure-control</v>
      </c>
      <c r="B1235" s="3" t="str">
        <f>HYPERLINK("https://edmondsonsupply.com/products/icm-controls-icm325a-low-ambient-head-pressure-control", "https://edmondsonsupply.com/products/icm-controls-icm325a-low-ambient-head-pressure-control")</f>
        <v>https://edmondsonsupply.com/products/icm-controls-icm325a-low-ambient-head-pressure-control</v>
      </c>
      <c r="C1235" t="s">
        <v>3255</v>
      </c>
      <c r="D1235" t="s">
        <v>3256</v>
      </c>
      <c r="E1235" s="3" t="str">
        <f>HYPERLINK("https://www.amazon.com/ICM-Controls-ICM333-Ambient-Pressure/dp/B007ICI4LK/ref=sr_1_1?keywords=ICM+Controls+ICM325A+Low+Ambient+Head+Pressure+Control&amp;qid=1695173588&amp;sr=8-1", "https://www.amazon.com/ICM-Controls-ICM333-Ambient-Pressure/dp/B007ICI4LK/ref=sr_1_1?keywords=ICM+Controls+ICM325A+Low+Ambient+Head+Pressure+Control&amp;qid=1695173588&amp;sr=8-1")</f>
        <v>https://www.amazon.com/ICM-Controls-ICM333-Ambient-Pressure/dp/B007ICI4LK/ref=sr_1_1?keywords=ICM+Controls+ICM325A+Low+Ambient+Head+Pressure+Control&amp;qid=1695173588&amp;sr=8-1</v>
      </c>
      <c r="F1235" t="s">
        <v>3257</v>
      </c>
      <c r="G1235" t="e">
        <f ca="1">_xludf.IMAGE("https://edmondsonsupply.com/cdn/shop/files/icm325.png?v=1684274593")</f>
        <v>#NAME?</v>
      </c>
      <c r="H1235" t="e">
        <f ca="1">_xludf.IMAGE("https://m.media-amazon.com/images/I/71DLNuhcRQL._AC_UL320_.jpg")</f>
        <v>#NAME?</v>
      </c>
      <c r="I1235" t="s">
        <v>3258</v>
      </c>
      <c r="J1235">
        <v>219.96</v>
      </c>
      <c r="K1235" s="4">
        <v>0.43590000000000001</v>
      </c>
      <c r="L1235">
        <v>4.7</v>
      </c>
      <c r="M1235">
        <v>6</v>
      </c>
      <c r="O1235" t="s">
        <v>25</v>
      </c>
      <c r="P1235" t="s">
        <v>138</v>
      </c>
      <c r="Q1235" t="s">
        <v>3259</v>
      </c>
    </row>
    <row r="1236" spans="1:17" ht="15.5" x14ac:dyDescent="0.35">
      <c r="A1236" s="3" t="str">
        <f>HYPERLINK("https://edmondsonsupply.com/collections/hvac/products/supco-ecmpro-ecm-universal-tester", "https://edmondsonsupply.com/collections/hvac/products/supco-ecmpro-ecm-universal-tester")</f>
        <v>https://edmondsonsupply.com/collections/hvac/products/supco-ecmpro-ecm-universal-tester</v>
      </c>
      <c r="B1236" s="3" t="str">
        <f>HYPERLINK("https://edmondsonsupply.com/products/supco-ecmpro-ecm-universal-tester", "https://edmondsonsupply.com/products/supco-ecmpro-ecm-universal-tester")</f>
        <v>https://edmondsonsupply.com/products/supco-ecmpro-ecm-universal-tester</v>
      </c>
      <c r="C1236" t="s">
        <v>3260</v>
      </c>
      <c r="D1236" t="s">
        <v>3261</v>
      </c>
      <c r="E1236" s="3" t="str">
        <f>HYPERLINK("https://www.amazon.com/Airstar-Supply-ECMPRO-Universal-Tester/dp/B08NXWDYMV/ref=sr_1_2?keywords=Supco+ECMPRO+ECM+Universal+Tester&amp;qid=1695173332&amp;sr=8-2", "https://www.amazon.com/Airstar-Supply-ECMPRO-Universal-Tester/dp/B08NXWDYMV/ref=sr_1_2?keywords=Supco+ECMPRO+ECM+Universal+Tester&amp;qid=1695173332&amp;sr=8-2")</f>
        <v>https://www.amazon.com/Airstar-Supply-ECMPRO-Universal-Tester/dp/B08NXWDYMV/ref=sr_1_2?keywords=Supco+ECMPRO+ECM+Universal+Tester&amp;qid=1695173332&amp;sr=8-2</v>
      </c>
      <c r="F1236" t="s">
        <v>3262</v>
      </c>
      <c r="G1236" t="e">
        <f ca="1">_xludf.IMAGE("https://edmondsonsupply.com/cdn/shop/products/ECMPRO_L.png?v=1587142591")</f>
        <v>#NAME?</v>
      </c>
      <c r="H1236" t="e">
        <f ca="1">_xludf.IMAGE("https://m.media-amazon.com/images/I/41umt7JlOeL._AC_UY218_.jpg")</f>
        <v>#NAME?</v>
      </c>
      <c r="I1236" t="s">
        <v>3263</v>
      </c>
      <c r="J1236">
        <v>75.55</v>
      </c>
      <c r="K1236" s="4">
        <v>0.43280000000000002</v>
      </c>
      <c r="L1236">
        <v>4.5999999999999996</v>
      </c>
      <c r="M1236">
        <v>92</v>
      </c>
      <c r="O1236" t="s">
        <v>25</v>
      </c>
      <c r="P1236" t="s">
        <v>138</v>
      </c>
      <c r="Q1236" t="s">
        <v>3264</v>
      </c>
    </row>
    <row r="1237" spans="1:17" ht="15.5" x14ac:dyDescent="0.35">
      <c r="A1237"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1237" s="3" t="str">
        <f>HYPERLINK("https://edmondsonsupply.com/products/klein-tools-935dag-digital-angle-gauge-and-level", "https://edmondsonsupply.com/products/klein-tools-935dag-digital-angle-gauge-and-level")</f>
        <v>https://edmondsonsupply.com/products/klein-tools-935dag-digital-angle-gauge-and-level</v>
      </c>
      <c r="C1237" t="s">
        <v>1924</v>
      </c>
      <c r="D1237" t="s">
        <v>3265</v>
      </c>
      <c r="E1237" s="3" t="str">
        <f>HYPERLINK("https://www.amazon.com/Klein-Tools-Electronic-Measures-ACCU-BEND/dp/B08KGPS8X9/ref=sr_1_8?keywords=Klein+Tools+935DAG+Digital+Angle+Gauge+and+Level&amp;qid=1695173564&amp;sr=8-8", "https://www.amazon.com/Klein-Tools-Electronic-Measures-ACCU-BEND/dp/B08KGPS8X9/ref=sr_1_8?keywords=Klein+Tools+935DAG+Digital+Angle+Gauge+and+Level&amp;qid=1695173564&amp;sr=8-8")</f>
        <v>https://www.amazon.com/Klein-Tools-Electronic-Measures-ACCU-BEND/dp/B08KGPS8X9/ref=sr_1_8?keywords=Klein+Tools+935DAG+Digital+Angle+Gauge+and+Level&amp;qid=1695173564&amp;sr=8-8</v>
      </c>
      <c r="F1237" t="s">
        <v>3266</v>
      </c>
      <c r="G1237" t="e">
        <f ca="1">_xludf.IMAGE("https://edmondsonsupply.com/cdn/shop/products/935dag.jpg?v=1587145032")</f>
        <v>#NAME?</v>
      </c>
      <c r="H1237" t="e">
        <f ca="1">_xludf.IMAGE("https://m.media-amazon.com/images/I/51Ov1RuJ9nL._AC_UL320_.jpg")</f>
        <v>#NAME?</v>
      </c>
      <c r="I1237" t="s">
        <v>824</v>
      </c>
      <c r="J1237">
        <v>42.94</v>
      </c>
      <c r="K1237" s="4">
        <v>0.43280000000000002</v>
      </c>
      <c r="L1237">
        <v>4.8</v>
      </c>
      <c r="M1237">
        <v>64</v>
      </c>
      <c r="O1237" t="s">
        <v>25</v>
      </c>
      <c r="P1237" t="s">
        <v>73</v>
      </c>
      <c r="Q1237" t="s">
        <v>1927</v>
      </c>
    </row>
    <row r="1238" spans="1:17" ht="15.5" x14ac:dyDescent="0.35">
      <c r="A1238" s="3" t="str">
        <f>HYPERLINK("https://edmondsonsupply.com/collections/hvac/products/packard-c240a-contactor-2-pole-40-amps-24-coil-voltage", "https://edmondsonsupply.com/collections/hvac/products/packard-c240a-contactor-2-pole-40-amps-24-coil-voltage")</f>
        <v>https://edmondsonsupply.com/collections/hvac/products/packard-c240a-contactor-2-pole-40-amps-24-coil-voltage</v>
      </c>
      <c r="B1238" s="3" t="str">
        <f>HYPERLINK("https://edmondsonsupply.com/products/packard-c240a-contactor-2-pole-40-amps-24-coil-voltage", "https://edmondsonsupply.com/products/packard-c240a-contactor-2-pole-40-amps-24-coil-voltage")</f>
        <v>https://edmondsonsupply.com/products/packard-c240a-contactor-2-pole-40-amps-24-coil-voltage</v>
      </c>
      <c r="C1238" t="s">
        <v>2737</v>
      </c>
      <c r="D1238" t="s">
        <v>3267</v>
      </c>
      <c r="E1238" s="3" t="str">
        <f>HYPERLINK("https://www.amazon.com/Dreyoo-Replacement-Compatible-Conditioner-Refrigeration/dp/B0BTLZG7Z3/ref=sr_1_9?keywords=Packard+C240A+Contactor+2+Pole+40+AMPS+24+Coil+Voltage&amp;qid=1695173372&amp;sr=8-9", "https://www.amazon.com/Dreyoo-Replacement-Compatible-Conditioner-Refrigeration/dp/B0BTLZG7Z3/ref=sr_1_9?keywords=Packard+C240A+Contactor+2+Pole+40+AMPS+24+Coil+Voltage&amp;qid=1695173372&amp;sr=8-9")</f>
        <v>https://www.amazon.com/Dreyoo-Replacement-Compatible-Conditioner-Refrigeration/dp/B0BTLZG7Z3/ref=sr_1_9?keywords=Packard+C240A+Contactor+2+Pole+40+AMPS+24+Coil+Voltage&amp;qid=1695173372&amp;sr=8-9</v>
      </c>
      <c r="F1238" t="s">
        <v>3268</v>
      </c>
      <c r="G1238" t="e">
        <f ca="1">_xludf.IMAGE("https://edmondsonsupply.com/cdn/shop/products/C240A-1.jpg?v=1590239996")</f>
        <v>#NAME?</v>
      </c>
      <c r="H1238" t="e">
        <f ca="1">_xludf.IMAGE("https://m.media-amazon.com/images/I/814jEbEm11L._AC_UY218_.jpg")</f>
        <v>#NAME?</v>
      </c>
      <c r="I1238" t="s">
        <v>1523</v>
      </c>
      <c r="J1238">
        <v>19.989999999999998</v>
      </c>
      <c r="K1238" s="4">
        <v>0.43190000000000001</v>
      </c>
      <c r="L1238">
        <v>4.3</v>
      </c>
      <c r="M1238">
        <v>21</v>
      </c>
      <c r="O1238" t="s">
        <v>25</v>
      </c>
      <c r="P1238" t="s">
        <v>138</v>
      </c>
      <c r="Q1238" t="s">
        <v>2740</v>
      </c>
    </row>
    <row r="1239" spans="1:17" ht="15.5" x14ac:dyDescent="0.35">
      <c r="A1239" s="3" t="str">
        <f>HYPERLINK("https://edmondsonsupply.com/collections/hvac/products/midwest-mwt-ss6716l-special-hardness-aviation-snip-left-cutting", "https://edmondsonsupply.com/collections/hvac/products/midwest-mwt-ss6716l-special-hardness-aviation-snip-left-cutting")</f>
        <v>https://edmondsonsupply.com/collections/hvac/products/midwest-mwt-ss6716l-special-hardness-aviation-snip-left-cutting</v>
      </c>
      <c r="B1239" s="3" t="str">
        <f>HYPERLINK("https://edmondsonsupply.com/products/midwest-mwt-ss6716l-special-hardness-aviation-snip-left-cutting", "https://edmondsonsupply.com/products/midwest-mwt-ss6716l-special-hardness-aviation-snip-left-cutting")</f>
        <v>https://edmondsonsupply.com/products/midwest-mwt-ss6716l-special-hardness-aviation-snip-left-cutting</v>
      </c>
      <c r="C1239" t="s">
        <v>1800</v>
      </c>
      <c r="D1239" t="s">
        <v>217</v>
      </c>
      <c r="E1239" s="3" t="str">
        <f>HYPERLINK("https://www.amazon.com/MIDWEST-Aviation-Snip-KUSHN-POWER-MWT-6510L/dp/B00OCGQFP2/ref=sr_1_4?keywords=Midwest+MWT-SS6716L+Special+Hardness+Aviation+Snip+-+Left-Cutting&amp;qid=1695173419&amp;sr=8-4", "https://www.amazon.com/MIDWEST-Aviation-Snip-KUSHN-POWER-MWT-6510L/dp/B00OCGQFP2/ref=sr_1_4?keywords=Midwest+MWT-SS6716L+Special+Hardness+Aviation+Snip+-+Left-Cutting&amp;qid=1695173419&amp;sr=8-4")</f>
        <v>https://www.amazon.com/MIDWEST-Aviation-Snip-KUSHN-POWER-MWT-6510L/dp/B00OCGQFP2/ref=sr_1_4?keywords=Midwest+MWT-SS6716L+Special+Hardness+Aviation+Snip+-+Left-Cutting&amp;qid=1695173419&amp;sr=8-4</v>
      </c>
      <c r="F1239" t="s">
        <v>218</v>
      </c>
      <c r="G1239" t="e">
        <f ca="1">_xludf.IMAGE("https://edmondsonsupply.com/cdn/shop/products/MWT-SS6716L1.jpg?v=1587151241")</f>
        <v>#NAME?</v>
      </c>
      <c r="H1239" t="e">
        <f ca="1">_xludf.IMAGE("https://m.media-amazon.com/images/I/71WhwcyI50L._AC_UL320_.jpg")</f>
        <v>#NAME?</v>
      </c>
      <c r="I1239" t="s">
        <v>1110</v>
      </c>
      <c r="J1239">
        <v>36.49</v>
      </c>
      <c r="K1239" s="4">
        <v>0.43149999999999999</v>
      </c>
      <c r="L1239">
        <v>4.7</v>
      </c>
      <c r="M1239">
        <v>3425</v>
      </c>
      <c r="O1239" t="s">
        <v>25</v>
      </c>
      <c r="P1239" t="s">
        <v>1770</v>
      </c>
      <c r="Q1239" t="s">
        <v>1801</v>
      </c>
    </row>
    <row r="1240" spans="1:17" ht="15.5" x14ac:dyDescent="0.35">
      <c r="A1240"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240" s="3" t="str">
        <f>HYPERLINK("https://edmondsonsupply.com/products/klein-tools-11053-klein-kurve%c2%ae-wire-stripper-cutter", "https://edmondsonsupply.com/products/klein-tools-11053-klein-kurve%c2%ae-wire-stripper-cutter")</f>
        <v>https://edmondsonsupply.com/products/klein-tools-11053-klein-kurve%c2%ae-wire-stripper-cutter</v>
      </c>
      <c r="C1240" t="s">
        <v>2285</v>
      </c>
      <c r="D1240" t="s">
        <v>3269</v>
      </c>
      <c r="E1240" s="3" t="str">
        <f>HYPERLINK("https://www.amazon.com/Cutter-Stripper-Klein-Tools-K1412/dp/B000F9HIEC/ref=sr_1_10?keywords=Klein+Tools+11053+Klein-Kurve%C2%AE+Wire+Stripper%2FCutter&amp;qid=1695173476&amp;sr=8-10", "https://www.amazon.com/Cutter-Stripper-Klein-Tools-K1412/dp/B000F9HIEC/ref=sr_1_10?keywords=Klein+Tools+11053+Klein-Kurve%C2%AE+Wire+Stripper%2FCutter&amp;qid=1695173476&amp;sr=8-10")</f>
        <v>https://www.amazon.com/Cutter-Stripper-Klein-Tools-K1412/dp/B000F9HIEC/ref=sr_1_10?keywords=Klein+Tools+11053+Klein-Kurve%C2%AE+Wire+Stripper%2FCutter&amp;qid=1695173476&amp;sr=8-10</v>
      </c>
      <c r="F1240" t="s">
        <v>3270</v>
      </c>
      <c r="G1240" t="e">
        <f ca="1">_xludf.IMAGE("https://edmondsonsupply.com/cdn/shop/products/11053.jpg?v=1633030511")</f>
        <v>#NAME?</v>
      </c>
      <c r="H1240" t="e">
        <f ca="1">_xludf.IMAGE("https://m.media-amazon.com/images/I/41sdPMsHXcL._AC_UL320_.jpg")</f>
        <v>#NAME?</v>
      </c>
      <c r="I1240" t="s">
        <v>2288</v>
      </c>
      <c r="J1240">
        <v>29.97</v>
      </c>
      <c r="K1240" s="4">
        <v>0.42920000000000003</v>
      </c>
      <c r="L1240">
        <v>4.8</v>
      </c>
      <c r="M1240">
        <v>1850</v>
      </c>
      <c r="O1240" t="s">
        <v>25</v>
      </c>
      <c r="P1240" t="s">
        <v>2289</v>
      </c>
      <c r="Q1240" t="s">
        <v>2290</v>
      </c>
    </row>
    <row r="1241" spans="1:17" ht="15.5" x14ac:dyDescent="0.35">
      <c r="A1241"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241" s="3" t="str">
        <f>HYPERLINK("https://edmondsonsupply.com/products/klein-tools-11053-klein-kurve%c2%ae-wire-stripper-cutter", "https://edmondsonsupply.com/products/klein-tools-11053-klein-kurve%c2%ae-wire-stripper-cutter")</f>
        <v>https://edmondsonsupply.com/products/klein-tools-11053-klein-kurve%c2%ae-wire-stripper-cutter</v>
      </c>
      <c r="C1241" t="s">
        <v>2285</v>
      </c>
      <c r="D1241" t="s">
        <v>3271</v>
      </c>
      <c r="E1241" s="3" t="str">
        <f>HYPERLINK("https://www.amazon.com/Klein-Tools-11055RINS-Insulated-Stripper/dp/B0BFZBQ9XF/ref=sr_1_9?keywords=Klein+Tools+11053+Klein-Kurve%C2%AE+Wire+Stripper%2FCutter&amp;qid=1695173476&amp;sr=8-9", "https://www.amazon.com/Klein-Tools-11055RINS-Insulated-Stripper/dp/B0BFZBQ9XF/ref=sr_1_9?keywords=Klein+Tools+11053+Klein-Kurve%C2%AE+Wire+Stripper%2FCutter&amp;qid=1695173476&amp;sr=8-9")</f>
        <v>https://www.amazon.com/Klein-Tools-11055RINS-Insulated-Stripper/dp/B0BFZBQ9XF/ref=sr_1_9?keywords=Klein+Tools+11053+Klein-Kurve%C2%AE+Wire+Stripper%2FCutter&amp;qid=1695173476&amp;sr=8-9</v>
      </c>
      <c r="F1241" t="s">
        <v>3272</v>
      </c>
      <c r="G1241" t="e">
        <f ca="1">_xludf.IMAGE("https://edmondsonsupply.com/cdn/shop/products/11053.jpg?v=1633030511")</f>
        <v>#NAME?</v>
      </c>
      <c r="H1241" t="e">
        <f ca="1">_xludf.IMAGE("https://m.media-amazon.com/images/I/41Pemveg6bL._AC_UL320_.jpg")</f>
        <v>#NAME?</v>
      </c>
      <c r="I1241" t="s">
        <v>2288</v>
      </c>
      <c r="J1241">
        <v>29.97</v>
      </c>
      <c r="K1241" s="4">
        <v>0.42920000000000003</v>
      </c>
      <c r="L1241">
        <v>4.5999999999999996</v>
      </c>
      <c r="M1241">
        <v>55</v>
      </c>
      <c r="O1241" t="s">
        <v>25</v>
      </c>
      <c r="P1241" t="s">
        <v>2289</v>
      </c>
      <c r="Q1241" t="s">
        <v>2290</v>
      </c>
    </row>
    <row r="1242" spans="1:17" ht="15.5" x14ac:dyDescent="0.35">
      <c r="A1242" s="3" t="str">
        <f>HYPERLINK("https://edmondsonsupply.com/collections/hvac/products/klein-tools-56380-multi-groove-fiberglass-fish-tape-with-spiral-steel-leader-100-foot", "https://edmondsonsupply.com/collections/hvac/products/klein-tools-56380-multi-groove-fiberglass-fish-tape-with-spiral-steel-leader-100-foot")</f>
        <v>https://edmondsonsupply.com/collections/hvac/products/klein-tools-56380-multi-groove-fiberglass-fish-tape-with-spiral-steel-leader-100-foot</v>
      </c>
      <c r="B1242"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1242" t="s">
        <v>3273</v>
      </c>
      <c r="D1242" t="s">
        <v>3274</v>
      </c>
      <c r="E1242" s="3" t="str">
        <f>HYPERLINK("https://www.amazon.com/Multi-Groove-Fiberglass-200-Foot-Klein-Tools/dp/B00N6Y8RRA/ref=sr_1_2?keywords=Klein+Tools+56380+Multi-Groove+Fiberglass+Fish+Tape+with+Spiral+Steel+Leader%2C+100-Foot&amp;qid=1695173661&amp;sr=8-2", "https://www.amazon.com/Multi-Groove-Fiberglass-200-Foot-Klein-Tools/dp/B00N6Y8RRA/ref=sr_1_2?keywords=Klein+Tools+56380+Multi-Groove+Fiberglass+Fish+Tape+with+Spiral+Steel+Leader%2C+100-Foot&amp;qid=1695173661&amp;sr=8-2")</f>
        <v>https://www.amazon.com/Multi-Groove-Fiberglass-200-Foot-Klein-Tools/dp/B00N6Y8RRA/ref=sr_1_2?keywords=Klein+Tools+56380+Multi-Groove+Fiberglass+Fish+Tape+with+Spiral+Steel+Leader%2C+100-Foot&amp;qid=1695173661&amp;sr=8-2</v>
      </c>
      <c r="F1242" t="s">
        <v>3275</v>
      </c>
      <c r="G1242" t="e">
        <f ca="1">_xludf.IMAGE("https://edmondsonsupply.com/cdn/shop/products/56380.jpg?v=1587147762")</f>
        <v>#NAME?</v>
      </c>
      <c r="H1242" t="e">
        <f ca="1">_xludf.IMAGE("https://m.media-amazon.com/images/I/61-dcSdFpvL._AC_UL320_.jpg")</f>
        <v>#NAME?</v>
      </c>
      <c r="I1242" t="s">
        <v>3276</v>
      </c>
      <c r="J1242">
        <v>199.99</v>
      </c>
      <c r="K1242" s="4">
        <v>0.42859999999999998</v>
      </c>
      <c r="L1242">
        <v>4.4000000000000004</v>
      </c>
      <c r="M1242">
        <v>86</v>
      </c>
      <c r="O1242" t="s">
        <v>25</v>
      </c>
      <c r="P1242" t="s">
        <v>3277</v>
      </c>
      <c r="Q1242" t="s">
        <v>3278</v>
      </c>
    </row>
    <row r="1243" spans="1:17" ht="15.5" x14ac:dyDescent="0.35">
      <c r="A1243" s="3" t="str">
        <f>HYPERLINK("https://edmondsonsupply.com/collections/hvac/products/rectorseal-66733-nokink-3-8-x-3-flexible-refrigerant-line-connector", "https://edmondsonsupply.com/collections/hvac/products/rectorseal-66733-nokink-3-8-x-3-flexible-refrigerant-line-connector")</f>
        <v>https://edmondsonsupply.com/collections/hvac/products/rectorseal-66733-nokink-3-8-x-3-flexible-refrigerant-line-connector</v>
      </c>
      <c r="B1243" s="3" t="str">
        <f>HYPERLINK("https://edmondsonsupply.com/products/rectorseal-66733-nokink-3-8-x-3-flexible-refrigerant-line-connector", "https://edmondsonsupply.com/products/rectorseal-66733-nokink-3-8-x-3-flexible-refrigerant-line-connector")</f>
        <v>https://edmondsonsupply.com/products/rectorseal-66733-nokink-3-8-x-3-flexible-refrigerant-line-connector</v>
      </c>
      <c r="C1243" t="s">
        <v>2373</v>
      </c>
      <c r="D1243" t="s">
        <v>3140</v>
      </c>
      <c r="E1243" s="3" t="str">
        <f>HYPERLINK("https://www.amazon.com/Rectorseal-66737-Flexible-Refrigerant-Connector/dp/B010M22SNM/ref=sr_1_4?keywords=RectorSeal+66733+NoKink+3%2F8%22+x+3%27+Flexible+Refrigerant+Line+Connector&amp;qid=1695173351&amp;sr=8-4", "https://www.amazon.com/Rectorseal-66737-Flexible-Refrigerant-Connector/dp/B010M22SNM/ref=sr_1_4?keywords=RectorSeal+66733+NoKink+3%2F8%22+x+3%27+Flexible+Refrigerant+Line+Connector&amp;qid=1695173351&amp;sr=8-4")</f>
        <v>https://www.amazon.com/Rectorseal-66737-Flexible-Refrigerant-Connector/dp/B010M22SNM/ref=sr_1_4?keywords=RectorSeal+66733+NoKink+3%2F8%22+x+3%27+Flexible+Refrigerant+Line+Connector&amp;qid=1695173351&amp;sr=8-4</v>
      </c>
      <c r="F1243" t="s">
        <v>3141</v>
      </c>
      <c r="G1243" t="e">
        <f ca="1">_xludf.IMAGE("https://edmondsonsupply.com/cdn/shop/products/66733-1.jpg?v=1632264229")</f>
        <v>#NAME?</v>
      </c>
      <c r="H1243" t="e">
        <f ca="1">_xludf.IMAGE("https://m.media-amazon.com/images/I/4101YLR79GL._AC_UL320_.jpg")</f>
        <v>#NAME?</v>
      </c>
      <c r="I1243" t="s">
        <v>703</v>
      </c>
      <c r="J1243">
        <v>89.97</v>
      </c>
      <c r="K1243" s="4">
        <v>0.42830000000000001</v>
      </c>
      <c r="L1243">
        <v>4.5</v>
      </c>
      <c r="M1243">
        <v>6</v>
      </c>
      <c r="O1243" t="s">
        <v>25</v>
      </c>
      <c r="P1243" t="s">
        <v>138</v>
      </c>
      <c r="Q1243" t="s">
        <v>2376</v>
      </c>
    </row>
    <row r="1244" spans="1:17" ht="15.5" x14ac:dyDescent="0.35">
      <c r="A1244" s="3" t="str">
        <f>HYPERLINK("https://edmondsonsupply.com/collections/hvac/products/malco-tools-4in1-multi-socket-nut-driver", "https://edmondsonsupply.com/collections/hvac/products/malco-tools-4in1-multi-socket-nut-driver")</f>
        <v>https://edmondsonsupply.com/collections/hvac/products/malco-tools-4in1-multi-socket-nut-driver</v>
      </c>
      <c r="B1244" s="3" t="str">
        <f>HYPERLINK("https://edmondsonsupply.com/products/malco-tools-4in1-multi-socket-nut-driver", "https://edmondsonsupply.com/products/malco-tools-4in1-multi-socket-nut-driver")</f>
        <v>https://edmondsonsupply.com/products/malco-tools-4in1-multi-socket-nut-driver</v>
      </c>
      <c r="C1244" t="s">
        <v>3279</v>
      </c>
      <c r="D1244" t="s">
        <v>3280</v>
      </c>
      <c r="E1244" s="3" t="str">
        <f>HYPERLINK("https://www.amazon.com/Malco-4IN1-Multi-Socket-Driver/dp/B07KQYCJ6Y/ref=sr_1_1?keywords=Malco+Tools+4IN1+Multi-Socket+Nut+Driver&amp;qid=1695173677&amp;sr=8-1", "https://www.amazon.com/Malco-4IN1-Multi-Socket-Driver/dp/B07KQYCJ6Y/ref=sr_1_1?keywords=Malco+Tools+4IN1+Multi-Socket+Nut+Driver&amp;qid=1695173677&amp;sr=8-1")</f>
        <v>https://www.amazon.com/Malco-4IN1-Multi-Socket-Driver/dp/B07KQYCJ6Y/ref=sr_1_1?keywords=Malco+Tools+4IN1+Multi-Socket+Nut+Driver&amp;qid=1695173677&amp;sr=8-1</v>
      </c>
      <c r="F1244" t="s">
        <v>3281</v>
      </c>
      <c r="G1244" t="e">
        <f ca="1">_xludf.IMAGE("https://edmondsonsupply.com/cdn/shop/products/4in1_catalog-big.jpg?v=1587146287")</f>
        <v>#NAME?</v>
      </c>
      <c r="H1244" t="e">
        <f ca="1">_xludf.IMAGE("https://m.media-amazon.com/images/I/51VsX2AXH7L._AC_UL320_.jpg")</f>
        <v>#NAME?</v>
      </c>
      <c r="I1244" t="s">
        <v>3282</v>
      </c>
      <c r="J1244">
        <v>21.99</v>
      </c>
      <c r="K1244" s="4">
        <v>0.4279</v>
      </c>
      <c r="L1244">
        <v>4.3</v>
      </c>
      <c r="M1244">
        <v>53</v>
      </c>
      <c r="O1244" t="s">
        <v>25</v>
      </c>
      <c r="P1244" t="s">
        <v>3283</v>
      </c>
      <c r="Q1244" t="s">
        <v>3284</v>
      </c>
    </row>
    <row r="1245" spans="1:17" ht="15.5" x14ac:dyDescent="0.35">
      <c r="A1245" s="3" t="str">
        <f>HYPERLINK("https://edmondsonsupply.com/collections/hvac/products/sensible-products-hrf-1-high-beam-rechargeable-flashlight-black", "https://edmondsonsupply.com/collections/hvac/products/sensible-products-hrf-1-high-beam-rechargeable-flashlight-black")</f>
        <v>https://edmondsonsupply.com/collections/hvac/products/sensible-products-hrf-1-high-beam-rechargeable-flashlight-black</v>
      </c>
      <c r="B1245" s="3" t="str">
        <f>HYPERLINK("https://edmondsonsupply.com/products/sensible-products-hrf-1-high-beam-rechargeable-flashlight-black", "https://edmondsonsupply.com/products/sensible-products-hrf-1-high-beam-rechargeable-flashlight-black")</f>
        <v>https://edmondsonsupply.com/products/sensible-products-hrf-1-high-beam-rechargeable-flashlight-black</v>
      </c>
      <c r="C1245" t="s">
        <v>3285</v>
      </c>
      <c r="D1245" t="s">
        <v>3286</v>
      </c>
      <c r="E1245" s="3" t="str">
        <f>HYPERLINK("https://www.amazon.com/Sensible-Products-High-Beam-Rechargeable-Flashlight/dp/B0BVGLNYDK/ref=sr_1_1?keywords=Sensible+Products+HRF-1+High-Beam+Rechargeable+Flashlight%2C+Black&amp;qid=1695173383&amp;sr=8-1", "https://www.amazon.com/Sensible-Products-High-Beam-Rechargeable-Flashlight/dp/B0BVGLNYDK/ref=sr_1_1?keywords=Sensible+Products+HRF-1+High-Beam+Rechargeable+Flashlight%2C+Black&amp;qid=1695173383&amp;sr=8-1")</f>
        <v>https://www.amazon.com/Sensible-Products-High-Beam-Rechargeable-Flashlight/dp/B0BVGLNYDK/ref=sr_1_1?keywords=Sensible+Products+HRF-1+High-Beam+Rechargeable+Flashlight%2C+Black&amp;qid=1695173383&amp;sr=8-1</v>
      </c>
      <c r="F1245" t="s">
        <v>3287</v>
      </c>
      <c r="G1245" t="e">
        <f ca="1">_xludf.IMAGE("https://edmondsonsupply.com/cdn/shop/products/HRF1BLACK-2.jpg?v=1587144533")</f>
        <v>#NAME?</v>
      </c>
      <c r="H1245" t="e">
        <f ca="1">_xludf.IMAGE("https://m.media-amazon.com/images/I/31tIPF-TUsL._AC_UL320_.jpg")</f>
        <v>#NAME?</v>
      </c>
      <c r="I1245" t="s">
        <v>3288</v>
      </c>
      <c r="J1245">
        <v>38.950000000000003</v>
      </c>
      <c r="K1245" s="4">
        <v>0.42520000000000002</v>
      </c>
      <c r="L1245">
        <v>5</v>
      </c>
      <c r="M1245">
        <v>1</v>
      </c>
      <c r="O1245" t="s">
        <v>25</v>
      </c>
      <c r="P1245" t="s">
        <v>138</v>
      </c>
      <c r="Q1245" t="s">
        <v>3289</v>
      </c>
    </row>
    <row r="1246" spans="1:17" ht="15.5" x14ac:dyDescent="0.35">
      <c r="A1246" s="3" t="str">
        <f>HYPERLINK("https://edmondsonsupply.com/collections/hvac/products/sensible-products-hrf-1-high-beam-rechargeable-flashlight-silver", "https://edmondsonsupply.com/collections/hvac/products/sensible-products-hrf-1-high-beam-rechargeable-flashlight-silver")</f>
        <v>https://edmondsonsupply.com/collections/hvac/products/sensible-products-hrf-1-high-beam-rechargeable-flashlight-silver</v>
      </c>
      <c r="B1246" s="3" t="str">
        <f>HYPERLINK("https://edmondsonsupply.com/products/sensible-products-hrf-1-high-beam-rechargeable-flashlight-silver", "https://edmondsonsupply.com/products/sensible-products-hrf-1-high-beam-rechargeable-flashlight-silver")</f>
        <v>https://edmondsonsupply.com/products/sensible-products-hrf-1-high-beam-rechargeable-flashlight-silver</v>
      </c>
      <c r="C1246" t="s">
        <v>3290</v>
      </c>
      <c r="D1246" t="s">
        <v>3286</v>
      </c>
      <c r="E1246" s="3" t="str">
        <f>HYPERLINK("https://www.amazon.com/Sensible-Products-High-Beam-Rechargeable-Flashlight/dp/B0BVGLNYDK/ref=sr_1_2?keywords=Sensible+Products+HRF-1+High-Beam+Rechargeable+Flashlight%2C+Silver&amp;qid=1695173469&amp;sr=8-2", "https://www.amazon.com/Sensible-Products-High-Beam-Rechargeable-Flashlight/dp/B0BVGLNYDK/ref=sr_1_2?keywords=Sensible+Products+HRF-1+High-Beam+Rechargeable+Flashlight%2C+Silver&amp;qid=1695173469&amp;sr=8-2")</f>
        <v>https://www.amazon.com/Sensible-Products-High-Beam-Rechargeable-Flashlight/dp/B0BVGLNYDK/ref=sr_1_2?keywords=Sensible+Products+HRF-1+High-Beam+Rechargeable+Flashlight%2C+Silver&amp;qid=1695173469&amp;sr=8-2</v>
      </c>
      <c r="F1246" t="s">
        <v>3287</v>
      </c>
      <c r="G1246" t="e">
        <f ca="1">_xludf.IMAGE("https://edmondsonsupply.com/cdn/shop/products/HRF1SILVER-2.jpg?v=1587142434")</f>
        <v>#NAME?</v>
      </c>
      <c r="H1246" t="e">
        <f ca="1">_xludf.IMAGE("https://m.media-amazon.com/images/I/31tIPF-TUsL._AC_UL320_.jpg")</f>
        <v>#NAME?</v>
      </c>
      <c r="I1246" t="s">
        <v>3288</v>
      </c>
      <c r="J1246">
        <v>38.950000000000003</v>
      </c>
      <c r="K1246" s="4">
        <v>0.42520000000000002</v>
      </c>
      <c r="L1246">
        <v>5</v>
      </c>
      <c r="M1246">
        <v>1</v>
      </c>
      <c r="O1246" t="s">
        <v>25</v>
      </c>
      <c r="P1246" t="s">
        <v>138</v>
      </c>
      <c r="Q1246" t="s">
        <v>3291</v>
      </c>
    </row>
    <row r="1247" spans="1:17" ht="15.5" x14ac:dyDescent="0.35">
      <c r="A1247" s="3" t="str">
        <f>HYPERLINK("https://edmondsonsupply.com/collections/hvac/products/midwest-mwt-6900r-upright-right-cutting-aviation-snip", "https://edmondsonsupply.com/collections/hvac/products/midwest-mwt-6900r-upright-right-cutting-aviation-snip")</f>
        <v>https://edmondsonsupply.com/collections/hvac/products/midwest-mwt-6900r-upright-right-cutting-aviation-snip</v>
      </c>
      <c r="B1247" s="3" t="str">
        <f>HYPERLINK("https://edmondsonsupply.com/products/midwest-mwt-6900r-upright-right-cutting-aviation-snip", "https://edmondsonsupply.com/products/midwest-mwt-6900r-upright-right-cutting-aviation-snip")</f>
        <v>https://edmondsonsupply.com/products/midwest-mwt-6900r-upright-right-cutting-aviation-snip</v>
      </c>
      <c r="C1247" t="s">
        <v>1785</v>
      </c>
      <c r="D1247" t="s">
        <v>215</v>
      </c>
      <c r="E1247" s="3" t="str">
        <f>HYPERLINK("https://www.amazon.com/MIDWEST-Aviation-Snip-KUSHN-POWER-MWT-SS6510R/dp/B00OMSVOZ6/ref=sr_1_3?keywords=Midwest+MWT-6900R+Upright+Right-Cutting+Aviation+Snip&amp;qid=1695173458&amp;sr=8-3", "https://www.amazon.com/MIDWEST-Aviation-Snip-KUSHN-POWER-MWT-SS6510R/dp/B00OMSVOZ6/ref=sr_1_3?keywords=Midwest+MWT-6900R+Upright+Right-Cutting+Aviation+Snip&amp;qid=1695173458&amp;sr=8-3")</f>
        <v>https://www.amazon.com/MIDWEST-Aviation-Snip-KUSHN-POWER-MWT-SS6510R/dp/B00OMSVOZ6/ref=sr_1_3?keywords=Midwest+MWT-6900R+Upright+Right-Cutting+Aviation+Snip&amp;qid=1695173458&amp;sr=8-3</v>
      </c>
      <c r="F1247" t="s">
        <v>216</v>
      </c>
      <c r="G1247" t="e">
        <f ca="1">_xludf.IMAGE("https://edmondsonsupply.com/cdn/shop/products/MW-P6900R1.jpg?v=1587142622")</f>
        <v>#NAME?</v>
      </c>
      <c r="H1247" t="e">
        <f ca="1">_xludf.IMAGE("https://m.media-amazon.com/images/I/6111Xzz5-TL._AC_UL320_.jpg")</f>
        <v>#NAME?</v>
      </c>
      <c r="I1247" t="s">
        <v>1786</v>
      </c>
      <c r="J1247">
        <v>35.99</v>
      </c>
      <c r="K1247" s="4">
        <v>0.42309999999999998</v>
      </c>
      <c r="L1247">
        <v>4.3</v>
      </c>
      <c r="M1247">
        <v>99</v>
      </c>
      <c r="O1247" t="s">
        <v>25</v>
      </c>
      <c r="P1247" t="s">
        <v>1787</v>
      </c>
      <c r="Q1247" t="s">
        <v>1788</v>
      </c>
    </row>
    <row r="1248" spans="1:17" ht="15.5" x14ac:dyDescent="0.35">
      <c r="A1248"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1248"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1248" t="s">
        <v>3118</v>
      </c>
      <c r="D1248" t="s">
        <v>3292</v>
      </c>
      <c r="E1248" s="3" t="str">
        <f>HYPERLINK("https://www.amazon.com/Journeyman-T-Handle-Klein-Tools-JTH6E17BE/dp/B004QW58Q4/ref=sr_1_6?keywords=Klein+Tools+JTH4E17+1%2F2-Inch+Hex+Key%2C+Journeyman+T-Handle%2C+4-Inch&amp;qid=1695173633&amp;sr=8-6", "https://www.amazon.com/Journeyman-T-Handle-Klein-Tools-JTH6E17BE/dp/B004QW58Q4/ref=sr_1_6?keywords=Klein+Tools+JTH4E17+1%2F2-Inch+Hex+Key%2C+Journeyman+T-Handle%2C+4-Inch&amp;qid=1695173633&amp;sr=8-6")</f>
        <v>https://www.amazon.com/Journeyman-T-Handle-Klein-Tools-JTH6E17BE/dp/B004QW58Q4/ref=sr_1_6?keywords=Klein+Tools+JTH4E17+1%2F2-Inch+Hex+Key%2C+Journeyman+T-Handle%2C+4-Inch&amp;qid=1695173633&amp;sr=8-6</v>
      </c>
      <c r="F1248" t="s">
        <v>3293</v>
      </c>
      <c r="G1248" t="e">
        <f ca="1">_xludf.IMAGE("https://edmondsonsupply.com/cdn/shop/products/jth4e17_583549be-7b42-43c7-9c3d-a92f2416ede5.jpg?v=1610655610")</f>
        <v>#NAME?</v>
      </c>
      <c r="H1248" t="e">
        <f ca="1">_xludf.IMAGE("https://m.media-amazon.com/images/I/51f9vBFVXgL._AC_UL320_.jpg")</f>
        <v>#NAME?</v>
      </c>
      <c r="I1248" t="s">
        <v>252</v>
      </c>
      <c r="J1248">
        <v>22.72</v>
      </c>
      <c r="K1248" s="4">
        <v>0.4209</v>
      </c>
      <c r="L1248">
        <v>4.8</v>
      </c>
      <c r="M1248">
        <v>456</v>
      </c>
      <c r="O1248" t="s">
        <v>25</v>
      </c>
      <c r="P1248" t="s">
        <v>3121</v>
      </c>
      <c r="Q1248" t="s">
        <v>3122</v>
      </c>
    </row>
    <row r="1249" spans="1:17" ht="15.5" x14ac:dyDescent="0.35">
      <c r="A1249" s="3" t="str">
        <f>HYPERLINK("https://edmondsonsupply.com/collections/hvac/products/packard-trcfd355-titan-pro-run-capacitor-35-5-mfd-440-370-volt-round", "https://edmondsonsupply.com/collections/hvac/products/packard-trcfd355-titan-pro-run-capacitor-35-5-mfd-440-370-volt-round")</f>
        <v>https://edmondsonsupply.com/collections/hvac/products/packard-trcfd355-titan-pro-run-capacitor-35-5-mfd-440-370-volt-round</v>
      </c>
      <c r="B1249" s="3" t="str">
        <f>HYPERLINK("https://edmondsonsupply.com/products/packard-trcfd355-titan-pro-run-capacitor-35-5-mfd-440-370-volt-round", "https://edmondsonsupply.com/products/packard-trcfd355-titan-pro-run-capacitor-35-5-mfd-440-370-volt-round")</f>
        <v>https://edmondsonsupply.com/products/packard-trcfd355-titan-pro-run-capacitor-35-5-mfd-440-370-volt-round</v>
      </c>
      <c r="C1249" t="s">
        <v>3294</v>
      </c>
      <c r="D1249" t="s">
        <v>3295</v>
      </c>
      <c r="E1249" s="3" t="str">
        <f>HYPERLINK("https://www.amazon.com/Titan-TRCFD355-Rated-Motor-Capacitor/dp/B01IC1SVP4/ref=sr_1_1?keywords=Packard+TRCFD355+Titan+PRO+Run+Capacitor+35%2B5+MFD+440%2F370+Volt%2C+Round&amp;qid=1695173337&amp;sr=8-1", "https://www.amazon.com/Titan-TRCFD355-Rated-Motor-Capacitor/dp/B01IC1SVP4/ref=sr_1_1?keywords=Packard+TRCFD355+Titan+PRO+Run+Capacitor+35%2B5+MFD+440%2F370+Volt%2C+Round&amp;qid=1695173337&amp;sr=8-1")</f>
        <v>https://www.amazon.com/Titan-TRCFD355-Rated-Motor-Capacitor/dp/B01IC1SVP4/ref=sr_1_1?keywords=Packard+TRCFD355+Titan+PRO+Run+Capacitor+35%2B5+MFD+440%2F370+Volt%2C+Round&amp;qid=1695173337&amp;sr=8-1</v>
      </c>
      <c r="F1249" t="s">
        <v>3296</v>
      </c>
      <c r="G1249" t="e">
        <f ca="1">_xludf.IMAGE("https://edmondsonsupply.com/cdn/shop/products/TRCFD355-2.jpg?v=1633030310")</f>
        <v>#NAME?</v>
      </c>
      <c r="H1249" t="e">
        <f ca="1">_xludf.IMAGE("https://m.media-amazon.com/images/I/61ZOaIfuaxL._AC_UY218_.jpg")</f>
        <v>#NAME?</v>
      </c>
      <c r="I1249" t="s">
        <v>3297</v>
      </c>
      <c r="J1249">
        <v>11.48</v>
      </c>
      <c r="K1249" s="4">
        <v>0.42080000000000001</v>
      </c>
      <c r="L1249">
        <v>4.5</v>
      </c>
      <c r="M1249">
        <v>107</v>
      </c>
      <c r="O1249" t="s">
        <v>25</v>
      </c>
      <c r="P1249" t="s">
        <v>138</v>
      </c>
      <c r="Q1249" t="s">
        <v>3298</v>
      </c>
    </row>
    <row r="1250" spans="1:17" ht="15.5" x14ac:dyDescent="0.35">
      <c r="A1250" s="3" t="str">
        <f>HYPERLINK("https://edmondsonsupply.com/collections/hvac/products/kroil-ks132-original-penetrant-aerosol-13oz-can", "https://edmondsonsupply.com/collections/hvac/products/kroil-ks132-original-penetrant-aerosol-13oz-can")</f>
        <v>https://edmondsonsupply.com/collections/hvac/products/kroil-ks132-original-penetrant-aerosol-13oz-can</v>
      </c>
      <c r="B1250" s="3" t="str">
        <f>HYPERLINK("https://edmondsonsupply.com/products/kroil-ks132-original-penetrant-aerosol-13oz-can", "https://edmondsonsupply.com/products/kroil-ks132-original-penetrant-aerosol-13oz-can")</f>
        <v>https://edmondsonsupply.com/products/kroil-ks132-original-penetrant-aerosol-13oz-can</v>
      </c>
      <c r="C1250" t="s">
        <v>1395</v>
      </c>
      <c r="D1250" t="s">
        <v>3299</v>
      </c>
      <c r="E1250" s="3" t="str">
        <f>HYPERLINK("https://www.amazon.com/Penetrating-Spray-16-5oz-Can-Single-Penetrant-Corrosion/dp/B005ESIHZI/ref=sr_1_3?keywords=Kroil+KS132+Original+Penetrant+Aerosol+13oz+can&amp;qid=1695173755&amp;sr=8-3", "https://www.amazon.com/Penetrating-Spray-16-5oz-Can-Single-Penetrant-Corrosion/dp/B005ESIHZI/ref=sr_1_3?keywords=Kroil+KS132+Original+Penetrant+Aerosol+13oz+can&amp;qid=1695173755&amp;sr=8-3")</f>
        <v>https://www.amazon.com/Penetrating-Spray-16-5oz-Can-Single-Penetrant-Corrosion/dp/B005ESIHZI/ref=sr_1_3?keywords=Kroil+KS132+Original+Penetrant+Aerosol+13oz+can&amp;qid=1695173755&amp;sr=8-3</v>
      </c>
      <c r="F1250" t="s">
        <v>3300</v>
      </c>
      <c r="G1250" t="e">
        <f ca="1">_xludf.IMAGE("https://edmondsonsupply.com/cdn/shop/files/ks132.webp?v=1686779771")</f>
        <v>#NAME?</v>
      </c>
      <c r="H1250" t="e">
        <f ca="1">_xludf.IMAGE("https://m.media-amazon.com/images/I/51mtHxiqoDL._AC_UY218_.jpg")</f>
        <v>#NAME?</v>
      </c>
      <c r="I1250" t="s">
        <v>1398</v>
      </c>
      <c r="J1250">
        <v>33.78</v>
      </c>
      <c r="K1250" s="4">
        <v>0.4199</v>
      </c>
      <c r="L1250">
        <v>4.8</v>
      </c>
      <c r="M1250">
        <v>2793</v>
      </c>
      <c r="O1250" t="s">
        <v>25</v>
      </c>
      <c r="P1250" t="s">
        <v>1399</v>
      </c>
      <c r="Q1250" t="s">
        <v>1400</v>
      </c>
    </row>
    <row r="1251" spans="1:17" ht="15.5" x14ac:dyDescent="0.35">
      <c r="A1251"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251" s="3" t="str">
        <f>HYPERLINK("https://edmondsonsupply.com/products/klein-tools-646-5-16-5-16-inch-nut-driver-6-inch-hollow-shaft", "https://edmondsonsupply.com/products/klein-tools-646-5-16-5-16-inch-nut-driver-6-inch-hollow-shaft")</f>
        <v>https://edmondsonsupply.com/products/klein-tools-646-5-16-5-16-inch-nut-driver-6-inch-hollow-shaft</v>
      </c>
      <c r="C1251" t="s">
        <v>1893</v>
      </c>
      <c r="D1251" t="s">
        <v>3301</v>
      </c>
      <c r="E1251" s="3" t="str">
        <f>HYPERLINK("https://www.amazon.com/Magnetic-Klein-Tools-610-5-16M/dp/B00093DZP0/ref=sr_1_5?keywords=Klein+Tools+646-5%2F16+5%2F16-Inch+Nut+Driver%2C+6-Inch+Hollow+Shaft&amp;qid=1695173549&amp;sr=8-5", "https://www.amazon.com/Magnetic-Klein-Tools-610-5-16M/dp/B00093DZP0/ref=sr_1_5?keywords=Klein+Tools+646-5%2F16+5%2F16-Inch+Nut+Driver%2C+6-Inch+Hollow+Shaft&amp;qid=1695173549&amp;sr=8-5")</f>
        <v>https://www.amazon.com/Magnetic-Klein-Tools-610-5-16M/dp/B00093DZP0/ref=sr_1_5?keywords=Klein+Tools+646-5%2F16+5%2F16-Inch+Nut+Driver%2C+6-Inch+Hollow+Shaft&amp;qid=1695173549&amp;sr=8-5</v>
      </c>
      <c r="F1251" t="s">
        <v>3302</v>
      </c>
      <c r="G1251" t="e">
        <f ca="1">_xludf.IMAGE("https://edmondsonsupply.com/cdn/shop/products/646-1-2_e1540905-f750-4509-90c5-74ff653e4d83.jpg?v=1587145119")</f>
        <v>#NAME?</v>
      </c>
      <c r="H1251" t="e">
        <f ca="1">_xludf.IMAGE("https://m.media-amazon.com/images/I/41rQZ0-NNZL._AC_UL320_.jpg")</f>
        <v>#NAME?</v>
      </c>
      <c r="I1251" t="s">
        <v>1003</v>
      </c>
      <c r="J1251">
        <v>11.34</v>
      </c>
      <c r="K1251" s="4">
        <v>0.41930000000000001</v>
      </c>
      <c r="L1251">
        <v>4.8</v>
      </c>
      <c r="M1251">
        <v>260</v>
      </c>
      <c r="O1251" t="s">
        <v>25</v>
      </c>
      <c r="P1251" t="s">
        <v>1481</v>
      </c>
      <c r="Q1251" t="s">
        <v>1896</v>
      </c>
    </row>
    <row r="1252" spans="1:17" ht="15.5" x14ac:dyDescent="0.35">
      <c r="A1252" s="3" t="str">
        <f>HYPERLINK("https://edmondsonsupply.com/collections/hvac/products/esp-zt10-z-tool-5-16-1-4-nut-driver", "https://edmondsonsupply.com/collections/hvac/products/esp-zt10-z-tool-5-16-1-4-nut-driver")</f>
        <v>https://edmondsonsupply.com/collections/hvac/products/esp-zt10-z-tool-5-16-1-4-nut-driver</v>
      </c>
      <c r="B1252" s="3" t="str">
        <f>HYPERLINK("https://edmondsonsupply.com/products/esp-zt10-z-tool-5-16-1-4-nut-driver", "https://edmondsonsupply.com/products/esp-zt10-z-tool-5-16-1-4-nut-driver")</f>
        <v>https://edmondsonsupply.com/products/esp-zt10-z-tool-5-16-1-4-nut-driver</v>
      </c>
      <c r="C1252" t="s">
        <v>3303</v>
      </c>
      <c r="D1252" t="s">
        <v>3304</v>
      </c>
      <c r="E1252" s="3" t="str">
        <f>HYPERLINK("https://www.amazon.com/ESP-Z-Tool-NUT-Driver-ZT10/dp/B07SPGG7ZW/ref=sr_1_1?keywords=ESP+ZT10+Z-Tool+-+5%2F16&amp;qid=1695173553&amp;sr=8-1", "https://www.amazon.com/ESP-Z-Tool-NUT-Driver-ZT10/dp/B07SPGG7ZW/ref=sr_1_1?keywords=ESP+ZT10+Z-Tool+-+5%2F16&amp;qid=1695173553&amp;sr=8-1")</f>
        <v>https://www.amazon.com/ESP-Z-Tool-NUT-Driver-ZT10/dp/B07SPGG7ZW/ref=sr_1_1?keywords=ESP+ZT10+Z-Tool+-+5%2F16&amp;qid=1695173553&amp;sr=8-1</v>
      </c>
      <c r="F1252" t="s">
        <v>3305</v>
      </c>
      <c r="G1252" t="e">
        <f ca="1">_xludf.IMAGE("https://edmondsonsupply.com/cdn/shop/products/57_6de04365-fc4a-412c-862f-4656f2f09acd.jpg?v=1633030637")</f>
        <v>#NAME?</v>
      </c>
      <c r="H1252" t="e">
        <f ca="1">_xludf.IMAGE("https://m.media-amazon.com/images/I/41ZipJfcQHL._AC_UL320_.jpg")</f>
        <v>#NAME?</v>
      </c>
      <c r="I1252" t="s">
        <v>3306</v>
      </c>
      <c r="J1252">
        <v>13.5</v>
      </c>
      <c r="K1252" s="4">
        <v>0.41810000000000003</v>
      </c>
      <c r="L1252">
        <v>4.3</v>
      </c>
      <c r="M1252">
        <v>58</v>
      </c>
      <c r="O1252" t="s">
        <v>171</v>
      </c>
      <c r="P1252" t="s">
        <v>138</v>
      </c>
      <c r="Q1252" t="s">
        <v>3307</v>
      </c>
    </row>
    <row r="1253" spans="1:17" ht="15.5" x14ac:dyDescent="0.35">
      <c r="A1253" s="3" t="str">
        <f>HYPERLINK("https://edmondsonsupply.com/collections/hvac/products/packard-titan-pro-trcd305-run-capacitor-30-5-mfd-370-volt-round", "https://edmondsonsupply.com/collections/hvac/products/packard-titan-pro-trcd305-run-capacitor-30-5-mfd-370-volt-round")</f>
        <v>https://edmondsonsupply.com/collections/hvac/products/packard-titan-pro-trcd305-run-capacitor-30-5-mfd-370-volt-round</v>
      </c>
      <c r="B1253" s="3" t="str">
        <f>HYPERLINK("https://edmondsonsupply.com/products/packard-titan-pro-trcd305-run-capacitor-30-5-mfd-370-volt-round", "https://edmondsonsupply.com/products/packard-titan-pro-trcd305-run-capacitor-30-5-mfd-370-volt-round")</f>
        <v>https://edmondsonsupply.com/products/packard-titan-pro-trcd305-run-capacitor-30-5-mfd-370-volt-round</v>
      </c>
      <c r="C1253" t="s">
        <v>2199</v>
      </c>
      <c r="D1253" t="s">
        <v>3308</v>
      </c>
      <c r="E1253" s="3" t="str">
        <f>HYPERLINK("https://www.amazon.com/PACKARD-TRCD455-Capacitor-Replaces-PRCD455/dp/B00K3M3NQ8/ref=sr_1_6?keywords=Packard+Titan+PRO+TRCD305+Run+Capacitor+30+5+MFD+370+Volt+Round&amp;qid=1695173636&amp;sr=8-6", "https://www.amazon.com/PACKARD-TRCD455-Capacitor-Replaces-PRCD455/dp/B00K3M3NQ8/ref=sr_1_6?keywords=Packard+Titan+PRO+TRCD305+Run+Capacitor+30+5+MFD+370+Volt+Round&amp;qid=1695173636&amp;sr=8-6")</f>
        <v>https://www.amazon.com/PACKARD-TRCD455-Capacitor-Replaces-PRCD455/dp/B00K3M3NQ8/ref=sr_1_6?keywords=Packard+Titan+PRO+TRCD305+Run+Capacitor+30+5+MFD+370+Volt+Round&amp;qid=1695173636&amp;sr=8-6</v>
      </c>
      <c r="F1253" t="s">
        <v>3309</v>
      </c>
      <c r="G1253" t="e">
        <f ca="1">_xludf.IMAGE("https://edmondsonsupply.com/cdn/shop/products/TRCD305-2.jpg?v=1633030487")</f>
        <v>#NAME?</v>
      </c>
      <c r="H1253" t="e">
        <f ca="1">_xludf.IMAGE("https://m.media-amazon.com/images/I/4118O3-fIGL._AC_UY218_.jpg")</f>
        <v>#NAME?</v>
      </c>
      <c r="I1253" t="s">
        <v>2202</v>
      </c>
      <c r="J1253">
        <v>11.23</v>
      </c>
      <c r="K1253" s="4">
        <v>0.41789999999999999</v>
      </c>
      <c r="L1253">
        <v>4.4000000000000004</v>
      </c>
      <c r="M1253">
        <v>140</v>
      </c>
      <c r="O1253" t="s">
        <v>25</v>
      </c>
      <c r="P1253" t="s">
        <v>138</v>
      </c>
      <c r="Q1253" t="s">
        <v>2203</v>
      </c>
    </row>
    <row r="1254" spans="1:17" ht="15.5" x14ac:dyDescent="0.35">
      <c r="A1254" s="3" t="str">
        <f>HYPERLINK("https://edmondsonsupply.com/collections/hvac/products/nu-calgon-4290-75-nu-blast-aerosol-coil-cleaner", "https://edmondsonsupply.com/collections/hvac/products/nu-calgon-4290-75-nu-blast-aerosol-coil-cleaner")</f>
        <v>https://edmondsonsupply.com/collections/hvac/products/nu-calgon-4290-75-nu-blast-aerosol-coil-cleaner</v>
      </c>
      <c r="B1254" s="3" t="str">
        <f>HYPERLINK("https://edmondsonsupply.com/products/nu-calgon-4290-75-nu-blast-aerosol-coil-cleaner", "https://edmondsonsupply.com/products/nu-calgon-4290-75-nu-blast-aerosol-coil-cleaner")</f>
        <v>https://edmondsonsupply.com/products/nu-calgon-4290-75-nu-blast-aerosol-coil-cleaner</v>
      </c>
      <c r="C1254" t="s">
        <v>3033</v>
      </c>
      <c r="D1254" t="s">
        <v>3310</v>
      </c>
      <c r="E1254" s="3" t="str">
        <f>HYPERLINK("https://www.amazon.com/Nu-Calgon-429075-NU-Blast-18-Ounce/dp/B00E0CWJI0/ref=sr_1_5?keywords=Nu-Calgon+4290-75+Nu-Blast+Aerosol+Coil+Cleaner&amp;qid=1695173437&amp;sr=8-5", "https://www.amazon.com/Nu-Calgon-429075-NU-Blast-18-Ounce/dp/B00E0CWJI0/ref=sr_1_5?keywords=Nu-Calgon+4290-75+Nu-Blast+Aerosol+Coil+Cleaner&amp;qid=1695173437&amp;sr=8-5")</f>
        <v>https://www.amazon.com/Nu-Calgon-429075-NU-Blast-18-Ounce/dp/B00E0CWJI0/ref=sr_1_5?keywords=Nu-Calgon+4290-75+Nu-Blast+Aerosol+Coil+Cleaner&amp;qid=1695173437&amp;sr=8-5</v>
      </c>
      <c r="F1254" t="s">
        <v>3311</v>
      </c>
      <c r="G1254" t="e">
        <f ca="1">_xludf.IMAGE("https://edmondsonsupply.com/cdn/shop/products/4290-75.jpg?v=1659464661")</f>
        <v>#NAME?</v>
      </c>
      <c r="H1254" t="e">
        <f ca="1">_xludf.IMAGE("https://m.media-amazon.com/images/I/71nTGsvHfIL._AC_UL320_.jpg")</f>
        <v>#NAME?</v>
      </c>
      <c r="I1254" t="s">
        <v>3036</v>
      </c>
      <c r="J1254">
        <v>26.63</v>
      </c>
      <c r="K1254" s="4">
        <v>0.41720000000000002</v>
      </c>
      <c r="L1254">
        <v>4.2</v>
      </c>
      <c r="M1254">
        <v>170</v>
      </c>
      <c r="O1254" t="s">
        <v>25</v>
      </c>
      <c r="P1254" t="s">
        <v>1794</v>
      </c>
      <c r="Q1254" t="s">
        <v>3037</v>
      </c>
    </row>
    <row r="1255" spans="1:17" ht="15.5" x14ac:dyDescent="0.35">
      <c r="A1255" s="3" t="str">
        <f>HYPERLINK("https://edmondsonsupply.com/collections/hvac/products/greenlee-dtap1-4-20-drill-tap-1-4-20", "https://edmondsonsupply.com/collections/hvac/products/greenlee-dtap1-4-20-drill-tap-1-4-20")</f>
        <v>https://edmondsonsupply.com/collections/hvac/products/greenlee-dtap1-4-20-drill-tap-1-4-20</v>
      </c>
      <c r="B1255" s="3" t="str">
        <f>HYPERLINK("https://edmondsonsupply.com/products/greenlee-dtap1-4-20-drill-tap-1-4-20", "https://edmondsonsupply.com/products/greenlee-dtap1-4-20-drill-tap-1-4-20")</f>
        <v>https://edmondsonsupply.com/products/greenlee-dtap1-4-20-drill-tap-1-4-20</v>
      </c>
      <c r="C1255" t="s">
        <v>2854</v>
      </c>
      <c r="D1255" t="s">
        <v>3312</v>
      </c>
      <c r="E1255" s="3" t="str">
        <f>HYPERLINK("https://www.amazon.com/Greenlee-DTAP1-4-20-Combination-Deburr/dp/B000FCEQ8K/ref=sr_1_1?keywords=Greenlee+DTAP1%2F4-20+Drill%2FTap%2C+1%2F4-20&amp;qid=1695173673&amp;sr=8-1", "https://www.amazon.com/Greenlee-DTAP1-4-20-Combination-Deburr/dp/B000FCEQ8K/ref=sr_1_1?keywords=Greenlee+DTAP1%2F4-20+Drill%2FTap%2C+1%2F4-20&amp;qid=1695173673&amp;sr=8-1")</f>
        <v>https://www.amazon.com/Greenlee-DTAP1-4-20-Combination-Deburr/dp/B000FCEQ8K/ref=sr_1_1?keywords=Greenlee+DTAP1%2F4-20+Drill%2FTap%2C+1%2F4-20&amp;qid=1695173673&amp;sr=8-1</v>
      </c>
      <c r="F1255" t="s">
        <v>3313</v>
      </c>
      <c r="G1255" t="e">
        <f ca="1">_xludf.IMAGE("https://edmondsonsupply.com/cdn/shop/products/DTAP1-4-20.jpg?v=1587151009")</f>
        <v>#NAME?</v>
      </c>
      <c r="H1255" t="e">
        <f ca="1">_xludf.IMAGE("https://m.media-amazon.com/images/I/61SYTqjZhjL._AC_UL320_.jpg")</f>
        <v>#NAME?</v>
      </c>
      <c r="I1255" t="s">
        <v>924</v>
      </c>
      <c r="J1255">
        <v>12.74</v>
      </c>
      <c r="K1255" s="4">
        <v>0.41710000000000003</v>
      </c>
      <c r="L1255">
        <v>4.4000000000000004</v>
      </c>
      <c r="M1255">
        <v>170</v>
      </c>
      <c r="O1255" t="s">
        <v>25</v>
      </c>
      <c r="P1255" t="s">
        <v>2857</v>
      </c>
      <c r="Q1255" t="s">
        <v>2858</v>
      </c>
    </row>
    <row r="1256" spans="1:17" ht="15.5" x14ac:dyDescent="0.35">
      <c r="A1256" s="3" t="str">
        <f>HYPERLINK("https://edmondsonsupply.com/collections/hvac/products/white-rodgers-24a34-2-24v-electric-heat-sequencer-spst", "https://edmondsonsupply.com/collections/hvac/products/white-rodgers-24a34-2-24v-electric-heat-sequencer-spst")</f>
        <v>https://edmondsonsupply.com/collections/hvac/products/white-rodgers-24a34-2-24v-electric-heat-sequencer-spst</v>
      </c>
      <c r="B1256" s="3" t="str">
        <f>HYPERLINK("https://edmondsonsupply.com/products/white-rodgers-24a34-2-24v-electric-heat-sequencer-spst", "https://edmondsonsupply.com/products/white-rodgers-24a34-2-24v-electric-heat-sequencer-spst")</f>
        <v>https://edmondsonsupply.com/products/white-rodgers-24a34-2-24v-electric-heat-sequencer-spst</v>
      </c>
      <c r="C1256" t="s">
        <v>2561</v>
      </c>
      <c r="D1256" t="s">
        <v>3314</v>
      </c>
      <c r="E1256" s="3" t="str">
        <f>HYPERLINK("https://www.amazon.com/White-Rodgers-24A34-1-Electric-Sequencer-Switch/dp/B000LD7VQW/ref=sr_1_6?keywords=White-Rodgers+24A34-2+24V+Electric+Heat+Sequencer%2C+SPST&amp;qid=1695173537&amp;sr=8-6", "https://www.amazon.com/White-Rodgers-24A34-1-Electric-Sequencer-Switch/dp/B000LD7VQW/ref=sr_1_6?keywords=White-Rodgers+24A34-2+24V+Electric+Heat+Sequencer%2C+SPST&amp;qid=1695173537&amp;sr=8-6")</f>
        <v>https://www.amazon.com/White-Rodgers-24A34-1-Electric-Sequencer-Switch/dp/B000LD7VQW/ref=sr_1_6?keywords=White-Rodgers+24A34-2+24V+Electric+Heat+Sequencer%2C+SPST&amp;qid=1695173537&amp;sr=8-6</v>
      </c>
      <c r="F1256" t="s">
        <v>3315</v>
      </c>
      <c r="G1256" t="e">
        <f ca="1">_xludf.IMAGE("https://edmondsonsupply.com/cdn/shop/products/24A34-2.jpg?v=1633030752")</f>
        <v>#NAME?</v>
      </c>
      <c r="H1256" t="e">
        <f ca="1">_xludf.IMAGE("https://m.media-amazon.com/images/I/41k+LuyGsVL._AC_UY218_.jpg")</f>
        <v>#NAME?</v>
      </c>
      <c r="I1256" t="s">
        <v>2337</v>
      </c>
      <c r="J1256">
        <v>16.989999999999998</v>
      </c>
      <c r="K1256" s="4">
        <v>0.41699999999999998</v>
      </c>
      <c r="L1256">
        <v>5</v>
      </c>
      <c r="M1256">
        <v>6</v>
      </c>
      <c r="O1256" t="s">
        <v>25</v>
      </c>
      <c r="P1256" t="s">
        <v>2564</v>
      </c>
      <c r="Q1256" t="s">
        <v>2565</v>
      </c>
    </row>
    <row r="1257" spans="1:17" ht="15.5" x14ac:dyDescent="0.35">
      <c r="A1257" s="3" t="str">
        <f>HYPERLINK("https://edmondsonsupply.com/collections/hvac/products/malco-tools-gsg6-gutter-screw-guide", "https://edmondsonsupply.com/collections/hvac/products/malco-tools-gsg6-gutter-screw-guide")</f>
        <v>https://edmondsonsupply.com/collections/hvac/products/malco-tools-gsg6-gutter-screw-guide</v>
      </c>
      <c r="B1257" s="3" t="str">
        <f>HYPERLINK("https://edmondsonsupply.com/products/malco-tools-gsg6-gutter-screw-guide", "https://edmondsonsupply.com/products/malco-tools-gsg6-gutter-screw-guide")</f>
        <v>https://edmondsonsupply.com/products/malco-tools-gsg6-gutter-screw-guide</v>
      </c>
      <c r="C1257" t="s">
        <v>3316</v>
      </c>
      <c r="D1257" t="s">
        <v>3317</v>
      </c>
      <c r="E1257" s="3" t="str">
        <f>HYPERLINK("https://www.amazon.com/Malco-GSG6-Extra-Long-Magnetic-Gutter/dp/B01D5UBZQY/ref=sr_1_1?keywords=Malco+Tools+GSG6+Gutter+Screw+Guide&amp;qid=1695173649&amp;sr=8-1", "https://www.amazon.com/Malco-GSG6-Extra-Long-Magnetic-Gutter/dp/B01D5UBZQY/ref=sr_1_1?keywords=Malco+Tools+GSG6+Gutter+Screw+Guide&amp;qid=1695173649&amp;sr=8-1")</f>
        <v>https://www.amazon.com/Malco-GSG6-Extra-Long-Magnetic-Gutter/dp/B01D5UBZQY/ref=sr_1_1?keywords=Malco+Tools+GSG6+Gutter+Screw+Guide&amp;qid=1695173649&amp;sr=8-1</v>
      </c>
      <c r="F1257" t="s">
        <v>3318</v>
      </c>
      <c r="G1257" t="e">
        <f ca="1">_xludf.IMAGE("https://edmondsonsupply.com/cdn/shop/products/gsg6_catalog-big.jpg?v=1633030416")</f>
        <v>#NAME?</v>
      </c>
      <c r="H1257" t="e">
        <f ca="1">_xludf.IMAGE("https://m.media-amazon.com/images/I/51SQaPIgD2L._AC_UL320_.jpg")</f>
        <v>#NAME?</v>
      </c>
      <c r="I1257" t="s">
        <v>288</v>
      </c>
      <c r="J1257">
        <v>19.8</v>
      </c>
      <c r="K1257" s="4">
        <v>0.4153</v>
      </c>
      <c r="L1257">
        <v>4.5</v>
      </c>
      <c r="M1257">
        <v>155</v>
      </c>
      <c r="O1257" t="s">
        <v>25</v>
      </c>
      <c r="P1257" t="s">
        <v>3319</v>
      </c>
      <c r="Q1257" t="s">
        <v>3320</v>
      </c>
    </row>
    <row r="1258" spans="1:17" ht="15.5" x14ac:dyDescent="0.35">
      <c r="A1258" s="3" t="str">
        <f>HYPERLINK("https://edmondsonsupply.com/collections/hvac/products/5-2-1-csru1", "https://edmondsonsupply.com/collections/hvac/products/5-2-1-csru1")</f>
        <v>https://edmondsonsupply.com/collections/hvac/products/5-2-1-csru1</v>
      </c>
      <c r="B1258" s="3" t="str">
        <f>HYPERLINK("https://edmondsonsupply.com/products/5-2-1-csru1", "https://edmondsonsupply.com/products/5-2-1-csru1")</f>
        <v>https://edmondsonsupply.com/products/5-2-1-csru1</v>
      </c>
      <c r="C1258" t="s">
        <v>3321</v>
      </c>
      <c r="D1258" t="s">
        <v>3322</v>
      </c>
      <c r="E1258" s="3" t="str">
        <f>HYPERLINK("https://www.amazon.com/CPS-5-2-1-CSRU1-Compressor-Saver/dp/B003FNMADE/ref=sr_1_1?keywords=5-2-1+CSRU1+Compressor+Saver%2C+1+to+3+Tons&amp;qid=1695173572&amp;sr=8-1", "https://www.amazon.com/CPS-5-2-1-CSRU1-Compressor-Saver/dp/B003FNMADE/ref=sr_1_1?keywords=5-2-1+CSRU1+Compressor+Saver%2C+1+to+3+Tons&amp;qid=1695173572&amp;sr=8-1")</f>
        <v>https://www.amazon.com/CPS-5-2-1-CSRU1-Compressor-Saver/dp/B003FNMADE/ref=sr_1_1?keywords=5-2-1+CSRU1+Compressor+Saver%2C+1+to+3+Tons&amp;qid=1695173572&amp;sr=8-1</v>
      </c>
      <c r="F1258" t="s">
        <v>3323</v>
      </c>
      <c r="G1258" t="e">
        <f ca="1">_xludf.IMAGE("https://edmondsonsupply.com/cdn/shop/products/CSRU1.jpg?v=1633030087")</f>
        <v>#NAME?</v>
      </c>
      <c r="H1258" t="e">
        <f ca="1">_xludf.IMAGE("https://m.media-amazon.com/images/I/41opwK2dhRL._AC_UL320_.jpg")</f>
        <v>#NAME?</v>
      </c>
      <c r="I1258" t="s">
        <v>3324</v>
      </c>
      <c r="J1258">
        <v>48.86</v>
      </c>
      <c r="K1258" s="4">
        <v>0.4113</v>
      </c>
      <c r="L1258">
        <v>4.5999999999999996</v>
      </c>
      <c r="M1258">
        <v>875</v>
      </c>
      <c r="O1258" t="s">
        <v>25</v>
      </c>
      <c r="P1258" t="s">
        <v>1307</v>
      </c>
      <c r="Q1258" t="s">
        <v>3325</v>
      </c>
    </row>
    <row r="1259" spans="1:17" ht="15.5" x14ac:dyDescent="0.35">
      <c r="A1259" s="3" t="str">
        <f>HYPERLINK("https://edmondsonsupply.com/collections/hvac/products/testo-0564-5501-01-550s-smart-digital-manifold-w-wired-clamp-temperature-probes", "https://edmondsonsupply.com/collections/hvac/products/testo-0564-5501-01-550s-smart-digital-manifold-w-wired-clamp-temperature-probes")</f>
        <v>https://edmondsonsupply.com/collections/hvac/products/testo-0564-5501-01-550s-smart-digital-manifold-w-wired-clamp-temperature-probes</v>
      </c>
      <c r="B1259" s="3" t="str">
        <f>HYPERLINK("https://edmondsonsupply.com/products/testo-0564-5501-01-550s-smart-digital-manifold-w-wired-clamp-temperature-probes", "https://edmondsonsupply.com/products/testo-0564-5501-01-550s-smart-digital-manifold-w-wired-clamp-temperature-probes")</f>
        <v>https://edmondsonsupply.com/products/testo-0564-5501-01-550s-smart-digital-manifold-w-wired-clamp-temperature-probes</v>
      </c>
      <c r="C1259" t="s">
        <v>3326</v>
      </c>
      <c r="D1259" t="s">
        <v>1900</v>
      </c>
      <c r="E1259" s="3" t="str">
        <f>HYPERLINK("https://www.amazon.com/Testo-Operated-Refrigeration-Temperature-App-Controlled/dp/B0BS2YTS4Y/ref=sr_1_1?keywords=Testo+0564+5501+01+-+550s+Smart+Digital+Manifold+w%2F+Wired+Clamp+Temperature+Probes&amp;qid=1695173513&amp;sr=8-1", "https://www.amazon.com/Testo-Operated-Refrigeration-Temperature-App-Controlled/dp/B0BS2YTS4Y/ref=sr_1_1?keywords=Testo+0564+5501+01+-+550s+Smart+Digital+Manifold+w%2F+Wired+Clamp+Temperature+Probes&amp;qid=1695173513&amp;sr=8-1")</f>
        <v>https://www.amazon.com/Testo-Operated-Refrigeration-Temperature-App-Controlled/dp/B0BS2YTS4Y/ref=sr_1_1?keywords=Testo+0564+5501+01+-+550s+Smart+Digital+Manifold+w%2F+Wired+Clamp+Temperature+Probes&amp;qid=1695173513&amp;sr=8-1</v>
      </c>
      <c r="F1259" t="s">
        <v>1901</v>
      </c>
      <c r="G1259" t="e">
        <f ca="1">_xludf.IMAGE("https://edmondsonsupply.com/cdn/shop/products/0564-5501-01-550s-Basic-Kit-US_master.jpg?v=1632666047")</f>
        <v>#NAME?</v>
      </c>
      <c r="H1259" t="e">
        <f ca="1">_xludf.IMAGE("https://m.media-amazon.com/images/I/41SIoDg1SRL._AC_UY218_.jpg")</f>
        <v>#NAME?</v>
      </c>
      <c r="I1259" t="s">
        <v>3327</v>
      </c>
      <c r="J1259">
        <v>551.14</v>
      </c>
      <c r="K1259" s="4">
        <v>0.40960000000000002</v>
      </c>
      <c r="L1259">
        <v>5</v>
      </c>
      <c r="M1259">
        <v>1</v>
      </c>
      <c r="O1259" t="s">
        <v>25</v>
      </c>
      <c r="P1259" t="s">
        <v>3328</v>
      </c>
      <c r="Q1259" t="s">
        <v>3329</v>
      </c>
    </row>
    <row r="1260" spans="1:17" ht="15.5" x14ac:dyDescent="0.35">
      <c r="A1260" s="3" t="str">
        <f>HYPERLINK("https://edmondsonsupply.com/collections/hvac/products/klein-tools-56220-led-headlamp-flashlight-with-strap-for-hard-hat", "https://edmondsonsupply.com/collections/hvac/products/klein-tools-56220-led-headlamp-flashlight-with-strap-for-hard-hat")</f>
        <v>https://edmondsonsupply.com/collections/hvac/products/klein-tools-56220-led-headlamp-flashlight-with-strap-for-hard-hat</v>
      </c>
      <c r="B1260"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1260" t="s">
        <v>933</v>
      </c>
      <c r="D1260" t="s">
        <v>1008</v>
      </c>
      <c r="E1260" s="3" t="str">
        <f>HYPERLINK("https://www.amazon.com/Klein-Tools-Rechargeable-Worklight-Carpenter/dp/B09Z9239J6/ref=sr_1_7?keywords=Klein+Tools+56220+LED+Headlamp+with+Silicone+Hard+Hat+Strap&amp;qid=1695173657&amp;sr=8-7", "https://www.amazon.com/Klein-Tools-Rechargeable-Worklight-Carpenter/dp/B09Z9239J6/ref=sr_1_7?keywords=Klein+Tools+56220+LED+Headlamp+with+Silicone+Hard+Hat+Strap&amp;qid=1695173657&amp;sr=8-7")</f>
        <v>https://www.amazon.com/Klein-Tools-Rechargeable-Worklight-Carpenter/dp/B09Z9239J6/ref=sr_1_7?keywords=Klein+Tools+56220+LED+Headlamp+with+Silicone+Hard+Hat+Strap&amp;qid=1695173657&amp;sr=8-7</v>
      </c>
      <c r="F1260" t="s">
        <v>1009</v>
      </c>
      <c r="G1260" t="e">
        <f ca="1">_xludf.IMAGE("https://edmondsonsupply.com/cdn/shop/files/56220_874194e8-71d5-41d8-a579-6dec47b3f455.jpg?v=1687356671")</f>
        <v>#NAME?</v>
      </c>
      <c r="H1260" t="e">
        <f ca="1">_xludf.IMAGE("https://m.media-amazon.com/images/I/512rGhe8GUL._AC_UL320_.jpg")</f>
        <v>#NAME?</v>
      </c>
      <c r="I1260" t="s">
        <v>936</v>
      </c>
      <c r="J1260">
        <v>37.94</v>
      </c>
      <c r="K1260" s="4">
        <v>0.40670000000000001</v>
      </c>
      <c r="L1260">
        <v>4.7</v>
      </c>
      <c r="M1260">
        <v>6</v>
      </c>
      <c r="O1260" t="s">
        <v>25</v>
      </c>
      <c r="P1260" t="s">
        <v>937</v>
      </c>
      <c r="Q1260" t="s">
        <v>938</v>
      </c>
    </row>
    <row r="1261" spans="1:17" ht="15.5" x14ac:dyDescent="0.35">
      <c r="A1261" s="3" t="str">
        <f>HYPERLINK("https://edmondsonsupply.com/collections/hvac/products/midwest-mwt-6900l-upright-left-cutting-offset-aviation-snip", "https://edmondsonsupply.com/collections/hvac/products/midwest-mwt-6900l-upright-left-cutting-offset-aviation-snip")</f>
        <v>https://edmondsonsupply.com/collections/hvac/products/midwest-mwt-6900l-upright-left-cutting-offset-aviation-snip</v>
      </c>
      <c r="B1261" s="3" t="str">
        <f>HYPERLINK("https://edmondsonsupply.com/products/midwest-mwt-6900l-upright-left-cutting-offset-aviation-snip", "https://edmondsonsupply.com/products/midwest-mwt-6900l-upright-left-cutting-offset-aviation-snip")</f>
        <v>https://edmondsonsupply.com/products/midwest-mwt-6900l-upright-left-cutting-offset-aviation-snip</v>
      </c>
      <c r="C1261" t="s">
        <v>1819</v>
      </c>
      <c r="D1261" t="s">
        <v>217</v>
      </c>
      <c r="E1261" s="3" t="str">
        <f>HYPERLINK("https://www.amazon.com/MIDWEST-Aviation-Snip-KUSHN-POWER-MWT-6510L/dp/B00OCGQFP2/ref=sr_1_2?keywords=Midwest+MWT-6900L+Upright+Left-Cutting+Aviation+Snip&amp;qid=1695173421&amp;sr=8-2", "https://www.amazon.com/MIDWEST-Aviation-Snip-KUSHN-POWER-MWT-6510L/dp/B00OCGQFP2/ref=sr_1_2?keywords=Midwest+MWT-6900L+Upright+Left-Cutting+Aviation+Snip&amp;qid=1695173421&amp;sr=8-2")</f>
        <v>https://www.amazon.com/MIDWEST-Aviation-Snip-KUSHN-POWER-MWT-6510L/dp/B00OCGQFP2/ref=sr_1_2?keywords=Midwest+MWT-6900L+Upright+Left-Cutting+Aviation+Snip&amp;qid=1695173421&amp;sr=8-2</v>
      </c>
      <c r="F1261" t="s">
        <v>218</v>
      </c>
      <c r="G1261" t="e">
        <f ca="1">_xludf.IMAGE("https://edmondsonsupply.com/cdn/shop/products/MWT-6900L1.jpg?v=1587146265")</f>
        <v>#NAME?</v>
      </c>
      <c r="H1261" t="e">
        <f ca="1">_xludf.IMAGE("https://m.media-amazon.com/images/I/71WhwcyI50L._AC_UL320_.jpg")</f>
        <v>#NAME?</v>
      </c>
      <c r="I1261" t="s">
        <v>362</v>
      </c>
      <c r="J1261">
        <v>36.520000000000003</v>
      </c>
      <c r="K1261" s="4">
        <v>0.4052</v>
      </c>
      <c r="L1261">
        <v>4.7</v>
      </c>
      <c r="M1261">
        <v>3425</v>
      </c>
      <c r="O1261" t="s">
        <v>25</v>
      </c>
      <c r="P1261" t="s">
        <v>1787</v>
      </c>
      <c r="Q1261" t="s">
        <v>1820</v>
      </c>
    </row>
    <row r="1262" spans="1:17" ht="15.5" x14ac:dyDescent="0.35">
      <c r="A1262" s="3" t="str">
        <f>HYPERLINK("https://edmondsonsupply.com/collections/hvac/products/supco-tb100-tugboat-hvac-compressor-tote", "https://edmondsonsupply.com/collections/hvac/products/supco-tb100-tugboat-hvac-compressor-tote")</f>
        <v>https://edmondsonsupply.com/collections/hvac/products/supco-tb100-tugboat-hvac-compressor-tote</v>
      </c>
      <c r="B1262" s="3" t="str">
        <f>HYPERLINK("https://edmondsonsupply.com/products/supco-tb100-tugboat-hvac-compressor-tote", "https://edmondsonsupply.com/products/supco-tb100-tugboat-hvac-compressor-tote")</f>
        <v>https://edmondsonsupply.com/products/supco-tb100-tugboat-hvac-compressor-tote</v>
      </c>
      <c r="C1262" t="s">
        <v>3330</v>
      </c>
      <c r="D1262" t="s">
        <v>3331</v>
      </c>
      <c r="E1262" s="3" t="str">
        <f>HYPERLINK("https://www.amazon.com/Supplying-Demand-TugBoat-Compressor-System/dp/B09J6VN9BP/ref=sr_1_3?keywords=Supco+TB100+TugBoat+HVAC+Compressor+Tote&amp;qid=1695173403&amp;sr=8-3", "https://www.amazon.com/Supplying-Demand-TugBoat-Compressor-System/dp/B09J6VN9BP/ref=sr_1_3?keywords=Supco+TB100+TugBoat+HVAC+Compressor+Tote&amp;qid=1695173403&amp;sr=8-3")</f>
        <v>https://www.amazon.com/Supplying-Demand-TugBoat-Compressor-System/dp/B09J6VN9BP/ref=sr_1_3?keywords=Supco+TB100+TugBoat+HVAC+Compressor+Tote&amp;qid=1695173403&amp;sr=8-3</v>
      </c>
      <c r="F1262" t="s">
        <v>3332</v>
      </c>
      <c r="G1262" t="e">
        <f ca="1">_xludf.IMAGE("https://edmondsonsupply.com/cdn/shop/products/tb100.webp?v=1652750979")</f>
        <v>#NAME?</v>
      </c>
      <c r="H1262" t="e">
        <f ca="1">_xludf.IMAGE("https://m.media-amazon.com/images/I/51jq9dfsOZL._AC_UL320_.jpg")</f>
        <v>#NAME?</v>
      </c>
      <c r="I1262" t="s">
        <v>3333</v>
      </c>
      <c r="J1262">
        <v>99.99</v>
      </c>
      <c r="K1262" s="4">
        <v>0.4047</v>
      </c>
      <c r="L1262">
        <v>4.5</v>
      </c>
      <c r="M1262">
        <v>6</v>
      </c>
      <c r="O1262" t="s">
        <v>25</v>
      </c>
      <c r="P1262" t="s">
        <v>138</v>
      </c>
      <c r="Q1262" t="s">
        <v>3334</v>
      </c>
    </row>
    <row r="1263" spans="1:17" ht="15.5" x14ac:dyDescent="0.35">
      <c r="A1263"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1263" s="3" t="str">
        <f>HYPERLINK("https://edmondsonsupply.com/products/midwest-mwt-6510l-left-offset-aviation-snip", "https://edmondsonsupply.com/products/midwest-mwt-6510l-left-offset-aviation-snip")</f>
        <v>https://edmondsonsupply.com/products/midwest-mwt-6510l-left-offset-aviation-snip</v>
      </c>
      <c r="C1263" t="s">
        <v>2023</v>
      </c>
      <c r="D1263" t="s">
        <v>3335</v>
      </c>
      <c r="E1263" s="3" t="str">
        <f>HYPERLINK("https://www.amazon.com/MIDWEST-Aviation-Snip-KUSHN-POWER-MWT-SS6510L/dp/B00PNJ1XXQ/ref=sr_1_7?keywords=Midwest+MWT-6510L+Left+Offset+Aviation+Snip&amp;qid=1695173407&amp;sr=8-7", "https://www.amazon.com/MIDWEST-Aviation-Snip-KUSHN-POWER-MWT-SS6510L/dp/B00PNJ1XXQ/ref=sr_1_7?keywords=Midwest+MWT-6510L+Left+Offset+Aviation+Snip&amp;qid=1695173407&amp;sr=8-7")</f>
        <v>https://www.amazon.com/MIDWEST-Aviation-Snip-KUSHN-POWER-MWT-SS6510L/dp/B00PNJ1XXQ/ref=sr_1_7?keywords=Midwest+MWT-6510L+Left+Offset+Aviation+Snip&amp;qid=1695173407&amp;sr=8-7</v>
      </c>
      <c r="F1263" t="s">
        <v>3336</v>
      </c>
      <c r="G1263" t="e">
        <f ca="1">_xludf.IMAGE("https://edmondsonsupply.com/cdn/shop/products/mwt-6510l.png?v=1587142880")</f>
        <v>#NAME?</v>
      </c>
      <c r="H1263" t="e">
        <f ca="1">_xludf.IMAGE("https://m.media-amazon.com/images/I/61fSW+20AVL._AC_UL320_.jpg")</f>
        <v>#NAME?</v>
      </c>
      <c r="I1263" t="s">
        <v>362</v>
      </c>
      <c r="J1263">
        <v>36.5</v>
      </c>
      <c r="K1263" s="4">
        <v>0.40439999999999998</v>
      </c>
      <c r="L1263">
        <v>4.4000000000000004</v>
      </c>
      <c r="M1263">
        <v>1137</v>
      </c>
      <c r="O1263" t="s">
        <v>25</v>
      </c>
      <c r="P1263" t="s">
        <v>260</v>
      </c>
      <c r="Q1263" t="s">
        <v>2026</v>
      </c>
    </row>
    <row r="1264" spans="1:17" ht="15.5" x14ac:dyDescent="0.35">
      <c r="A1264"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1264" s="3" t="str">
        <f>HYPERLINK("https://edmondsonsupply.com/products/midwest-mwt-6510l-left-offset-aviation-snip", "https://edmondsonsupply.com/products/midwest-mwt-6510l-left-offset-aviation-snip")</f>
        <v>https://edmondsonsupply.com/products/midwest-mwt-6510l-left-offset-aviation-snip</v>
      </c>
      <c r="C1264" t="s">
        <v>2023</v>
      </c>
      <c r="D1264" t="s">
        <v>217</v>
      </c>
      <c r="E1264" s="3" t="str">
        <f>HYPERLINK("https://www.amazon.com/MIDWEST-Aviation-Snip-KUSHN-POWER-MWT-6510L/dp/B00OCGQFP2/ref=sr_1_1?keywords=Midwest+MWT-6510L+Left+Offset+Aviation+Snip&amp;qid=1695173407&amp;sr=8-1", "https://www.amazon.com/MIDWEST-Aviation-Snip-KUSHN-POWER-MWT-6510L/dp/B00OCGQFP2/ref=sr_1_1?keywords=Midwest+MWT-6510L+Left+Offset+Aviation+Snip&amp;qid=1695173407&amp;sr=8-1")</f>
        <v>https://www.amazon.com/MIDWEST-Aviation-Snip-KUSHN-POWER-MWT-6510L/dp/B00OCGQFP2/ref=sr_1_1?keywords=Midwest+MWT-6510L+Left+Offset+Aviation+Snip&amp;qid=1695173407&amp;sr=8-1</v>
      </c>
      <c r="F1264" t="s">
        <v>218</v>
      </c>
      <c r="G1264" t="e">
        <f ca="1">_xludf.IMAGE("https://edmondsonsupply.com/cdn/shop/products/mwt-6510l.png?v=1587142880")</f>
        <v>#NAME?</v>
      </c>
      <c r="H1264" t="e">
        <f ca="1">_xludf.IMAGE("https://m.media-amazon.com/images/I/71WhwcyI50L._AC_UL320_.jpg")</f>
        <v>#NAME?</v>
      </c>
      <c r="I1264" t="s">
        <v>362</v>
      </c>
      <c r="J1264">
        <v>36.49</v>
      </c>
      <c r="K1264" s="4">
        <v>0.40400000000000003</v>
      </c>
      <c r="L1264">
        <v>4.7</v>
      </c>
      <c r="M1264">
        <v>3425</v>
      </c>
      <c r="O1264" t="s">
        <v>25</v>
      </c>
      <c r="P1264" t="s">
        <v>260</v>
      </c>
      <c r="Q1264" t="s">
        <v>2026</v>
      </c>
    </row>
    <row r="1265" spans="1:17" ht="15.5" x14ac:dyDescent="0.35">
      <c r="A1265" s="3" t="str">
        <f>HYPERLINK("https://edmondsonsupply.com/collections/hvac/products/klein-tools-725-jab-saw", "https://edmondsonsupply.com/collections/hvac/products/klein-tools-725-jab-saw")</f>
        <v>https://edmondsonsupply.com/collections/hvac/products/klein-tools-725-jab-saw</v>
      </c>
      <c r="B1265" s="3" t="str">
        <f>HYPERLINK("https://edmondsonsupply.com/products/klein-tools-725-jab-saw", "https://edmondsonsupply.com/products/klein-tools-725-jab-saw")</f>
        <v>https://edmondsonsupply.com/products/klein-tools-725-jab-saw</v>
      </c>
      <c r="C1265" t="s">
        <v>3337</v>
      </c>
      <c r="D1265" t="s">
        <v>3338</v>
      </c>
      <c r="E1265" s="3" t="str">
        <f>HYPERLINK("https://www.amazon.com/Drywall-Lockback-Klein-Tools-31737/dp/B07DKRCNX3/ref=sr_1_2?keywords=Klein+Tools+725+Jab+Saw&amp;qid=1695173639&amp;sr=8-2", "https://www.amazon.com/Drywall-Lockback-Klein-Tools-31737/dp/B07DKRCNX3/ref=sr_1_2?keywords=Klein+Tools+725+Jab+Saw&amp;qid=1695173639&amp;sr=8-2")</f>
        <v>https://www.amazon.com/Drywall-Lockback-Klein-Tools-31737/dp/B07DKRCNX3/ref=sr_1_2?keywords=Klein+Tools+725+Jab+Saw&amp;qid=1695173639&amp;sr=8-2</v>
      </c>
      <c r="F1265" t="s">
        <v>3339</v>
      </c>
      <c r="G1265" t="e">
        <f ca="1">_xludf.IMAGE("https://edmondsonsupply.com/cdn/shop/products/725.jpg?v=1633030531")</f>
        <v>#NAME?</v>
      </c>
      <c r="H1265" t="e">
        <f ca="1">_xludf.IMAGE("https://m.media-amazon.com/images/I/51aZ4FRWZaL._AC_UL320_.jpg")</f>
        <v>#NAME?</v>
      </c>
      <c r="I1265" t="s">
        <v>2784</v>
      </c>
      <c r="J1265">
        <v>20.99</v>
      </c>
      <c r="K1265" s="4">
        <v>0.40210000000000001</v>
      </c>
      <c r="L1265">
        <v>4.8</v>
      </c>
      <c r="M1265">
        <v>3367</v>
      </c>
      <c r="O1265" t="s">
        <v>25</v>
      </c>
      <c r="P1265" t="s">
        <v>332</v>
      </c>
      <c r="Q1265" t="s">
        <v>3340</v>
      </c>
    </row>
    <row r="1266" spans="1:17" ht="15.5" x14ac:dyDescent="0.35">
      <c r="A1266" s="3" t="str">
        <f>HYPERLINK("https://edmondsonsupply.com/collections/hvac/products/channellock-431", "https://edmondsonsupply.com/collections/hvac/products/channellock-431")</f>
        <v>https://edmondsonsupply.com/collections/hvac/products/channellock-431</v>
      </c>
      <c r="B1266" s="3" t="str">
        <f>HYPERLINK("https://edmondsonsupply.com/products/channellock-431", "https://edmondsonsupply.com/products/channellock-431")</f>
        <v>https://edmondsonsupply.com/products/channellock-431</v>
      </c>
      <c r="C1266" t="s">
        <v>3341</v>
      </c>
      <c r="D1266" t="s">
        <v>3342</v>
      </c>
      <c r="E1266" s="3" t="str">
        <f>HYPERLINK("https://www.amazon.com/Channellock-432X-SPEEDGRIP-Tongue-Adjustment/dp/B0CF7NZW61/ref=sr_1_1?keywords=Channellock+432+10-Inch+V-Jaw+Tongue+%26+Groove+Pliers&amp;qid=1695173686&amp;sr=8-1", "https://www.amazon.com/Channellock-432X-SPEEDGRIP-Tongue-Adjustment/dp/B0CF7NZW61/ref=sr_1_1?keywords=Channellock+432+10-Inch+V-Jaw+Tongue+%26+Groove+Pliers&amp;qid=1695173686&amp;sr=8-1")</f>
        <v>https://www.amazon.com/Channellock-432X-SPEEDGRIP-Tongue-Adjustment/dp/B0CF7NZW61/ref=sr_1_1?keywords=Channellock+432+10-Inch+V-Jaw+Tongue+%26+Groove+Pliers&amp;qid=1695173686&amp;sr=8-1</v>
      </c>
      <c r="F1266" t="s">
        <v>3343</v>
      </c>
      <c r="G1266" t="e">
        <f ca="1">_xludf.IMAGE("https://edmondsonsupply.com/cdn/shop/products/432-683x1024.jpg?v=1587147134")</f>
        <v>#NAME?</v>
      </c>
      <c r="H1266" t="e">
        <f ca="1">_xludf.IMAGE("https://m.media-amazon.com/images/I/71VK5DgcWtL._AC_UL320_.jpg")</f>
        <v>#NAME?</v>
      </c>
      <c r="I1266" t="s">
        <v>488</v>
      </c>
      <c r="J1266">
        <v>27.97</v>
      </c>
      <c r="K1266" s="4">
        <v>0.40200000000000002</v>
      </c>
      <c r="L1266">
        <v>5</v>
      </c>
      <c r="M1266">
        <v>1</v>
      </c>
      <c r="O1266" t="s">
        <v>25</v>
      </c>
      <c r="P1266" t="s">
        <v>3344</v>
      </c>
      <c r="Q1266" t="s">
        <v>3345</v>
      </c>
    </row>
    <row r="1267" spans="1:17" ht="15.5" x14ac:dyDescent="0.35">
      <c r="A1267" s="3" t="str">
        <f>HYPERLINK("https://edmondsonsupply.com/collections/hvac/products/klein-tools-60439-neck-and-face-cooling-band", "https://edmondsonsupply.com/collections/hvac/products/klein-tools-60439-neck-and-face-cooling-band")</f>
        <v>https://edmondsonsupply.com/collections/hvac/products/klein-tools-60439-neck-and-face-cooling-band</v>
      </c>
      <c r="B1267" s="3" t="str">
        <f>HYPERLINK("https://edmondsonsupply.com/products/klein-tools-60439-neck-and-face-cooling-band", "https://edmondsonsupply.com/products/klein-tools-60439-neck-and-face-cooling-band")</f>
        <v>https://edmondsonsupply.com/products/klein-tools-60439-neck-and-face-cooling-band</v>
      </c>
      <c r="C1267" t="s">
        <v>3346</v>
      </c>
      <c r="D1267" t="s">
        <v>3347</v>
      </c>
      <c r="E1267" s="3" t="str">
        <f>HYPERLINK("https://www.amazon.com/Klein-Tools-Standard-Balaclava-Black/dp/B08L5JYT8W/ref=sr_1_7?keywords=Klein+Tools+60439+Neck+and+Face+Cooling+Band&amp;qid=1695173556&amp;sr=8-7", "https://www.amazon.com/Klein-Tools-Standard-Balaclava-Black/dp/B08L5JYT8W/ref=sr_1_7?keywords=Klein+Tools+60439+Neck+and+Face+Cooling+Band&amp;qid=1695173556&amp;sr=8-7")</f>
        <v>https://www.amazon.com/Klein-Tools-Standard-Balaclava-Black/dp/B08L5JYT8W/ref=sr_1_7?keywords=Klein+Tools+60439+Neck+and+Face+Cooling+Band&amp;qid=1695173556&amp;sr=8-7</v>
      </c>
      <c r="F1267" t="s">
        <v>3348</v>
      </c>
      <c r="G1267" t="e">
        <f ca="1">_xludf.IMAGE("https://edmondsonsupply.com/cdn/shop/products/60439.jpg?v=1633030400")</f>
        <v>#NAME?</v>
      </c>
      <c r="H1267" t="e">
        <f ca="1">_xludf.IMAGE("https://m.media-amazon.com/images/I/51r6HCmqqNL._AC_UL320_.jpg")</f>
        <v>#NAME?</v>
      </c>
      <c r="I1267" t="s">
        <v>2577</v>
      </c>
      <c r="J1267">
        <v>13.99</v>
      </c>
      <c r="K1267" s="4">
        <v>0.40039999999999998</v>
      </c>
      <c r="L1267">
        <v>4.4000000000000004</v>
      </c>
      <c r="M1267">
        <v>92</v>
      </c>
      <c r="O1267" t="s">
        <v>25</v>
      </c>
      <c r="P1267" t="s">
        <v>1271</v>
      </c>
      <c r="Q1267" t="s">
        <v>3349</v>
      </c>
    </row>
    <row r="1268" spans="1:17" ht="15.5" x14ac:dyDescent="0.35">
      <c r="A1268"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1268"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1268" t="s">
        <v>1848</v>
      </c>
      <c r="D1268" t="s">
        <v>974</v>
      </c>
      <c r="E1268" s="3" t="str">
        <f>HYPERLINK("https://www.amazon.com/Klein-Tools-60537-Professional-Protective/dp/B0BLQM26TJ/ref=sr_1_8?keywords=Klein+Tools+60164+Professional+Safety+Glasses%2C+Full+Frame%2C+Gray+Lens&amp;qid=1695173626&amp;sr=8-8", "https://www.amazon.com/Klein-Tools-60537-Professional-Protective/dp/B0BLQM26TJ/ref=sr_1_8?keywords=Klein+Tools+60164+Professional+Safety+Glasses%2C+Full+Frame%2C+Gray+Lens&amp;qid=1695173626&amp;sr=8-8")</f>
        <v>https://www.amazon.com/Klein-Tools-60537-Professional-Protective/dp/B0BLQM26TJ/ref=sr_1_8?keywords=Klein+Tools+60164+Professional+Safety+Glasses%2C+Full+Frame%2C+Gray+Lens&amp;qid=1695173626&amp;sr=8-8</v>
      </c>
      <c r="F1268" t="s">
        <v>975</v>
      </c>
      <c r="G1268" t="e">
        <f ca="1">_xludf.IMAGE("https://edmondsonsupply.com/cdn/shop/products/60164.jpg?v=1633030851")</f>
        <v>#NAME?</v>
      </c>
      <c r="H1268" t="e">
        <f ca="1">_xludf.IMAGE("https://m.media-amazon.com/images/I/41ZbdEu2lCL._AC_UL320_.jpg")</f>
        <v>#NAME?</v>
      </c>
      <c r="I1268" t="s">
        <v>276</v>
      </c>
      <c r="J1268">
        <v>20.99</v>
      </c>
      <c r="K1268" s="4">
        <v>0.40029999999999999</v>
      </c>
      <c r="L1268">
        <v>4.5</v>
      </c>
      <c r="M1268">
        <v>15</v>
      </c>
      <c r="O1268" t="s">
        <v>25</v>
      </c>
      <c r="P1268" t="s">
        <v>277</v>
      </c>
      <c r="Q1268" t="s">
        <v>1849</v>
      </c>
    </row>
    <row r="1269" spans="1:17" ht="15.5" x14ac:dyDescent="0.35">
      <c r="A1269" s="3" t="str">
        <f>HYPERLINK("https://edmondsonsupply.com/collections/hvac/products/klein-tools-33736ins", "https://edmondsonsupply.com/collections/hvac/products/klein-tools-33736ins")</f>
        <v>https://edmondsonsupply.com/collections/hvac/products/klein-tools-33736ins</v>
      </c>
      <c r="B1269" s="3" t="str">
        <f>HYPERLINK("https://edmondsonsupply.com/products/klein-tools-33736ins", "https://edmondsonsupply.com/products/klein-tools-33736ins")</f>
        <v>https://edmondsonsupply.com/products/klein-tools-33736ins</v>
      </c>
      <c r="C1269" t="s">
        <v>1928</v>
      </c>
      <c r="D1269" t="s">
        <v>3350</v>
      </c>
      <c r="E1269" s="3" t="str">
        <f>HYPERLINK("https://www.amazon.com/Klein-Tools-Insulated-Screwdriver-Magnetizer/dp/B0BD3TP57V/ref=sr_1_2?keywords=Klein+Tools+33736INS+Screwdriver+Set%2C+1000V+Slim-Tip+Insulated+and+Magnetizer%2C+6-Piece&amp;qid=1695173604&amp;sr=8-2", "https://www.amazon.com/Klein-Tools-Insulated-Screwdriver-Magnetizer/dp/B0BD3TP57V/ref=sr_1_2?keywords=Klein+Tools+33736INS+Screwdriver+Set%2C+1000V+Slim-Tip+Insulated+and+Magnetizer%2C+6-Piece&amp;qid=1695173604&amp;sr=8-2")</f>
        <v>https://www.amazon.com/Klein-Tools-Insulated-Screwdriver-Magnetizer/dp/B0BD3TP57V/ref=sr_1_2?keywords=Klein+Tools+33736INS+Screwdriver+Set%2C+1000V+Slim-Tip+Insulated+and+Magnetizer%2C+6-Piece&amp;qid=1695173604&amp;sr=8-2</v>
      </c>
      <c r="F1269" t="s">
        <v>3351</v>
      </c>
      <c r="G1269" t="e">
        <f ca="1">_xludf.IMAGE("https://edmondsonsupply.com/cdn/shop/products/33736ins.jpg?v=1664807705")</f>
        <v>#NAME?</v>
      </c>
      <c r="H1269" t="e">
        <f ca="1">_xludf.IMAGE("https://m.media-amazon.com/images/I/51XENACg0nL._AC_UL320_.jpg")</f>
        <v>#NAME?</v>
      </c>
      <c r="I1269" t="s">
        <v>1931</v>
      </c>
      <c r="J1269">
        <v>69.98</v>
      </c>
      <c r="K1269" s="4">
        <v>0.39989999999999998</v>
      </c>
      <c r="L1269">
        <v>5</v>
      </c>
      <c r="M1269">
        <v>1</v>
      </c>
      <c r="O1269" t="s">
        <v>25</v>
      </c>
      <c r="P1269" t="s">
        <v>1932</v>
      </c>
      <c r="Q1269" t="s">
        <v>1933</v>
      </c>
    </row>
    <row r="1270" spans="1:17" ht="15.5" x14ac:dyDescent="0.35">
      <c r="A1270" s="3" t="str">
        <f>HYPERLINK("https://edmondsonsupply.com/collections/hvac/products/white-rodgers-24a34-4-24v-electric-heat-sequencer-dpst", "https://edmondsonsupply.com/collections/hvac/products/white-rodgers-24a34-4-24v-electric-heat-sequencer-dpst")</f>
        <v>https://edmondsonsupply.com/collections/hvac/products/white-rodgers-24a34-4-24v-electric-heat-sequencer-dpst</v>
      </c>
      <c r="B1270" s="3" t="str">
        <f>HYPERLINK("https://edmondsonsupply.com/products/white-rodgers-24a34-4-24v-electric-heat-sequencer-dpst", "https://edmondsonsupply.com/products/white-rodgers-24a34-4-24v-electric-heat-sequencer-dpst")</f>
        <v>https://edmondsonsupply.com/products/white-rodgers-24a34-4-24v-electric-heat-sequencer-dpst</v>
      </c>
      <c r="C1270" t="s">
        <v>2709</v>
      </c>
      <c r="D1270" t="s">
        <v>3314</v>
      </c>
      <c r="E1270" s="3" t="str">
        <f>HYPERLINK("https://www.amazon.com/White-Rodgers-24A34-1-Electric-Sequencer-Switch/dp/B000LD7VQW/ref=sr_1_4?keywords=White-Rodgers+24A34-4+24V+Electric+Heat+Sequencer%2C+DPST&amp;qid=1695173471&amp;sr=8-4", "https://www.amazon.com/White-Rodgers-24A34-1-Electric-Sequencer-Switch/dp/B000LD7VQW/ref=sr_1_4?keywords=White-Rodgers+24A34-4+24V+Electric+Heat+Sequencer%2C+DPST&amp;qid=1695173471&amp;sr=8-4")</f>
        <v>https://www.amazon.com/White-Rodgers-24A34-1-Electric-Sequencer-Switch/dp/B000LD7VQW/ref=sr_1_4?keywords=White-Rodgers+24A34-4+24V+Electric+Heat+Sequencer%2C+DPST&amp;qid=1695173471&amp;sr=8-4</v>
      </c>
      <c r="F1270" t="s">
        <v>3315</v>
      </c>
      <c r="G1270" t="e">
        <f ca="1">_xludf.IMAGE("https://edmondsonsupply.com/cdn/shop/products/24A34-4.jpg?v=1633030706")</f>
        <v>#NAME?</v>
      </c>
      <c r="H1270" t="e">
        <f ca="1">_xludf.IMAGE("https://m.media-amazon.com/images/I/41k+LuyGsVL._AC_UY218_.jpg")</f>
        <v>#NAME?</v>
      </c>
      <c r="I1270" t="s">
        <v>834</v>
      </c>
      <c r="J1270">
        <v>18.18</v>
      </c>
      <c r="K1270" s="4">
        <v>0.39950000000000002</v>
      </c>
      <c r="L1270">
        <v>5</v>
      </c>
      <c r="M1270">
        <v>6</v>
      </c>
      <c r="O1270" t="s">
        <v>25</v>
      </c>
      <c r="P1270" t="s">
        <v>2707</v>
      </c>
      <c r="Q1270" t="s">
        <v>2710</v>
      </c>
    </row>
    <row r="1271" spans="1:17" ht="15.5" x14ac:dyDescent="0.35">
      <c r="A1271" s="3" t="str">
        <f>HYPERLINK("https://edmondsonsupply.com/collections/hvac/products/white-rodgers-24a34-3-24v-electric-heat-sequencer-dpst", "https://edmondsonsupply.com/collections/hvac/products/white-rodgers-24a34-3-24v-electric-heat-sequencer-dpst")</f>
        <v>https://edmondsonsupply.com/collections/hvac/products/white-rodgers-24a34-3-24v-electric-heat-sequencer-dpst</v>
      </c>
      <c r="B1271" s="3" t="str">
        <f>HYPERLINK("https://edmondsonsupply.com/products/white-rodgers-24a34-3-24v-electric-heat-sequencer-dpst", "https://edmondsonsupply.com/products/white-rodgers-24a34-3-24v-electric-heat-sequencer-dpst")</f>
        <v>https://edmondsonsupply.com/products/white-rodgers-24a34-3-24v-electric-heat-sequencer-dpst</v>
      </c>
      <c r="C1271" t="s">
        <v>2706</v>
      </c>
      <c r="D1271" t="s">
        <v>3314</v>
      </c>
      <c r="E1271" s="3" t="str">
        <f>HYPERLINK("https://www.amazon.com/White-Rodgers-24A34-1-Electric-Sequencer-Switch/dp/B000LD7VQW/ref=sr_1_5?keywords=White-Rodgers+24A34-3+24V+Electric+Heat+Sequencer%2C+DPST&amp;qid=1695173389&amp;sr=8-5", "https://www.amazon.com/White-Rodgers-24A34-1-Electric-Sequencer-Switch/dp/B000LD7VQW/ref=sr_1_5?keywords=White-Rodgers+24A34-3+24V+Electric+Heat+Sequencer%2C+DPST&amp;qid=1695173389&amp;sr=8-5")</f>
        <v>https://www.amazon.com/White-Rodgers-24A34-1-Electric-Sequencer-Switch/dp/B000LD7VQW/ref=sr_1_5?keywords=White-Rodgers+24A34-3+24V+Electric+Heat+Sequencer%2C+DPST&amp;qid=1695173389&amp;sr=8-5</v>
      </c>
      <c r="F1271" t="s">
        <v>3315</v>
      </c>
      <c r="G1271" t="e">
        <f ca="1">_xludf.IMAGE("https://edmondsonsupply.com/cdn/shop/products/24A34-3.jpg?v=1633030705")</f>
        <v>#NAME?</v>
      </c>
      <c r="H1271" t="e">
        <f ca="1">_xludf.IMAGE("https://m.media-amazon.com/images/I/41k+LuyGsVL._AC_UY218_.jpg")</f>
        <v>#NAME?</v>
      </c>
      <c r="I1271" t="s">
        <v>834</v>
      </c>
      <c r="J1271">
        <v>18.18</v>
      </c>
      <c r="K1271" s="4">
        <v>0.39950000000000002</v>
      </c>
      <c r="L1271">
        <v>5</v>
      </c>
      <c r="M1271">
        <v>6</v>
      </c>
      <c r="O1271" t="s">
        <v>25</v>
      </c>
      <c r="P1271" t="s">
        <v>2707</v>
      </c>
      <c r="Q1271" t="s">
        <v>2708</v>
      </c>
    </row>
    <row r="1272" spans="1:17" ht="15.5" x14ac:dyDescent="0.35">
      <c r="A1272" s="3" t="str">
        <f>HYPERLINK("https://edmondsonsupply.com/collections/hvac/products/uniweld-40000-sludge-sucker%C2%AE", "https://edmondsonsupply.com/collections/hvac/products/uniweld-40000-sludge-sucker%C2%AE")</f>
        <v>https://edmondsonsupply.com/collections/hvac/products/uniweld-40000-sludge-sucker%C2%AE</v>
      </c>
      <c r="B1272" s="3" t="str">
        <f>HYPERLINK("https://edmondsonsupply.com/products/uniweld-40000-sludge-sucker%c2%ae", "https://edmondsonsupply.com/products/uniweld-40000-sludge-sucker%c2%ae")</f>
        <v>https://edmondsonsupply.com/products/uniweld-40000-sludge-sucker%c2%ae</v>
      </c>
      <c r="C1272" t="s">
        <v>3352</v>
      </c>
      <c r="D1272" t="s">
        <v>3353</v>
      </c>
      <c r="E1272" s="3" t="str">
        <f>HYPERLINK("https://www.amazon.com/Uniweld-40000-Sludge-Sucker/dp/B00CIRZGV6/ref=sr_1_1?keywords=Uniweld+40000+Sludge+Sucker%C2%AE&amp;qid=1695173517&amp;sr=8-1", "https://www.amazon.com/Uniweld-40000-Sludge-Sucker/dp/B00CIRZGV6/ref=sr_1_1?keywords=Uniweld+40000+Sludge+Sucker%C2%AE&amp;qid=1695173517&amp;sr=8-1")</f>
        <v>https://www.amazon.com/Uniweld-40000-Sludge-Sucker/dp/B00CIRZGV6/ref=sr_1_1?keywords=Uniweld+40000+Sludge+Sucker%C2%AE&amp;qid=1695173517&amp;sr=8-1</v>
      </c>
      <c r="F1272" t="s">
        <v>3354</v>
      </c>
      <c r="G1272" t="e">
        <f ca="1">_xludf.IMAGE("https://edmondsonsupply.com/cdn/shop/products/40000-1-1024x1024.jpg?v=1656373331")</f>
        <v>#NAME?</v>
      </c>
      <c r="H1272" t="e">
        <f ca="1">_xludf.IMAGE("https://m.media-amazon.com/images/I/41yS+4cIS0L._AC_UL320_.jpg")</f>
        <v>#NAME?</v>
      </c>
      <c r="I1272" t="s">
        <v>2591</v>
      </c>
      <c r="J1272">
        <v>44.06</v>
      </c>
      <c r="K1272" s="4">
        <v>0.3992</v>
      </c>
      <c r="L1272">
        <v>4.0999999999999996</v>
      </c>
      <c r="M1272">
        <v>64</v>
      </c>
      <c r="O1272" t="s">
        <v>25</v>
      </c>
      <c r="P1272" t="s">
        <v>2123</v>
      </c>
      <c r="Q1272" t="s">
        <v>3355</v>
      </c>
    </row>
    <row r="1273" spans="1:17" ht="15.5" x14ac:dyDescent="0.35">
      <c r="A1273" s="3" t="str">
        <f>HYPERLINK("https://edmondsonsupply.com/collections/hvac/products/klein-tools-mm400-digital-multimeter-auto-ranging-600v", "https://edmondsonsupply.com/collections/hvac/products/klein-tools-mm400-digital-multimeter-auto-ranging-600v")</f>
        <v>https://edmondsonsupply.com/collections/hvac/products/klein-tools-mm400-digital-multimeter-auto-ranging-600v</v>
      </c>
      <c r="B1273" s="3" t="str">
        <f>HYPERLINK("https://edmondsonsupply.com/products/klein-tools-mm400-digital-multimeter-auto-ranging-600v", "https://edmondsonsupply.com/products/klein-tools-mm400-digital-multimeter-auto-ranging-600v")</f>
        <v>https://edmondsonsupply.com/products/klein-tools-mm400-digital-multimeter-auto-ranging-600v</v>
      </c>
      <c r="C1273" t="s">
        <v>3356</v>
      </c>
      <c r="D1273" t="s">
        <v>3357</v>
      </c>
      <c r="E1273" s="3" t="str">
        <f>HYPERLINK("https://www.amazon.com/Klein-Tools-Multimeter-Electronic-Non-Contact/dp/B0BNLB1VFG/ref=sr_1_4?keywords=Klein+Tools+MM400+Digital+Multimeter%2C+Auto-Ranging%2C+600V&amp;qid=1695173526&amp;sr=8-4", "https://www.amazon.com/Klein-Tools-Multimeter-Electronic-Non-Contact/dp/B0BNLB1VFG/ref=sr_1_4?keywords=Klein+Tools+MM400+Digital+Multimeter%2C+Auto-Ranging%2C+600V&amp;qid=1695173526&amp;sr=8-4")</f>
        <v>https://www.amazon.com/Klein-Tools-Multimeter-Electronic-Non-Contact/dp/B0BNLB1VFG/ref=sr_1_4?keywords=Klein+Tools+MM400+Digital+Multimeter%2C+Auto-Ranging%2C+600V&amp;qid=1695173526&amp;sr=8-4</v>
      </c>
      <c r="F1273" t="s">
        <v>3358</v>
      </c>
      <c r="G1273" t="e">
        <f ca="1">_xludf.IMAGE("https://edmondsonsupply.com/cdn/shop/products/mm400_alt1.jpg?v=1633030778")</f>
        <v>#NAME?</v>
      </c>
      <c r="H1273" t="e">
        <f ca="1">_xludf.IMAGE("https://m.media-amazon.com/images/I/51x9YX+JCvL._AC_UL320_.jpg")</f>
        <v>#NAME?</v>
      </c>
      <c r="I1273" t="s">
        <v>3359</v>
      </c>
      <c r="J1273">
        <v>76.89</v>
      </c>
      <c r="K1273" s="4">
        <v>0.39879999999999999</v>
      </c>
      <c r="L1273">
        <v>4.8</v>
      </c>
      <c r="M1273">
        <v>15</v>
      </c>
      <c r="O1273" t="s">
        <v>25</v>
      </c>
      <c r="P1273" t="s">
        <v>3360</v>
      </c>
      <c r="Q1273" t="s">
        <v>3361</v>
      </c>
    </row>
    <row r="1274" spans="1:17" ht="15.5" x14ac:dyDescent="0.35">
      <c r="A1274" s="3" t="str">
        <f>HYPERLINK("https://edmondsonsupply.com/collections/hvac/products/malco-tools-avm6-ev-mini-offset-aviation-snip-left-cutting", "https://edmondsonsupply.com/collections/hvac/products/malco-tools-avm6-ev-mini-offset-aviation-snip-left-cutting")</f>
        <v>https://edmondsonsupply.com/collections/hvac/products/malco-tools-avm6-ev-mini-offset-aviation-snip-left-cutting</v>
      </c>
      <c r="B1274" s="3" t="str">
        <f>HYPERLINK("https://edmondsonsupply.com/products/malco-tools-avm6-ev-mini-offset-aviation-snip-left-cutting", "https://edmondsonsupply.com/products/malco-tools-avm6-ev-mini-offset-aviation-snip-left-cutting")</f>
        <v>https://edmondsonsupply.com/products/malco-tools-avm6-ev-mini-offset-aviation-snip-left-cutting</v>
      </c>
      <c r="C1274" t="s">
        <v>3362</v>
      </c>
      <c r="D1274" t="s">
        <v>3363</v>
      </c>
      <c r="E1274" s="3" t="str">
        <f>HYPERLINK("https://www.amazon.com/Malco-AVM6-Offset-Aviation-Cutting/dp/B00QV2NOKY/ref=sr_1_1?keywords=Malco+Tools+AVM6+EV+Mini+Offset+Aviation+Snip+-+Left+Cutting&amp;qid=1695173617&amp;sr=8-1", "https://www.amazon.com/Malco-AVM6-Offset-Aviation-Cutting/dp/B00QV2NOKY/ref=sr_1_1?keywords=Malco+Tools+AVM6+EV+Mini+Offset+Aviation+Snip+-+Left+Cutting&amp;qid=1695173617&amp;sr=8-1")</f>
        <v>https://www.amazon.com/Malco-AVM6-Offset-Aviation-Cutting/dp/B00QV2NOKY/ref=sr_1_1?keywords=Malco+Tools+AVM6+EV+Mini+Offset+Aviation+Snip+-+Left+Cutting&amp;qid=1695173617&amp;sr=8-1</v>
      </c>
      <c r="F1274" t="s">
        <v>3364</v>
      </c>
      <c r="G1274" t="e">
        <f ca="1">_xludf.IMAGE("https://edmondsonsupply.com/cdn/shop/products/avm6_ev_catalog-big.jpg?v=1632272270")</f>
        <v>#NAME?</v>
      </c>
      <c r="H1274" t="e">
        <f ca="1">_xludf.IMAGE("https://m.media-amazon.com/images/I/51wRmyTz4SL._AC_UL320_.jpg")</f>
        <v>#NAME?</v>
      </c>
      <c r="I1274" t="s">
        <v>3365</v>
      </c>
      <c r="J1274">
        <v>22.95</v>
      </c>
      <c r="K1274" s="4">
        <v>0.3977</v>
      </c>
      <c r="L1274">
        <v>4.5999999999999996</v>
      </c>
      <c r="M1274">
        <v>213</v>
      </c>
      <c r="O1274" t="s">
        <v>25</v>
      </c>
      <c r="P1274" t="s">
        <v>3241</v>
      </c>
      <c r="Q1274" t="s">
        <v>3366</v>
      </c>
    </row>
    <row r="1275" spans="1:17" ht="15.5" x14ac:dyDescent="0.35">
      <c r="A1275" s="3" t="str">
        <f>HYPERLINK("https://edmondsonsupply.com/collections/hvac/products/lucas-milhaupt-98060-silvaloy-560", "https://edmondsonsupply.com/collections/hvac/products/lucas-milhaupt-98060-silvaloy-560")</f>
        <v>https://edmondsonsupply.com/collections/hvac/products/lucas-milhaupt-98060-silvaloy-560</v>
      </c>
      <c r="B1275" s="3" t="str">
        <f>HYPERLINK("https://edmondsonsupply.com/products/lucas-milhaupt-98060-silvaloy-560", "https://edmondsonsupply.com/products/lucas-milhaupt-98060-silvaloy-560")</f>
        <v>https://edmondsonsupply.com/products/lucas-milhaupt-98060-silvaloy-560</v>
      </c>
      <c r="C1275" t="s">
        <v>3367</v>
      </c>
      <c r="D1275" t="s">
        <v>3368</v>
      </c>
      <c r="E1275" s="3" t="str">
        <f>HYPERLINK("https://www.amazon.com/Lucas-Milhaupt-Silvaloy-Silver-Brazing/dp/B01N4PE9L7/ref=sr_1_1?keywords=Lucas+Milhaupt+98000+SILVALOY+450%2C+45%25+Silver%2C+1+Troy+Oz.&amp;qid=1695173561&amp;sr=8-1", "https://www.amazon.com/Lucas-Milhaupt-Silvaloy-Silver-Brazing/dp/B01N4PE9L7/ref=sr_1_1?keywords=Lucas+Milhaupt+98000+SILVALOY+450%2C+45%25+Silver%2C+1+Troy+Oz.&amp;qid=1695173561&amp;sr=8-1")</f>
        <v>https://www.amazon.com/Lucas-Milhaupt-Silvaloy-Silver-Brazing/dp/B01N4PE9L7/ref=sr_1_1?keywords=Lucas+Milhaupt+98000+SILVALOY+450%2C+45%25+Silver%2C+1+Troy+Oz.&amp;qid=1695173561&amp;sr=8-1</v>
      </c>
      <c r="F1275" t="s">
        <v>3369</v>
      </c>
      <c r="G1275" t="e">
        <f ca="1">_xludf.IMAGE("https://edmondsonsupply.com/cdn/shop/products/98000-1.jpg?v=1587147492")</f>
        <v>#NAME?</v>
      </c>
      <c r="H1275" t="e">
        <f ca="1">_xludf.IMAGE("https://m.media-amazon.com/images/I/71XTv-WsD8L._AC_UL320_.jpg")</f>
        <v>#NAME?</v>
      </c>
      <c r="I1275" t="s">
        <v>3370</v>
      </c>
      <c r="J1275">
        <v>36.92</v>
      </c>
      <c r="K1275" s="4">
        <v>0.39739999999999998</v>
      </c>
      <c r="L1275">
        <v>5</v>
      </c>
      <c r="M1275">
        <v>11</v>
      </c>
      <c r="O1275" t="s">
        <v>25</v>
      </c>
      <c r="P1275" t="s">
        <v>138</v>
      </c>
      <c r="Q1275" t="s">
        <v>3371</v>
      </c>
    </row>
    <row r="1276" spans="1:17" ht="15.5" x14ac:dyDescent="0.35">
      <c r="A1276" s="3" t="str">
        <f>HYPERLINK("https://edmondsonsupply.com/collections/hvac/products/supco-spp5-solid-state-relay-hard-start-capacitor-starter-pow-r-pak", "https://edmondsonsupply.com/collections/hvac/products/supco-spp5-solid-state-relay-hard-start-capacitor-starter-pow-r-pak")</f>
        <v>https://edmondsonsupply.com/collections/hvac/products/supco-spp5-solid-state-relay-hard-start-capacitor-starter-pow-r-pak</v>
      </c>
      <c r="B1276" s="3" t="str">
        <f>HYPERLINK("https://edmondsonsupply.com/products/supco-spp5-solid-state-relay-hard-start-capacitor-starter-pow-r-pak", "https://edmondsonsupply.com/products/supco-spp5-solid-state-relay-hard-start-capacitor-starter-pow-r-pak")</f>
        <v>https://edmondsonsupply.com/products/supco-spp5-solid-state-relay-hard-start-capacitor-starter-pow-r-pak</v>
      </c>
      <c r="C1276" t="s">
        <v>2125</v>
      </c>
      <c r="D1276" t="s">
        <v>3372</v>
      </c>
      <c r="E1276" s="3" t="str">
        <f>HYPERLINK("https://www.amazon.com/Supco-SPP5-Pow-R-Pak-Capacitor-Torque/dp/B00EV8CE60/ref=sr_1_1?keywords=Supco+SPP5+Solid+State+Relay&amp;qid=1695173679&amp;sr=8-1", "https://www.amazon.com/Supco-SPP5-Pow-R-Pak-Capacitor-Torque/dp/B00EV8CE60/ref=sr_1_1?keywords=Supco+SPP5+Solid+State+Relay&amp;qid=1695173679&amp;sr=8-1")</f>
        <v>https://www.amazon.com/Supco-SPP5-Pow-R-Pak-Capacitor-Torque/dp/B00EV8CE60/ref=sr_1_1?keywords=Supco+SPP5+Solid+State+Relay&amp;qid=1695173679&amp;sr=8-1</v>
      </c>
      <c r="F1276" t="s">
        <v>3373</v>
      </c>
      <c r="G1276" t="e">
        <f ca="1">_xludf.IMAGE("https://edmondsonsupply.com/cdn/shop/products/SPP5.jpg?v=1587144645")</f>
        <v>#NAME?</v>
      </c>
      <c r="H1276" t="e">
        <f ca="1">_xludf.IMAGE("https://m.media-amazon.com/images/I/517ICCPdoJL._AC_UY218_.jpg")</f>
        <v>#NAME?</v>
      </c>
      <c r="I1276" t="s">
        <v>2128</v>
      </c>
      <c r="J1276">
        <v>13.9</v>
      </c>
      <c r="K1276" s="4">
        <v>0.39700000000000002</v>
      </c>
      <c r="L1276">
        <v>4.5999999999999996</v>
      </c>
      <c r="M1276">
        <v>47</v>
      </c>
      <c r="O1276" t="s">
        <v>25</v>
      </c>
      <c r="P1276" t="s">
        <v>138</v>
      </c>
      <c r="Q1276" t="s">
        <v>2129</v>
      </c>
    </row>
    <row r="1277" spans="1:17" ht="15.5" x14ac:dyDescent="0.35">
      <c r="A1277" s="3" t="str">
        <f>HYPERLINK("https://edmondsonsupply.com/collections/hvac/products/imperial-368-fh-imp%E2%84%A2-triple-head-tube-bender-3-16-3-8-o-d", "https://edmondsonsupply.com/collections/hvac/products/imperial-368-fh-imp%E2%84%A2-triple-head-tube-bender-3-16-3-8-o-d")</f>
        <v>https://edmondsonsupply.com/collections/hvac/products/imperial-368-fh-imp%E2%84%A2-triple-head-tube-bender-3-16-3-8-o-d</v>
      </c>
      <c r="B1277" s="3" t="str">
        <f>HYPERLINK("https://edmondsonsupply.com/products/imperial-368-fh-imp%e2%84%a2-triple-head-tube-bender-3-16-3-8-o-d", "https://edmondsonsupply.com/products/imperial-368-fh-imp%e2%84%a2-triple-head-tube-bender-3-16-3-8-o-d")</f>
        <v>https://edmondsonsupply.com/products/imperial-368-fh-imp%e2%84%a2-triple-head-tube-bender-3-16-3-8-o-d</v>
      </c>
      <c r="C1277" t="s">
        <v>3374</v>
      </c>
      <c r="D1277" t="s">
        <v>3375</v>
      </c>
      <c r="E1277" s="3" t="str">
        <f>HYPERLINK("https://www.amazon.com/Imperial-470FHC-Triple-Roto-Lok-Indexing/dp/B007IBPTLO/ref=sr_1_1?keywords=Imperial+368-FH+IMP%E2%84%A2+Triple+Head+Tube+Bender+3%2F16%22+-+3%2F8%22+O.D.&amp;qid=1695173677&amp;sr=8-1", "https://www.amazon.com/Imperial-470FHC-Triple-Roto-Lok-Indexing/dp/B007IBPTLO/ref=sr_1_1?keywords=Imperial+368-FH+IMP%E2%84%A2+Triple+Head+Tube+Bender+3%2F16%22+-+3%2F8%22+O.D.&amp;qid=1695173677&amp;sr=8-1")</f>
        <v>https://www.amazon.com/Imperial-470FHC-Triple-Roto-Lok-Indexing/dp/B007IBPTLO/ref=sr_1_1?keywords=Imperial+368-FH+IMP%E2%84%A2+Triple+Head+Tube+Bender+3%2F16%22+-+3%2F8%22+O.D.&amp;qid=1695173677&amp;sr=8-1</v>
      </c>
      <c r="F1277" t="s">
        <v>3376</v>
      </c>
      <c r="G1277" t="e">
        <f ca="1">_xludf.IMAGE("https://edmondsonsupply.com/cdn/shop/products/368-FH.jpg?v=1587145793")</f>
        <v>#NAME?</v>
      </c>
      <c r="H1277" t="e">
        <f ca="1">_xludf.IMAGE("https://m.media-amazon.com/images/I/51pWOTmqMGL._AC_UL320_.jpg")</f>
        <v>#NAME?</v>
      </c>
      <c r="I1277" t="s">
        <v>3377</v>
      </c>
      <c r="J1277">
        <v>50.99</v>
      </c>
      <c r="K1277" s="4">
        <v>0.3962</v>
      </c>
      <c r="L1277">
        <v>4.4000000000000004</v>
      </c>
      <c r="M1277">
        <v>31</v>
      </c>
      <c r="O1277" t="s">
        <v>25</v>
      </c>
      <c r="P1277" t="s">
        <v>138</v>
      </c>
      <c r="Q1277" t="s">
        <v>3378</v>
      </c>
    </row>
    <row r="1278" spans="1:17" ht="15.5" x14ac:dyDescent="0.35">
      <c r="A1278" s="3" t="str">
        <f>HYPERLINK("https://edmondsonsupply.com/collections/hvac/products/robertshaw-rs8110-digital-non-programmable-thermostat-single-stage-1-heat-1-cool", "https://edmondsonsupply.com/collections/hvac/products/robertshaw-rs8110-digital-non-programmable-thermostat-single-stage-1-heat-1-cool")</f>
        <v>https://edmondsonsupply.com/collections/hvac/products/robertshaw-rs8110-digital-non-programmable-thermostat-single-stage-1-heat-1-cool</v>
      </c>
      <c r="B1278" s="3" t="str">
        <f>HYPERLINK("https://edmondsonsupply.com/products/robertshaw-rs8110-digital-non-programmable-thermostat-single-stage-1-heat-1-cool", "https://edmondsonsupply.com/products/robertshaw-rs8110-digital-non-programmable-thermostat-single-stage-1-heat-1-cool")</f>
        <v>https://edmondsonsupply.com/products/robertshaw-rs8110-digital-non-programmable-thermostat-single-stage-1-heat-1-cool</v>
      </c>
      <c r="C1278" t="s">
        <v>2461</v>
      </c>
      <c r="D1278" t="s">
        <v>3379</v>
      </c>
      <c r="E1278" s="3" t="str">
        <f>HYPERLINK("https://www.amazon.com/2PK-Thermostat-Non-Programmable-Compatible-Electrical/dp/B08QF63Q4Y/ref=sr_1_3?keywords=Robertshaw+RS8110+Digital+Non-Programmable+Thermostat%2C+Single+Stage+-+1+Heat%2F1+Cool&amp;qid=1695173434&amp;sr=8-3", "https://www.amazon.com/2PK-Thermostat-Non-Programmable-Compatible-Electrical/dp/B08QF63Q4Y/ref=sr_1_3?keywords=Robertshaw+RS8110+Digital+Non-Programmable+Thermostat%2C+Single+Stage+-+1+Heat%2F1+Cool&amp;qid=1695173434&amp;sr=8-3")</f>
        <v>https://www.amazon.com/2PK-Thermostat-Non-Programmable-Compatible-Electrical/dp/B08QF63Q4Y/ref=sr_1_3?keywords=Robertshaw+RS8110+Digital+Non-Programmable+Thermostat%2C+Single+Stage+-+1+Heat%2F1+Cool&amp;qid=1695173434&amp;sr=8-3</v>
      </c>
      <c r="F1278" t="s">
        <v>3380</v>
      </c>
      <c r="G1278" t="e">
        <f ca="1">_xludf.IMAGE("https://edmondsonsupply.com/cdn/shop/products/RS8110.jpg?v=1633031027")</f>
        <v>#NAME?</v>
      </c>
      <c r="H1278" t="e">
        <f ca="1">_xludf.IMAGE("https://m.media-amazon.com/images/I/71eV76iW6US._AC_UL320_.jpg")</f>
        <v>#NAME?</v>
      </c>
      <c r="I1278" t="s">
        <v>2464</v>
      </c>
      <c r="J1278">
        <v>45.99</v>
      </c>
      <c r="K1278" s="4">
        <v>0.39529999999999998</v>
      </c>
      <c r="L1278">
        <v>4.5</v>
      </c>
      <c r="M1278">
        <v>111</v>
      </c>
      <c r="O1278" t="s">
        <v>25</v>
      </c>
      <c r="P1278" t="s">
        <v>2465</v>
      </c>
      <c r="Q1278" t="s">
        <v>2466</v>
      </c>
    </row>
    <row r="1279" spans="1:17" ht="15.5" x14ac:dyDescent="0.35">
      <c r="A1279" s="3" t="str">
        <f>HYPERLINK("https://edmondsonsupply.com/collections/hvac/products/milwaukee-48-25-2122", "https://edmondsonsupply.com/collections/hvac/products/milwaukee-48-25-2122")</f>
        <v>https://edmondsonsupply.com/collections/hvac/products/milwaukee-48-25-2122</v>
      </c>
      <c r="B1279" s="3" t="str">
        <f>HYPERLINK("https://edmondsonsupply.com/products/milwaukee-48-25-2122", "https://edmondsonsupply.com/products/milwaukee-48-25-2122")</f>
        <v>https://edmondsonsupply.com/products/milwaukee-48-25-2122</v>
      </c>
      <c r="C1279" t="s">
        <v>3381</v>
      </c>
      <c r="D1279" t="s">
        <v>3382</v>
      </c>
      <c r="E1279" s="3" t="str">
        <f>HYPERLINK("https://www.amazon.com/Milwaukee-48-25-2122-Heavy-duty-Selfeed-Bit/dp/B006ERPNPA/ref=sr_1_2?keywords=Milwaukee+48-25-2122+Standard+Selfeed+Bit%2C+2-1%2F8%22&amp;qid=1695173750&amp;sr=8-2", "https://www.amazon.com/Milwaukee-48-25-2122-Heavy-duty-Selfeed-Bit/dp/B006ERPNPA/ref=sr_1_2?keywords=Milwaukee+48-25-2122+Standard+Selfeed+Bit%2C+2-1%2F8%22&amp;qid=1695173750&amp;sr=8-2")</f>
        <v>https://www.amazon.com/Milwaukee-48-25-2122-Heavy-duty-Selfeed-Bit/dp/B006ERPNPA/ref=sr_1_2?keywords=Milwaukee+48-25-2122+Standard+Selfeed+Bit%2C+2-1%2F8%22&amp;qid=1695173750&amp;sr=8-2</v>
      </c>
      <c r="F1279" t="s">
        <v>3383</v>
      </c>
      <c r="G1279" t="e">
        <f ca="1">_xludf.IMAGE("https://edmondsonsupply.com/cdn/shop/files/64170_48-25-1372_1-lg.gif?v=1687367768")</f>
        <v>#NAME?</v>
      </c>
      <c r="H1279" t="e">
        <f ca="1">_xludf.IMAGE("https://m.media-amazon.com/images/I/510Y68t9mkL._AC_UL320_.jpg")</f>
        <v>#NAME?</v>
      </c>
      <c r="I1279" t="s">
        <v>380</v>
      </c>
      <c r="J1279">
        <v>69.650000000000006</v>
      </c>
      <c r="K1279" s="4">
        <v>0.39379999999999998</v>
      </c>
      <c r="L1279">
        <v>4</v>
      </c>
      <c r="M1279">
        <v>1</v>
      </c>
      <c r="O1279" t="s">
        <v>25</v>
      </c>
      <c r="P1279" t="s">
        <v>138</v>
      </c>
      <c r="Q1279" t="s">
        <v>3384</v>
      </c>
    </row>
    <row r="1280" spans="1:17" ht="15.5" x14ac:dyDescent="0.35">
      <c r="A1280" s="3" t="str">
        <f>HYPERLINK("https://edmondsonsupply.com/collections/hvac/products/packard-c340a-contactor-3-pole-40-amps-24-coil-voltage", "https://edmondsonsupply.com/collections/hvac/products/packard-c340a-contactor-3-pole-40-amps-24-coil-voltage")</f>
        <v>https://edmondsonsupply.com/collections/hvac/products/packard-c340a-contactor-3-pole-40-amps-24-coil-voltage</v>
      </c>
      <c r="B1280" s="3" t="str">
        <f>HYPERLINK("https://edmondsonsupply.com/products/packard-c340a-contactor-3-pole-40-amps-24-coil-voltage", "https://edmondsonsupply.com/products/packard-c340a-contactor-3-pole-40-amps-24-coil-voltage")</f>
        <v>https://edmondsonsupply.com/products/packard-c340a-contactor-3-pole-40-amps-24-coil-voltage</v>
      </c>
      <c r="C1280" t="s">
        <v>2194</v>
      </c>
      <c r="D1280" t="s">
        <v>3385</v>
      </c>
      <c r="E1280" s="3" t="str">
        <f>HYPERLINK("https://www.amazon.com/Packard-C340A-Pole-Contactor-Volt/dp/B003RXS8OC/ref=sr_1_10?keywords=Packard+C340A+Contactor+3+Pole+40+Amps+24+Coil+Voltage&amp;qid=1695173549&amp;sr=8-10", "https://www.amazon.com/Packard-C340A-Pole-Contactor-Volt/dp/B003RXS8OC/ref=sr_1_10?keywords=Packard+C340A+Contactor+3+Pole+40+Amps+24+Coil+Voltage&amp;qid=1695173549&amp;sr=8-10")</f>
        <v>https://www.amazon.com/Packard-C340A-Pole-Contactor-Volt/dp/B003RXS8OC/ref=sr_1_10?keywords=Packard+C340A+Contactor+3+Pole+40+Amps+24+Coil+Voltage&amp;qid=1695173549&amp;sr=8-10</v>
      </c>
      <c r="F1280" t="s">
        <v>3386</v>
      </c>
      <c r="G1280" t="e">
        <f ca="1">_xludf.IMAGE("https://edmondsonsupply.com/cdn/shop/products/C340A-2.jpg?v=1633030393")</f>
        <v>#NAME?</v>
      </c>
      <c r="H1280" t="e">
        <f ca="1">_xludf.IMAGE("https://m.media-amazon.com/images/I/71--hRIpqWL._AC_UY218_.jpg")</f>
        <v>#NAME?</v>
      </c>
      <c r="I1280" t="s">
        <v>2197</v>
      </c>
      <c r="J1280">
        <v>30.91</v>
      </c>
      <c r="K1280" s="4">
        <v>0.38979999999999998</v>
      </c>
      <c r="L1280">
        <v>4.4000000000000004</v>
      </c>
      <c r="M1280">
        <v>93</v>
      </c>
      <c r="O1280" t="s">
        <v>25</v>
      </c>
      <c r="P1280" t="s">
        <v>138</v>
      </c>
      <c r="Q1280" t="s">
        <v>2198</v>
      </c>
    </row>
    <row r="1281" spans="1:17" ht="15.5" x14ac:dyDescent="0.35">
      <c r="A1281" s="3" t="str">
        <f>HYPERLINK("https://edmondsonsupply.com/collections/hvac/products/white-rodgers-50a55-843-integrated-furnace-control-board-universal-replacement", "https://edmondsonsupply.com/collections/hvac/products/white-rodgers-50a55-843-integrated-furnace-control-board-universal-replacement")</f>
        <v>https://edmondsonsupply.com/collections/hvac/products/white-rodgers-50a55-843-integrated-furnace-control-board-universal-replacement</v>
      </c>
      <c r="B1281" s="3" t="str">
        <f>HYPERLINK("https://edmondsonsupply.com/products/white-rodgers-50a55-843-integrated-furnace-control-board-universal-replacement", "https://edmondsonsupply.com/products/white-rodgers-50a55-843-integrated-furnace-control-board-universal-replacement")</f>
        <v>https://edmondsonsupply.com/products/white-rodgers-50a55-843-integrated-furnace-control-board-universal-replacement</v>
      </c>
      <c r="C1281" t="s">
        <v>2692</v>
      </c>
      <c r="D1281" t="s">
        <v>3387</v>
      </c>
      <c r="E1281" s="3" t="str">
        <f>HYPERLINK("https://www.amazon.com/White-rodgers-Universal-Integrated-Furnace-50m56u-843/dp/B082J512XT/ref=sr_1_1?keywords=White-Rodgers+50A55-843+Integrated+Furnace+Control+Board%2C+Universal+Replacement&amp;qid=1695173406&amp;sr=8-1", "https://www.amazon.com/White-rodgers-Universal-Integrated-Furnace-50m56u-843/dp/B082J512XT/ref=sr_1_1?keywords=White-Rodgers+50A55-843+Integrated+Furnace+Control+Board%2C+Universal+Replacement&amp;qid=1695173406&amp;sr=8-1")</f>
        <v>https://www.amazon.com/White-rodgers-Universal-Integrated-Furnace-50m56u-843/dp/B082J512XT/ref=sr_1_1?keywords=White-Rodgers+50A55-843+Integrated+Furnace+Control+Board%2C+Universal+Replacement&amp;qid=1695173406&amp;sr=8-1</v>
      </c>
      <c r="F1281" t="s">
        <v>3388</v>
      </c>
      <c r="G1281" t="e">
        <f ca="1">_xludf.IMAGE("https://edmondsonsupply.com/cdn/shop/products/b-integrated-furnace-controls-universal-replacement-img-2a.jpg?v=1633030661")</f>
        <v>#NAME?</v>
      </c>
      <c r="H1281" t="e">
        <f ca="1">_xludf.IMAGE("https://m.media-amazon.com/images/I/51hdpsDr8TL._AC_UL320_.jpg")</f>
        <v>#NAME?</v>
      </c>
      <c r="I1281" t="s">
        <v>2695</v>
      </c>
      <c r="J1281">
        <v>187.83</v>
      </c>
      <c r="K1281" s="4">
        <v>0.38900000000000001</v>
      </c>
      <c r="L1281">
        <v>2.8</v>
      </c>
      <c r="M1281">
        <v>4</v>
      </c>
      <c r="O1281" t="s">
        <v>25</v>
      </c>
      <c r="P1281" t="s">
        <v>2696</v>
      </c>
      <c r="Q1281" t="s">
        <v>2697</v>
      </c>
    </row>
    <row r="1282" spans="1:17" ht="15.5" x14ac:dyDescent="0.35">
      <c r="A1282" s="3" t="str">
        <f>HYPERLINK("https://edmondsonsupply.com/collections/hvac/products/packard-psmj400-motor-start-capacitor-400-480-mfd-165-vac", "https://edmondsonsupply.com/collections/hvac/products/packard-psmj400-motor-start-capacitor-400-480-mfd-165-vac")</f>
        <v>https://edmondsonsupply.com/collections/hvac/products/packard-psmj400-motor-start-capacitor-400-480-mfd-165-vac</v>
      </c>
      <c r="B1282" s="3" t="str">
        <f>HYPERLINK("https://edmondsonsupply.com/products/packard-psmj400-motor-start-capacitor-400-480-mfd-165-vac", "https://edmondsonsupply.com/products/packard-psmj400-motor-start-capacitor-400-480-mfd-165-vac")</f>
        <v>https://edmondsonsupply.com/products/packard-psmj400-motor-start-capacitor-400-480-mfd-165-vac</v>
      </c>
      <c r="C1282" t="s">
        <v>2330</v>
      </c>
      <c r="D1282" t="s">
        <v>3389</v>
      </c>
      <c r="E1282" s="3" t="str">
        <f>HYPERLINK("https://www.amazon.com/Packard-PSMJ400-Start-Capacitor-400-480/dp/B005YN6BYC/ref=sr_1_1?keywords=Packard+PSMJ400+Motor+Start+Capacitor+400-480+MFD+165+VAC&amp;qid=1695173567&amp;sr=8-1", "https://www.amazon.com/Packard-PSMJ400-Start-Capacitor-400-480/dp/B005YN6BYC/ref=sr_1_1?keywords=Packard+PSMJ400+Motor+Start+Capacitor+400-480+MFD+165+VAC&amp;qid=1695173567&amp;sr=8-1")</f>
        <v>https://www.amazon.com/Packard-PSMJ400-Start-Capacitor-400-480/dp/B005YN6BYC/ref=sr_1_1?keywords=Packard+PSMJ400+Motor+Start+Capacitor+400-480+MFD+165+VAC&amp;qid=1695173567&amp;sr=8-1</v>
      </c>
      <c r="F1282" t="s">
        <v>3390</v>
      </c>
      <c r="G1282" t="e">
        <f ca="1">_xludf.IMAGE("https://edmondsonsupply.com/cdn/shop/products/PSMJ400-2.jpg?v=1587142312")</f>
        <v>#NAME?</v>
      </c>
      <c r="H1282" t="e">
        <f ca="1">_xludf.IMAGE("https://m.media-amazon.com/images/I/61rAxafoQCL._AC_UY218_.jpg")</f>
        <v>#NAME?</v>
      </c>
      <c r="I1282" t="s">
        <v>2202</v>
      </c>
      <c r="J1282">
        <v>11</v>
      </c>
      <c r="K1282" s="4">
        <v>0.38890000000000002</v>
      </c>
      <c r="L1282">
        <v>4.5999999999999996</v>
      </c>
      <c r="M1282">
        <v>337</v>
      </c>
      <c r="O1282" t="s">
        <v>25</v>
      </c>
      <c r="P1282" t="s">
        <v>138</v>
      </c>
      <c r="Q1282" t="s">
        <v>2333</v>
      </c>
    </row>
    <row r="1283" spans="1:17" ht="15.5" x14ac:dyDescent="0.35">
      <c r="A1283" s="3" t="str">
        <f>HYPERLINK("https://edmondsonsupply.com/collections/hvac/products/refrigeration-technologies-rt200r-nylog-red-gasket-thread-sealant", "https://edmondsonsupply.com/collections/hvac/products/refrigeration-technologies-rt200r-nylog-red-gasket-thread-sealant")</f>
        <v>https://edmondsonsupply.com/collections/hvac/products/refrigeration-technologies-rt200r-nylog-red-gasket-thread-sealant</v>
      </c>
      <c r="B1283" s="3" t="str">
        <f>HYPERLINK("https://edmondsonsupply.com/products/refrigeration-technologies-rt200r-nylog-red-gasket-thread-sealant", "https://edmondsonsupply.com/products/refrigeration-technologies-rt200r-nylog-red-gasket-thread-sealant")</f>
        <v>https://edmondsonsupply.com/products/refrigeration-technologies-rt200r-nylog-red-gasket-thread-sealant</v>
      </c>
      <c r="C1283" t="s">
        <v>2751</v>
      </c>
      <c r="D1283" t="s">
        <v>3391</v>
      </c>
      <c r="E1283" s="3" t="str">
        <f>HYPERLINK("https://www.amazon.com/Refrigeration-Technologies-RT201B-Sealant-RT201BP/dp/B0C299WTWW/ref=sr_1_4?keywords=Refrigeration+Technologies+RT200R+Viper+Nylog+Red+-+Gasket+%26+Thread+Sealant&amp;qid=1695173429&amp;sr=8-4", "https://www.amazon.com/Refrigeration-Technologies-RT201B-Sealant-RT201BP/dp/B0C299WTWW/ref=sr_1_4?keywords=Refrigeration+Technologies+RT200R+Viper+Nylog+Red+-+Gasket+%26+Thread+Sealant&amp;qid=1695173429&amp;sr=8-4")</f>
        <v>https://www.amazon.com/Refrigeration-Technologies-RT201B-Sealant-RT201BP/dp/B0C299WTWW/ref=sr_1_4?keywords=Refrigeration+Technologies+RT200R+Viper+Nylog+Red+-+Gasket+%26+Thread+Sealant&amp;qid=1695173429&amp;sr=8-4</v>
      </c>
      <c r="F1283" t="s">
        <v>3392</v>
      </c>
      <c r="G1283" t="e">
        <f ca="1">_xludf.IMAGE("https://edmondsonsupply.com/cdn/shop/products/Nylog-Red-Reflection-Web.jpg?v=1633030226")</f>
        <v>#NAME?</v>
      </c>
      <c r="H1283" t="e">
        <f ca="1">_xludf.IMAGE("https://m.media-amazon.com/images/I/41fnfNmRl6L._AC_UY218_.jpg")</f>
        <v>#NAME?</v>
      </c>
      <c r="I1283" t="s">
        <v>2754</v>
      </c>
      <c r="J1283">
        <v>9.49</v>
      </c>
      <c r="K1283" s="4">
        <v>0.38740000000000002</v>
      </c>
      <c r="L1283">
        <v>5</v>
      </c>
      <c r="M1283">
        <v>4</v>
      </c>
      <c r="O1283" t="s">
        <v>25</v>
      </c>
      <c r="P1283" t="s">
        <v>2755</v>
      </c>
      <c r="Q1283" t="s">
        <v>2756</v>
      </c>
    </row>
    <row r="1284" spans="1:17" ht="15.5" x14ac:dyDescent="0.35">
      <c r="A1284"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284" s="3" t="str">
        <f>HYPERLINK("https://edmondsonsupply.com/products/klein-tools-jth4e17-1-2-inch-hex-key-journeyman-t-handle-4-inch", "https://edmondsonsupply.com/products/klein-tools-jth4e17-1-2-inch-hex-key-journeyman-t-handle-4-inch")</f>
        <v>https://edmondsonsupply.com/products/klein-tools-jth4e17-1-2-inch-hex-key-journeyman-t-handle-4-inch</v>
      </c>
      <c r="C1284" t="s">
        <v>2385</v>
      </c>
      <c r="D1284" t="s">
        <v>3393</v>
      </c>
      <c r="E1284" s="3" t="str">
        <f>HYPERLINK("https://www.amazon.com/Journeyman-T-Handle-Klein-Tools-JTH6M4BE/dp/B005G3951G/ref=sr_1_4?keywords=Klein+Tools+JTH4E11+3%2F16-Inch+Hex+Key+with+Journeyman+T-Handle%2C+4-Inch&amp;qid=1695173548&amp;sr=8-4", "https://www.amazon.com/Journeyman-T-Handle-Klein-Tools-JTH6M4BE/dp/B005G3951G/ref=sr_1_4?keywords=Klein+Tools+JTH4E11+3%2F16-Inch+Hex+Key+with+Journeyman+T-Handle%2C+4-Inch&amp;qid=1695173548&amp;sr=8-4")</f>
        <v>https://www.amazon.com/Journeyman-T-Handle-Klein-Tools-JTH6M4BE/dp/B005G3951G/ref=sr_1_4?keywords=Klein+Tools+JTH4E11+3%2F16-Inch+Hex+Key+with+Journeyman+T-Handle%2C+4-Inch&amp;qid=1695173548&amp;sr=8-4</v>
      </c>
      <c r="F1284" t="s">
        <v>3394</v>
      </c>
      <c r="G1284" t="e">
        <f ca="1">_xludf.IMAGE("https://edmondsonsupply.com/cdn/shop/products/jth4e17.jpg?v=1587144836")</f>
        <v>#NAME?</v>
      </c>
      <c r="H1284" t="e">
        <f ca="1">_xludf.IMAGE("https://m.media-amazon.com/images/I/51huXA+ij8L._AC_UL320_.jpg")</f>
        <v>#NAME?</v>
      </c>
      <c r="I1284" t="s">
        <v>2388</v>
      </c>
      <c r="J1284">
        <v>6.91</v>
      </c>
      <c r="K1284" s="4">
        <v>0.38479999999999998</v>
      </c>
      <c r="L1284">
        <v>4.8</v>
      </c>
      <c r="M1284">
        <v>988</v>
      </c>
      <c r="O1284" t="s">
        <v>25</v>
      </c>
      <c r="P1284" t="s">
        <v>2389</v>
      </c>
      <c r="Q1284" t="s">
        <v>2390</v>
      </c>
    </row>
    <row r="1285" spans="1:17" ht="15.5" x14ac:dyDescent="0.35">
      <c r="A1285" s="3" t="str">
        <f>HYPERLINK("https://edmondsonsupply.com/collections/hvac/products/copy-of-trion-455602-527-air-bear-supreme-2000-20x25x5-merv-11-air-cleaner-cabinet-grey-1", "https://edmondsonsupply.com/collections/hvac/products/copy-of-trion-455602-527-air-bear-supreme-2000-20x25x5-merv-11-air-cleaner-cabinet-grey-1")</f>
        <v>https://edmondsonsupply.com/collections/hvac/products/copy-of-trion-455602-527-air-bear-supreme-2000-20x25x5-merv-11-air-cleaner-cabinet-grey-1</v>
      </c>
      <c r="B1285" s="3" t="str">
        <f>HYPERLINK("https://edmondsonsupply.com/products/copy-of-trion-455602-527-air-bear-supreme-2000-20x25x5-merv-11-air-cleaner-cabinet-grey-1", "https://edmondsonsupply.com/products/copy-of-trion-455602-527-air-bear-supreme-2000-20x25x5-merv-11-air-cleaner-cabinet-grey-1")</f>
        <v>https://edmondsonsupply.com/products/copy-of-trion-455602-527-air-bear-supreme-2000-20x25x5-merv-11-air-cleaner-cabinet-grey-1</v>
      </c>
      <c r="C1285" t="s">
        <v>3232</v>
      </c>
      <c r="D1285" t="s">
        <v>3395</v>
      </c>
      <c r="E1285" s="3" t="str">
        <f>HYPERLINK("https://www.amazon.com/Trion-455602-127-Supreme-16x25x5-Cleaner/dp/B079Y9ZFZN/ref=sr_1_2?keywords=Trion+455602-027+Air+Bear+Supreme+2000+20x25x5+MERV-8+Air+Cleaner+Cabinet+%28Grey%29&amp;qid=1695173585&amp;sr=8-2", "https://www.amazon.com/Trion-455602-127-Supreme-16x25x5-Cleaner/dp/B079Y9ZFZN/ref=sr_1_2?keywords=Trion+455602-027+Air+Bear+Supreme+2000+20x25x5+MERV-8+Air+Cleaner+Cabinet+%28Grey%29&amp;qid=1695173585&amp;sr=8-2")</f>
        <v>https://www.amazon.com/Trion-455602-127-Supreme-16x25x5-Cleaner/dp/B079Y9ZFZN/ref=sr_1_2?keywords=Trion+455602-027+Air+Bear+Supreme+2000+20x25x5+MERV-8+Air+Cleaner+Cabinet+%28Grey%29&amp;qid=1695173585&amp;sr=8-2</v>
      </c>
      <c r="F1285" t="s">
        <v>3396</v>
      </c>
      <c r="G1285" t="e">
        <f ca="1">_xludf.IMAGE("https://edmondsonsupply.com/cdn/shop/products/00_86dca442-e626-4c75-b893-92c884df73e1.png?v=1677884533")</f>
        <v>#NAME?</v>
      </c>
      <c r="H1285" t="e">
        <f ca="1">_xludf.IMAGE("https://m.media-amazon.com/images/I/618CRE41xpL._AC_UL320_.jpg")</f>
        <v>#NAME?</v>
      </c>
      <c r="I1285" t="s">
        <v>3235</v>
      </c>
      <c r="J1285">
        <v>165.46</v>
      </c>
      <c r="K1285" s="4">
        <v>0.3836</v>
      </c>
      <c r="L1285">
        <v>5</v>
      </c>
      <c r="M1285">
        <v>1</v>
      </c>
      <c r="O1285" t="s">
        <v>25</v>
      </c>
      <c r="P1285" t="s">
        <v>138</v>
      </c>
      <c r="Q1285" t="s">
        <v>3236</v>
      </c>
    </row>
    <row r="1286" spans="1:17" ht="15.5" x14ac:dyDescent="0.35">
      <c r="A1286" s="3" t="str">
        <f>HYPERLINK("https://edmondsonsupply.com/collections/hvac/products/fluke-t5-600", "https://edmondsonsupply.com/collections/hvac/products/fluke-t5-600")</f>
        <v>https://edmondsonsupply.com/collections/hvac/products/fluke-t5-600</v>
      </c>
      <c r="B1286" s="3" t="str">
        <f>HYPERLINK("https://edmondsonsupply.com/products/fluke-t5-600", "https://edmondsonsupply.com/products/fluke-t5-600")</f>
        <v>https://edmondsonsupply.com/products/fluke-t5-600</v>
      </c>
      <c r="C1286" t="s">
        <v>3397</v>
      </c>
      <c r="D1286" t="s">
        <v>3398</v>
      </c>
      <c r="E1286" s="3" t="str">
        <f>HYPERLINK("https://www.amazon.com/Fluke-T5-1000-Electrical-Tester/dp/B000LDKX62/ref=sr_1_6?keywords=Fluke+T5-600+Voltage%2C+Continuity+and+Current+Tester%2C+600V+AC%2FDC&amp;qid=1695173406&amp;sr=8-6", "https://www.amazon.com/Fluke-T5-1000-Electrical-Tester/dp/B000LDKX62/ref=sr_1_6?keywords=Fluke+T5-600+Voltage%2C+Continuity+and+Current+Tester%2C+600V+AC%2FDC&amp;qid=1695173406&amp;sr=8-6")</f>
        <v>https://www.amazon.com/Fluke-T5-1000-Electrical-Tester/dp/B000LDKX62/ref=sr_1_6?keywords=Fluke+T5-600+Voltage%2C+Continuity+and+Current+Tester%2C+600V+AC%2FDC&amp;qid=1695173406&amp;sr=8-6</v>
      </c>
      <c r="F1286" t="s">
        <v>3399</v>
      </c>
      <c r="G1286" t="e">
        <f ca="1">_xludf.IMAGE("https://edmondsonsupply.com/cdn/shop/products/F-t5-600-euro_03a_c.jpg?v=1633030279")</f>
        <v>#NAME?</v>
      </c>
      <c r="H1286" t="e">
        <f ca="1">_xludf.IMAGE("https://m.media-amazon.com/images/I/61hF9Hj61sL._AC_UL320_.jpg")</f>
        <v>#NAME?</v>
      </c>
      <c r="I1286" t="s">
        <v>3400</v>
      </c>
      <c r="J1286">
        <v>190.9</v>
      </c>
      <c r="K1286" s="4">
        <v>0.38340000000000002</v>
      </c>
      <c r="L1286">
        <v>4.8</v>
      </c>
      <c r="M1286">
        <v>1281</v>
      </c>
      <c r="O1286" t="s">
        <v>25</v>
      </c>
      <c r="P1286" t="s">
        <v>3401</v>
      </c>
      <c r="Q1286" t="s">
        <v>3402</v>
      </c>
    </row>
    <row r="1287" spans="1:17" ht="15.5" x14ac:dyDescent="0.35">
      <c r="A1287" s="3" t="str">
        <f>HYPERLINK("https://edmondsonsupply.com/collections/hvac/products/robertshaw-rs8110-digital-non-programmable-thermostat-single-stage-1-heat-1-cool", "https://edmondsonsupply.com/collections/hvac/products/robertshaw-rs8110-digital-non-programmable-thermostat-single-stage-1-heat-1-cool")</f>
        <v>https://edmondsonsupply.com/collections/hvac/products/robertshaw-rs8110-digital-non-programmable-thermostat-single-stage-1-heat-1-cool</v>
      </c>
      <c r="B1287" s="3" t="str">
        <f>HYPERLINK("https://edmondsonsupply.com/products/robertshaw-rs8110-digital-non-programmable-thermostat-single-stage-1-heat-1-cool", "https://edmondsonsupply.com/products/robertshaw-rs8110-digital-non-programmable-thermostat-single-stage-1-heat-1-cool")</f>
        <v>https://edmondsonsupply.com/products/robertshaw-rs8110-digital-non-programmable-thermostat-single-stage-1-heat-1-cool</v>
      </c>
      <c r="C1287" t="s">
        <v>2461</v>
      </c>
      <c r="D1287" t="s">
        <v>3403</v>
      </c>
      <c r="E1287" s="3" t="str">
        <f>HYPERLINK("https://www.amazon.com/Robertshaw-Non-Programmable-Thermostat-Multi-Stage-Conventional/dp/B00U5CAN6O/ref=sr_1_7?keywords=Robertshaw+RS8110+Digital+Non-Programmable+Thermostat%2C+Single+Stage+-+1+Heat%2F1+Cool&amp;qid=1695173434&amp;sr=8-7", "https://www.amazon.com/Robertshaw-Non-Programmable-Thermostat-Multi-Stage-Conventional/dp/B00U5CAN6O/ref=sr_1_7?keywords=Robertshaw+RS8110+Digital+Non-Programmable+Thermostat%2C+Single+Stage+-+1+Heat%2F1+Cool&amp;qid=1695173434&amp;sr=8-7")</f>
        <v>https://www.amazon.com/Robertshaw-Non-Programmable-Thermostat-Multi-Stage-Conventional/dp/B00U5CAN6O/ref=sr_1_7?keywords=Robertshaw+RS8110+Digital+Non-Programmable+Thermostat%2C+Single+Stage+-+1+Heat%2F1+Cool&amp;qid=1695173434&amp;sr=8-7</v>
      </c>
      <c r="F1287" t="s">
        <v>3404</v>
      </c>
      <c r="G1287" t="e">
        <f ca="1">_xludf.IMAGE("https://edmondsonsupply.com/cdn/shop/products/RS8110.jpg?v=1633031027")</f>
        <v>#NAME?</v>
      </c>
      <c r="H1287" t="e">
        <f ca="1">_xludf.IMAGE("https://m.media-amazon.com/images/I/715RZLigtNL._AC_UL320_.jpg")</f>
        <v>#NAME?</v>
      </c>
      <c r="I1287" t="s">
        <v>2464</v>
      </c>
      <c r="J1287">
        <v>45.58</v>
      </c>
      <c r="K1287" s="4">
        <v>0.38290000000000002</v>
      </c>
      <c r="L1287">
        <v>4.0999999999999996</v>
      </c>
      <c r="M1287">
        <v>20</v>
      </c>
      <c r="O1287" t="s">
        <v>25</v>
      </c>
      <c r="P1287" t="s">
        <v>2465</v>
      </c>
      <c r="Q1287" t="s">
        <v>2466</v>
      </c>
    </row>
    <row r="1288" spans="1:17" ht="15.5" x14ac:dyDescent="0.35">
      <c r="A1288" s="3" t="str">
        <f>HYPERLINK("https://edmondsonsupply.com/collections/hvac/products/nu-calgon-4300-50-rx11-flush-line-set-flushing-tool", "https://edmondsonsupply.com/collections/hvac/products/nu-calgon-4300-50-rx11-flush-line-set-flushing-tool")</f>
        <v>https://edmondsonsupply.com/collections/hvac/products/nu-calgon-4300-50-rx11-flush-line-set-flushing-tool</v>
      </c>
      <c r="B1288" s="3" t="str">
        <f>HYPERLINK("https://edmondsonsupply.com/products/nu-calgon-4300-50-rx11-flush-line-set-flushing-tool", "https://edmondsonsupply.com/products/nu-calgon-4300-50-rx11-flush-line-set-flushing-tool")</f>
        <v>https://edmondsonsupply.com/products/nu-calgon-4300-50-rx11-flush-line-set-flushing-tool</v>
      </c>
      <c r="C1288" t="s">
        <v>1432</v>
      </c>
      <c r="D1288" t="s">
        <v>3405</v>
      </c>
      <c r="E1288" s="3" t="str">
        <f>HYPERLINK("https://www.amazon.com/Nu-Calgon-2RZW9-4300-50-Rx11-Flushing/dp/B003N58OWA/ref=sr_1_2?keywords=Nu-Calgon+4300-50+Rx11-Flush+Line+Set+Flushing+Tool&amp;qid=1695173433&amp;sr=8-2", "https://www.amazon.com/Nu-Calgon-2RZW9-4300-50-Rx11-Flushing/dp/B003N58OWA/ref=sr_1_2?keywords=Nu-Calgon+4300-50+Rx11-Flush+Line+Set+Flushing+Tool&amp;qid=1695173433&amp;sr=8-2")</f>
        <v>https://www.amazon.com/Nu-Calgon-2RZW9-4300-50-Rx11-Flushing/dp/B003N58OWA/ref=sr_1_2?keywords=Nu-Calgon+4300-50+Rx11-Flush+Line+Set+Flushing+Tool&amp;qid=1695173433&amp;sr=8-2</v>
      </c>
      <c r="F1288" t="s">
        <v>3406</v>
      </c>
      <c r="G1288" t="e">
        <f ca="1">_xludf.IMAGE("https://edmondsonsupply.com/cdn/shop/products/4300-50.jpg?v=1658784510")</f>
        <v>#NAME?</v>
      </c>
      <c r="H1288" t="e">
        <f ca="1">_xludf.IMAGE("https://m.media-amazon.com/images/I/51b0-DXXLoL._AC_UL320_.jpg")</f>
        <v>#NAME?</v>
      </c>
      <c r="I1288" t="s">
        <v>1435</v>
      </c>
      <c r="J1288">
        <v>18.71</v>
      </c>
      <c r="K1288" s="4">
        <v>0.38290000000000002</v>
      </c>
      <c r="L1288">
        <v>4.8</v>
      </c>
      <c r="M1288">
        <v>9</v>
      </c>
      <c r="O1288" t="s">
        <v>25</v>
      </c>
      <c r="P1288" t="s">
        <v>1436</v>
      </c>
      <c r="Q1288" t="s">
        <v>1437</v>
      </c>
    </row>
    <row r="1289" spans="1:17" ht="15.5" x14ac:dyDescent="0.35">
      <c r="A1289" s="3" t="str">
        <f>HYPERLINK("https://edmondsonsupply.com/collections/hvac/products/cps-blackmax-bft850", "https://edmondsonsupply.com/collections/hvac/products/cps-blackmax-bft850")</f>
        <v>https://edmondsonsupply.com/collections/hvac/products/cps-blackmax-bft850</v>
      </c>
      <c r="B1289" s="3" t="str">
        <f>HYPERLINK("https://edmondsonsupply.com/products/cps-blackmax-bft850", "https://edmondsonsupply.com/products/cps-blackmax-bft850")</f>
        <v>https://edmondsonsupply.com/products/cps-blackmax-bft850</v>
      </c>
      <c r="C1289" t="s">
        <v>3407</v>
      </c>
      <c r="D1289" t="s">
        <v>3408</v>
      </c>
      <c r="E1289" s="3" t="str">
        <f>HYPERLINK("https://www.amazon.com/CPS-BFT850D-Ultra-Lightweight-Clutch-Type-Eccentric/dp/B06Y5TWHNQ/ref=sr_1_3?keywords=CPS+BlackMax%C2%AE+BFT850+Eccentric+Flaring+Tool&amp;qid=1695173697&amp;sr=8-3", "https://www.amazon.com/CPS-BFT850D-Ultra-Lightweight-Clutch-Type-Eccentric/dp/B06Y5TWHNQ/ref=sr_1_3?keywords=CPS+BlackMax%C2%AE+BFT850+Eccentric+Flaring+Tool&amp;qid=1695173697&amp;sr=8-3")</f>
        <v>https://www.amazon.com/CPS-BFT850D-Ultra-Lightweight-Clutch-Type-Eccentric/dp/B06Y5TWHNQ/ref=sr_1_3?keywords=CPS+BlackMax%C2%AE+BFT850+Eccentric+Flaring+Tool&amp;qid=1695173697&amp;sr=8-3</v>
      </c>
      <c r="F1289" t="s">
        <v>3409</v>
      </c>
      <c r="G1289" t="e">
        <f ca="1">_xludf.IMAGE("https://edmondsonsupply.com/cdn/shop/products/BFT850.jpg?v=1587147081")</f>
        <v>#NAME?</v>
      </c>
      <c r="H1289" t="e">
        <f ca="1">_xludf.IMAGE("https://m.media-amazon.com/images/I/51O8G9zDORL._AC_UL320_.jpg")</f>
        <v>#NAME?</v>
      </c>
      <c r="I1289" t="s">
        <v>3410</v>
      </c>
      <c r="J1289">
        <v>196.42</v>
      </c>
      <c r="K1289" s="4">
        <v>0.37690000000000001</v>
      </c>
      <c r="L1289">
        <v>4.5</v>
      </c>
      <c r="M1289">
        <v>13</v>
      </c>
      <c r="O1289" t="s">
        <v>25</v>
      </c>
      <c r="P1289" t="s">
        <v>3411</v>
      </c>
      <c r="Q1289" t="s">
        <v>3412</v>
      </c>
    </row>
    <row r="1290" spans="1:17" ht="15.5" x14ac:dyDescent="0.35">
      <c r="A1290"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1290"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1290" t="s">
        <v>2344</v>
      </c>
      <c r="D1290" t="s">
        <v>3413</v>
      </c>
      <c r="E1290" s="3" t="str">
        <f>HYPERLINK("https://www.amazon.com/Journeyman-T-Handle-Klein-Tools-JTH6T27/dp/B005G3B4MO/ref=sr_1_7?keywords=Klein+Tools+JTH6E14+5%2F16-Inch+Hex+Key+with+Journeyman+T-Handle%2C+6-Inch&amp;qid=1695173449&amp;sr=8-7", "https://www.amazon.com/Journeyman-T-Handle-Klein-Tools-JTH6T27/dp/B005G3B4MO/ref=sr_1_7?keywords=Klein+Tools+JTH6E14+5%2F16-Inch+Hex+Key+with+Journeyman+T-Handle%2C+6-Inch&amp;qid=1695173449&amp;sr=8-7")</f>
        <v>https://www.amazon.com/Journeyman-T-Handle-Klein-Tools-JTH6T27/dp/B005G3B4MO/ref=sr_1_7?keywords=Klein+Tools+JTH6E14+5%2F16-Inch+Hex+Key+with+Journeyman+T-Handle%2C+6-Inch&amp;qid=1695173449&amp;sr=8-7</v>
      </c>
      <c r="F1290" t="s">
        <v>3414</v>
      </c>
      <c r="G1290" t="e">
        <f ca="1">_xludf.IMAGE("https://edmondsonsupply.com/cdn/shop/products/jth6e15.jpg?v=1587148489")</f>
        <v>#NAME?</v>
      </c>
      <c r="H1290" t="e">
        <f ca="1">_xludf.IMAGE("https://m.media-amazon.com/images/I/51Xj0Vsb-EL._AC_UL320_.jpg")</f>
        <v>#NAME?</v>
      </c>
      <c r="I1290" t="s">
        <v>2347</v>
      </c>
      <c r="J1290">
        <v>9.59</v>
      </c>
      <c r="K1290" s="4">
        <v>0.372</v>
      </c>
      <c r="L1290">
        <v>4.8</v>
      </c>
      <c r="M1290">
        <v>1544</v>
      </c>
      <c r="O1290" t="s">
        <v>25</v>
      </c>
      <c r="P1290" t="s">
        <v>1140</v>
      </c>
      <c r="Q1290" t="s">
        <v>2348</v>
      </c>
    </row>
    <row r="1291" spans="1:17" ht="15.5" x14ac:dyDescent="0.35">
      <c r="A1291" s="3" t="str">
        <f>HYPERLINK("https://edmondsonsupply.com/collections/hvac/products/uei-dl429b-true-rms-digital-clamp-meter-w-wireless-and-differential-temperature", "https://edmondsonsupply.com/collections/hvac/products/uei-dl429b-true-rms-digital-clamp-meter-w-wireless-and-differential-temperature")</f>
        <v>https://edmondsonsupply.com/collections/hvac/products/uei-dl429b-true-rms-digital-clamp-meter-w-wireless-and-differential-temperature</v>
      </c>
      <c r="B1291"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1291" t="s">
        <v>2868</v>
      </c>
      <c r="D1291" t="s">
        <v>3415</v>
      </c>
      <c r="E1291" s="3" t="str">
        <f>HYPERLINK("https://www.amazon.com/UEi-Test-Instruments-DL489-Meter/dp/B076BZ9Q69/ref=sr_1_2?keywords=UEi+DL479+AC+600A+True+RMS+HVAC%2FR+Clamp+Meter&amp;qid=1695173563&amp;sr=8-2", "https://www.amazon.com/UEi-Test-Instruments-DL489-Meter/dp/B076BZ9Q69/ref=sr_1_2?keywords=UEi+DL479+AC+600A+True+RMS+HVAC%2FR+Clamp+Meter&amp;qid=1695173563&amp;sr=8-2")</f>
        <v>https://www.amazon.com/UEi-Test-Instruments-DL489-Meter/dp/B076BZ9Q69/ref=sr_1_2?keywords=UEi+DL479+AC+600A+True+RMS+HVAC%2FR+Clamp+Meter&amp;qid=1695173563&amp;sr=8-2</v>
      </c>
      <c r="F1291" t="s">
        <v>3416</v>
      </c>
      <c r="G1291" t="e">
        <f ca="1">_xludf.IMAGE("https://edmondsonsupply.com/cdn/shop/products/DL479-1.jpg?v=1587142104")</f>
        <v>#NAME?</v>
      </c>
      <c r="H1291" t="e">
        <f ca="1">_xludf.IMAGE("https://m.media-amazon.com/images/I/61mNU-6C5eL._AC_UY218_.jpg")</f>
        <v>#NAME?</v>
      </c>
      <c r="I1291" t="s">
        <v>2871</v>
      </c>
      <c r="J1291">
        <v>189.95</v>
      </c>
      <c r="K1291" s="4">
        <v>0.37140000000000001</v>
      </c>
      <c r="L1291">
        <v>4.4000000000000004</v>
      </c>
      <c r="M1291">
        <v>263</v>
      </c>
      <c r="O1291" t="s">
        <v>171</v>
      </c>
      <c r="P1291" t="s">
        <v>2872</v>
      </c>
      <c r="Q1291" t="s">
        <v>2873</v>
      </c>
    </row>
    <row r="1292" spans="1:17" ht="15.5" x14ac:dyDescent="0.35">
      <c r="A1292" s="3" t="str">
        <f>HYPERLINK("https://edmondsonsupply.com/collections/hvac/products/rectorseal-83114-ez-trap-113b-3-4-crs-trap-kit-w-brush", "https://edmondsonsupply.com/collections/hvac/products/rectorseal-83114-ez-trap-113b-3-4-crs-trap-kit-w-brush")</f>
        <v>https://edmondsonsupply.com/collections/hvac/products/rectorseal-83114-ez-trap-113b-3-4-crs-trap-kit-w-brush</v>
      </c>
      <c r="B1292" s="3" t="str">
        <f>HYPERLINK("https://edmondsonsupply.com/products/rectorseal-83114-ez-trap-113b-3-4-crs-trap-kit-w-brush", "https://edmondsonsupply.com/products/rectorseal-83114-ez-trap-113b-3-4-crs-trap-kit-w-brush")</f>
        <v>https://edmondsonsupply.com/products/rectorseal-83114-ez-trap-113b-3-4-crs-trap-kit-w-brush</v>
      </c>
      <c r="C1292" t="s">
        <v>3417</v>
      </c>
      <c r="D1292" t="s">
        <v>3418</v>
      </c>
      <c r="E1292" s="3" t="str">
        <f>HYPERLINK("https://www.amazon.com/Rectorseal-Corp-EZT113B-ECONMY-CROSS/dp/B00QW2KVRC/ref=sr_1_3?keywords=Rectorseal+83114+EZ+Trap+113B+3%2F4%22+CRS+Trap+Kit+W%2FBrush&amp;qid=1695173727&amp;sr=8-3", "https://www.amazon.com/Rectorseal-Corp-EZT113B-ECONMY-CROSS/dp/B00QW2KVRC/ref=sr_1_3?keywords=Rectorseal+83114+EZ+Trap+113B+3%2F4%22+CRS+Trap+Kit+W%2FBrush&amp;qid=1695173727&amp;sr=8-3")</f>
        <v>https://www.amazon.com/Rectorseal-Corp-EZT113B-ECONMY-CROSS/dp/B00QW2KVRC/ref=sr_1_3?keywords=Rectorseal+83114+EZ+Trap+113B+3%2F4%22+CRS+Trap+Kit+W%2FBrush&amp;qid=1695173727&amp;sr=8-3</v>
      </c>
      <c r="F1292" t="s">
        <v>3419</v>
      </c>
      <c r="G1292" t="e">
        <f ca="1">_xludf.IMAGE("https://edmondsonsupply.com/cdn/shop/files/83114.png?v=1690565153")</f>
        <v>#NAME?</v>
      </c>
      <c r="H1292" t="e">
        <f ca="1">_xludf.IMAGE("https://m.media-amazon.com/images/I/61HQhnxiV0L._AC_UL320_.jpg")</f>
        <v>#NAME?</v>
      </c>
      <c r="I1292" t="s">
        <v>332</v>
      </c>
      <c r="J1292">
        <v>30.19</v>
      </c>
      <c r="K1292" s="4">
        <v>0.371</v>
      </c>
      <c r="L1292">
        <v>5</v>
      </c>
      <c r="M1292">
        <v>4</v>
      </c>
      <c r="O1292" t="s">
        <v>25</v>
      </c>
      <c r="P1292" t="s">
        <v>138</v>
      </c>
      <c r="Q1292" t="s">
        <v>3420</v>
      </c>
    </row>
    <row r="1293" spans="1:17" ht="15.5" x14ac:dyDescent="0.35">
      <c r="A1293" s="3" t="str">
        <f>HYPERLINK("https://edmondsonsupply.com/collections/hvac/products/midwest-mwt-p6510rls-left-right-straight-offset-aviation-3-piece-set", "https://edmondsonsupply.com/collections/hvac/products/midwest-mwt-p6510rls-left-right-straight-offset-aviation-3-piece-set")</f>
        <v>https://edmondsonsupply.com/collections/hvac/products/midwest-mwt-p6510rls-left-right-straight-offset-aviation-3-piece-set</v>
      </c>
      <c r="B1293" s="3" t="str">
        <f>HYPERLINK("https://edmondsonsupply.com/products/midwest-mwt-p6510rls-left-right-straight-offset-aviation-3-piece-set", "https://edmondsonsupply.com/products/midwest-mwt-p6510rls-left-right-straight-offset-aviation-3-piece-set")</f>
        <v>https://edmondsonsupply.com/products/midwest-mwt-p6510rls-left-right-straight-offset-aviation-3-piece-set</v>
      </c>
      <c r="C1293" t="s">
        <v>3421</v>
      </c>
      <c r="D1293" t="s">
        <v>3422</v>
      </c>
      <c r="E1293" s="3" t="str">
        <f>HYPERLINK("https://www.amazon.com/MIDWEST-Aviation-Snip-Set-KUSHN-POWER/dp/B008PH12VG/ref=sr_1_1?keywords=Midwest+MWT-P6510RLS+Left%2C+Right+%26+Straight+Offset+Aviation+3-Piece+Set&amp;qid=1695173395&amp;sr=8-1", "https://www.amazon.com/MIDWEST-Aviation-Snip-Set-KUSHN-POWER/dp/B008PH12VG/ref=sr_1_1?keywords=Midwest+MWT-P6510RLS+Left%2C+Right+%26+Straight+Offset+Aviation+3-Piece+Set&amp;qid=1695173395&amp;sr=8-1")</f>
        <v>https://www.amazon.com/MIDWEST-Aviation-Snip-Set-KUSHN-POWER/dp/B008PH12VG/ref=sr_1_1?keywords=Midwest+MWT-P6510RLS+Left%2C+Right+%26+Straight+Offset+Aviation+3-Piece+Set&amp;qid=1695173395&amp;sr=8-1</v>
      </c>
      <c r="F1293" t="s">
        <v>3423</v>
      </c>
      <c r="G1293" t="e">
        <f ca="1">_xludf.IMAGE("https://edmondsonsupply.com/cdn/shop/products/MW-P6510RLS1.jpg?v=1587142617")</f>
        <v>#NAME?</v>
      </c>
      <c r="H1293" t="e">
        <f ca="1">_xludf.IMAGE("https://m.media-amazon.com/images/I/61kp6K+LchL._AC_UL320_.jpg")</f>
        <v>#NAME?</v>
      </c>
      <c r="I1293" t="s">
        <v>3424</v>
      </c>
      <c r="J1293">
        <v>97.3</v>
      </c>
      <c r="K1293" s="4">
        <v>0.37059999999999998</v>
      </c>
      <c r="L1293">
        <v>4.7</v>
      </c>
      <c r="M1293">
        <v>3425</v>
      </c>
      <c r="O1293" t="s">
        <v>25</v>
      </c>
      <c r="P1293" t="s">
        <v>3425</v>
      </c>
      <c r="Q1293" t="s">
        <v>3426</v>
      </c>
    </row>
    <row r="1294" spans="1:17" ht="15.5" x14ac:dyDescent="0.35">
      <c r="A1294" s="3" t="str">
        <f>HYPERLINK("https://edmondsonsupply.com/collections/hvac/products/channellock-804", "https://edmondsonsupply.com/collections/hvac/products/channellock-804")</f>
        <v>https://edmondsonsupply.com/collections/hvac/products/channellock-804</v>
      </c>
      <c r="B1294" s="3" t="str">
        <f>HYPERLINK("https://edmondsonsupply.com/products/channellock-804", "https://edmondsonsupply.com/products/channellock-804")</f>
        <v>https://edmondsonsupply.com/products/channellock-804</v>
      </c>
      <c r="C1294" t="s">
        <v>1551</v>
      </c>
      <c r="D1294" t="s">
        <v>3427</v>
      </c>
      <c r="E1294" s="3" t="str">
        <f>HYPERLINK("https://www.amazon.com/Channellock-804N-Adjustable-Phosphate-4-5-Inch/dp/B000REGV8Y/ref=sr_1_8?keywords=Channellock+804+4-Inch+Chrome+Adjustable+Wrench&amp;qid=1695173641&amp;sr=8-8", "https://www.amazon.com/Channellock-804N-Adjustable-Phosphate-4-5-Inch/dp/B000REGV8Y/ref=sr_1_8?keywords=Channellock+804+4-Inch+Chrome+Adjustable+Wrench&amp;qid=1695173641&amp;sr=8-8")</f>
        <v>https://www.amazon.com/Channellock-804N-Adjustable-Phosphate-4-5-Inch/dp/B000REGV8Y/ref=sr_1_8?keywords=Channellock+804+4-Inch+Chrome+Adjustable+Wrench&amp;qid=1695173641&amp;sr=8-8</v>
      </c>
      <c r="F1294" t="s">
        <v>3428</v>
      </c>
      <c r="G1294" t="e">
        <f ca="1">_xludf.IMAGE("https://edmondsonsupply.com/cdn/shop/products/804-683x1024.jpg?v=1587145853")</f>
        <v>#NAME?</v>
      </c>
      <c r="H1294" t="e">
        <f ca="1">_xludf.IMAGE("https://m.media-amazon.com/images/I/71Coqqt+FuL._AC_UL320_.jpg")</f>
        <v>#NAME?</v>
      </c>
      <c r="I1294" t="s">
        <v>1554</v>
      </c>
      <c r="J1294">
        <v>23.23</v>
      </c>
      <c r="K1294" s="4">
        <v>0.3705</v>
      </c>
      <c r="L1294">
        <v>4.7</v>
      </c>
      <c r="M1294">
        <v>518</v>
      </c>
      <c r="O1294" t="s">
        <v>25</v>
      </c>
      <c r="P1294" t="s">
        <v>1555</v>
      </c>
      <c r="Q1294" t="s">
        <v>1556</v>
      </c>
    </row>
    <row r="1295" spans="1:17" ht="15.5" x14ac:dyDescent="0.35">
      <c r="A1295" s="3" t="str">
        <f>HYPERLINK("https://edmondsonsupply.com/collections/hvac/products/jb-industries-brz1000-braze-rite-nitrogen-purging-adapter", "https://edmondsonsupply.com/collections/hvac/products/jb-industries-brz1000-braze-rite-nitrogen-purging-adapter")</f>
        <v>https://edmondsonsupply.com/collections/hvac/products/jb-industries-brz1000-braze-rite-nitrogen-purging-adapter</v>
      </c>
      <c r="B1295" s="3" t="str">
        <f>HYPERLINK("https://edmondsonsupply.com/products/jb-industries-brz1000-braze-rite-nitrogen-purging-adapter", "https://edmondsonsupply.com/products/jb-industries-brz1000-braze-rite-nitrogen-purging-adapter")</f>
        <v>https://edmondsonsupply.com/products/jb-industries-brz1000-braze-rite-nitrogen-purging-adapter</v>
      </c>
      <c r="C1295" t="s">
        <v>3429</v>
      </c>
      <c r="D1295" t="s">
        <v>3430</v>
      </c>
      <c r="E1295" s="3" t="str">
        <f>HYPERLINK("https://www.amazon.com/JB-Industries-BRZ1000-Braze-Rite-Adapter/dp/B00E1NE5WQ/ref=sr_1_1?keywords=JB+Industries+BRZ1000+Braze-Rite+Nitrogen+Purging+Adapter&amp;qid=1695173338&amp;sr=8-1", "https://www.amazon.com/JB-Industries-BRZ1000-Braze-Rite-Adapter/dp/B00E1NE5WQ/ref=sr_1_1?keywords=JB+Industries+BRZ1000+Braze-Rite+Nitrogen+Purging+Adapter&amp;qid=1695173338&amp;sr=8-1")</f>
        <v>https://www.amazon.com/JB-Industries-BRZ1000-Braze-Rite-Adapter/dp/B00E1NE5WQ/ref=sr_1_1?keywords=JB+Industries+BRZ1000+Braze-Rite+Nitrogen+Purging+Adapter&amp;qid=1695173338&amp;sr=8-1</v>
      </c>
      <c r="F1295" t="s">
        <v>3431</v>
      </c>
      <c r="G1295" t="e">
        <f ca="1">_xludf.IMAGE("https://edmondsonsupply.com/cdn/shop/products/BRZ1000-JB-Tools.png?v=1653529105")</f>
        <v>#NAME?</v>
      </c>
      <c r="H1295" t="e">
        <f ca="1">_xludf.IMAGE("https://m.media-amazon.com/images/I/31VsIy7RbfL._AC_UL320_.jpg")</f>
        <v>#NAME?</v>
      </c>
      <c r="I1295" t="s">
        <v>3432</v>
      </c>
      <c r="J1295">
        <v>51.99</v>
      </c>
      <c r="K1295" s="4">
        <v>0.36849999999999999</v>
      </c>
      <c r="L1295">
        <v>5</v>
      </c>
      <c r="M1295">
        <v>5</v>
      </c>
      <c r="O1295" t="s">
        <v>25</v>
      </c>
      <c r="P1295" t="s">
        <v>3433</v>
      </c>
      <c r="Q1295" t="s">
        <v>3434</v>
      </c>
    </row>
    <row r="1296" spans="1:17" ht="15.5" x14ac:dyDescent="0.35">
      <c r="A1296" s="3" t="str">
        <f>HYPERLINK("https://edmondsonsupply.com/collections/hvac/products/greenlee-gsb06-1-2-step-bit-6", "https://edmondsonsupply.com/collections/hvac/products/greenlee-gsb06-1-2-step-bit-6")</f>
        <v>https://edmondsonsupply.com/collections/hvac/products/greenlee-gsb06-1-2-step-bit-6</v>
      </c>
      <c r="B1296" s="3" t="str">
        <f>HYPERLINK("https://edmondsonsupply.com/products/greenlee-gsb06-1-2-step-bit-6", "https://edmondsonsupply.com/products/greenlee-gsb06-1-2-step-bit-6")</f>
        <v>https://edmondsonsupply.com/products/greenlee-gsb06-1-2-step-bit-6</v>
      </c>
      <c r="C1296" t="s">
        <v>2409</v>
      </c>
      <c r="D1296" t="s">
        <v>3245</v>
      </c>
      <c r="E1296" s="3" t="str">
        <f>HYPERLINK("https://www.amazon.com/Greenlee-GSB12-Step-Bit-1-3/dp/B08TVF7KMP/ref=sr_1_5?keywords=Greenlee+GSB06+1%2F2%22+Step+Bit+%28%236%29&amp;qid=1695173600&amp;sr=8-5", "https://www.amazon.com/Greenlee-GSB12-Step-Bit-1-3/dp/B08TVF7KMP/ref=sr_1_5?keywords=Greenlee+GSB06+1%2F2%22+Step+Bit+%28%236%29&amp;qid=1695173600&amp;sr=8-5")</f>
        <v>https://www.amazon.com/Greenlee-GSB12-Step-Bit-1-3/dp/B08TVF7KMP/ref=sr_1_5?keywords=Greenlee+GSB06+1%2F2%22+Step+Bit+%28%236%29&amp;qid=1695173600&amp;sr=8-5</v>
      </c>
      <c r="F1296" t="s">
        <v>3246</v>
      </c>
      <c r="G1296" t="e">
        <f ca="1">_xludf.IMAGE("https://edmondsonsupply.com/cdn/shop/files/GSB06_CAT1_72dpi.jpg?v=1687788659")</f>
        <v>#NAME?</v>
      </c>
      <c r="H1296" t="e">
        <f ca="1">_xludf.IMAGE("https://m.media-amazon.com/images/I/41Z8kxeeZfL._AC_UY218_.jpg")</f>
        <v>#NAME?</v>
      </c>
      <c r="I1296" t="s">
        <v>2410</v>
      </c>
      <c r="J1296">
        <v>45</v>
      </c>
      <c r="K1296" s="4">
        <v>0.36820000000000003</v>
      </c>
      <c r="L1296">
        <v>4.8</v>
      </c>
      <c r="M1296">
        <v>27</v>
      </c>
      <c r="O1296" t="s">
        <v>25</v>
      </c>
      <c r="P1296" t="s">
        <v>2411</v>
      </c>
      <c r="Q1296" t="s">
        <v>2412</v>
      </c>
    </row>
    <row r="1297" spans="1:17" ht="15.5" x14ac:dyDescent="0.35">
      <c r="A1297" s="3" t="str">
        <f>HYPERLINK("https://edmondsonsupply.com/collections/hvac/products/appion-mh380004aay-megaflow-3-8in-hose-4-ft-1-4fl-to-1-4fl-yellow", "https://edmondsonsupply.com/collections/hvac/products/appion-mh380004aay-megaflow-3-8in-hose-4-ft-1-4fl-to-1-4fl-yellow")</f>
        <v>https://edmondsonsupply.com/collections/hvac/products/appion-mh380004aay-megaflow-3-8in-hose-4-ft-1-4fl-to-1-4fl-yellow</v>
      </c>
      <c r="B1297" s="3" t="str">
        <f>HYPERLINK("https://edmondsonsupply.com/products/appion-mh380004aay-megaflow-3-8in-hose-4-ft-1-4fl-to-1-4fl-yellow", "https://edmondsonsupply.com/products/appion-mh380004aay-megaflow-3-8in-hose-4-ft-1-4fl-to-1-4fl-yellow")</f>
        <v>https://edmondsonsupply.com/products/appion-mh380004aay-megaflow-3-8in-hose-4-ft-1-4fl-to-1-4fl-yellow</v>
      </c>
      <c r="C1297" t="s">
        <v>3435</v>
      </c>
      <c r="D1297" t="s">
        <v>3159</v>
      </c>
      <c r="E1297" s="3" t="str">
        <f>HYPERLINK("https://www.amazon.com/Appion-MH380006AAY-Dia-6-foot-Yellow/dp/B072JBR98L/ref=sr_1_1?keywords=Appion+MH380004AAY+MegaFlow+3%2F8in+Hose+-+4+ft+%281%2F4FL+to+1%2F4FL%29+Yellow&amp;qid=1695173494&amp;sr=8-1", "https://www.amazon.com/Appion-MH380006AAY-Dia-6-foot-Yellow/dp/B072JBR98L/ref=sr_1_1?keywords=Appion+MH380004AAY+MegaFlow+3%2F8in+Hose+-+4+ft+%281%2F4FL+to+1%2F4FL%29+Yellow&amp;qid=1695173494&amp;sr=8-1")</f>
        <v>https://www.amazon.com/Appion-MH380006AAY-Dia-6-foot-Yellow/dp/B072JBR98L/ref=sr_1_1?keywords=Appion+MH380004AAY+MegaFlow+3%2F8in+Hose+-+4+ft+%281%2F4FL+to+1%2F4FL%29+Yellow&amp;qid=1695173494&amp;sr=8-1</v>
      </c>
      <c r="F1297" t="s">
        <v>3160</v>
      </c>
      <c r="G1297" t="e">
        <f ca="1">_xludf.IMAGE("https://edmondsonsupply.com/cdn/shop/products/MH380004AAY_MHH_1080.png?v=1678407092")</f>
        <v>#NAME?</v>
      </c>
      <c r="H1297" t="e">
        <f ca="1">_xludf.IMAGE("https://m.media-amazon.com/images/I/51N9D8MncgL._AC_UY218_.jpg")</f>
        <v>#NAME?</v>
      </c>
      <c r="I1297" t="s">
        <v>3436</v>
      </c>
      <c r="J1297">
        <v>65.59</v>
      </c>
      <c r="K1297" s="4">
        <v>0.36670000000000003</v>
      </c>
      <c r="L1297">
        <v>4.4000000000000004</v>
      </c>
      <c r="M1297">
        <v>33</v>
      </c>
      <c r="O1297" t="s">
        <v>25</v>
      </c>
      <c r="P1297" t="s">
        <v>905</v>
      </c>
      <c r="Q1297" t="s">
        <v>3437</v>
      </c>
    </row>
    <row r="1298" spans="1:17" ht="15.5" x14ac:dyDescent="0.35">
      <c r="A1298"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298" s="3" t="str">
        <f>HYPERLINK("https://edmondsonsupply.com/products/klein-tools-646-1-4-1-4-inch-nut-driver-with-6-inch-hollow-shaft", "https://edmondsonsupply.com/products/klein-tools-646-1-4-1-4-inch-nut-driver-with-6-inch-hollow-shaft")</f>
        <v>https://edmondsonsupply.com/products/klein-tools-646-1-4-1-4-inch-nut-driver-with-6-inch-hollow-shaft</v>
      </c>
      <c r="C1298" t="s">
        <v>1478</v>
      </c>
      <c r="D1298" t="s">
        <v>3438</v>
      </c>
      <c r="E1298" s="3" t="str">
        <f>HYPERLINK("https://www.amazon.com/4-Inch-Magnetic-Cushion-Klein-Tools/dp/B01D6DZRFA/ref=sr_1_6?keywords=Klein+Tools+646-1%2F4+1%2F4-Inch+Nut+Driver+with+6-Inch+Hollow+Shaft&amp;qid=1695173548&amp;sr=8-6", "https://www.amazon.com/4-Inch-Magnetic-Cushion-Klein-Tools/dp/B01D6DZRFA/ref=sr_1_6?keywords=Klein+Tools+646-1%2F4+1%2F4-Inch+Nut+Driver+with+6-Inch+Hollow+Shaft&amp;qid=1695173548&amp;sr=8-6")</f>
        <v>https://www.amazon.com/4-Inch-Magnetic-Cushion-Klein-Tools/dp/B01D6DZRFA/ref=sr_1_6?keywords=Klein+Tools+646-1%2F4+1%2F4-Inch+Nut+Driver+with+6-Inch+Hollow+Shaft&amp;qid=1695173548&amp;sr=8-6</v>
      </c>
      <c r="F1298" t="s">
        <v>3439</v>
      </c>
      <c r="G1298" t="e">
        <f ca="1">_xludf.IMAGE("https://edmondsonsupply.com/cdn/shop/products/646-1-2_08d87fa9-eac4-4869-8d3b-bb680d4b1d53.jpg?v=1587150676")</f>
        <v>#NAME?</v>
      </c>
      <c r="H1298" t="e">
        <f ca="1">_xludf.IMAGE("https://m.media-amazon.com/images/I/41DrStZKvjL._AC_UL320_.jpg")</f>
        <v>#NAME?</v>
      </c>
      <c r="I1298" t="s">
        <v>1003</v>
      </c>
      <c r="J1298">
        <v>10.91</v>
      </c>
      <c r="K1298" s="4">
        <v>0.36549999999999999</v>
      </c>
      <c r="L1298">
        <v>4.7</v>
      </c>
      <c r="M1298">
        <v>971</v>
      </c>
      <c r="O1298" t="s">
        <v>25</v>
      </c>
      <c r="P1298" t="s">
        <v>1481</v>
      </c>
      <c r="Q1298" t="s">
        <v>1482</v>
      </c>
    </row>
    <row r="1299" spans="1:17" ht="15.5" x14ac:dyDescent="0.35">
      <c r="A1299" s="3" t="str">
        <f>HYPERLINK("https://edmondsonsupply.com/collections/hvac/products/ritchie-yellow-jacket-78060-gas-pressure-test-kit-0-35-w-c", "https://edmondsonsupply.com/collections/hvac/products/ritchie-yellow-jacket-78060-gas-pressure-test-kit-0-35-w-c")</f>
        <v>https://edmondsonsupply.com/collections/hvac/products/ritchie-yellow-jacket-78060-gas-pressure-test-kit-0-35-w-c</v>
      </c>
      <c r="B1299" s="3" t="str">
        <f>HYPERLINK("https://edmondsonsupply.com/products/ritchie-yellow-jacket-78060-gas-pressure-test-kit-0-35-w-c", "https://edmondsonsupply.com/products/ritchie-yellow-jacket-78060-gas-pressure-test-kit-0-35-w-c")</f>
        <v>https://edmondsonsupply.com/products/ritchie-yellow-jacket-78060-gas-pressure-test-kit-0-35-w-c</v>
      </c>
      <c r="C1299" t="s">
        <v>3440</v>
      </c>
      <c r="D1299" t="s">
        <v>3441</v>
      </c>
      <c r="E1299" s="3" t="str">
        <f>HYPERLINK("https://www.amazon.com/YELLOW-JACKET-78055-Complete-Pressure/dp/B007PBCXFW/ref=sr_1_6?keywords=Yellow+Jacket+78060+Gas+Pressure+Test+Kit+-+0-35%22+W.C.&amp;qid=1695173392&amp;sr=8-6", "https://www.amazon.com/YELLOW-JACKET-78055-Complete-Pressure/dp/B007PBCXFW/ref=sr_1_6?keywords=Yellow+Jacket+78060+Gas+Pressure+Test+Kit+-+0-35%22+W.C.&amp;qid=1695173392&amp;sr=8-6")</f>
        <v>https://www.amazon.com/YELLOW-JACKET-78055-Complete-Pressure/dp/B007PBCXFW/ref=sr_1_6?keywords=Yellow+Jacket+78060+Gas+Pressure+Test+Kit+-+0-35%22+W.C.&amp;qid=1695173392&amp;sr=8-6</v>
      </c>
      <c r="F1299" t="s">
        <v>3442</v>
      </c>
      <c r="G1299" t="e">
        <f ca="1">_xludf.IMAGE("https://edmondsonsupply.com/cdn/shop/products/gas-pressure-test-kit.jpg?v=1633030027")</f>
        <v>#NAME?</v>
      </c>
      <c r="H1299" t="e">
        <f ca="1">_xludf.IMAGE("https://m.media-amazon.com/images/I/51s+x2RRzDL._AC_UY218_.jpg")</f>
        <v>#NAME?</v>
      </c>
      <c r="I1299" t="s">
        <v>3443</v>
      </c>
      <c r="J1299">
        <v>98.79</v>
      </c>
      <c r="K1299" s="4">
        <v>0.3654</v>
      </c>
      <c r="L1299">
        <v>4.5999999999999996</v>
      </c>
      <c r="M1299">
        <v>3</v>
      </c>
      <c r="O1299" t="s">
        <v>25</v>
      </c>
      <c r="P1299" t="s">
        <v>138</v>
      </c>
      <c r="Q1299" t="s">
        <v>3444</v>
      </c>
    </row>
    <row r="1300" spans="1:17" ht="15.5" x14ac:dyDescent="0.35">
      <c r="A1300" s="3" t="str">
        <f>HYPERLINK("https://edmondsonsupply.com/collections/hvac/products/hilmor-1890999-cbrbm-compact-bender-reverse-bending-mandrel-attachment", "https://edmondsonsupply.com/collections/hvac/products/hilmor-1890999-cbrbm-compact-bender-reverse-bending-mandrel-attachment")</f>
        <v>https://edmondsonsupply.com/collections/hvac/products/hilmor-1890999-cbrbm-compact-bender-reverse-bending-mandrel-attachment</v>
      </c>
      <c r="B1300" s="3" t="str">
        <f>HYPERLINK("https://edmondsonsupply.com/products/hilmor-1890999-cbrbm-compact-bender-reverse-bending-mandrel-attachment", "https://edmondsonsupply.com/products/hilmor-1890999-cbrbm-compact-bender-reverse-bending-mandrel-attachment")</f>
        <v>https://edmondsonsupply.com/products/hilmor-1890999-cbrbm-compact-bender-reverse-bending-mandrel-attachment</v>
      </c>
      <c r="C1300" t="s">
        <v>3445</v>
      </c>
      <c r="D1300" t="s">
        <v>3446</v>
      </c>
      <c r="E1300" s="3" t="str">
        <f>HYPERLINK("https://www.amazon.com/hilmor-Reverse-Bending-Attachment-189099/dp/B00X9BJPWQ/ref=sr_1_1?keywords=Hilmor+1890999+CBRBM+Compact+Bender+Reverse+Bending+Mandrel+Attachment&amp;qid=1695173566&amp;sr=8-1", "https://www.amazon.com/hilmor-Reverse-Bending-Attachment-189099/dp/B00X9BJPWQ/ref=sr_1_1?keywords=Hilmor+1890999+CBRBM+Compact+Bender+Reverse+Bending+Mandrel+Attachment&amp;qid=1695173566&amp;sr=8-1")</f>
        <v>https://www.amazon.com/hilmor-Reverse-Bending-Attachment-189099/dp/B00X9BJPWQ/ref=sr_1_1?keywords=Hilmor+1890999+CBRBM+Compact+Bender+Reverse+Bending+Mandrel+Attachment&amp;qid=1695173566&amp;sr=8-1</v>
      </c>
      <c r="F1300" t="s">
        <v>3447</v>
      </c>
      <c r="G1300" t="e">
        <f ca="1">_xludf.IMAGE("https://edmondsonsupply.com/cdn/shop/products/1890999-O1.jpg?v=1587150743")</f>
        <v>#NAME?</v>
      </c>
      <c r="H1300" t="e">
        <f ca="1">_xludf.IMAGE("https://m.media-amazon.com/images/I/61QKj4HWk3L._AC_UL320_.jpg")</f>
        <v>#NAME?</v>
      </c>
      <c r="I1300" t="s">
        <v>3448</v>
      </c>
      <c r="J1300">
        <v>103.24</v>
      </c>
      <c r="K1300" s="4">
        <v>0.36399999999999999</v>
      </c>
      <c r="L1300">
        <v>4.7</v>
      </c>
      <c r="M1300">
        <v>199</v>
      </c>
      <c r="O1300" t="s">
        <v>25</v>
      </c>
      <c r="P1300" t="s">
        <v>3449</v>
      </c>
      <c r="Q1300" t="s">
        <v>3450</v>
      </c>
    </row>
    <row r="1301" spans="1:17" ht="15.5" x14ac:dyDescent="0.35">
      <c r="A1301" s="3" t="str">
        <f>HYPERLINK("https://edmondsonsupply.com/collections/hvac/products/packard-titan-pro-trcd305-run-capacitor-30-5-mfd-370-volt-round", "https://edmondsonsupply.com/collections/hvac/products/packard-titan-pro-trcd305-run-capacitor-30-5-mfd-370-volt-round")</f>
        <v>https://edmondsonsupply.com/collections/hvac/products/packard-titan-pro-trcd305-run-capacitor-30-5-mfd-370-volt-round</v>
      </c>
      <c r="B1301" s="3" t="str">
        <f>HYPERLINK("https://edmondsonsupply.com/products/packard-titan-pro-trcd305-run-capacitor-30-5-mfd-370-volt-round", "https://edmondsonsupply.com/products/packard-titan-pro-trcd305-run-capacitor-30-5-mfd-370-volt-round")</f>
        <v>https://edmondsonsupply.com/products/packard-titan-pro-trcd305-run-capacitor-30-5-mfd-370-volt-round</v>
      </c>
      <c r="C1301" t="s">
        <v>2199</v>
      </c>
      <c r="D1301" t="s">
        <v>3188</v>
      </c>
      <c r="E1301" s="3" t="str">
        <f>HYPERLINK("https://www.amazon.com/Titan-TRCFD305-Rated-Motor-Capacitor/dp/B01IC22Q5Y/ref=sr_1_3?keywords=Packard+Titan+PRO+TRCD305+Run+Capacitor+30+5+MFD+370+Volt+Round&amp;qid=1695173636&amp;sr=8-3", "https://www.amazon.com/Titan-TRCFD305-Rated-Motor-Capacitor/dp/B01IC22Q5Y/ref=sr_1_3?keywords=Packard+Titan+PRO+TRCD305+Run+Capacitor+30+5+MFD+370+Volt+Round&amp;qid=1695173636&amp;sr=8-3")</f>
        <v>https://www.amazon.com/Titan-TRCFD305-Rated-Motor-Capacitor/dp/B01IC22Q5Y/ref=sr_1_3?keywords=Packard+Titan+PRO+TRCD305+Run+Capacitor+30+5+MFD+370+Volt+Round&amp;qid=1695173636&amp;sr=8-3</v>
      </c>
      <c r="F1301" t="s">
        <v>3189</v>
      </c>
      <c r="G1301" t="e">
        <f ca="1">_xludf.IMAGE("https://edmondsonsupply.com/cdn/shop/products/TRCD305-2.jpg?v=1633030487")</f>
        <v>#NAME?</v>
      </c>
      <c r="H1301" t="e">
        <f ca="1">_xludf.IMAGE("https://m.media-amazon.com/images/I/61ZOaIfuaxL._AC_UY218_.jpg")</f>
        <v>#NAME?</v>
      </c>
      <c r="I1301" t="s">
        <v>2202</v>
      </c>
      <c r="J1301">
        <v>10.76</v>
      </c>
      <c r="K1301" s="4">
        <v>0.35859999999999997</v>
      </c>
      <c r="L1301">
        <v>4.5999999999999996</v>
      </c>
      <c r="M1301">
        <v>100</v>
      </c>
      <c r="O1301" t="s">
        <v>25</v>
      </c>
      <c r="P1301" t="s">
        <v>138</v>
      </c>
      <c r="Q1301" t="s">
        <v>2203</v>
      </c>
    </row>
    <row r="1302" spans="1:17" ht="15.5" x14ac:dyDescent="0.35">
      <c r="A1302" s="3" t="str">
        <f>HYPERLINK("https://edmondsonsupply.com/collections/hvac/products/packard-titan-pro-trcfd605-run-capacitor-60-5-mfd-440-370-volt-round", "https://edmondsonsupply.com/collections/hvac/products/packard-titan-pro-trcfd605-run-capacitor-60-5-mfd-440-370-volt-round")</f>
        <v>https://edmondsonsupply.com/collections/hvac/products/packard-titan-pro-trcfd605-run-capacitor-60-5-mfd-440-370-volt-round</v>
      </c>
      <c r="B1302" s="3" t="str">
        <f>HYPERLINK("https://edmondsonsupply.com/products/packard-titan-pro-trcfd605-run-capacitor-60-5-mfd-440-370-volt-round", "https://edmondsonsupply.com/products/packard-titan-pro-trcfd605-run-capacitor-60-5-mfd-440-370-volt-round")</f>
        <v>https://edmondsonsupply.com/products/packard-titan-pro-trcfd605-run-capacitor-60-5-mfd-440-370-volt-round</v>
      </c>
      <c r="C1302" t="s">
        <v>3451</v>
      </c>
      <c r="D1302" t="s">
        <v>3452</v>
      </c>
      <c r="E1302" s="3" t="str">
        <f>HYPERLINK("https://www.amazon.com/Titan-TRCFD605-Rated-Motor-Capacitor/dp/B01HPK9YMM/ref=sr_1_3?keywords=Packard+TRCFD605+Titan+PRO+Run+Capacitor+60%2B5+MFD+440%2F370+Volt+Round&amp;qid=1695173488&amp;sr=8-3", "https://www.amazon.com/Titan-TRCFD605-Rated-Motor-Capacitor/dp/B01HPK9YMM/ref=sr_1_3?keywords=Packard+TRCFD605+Titan+PRO+Run+Capacitor+60%2B5+MFD+440%2F370+Volt+Round&amp;qid=1695173488&amp;sr=8-3")</f>
        <v>https://www.amazon.com/Titan-TRCFD605-Rated-Motor-Capacitor/dp/B01HPK9YMM/ref=sr_1_3?keywords=Packard+TRCFD605+Titan+PRO+Run+Capacitor+60%2B5+MFD+440%2F370+Volt+Round&amp;qid=1695173488&amp;sr=8-3</v>
      </c>
      <c r="F1302" t="s">
        <v>3453</v>
      </c>
      <c r="G1302" t="e">
        <f ca="1">_xludf.IMAGE("https://edmondsonsupply.com/cdn/shop/products/61bb567904cdd692881387_jpeg.webp?v=1655427971")</f>
        <v>#NAME?</v>
      </c>
      <c r="H1302" t="e">
        <f ca="1">_xludf.IMAGE("https://m.media-amazon.com/images/I/71Sf6Ke3XZL._AC_UY218_.jpg")</f>
        <v>#NAME?</v>
      </c>
      <c r="I1302" t="s">
        <v>3454</v>
      </c>
      <c r="J1302">
        <v>18.32</v>
      </c>
      <c r="K1302" s="4">
        <v>0.35799999999999998</v>
      </c>
      <c r="L1302">
        <v>4.5</v>
      </c>
      <c r="M1302">
        <v>39</v>
      </c>
      <c r="O1302" t="s">
        <v>25</v>
      </c>
      <c r="P1302" t="s">
        <v>138</v>
      </c>
      <c r="Q1302" t="s">
        <v>3455</v>
      </c>
    </row>
    <row r="1303" spans="1:17" ht="15.5" x14ac:dyDescent="0.35">
      <c r="A1303" s="3" t="str">
        <f>HYPERLINK("https://edmondsonsupply.com/collections/hvac/products/yellow-jacket-78080-2-gas-test-gauge-3-4-npt-0-30-lb", "https://edmondsonsupply.com/collections/hvac/products/yellow-jacket-78080-2-gas-test-gauge-3-4-npt-0-30-lb")</f>
        <v>https://edmondsonsupply.com/collections/hvac/products/yellow-jacket-78080-2-gas-test-gauge-3-4-npt-0-30-lb</v>
      </c>
      <c r="B1303" s="3" t="str">
        <f>HYPERLINK("https://edmondsonsupply.com/products/yellow-jacket-78080-2-gas-test-gauge-3-4-npt-0-30-lb", "https://edmondsonsupply.com/products/yellow-jacket-78080-2-gas-test-gauge-3-4-npt-0-30-lb")</f>
        <v>https://edmondsonsupply.com/products/yellow-jacket-78080-2-gas-test-gauge-3-4-npt-0-30-lb</v>
      </c>
      <c r="C1303" t="s">
        <v>3456</v>
      </c>
      <c r="D1303" t="s">
        <v>3457</v>
      </c>
      <c r="E1303" s="3" t="str">
        <f>HYPERLINK("https://www.amazon.com/Yellow-Jacket-78088-Test-0-30/dp/B0039X2LPM/ref=sr_1_2?keywords=Yellow+Jacket+78080+2+Gas+Test+Gauge+-+3%2F4+NPT+-+0-30+lb&amp;qid=1695173525&amp;sr=8-2", "https://www.amazon.com/Yellow-Jacket-78088-Test-0-30/dp/B0039X2LPM/ref=sr_1_2?keywords=Yellow+Jacket+78080+2+Gas+Test+Gauge+-+3%2F4+NPT+-+0-30+lb&amp;qid=1695173525&amp;sr=8-2")</f>
        <v>https://www.amazon.com/Yellow-Jacket-78088-Test-0-30/dp/B0039X2LPM/ref=sr_1_2?keywords=Yellow+Jacket+78080+2+Gas+Test+Gauge+-+3%2F4+NPT+-+0-30+lb&amp;qid=1695173525&amp;sr=8-2</v>
      </c>
      <c r="F1303" t="s">
        <v>3458</v>
      </c>
      <c r="G1303" t="e">
        <f ca="1">_xludf.IMAGE("https://edmondsonsupply.com/cdn/shop/products/57_2.jpg?v=1633030928")</f>
        <v>#NAME?</v>
      </c>
      <c r="H1303" t="e">
        <f ca="1">_xludf.IMAGE("https://m.media-amazon.com/images/I/41+QsMSJfqL._AC_UY218_.jpg")</f>
        <v>#NAME?</v>
      </c>
      <c r="I1303" t="s">
        <v>3459</v>
      </c>
      <c r="J1303">
        <v>41.7</v>
      </c>
      <c r="K1303" s="4">
        <v>0.35389999999999999</v>
      </c>
      <c r="L1303">
        <v>5</v>
      </c>
      <c r="M1303">
        <v>2</v>
      </c>
      <c r="O1303" t="s">
        <v>25</v>
      </c>
      <c r="P1303" t="s">
        <v>138</v>
      </c>
      <c r="Q1303" t="s">
        <v>3460</v>
      </c>
    </row>
    <row r="1304" spans="1:17" ht="15.5" x14ac:dyDescent="0.35">
      <c r="A1304" s="3" t="str">
        <f>HYPERLINK("https://edmondsonsupply.com/collections/hvac/products/esp-brt10-board-removal-tool", "https://edmondsonsupply.com/collections/hvac/products/esp-brt10-board-removal-tool")</f>
        <v>https://edmondsonsupply.com/collections/hvac/products/esp-brt10-board-removal-tool</v>
      </c>
      <c r="B1304" s="3" t="str">
        <f>HYPERLINK("https://edmondsonsupply.com/products/esp-brt10-board-removal-tool", "https://edmondsonsupply.com/products/esp-brt10-board-removal-tool")</f>
        <v>https://edmondsonsupply.com/products/esp-brt10-board-removal-tool</v>
      </c>
      <c r="C1304" t="s">
        <v>3461</v>
      </c>
      <c r="D1304" t="s">
        <v>3462</v>
      </c>
      <c r="E1304" s="3" t="str">
        <f>HYPERLINK("https://www.amazon.com/Supplying-Demand-BRT10-Circuit-Removal/dp/B0BLTFBMBQ/ref=sr_1_1?keywords=ESP+BRT10+Board+Removal+Tool&amp;qid=1695173382&amp;sr=8-1", "https://www.amazon.com/Supplying-Demand-BRT10-Circuit-Removal/dp/B0BLTFBMBQ/ref=sr_1_1?keywords=ESP+BRT10+Board+Removal+Tool&amp;qid=1695173382&amp;sr=8-1")</f>
        <v>https://www.amazon.com/Supplying-Demand-BRT10-Circuit-Removal/dp/B0BLTFBMBQ/ref=sr_1_1?keywords=ESP+BRT10+Board+Removal+Tool&amp;qid=1695173382&amp;sr=8-1</v>
      </c>
      <c r="F1304" t="s">
        <v>3463</v>
      </c>
      <c r="G1304" t="e">
        <f ca="1">_xludf.IMAGE("https://edmondsonsupply.com/cdn/shop/products/brt10_lg_2.jpg?v=1633030638")</f>
        <v>#NAME?</v>
      </c>
      <c r="H1304" t="e">
        <f ca="1">_xludf.IMAGE("https://m.media-amazon.com/images/I/61yE+HJgaiL._AC_UY218_.jpg")</f>
        <v>#NAME?</v>
      </c>
      <c r="I1304" t="s">
        <v>3464</v>
      </c>
      <c r="J1304">
        <v>17.989999999999998</v>
      </c>
      <c r="K1304" s="4">
        <v>0.35260000000000002</v>
      </c>
      <c r="L1304">
        <v>4</v>
      </c>
      <c r="M1304">
        <v>4</v>
      </c>
      <c r="O1304" t="s">
        <v>25</v>
      </c>
      <c r="P1304" t="s">
        <v>138</v>
      </c>
      <c r="Q1304" t="s">
        <v>3465</v>
      </c>
    </row>
    <row r="1305" spans="1:17" ht="15.5" x14ac:dyDescent="0.35">
      <c r="A1305" s="3" t="str">
        <f>HYPERLINK("https://edmondsonsupply.com/collections/hvac/products/robertshaw-41-414-hot-surface-furnace-ignitor-carbide", "https://edmondsonsupply.com/collections/hvac/products/robertshaw-41-414-hot-surface-furnace-ignitor-carbide")</f>
        <v>https://edmondsonsupply.com/collections/hvac/products/robertshaw-41-414-hot-surface-furnace-ignitor-carbide</v>
      </c>
      <c r="B1305" s="3" t="str">
        <f>HYPERLINK("https://edmondsonsupply.com/products/robertshaw-41-414-hot-surface-furnace-ignitor-carbide", "https://edmondsonsupply.com/products/robertshaw-41-414-hot-surface-furnace-ignitor-carbide")</f>
        <v>https://edmondsonsupply.com/products/robertshaw-41-414-hot-surface-furnace-ignitor-carbide</v>
      </c>
      <c r="C1305" t="s">
        <v>2623</v>
      </c>
      <c r="D1305" t="s">
        <v>3466</v>
      </c>
      <c r="E1305" s="3" t="str">
        <f>HYPERLINK("https://www.amazon.com/Robertshaw-41-412-Surface-5-25-Inch-Wire-951364/dp/B004XL3E9Q/ref=sr_1_2?keywords=Robertshaw+41-414+Hot+Surface+Furnace+Ignitor+%28Carbide%29&amp;qid=1695173723&amp;sr=8-2", "https://www.amazon.com/Robertshaw-41-412-Surface-5-25-Inch-Wire-951364/dp/B004XL3E9Q/ref=sr_1_2?keywords=Robertshaw+41-414+Hot+Surface+Furnace+Ignitor+%28Carbide%29&amp;qid=1695173723&amp;sr=8-2")</f>
        <v>https://www.amazon.com/Robertshaw-41-412-Surface-5-25-Inch-Wire-951364/dp/B004XL3E9Q/ref=sr_1_2?keywords=Robertshaw+41-414+Hot+Surface+Furnace+Ignitor+%28Carbide%29&amp;qid=1695173723&amp;sr=8-2</v>
      </c>
      <c r="F1305" t="s">
        <v>3467</v>
      </c>
      <c r="G1305" t="e">
        <f ca="1">_xludf.IMAGE("https://edmondsonsupply.com/cdn/shop/files/41-414.jpg?v=1691509200")</f>
        <v>#NAME?</v>
      </c>
      <c r="H1305" t="e">
        <f ca="1">_xludf.IMAGE("https://m.media-amazon.com/images/I/31xuPdl-sZL._AC_UL320_.jpg")</f>
        <v>#NAME?</v>
      </c>
      <c r="I1305" t="s">
        <v>2626</v>
      </c>
      <c r="J1305">
        <v>24.45</v>
      </c>
      <c r="K1305" s="4">
        <v>0.3523</v>
      </c>
      <c r="L1305">
        <v>5</v>
      </c>
      <c r="M1305">
        <v>2</v>
      </c>
      <c r="O1305" t="s">
        <v>25</v>
      </c>
      <c r="P1305" t="s">
        <v>138</v>
      </c>
      <c r="Q1305" t="s">
        <v>2627</v>
      </c>
    </row>
    <row r="1306" spans="1:17" ht="15.5" x14ac:dyDescent="0.35">
      <c r="A1306" s="3" t="str">
        <f>HYPERLINK("https://edmondsonsupply.com/collections/hvac/products/rack-a-tiers-47002-crocs-jr-needle-nose-wire-strippers", "https://edmondsonsupply.com/collections/hvac/products/rack-a-tiers-47002-crocs-jr-needle-nose-wire-strippers")</f>
        <v>https://edmondsonsupply.com/collections/hvac/products/rack-a-tiers-47002-crocs-jr-needle-nose-wire-strippers</v>
      </c>
      <c r="B1306" s="3" t="str">
        <f>HYPERLINK("https://edmondsonsupply.com/products/rack-a-tiers-47002-crocs-jr-needle-nose-wire-strippers", "https://edmondsonsupply.com/products/rack-a-tiers-47002-crocs-jr-needle-nose-wire-strippers")</f>
        <v>https://edmondsonsupply.com/products/rack-a-tiers-47002-crocs-jr-needle-nose-wire-strippers</v>
      </c>
      <c r="C1306" t="s">
        <v>3468</v>
      </c>
      <c r="D1306" t="s">
        <v>3469</v>
      </c>
      <c r="E1306" s="3" t="str">
        <f>HYPERLINK("https://www.amazon.com/Rack-Tiers-47000-Needle-Strippers/dp/B0087TBQ3G/ref=sr_1_2?keywords=Rack-A-Tiers+47002+Croc%27s+Jr.+Needle+Nose+Wire+Strippers&amp;qid=1695173457&amp;sr=8-2", "https://www.amazon.com/Rack-Tiers-47000-Needle-Strippers/dp/B0087TBQ3G/ref=sr_1_2?keywords=Rack-A-Tiers+47002+Croc%27s+Jr.+Needle+Nose+Wire+Strippers&amp;qid=1695173457&amp;sr=8-2")</f>
        <v>https://www.amazon.com/Rack-Tiers-47000-Needle-Strippers/dp/B0087TBQ3G/ref=sr_1_2?keywords=Rack-A-Tiers+47002+Croc%27s+Jr.+Needle+Nose+Wire+Strippers&amp;qid=1695173457&amp;sr=8-2</v>
      </c>
      <c r="F1306" t="s">
        <v>3470</v>
      </c>
      <c r="G1306" t="e">
        <f ca="1">_xludf.IMAGE("https://edmondsonsupply.com/cdn/shop/products/47002-Crocs-Jr-2-1-1-1.png?v=1587142280")</f>
        <v>#NAME?</v>
      </c>
      <c r="H1306" t="e">
        <f ca="1">_xludf.IMAGE("https://m.media-amazon.com/images/I/51fMweVpbYL._AC_UL320_.jpg")</f>
        <v>#NAME?</v>
      </c>
      <c r="I1306" t="s">
        <v>3471</v>
      </c>
      <c r="J1306">
        <v>30.4</v>
      </c>
      <c r="K1306" s="4">
        <v>0.35170000000000001</v>
      </c>
      <c r="L1306">
        <v>4.5999999999999996</v>
      </c>
      <c r="M1306">
        <v>507</v>
      </c>
      <c r="O1306" t="s">
        <v>25</v>
      </c>
      <c r="P1306" t="s">
        <v>3472</v>
      </c>
      <c r="Q1306" t="s">
        <v>3473</v>
      </c>
    </row>
    <row r="1307" spans="1:17" ht="15.5" x14ac:dyDescent="0.35">
      <c r="A1307" s="3" t="str">
        <f>HYPERLINK("https://edmondsonsupply.com/collections/hvac/products/channellock-431", "https://edmondsonsupply.com/collections/hvac/products/channellock-431")</f>
        <v>https://edmondsonsupply.com/collections/hvac/products/channellock-431</v>
      </c>
      <c r="B1307" s="3" t="str">
        <f>HYPERLINK("https://edmondsonsupply.com/products/channellock-431", "https://edmondsonsupply.com/products/channellock-431")</f>
        <v>https://edmondsonsupply.com/products/channellock-431</v>
      </c>
      <c r="C1307" t="s">
        <v>3341</v>
      </c>
      <c r="D1307" t="s">
        <v>3474</v>
      </c>
      <c r="E1307" s="3" t="str">
        <f>HYPERLINK("https://www.amazon.com/CHANNELLOCK-430X-10-inch-SPEEDGRIP-Straight/dp/B07P42JFMG/ref=sr_1_3?keywords=Channellock+432+10-Inch+V-Jaw+Tongue+%26+Groove+Pliers&amp;qid=1695173686&amp;sr=8-3", "https://www.amazon.com/CHANNELLOCK-430X-10-inch-SPEEDGRIP-Straight/dp/B07P42JFMG/ref=sr_1_3?keywords=Channellock+432+10-Inch+V-Jaw+Tongue+%26+Groove+Pliers&amp;qid=1695173686&amp;sr=8-3")</f>
        <v>https://www.amazon.com/CHANNELLOCK-430X-10-inch-SPEEDGRIP-Straight/dp/B07P42JFMG/ref=sr_1_3?keywords=Channellock+432+10-Inch+V-Jaw+Tongue+%26+Groove+Pliers&amp;qid=1695173686&amp;sr=8-3</v>
      </c>
      <c r="F1307" t="s">
        <v>3475</v>
      </c>
      <c r="G1307" t="e">
        <f ca="1">_xludf.IMAGE("https://edmondsonsupply.com/cdn/shop/products/432-683x1024.jpg?v=1587147134")</f>
        <v>#NAME?</v>
      </c>
      <c r="H1307" t="e">
        <f ca="1">_xludf.IMAGE("https://m.media-amazon.com/images/I/71xwTtkFcHL._AC_UL320_.jpg")</f>
        <v>#NAME?</v>
      </c>
      <c r="I1307" t="s">
        <v>488</v>
      </c>
      <c r="J1307">
        <v>26.95</v>
      </c>
      <c r="K1307" s="4">
        <v>0.35089999999999999</v>
      </c>
      <c r="L1307">
        <v>4.4000000000000004</v>
      </c>
      <c r="M1307">
        <v>578</v>
      </c>
      <c r="O1307" t="s">
        <v>25</v>
      </c>
      <c r="P1307" t="s">
        <v>3344</v>
      </c>
      <c r="Q1307" t="s">
        <v>3345</v>
      </c>
    </row>
    <row r="1308" spans="1:17" ht="15.5" x14ac:dyDescent="0.35">
      <c r="A1308"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1308" s="3" t="str">
        <f>HYPERLINK("https://edmondsonsupply.com/products/klein-tools-5141-canvas-bag-4-pk-brown-black-gray-red", "https://edmondsonsupply.com/products/klein-tools-5141-canvas-bag-4-pk-brown-black-gray-red")</f>
        <v>https://edmondsonsupply.com/products/klein-tools-5141-canvas-bag-4-pk-brown-black-gray-red</v>
      </c>
      <c r="C1308" t="s">
        <v>243</v>
      </c>
      <c r="D1308" t="s">
        <v>274</v>
      </c>
      <c r="E1308" s="3" t="str">
        <f>HYPERLINK("https://www.amazon.com/Klein-Tools-Stand-Up-Carabiners-14-Inch/dp/B0BKQ9CM13/ref=sr_1_3?keywords=Klein+Tools+5141+Zipper+Bags%2C+Canvas+Tool+Pouches+Brown%2FBlack%2FGray%2FRed%2C+4-Pack&amp;qid=1695173635&amp;sr=8-3", "https://www.amazon.com/Klein-Tools-Stand-Up-Carabiners-14-Inch/dp/B0BKQ9CM13/ref=sr_1_3?keywords=Klein+Tools+5141+Zipper+Bags%2C+Canvas+Tool+Pouches+Brown%2FBlack%2FGray%2FRed%2C+4-Pack&amp;qid=1695173635&amp;sr=8-3")</f>
        <v>https://www.amazon.com/Klein-Tools-Stand-Up-Carabiners-14-Inch/dp/B0BKQ9CM13/ref=sr_1_3?keywords=Klein+Tools+5141+Zipper+Bags%2C+Canvas+Tool+Pouches+Brown%2FBlack%2FGray%2FRed%2C+4-Pack&amp;qid=1695173635&amp;sr=8-3</v>
      </c>
      <c r="F1308" t="s">
        <v>275</v>
      </c>
      <c r="G1308" t="e">
        <f ca="1">_xludf.IMAGE("https://edmondsonsupply.com/cdn/shop/products/5141.jpg?v=1633030517")</f>
        <v>#NAME?</v>
      </c>
      <c r="H1308" t="e">
        <f ca="1">_xludf.IMAGE("https://m.media-amazon.com/images/I/416u4HXmGJL._AC_UL320_.jpg")</f>
        <v>#NAME?</v>
      </c>
      <c r="I1308" t="s">
        <v>246</v>
      </c>
      <c r="J1308">
        <v>53.99</v>
      </c>
      <c r="K1308" s="4">
        <v>0.3508</v>
      </c>
      <c r="L1308">
        <v>4.5</v>
      </c>
      <c r="M1308">
        <v>2</v>
      </c>
      <c r="O1308" t="s">
        <v>25</v>
      </c>
      <c r="P1308" t="s">
        <v>247</v>
      </c>
      <c r="Q1308" t="s">
        <v>248</v>
      </c>
    </row>
    <row r="1309" spans="1:17" ht="15.5" x14ac:dyDescent="0.35">
      <c r="A1309"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1309" s="3" t="str">
        <f>HYPERLINK("https://edmondsonsupply.com/products/klein-tools-5141-canvas-bag-4-pk-brown-black-gray-red", "https://edmondsonsupply.com/products/klein-tools-5141-canvas-bag-4-pk-brown-black-gray-red")</f>
        <v>https://edmondsonsupply.com/products/klein-tools-5141-canvas-bag-4-pk-brown-black-gray-red</v>
      </c>
      <c r="C1309" t="s">
        <v>243</v>
      </c>
      <c r="D1309" t="s">
        <v>438</v>
      </c>
      <c r="E1309" s="3" t="str">
        <f>HYPERLINK("https://www.amazon.com/Klein-Tools-Canvas-Utility-Stand-Up/dp/B0BD3XVWR6/ref=sr_1_5?keywords=Klein+Tools+5141+Zipper+Bags%2C+Canvas+Tool+Pouches+Brown%2FBlack%2FGray%2FRed%2C+4-Pack&amp;qid=1695173635&amp;sr=8-5", "https://www.amazon.com/Klein-Tools-Canvas-Utility-Stand-Up/dp/B0BD3XVWR6/ref=sr_1_5?keywords=Klein+Tools+5141+Zipper+Bags%2C+Canvas+Tool+Pouches+Brown%2FBlack%2FGray%2FRed%2C+4-Pack&amp;qid=1695173635&amp;sr=8-5")</f>
        <v>https://www.amazon.com/Klein-Tools-Canvas-Utility-Stand-Up/dp/B0BD3XVWR6/ref=sr_1_5?keywords=Klein+Tools+5141+Zipper+Bags%2C+Canvas+Tool+Pouches+Brown%2FBlack%2FGray%2FRed%2C+4-Pack&amp;qid=1695173635&amp;sr=8-5</v>
      </c>
      <c r="F1309" t="s">
        <v>439</v>
      </c>
      <c r="G1309" t="e">
        <f ca="1">_xludf.IMAGE("https://edmondsonsupply.com/cdn/shop/products/5141.jpg?v=1633030517")</f>
        <v>#NAME?</v>
      </c>
      <c r="H1309" t="e">
        <f ca="1">_xludf.IMAGE("https://m.media-amazon.com/images/I/51n7dZuAc6L._AC_UL320_.jpg")</f>
        <v>#NAME?</v>
      </c>
      <c r="I1309" t="s">
        <v>246</v>
      </c>
      <c r="J1309">
        <v>53.99</v>
      </c>
      <c r="K1309" s="4">
        <v>0.3508</v>
      </c>
      <c r="L1309">
        <v>5</v>
      </c>
      <c r="M1309">
        <v>2</v>
      </c>
      <c r="O1309" t="s">
        <v>25</v>
      </c>
      <c r="P1309" t="s">
        <v>247</v>
      </c>
      <c r="Q1309" t="s">
        <v>248</v>
      </c>
    </row>
    <row r="1310" spans="1:17" ht="15.5" x14ac:dyDescent="0.35">
      <c r="A1310"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1310" s="3" t="str">
        <f>HYPERLINK("https://edmondsonsupply.com/products/packard-prmj270-motor-start-capacitor-270-324-mfd-330-vac", "https://edmondsonsupply.com/products/packard-prmj270-motor-start-capacitor-270-324-mfd-330-vac")</f>
        <v>https://edmondsonsupply.com/products/packard-prmj270-motor-start-capacitor-270-324-mfd-330-vac</v>
      </c>
      <c r="C1310" t="s">
        <v>2452</v>
      </c>
      <c r="D1310" t="s">
        <v>3476</v>
      </c>
      <c r="E1310" s="3" t="str">
        <f>HYPERLINK("https://www.amazon.com/270-324-Round-Start-Capacitor-Electric/dp/B09CPD5SPQ/ref=sr_1_10?keywords=Packard+PRMJ270+Motor+Start+Capacitor+270-324+MFD+330+VAC&amp;qid=1695173486&amp;sr=8-10", "https://www.amazon.com/270-324-Round-Start-Capacitor-Electric/dp/B09CPD5SPQ/ref=sr_1_10?keywords=Packard+PRMJ270+Motor+Start+Capacitor+270-324+MFD+330+VAC&amp;qid=1695173486&amp;sr=8-10")</f>
        <v>https://www.amazon.com/270-324-Round-Start-Capacitor-Electric/dp/B09CPD5SPQ/ref=sr_1_10?keywords=Packard+PRMJ270+Motor+Start+Capacitor+270-324+MFD+330+VAC&amp;qid=1695173486&amp;sr=8-10</v>
      </c>
      <c r="F1310" t="s">
        <v>3477</v>
      </c>
      <c r="G1310" t="e">
        <f ca="1">_xludf.IMAGE("https://edmondsonsupply.com/cdn/shop/products/PRMJ270-2.jpg?v=1633030164")</f>
        <v>#NAME?</v>
      </c>
      <c r="H1310" t="e">
        <f ca="1">_xludf.IMAGE("https://m.media-amazon.com/images/I/81kyqwKk-oL._AC_UY218_.jpg")</f>
        <v>#NAME?</v>
      </c>
      <c r="I1310" t="s">
        <v>2455</v>
      </c>
      <c r="J1310">
        <v>13.99</v>
      </c>
      <c r="K1310" s="4">
        <v>0.34910000000000002</v>
      </c>
      <c r="L1310">
        <v>4.4000000000000004</v>
      </c>
      <c r="M1310">
        <v>23</v>
      </c>
      <c r="O1310" t="s">
        <v>25</v>
      </c>
      <c r="P1310" t="s">
        <v>138</v>
      </c>
      <c r="Q1310" t="s">
        <v>2456</v>
      </c>
    </row>
    <row r="1311" spans="1:17" ht="15.5" x14ac:dyDescent="0.35">
      <c r="A1311" s="3" t="str">
        <f>HYPERLINK("https://edmondsonsupply.com/collections/hvac/products/reed-mfg-tck50slr-1-2-c-cutter-copper-tubing-cutter", "https://edmondsonsupply.com/collections/hvac/products/reed-mfg-tck50slr-1-2-c-cutter-copper-tubing-cutter")</f>
        <v>https://edmondsonsupply.com/collections/hvac/products/reed-mfg-tck50slr-1-2-c-cutter-copper-tubing-cutter</v>
      </c>
      <c r="B1311" s="3" t="str">
        <f>HYPERLINK("https://edmondsonsupply.com/products/reed-mfg-tck50slr-1-2-c-cutter-copper-tubing-cutter", "https://edmondsonsupply.com/products/reed-mfg-tck50slr-1-2-c-cutter-copper-tubing-cutter")</f>
        <v>https://edmondsonsupply.com/products/reed-mfg-tck50slr-1-2-c-cutter-copper-tubing-cutter</v>
      </c>
      <c r="C1311" t="s">
        <v>3478</v>
      </c>
      <c r="D1311" t="s">
        <v>3479</v>
      </c>
      <c r="E1311" s="3" t="str">
        <f>HYPERLINK("https://www.amazon.com/VEVOR-3PCS-Tubing-Cutter-Set/dp/B0CG5V4ZQG/ref=sr_1_2?keywords=Reed+Mfg+TCK50SLR+1%2F2%22+C-Cutter%2C+Copper+Tubing+Cutter&amp;qid=1695173626&amp;sr=8-2", "https://www.amazon.com/VEVOR-3PCS-Tubing-Cutter-Set/dp/B0CG5V4ZQG/ref=sr_1_2?keywords=Reed+Mfg+TCK50SLR+1%2F2%22+C-Cutter%2C+Copper+Tubing+Cutter&amp;qid=1695173626&amp;sr=8-2")</f>
        <v>https://www.amazon.com/VEVOR-3PCS-Tubing-Cutter-Set/dp/B0CG5V4ZQG/ref=sr_1_2?keywords=Reed+Mfg+TCK50SLR+1%2F2%22+C-Cutter%2C+Copper+Tubing+Cutter&amp;qid=1695173626&amp;sr=8-2</v>
      </c>
      <c r="F1311" t="s">
        <v>3480</v>
      </c>
      <c r="G1311" t="e">
        <f ca="1">_xludf.IMAGE("https://edmondsonsupply.com/cdn/shop/products/03412-TCK50SLR-v2-RGB.jpg?v=1633030995")</f>
        <v>#NAME?</v>
      </c>
      <c r="H1311" t="e">
        <f ca="1">_xludf.IMAGE("https://m.media-amazon.com/images/I/71LZUJm75RL._AC_UL320_.jpg")</f>
        <v>#NAME?</v>
      </c>
      <c r="I1311" t="s">
        <v>3481</v>
      </c>
      <c r="J1311">
        <v>20.99</v>
      </c>
      <c r="K1311" s="4">
        <v>0.34720000000000001</v>
      </c>
      <c r="L1311">
        <v>4</v>
      </c>
      <c r="M1311">
        <v>8</v>
      </c>
      <c r="O1311" t="s">
        <v>25</v>
      </c>
      <c r="P1311" t="s">
        <v>79</v>
      </c>
      <c r="Q1311" t="s">
        <v>3482</v>
      </c>
    </row>
    <row r="1312" spans="1:17" ht="15.5" x14ac:dyDescent="0.35">
      <c r="A1312" s="3" t="str">
        <f>HYPERLINK("https://edmondsonsupply.com/collections/hvac/products/supco-ecmpro-ecm-universal-tester", "https://edmondsonsupply.com/collections/hvac/products/supco-ecmpro-ecm-universal-tester")</f>
        <v>https://edmondsonsupply.com/collections/hvac/products/supco-ecmpro-ecm-universal-tester</v>
      </c>
      <c r="B1312" s="3" t="str">
        <f>HYPERLINK("https://edmondsonsupply.com/products/supco-ecmpro-ecm-universal-tester", "https://edmondsonsupply.com/products/supco-ecmpro-ecm-universal-tester")</f>
        <v>https://edmondsonsupply.com/products/supco-ecmpro-ecm-universal-tester</v>
      </c>
      <c r="C1312" t="s">
        <v>3260</v>
      </c>
      <c r="D1312" t="s">
        <v>3483</v>
      </c>
      <c r="E1312" s="3" t="str">
        <f>HYPERLINK("https://www.amazon.com/Supplying-Demand-Universal-Electronically-Commutated/dp/B094S73V1M/ref=sr_1_1?keywords=Supco+ECMPRO+ECM+Universal+Tester&amp;qid=1695173332&amp;sr=8-1", "https://www.amazon.com/Supplying-Demand-Universal-Electronically-Commutated/dp/B094S73V1M/ref=sr_1_1?keywords=Supco+ECMPRO+ECM+Universal+Tester&amp;qid=1695173332&amp;sr=8-1")</f>
        <v>https://www.amazon.com/Supplying-Demand-Universal-Electronically-Commutated/dp/B094S73V1M/ref=sr_1_1?keywords=Supco+ECMPRO+ECM+Universal+Tester&amp;qid=1695173332&amp;sr=8-1</v>
      </c>
      <c r="F1312" t="s">
        <v>3484</v>
      </c>
      <c r="G1312" t="e">
        <f ca="1">_xludf.IMAGE("https://edmondsonsupply.com/cdn/shop/products/ECMPRO_L.png?v=1587142591")</f>
        <v>#NAME?</v>
      </c>
      <c r="H1312" t="e">
        <f ca="1">_xludf.IMAGE("https://m.media-amazon.com/images/I/51YrZKhhreS._AC_UY218_.jpg")</f>
        <v>#NAME?</v>
      </c>
      <c r="I1312" t="s">
        <v>3263</v>
      </c>
      <c r="J1312">
        <v>70.989999999999995</v>
      </c>
      <c r="K1312" s="4">
        <v>0.3463</v>
      </c>
      <c r="L1312">
        <v>4.7</v>
      </c>
      <c r="M1312">
        <v>106</v>
      </c>
      <c r="O1312" t="s">
        <v>25</v>
      </c>
      <c r="P1312" t="s">
        <v>138</v>
      </c>
      <c r="Q1312" t="s">
        <v>3264</v>
      </c>
    </row>
    <row r="1313" spans="1:17" ht="15.5" x14ac:dyDescent="0.35">
      <c r="A1313" s="3" t="str">
        <f>HYPERLINK("https://edmondsonsupply.com/collections/hvac/products/midwest-mwt-6900l-upright-left-cutting-offset-aviation-snip", "https://edmondsonsupply.com/collections/hvac/products/midwest-mwt-6900l-upright-left-cutting-offset-aviation-snip")</f>
        <v>https://edmondsonsupply.com/collections/hvac/products/midwest-mwt-6900l-upright-left-cutting-offset-aviation-snip</v>
      </c>
      <c r="B1313" s="3" t="str">
        <f>HYPERLINK("https://edmondsonsupply.com/products/midwest-mwt-6900l-upright-left-cutting-offset-aviation-snip", "https://edmondsonsupply.com/products/midwest-mwt-6900l-upright-left-cutting-offset-aviation-snip")</f>
        <v>https://edmondsonsupply.com/products/midwest-mwt-6900l-upright-left-cutting-offset-aviation-snip</v>
      </c>
      <c r="C1313" t="s">
        <v>1819</v>
      </c>
      <c r="D1313" t="s">
        <v>3485</v>
      </c>
      <c r="E1313" s="3" t="str">
        <f>HYPERLINK("https://www.amazon.com/MIDWEST-Aviation-Snip-KUSHN-POWER-MWT-6900L/dp/B00OJ0KPG6/ref=sr_1_1?keywords=Midwest+MWT-6900L+Upright+Left-Cutting+Aviation+Snip&amp;qid=1695173421&amp;sr=8-1", "https://www.amazon.com/MIDWEST-Aviation-Snip-KUSHN-POWER-MWT-6900L/dp/B00OJ0KPG6/ref=sr_1_1?keywords=Midwest+MWT-6900L+Upright+Left-Cutting+Aviation+Snip&amp;qid=1695173421&amp;sr=8-1")</f>
        <v>https://www.amazon.com/MIDWEST-Aviation-Snip-KUSHN-POWER-MWT-6900L/dp/B00OJ0KPG6/ref=sr_1_1?keywords=Midwest+MWT-6900L+Upright+Left-Cutting+Aviation+Snip&amp;qid=1695173421&amp;sr=8-1</v>
      </c>
      <c r="F1313" t="s">
        <v>3486</v>
      </c>
      <c r="G1313" t="e">
        <f ca="1">_xludf.IMAGE("https://edmondsonsupply.com/cdn/shop/products/MWT-6900L1.jpg?v=1587146265")</f>
        <v>#NAME?</v>
      </c>
      <c r="H1313" t="e">
        <f ca="1">_xludf.IMAGE("https://m.media-amazon.com/images/I/71RT+4Ey9vL._AC_UL320_.jpg")</f>
        <v>#NAME?</v>
      </c>
      <c r="I1313" t="s">
        <v>362</v>
      </c>
      <c r="J1313">
        <v>34.979999999999997</v>
      </c>
      <c r="K1313" s="4">
        <v>0.34589999999999999</v>
      </c>
      <c r="L1313">
        <v>4.7</v>
      </c>
      <c r="M1313">
        <v>779</v>
      </c>
      <c r="O1313" t="s">
        <v>25</v>
      </c>
      <c r="P1313" t="s">
        <v>1787</v>
      </c>
      <c r="Q1313" t="s">
        <v>1820</v>
      </c>
    </row>
    <row r="1314" spans="1:17" ht="15.5" x14ac:dyDescent="0.35">
      <c r="A1314" s="3" t="str">
        <f>HYPERLINK("https://edmondsonsupply.com/collections/hvac/products/packard-titan-pro-trcd355-run-capacitor-35-5-mfd-370-volt-round", "https://edmondsonsupply.com/collections/hvac/products/packard-titan-pro-trcd355-run-capacitor-35-5-mfd-370-volt-round")</f>
        <v>https://edmondsonsupply.com/collections/hvac/products/packard-titan-pro-trcd355-run-capacitor-35-5-mfd-370-volt-round</v>
      </c>
      <c r="B1314" s="3" t="str">
        <f>HYPERLINK("https://edmondsonsupply.com/products/packard-titan-pro-trcd355-run-capacitor-35-5-mfd-370-volt-round", "https://edmondsonsupply.com/products/packard-titan-pro-trcd355-run-capacitor-35-5-mfd-370-volt-round")</f>
        <v>https://edmondsonsupply.com/products/packard-titan-pro-trcd355-run-capacitor-35-5-mfd-370-volt-round</v>
      </c>
      <c r="C1314" t="s">
        <v>2291</v>
      </c>
      <c r="D1314" t="s">
        <v>3295</v>
      </c>
      <c r="E1314" s="3" t="str">
        <f>HYPERLINK("https://www.amazon.com/Titan-TRCFD355-Rated-Motor-Capacitor/dp/B01IC1SVP4/ref=sr_1_8?keywords=Packard+Titan+PRO+TRCD355+Run+Capacitor+35+5+MFD+370+Volt+Round&amp;qid=1695173450&amp;sr=8-8", "https://www.amazon.com/Titan-TRCFD355-Rated-Motor-Capacitor/dp/B01IC1SVP4/ref=sr_1_8?keywords=Packard+Titan+PRO+TRCD355+Run+Capacitor+35+5+MFD+370+Volt+Round&amp;qid=1695173450&amp;sr=8-8")</f>
        <v>https://www.amazon.com/Titan-TRCFD355-Rated-Motor-Capacitor/dp/B01IC1SVP4/ref=sr_1_8?keywords=Packard+Titan+PRO+TRCD355+Run+Capacitor+35+5+MFD+370+Volt+Round&amp;qid=1695173450&amp;sr=8-8</v>
      </c>
      <c r="F1314" t="s">
        <v>3296</v>
      </c>
      <c r="G1314" t="e">
        <f ca="1">_xludf.IMAGE("https://edmondsonsupply.com/cdn/shop/products/TRCD355-2.jpg?v=1633030395")</f>
        <v>#NAME?</v>
      </c>
      <c r="H1314" t="e">
        <f ca="1">_xludf.IMAGE("https://m.media-amazon.com/images/I/61ZOaIfuaxL._AC_UY218_.jpg")</f>
        <v>#NAME?</v>
      </c>
      <c r="I1314" t="s">
        <v>2294</v>
      </c>
      <c r="J1314">
        <v>11.48</v>
      </c>
      <c r="K1314" s="4">
        <v>0.3458</v>
      </c>
      <c r="L1314">
        <v>4.5</v>
      </c>
      <c r="M1314">
        <v>107</v>
      </c>
      <c r="O1314" t="s">
        <v>25</v>
      </c>
      <c r="P1314" t="s">
        <v>138</v>
      </c>
      <c r="Q1314" t="s">
        <v>2295</v>
      </c>
    </row>
    <row r="1315" spans="1:17" ht="15.5" x14ac:dyDescent="0.35">
      <c r="A1315" s="3" t="str">
        <f>HYPERLINK("https://edmondsonsupply.com/collections/hvac/products/blue-monster-62850", "https://edmondsonsupply.com/collections/hvac/products/blue-monster-62850")</f>
        <v>https://edmondsonsupply.com/collections/hvac/products/blue-monster-62850</v>
      </c>
      <c r="B1315" s="3" t="str">
        <f>HYPERLINK("https://edmondsonsupply.com/products/blue-monster-62850", "https://edmondsonsupply.com/products/blue-monster-62850")</f>
        <v>https://edmondsonsupply.com/products/blue-monster-62850</v>
      </c>
      <c r="C1315" t="s">
        <v>3487</v>
      </c>
      <c r="D1315" t="s">
        <v>3488</v>
      </c>
      <c r="E1315" s="3" t="str">
        <f>HYPERLINK("https://www.amazon.com/Power-Copper-Fitting-Quik-Change-Adaptor/dp/B08L8FSBNB/ref=sr_1_1?keywords=Blue+Monster+62850+Power+Deuce+Power+Pack+with+Quik-Change+Chuck+Adaptor&amp;qid=1695173330&amp;sr=8-1", "https://www.amazon.com/Power-Copper-Fitting-Quik-Change-Adaptor/dp/B08L8FSBNB/ref=sr_1_1?keywords=Blue+Monster+62850+Power+Deuce+Power+Pack+with+Quik-Change+Chuck+Adaptor&amp;qid=1695173330&amp;sr=8-1")</f>
        <v>https://www.amazon.com/Power-Copper-Fitting-Quik-Change-Adaptor/dp/B08L8FSBNB/ref=sr_1_1?keywords=Blue+Monster+62850+Power+Deuce+Power+Pack+with+Quik-Change+Chuck+Adaptor&amp;qid=1695173330&amp;sr=8-1</v>
      </c>
      <c r="F1315" t="s">
        <v>3489</v>
      </c>
      <c r="G1315" t="e">
        <f ca="1">_xludf.IMAGE("https://edmondsonsupply.com/cdn/shop/products/62850-3.jpg?v=1633030267")</f>
        <v>#NAME?</v>
      </c>
      <c r="H1315" t="e">
        <f ca="1">_xludf.IMAGE("https://m.media-amazon.com/images/I/31A8CIjLMNL._AC_UL320_.jpg")</f>
        <v>#NAME?</v>
      </c>
      <c r="I1315" t="s">
        <v>3490</v>
      </c>
      <c r="J1315">
        <v>38.86</v>
      </c>
      <c r="K1315" s="4">
        <v>0.34560000000000002</v>
      </c>
      <c r="L1315">
        <v>3.4</v>
      </c>
      <c r="M1315">
        <v>15</v>
      </c>
      <c r="O1315" t="s">
        <v>25</v>
      </c>
      <c r="P1315" t="s">
        <v>3491</v>
      </c>
      <c r="Q1315" t="s">
        <v>3492</v>
      </c>
    </row>
    <row r="1316" spans="1:17" ht="15.5" x14ac:dyDescent="0.35">
      <c r="A1316" s="3" t="str">
        <f>HYPERLINK("https://edmondsonsupply.com/collections/hvac/products/malco-tools-m2007-max2000%C2%AE-offset-aviation-snip-right-cutting", "https://edmondsonsupply.com/collections/hvac/products/malco-tools-m2007-max2000%C2%AE-offset-aviation-snip-right-cutting")</f>
        <v>https://edmondsonsupply.com/collections/hvac/products/malco-tools-m2007-max2000%C2%AE-offset-aviation-snip-right-cutting</v>
      </c>
      <c r="B1316" s="3" t="str">
        <f>HYPERLINK("https://edmondsonsupply.com/products/malco-tools-m2007-max2000%c2%ae-offset-aviation-snip-right-cutting", "https://edmondsonsupply.com/products/malco-tools-m2007-max2000%c2%ae-offset-aviation-snip-right-cutting")</f>
        <v>https://edmondsonsupply.com/products/malco-tools-m2007-max2000%c2%ae-offset-aviation-snip-right-cutting</v>
      </c>
      <c r="C1316" t="s">
        <v>3493</v>
      </c>
      <c r="D1316" t="s">
        <v>3494</v>
      </c>
      <c r="E1316" s="3" t="str">
        <f>HYPERLINK("https://www.amazon.com/Malco-Ergonomic-Right-Offset-Aviation/dp/B00GGQORQ0/ref=sr_1_2?keywords=Malco+Tools+M2007+Max2000%C2%AE+Offset+Aviation+Snip+-+Right+Cutting&amp;qid=1695173538&amp;sr=8-2", "https://www.amazon.com/Malco-Ergonomic-Right-Offset-Aviation/dp/B00GGQORQ0/ref=sr_1_2?keywords=Malco+Tools+M2007+Max2000%C2%AE+Offset+Aviation+Snip+-+Right+Cutting&amp;qid=1695173538&amp;sr=8-2")</f>
        <v>https://www.amazon.com/Malco-Ergonomic-Right-Offset-Aviation/dp/B00GGQORQ0/ref=sr_1_2?keywords=Malco+Tools+M2007+Max2000%C2%AE+Offset+Aviation+Snip+-+Right+Cutting&amp;qid=1695173538&amp;sr=8-2</v>
      </c>
      <c r="F1316" t="s">
        <v>3495</v>
      </c>
      <c r="G1316" t="e">
        <f ca="1">_xludf.IMAGE("https://edmondsonsupply.com/cdn/shop/products/m2007.jpg?v=1633030573")</f>
        <v>#NAME?</v>
      </c>
      <c r="H1316" t="e">
        <f ca="1">_xludf.IMAGE("https://m.media-amazon.com/images/I/411xldaWcQL._AC_UL320_.jpg")</f>
        <v>#NAME?</v>
      </c>
      <c r="I1316" t="s">
        <v>3496</v>
      </c>
      <c r="J1316">
        <v>57.81</v>
      </c>
      <c r="K1316" s="4">
        <v>0.34470000000000001</v>
      </c>
      <c r="L1316">
        <v>4.2</v>
      </c>
      <c r="M1316">
        <v>4</v>
      </c>
      <c r="O1316" t="s">
        <v>25</v>
      </c>
      <c r="P1316" t="s">
        <v>3497</v>
      </c>
      <c r="Q1316" t="s">
        <v>3498</v>
      </c>
    </row>
    <row r="1317" spans="1:17" ht="15.5" x14ac:dyDescent="0.35">
      <c r="A1317" s="3" t="str">
        <f>HYPERLINK("https://edmondsonsupply.com/collections/hvac/products/robertshaw-rs8110-digital-non-programmable-thermostat-single-stage-1-heat-1-cool", "https://edmondsonsupply.com/collections/hvac/products/robertshaw-rs8110-digital-non-programmable-thermostat-single-stage-1-heat-1-cool")</f>
        <v>https://edmondsonsupply.com/collections/hvac/products/robertshaw-rs8110-digital-non-programmable-thermostat-single-stage-1-heat-1-cool</v>
      </c>
      <c r="B1317" s="3" t="str">
        <f>HYPERLINK("https://edmondsonsupply.com/products/robertshaw-rs8110-digital-non-programmable-thermostat-single-stage-1-heat-1-cool", "https://edmondsonsupply.com/products/robertshaw-rs8110-digital-non-programmable-thermostat-single-stage-1-heat-1-cool")</f>
        <v>https://edmondsonsupply.com/products/robertshaw-rs8110-digital-non-programmable-thermostat-single-stage-1-heat-1-cool</v>
      </c>
      <c r="C1317" t="s">
        <v>2461</v>
      </c>
      <c r="D1317" t="s">
        <v>3499</v>
      </c>
      <c r="E1317" s="3" t="str">
        <f>HYPERLINK("https://www.amazon.com/Robertshaw-Programmable-Thermostat-Single-Stage-Systems/dp/B00U5CASIW/ref=sr_1_2?keywords=Robertshaw+RS8110+Digital+Non-Programmable+Thermostat%2C+Single+Stage+-+1+Heat%2F1+Cool&amp;qid=1695173434&amp;sr=8-2", "https://www.amazon.com/Robertshaw-Programmable-Thermostat-Single-Stage-Systems/dp/B00U5CASIW/ref=sr_1_2?keywords=Robertshaw+RS8110+Digital+Non-Programmable+Thermostat%2C+Single+Stage+-+1+Heat%2F1+Cool&amp;qid=1695173434&amp;sr=8-2")</f>
        <v>https://www.amazon.com/Robertshaw-Programmable-Thermostat-Single-Stage-Systems/dp/B00U5CASIW/ref=sr_1_2?keywords=Robertshaw+RS8110+Digital+Non-Programmable+Thermostat%2C+Single+Stage+-+1+Heat%2F1+Cool&amp;qid=1695173434&amp;sr=8-2</v>
      </c>
      <c r="F1317" t="s">
        <v>3500</v>
      </c>
      <c r="G1317" t="e">
        <f ca="1">_xludf.IMAGE("https://edmondsonsupply.com/cdn/shop/products/RS8110.jpg?v=1633031027")</f>
        <v>#NAME?</v>
      </c>
      <c r="H1317" t="e">
        <f ca="1">_xludf.IMAGE("https://m.media-amazon.com/images/I/61A9Hfn0xXL._AC_UL320_.jpg")</f>
        <v>#NAME?</v>
      </c>
      <c r="I1317" t="s">
        <v>2464</v>
      </c>
      <c r="J1317">
        <v>44.16</v>
      </c>
      <c r="K1317" s="4">
        <v>0.33979999999999999</v>
      </c>
      <c r="L1317">
        <v>5</v>
      </c>
      <c r="M1317">
        <v>1</v>
      </c>
      <c r="O1317" t="s">
        <v>25</v>
      </c>
      <c r="P1317" t="s">
        <v>2465</v>
      </c>
      <c r="Q1317" t="s">
        <v>2466</v>
      </c>
    </row>
    <row r="1318" spans="1:17" ht="15.5" x14ac:dyDescent="0.35">
      <c r="A1318" s="3" t="str">
        <f>HYPERLINK("https://edmondsonsupply.com/collections/hvac/products/packard-c240a-contactor-2-pole-40-amps-24-coil-voltage", "https://edmondsonsupply.com/collections/hvac/products/packard-c240a-contactor-2-pole-40-amps-24-coil-voltage")</f>
        <v>https://edmondsonsupply.com/collections/hvac/products/packard-c240a-contactor-2-pole-40-amps-24-coil-voltage</v>
      </c>
      <c r="B1318" s="3" t="str">
        <f>HYPERLINK("https://edmondsonsupply.com/products/packard-c240a-contactor-2-pole-40-amps-24-coil-voltage", "https://edmondsonsupply.com/products/packard-c240a-contactor-2-pole-40-amps-24-coil-voltage")</f>
        <v>https://edmondsonsupply.com/products/packard-c240a-contactor-2-pole-40-amps-24-coil-voltage</v>
      </c>
      <c r="C1318" t="s">
        <v>2737</v>
      </c>
      <c r="D1318" t="s">
        <v>3070</v>
      </c>
      <c r="E1318" s="3" t="str">
        <f>HYPERLINK("https://www.amazon.com/Packard-C240C-Pole-Contactor-Volt/dp/B004Z0RLR6/ref=sr_1_3?keywords=Packard+C240A+Contactor+2+Pole+40+AMPS+24+Coil+Voltage&amp;qid=1695173372&amp;sr=8-3", "https://www.amazon.com/Packard-C240C-Pole-Contactor-Volt/dp/B004Z0RLR6/ref=sr_1_3?keywords=Packard+C240A+Contactor+2+Pole+40+AMPS+24+Coil+Voltage&amp;qid=1695173372&amp;sr=8-3")</f>
        <v>https://www.amazon.com/Packard-C240C-Pole-Contactor-Volt/dp/B004Z0RLR6/ref=sr_1_3?keywords=Packard+C240A+Contactor+2+Pole+40+AMPS+24+Coil+Voltage&amp;qid=1695173372&amp;sr=8-3</v>
      </c>
      <c r="F1318" t="s">
        <v>3071</v>
      </c>
      <c r="G1318" t="e">
        <f ca="1">_xludf.IMAGE("https://edmondsonsupply.com/cdn/shop/products/C240A-1.jpg?v=1590239996")</f>
        <v>#NAME?</v>
      </c>
      <c r="H1318" t="e">
        <f ca="1">_xludf.IMAGE("https://m.media-amazon.com/images/I/91HgJ588lHL._AC_UY218_.jpg")</f>
        <v>#NAME?</v>
      </c>
      <c r="I1318" t="s">
        <v>1523</v>
      </c>
      <c r="J1318">
        <v>18.7</v>
      </c>
      <c r="K1318" s="4">
        <v>0.33950000000000002</v>
      </c>
      <c r="L1318">
        <v>4.4000000000000004</v>
      </c>
      <c r="M1318">
        <v>119</v>
      </c>
      <c r="O1318" t="s">
        <v>25</v>
      </c>
      <c r="P1318" t="s">
        <v>138</v>
      </c>
      <c r="Q1318" t="s">
        <v>2740</v>
      </c>
    </row>
    <row r="1319" spans="1:17" ht="15.5" x14ac:dyDescent="0.35">
      <c r="A1319" s="3" t="str">
        <f>HYPERLINK("https://edmondsonsupply.com/collections/hvac/products/jb-industries-shld-multi-the-shield", "https://edmondsonsupply.com/collections/hvac/products/jb-industries-shld-multi-the-shield")</f>
        <v>https://edmondsonsupply.com/collections/hvac/products/jb-industries-shld-multi-the-shield</v>
      </c>
      <c r="B1319" s="3" t="str">
        <f>HYPERLINK("https://edmondsonsupply.com/products/jb-industries-shld-multi-the-shield", "https://edmondsonsupply.com/products/jb-industries-shld-multi-the-shield")</f>
        <v>https://edmondsonsupply.com/products/jb-industries-shld-multi-the-shield</v>
      </c>
      <c r="C1319" t="s">
        <v>207</v>
      </c>
      <c r="D1319" t="s">
        <v>208</v>
      </c>
      <c r="E1319" s="3" t="str">
        <f>HYPERLINK("https://www.amazon.com/Industries-SHLD-Multi-Locking-Replacement-Multi-Key/dp/B07GRNN1DK/ref=sr_1_2?keywords=JB+Industries+SHLD-MULTI+The+Shield%E2%84%A2+Universal+Locking+Cap+Multi-Tool&amp;qid=1695173337&amp;sr=8-2", "https://www.amazon.com/Industries-SHLD-Multi-Locking-Replacement-Multi-Key/dp/B07GRNN1DK/ref=sr_1_2?keywords=JB+Industries+SHLD-MULTI+The+Shield%E2%84%A2+Universal+Locking+Cap+Multi-Tool&amp;qid=1695173337&amp;sr=8-2")</f>
        <v>https://www.amazon.com/Industries-SHLD-Multi-Locking-Replacement-Multi-Key/dp/B07GRNN1DK/ref=sr_1_2?keywords=JB+Industries+SHLD-MULTI+The+Shield%E2%84%A2+Universal+Locking+Cap+Multi-Tool&amp;qid=1695173337&amp;sr=8-2</v>
      </c>
      <c r="F1319" t="s">
        <v>209</v>
      </c>
      <c r="G1319" t="e">
        <f ca="1">_xludf.IMAGE("https://edmondsonsupply.com/cdn/shop/products/SHLD-MULTI-JB-Shield-Locking-Cap-Multi-Tool-Access-Valves-1024x1024-1.png?v=1650331009")</f>
        <v>#NAME?</v>
      </c>
      <c r="H1319" t="e">
        <f ca="1">_xludf.IMAGE("https://m.media-amazon.com/images/I/41RP3bxn3ZL._AC_UL320_.jpg")</f>
        <v>#NAME?</v>
      </c>
      <c r="I1319" t="s">
        <v>210</v>
      </c>
      <c r="J1319">
        <v>41.18</v>
      </c>
      <c r="K1319" s="4">
        <v>0.33400000000000002</v>
      </c>
      <c r="L1319">
        <v>4.4000000000000004</v>
      </c>
      <c r="M1319">
        <v>162</v>
      </c>
      <c r="O1319" t="s">
        <v>25</v>
      </c>
      <c r="P1319" t="s">
        <v>211</v>
      </c>
      <c r="Q1319" t="s">
        <v>212</v>
      </c>
    </row>
    <row r="1320" spans="1:17" ht="15.5" x14ac:dyDescent="0.35">
      <c r="A1320" s="3" t="str">
        <f>HYPERLINK("https://edmondsonsupply.com/collections/hvac/products/klein-tools-60401-hard-hat-vented-full-brim-style", "https://edmondsonsupply.com/collections/hvac/products/klein-tools-60401-hard-hat-vented-full-brim-style")</f>
        <v>https://edmondsonsupply.com/collections/hvac/products/klein-tools-60401-hard-hat-vented-full-brim-style</v>
      </c>
      <c r="B1320" s="3" t="str">
        <f>HYPERLINK("https://edmondsonsupply.com/products/klein-tools-60401-hard-hat-vented-full-brim-style", "https://edmondsonsupply.com/products/klein-tools-60401-hard-hat-vented-full-brim-style")</f>
        <v>https://edmondsonsupply.com/products/klein-tools-60401-hard-hat-vented-full-brim-style</v>
      </c>
      <c r="C1320" t="s">
        <v>943</v>
      </c>
      <c r="D1320" t="s">
        <v>900</v>
      </c>
      <c r="E1320" s="3" t="str">
        <f>HYPERLINK("https://www.amazon.com/Klein-Tools-60407RL-Rechargeable-Odor-Resistant/dp/B08DDTV9M3/ref=sr_1_2?keywords=Klein+Tools+60401+Hard+Hat%2C+Vented%2C+Full+Brim+Style&amp;qid=1695173675&amp;sr=8-2", "https://www.amazon.com/Klein-Tools-60407RL-Rechargeable-Odor-Resistant/dp/B08DDTV9M3/ref=sr_1_2?keywords=Klein+Tools+60401+Hard+Hat%2C+Vented%2C+Full+Brim+Style&amp;qid=1695173675&amp;sr=8-2")</f>
        <v>https://www.amazon.com/Klein-Tools-60407RL-Rechargeable-Odor-Resistant/dp/B08DDTV9M3/ref=sr_1_2?keywords=Klein+Tools+60401+Hard+Hat%2C+Vented%2C+Full+Brim+Style&amp;qid=1695173675&amp;sr=8-2</v>
      </c>
      <c r="F1320" t="s">
        <v>901</v>
      </c>
      <c r="G1320" t="e">
        <f ca="1">_xludf.IMAGE("https://edmondsonsupply.com/cdn/shop/products/60401.jpg?v=1587143271")</f>
        <v>#NAME?</v>
      </c>
      <c r="H1320" t="e">
        <f ca="1">_xludf.IMAGE("https://m.media-amazon.com/images/I/61w2MM+yDgL._AC_UL320_.jpg")</f>
        <v>#NAME?</v>
      </c>
      <c r="I1320" t="s">
        <v>946</v>
      </c>
      <c r="J1320">
        <v>59.99</v>
      </c>
      <c r="K1320" s="4">
        <v>0.33339999999999997</v>
      </c>
      <c r="L1320">
        <v>4.7</v>
      </c>
      <c r="M1320">
        <v>1577</v>
      </c>
      <c r="O1320" t="s">
        <v>25</v>
      </c>
      <c r="P1320" t="s">
        <v>947</v>
      </c>
      <c r="Q1320" t="s">
        <v>948</v>
      </c>
    </row>
    <row r="1321" spans="1:17" ht="15.5" x14ac:dyDescent="0.35">
      <c r="A1321" s="3" t="str">
        <f>HYPERLINK("https://edmondsonsupply.com/collections/hvac/products/klein-tools-ncvt-2pkit-dual-range-non-contact-voltage-tester-with-receptacle-tester", "https://edmondsonsupply.com/collections/hvac/products/klein-tools-ncvt-2pkit-dual-range-non-contact-voltage-tester-with-receptacle-tester")</f>
        <v>https://edmondsonsupply.com/collections/hvac/products/klein-tools-ncvt-2pkit-dual-range-non-contact-voltage-tester-with-receptacle-tester</v>
      </c>
      <c r="B1321"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1321" t="s">
        <v>1566</v>
      </c>
      <c r="D1321" t="s">
        <v>3501</v>
      </c>
      <c r="E1321" s="3" t="str">
        <f>HYPERLINK("https://www.amazon.com/Non-Contact-Voltage-Flashlight-Klein-Tools/dp/B00XJQ9ZE4/ref=sr_1_5?keywords=Klein+Tools+NCVT-2PKIT+Dual+Range+Non-Contact+Voltage+Tester+with+Receptacle+Tester&amp;qid=1695173669&amp;sr=8-5", "https://www.amazon.com/Non-Contact-Voltage-Flashlight-Klein-Tools/dp/B00XJQ9ZE4/ref=sr_1_5?keywords=Klein+Tools+NCVT-2PKIT+Dual+Range+Non-Contact+Voltage+Tester+with+Receptacle+Tester&amp;qid=1695173669&amp;sr=8-5")</f>
        <v>https://www.amazon.com/Non-Contact-Voltage-Flashlight-Klein-Tools/dp/B00XJQ9ZE4/ref=sr_1_5?keywords=Klein+Tools+NCVT-2PKIT+Dual+Range+Non-Contact+Voltage+Tester+with+Receptacle+Tester&amp;qid=1695173669&amp;sr=8-5</v>
      </c>
      <c r="F1321" t="s">
        <v>3502</v>
      </c>
      <c r="G1321" t="e">
        <f ca="1">_xludf.IMAGE("https://edmondsonsupply.com/cdn/shop/products/ncvt2pkit.jpg?v=1633030827")</f>
        <v>#NAME?</v>
      </c>
      <c r="H1321" t="e">
        <f ca="1">_xludf.IMAGE("https://m.media-amazon.com/images/I/51dcyyMwUjL._AC_UL320_.jpg")</f>
        <v>#NAME?</v>
      </c>
      <c r="I1321" t="s">
        <v>26</v>
      </c>
      <c r="J1321">
        <v>39.89</v>
      </c>
      <c r="K1321" s="4">
        <v>0.3301</v>
      </c>
      <c r="L1321">
        <v>4.5</v>
      </c>
      <c r="M1321">
        <v>1685</v>
      </c>
      <c r="O1321" t="s">
        <v>25</v>
      </c>
      <c r="P1321" t="s">
        <v>1569</v>
      </c>
      <c r="Q1321" t="s">
        <v>1570</v>
      </c>
    </row>
    <row r="1322" spans="1:17" ht="15.5" x14ac:dyDescent="0.35">
      <c r="A1322" s="3" t="str">
        <f>HYPERLINK("https://edmondsonsupply.com/collections/hvac/products/packard-prmj270-motor-start-capacitor-270-324-mfd-330-vac", "https://edmondsonsupply.com/collections/hvac/products/packard-prmj270-motor-start-capacitor-270-324-mfd-330-vac")</f>
        <v>https://edmondsonsupply.com/collections/hvac/products/packard-prmj270-motor-start-capacitor-270-324-mfd-330-vac</v>
      </c>
      <c r="B1322" s="3" t="str">
        <f>HYPERLINK("https://edmondsonsupply.com/products/packard-prmj270-motor-start-capacitor-270-324-mfd-330-vac", "https://edmondsonsupply.com/products/packard-prmj270-motor-start-capacitor-270-324-mfd-330-vac")</f>
        <v>https://edmondsonsupply.com/products/packard-prmj270-motor-start-capacitor-270-324-mfd-330-vac</v>
      </c>
      <c r="C1322" t="s">
        <v>2452</v>
      </c>
      <c r="D1322" t="s">
        <v>3503</v>
      </c>
      <c r="E1322" s="3" t="str">
        <f>HYPERLINK("https://www.amazon.com/capacitor-microfarads-universal-electric-applications/dp/B01FSQQ6F8/ref=sr_1_8?keywords=Packard+PRMJ270+Motor+Start+Capacitor+270-324+MFD+330+VAC&amp;qid=1695173486&amp;sr=8-8", "https://www.amazon.com/capacitor-microfarads-universal-electric-applications/dp/B01FSQQ6F8/ref=sr_1_8?keywords=Packard+PRMJ270+Motor+Start+Capacitor+270-324+MFD+330+VAC&amp;qid=1695173486&amp;sr=8-8")</f>
        <v>https://www.amazon.com/capacitor-microfarads-universal-electric-applications/dp/B01FSQQ6F8/ref=sr_1_8?keywords=Packard+PRMJ270+Motor+Start+Capacitor+270-324+MFD+330+VAC&amp;qid=1695173486&amp;sr=8-8</v>
      </c>
      <c r="F1322" t="s">
        <v>3504</v>
      </c>
      <c r="G1322" t="e">
        <f ca="1">_xludf.IMAGE("https://edmondsonsupply.com/cdn/shop/products/PRMJ270-2.jpg?v=1633030164")</f>
        <v>#NAME?</v>
      </c>
      <c r="H1322" t="e">
        <f ca="1">_xludf.IMAGE("https://m.media-amazon.com/images/I/61I6x-wEvbL._AC_UY218_.jpg")</f>
        <v>#NAME?</v>
      </c>
      <c r="I1322" t="s">
        <v>2455</v>
      </c>
      <c r="J1322">
        <v>13.79</v>
      </c>
      <c r="K1322" s="4">
        <v>0.32979999999999998</v>
      </c>
      <c r="L1322">
        <v>4.5</v>
      </c>
      <c r="M1322">
        <v>1389</v>
      </c>
      <c r="O1322" t="s">
        <v>25</v>
      </c>
      <c r="P1322" t="s">
        <v>138</v>
      </c>
      <c r="Q1322" t="s">
        <v>2456</v>
      </c>
    </row>
    <row r="1323" spans="1:17" ht="15.5" x14ac:dyDescent="0.35">
      <c r="A1323" s="3" t="str">
        <f>HYPERLINK("https://edmondsonsupply.com/collections/hvac/products/nu-calgon-4372-24-triclean-2x-coil-cleaner-1-quart", "https://edmondsonsupply.com/collections/hvac/products/nu-calgon-4372-24-triclean-2x-coil-cleaner-1-quart")</f>
        <v>https://edmondsonsupply.com/collections/hvac/products/nu-calgon-4372-24-triclean-2x-coil-cleaner-1-quart</v>
      </c>
      <c r="B1323" s="3" t="str">
        <f>HYPERLINK("https://edmondsonsupply.com/products/nu-calgon-4372-24-triclean-2x-coil-cleaner-1-quart", "https://edmondsonsupply.com/products/nu-calgon-4372-24-triclean-2x-coil-cleaner-1-quart")</f>
        <v>https://edmondsonsupply.com/products/nu-calgon-4372-24-triclean-2x-coil-cleaner-1-quart</v>
      </c>
      <c r="C1323" t="s">
        <v>2048</v>
      </c>
      <c r="D1323" t="s">
        <v>3505</v>
      </c>
      <c r="E1323" s="3" t="str">
        <f>HYPERLINK("https://www.amazon.com/Nu-Calgon-4372-24-Triclean-Coil-Cleaner/dp/B01HQMF5YA/ref=sr_1_1?keywords=Nu-Calgon+4372-24+TriClean+2x+Coil+Cleaner%2C+1+quart&amp;qid=1695173434&amp;sr=8-1", "https://www.amazon.com/Nu-Calgon-4372-24-Triclean-Coil-Cleaner/dp/B01HQMF5YA/ref=sr_1_1?keywords=Nu-Calgon+4372-24+TriClean+2x+Coil+Cleaner%2C+1+quart&amp;qid=1695173434&amp;sr=8-1")</f>
        <v>https://www.amazon.com/Nu-Calgon-4372-24-Triclean-Coil-Cleaner/dp/B01HQMF5YA/ref=sr_1_1?keywords=Nu-Calgon+4372-24+TriClean+2x+Coil+Cleaner%2C+1+quart&amp;qid=1695173434&amp;sr=8-1</v>
      </c>
      <c r="F1323" t="s">
        <v>3506</v>
      </c>
      <c r="G1323" t="e">
        <f ca="1">_xludf.IMAGE("https://edmondsonsupply.com/cdn/shop/products/4372-24.jpg?v=1658873195")</f>
        <v>#NAME?</v>
      </c>
      <c r="H1323" t="e">
        <f ca="1">_xludf.IMAGE("https://m.media-amazon.com/images/I/71IYXpxvg4L._AC_UL320_.jpg")</f>
        <v>#NAME?</v>
      </c>
      <c r="I1323" t="s">
        <v>2051</v>
      </c>
      <c r="J1323">
        <v>30.95</v>
      </c>
      <c r="K1323" s="4">
        <v>0.32890000000000003</v>
      </c>
      <c r="L1323">
        <v>4.8</v>
      </c>
      <c r="M1323">
        <v>23</v>
      </c>
      <c r="O1323" t="s">
        <v>25</v>
      </c>
      <c r="P1323" t="s">
        <v>2052</v>
      </c>
      <c r="Q1323" t="s">
        <v>2053</v>
      </c>
    </row>
    <row r="1324" spans="1:17" ht="15.5" x14ac:dyDescent="0.35">
      <c r="A1324"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1324" s="3" t="str">
        <f>HYPERLINK("https://edmondsonsupply.com/products/klein-tools-et120-combustible-gas-leak-detector", "https://edmondsonsupply.com/products/klein-tools-et120-combustible-gas-leak-detector")</f>
        <v>https://edmondsonsupply.com/products/klein-tools-et120-combustible-gas-leak-detector</v>
      </c>
      <c r="C1324" t="s">
        <v>1529</v>
      </c>
      <c r="D1324" t="s">
        <v>3507</v>
      </c>
      <c r="E1324" s="3" t="str">
        <f>HYPERLINK("https://www.amazon.com/Klein-Tools-Combustible-Non-Destructive-Detection/dp/B09P841QBX/ref=sr_1_5?keywords=Klein+Tools+ET120+Combustible+Gas+Leak+Detector&amp;qid=1695173669&amp;sr=8-5", "https://www.amazon.com/Klein-Tools-Combustible-Non-Destructive-Detection/dp/B09P841QBX/ref=sr_1_5?keywords=Klein+Tools+ET120+Combustible+Gas+Leak+Detector&amp;qid=1695173669&amp;sr=8-5")</f>
        <v>https://www.amazon.com/Klein-Tools-Combustible-Non-Destructive-Detection/dp/B09P841QBX/ref=sr_1_5?keywords=Klein+Tools+ET120+Combustible+Gas+Leak+Detector&amp;qid=1695173669&amp;sr=8-5</v>
      </c>
      <c r="F1324" t="s">
        <v>3508</v>
      </c>
      <c r="G1324" t="e">
        <f ca="1">_xludf.IMAGE("https://edmondsonsupply.com/cdn/shop/products/et120.jpg?v=1587149243")</f>
        <v>#NAME?</v>
      </c>
      <c r="H1324" t="e">
        <f ca="1">_xludf.IMAGE("https://m.media-amazon.com/images/I/41FcoITI0lL._AC_UL320_.jpg")</f>
        <v>#NAME?</v>
      </c>
      <c r="I1324" t="s">
        <v>74</v>
      </c>
      <c r="J1324">
        <v>159.41</v>
      </c>
      <c r="K1324" s="4">
        <v>0.32850000000000001</v>
      </c>
      <c r="L1324">
        <v>5</v>
      </c>
      <c r="M1324">
        <v>1</v>
      </c>
      <c r="O1324" t="s">
        <v>25</v>
      </c>
      <c r="P1324" t="s">
        <v>1532</v>
      </c>
      <c r="Q1324" t="s">
        <v>1533</v>
      </c>
    </row>
    <row r="1325" spans="1:17" ht="15.5" x14ac:dyDescent="0.35">
      <c r="A1325" s="3" t="str">
        <f>HYPERLINK("https://edmondsonsupply.com/collections/hvac/products/nu-calgon-4185-15-condensate-pan-gel-tabs-15-ton", "https://edmondsonsupply.com/collections/hvac/products/nu-calgon-4185-15-condensate-pan-gel-tabs-15-ton")</f>
        <v>https://edmondsonsupply.com/collections/hvac/products/nu-calgon-4185-15-condensate-pan-gel-tabs-15-ton</v>
      </c>
      <c r="B1325" s="3" t="str">
        <f>HYPERLINK("https://edmondsonsupply.com/products/nu-calgon-4185-15-condensate-pan-gel-tabs-15-ton", "https://edmondsonsupply.com/products/nu-calgon-4185-15-condensate-pan-gel-tabs-15-ton")</f>
        <v>https://edmondsonsupply.com/products/nu-calgon-4185-15-condensate-pan-gel-tabs-15-ton</v>
      </c>
      <c r="C1325" t="s">
        <v>2098</v>
      </c>
      <c r="D1325" t="s">
        <v>3509</v>
      </c>
      <c r="E1325" s="3" t="str">
        <f>HYPERLINK("https://www.amazon.com/12-Nu-Calgon-Gel-Tab-Condensate-Treatment/dp/B07W68DHNQ/ref=sr_1_2?keywords=Nu-Calgon+4185-15+Condensate+Pan+Gel+Tab%2C+15+ton&amp;qid=1695173607&amp;sr=8-2", "https://www.amazon.com/12-Nu-Calgon-Gel-Tab-Condensate-Treatment/dp/B07W68DHNQ/ref=sr_1_2?keywords=Nu-Calgon+4185-15+Condensate+Pan+Gel+Tab%2C+15+ton&amp;qid=1695173607&amp;sr=8-2")</f>
        <v>https://www.amazon.com/12-Nu-Calgon-Gel-Tab-Condensate-Treatment/dp/B07W68DHNQ/ref=sr_1_2?keywords=Nu-Calgon+4185-15+Condensate+Pan+Gel+Tab%2C+15+ton&amp;qid=1695173607&amp;sr=8-2</v>
      </c>
      <c r="F1325" t="s">
        <v>3510</v>
      </c>
      <c r="G1325" t="e">
        <f ca="1">_xludf.IMAGE("https://edmondsonsupply.com/cdn/shop/products/4185-15.jpg?v=1659378611")</f>
        <v>#NAME?</v>
      </c>
      <c r="H1325" t="e">
        <f ca="1">_xludf.IMAGE("https://m.media-amazon.com/images/I/51tY4s9v36L._AC_UY218_.jpg")</f>
        <v>#NAME?</v>
      </c>
      <c r="I1325" t="s">
        <v>2101</v>
      </c>
      <c r="J1325">
        <v>24.5</v>
      </c>
      <c r="K1325" s="4">
        <v>0.32500000000000001</v>
      </c>
      <c r="L1325">
        <v>4.2</v>
      </c>
      <c r="M1325">
        <v>7</v>
      </c>
      <c r="O1325" t="s">
        <v>25</v>
      </c>
      <c r="P1325" t="s">
        <v>2102</v>
      </c>
      <c r="Q1325" t="s">
        <v>2103</v>
      </c>
    </row>
    <row r="1326" spans="1:17" ht="15.5" x14ac:dyDescent="0.35">
      <c r="A1326" s="3" t="str">
        <f>HYPERLINK("https://edmondsonsupply.com/collections/hvac/products/klein-tools-jth6t25-t25-torx%C2%AE-hex-key-with-journeyman-t-handle-6-inch", "https://edmondsonsupply.com/collections/hvac/products/klein-tools-jth6t25-t25-torx%C2%AE-hex-key-with-journeyman-t-handle-6-inch")</f>
        <v>https://edmondsonsupply.com/collections/hvac/products/klein-tools-jth6t25-t25-torx%C2%AE-hex-key-with-journeyman-t-handle-6-inch</v>
      </c>
      <c r="B1326" s="3" t="str">
        <f>HYPERLINK("https://edmondsonsupply.com/products/klein-tools-jth6t25-t25-torx%c2%ae-hex-key-with-journeyman-t-handle-6-inch", "https://edmondsonsupply.com/products/klein-tools-jth6t25-t25-torx%c2%ae-hex-key-with-journeyman-t-handle-6-inch")</f>
        <v>https://edmondsonsupply.com/products/klein-tools-jth6t25-t25-torx%c2%ae-hex-key-with-journeyman-t-handle-6-inch</v>
      </c>
      <c r="C1326" t="s">
        <v>3078</v>
      </c>
      <c r="D1326" t="s">
        <v>2386</v>
      </c>
      <c r="E1326" s="3" t="str">
        <f>HYPERLINK("https://www.amazon.com/Journeyman-T-Handle-Klein-Tools-JTH6E13BE/dp/B004QW52YW/ref=sr_1_4?keywords=Klein+Tools+JTH6T25+T25+Torx%C2%AE+Hex+Key+with+Journeyman+T-Handle%2C+6-Inch&amp;qid=1695173551&amp;sr=8-4", "https://www.amazon.com/Journeyman-T-Handle-Klein-Tools-JTH6E13BE/dp/B004QW52YW/ref=sr_1_4?keywords=Klein+Tools+JTH6T25+T25+Torx%C2%AE+Hex+Key+with+Journeyman+T-Handle%2C+6-Inch&amp;qid=1695173551&amp;sr=8-4")</f>
        <v>https://www.amazon.com/Journeyman-T-Handle-Klein-Tools-JTH6E13BE/dp/B004QW52YW/ref=sr_1_4?keywords=Klein+Tools+JTH6T25+T25+Torx%C2%AE+Hex+Key+with+Journeyman+T-Handle%2C+6-Inch&amp;qid=1695173551&amp;sr=8-4</v>
      </c>
      <c r="F1326" t="s">
        <v>2387</v>
      </c>
      <c r="G1326" t="e">
        <f ca="1">_xludf.IMAGE("https://edmondsonsupply.com/cdn/shop/products/jth6t40_f27d4256-4343-44f4-afb3-5989c8c8fc7b.jpg?v=1613168190")</f>
        <v>#NAME?</v>
      </c>
      <c r="H1326" t="e">
        <f ca="1">_xludf.IMAGE("https://m.media-amazon.com/images/I/51f9vBFVXgL._AC_UL320_.jpg")</f>
        <v>#NAME?</v>
      </c>
      <c r="I1326" t="s">
        <v>1003</v>
      </c>
      <c r="J1326">
        <v>10.55</v>
      </c>
      <c r="K1326" s="4">
        <v>0.32040000000000002</v>
      </c>
      <c r="L1326">
        <v>4.7</v>
      </c>
      <c r="M1326">
        <v>32</v>
      </c>
      <c r="O1326" t="s">
        <v>25</v>
      </c>
      <c r="P1326" t="s">
        <v>3081</v>
      </c>
      <c r="Q1326" t="s">
        <v>3082</v>
      </c>
    </row>
    <row r="1327" spans="1:17" ht="15.5" x14ac:dyDescent="0.35">
      <c r="A1327" s="3" t="str">
        <f>HYPERLINK("https://edmondsonsupply.com/collections/hvac/products/milwaukee-48-22-1540-fastback%E2%84%A2-5-in-1-folding-knife", "https://edmondsonsupply.com/collections/hvac/products/milwaukee-48-22-1540-fastback%E2%84%A2-5-in-1-folding-knife")</f>
        <v>https://edmondsonsupply.com/collections/hvac/products/milwaukee-48-22-1540-fastback%E2%84%A2-5-in-1-folding-knife</v>
      </c>
      <c r="B1327" s="3" t="str">
        <f>HYPERLINK("https://edmondsonsupply.com/products/milwaukee-48-22-1540-fastback%e2%84%a2-5-in-1-folding-knife", "https://edmondsonsupply.com/products/milwaukee-48-22-1540-fastback%e2%84%a2-5-in-1-folding-knife")</f>
        <v>https://edmondsonsupply.com/products/milwaukee-48-22-1540-fastback%e2%84%a2-5-in-1-folding-knife</v>
      </c>
      <c r="C1327" t="s">
        <v>2507</v>
      </c>
      <c r="D1327" t="s">
        <v>3511</v>
      </c>
      <c r="E1327" s="3" t="str">
        <f>HYPERLINK("https://www.amazon.com/Milwaukee-48-22-1902-48-22-1950-Dispenser-50-Blades/dp/B06XWJJQN2/ref=sr_1_6?keywords=Milwaukee+48-22-1540+FASTBACK%E2%84%A2+5-in-1+Folding+Knife&amp;qid=1695173436&amp;sr=8-6", "https://www.amazon.com/Milwaukee-48-22-1902-48-22-1950-Dispenser-50-Blades/dp/B06XWJJQN2/ref=sr_1_6?keywords=Milwaukee+48-22-1540+FASTBACK%E2%84%A2+5-in-1+Folding+Knife&amp;qid=1695173436&amp;sr=8-6")</f>
        <v>https://www.amazon.com/Milwaukee-48-22-1902-48-22-1950-Dispenser-50-Blades/dp/B06XWJJQN2/ref=sr_1_6?keywords=Milwaukee+48-22-1540+FASTBACK%E2%84%A2+5-in-1+Folding+Knife&amp;qid=1695173436&amp;sr=8-6</v>
      </c>
      <c r="F1327" t="s">
        <v>3512</v>
      </c>
      <c r="G1327" t="e">
        <f ca="1">_xludf.IMAGE("https://edmondsonsupply.com/cdn/shop/products/48-22-1540_1.png?v=1587142762")</f>
        <v>#NAME?</v>
      </c>
      <c r="H1327" t="e">
        <f ca="1">_xludf.IMAGE("https://m.media-amazon.com/images/I/61aj6yTNXYL._AC_UL320_.jpg")</f>
        <v>#NAME?</v>
      </c>
      <c r="I1327" t="s">
        <v>2510</v>
      </c>
      <c r="J1327">
        <v>31.61</v>
      </c>
      <c r="K1327" s="4">
        <v>0.31869999999999998</v>
      </c>
      <c r="L1327">
        <v>4.4000000000000004</v>
      </c>
      <c r="M1327">
        <v>29</v>
      </c>
      <c r="O1327" t="s">
        <v>25</v>
      </c>
      <c r="P1327" t="s">
        <v>2511</v>
      </c>
      <c r="Q1327" t="s">
        <v>2512</v>
      </c>
    </row>
    <row r="1328" spans="1:17" ht="15.5" x14ac:dyDescent="0.35">
      <c r="A1328" s="3" t="str">
        <f>HYPERLINK("https://edmondsonsupply.com/collections/hvac/products/midwest-mwt-ss6716r-special-hardness-aviation-snip-right-cutting", "https://edmondsonsupply.com/collections/hvac/products/midwest-mwt-ss6716r-special-hardness-aviation-snip-right-cutting")</f>
        <v>https://edmondsonsupply.com/collections/hvac/products/midwest-mwt-ss6716r-special-hardness-aviation-snip-right-cutting</v>
      </c>
      <c r="B1328" s="3" t="str">
        <f>HYPERLINK("https://edmondsonsupply.com/products/midwest-mwt-ss6716r-special-hardness-aviation-snip-right-cutting", "https://edmondsonsupply.com/products/midwest-mwt-ss6716r-special-hardness-aviation-snip-right-cutting")</f>
        <v>https://edmondsonsupply.com/products/midwest-mwt-ss6716r-special-hardness-aviation-snip-right-cutting</v>
      </c>
      <c r="C1328" t="s">
        <v>1768</v>
      </c>
      <c r="D1328" t="s">
        <v>3513</v>
      </c>
      <c r="E1328" s="3" t="str">
        <f>HYPERLINK("https://www.amazon.com/MIDWEST-Aviation-Snip-KUSHN-POWER-MWT-6900R/dp/B00OJ0KPE8/ref=sr_1_5?keywords=Midwest+MWT-SS6716R+Special+Hardness+Aviation+Snip+-+Right-Cutting&amp;qid=1695173444&amp;sr=8-5", "https://www.amazon.com/MIDWEST-Aviation-Snip-KUSHN-POWER-MWT-6900R/dp/B00OJ0KPE8/ref=sr_1_5?keywords=Midwest+MWT-SS6716R+Special+Hardness+Aviation+Snip+-+Right-Cutting&amp;qid=1695173444&amp;sr=8-5")</f>
        <v>https://www.amazon.com/MIDWEST-Aviation-Snip-KUSHN-POWER-MWT-6900R/dp/B00OJ0KPE8/ref=sr_1_5?keywords=Midwest+MWT-SS6716R+Special+Hardness+Aviation+Snip+-+Right-Cutting&amp;qid=1695173444&amp;sr=8-5</v>
      </c>
      <c r="F1328" t="s">
        <v>3514</v>
      </c>
      <c r="G1328" t="e">
        <f ca="1">_xludf.IMAGE("https://edmondsonsupply.com/cdn/shop/products/MWT-SS6716R1.jpg?v=1587146219")</f>
        <v>#NAME?</v>
      </c>
      <c r="H1328" t="e">
        <f ca="1">_xludf.IMAGE("https://m.media-amazon.com/images/I/715hD0L0+uL._AC_UL320_.jpg")</f>
        <v>#NAME?</v>
      </c>
      <c r="I1328" t="s">
        <v>1769</v>
      </c>
      <c r="J1328">
        <v>32.479999999999997</v>
      </c>
      <c r="K1328" s="4">
        <v>0.31709999999999999</v>
      </c>
      <c r="L1328">
        <v>4.7</v>
      </c>
      <c r="M1328">
        <v>779</v>
      </c>
      <c r="O1328" t="s">
        <v>25</v>
      </c>
      <c r="P1328" t="s">
        <v>1770</v>
      </c>
      <c r="Q1328" t="s">
        <v>1771</v>
      </c>
    </row>
    <row r="1329" spans="1:17" ht="15.5" x14ac:dyDescent="0.35">
      <c r="A1329" s="3" t="str">
        <f>HYPERLINK("https://edmondsonsupply.com/collections/hvac/products/packard-titan-pro-trcd355-run-capacitor-35-5-mfd-370-volt-round", "https://edmondsonsupply.com/collections/hvac/products/packard-titan-pro-trcd355-run-capacitor-35-5-mfd-370-volt-round")</f>
        <v>https://edmondsonsupply.com/collections/hvac/products/packard-titan-pro-trcd355-run-capacitor-35-5-mfd-370-volt-round</v>
      </c>
      <c r="B1329" s="3" t="str">
        <f>HYPERLINK("https://edmondsonsupply.com/products/packard-titan-pro-trcd355-run-capacitor-35-5-mfd-370-volt-round", "https://edmondsonsupply.com/products/packard-titan-pro-trcd355-run-capacitor-35-5-mfd-370-volt-round")</f>
        <v>https://edmondsonsupply.com/products/packard-titan-pro-trcd355-run-capacitor-35-5-mfd-370-volt-round</v>
      </c>
      <c r="C1329" t="s">
        <v>2291</v>
      </c>
      <c r="D1329" t="s">
        <v>3308</v>
      </c>
      <c r="E1329" s="3" t="str">
        <f>HYPERLINK("https://www.amazon.com/PACKARD-TRCD455-Capacitor-Replaces-PRCD455/dp/B00K3M3NQ8/ref=sr_1_7?keywords=Packard+Titan+PRO+TRCD355+Run+Capacitor+35+5+MFD+370+Volt+Round&amp;qid=1695173450&amp;sr=8-7", "https://www.amazon.com/PACKARD-TRCD455-Capacitor-Replaces-PRCD455/dp/B00K3M3NQ8/ref=sr_1_7?keywords=Packard+Titan+PRO+TRCD355+Run+Capacitor+35+5+MFD+370+Volt+Round&amp;qid=1695173450&amp;sr=8-7")</f>
        <v>https://www.amazon.com/PACKARD-TRCD455-Capacitor-Replaces-PRCD455/dp/B00K3M3NQ8/ref=sr_1_7?keywords=Packard+Titan+PRO+TRCD355+Run+Capacitor+35+5+MFD+370+Volt+Round&amp;qid=1695173450&amp;sr=8-7</v>
      </c>
      <c r="F1329" t="s">
        <v>3309</v>
      </c>
      <c r="G1329" t="e">
        <f ca="1">_xludf.IMAGE("https://edmondsonsupply.com/cdn/shop/products/TRCD355-2.jpg?v=1633030395")</f>
        <v>#NAME?</v>
      </c>
      <c r="H1329" t="e">
        <f ca="1">_xludf.IMAGE("https://m.media-amazon.com/images/I/4118O3-fIGL._AC_UY218_.jpg")</f>
        <v>#NAME?</v>
      </c>
      <c r="I1329" t="s">
        <v>2294</v>
      </c>
      <c r="J1329">
        <v>11.23</v>
      </c>
      <c r="K1329" s="4">
        <v>0.3165</v>
      </c>
      <c r="L1329">
        <v>4.4000000000000004</v>
      </c>
      <c r="M1329">
        <v>140</v>
      </c>
      <c r="O1329" t="s">
        <v>25</v>
      </c>
      <c r="P1329" t="s">
        <v>138</v>
      </c>
      <c r="Q1329" t="s">
        <v>2295</v>
      </c>
    </row>
    <row r="1330" spans="1:17" ht="15.5" x14ac:dyDescent="0.35">
      <c r="A1330" s="3" t="str">
        <f>HYPERLINK("https://edmondsonsupply.com/collections/hvac/products/rectorseal-97087-safe-t-switch-ss2-gen-3", "https://edmondsonsupply.com/collections/hvac/products/rectorseal-97087-safe-t-switch-ss2-gen-3")</f>
        <v>https://edmondsonsupply.com/collections/hvac/products/rectorseal-97087-safe-t-switch-ss2-gen-3</v>
      </c>
      <c r="B1330" s="3" t="str">
        <f>HYPERLINK("https://edmondsonsupply.com/products/rectorseal-97087-safe-t-switch-ss2-gen-3", "https://edmondsonsupply.com/products/rectorseal-97087-safe-t-switch-ss2-gen-3")</f>
        <v>https://edmondsonsupply.com/products/rectorseal-97087-safe-t-switch-ss2-gen-3</v>
      </c>
      <c r="C1330" t="s">
        <v>2519</v>
      </c>
      <c r="D1330" t="s">
        <v>2421</v>
      </c>
      <c r="E1330" s="3" t="str">
        <f>HYPERLINK("https://www.amazon.com/Rectorseal-97089-SS3-Generation-Safe-T-Switch/dp/B09QQS4DF5/ref=sr_1_5?keywords=RectorSeal+97087+Safe-T-Switch+SS2%2C+Gen+3&amp;qid=1695173506&amp;sr=8-5", "https://www.amazon.com/Rectorseal-97089-SS3-Generation-Safe-T-Switch/dp/B09QQS4DF5/ref=sr_1_5?keywords=RectorSeal+97087+Safe-T-Switch+SS2%2C+Gen+3&amp;qid=1695173506&amp;sr=8-5")</f>
        <v>https://www.amazon.com/Rectorseal-97089-SS3-Generation-Safe-T-Switch/dp/B09QQS4DF5/ref=sr_1_5?keywords=RectorSeal+97087+Safe-T-Switch+SS2%2C+Gen+3&amp;qid=1695173506&amp;sr=8-5</v>
      </c>
      <c r="F1330" t="s">
        <v>2422</v>
      </c>
      <c r="G1330" t="e">
        <f ca="1">_xludf.IMAGE("https://edmondsonsupply.com/cdn/shop/products/97087-ss2-safe-t-switch-image-img.webp?v=1662053885")</f>
        <v>#NAME?</v>
      </c>
      <c r="H1330" t="e">
        <f ca="1">_xludf.IMAGE("https://m.media-amazon.com/images/I/31Vm-8kRflL._AC_UL320_.jpg")</f>
        <v>#NAME?</v>
      </c>
      <c r="I1330" t="s">
        <v>1158</v>
      </c>
      <c r="J1330">
        <v>28.95</v>
      </c>
      <c r="K1330" s="4">
        <v>0.3165</v>
      </c>
      <c r="L1330">
        <v>5</v>
      </c>
      <c r="M1330">
        <v>1</v>
      </c>
      <c r="O1330" t="s">
        <v>25</v>
      </c>
      <c r="P1330" t="s">
        <v>2522</v>
      </c>
      <c r="Q1330" t="s">
        <v>2523</v>
      </c>
    </row>
    <row r="1331" spans="1:17" ht="15.5" x14ac:dyDescent="0.35">
      <c r="A1331" s="3" t="str">
        <f>HYPERLINK("https://edmondsonsupply.com/collections/hvac/products/milwaukee-48-22-7213-10l-aluminum-pipe-wrench-with-powerlength%E2%84%A2-handle", "https://edmondsonsupply.com/collections/hvac/products/milwaukee-48-22-7213-10l-aluminum-pipe-wrench-with-powerlength%E2%84%A2-handle")</f>
        <v>https://edmondsonsupply.com/collections/hvac/products/milwaukee-48-22-7213-10l-aluminum-pipe-wrench-with-powerlength%E2%84%A2-handle</v>
      </c>
      <c r="B1331" s="3" t="str">
        <f>HYPERLINK("https://edmondsonsupply.com/products/milwaukee-48-22-7213-10l-aluminum-pipe-wrench-with-powerlength%e2%84%a2-handle", "https://edmondsonsupply.com/products/milwaukee-48-22-7213-10l-aluminum-pipe-wrench-with-powerlength%e2%84%a2-handle")</f>
        <v>https://edmondsonsupply.com/products/milwaukee-48-22-7213-10l-aluminum-pipe-wrench-with-powerlength%e2%84%a2-handle</v>
      </c>
      <c r="C1331" t="s">
        <v>3515</v>
      </c>
      <c r="D1331" t="s">
        <v>3516</v>
      </c>
      <c r="E1331" s="3" t="str">
        <f>HYPERLINK("https://www.amazon.com/Milwaukee-48-22-7213-Aluminum-Wrench-POWERLENGTH/dp/B09VQ6CYDG/ref=sr_1_2?keywords=Milwaukee+48-22-7213+10L+Aluminum+Pipe+Wrench+with+POWERLENGTH%E2%84%A2+Handle&amp;qid=1695173513&amp;sr=8-2", "https://www.amazon.com/Milwaukee-48-22-7213-Aluminum-Wrench-POWERLENGTH/dp/B09VQ6CYDG/ref=sr_1_2?keywords=Milwaukee+48-22-7213+10L+Aluminum+Pipe+Wrench+with+POWERLENGTH%E2%84%A2+Handle&amp;qid=1695173513&amp;sr=8-2")</f>
        <v>https://www.amazon.com/Milwaukee-48-22-7213-Aluminum-Wrench-POWERLENGTH/dp/B09VQ6CYDG/ref=sr_1_2?keywords=Milwaukee+48-22-7213+10L+Aluminum+Pipe+Wrench+with+POWERLENGTH%E2%84%A2+Handle&amp;qid=1695173513&amp;sr=8-2</v>
      </c>
      <c r="F1331" t="s">
        <v>3517</v>
      </c>
      <c r="G1331" t="e">
        <f ca="1">_xludf.IMAGE("https://edmondsonsupply.com/cdn/shop/products/48-22-7213_1.png?v=1675699294")</f>
        <v>#NAME?</v>
      </c>
      <c r="H1331" t="e">
        <f ca="1">_xludf.IMAGE("https://m.media-amazon.com/images/I/51qzHa1LxNL._AC_UL320_.jpg")</f>
        <v>#NAME?</v>
      </c>
      <c r="I1331" t="s">
        <v>3359</v>
      </c>
      <c r="J1331">
        <v>72.36</v>
      </c>
      <c r="K1331" s="4">
        <v>0.31640000000000001</v>
      </c>
      <c r="L1331">
        <v>5</v>
      </c>
      <c r="M1331">
        <v>6</v>
      </c>
      <c r="O1331" t="s">
        <v>25</v>
      </c>
      <c r="P1331" t="s">
        <v>3518</v>
      </c>
      <c r="Q1331" t="s">
        <v>3519</v>
      </c>
    </row>
    <row r="1332" spans="1:17" ht="15.5" x14ac:dyDescent="0.35">
      <c r="A1332" s="3" t="str">
        <f>HYPERLINK("https://edmondsonsupply.com/collections/hvac/products/klein-tools-630m-magnetic-nut-driver-set-3-inch-shafts-2-piece", "https://edmondsonsupply.com/collections/hvac/products/klein-tools-630m-magnetic-nut-driver-set-3-inch-shafts-2-piece")</f>
        <v>https://edmondsonsupply.com/collections/hvac/products/klein-tools-630m-magnetic-nut-driver-set-3-inch-shafts-2-piece</v>
      </c>
      <c r="B1332" s="3" t="str">
        <f>HYPERLINK("https://edmondsonsupply.com/products/klein-tools-630m-magnetic-nut-driver-set-3-inch-shafts-2-piece", "https://edmondsonsupply.com/products/klein-tools-630m-magnetic-nut-driver-set-3-inch-shafts-2-piece")</f>
        <v>https://edmondsonsupply.com/products/klein-tools-630m-magnetic-nut-driver-set-3-inch-shafts-2-piece</v>
      </c>
      <c r="C1332" t="s">
        <v>1690</v>
      </c>
      <c r="D1332" t="s">
        <v>1894</v>
      </c>
      <c r="E1332" s="3" t="str">
        <f>HYPERLINK("https://www.amazon.com/Magnetic-16-Inch-Klein-Tools-646M/dp/B000936QV0/ref=sr_1_3?keywords=Klein+Tools+630M+Magnetic+Nut+Driver+Set%2C+3-Inch+Shafts%2C+2-Piece&amp;qid=1695173650&amp;sr=8-3", "https://www.amazon.com/Magnetic-16-Inch-Klein-Tools-646M/dp/B000936QV0/ref=sr_1_3?keywords=Klein+Tools+630M+Magnetic+Nut+Driver+Set%2C+3-Inch+Shafts%2C+2-Piece&amp;qid=1695173650&amp;sr=8-3")</f>
        <v>https://www.amazon.com/Magnetic-16-Inch-Klein-Tools-646M/dp/B000936QV0/ref=sr_1_3?keywords=Klein+Tools+630M+Magnetic+Nut+Driver+Set%2C+3-Inch+Shafts%2C+2-Piece&amp;qid=1695173650&amp;sr=8-3</v>
      </c>
      <c r="F1332" t="s">
        <v>1895</v>
      </c>
      <c r="G1332" t="e">
        <f ca="1">_xludf.IMAGE("https://edmondsonsupply.com/cdn/shop/products/630m.jpg?v=1587143237")</f>
        <v>#NAME?</v>
      </c>
      <c r="H1332" t="e">
        <f ca="1">_xludf.IMAGE("https://m.media-amazon.com/images/I/41lkJ6KRq9L._AC_UL320_.jpg")</f>
        <v>#NAME?</v>
      </c>
      <c r="I1332" t="s">
        <v>1687</v>
      </c>
      <c r="J1332">
        <v>24.99</v>
      </c>
      <c r="K1332" s="4">
        <v>0.316</v>
      </c>
      <c r="L1332">
        <v>4.8</v>
      </c>
      <c r="M1332">
        <v>1654</v>
      </c>
      <c r="O1332" t="s">
        <v>25</v>
      </c>
      <c r="P1332" t="s">
        <v>1693</v>
      </c>
      <c r="Q1332" t="s">
        <v>1694</v>
      </c>
    </row>
    <row r="1333" spans="1:17" ht="15.5" x14ac:dyDescent="0.35">
      <c r="A1333" s="3" t="str">
        <f>HYPERLINK("https://edmondsonsupply.com/collections/hvac/products/refrigeration-technologies-rt200r-nylog-red-gasket-thread-sealant", "https://edmondsonsupply.com/collections/hvac/products/refrigeration-technologies-rt200r-nylog-red-gasket-thread-sealant")</f>
        <v>https://edmondsonsupply.com/collections/hvac/products/refrigeration-technologies-rt200r-nylog-red-gasket-thread-sealant</v>
      </c>
      <c r="B1333" s="3" t="str">
        <f>HYPERLINK("https://edmondsonsupply.com/products/refrigeration-technologies-rt200r-nylog-red-gasket-thread-sealant", "https://edmondsonsupply.com/products/refrigeration-technologies-rt200r-nylog-red-gasket-thread-sealant")</f>
        <v>https://edmondsonsupply.com/products/refrigeration-technologies-rt200r-nylog-red-gasket-thread-sealant</v>
      </c>
      <c r="C1333" t="s">
        <v>2751</v>
      </c>
      <c r="D1333" t="s">
        <v>3520</v>
      </c>
      <c r="E1333" s="3" t="str">
        <f>HYPERLINK("https://www.amazon.com/Refrigeration-Technologies-RT200R-Nylog-Sealant/dp/B008HOSQ3E/ref=sr_1_2?keywords=Refrigeration+Technologies+RT200R+Viper+Nylog+Red+-+Gasket+%26+Thread+Sealant&amp;qid=1695173429&amp;sr=8-2", "https://www.amazon.com/Refrigeration-Technologies-RT200R-Nylog-Sealant/dp/B008HOSQ3E/ref=sr_1_2?keywords=Refrigeration+Technologies+RT200R+Viper+Nylog+Red+-+Gasket+%26+Thread+Sealant&amp;qid=1695173429&amp;sr=8-2")</f>
        <v>https://www.amazon.com/Refrigeration-Technologies-RT200R-Nylog-Sealant/dp/B008HOSQ3E/ref=sr_1_2?keywords=Refrigeration+Technologies+RT200R+Viper+Nylog+Red+-+Gasket+%26+Thread+Sealant&amp;qid=1695173429&amp;sr=8-2</v>
      </c>
      <c r="F1333" t="s">
        <v>3521</v>
      </c>
      <c r="G1333" t="e">
        <f ca="1">_xludf.IMAGE("https://edmondsonsupply.com/cdn/shop/products/Nylog-Red-Reflection-Web.jpg?v=1633030226")</f>
        <v>#NAME?</v>
      </c>
      <c r="H1333" t="e">
        <f ca="1">_xludf.IMAGE("https://m.media-amazon.com/images/I/41CKIg1XYgL._AC_UY218_.jpg")</f>
        <v>#NAME?</v>
      </c>
      <c r="I1333" t="s">
        <v>2754</v>
      </c>
      <c r="J1333">
        <v>8.99</v>
      </c>
      <c r="K1333" s="4">
        <v>0.31430000000000002</v>
      </c>
      <c r="L1333">
        <v>4.5</v>
      </c>
      <c r="M1333">
        <v>305</v>
      </c>
      <c r="O1333" t="s">
        <v>25</v>
      </c>
      <c r="P1333" t="s">
        <v>2755</v>
      </c>
      <c r="Q1333" t="s">
        <v>2756</v>
      </c>
    </row>
    <row r="1334" spans="1:17" ht="15.5" x14ac:dyDescent="0.35">
      <c r="A1334" s="3" t="str">
        <f>HYPERLINK("https://edmondsonsupply.com/collections/hvac/products/hilmor-1839022-cseh118-1-1-8-compact-swage-expander-head", "https://edmondsonsupply.com/collections/hvac/products/hilmor-1839022-cseh118-1-1-8-compact-swage-expander-head")</f>
        <v>https://edmondsonsupply.com/collections/hvac/products/hilmor-1839022-cseh118-1-1-8-compact-swage-expander-head</v>
      </c>
      <c r="B1334" s="3" t="str">
        <f>HYPERLINK("https://edmondsonsupply.com/products/hilmor-1839022-cseh118-1-1-8-compact-swage-expander-head", "https://edmondsonsupply.com/products/hilmor-1839022-cseh118-1-1-8-compact-swage-expander-head")</f>
        <v>https://edmondsonsupply.com/products/hilmor-1839022-cseh118-1-1-8-compact-swage-expander-head</v>
      </c>
      <c r="C1334" t="s">
        <v>3522</v>
      </c>
      <c r="D1334" t="s">
        <v>3523</v>
      </c>
      <c r="E1334" s="3" t="str">
        <f>HYPERLINK("https://www.amazon.com/hilmor-1839024-Swage-Expander-Head/dp/B00KUS04XU/ref=sr_1_1?keywords=Hilmor+1839022+CSEH118+1-1%2F8%22+Compact+Swage+Expander+Head&amp;qid=1695173684&amp;sr=8-1", "https://www.amazon.com/hilmor-1839024-Swage-Expander-Head/dp/B00KUS04XU/ref=sr_1_1?keywords=Hilmor+1839022+CSEH118+1-1%2F8%22+Compact+Swage+Expander+Head&amp;qid=1695173684&amp;sr=8-1")</f>
        <v>https://www.amazon.com/hilmor-1839024-Swage-Expander-Head/dp/B00KUS04XU/ref=sr_1_1?keywords=Hilmor+1839022+CSEH118+1-1%2F8%22+Compact+Swage+Expander+Head&amp;qid=1695173684&amp;sr=8-1</v>
      </c>
      <c r="F1334" t="s">
        <v>3524</v>
      </c>
      <c r="G1334" t="e">
        <f ca="1">_xludf.IMAGE("https://edmondsonsupply.com/cdn/shop/products/1839015-1_1.jpg?v=1587143877")</f>
        <v>#NAME?</v>
      </c>
      <c r="H1334" t="e">
        <f ca="1">_xludf.IMAGE("https://m.media-amazon.com/images/I/91FKWqXGW+L._AC_UL320_.jpg")</f>
        <v>#NAME?</v>
      </c>
      <c r="I1334" t="s">
        <v>3525</v>
      </c>
      <c r="J1334">
        <v>108.99</v>
      </c>
      <c r="K1334" s="4">
        <v>0.31409999999999999</v>
      </c>
      <c r="L1334">
        <v>4.8</v>
      </c>
      <c r="M1334">
        <v>85</v>
      </c>
      <c r="O1334" t="s">
        <v>25</v>
      </c>
      <c r="P1334" t="s">
        <v>3526</v>
      </c>
      <c r="Q1334" t="s">
        <v>3527</v>
      </c>
    </row>
    <row r="1335" spans="1:17" ht="15.5" x14ac:dyDescent="0.35">
      <c r="A1335"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335" s="3" t="str">
        <f>HYPERLINK("https://edmondsonsupply.com/products/klein-tools-646-1-4-1-4-inch-nut-driver-with-6-inch-hollow-shaft", "https://edmondsonsupply.com/products/klein-tools-646-1-4-1-4-inch-nut-driver-with-6-inch-hollow-shaft")</f>
        <v>https://edmondsonsupply.com/products/klein-tools-646-1-4-1-4-inch-nut-driver-with-6-inch-hollow-shaft</v>
      </c>
      <c r="C1335" t="s">
        <v>1478</v>
      </c>
      <c r="D1335" t="s">
        <v>3528</v>
      </c>
      <c r="E1335" s="3" t="str">
        <f>HYPERLINK("https://www.amazon.com/4-Inch-Cushion-Klein-Tools-630-1/dp/B00093DZR8/ref=sr_1_9?keywords=Klein+Tools+646-1%2F4+1%2F4-Inch+Nut+Driver+with+6-Inch+Hollow+Shaft&amp;qid=1695173548&amp;sr=8-9", "https://www.amazon.com/4-Inch-Cushion-Klein-Tools-630-1/dp/B00093DZR8/ref=sr_1_9?keywords=Klein+Tools+646-1%2F4+1%2F4-Inch+Nut+Driver+with+6-Inch+Hollow+Shaft&amp;qid=1695173548&amp;sr=8-9")</f>
        <v>https://www.amazon.com/4-Inch-Cushion-Klein-Tools-630-1/dp/B00093DZR8/ref=sr_1_9?keywords=Klein+Tools+646-1%2F4+1%2F4-Inch+Nut+Driver+with+6-Inch+Hollow+Shaft&amp;qid=1695173548&amp;sr=8-9</v>
      </c>
      <c r="F1335" t="s">
        <v>3529</v>
      </c>
      <c r="G1335" t="e">
        <f ca="1">_xludf.IMAGE("https://edmondsonsupply.com/cdn/shop/products/646-1-2_08d87fa9-eac4-4869-8d3b-bb680d4b1d53.jpg?v=1587150676")</f>
        <v>#NAME?</v>
      </c>
      <c r="H1335" t="e">
        <f ca="1">_xludf.IMAGE("https://m.media-amazon.com/images/I/41gchQgPtfL._AC_UL320_.jpg")</f>
        <v>#NAME?</v>
      </c>
      <c r="I1335" t="s">
        <v>1003</v>
      </c>
      <c r="J1335">
        <v>10.49</v>
      </c>
      <c r="K1335" s="4">
        <v>0.31290000000000001</v>
      </c>
      <c r="L1335">
        <v>4.8</v>
      </c>
      <c r="M1335">
        <v>59</v>
      </c>
      <c r="O1335" t="s">
        <v>25</v>
      </c>
      <c r="P1335" t="s">
        <v>1481</v>
      </c>
      <c r="Q1335" t="s">
        <v>1482</v>
      </c>
    </row>
    <row r="1336" spans="1:17" ht="15.5" x14ac:dyDescent="0.35">
      <c r="A1336" s="3" t="str">
        <f>HYPERLINK("https://edmondsonsupply.com/collections/hvac/products/diablo-tools-dag1130-1-in-x-7-1-2-in-auger-bit", "https://edmondsonsupply.com/collections/hvac/products/diablo-tools-dag1130-1-in-x-7-1-2-in-auger-bit")</f>
        <v>https://edmondsonsupply.com/collections/hvac/products/diablo-tools-dag1130-1-in-x-7-1-2-in-auger-bit</v>
      </c>
      <c r="B1336" s="3" t="str">
        <f>HYPERLINK("https://edmondsonsupply.com/products/diablo-tools-dag1130-1-in-x-7-1-2-in-auger-bit", "https://edmondsonsupply.com/products/diablo-tools-dag1130-1-in-x-7-1-2-in-auger-bit")</f>
        <v>https://edmondsonsupply.com/products/diablo-tools-dag1130-1-in-x-7-1-2-in-auger-bit</v>
      </c>
      <c r="C1336" t="s">
        <v>3530</v>
      </c>
      <c r="D1336" t="s">
        <v>3531</v>
      </c>
      <c r="E1336" s="3" t="str">
        <f>HYPERLINK("https://www.amazon.com/Diablo-Freud-DAG1140-1-1-Auger/dp/B089LK4BYB/ref=sr_1_4?keywords=Diablo+Tools+DAG1130+1+in.+x+7-1%2F2+in.+Auger+Bit&amp;qid=1695173621&amp;sr=8-4", "https://www.amazon.com/Diablo-Freud-DAG1140-1-1-Auger/dp/B089LK4BYB/ref=sr_1_4?keywords=Diablo+Tools+DAG1130+1+in.+x+7-1%2F2+in.+Auger+Bit&amp;qid=1695173621&amp;sr=8-4")</f>
        <v>https://www.amazon.com/Diablo-Freud-DAG1140-1-1-Auger/dp/B089LK4BYB/ref=sr_1_4?keywords=Diablo+Tools+DAG1130+1+in.+x+7-1%2F2+in.+Auger+Bit&amp;qid=1695173621&amp;sr=8-4</v>
      </c>
      <c r="F1336" t="s">
        <v>3532</v>
      </c>
      <c r="G1336" t="e">
        <f ca="1">_xludf.IMAGE("https://edmondsonsupply.com/cdn/shop/products/DAG1130_Main-Image20200712.png?v=1633031124")</f>
        <v>#NAME?</v>
      </c>
      <c r="H1336" t="e">
        <f ca="1">_xludf.IMAGE("https://m.media-amazon.com/images/I/71oBAD0fx0L._AC_UL320_.jpg")</f>
        <v>#NAME?</v>
      </c>
      <c r="I1336" t="s">
        <v>3533</v>
      </c>
      <c r="J1336">
        <v>21.47</v>
      </c>
      <c r="K1336" s="4">
        <v>0.3115</v>
      </c>
      <c r="L1336">
        <v>4.2</v>
      </c>
      <c r="M1336">
        <v>10</v>
      </c>
      <c r="O1336" t="s">
        <v>25</v>
      </c>
      <c r="P1336" t="s">
        <v>3534</v>
      </c>
      <c r="Q1336" t="s">
        <v>3535</v>
      </c>
    </row>
    <row r="1337" spans="1:17" ht="15.5" x14ac:dyDescent="0.35">
      <c r="A1337" s="3" t="str">
        <f>HYPERLINK("https://edmondsonsupply.com/collections/hvac/products/appion-mh380001bab-megaflow-megaflow-3-8in-hose-1-ft-1-4fl-to-1-4fl-45-blue", "https://edmondsonsupply.com/collections/hvac/products/appion-mh380001bab-megaflow-megaflow-3-8in-hose-1-ft-1-4fl-to-1-4fl-45-blue")</f>
        <v>https://edmondsonsupply.com/collections/hvac/products/appion-mh380001bab-megaflow-megaflow-3-8in-hose-1-ft-1-4fl-to-1-4fl-45-blue</v>
      </c>
      <c r="B1337" s="3" t="str">
        <f>HYPERLINK("https://edmondsonsupply.com/products/appion-mh380001bab-megaflow-megaflow-3-8in-hose-1-ft-1-4fl-to-1-4fl-45-blue", "https://edmondsonsupply.com/products/appion-mh380001bab-megaflow-megaflow-3-8in-hose-1-ft-1-4fl-to-1-4fl-45-blue")</f>
        <v>https://edmondsonsupply.com/products/appion-mh380001bab-megaflow-megaflow-3-8in-hose-1-ft-1-4fl-to-1-4fl-45-blue</v>
      </c>
      <c r="C1337" t="s">
        <v>3158</v>
      </c>
      <c r="D1337" t="s">
        <v>3536</v>
      </c>
      <c r="E1337" s="3" t="str">
        <f>HYPERLINK("https://www.amazon.com/Appion-MH380001BAB-MegaFlow-Filter-Degrees/dp/B08BR98WQB/ref=sr_1_1?keywords=Appion+MH380001BAB+MegaFlow+3%2F8in+Hose+-+1+ft+%281%2F4FL+to+1%2F4FL-45%C2%B0%29+Blue&amp;qid=1695173496&amp;sr=8-1", "https://www.amazon.com/Appion-MH380001BAB-MegaFlow-Filter-Degrees/dp/B08BR98WQB/ref=sr_1_1?keywords=Appion+MH380001BAB+MegaFlow+3%2F8in+Hose+-+1+ft+%281%2F4FL+to+1%2F4FL-45%C2%B0%29+Blue&amp;qid=1695173496&amp;sr=8-1")</f>
        <v>https://www.amazon.com/Appion-MH380001BAB-MegaFlow-Filter-Degrees/dp/B08BR98WQB/ref=sr_1_1?keywords=Appion+MH380001BAB+MegaFlow+3%2F8in+Hose+-+1+ft+%281%2F4FL+to+1%2F4FL-45%C2%B0%29+Blue&amp;qid=1695173496&amp;sr=8-1</v>
      </c>
      <c r="F1337" t="s">
        <v>3537</v>
      </c>
      <c r="G1337" t="e">
        <f ca="1">_xludf.IMAGE("https://edmondsonsupply.com/cdn/shop/products/MH380001BAB_1080.png?v=1678328641")</f>
        <v>#NAME?</v>
      </c>
      <c r="H1337" t="e">
        <f ca="1">_xludf.IMAGE("https://m.media-amazon.com/images/I/31SeKRPf6nL._AC_UY218_.jpg")</f>
        <v>#NAME?</v>
      </c>
      <c r="I1337" t="s">
        <v>3161</v>
      </c>
      <c r="J1337">
        <v>57.68</v>
      </c>
      <c r="K1337" s="4">
        <v>0.31119999999999998</v>
      </c>
      <c r="L1337">
        <v>3.9</v>
      </c>
      <c r="M1337">
        <v>8</v>
      </c>
      <c r="O1337" t="s">
        <v>25</v>
      </c>
      <c r="P1337" t="s">
        <v>269</v>
      </c>
      <c r="Q1337" t="s">
        <v>3162</v>
      </c>
    </row>
    <row r="1338" spans="1:17" ht="15.5" x14ac:dyDescent="0.35">
      <c r="A1338" s="3" t="str">
        <f>HYPERLINK("https://edmondsonsupply.com/collections/hvac/products/uniweld-typetft-tuning-fork%E2%84%A2-tip", "https://edmondsonsupply.com/collections/hvac/products/uniweld-typetft-tuning-fork%E2%84%A2-tip")</f>
        <v>https://edmondsonsupply.com/collections/hvac/products/uniweld-typetft-tuning-fork%E2%84%A2-tip</v>
      </c>
      <c r="B1338" s="3" t="str">
        <f>HYPERLINK("https://edmondsonsupply.com/products/uniweld-typetft-tuning-fork%e2%84%a2-tip", "https://edmondsonsupply.com/products/uniweld-typetft-tuning-fork%e2%84%a2-tip")</f>
        <v>https://edmondsonsupply.com/products/uniweld-typetft-tuning-fork%e2%84%a2-tip</v>
      </c>
      <c r="C1338" t="s">
        <v>3538</v>
      </c>
      <c r="D1338" t="s">
        <v>3539</v>
      </c>
      <c r="E1338" s="3" t="str">
        <f>HYPERLINK("https://www.amazon.com/Uniweld-Type17TFT-Defective-Reversing-Removal/dp/B00FI1JBV0/ref=sr_1_1?keywords=Uniweld+Type17TFT+Tuning+Fork%E2%84%A2+Tip&amp;qid=1695173610&amp;sr=8-1", "https://www.amazon.com/Uniweld-Type17TFT-Defective-Reversing-Removal/dp/B00FI1JBV0/ref=sr_1_1?keywords=Uniweld+Type17TFT+Tuning+Fork%E2%84%A2+Tip&amp;qid=1695173610&amp;sr=8-1")</f>
        <v>https://www.amazon.com/Uniweld-Type17TFT-Defective-Reversing-Removal/dp/B00FI1JBV0/ref=sr_1_1?keywords=Uniweld+Type17TFT+Tuning+Fork%E2%84%A2+Tip&amp;qid=1695173610&amp;sr=8-1</v>
      </c>
      <c r="F1338" t="s">
        <v>3540</v>
      </c>
      <c r="G1338" t="e">
        <f ca="1">_xludf.IMAGE("https://edmondsonsupply.com/cdn/shop/products/type17tft-package-1.jpg?v=1656352218")</f>
        <v>#NAME?</v>
      </c>
      <c r="H1338" t="e">
        <f ca="1">_xludf.IMAGE("https://m.media-amazon.com/images/I/61+827Co6HS._AC_UY218_.jpg")</f>
        <v>#NAME?</v>
      </c>
      <c r="I1338" t="s">
        <v>3541</v>
      </c>
      <c r="J1338">
        <v>107.32</v>
      </c>
      <c r="K1338" s="4">
        <v>0.30890000000000001</v>
      </c>
      <c r="L1338">
        <v>4.0999999999999996</v>
      </c>
      <c r="M1338">
        <v>17</v>
      </c>
      <c r="O1338" t="s">
        <v>25</v>
      </c>
      <c r="P1338" t="s">
        <v>3542</v>
      </c>
      <c r="Q1338" t="s">
        <v>3543</v>
      </c>
    </row>
    <row r="1339" spans="1:17" ht="15.5" x14ac:dyDescent="0.35">
      <c r="A1339" s="3" t="str">
        <f>HYPERLINK("https://edmondsonsupply.com/collections/hvac/products/klein-tools-32562-6-in-1-multi-bit-screwdriver-nut-driver-stubby", "https://edmondsonsupply.com/collections/hvac/products/klein-tools-32562-6-in-1-multi-bit-screwdriver-nut-driver-stubby")</f>
        <v>https://edmondsonsupply.com/collections/hvac/products/klein-tools-32562-6-in-1-multi-bit-screwdriver-nut-driver-stubby</v>
      </c>
      <c r="B1339"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1339" t="s">
        <v>3544</v>
      </c>
      <c r="D1339" t="s">
        <v>3545</v>
      </c>
      <c r="E1339" s="3" t="str">
        <f>HYPERLINK("https://www.amazon.com/Extended-Screwdriver-Klein-Tools-32560/dp/B005FQDHF4/ref=sr_1_5?keywords=Klein+Tools+32562+Multi-Bit+Screwdriver+%2F+Nut+Driver%2C+6-in-1%2C+Stubby%2C+Ph%2C+Sl%2C+Sq+Bits&amp;qid=1695173663&amp;sr=8-5", "https://www.amazon.com/Extended-Screwdriver-Klein-Tools-32560/dp/B005FQDHF4/ref=sr_1_5?keywords=Klein+Tools+32562+Multi-Bit+Screwdriver+%2F+Nut+Driver%2C+6-in-1%2C+Stubby%2C+Ph%2C+Sl%2C+Sq+Bits&amp;qid=1695173663&amp;sr=8-5")</f>
        <v>https://www.amazon.com/Extended-Screwdriver-Klein-Tools-32560/dp/B005FQDHF4/ref=sr_1_5?keywords=Klein+Tools+32562+Multi-Bit+Screwdriver+%2F+Nut+Driver%2C+6-in-1%2C+Stubby%2C+Ph%2C+Sl%2C+Sq+Bits&amp;qid=1695173663&amp;sr=8-5</v>
      </c>
      <c r="F1339" t="s">
        <v>3546</v>
      </c>
      <c r="G1339" t="e">
        <f ca="1">_xludf.IMAGE("https://edmondsonsupply.com/cdn/shop/products/32562.jpg?v=1587145424")</f>
        <v>#NAME?</v>
      </c>
      <c r="H1339" t="e">
        <f ca="1">_xludf.IMAGE("https://m.media-amazon.com/images/I/516UhfUKmUL._AC_UL320_.jpg")</f>
        <v>#NAME?</v>
      </c>
      <c r="I1339" t="s">
        <v>834</v>
      </c>
      <c r="J1339">
        <v>16.989999999999998</v>
      </c>
      <c r="K1339" s="4">
        <v>0.30790000000000001</v>
      </c>
      <c r="L1339">
        <v>4.8</v>
      </c>
      <c r="M1339">
        <v>679</v>
      </c>
      <c r="O1339" t="s">
        <v>25</v>
      </c>
      <c r="P1339" t="s">
        <v>3547</v>
      </c>
      <c r="Q1339" t="s">
        <v>3548</v>
      </c>
    </row>
    <row r="1340" spans="1:17" ht="15.5" x14ac:dyDescent="0.35">
      <c r="A1340" s="3" t="str">
        <f>HYPERLINK("https://edmondsonsupply.com/collections/hvac/products/packard-trcfd405-titan-pro-run-capacitor-40-5-mfd-440-370-volt-round", "https://edmondsonsupply.com/collections/hvac/products/packard-trcfd405-titan-pro-run-capacitor-40-5-mfd-440-370-volt-round")</f>
        <v>https://edmondsonsupply.com/collections/hvac/products/packard-trcfd405-titan-pro-run-capacitor-40-5-mfd-440-370-volt-round</v>
      </c>
      <c r="B1340" s="3" t="str">
        <f>HYPERLINK("https://edmondsonsupply.com/products/packard-trcfd405-titan-pro-run-capacitor-40-5-mfd-440-370-volt-round", "https://edmondsonsupply.com/products/packard-trcfd405-titan-pro-run-capacitor-40-5-mfd-440-370-volt-round")</f>
        <v>https://edmondsonsupply.com/products/packard-trcfd405-titan-pro-run-capacitor-40-5-mfd-440-370-volt-round</v>
      </c>
      <c r="C1340" t="s">
        <v>2056</v>
      </c>
      <c r="D1340" t="s">
        <v>2165</v>
      </c>
      <c r="E1340" s="3" t="str">
        <f>HYPERLINK("https://www.amazon.com/Titan-TRCFD405-Rated-Motor-Capacitor/dp/B01HPK5ANO/ref=sr_1_2?keywords=Packard+TRCFD405+Titan+PRO+Run+Capacitor+40%2B5+MFD+440%2F370+Volt+Round&amp;qid=1695173477&amp;sr=8-2", "https://www.amazon.com/Titan-TRCFD405-Rated-Motor-Capacitor/dp/B01HPK5ANO/ref=sr_1_2?keywords=Packard+TRCFD405+Titan+PRO+Run+Capacitor+40%2B5+MFD+440%2F370+Volt+Round&amp;qid=1695173477&amp;sr=8-2")</f>
        <v>https://www.amazon.com/Titan-TRCFD405-Rated-Motor-Capacitor/dp/B01HPK5ANO/ref=sr_1_2?keywords=Packard+TRCFD405+Titan+PRO+Run+Capacitor+40%2B5+MFD+440%2F370+Volt+Round&amp;qid=1695173477&amp;sr=8-2</v>
      </c>
      <c r="F1340" t="s">
        <v>2166</v>
      </c>
      <c r="G1340" t="e">
        <f ca="1">_xludf.IMAGE("https://edmondsonsupply.com/cdn/shop/products/TRCFD405-2.jpg?v=1633030399")</f>
        <v>#NAME?</v>
      </c>
      <c r="H1340" t="e">
        <f ca="1">_xludf.IMAGE("https://m.media-amazon.com/images/I/31rIunJqcaL._AC_UY218_.jpg")</f>
        <v>#NAME?</v>
      </c>
      <c r="I1340" t="s">
        <v>1537</v>
      </c>
      <c r="J1340">
        <v>10.96</v>
      </c>
      <c r="K1340" s="4">
        <v>0.30630000000000002</v>
      </c>
      <c r="L1340">
        <v>4.7</v>
      </c>
      <c r="M1340">
        <v>393</v>
      </c>
      <c r="O1340" t="s">
        <v>171</v>
      </c>
      <c r="P1340" t="s">
        <v>138</v>
      </c>
      <c r="Q1340" t="s">
        <v>2059</v>
      </c>
    </row>
    <row r="1341" spans="1:17" ht="15.5" x14ac:dyDescent="0.35">
      <c r="A1341"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1341" s="3" t="str">
        <f>HYPERLINK("https://edmondsonsupply.com/products/midwest-mwt-6510r-right-offset-aviation-snip", "https://edmondsonsupply.com/products/midwest-mwt-6510r-right-offset-aviation-snip")</f>
        <v>https://edmondsonsupply.com/products/midwest-mwt-6510r-right-offset-aviation-snip</v>
      </c>
      <c r="C1341" t="s">
        <v>1776</v>
      </c>
      <c r="D1341" t="s">
        <v>3513</v>
      </c>
      <c r="E1341" s="3" t="str">
        <f>HYPERLINK("https://www.amazon.com/MIDWEST-Aviation-Snip-KUSHN-POWER-MWT-6900R/dp/B00OJ0KPE8/ref=sr_1_8?keywords=Midwest+MWT-6510R+Right+Offset+Aviation+Snip&amp;qid=1695173557&amp;sr=8-8", "https://www.amazon.com/MIDWEST-Aviation-Snip-KUSHN-POWER-MWT-6900R/dp/B00OJ0KPE8/ref=sr_1_8?keywords=Midwest+MWT-6510R+Right+Offset+Aviation+Snip&amp;qid=1695173557&amp;sr=8-8")</f>
        <v>https://www.amazon.com/MIDWEST-Aviation-Snip-KUSHN-POWER-MWT-6900R/dp/B00OJ0KPE8/ref=sr_1_8?keywords=Midwest+MWT-6510R+Right+Offset+Aviation+Snip&amp;qid=1695173557&amp;sr=8-8</v>
      </c>
      <c r="F1341" t="s">
        <v>3514</v>
      </c>
      <c r="G1341" t="e">
        <f ca="1">_xludf.IMAGE("https://edmondsonsupply.com/cdn/shop/products/MWT-6510R.png?v=1587144877")</f>
        <v>#NAME?</v>
      </c>
      <c r="H1341" t="e">
        <f ca="1">_xludf.IMAGE("https://m.media-amazon.com/images/I/715hD0L0+uL._AC_UL320_.jpg")</f>
        <v>#NAME?</v>
      </c>
      <c r="I1341" t="s">
        <v>1777</v>
      </c>
      <c r="J1341">
        <v>32.479999999999997</v>
      </c>
      <c r="K1341" s="4">
        <v>0.3049</v>
      </c>
      <c r="L1341">
        <v>4.7</v>
      </c>
      <c r="M1341">
        <v>779</v>
      </c>
      <c r="O1341" t="s">
        <v>25</v>
      </c>
      <c r="P1341" t="s">
        <v>260</v>
      </c>
      <c r="Q1341" t="s">
        <v>1778</v>
      </c>
    </row>
    <row r="1342" spans="1:17" ht="15.5" x14ac:dyDescent="0.35">
      <c r="A1342" s="3" t="str">
        <f>HYPERLINK("https://edmondsonsupply.com/collections/hvac/products/sioux-chief-672xv0490-3-4-pex-inlet-x-4-1-2-pex-branches-valved-manifold", "https://edmondsonsupply.com/collections/hvac/products/sioux-chief-672xv0490-3-4-pex-inlet-x-4-1-2-pex-branches-valved-manifold")</f>
        <v>https://edmondsonsupply.com/collections/hvac/products/sioux-chief-672xv0490-3-4-pex-inlet-x-4-1-2-pex-branches-valved-manifold</v>
      </c>
      <c r="B1342" s="3" t="str">
        <f>HYPERLINK("https://edmondsonsupply.com/products/sioux-chief-672xv0490-3-4-pex-inlet-x-4-1-2-pex-branches-valved-manifold", "https://edmondsonsupply.com/products/sioux-chief-672xv0490-3-4-pex-inlet-x-4-1-2-pex-branches-valved-manifold")</f>
        <v>https://edmondsonsupply.com/products/sioux-chief-672xv0490-3-4-pex-inlet-x-4-1-2-pex-branches-valved-manifold</v>
      </c>
      <c r="C1342" t="s">
        <v>2526</v>
      </c>
      <c r="D1342" t="s">
        <v>3549</v>
      </c>
      <c r="E1342" s="3" t="str">
        <f>HYPERLINK("https://www.amazon.com/Sioux-Chief-672XV0490-Manifold-valves/dp/B003QSM9VQ/ref=sr_1_1?keywords=Sioux+Chief+672XV0490+3%2F4%22+PEX+Inlet+x+%284%29+1%2F2%22+PEX+Branches+Valved+Manifold&amp;qid=1695173446&amp;sr=8-1", "https://www.amazon.com/Sioux-Chief-672XV0490-Manifold-valves/dp/B003QSM9VQ/ref=sr_1_1?keywords=Sioux+Chief+672XV0490+3%2F4%22+PEX+Inlet+x+%284%29+1%2F2%22+PEX+Branches+Valved+Manifold&amp;qid=1695173446&amp;sr=8-1")</f>
        <v>https://www.amazon.com/Sioux-Chief-672XV0490-Manifold-valves/dp/B003QSM9VQ/ref=sr_1_1?keywords=Sioux+Chief+672XV0490+3%2F4%22+PEX+Inlet+x+%284%29+1%2F2%22+PEX+Branches+Valved+Manifold&amp;qid=1695173446&amp;sr=8-1</v>
      </c>
      <c r="F1342" t="s">
        <v>3550</v>
      </c>
      <c r="G1342" t="e">
        <f ca="1">_xludf.IMAGE("https://edmondsonsupply.com/cdn/shop/products/672XV0490.jpg?v=1587147465")</f>
        <v>#NAME?</v>
      </c>
      <c r="H1342" t="e">
        <f ca="1">_xludf.IMAGE("https://m.media-amazon.com/images/I/21B+f6DEPTL._AC_UL320_.jpg")</f>
        <v>#NAME?</v>
      </c>
      <c r="I1342" t="s">
        <v>2529</v>
      </c>
      <c r="J1342">
        <v>88.95</v>
      </c>
      <c r="K1342" s="4">
        <v>0.30330000000000001</v>
      </c>
      <c r="L1342">
        <v>4.0999999999999996</v>
      </c>
      <c r="M1342">
        <v>22</v>
      </c>
      <c r="O1342" t="s">
        <v>25</v>
      </c>
      <c r="P1342" t="s">
        <v>1135</v>
      </c>
      <c r="Q1342" t="s">
        <v>2530</v>
      </c>
    </row>
    <row r="1343" spans="1:17" ht="15.5" x14ac:dyDescent="0.35">
      <c r="A1343" s="3" t="str">
        <f>HYPERLINK("https://edmondsonsupply.com/collections/hvac/products/milwaukee-48-22-1505-fastback%E2%84%A2-6in1-folding-utility-knife", "https://edmondsonsupply.com/collections/hvac/products/milwaukee-48-22-1505-fastback%E2%84%A2-6in1-folding-utility-knife")</f>
        <v>https://edmondsonsupply.com/collections/hvac/products/milwaukee-48-22-1505-fastback%E2%84%A2-6in1-folding-utility-knife</v>
      </c>
      <c r="B1343" s="3" t="str">
        <f>HYPERLINK("https://edmondsonsupply.com/products/milwaukee-48-22-1505-fastback%e2%84%a2-6in1-folding-utility-knife", "https://edmondsonsupply.com/products/milwaukee-48-22-1505-fastback%e2%84%a2-6in1-folding-utility-knife")</f>
        <v>https://edmondsonsupply.com/products/milwaukee-48-22-1505-fastback%e2%84%a2-6in1-folding-utility-knife</v>
      </c>
      <c r="C1343" t="s">
        <v>3551</v>
      </c>
      <c r="D1343" t="s">
        <v>1942</v>
      </c>
      <c r="E1343" s="3" t="str">
        <f>HYPERLINK("https://www.amazon.com/Milwaukee-48-22-1505-FastbackTM-Folding-Utility/dp/B0C69TGH9K/ref=sr_1_1?keywords=Milwaukee+48-22-1505+FASTBACK%E2%84%A2+6IN1+Folding+Utility+Knife&amp;qid=1695173497&amp;sr=8-1", "https://www.amazon.com/Milwaukee-48-22-1505-FastbackTM-Folding-Utility/dp/B0C69TGH9K/ref=sr_1_1?keywords=Milwaukee+48-22-1505+FASTBACK%E2%84%A2+6IN1+Folding+Utility+Knife&amp;qid=1695173497&amp;sr=8-1")</f>
        <v>https://www.amazon.com/Milwaukee-48-22-1505-FastbackTM-Folding-Utility/dp/B0C69TGH9K/ref=sr_1_1?keywords=Milwaukee+48-22-1505+FASTBACK%E2%84%A2+6IN1+Folding+Utility+Knife&amp;qid=1695173497&amp;sr=8-1</v>
      </c>
      <c r="F1343" t="s">
        <v>1943</v>
      </c>
      <c r="G1343" t="e">
        <f ca="1">_xludf.IMAGE("https://edmondsonsupply.com/cdn/shop/products/48-22-1505_3.png?v=1675353919")</f>
        <v>#NAME?</v>
      </c>
      <c r="H1343" t="e">
        <f ca="1">_xludf.IMAGE("https://m.media-amazon.com/images/I/41ZUsUsHByL._AC_UL320_.jpg")</f>
        <v>#NAME?</v>
      </c>
      <c r="I1343" t="s">
        <v>577</v>
      </c>
      <c r="J1343">
        <v>26</v>
      </c>
      <c r="K1343" s="4">
        <v>0.30070000000000002</v>
      </c>
      <c r="L1343">
        <v>4.7</v>
      </c>
      <c r="M1343">
        <v>4</v>
      </c>
      <c r="O1343" t="s">
        <v>25</v>
      </c>
      <c r="P1343" t="s">
        <v>1159</v>
      </c>
      <c r="Q1343" t="s">
        <v>3552</v>
      </c>
    </row>
    <row r="1344" spans="1:17" ht="15.5" x14ac:dyDescent="0.35">
      <c r="A1344" s="3" t="str">
        <f>HYPERLINK("https://edmondsonsupply.com/collections/hvac/products/klein-tools-mm300kit-digital-multimeter-electrical-test-kit", "https://edmondsonsupply.com/collections/hvac/products/klein-tools-mm300kit-digital-multimeter-electrical-test-kit")</f>
        <v>https://edmondsonsupply.com/collections/hvac/products/klein-tools-mm300kit-digital-multimeter-electrical-test-kit</v>
      </c>
      <c r="B1344"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1344" t="s">
        <v>3227</v>
      </c>
      <c r="D1344" t="s">
        <v>3553</v>
      </c>
      <c r="E1344" s="3" t="str">
        <f>HYPERLINK("https://www.amazon.com/Klein-Tools-80067-Thermometer-Non-Contact/dp/B0B11NG8XM/ref=sr_1_8?keywords=Klein+Tools+MM320KIT+Digital+Multimeter+Electrical+Test+Kit&amp;qid=1695173460&amp;sr=8-8", "https://www.amazon.com/Klein-Tools-80067-Thermometer-Non-Contact/dp/B0B11NG8XM/ref=sr_1_8?keywords=Klein+Tools+MM320KIT+Digital+Multimeter+Electrical+Test+Kit&amp;qid=1695173460&amp;sr=8-8")</f>
        <v>https://www.amazon.com/Klein-Tools-80067-Thermometer-Non-Contact/dp/B0B11NG8XM/ref=sr_1_8?keywords=Klein+Tools+MM320KIT+Digital+Multimeter+Electrical+Test+Kit&amp;qid=1695173460&amp;sr=8-8</v>
      </c>
      <c r="F1344" t="s">
        <v>3554</v>
      </c>
      <c r="G1344" t="e">
        <f ca="1">_xludf.IMAGE("https://edmondsonsupply.com/cdn/shop/products/mm320kit_photo.jpg?v=1660756496")</f>
        <v>#NAME?</v>
      </c>
      <c r="H1344" t="e">
        <f ca="1">_xludf.IMAGE("https://m.media-amazon.com/images/I/61M3CphXgvL._AC_UL320_.jpg")</f>
        <v>#NAME?</v>
      </c>
      <c r="I1344" t="s">
        <v>380</v>
      </c>
      <c r="J1344">
        <v>64.989999999999995</v>
      </c>
      <c r="K1344" s="4">
        <v>0.30059999999999998</v>
      </c>
      <c r="L1344">
        <v>4.5</v>
      </c>
      <c r="M1344">
        <v>29</v>
      </c>
      <c r="O1344" t="s">
        <v>25</v>
      </c>
      <c r="P1344" t="s">
        <v>3230</v>
      </c>
      <c r="Q1344" t="s">
        <v>3231</v>
      </c>
    </row>
    <row r="1345" spans="1:17" ht="15.5" x14ac:dyDescent="0.35">
      <c r="A1345" s="3" t="str">
        <f>HYPERLINK("https://edmondsonsupply.com/collections/hvac/products/klein-tools-60346-hard-hat-premium-karbn%E2%84%A2-pattern-non-vented-full-brim-class-e-lamp", "https://edmondsonsupply.com/collections/hvac/products/klein-tools-60346-hard-hat-premium-karbn%E2%84%A2-pattern-non-vented-full-brim-class-e-lamp")</f>
        <v>https://edmondsonsupply.com/collections/hvac/products/klein-tools-60346-hard-hat-premium-karbn%E2%84%A2-pattern-non-vented-full-brim-class-e-lamp</v>
      </c>
      <c r="B1345"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1345" t="s">
        <v>1020</v>
      </c>
      <c r="D1345" t="s">
        <v>903</v>
      </c>
      <c r="E1345" s="3" t="str">
        <f>HYPERLINK("https://www.amazon.com/Klein-Tools-60347-Rechargeable-Sweat-Wicking/dp/B08SYM9K52/ref=sr_1_4?keywords=Klein+Tools+60346+Hard+Hat%2C+Premium+KARBN%E2%84%A2+Pattern%2C+Non-Vented+Full+Brim%2C+Class+E%2C+Lamp&amp;qid=1695173502&amp;sr=8-4", "https://www.amazon.com/Klein-Tools-60347-Rechargeable-Sweat-Wicking/dp/B08SYM9K52/ref=sr_1_4?keywords=Klein+Tools+60346+Hard+Hat%2C+Premium+KARBN%E2%84%A2+Pattern%2C+Non-Vented+Full+Brim%2C+Class+E%2C+Lamp&amp;qid=1695173502&amp;sr=8-4")</f>
        <v>https://www.amazon.com/Klein-Tools-60347-Rechargeable-Sweat-Wicking/dp/B08SYM9K52/ref=sr_1_4?keywords=Klein+Tools+60346+Hard+Hat%2C+Premium+KARBN%E2%84%A2+Pattern%2C+Non-Vented+Full+Brim%2C+Class+E%2C+Lamp&amp;qid=1695173502&amp;sr=8-4</v>
      </c>
      <c r="F1345" t="s">
        <v>904</v>
      </c>
      <c r="G1345" t="e">
        <f ca="1">_xludf.IMAGE("https://edmondsonsupply.com/cdn/shop/products/60346.jpg?v=1660168162")</f>
        <v>#NAME?</v>
      </c>
      <c r="H1345" t="e">
        <f ca="1">_xludf.IMAGE("https://m.media-amazon.com/images/I/61pIVbITWkL._AC_UL320_.jpg")</f>
        <v>#NAME?</v>
      </c>
      <c r="I1345" t="s">
        <v>315</v>
      </c>
      <c r="J1345">
        <v>116.88</v>
      </c>
      <c r="K1345" s="4">
        <v>0.29880000000000001</v>
      </c>
      <c r="L1345">
        <v>4.7</v>
      </c>
      <c r="M1345">
        <v>2542</v>
      </c>
      <c r="O1345" t="s">
        <v>25</v>
      </c>
      <c r="P1345" t="s">
        <v>917</v>
      </c>
      <c r="Q1345" t="s">
        <v>1021</v>
      </c>
    </row>
    <row r="1346" spans="1:17" ht="15.5" x14ac:dyDescent="0.35">
      <c r="A1346"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1346" s="3" t="str">
        <f>HYPERLINK("https://edmondsonsupply.com/products/packard-prmj145a-motor-start-capacitor-145-174-mfd", "https://edmondsonsupply.com/products/packard-prmj145a-motor-start-capacitor-145-174-mfd")</f>
        <v>https://edmondsonsupply.com/products/packard-prmj145a-motor-start-capacitor-145-174-mfd</v>
      </c>
      <c r="C1346" t="s">
        <v>2227</v>
      </c>
      <c r="D1346" t="s">
        <v>3555</v>
      </c>
      <c r="E1346" s="3" t="str">
        <f>HYPERLINK("https://www.amazon.com/Capacitor-145-174-Replaces-PMJ145-PMJ145A/dp/B07M5MD61W/ref=sr_1_8?keywords=Packard+PRMJ145A+Motor+Start+Capacitor+145-174+MFD&amp;qid=1695173645&amp;sr=8-8", "https://www.amazon.com/Capacitor-145-174-Replaces-PMJ145-PMJ145A/dp/B07M5MD61W/ref=sr_1_8?keywords=Packard+PRMJ145A+Motor+Start+Capacitor+145-174+MFD&amp;qid=1695173645&amp;sr=8-8")</f>
        <v>https://www.amazon.com/Capacitor-145-174-Replaces-PMJ145-PMJ145A/dp/B07M5MD61W/ref=sr_1_8?keywords=Packard+PRMJ145A+Motor+Start+Capacitor+145-174+MFD&amp;qid=1695173645&amp;sr=8-8</v>
      </c>
      <c r="F1346" t="s">
        <v>3556</v>
      </c>
      <c r="G1346" t="e">
        <f ca="1">_xludf.IMAGE("https://edmondsonsupply.com/cdn/shop/products/PRMJ145A-2.jpg?v=1633030335")</f>
        <v>#NAME?</v>
      </c>
      <c r="H1346" t="e">
        <f ca="1">_xludf.IMAGE("https://m.media-amazon.com/images/I/41pvkMgRYbL._AC_UY218_.jpg")</f>
        <v>#NAME?</v>
      </c>
      <c r="I1346" t="s">
        <v>2230</v>
      </c>
      <c r="J1346">
        <v>9.75</v>
      </c>
      <c r="K1346" s="4">
        <v>0.29830000000000001</v>
      </c>
      <c r="L1346">
        <v>4.3</v>
      </c>
      <c r="M1346">
        <v>2</v>
      </c>
      <c r="O1346" t="s">
        <v>25</v>
      </c>
      <c r="P1346" t="s">
        <v>138</v>
      </c>
      <c r="Q1346" t="s">
        <v>2231</v>
      </c>
    </row>
    <row r="1347" spans="1:17" ht="15.5" x14ac:dyDescent="0.35">
      <c r="A1347" s="3" t="str">
        <f>HYPERLINK("https://edmondsonsupply.com/collections/hvac/products/robertshaw-1980-036-36-1980-series-snap-fit%C2%AE-universal-thermocouple", "https://edmondsonsupply.com/collections/hvac/products/robertshaw-1980-036-36-1980-series-snap-fit%C2%AE-universal-thermocouple")</f>
        <v>https://edmondsonsupply.com/collections/hvac/products/robertshaw-1980-036-36-1980-series-snap-fit%C2%AE-universal-thermocouple</v>
      </c>
      <c r="B1347" s="3" t="str">
        <f>HYPERLINK("https://edmondsonsupply.com/products/robertshaw-1980-036-36-1980-series-snap-fit%c2%ae-universal-thermocouple", "https://edmondsonsupply.com/products/robertshaw-1980-036-36-1980-series-snap-fit%c2%ae-universal-thermocouple")</f>
        <v>https://edmondsonsupply.com/products/robertshaw-1980-036-36-1980-series-snap-fit%c2%ae-universal-thermocouple</v>
      </c>
      <c r="C1347" t="s">
        <v>3557</v>
      </c>
      <c r="D1347" t="s">
        <v>3558</v>
      </c>
      <c r="E1347" s="3" t="str">
        <f>HYPERLINK("https://www.amazon.com/MENSI-Robertshaw-Thermostat-Replacement-Thermocouple/dp/B0832H3B1X/ref=sr_1_1?keywords=Robertshaw+1980-036+36%22+1980+Series+Snap-Fit%C2%AE+Universal+Thermocouple&amp;qid=1695173465&amp;sr=8-1", "https://www.amazon.com/MENSI-Robertshaw-Thermostat-Replacement-Thermocouple/dp/B0832H3B1X/ref=sr_1_1?keywords=Robertshaw+1980-036+36%22+1980+Series+Snap-Fit%C2%AE+Universal+Thermocouple&amp;qid=1695173465&amp;sr=8-1")</f>
        <v>https://www.amazon.com/MENSI-Robertshaw-Thermostat-Replacement-Thermocouple/dp/B0832H3B1X/ref=sr_1_1?keywords=Robertshaw+1980-036+36%22+1980+Series+Snap-Fit%C2%AE+Universal+Thermocouple&amp;qid=1695173465&amp;sr=8-1</v>
      </c>
      <c r="F1347" t="s">
        <v>3559</v>
      </c>
      <c r="G1347" t="e">
        <f ca="1">_xludf.IMAGE("https://edmondsonsupply.com/cdn/shop/products/1980thermocouplecmyk300dpi_bfd55032-b53e-4ff9-b16f-2ba21c0267c9.jpg?v=1636064130")</f>
        <v>#NAME?</v>
      </c>
      <c r="H1347" t="e">
        <f ca="1">_xludf.IMAGE("https://m.media-amazon.com/images/I/61gin6oRlNL._AC_UY218_.jpg")</f>
        <v>#NAME?</v>
      </c>
      <c r="I1347" t="s">
        <v>3560</v>
      </c>
      <c r="J1347">
        <v>9.2799999999999994</v>
      </c>
      <c r="K1347" s="4">
        <v>0.2979</v>
      </c>
      <c r="L1347">
        <v>4.3</v>
      </c>
      <c r="M1347">
        <v>57</v>
      </c>
      <c r="O1347" t="s">
        <v>25</v>
      </c>
      <c r="P1347" t="s">
        <v>1620</v>
      </c>
      <c r="Q1347" t="s">
        <v>3561</v>
      </c>
    </row>
    <row r="1348" spans="1:17" ht="15.5" x14ac:dyDescent="0.35">
      <c r="A1348" s="3" t="str">
        <f>HYPERLINK("https://edmondsonsupply.com/collections/hvac/products/packard-trcfd5075-titan-pro-run-capacitor-50-7-5-mfd-440-370-volt-round", "https://edmondsonsupply.com/collections/hvac/products/packard-trcfd5075-titan-pro-run-capacitor-50-7-5-mfd-440-370-volt-round")</f>
        <v>https://edmondsonsupply.com/collections/hvac/products/packard-trcfd5075-titan-pro-run-capacitor-50-7-5-mfd-440-370-volt-round</v>
      </c>
      <c r="B1348" s="3" t="str">
        <f>HYPERLINK("https://edmondsonsupply.com/products/packard-trcfd5075-titan-pro-run-capacitor-50-7-5-mfd-440-370-volt-round", "https://edmondsonsupply.com/products/packard-trcfd5075-titan-pro-run-capacitor-50-7-5-mfd-440-370-volt-round")</f>
        <v>https://edmondsonsupply.com/products/packard-trcfd5075-titan-pro-run-capacitor-50-7-5-mfd-440-370-volt-round</v>
      </c>
      <c r="C1348" t="s">
        <v>3562</v>
      </c>
      <c r="D1348" t="s">
        <v>3563</v>
      </c>
      <c r="E1348" s="3" t="str">
        <f>HYPERLINK("https://www.amazon.com/Titan-TRCFD5075-Rated-Motor-Capacitor/dp/B01IC2MDGQ/ref=sr_1_1?keywords=Packard+TRCFD5075+TITAN+PRO+Run+Capacitor+50+7.5+MFD+440%2F370+Volt+Round&amp;qid=1695173511&amp;sr=8-1", "https://www.amazon.com/Titan-TRCFD5075-Rated-Motor-Capacitor/dp/B01IC2MDGQ/ref=sr_1_1?keywords=Packard+TRCFD5075+TITAN+PRO+Run+Capacitor+50+7.5+MFD+440%2F370+Volt+Round&amp;qid=1695173511&amp;sr=8-1")</f>
        <v>https://www.amazon.com/Titan-TRCFD5075-Rated-Motor-Capacitor/dp/B01IC2MDGQ/ref=sr_1_1?keywords=Packard+TRCFD5075+TITAN+PRO+Run+Capacitor+50+7.5+MFD+440%2F370+Volt+Round&amp;qid=1695173511&amp;sr=8-1</v>
      </c>
      <c r="F1348" t="s">
        <v>3564</v>
      </c>
      <c r="G1348" t="e">
        <f ca="1">_xludf.IMAGE("https://edmondsonsupply.com/cdn/shop/products/trcfd-2_xl_1_2d7f0af9-c927-4d85-8362-4fec6127938b.jpg?v=1644785863")</f>
        <v>#NAME?</v>
      </c>
      <c r="H1348" t="e">
        <f ca="1">_xludf.IMAGE("https://m.media-amazon.com/images/I/81gmaEKBRPL._AC_UY218_.jpg")</f>
        <v>#NAME?</v>
      </c>
      <c r="I1348" t="s">
        <v>3565</v>
      </c>
      <c r="J1348">
        <v>13</v>
      </c>
      <c r="K1348" s="4">
        <v>0.2974</v>
      </c>
      <c r="L1348">
        <v>4.5</v>
      </c>
      <c r="M1348">
        <v>74</v>
      </c>
      <c r="O1348" t="s">
        <v>25</v>
      </c>
      <c r="P1348" t="s">
        <v>138</v>
      </c>
      <c r="Q1348" t="s">
        <v>3566</v>
      </c>
    </row>
    <row r="1349" spans="1:17" ht="15.5" x14ac:dyDescent="0.35">
      <c r="A1349" s="3" t="str">
        <f>HYPERLINK("https://edmondsonsupply.com/collections/hvac/products/midwest-mwt-ss6716r-special-hardness-aviation-snip-right-cutting", "https://edmondsonsupply.com/collections/hvac/products/midwest-mwt-ss6716r-special-hardness-aviation-snip-right-cutting")</f>
        <v>https://edmondsonsupply.com/collections/hvac/products/midwest-mwt-ss6716r-special-hardness-aviation-snip-right-cutting</v>
      </c>
      <c r="B1349" s="3" t="str">
        <f>HYPERLINK("https://edmondsonsupply.com/products/midwest-mwt-ss6716r-special-hardness-aviation-snip-right-cutting", "https://edmondsonsupply.com/products/midwest-mwt-ss6716r-special-hardness-aviation-snip-right-cutting")</f>
        <v>https://edmondsonsupply.com/products/midwest-mwt-ss6716r-special-hardness-aviation-snip-right-cutting</v>
      </c>
      <c r="C1349" t="s">
        <v>1768</v>
      </c>
      <c r="D1349" t="s">
        <v>3567</v>
      </c>
      <c r="E1349" s="3" t="str">
        <f>HYPERLINK("https://www.amazon.com/MIDWEST-Aviation-Snip-KUSHN-POWER-MWT-6510R/dp/B00OCGQG6A/ref=sr_1_6?keywords=Midwest+MWT-SS6716R+Special+Hardness+Aviation+Snip+-+Right-Cutting&amp;qid=1695173444&amp;sr=8-6", "https://www.amazon.com/MIDWEST-Aviation-Snip-KUSHN-POWER-MWT-6510R/dp/B00OCGQG6A/ref=sr_1_6?keywords=Midwest+MWT-SS6716R+Special+Hardness+Aviation+Snip+-+Right-Cutting&amp;qid=1695173444&amp;sr=8-6")</f>
        <v>https://www.amazon.com/MIDWEST-Aviation-Snip-KUSHN-POWER-MWT-6510R/dp/B00OCGQG6A/ref=sr_1_6?keywords=Midwest+MWT-SS6716R+Special+Hardness+Aviation+Snip+-+Right-Cutting&amp;qid=1695173444&amp;sr=8-6</v>
      </c>
      <c r="F1349" t="s">
        <v>3568</v>
      </c>
      <c r="G1349" t="e">
        <f ca="1">_xludf.IMAGE("https://edmondsonsupply.com/cdn/shop/products/MWT-SS6716R1.jpg?v=1587146219")</f>
        <v>#NAME?</v>
      </c>
      <c r="H1349" t="e">
        <f ca="1">_xludf.IMAGE("https://m.media-amazon.com/images/I/714fHvEMecL._AC_UL320_.jpg")</f>
        <v>#NAME?</v>
      </c>
      <c r="I1349" t="s">
        <v>1769</v>
      </c>
      <c r="J1349">
        <v>31.99</v>
      </c>
      <c r="K1349" s="4">
        <v>0.29720000000000002</v>
      </c>
      <c r="L1349">
        <v>4.7</v>
      </c>
      <c r="M1349">
        <v>3425</v>
      </c>
      <c r="O1349" t="s">
        <v>25</v>
      </c>
      <c r="P1349" t="s">
        <v>1770</v>
      </c>
      <c r="Q1349" t="s">
        <v>1771</v>
      </c>
    </row>
    <row r="1350" spans="1:17" ht="15.5" x14ac:dyDescent="0.35">
      <c r="A1350" s="3" t="str">
        <f>HYPERLINK("https://edmondsonsupply.com/collections/hvac/products/white-rodgers-50m56x-843-integrated-furnace-control-board-universal-replacement", "https://edmondsonsupply.com/collections/hvac/products/white-rodgers-50m56x-843-integrated-furnace-control-board-universal-replacement")</f>
        <v>https://edmondsonsupply.com/collections/hvac/products/white-rodgers-50m56x-843-integrated-furnace-control-board-universal-replacement</v>
      </c>
      <c r="B1350" s="3" t="str">
        <f>HYPERLINK("https://edmondsonsupply.com/products/white-rodgers-50m56x-843-integrated-furnace-control-board-universal-replacement", "https://edmondsonsupply.com/products/white-rodgers-50m56x-843-integrated-furnace-control-board-universal-replacement")</f>
        <v>https://edmondsonsupply.com/products/white-rodgers-50m56x-843-integrated-furnace-control-board-universal-replacement</v>
      </c>
      <c r="C1350" t="s">
        <v>3569</v>
      </c>
      <c r="D1350" t="s">
        <v>2693</v>
      </c>
      <c r="E1350" s="3" t="str">
        <f>HYPERLINK("https://www.amazon.com/White-Rodgers-21V51U-843-Universal-Circulator-Replacement/dp/B008FVEJVW/ref=sr_1_2?keywords=White-Rodgers+50M56X-843+Integrated+Furnace+Control+Board%2C+Universal+Replacement&amp;qid=1695173585&amp;sr=8-2", "https://www.amazon.com/White-Rodgers-21V51U-843-Universal-Circulator-Replacement/dp/B008FVEJVW/ref=sr_1_2?keywords=White-Rodgers+50M56X-843+Integrated+Furnace+Control+Board%2C+Universal+Replacement&amp;qid=1695173585&amp;sr=8-2")</f>
        <v>https://www.amazon.com/White-Rodgers-21V51U-843-Universal-Circulator-Replacement/dp/B008FVEJVW/ref=sr_1_2?keywords=White-Rodgers+50M56X-843+Integrated+Furnace+Control+Board%2C+Universal+Replacement&amp;qid=1695173585&amp;sr=8-2</v>
      </c>
      <c r="F1350" t="s">
        <v>2694</v>
      </c>
      <c r="G1350" t="e">
        <f ca="1">_xludf.IMAGE("https://edmondsonsupply.com/cdn/shop/products/50m56x-843.png?v=1674841489")</f>
        <v>#NAME?</v>
      </c>
      <c r="H1350" t="e">
        <f ca="1">_xludf.IMAGE("https://m.media-amazon.com/images/I/81dVW6SXcmL._AC_UL320_.jpg")</f>
        <v>#NAME?</v>
      </c>
      <c r="I1350" t="s">
        <v>3570</v>
      </c>
      <c r="J1350">
        <v>241.4</v>
      </c>
      <c r="K1350" s="4">
        <v>0.2969</v>
      </c>
      <c r="L1350">
        <v>5</v>
      </c>
      <c r="M1350">
        <v>2</v>
      </c>
      <c r="O1350" t="s">
        <v>25</v>
      </c>
      <c r="P1350" t="s">
        <v>3571</v>
      </c>
      <c r="Q1350" t="s">
        <v>3572</v>
      </c>
    </row>
    <row r="1351" spans="1:17" ht="15.5" x14ac:dyDescent="0.35">
      <c r="A1351" s="3" t="str">
        <f>HYPERLINK("https://edmondsonsupply.com/collections/hvac/products/channellock-428", "https://edmondsonsupply.com/collections/hvac/products/channellock-428")</f>
        <v>https://edmondsonsupply.com/collections/hvac/products/channellock-428</v>
      </c>
      <c r="B1351" s="3" t="str">
        <f>HYPERLINK("https://edmondsonsupply.com/products/channellock-428", "https://edmondsonsupply.com/products/channellock-428")</f>
        <v>https://edmondsonsupply.com/products/channellock-428</v>
      </c>
      <c r="C1351" t="s">
        <v>1791</v>
      </c>
      <c r="D1351" t="s">
        <v>3573</v>
      </c>
      <c r="E1351" s="3" t="str">
        <f>HYPERLINK("https://www.amazon.com/Channellock-440-12-Inch-Tongue-Groove/dp/B00004SBCU/ref=sr_1_8?keywords=Channellock+428+8-Inch+Straight+Jaw+Tongue+%26+Groove+Pliers&amp;qid=1695173687&amp;sr=8-8", "https://www.amazon.com/Channellock-440-12-Inch-Tongue-Groove/dp/B00004SBCU/ref=sr_1_8?keywords=Channellock+428+8-Inch+Straight+Jaw+Tongue+%26+Groove+Pliers&amp;qid=1695173687&amp;sr=8-8")</f>
        <v>https://www.amazon.com/Channellock-440-12-Inch-Tongue-Groove/dp/B00004SBCU/ref=sr_1_8?keywords=Channellock+428+8-Inch+Straight+Jaw+Tongue+%26+Groove+Pliers&amp;qid=1695173687&amp;sr=8-8</v>
      </c>
      <c r="F1351" t="s">
        <v>3574</v>
      </c>
      <c r="G1351" t="e">
        <f ca="1">_xludf.IMAGE("https://edmondsonsupply.com/cdn/shop/products/428-683x1024.jpg?v=1587145854")</f>
        <v>#NAME?</v>
      </c>
      <c r="H1351" t="e">
        <f ca="1">_xludf.IMAGE("https://m.media-amazon.com/images/I/71FM1bkavsL._AC_UL320_.jpg")</f>
        <v>#NAME?</v>
      </c>
      <c r="I1351" t="s">
        <v>1554</v>
      </c>
      <c r="J1351">
        <v>21.95</v>
      </c>
      <c r="K1351" s="4">
        <v>0.29499999999999998</v>
      </c>
      <c r="L1351">
        <v>4.8</v>
      </c>
      <c r="M1351">
        <v>3565</v>
      </c>
      <c r="O1351" t="s">
        <v>25</v>
      </c>
      <c r="P1351" t="s">
        <v>1794</v>
      </c>
      <c r="Q1351" t="s">
        <v>1795</v>
      </c>
    </row>
    <row r="1352" spans="1:17" ht="15.5" x14ac:dyDescent="0.35">
      <c r="A1352" s="3" t="str">
        <f>HYPERLINK("https://edmondsonsupply.com/collections/hvac/products/malco-tools-m2002-max2000%C2%AE-standard-aviation-snip-right-cutting", "https://edmondsonsupply.com/collections/hvac/products/malco-tools-m2002-max2000%C2%AE-standard-aviation-snip-right-cutting")</f>
        <v>https://edmondsonsupply.com/collections/hvac/products/malco-tools-m2002-max2000%C2%AE-standard-aviation-snip-right-cutting</v>
      </c>
      <c r="B1352" s="3" t="str">
        <f>HYPERLINK("https://edmondsonsupply.com/products/malco-tools-m2002-max2000%c2%ae-standard-aviation-snip-right-cutting", "https://edmondsonsupply.com/products/malco-tools-m2002-max2000%c2%ae-standard-aviation-snip-right-cutting")</f>
        <v>https://edmondsonsupply.com/products/malco-tools-m2002-max2000%c2%ae-standard-aviation-snip-right-cutting</v>
      </c>
      <c r="C1352" t="s">
        <v>3575</v>
      </c>
      <c r="D1352" t="s">
        <v>3576</v>
      </c>
      <c r="E1352" s="3" t="str">
        <f>HYPERLINK("https://www.amazon.com/Malco-M2002-MAX2000-Capacity-Aviation/dp/B00004SUQK/ref=sr_1_1?keywords=Malco+Tools+M2002+Max2000%C2%AE+Standard+Aviation+Snip+-+Right+Cutting&amp;qid=1695173641&amp;sr=8-1", "https://www.amazon.com/Malco-M2002-MAX2000-Capacity-Aviation/dp/B00004SUQK/ref=sr_1_1?keywords=Malco+Tools+M2002+Max2000%C2%AE+Standard+Aviation+Snip+-+Right+Cutting&amp;qid=1695173641&amp;sr=8-1")</f>
        <v>https://www.amazon.com/Malco-M2002-MAX2000-Capacity-Aviation/dp/B00004SUQK/ref=sr_1_1?keywords=Malco+Tools+M2002+Max2000%C2%AE+Standard+Aviation+Snip+-+Right+Cutting&amp;qid=1695173641&amp;sr=8-1</v>
      </c>
      <c r="F1352" t="s">
        <v>3577</v>
      </c>
      <c r="G1352" t="e">
        <f ca="1">_xludf.IMAGE("https://edmondsonsupply.com/cdn/shop/products/m2002_catalog-big.jpg?v=1633030961")</f>
        <v>#NAME?</v>
      </c>
      <c r="H1352" t="e">
        <f ca="1">_xludf.IMAGE("https://m.media-amazon.com/images/I/51tAHq+9A8L._AC_UL320_.jpg")</f>
        <v>#NAME?</v>
      </c>
      <c r="I1352" t="s">
        <v>3578</v>
      </c>
      <c r="J1352">
        <v>42.67</v>
      </c>
      <c r="K1352" s="4">
        <v>0.29339999999999999</v>
      </c>
      <c r="L1352">
        <v>4.8</v>
      </c>
      <c r="M1352">
        <v>37</v>
      </c>
      <c r="O1352" t="s">
        <v>25</v>
      </c>
      <c r="P1352" t="s">
        <v>3579</v>
      </c>
      <c r="Q1352" t="s">
        <v>3580</v>
      </c>
    </row>
    <row r="1353" spans="1:17" ht="15.5" x14ac:dyDescent="0.35">
      <c r="A1353" s="3" t="str">
        <f>HYPERLINK("https://edmondsonsupply.com/collections/hvac/products/packard-c230b-contactor-2-pole-30-amps-120-coil-voltage", "https://edmondsonsupply.com/collections/hvac/products/packard-c230b-contactor-2-pole-30-amps-120-coil-voltage")</f>
        <v>https://edmondsonsupply.com/collections/hvac/products/packard-c230b-contactor-2-pole-30-amps-120-coil-voltage</v>
      </c>
      <c r="B1353" s="3" t="str">
        <f>HYPERLINK("https://edmondsonsupply.com/products/packard-c230b-contactor-2-pole-30-amps-120-coil-voltage", "https://edmondsonsupply.com/products/packard-c230b-contactor-2-pole-30-amps-120-coil-voltage")</f>
        <v>https://edmondsonsupply.com/products/packard-c230b-contactor-2-pole-30-amps-120-coil-voltage</v>
      </c>
      <c r="C1353" t="s">
        <v>2173</v>
      </c>
      <c r="D1353" t="s">
        <v>3581</v>
      </c>
      <c r="E1353" s="3" t="str">
        <f>HYPERLINK("https://www.amazon.com/Contactor-Replacement-Compatible-Conditioner-Refrigeration/dp/B095KKYL6B/ref=sr_1_6?keywords=Packard+C230B+Contactor+2+Pole+30+AMPS+120+Coil+Voltage&amp;qid=1695173673&amp;sr=8-6", "https://www.amazon.com/Contactor-Replacement-Compatible-Conditioner-Refrigeration/dp/B095KKYL6B/ref=sr_1_6?keywords=Packard+C230B+Contactor+2+Pole+30+AMPS+120+Coil+Voltage&amp;qid=1695173673&amp;sr=8-6")</f>
        <v>https://www.amazon.com/Contactor-Replacement-Compatible-Conditioner-Refrigeration/dp/B095KKYL6B/ref=sr_1_6?keywords=Packard+C230B+Contactor+2+Pole+30+AMPS+120+Coil+Voltage&amp;qid=1695173673&amp;sr=8-6</v>
      </c>
      <c r="F1353" t="s">
        <v>3582</v>
      </c>
      <c r="G1353" t="e">
        <f ca="1">_xludf.IMAGE("https://edmondsonsupply.com/cdn/shop/products/C230B-1.jpg?v=1587142333")</f>
        <v>#NAME?</v>
      </c>
      <c r="H1353" t="e">
        <f ca="1">_xludf.IMAGE("https://m.media-amazon.com/images/I/81cKBewdyNL._AC_UY218_.jpg")</f>
        <v>#NAME?</v>
      </c>
      <c r="I1353" t="s">
        <v>2176</v>
      </c>
      <c r="J1353">
        <v>13.99</v>
      </c>
      <c r="K1353" s="4">
        <v>0.29299999999999998</v>
      </c>
      <c r="L1353">
        <v>4.5999999999999996</v>
      </c>
      <c r="M1353">
        <v>1049</v>
      </c>
      <c r="O1353" t="s">
        <v>25</v>
      </c>
      <c r="P1353" t="s">
        <v>138</v>
      </c>
      <c r="Q1353" t="s">
        <v>2177</v>
      </c>
    </row>
    <row r="1354" spans="1:17" ht="15.5" x14ac:dyDescent="0.35">
      <c r="A1354" s="3" t="str">
        <f>HYPERLINK("https://edmondsonsupply.com/collections/hvac/products/klein-tools-55600-tradesman-pro%E2%84%A2-tough-box-17-quart-cooler", "https://edmondsonsupply.com/collections/hvac/products/klein-tools-55600-tradesman-pro%E2%84%A2-tough-box-17-quart-cooler")</f>
        <v>https://edmondsonsupply.com/collections/hvac/products/klein-tools-55600-tradesman-pro%E2%84%A2-tough-box-17-quart-cooler</v>
      </c>
      <c r="B1354"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1354" t="s">
        <v>3583</v>
      </c>
      <c r="D1354" t="s">
        <v>3584</v>
      </c>
      <c r="E1354" s="3" t="str">
        <f>HYPERLINK("https://www.amazon.com/Klein-Tools-Tradesman-Resistant-Reinforced/dp/B08DY41653/ref=sr_1_2?keywords=Klein+Tools+55600+Tradesman+Pro%E2%84%A2+Tough+Box+Cooler%2C+17-Quart&amp;qid=1695173675&amp;sr=8-2", "https://www.amazon.com/Klein-Tools-Tradesman-Resistant-Reinforced/dp/B08DY41653/ref=sr_1_2?keywords=Klein+Tools+55600+Tradesman+Pro%E2%84%A2+Tough+Box+Cooler%2C+17-Quart&amp;qid=1695173675&amp;sr=8-2")</f>
        <v>https://www.amazon.com/Klein-Tools-Tradesman-Resistant-Reinforced/dp/B08DY41653/ref=sr_1_2?keywords=Klein+Tools+55600+Tradesman+Pro%E2%84%A2+Tough+Box+Cooler%2C+17-Quart&amp;qid=1695173675&amp;sr=8-2</v>
      </c>
      <c r="F1354" t="s">
        <v>3585</v>
      </c>
      <c r="G1354" t="e">
        <f ca="1">_xludf.IMAGE("https://edmondsonsupply.com/cdn/shop/products/55600.jpg?v=1587145287")</f>
        <v>#NAME?</v>
      </c>
      <c r="H1354" t="e">
        <f ca="1">_xludf.IMAGE("https://m.media-amazon.com/images/I/61jzPgCIeGL._AC_UL320_.jpg")</f>
        <v>#NAME?</v>
      </c>
      <c r="I1354" t="s">
        <v>305</v>
      </c>
      <c r="J1354">
        <v>83.99</v>
      </c>
      <c r="K1354" s="4">
        <v>0.2928</v>
      </c>
      <c r="L1354">
        <v>4.8</v>
      </c>
      <c r="M1354">
        <v>9</v>
      </c>
      <c r="O1354" t="s">
        <v>25</v>
      </c>
      <c r="P1354" t="s">
        <v>3586</v>
      </c>
      <c r="Q1354" t="s">
        <v>3587</v>
      </c>
    </row>
    <row r="1355" spans="1:17" ht="15.5" x14ac:dyDescent="0.35">
      <c r="A1355" s="3" t="str">
        <f>HYPERLINK("https://edmondsonsupply.com/collections/hvac/products/tajima-dfc671n-r1-rock-hard-fin%E2%84%A2-utility-knife-dial-lock", "https://edmondsonsupply.com/collections/hvac/products/tajima-dfc671n-r1-rock-hard-fin%E2%84%A2-utility-knife-dial-lock")</f>
        <v>https://edmondsonsupply.com/collections/hvac/products/tajima-dfc671n-r1-rock-hard-fin%E2%84%A2-utility-knife-dial-lock</v>
      </c>
      <c r="B1355" s="3" t="str">
        <f>HYPERLINK("https://edmondsonsupply.com/products/tajima-dfc671n-r1-rock-hard-fin%e2%84%a2-utility-knife-dial-lock", "https://edmondsonsupply.com/products/tajima-dfc671n-r1-rock-hard-fin%e2%84%a2-utility-knife-dial-lock")</f>
        <v>https://edmondsonsupply.com/products/tajima-dfc671n-r1-rock-hard-fin%e2%84%a2-utility-knife-dial-lock</v>
      </c>
      <c r="C1355" t="s">
        <v>3588</v>
      </c>
      <c r="D1355" t="s">
        <v>3589</v>
      </c>
      <c r="E1355" s="3" t="str">
        <f>HYPERLINK("https://www.amazon.com/TAJIMA-Utility-Knife-7-Point-DFC671N-R1/dp/B07W4FVQKV/ref=sr_1_1?keywords=Tajima+DFC671N-R1+Rock+Hard+FIN%E2%84%A2+Utility+Knife%2C+Dial+Lock&amp;qid=1695173690&amp;sr=8-1", "https://www.amazon.com/TAJIMA-Utility-Knife-7-Point-DFC671N-R1/dp/B07W4FVQKV/ref=sr_1_1?keywords=Tajima+DFC671N-R1+Rock+Hard+FIN%E2%84%A2+Utility+Knife%2C+Dial+Lock&amp;qid=1695173690&amp;sr=8-1")</f>
        <v>https://www.amazon.com/TAJIMA-Utility-Knife-7-Point-DFC671N-R1/dp/B07W4FVQKV/ref=sr_1_1?keywords=Tajima+DFC671N-R1+Rock+Hard+FIN%E2%84%A2+Utility+Knife%2C+Dial+Lock&amp;qid=1695173690&amp;sr=8-1</v>
      </c>
      <c r="F1355" t="s">
        <v>3590</v>
      </c>
      <c r="G1355" t="e">
        <f ca="1">_xludf.IMAGE("https://edmondsonsupply.com/cdn/shop/files/DFC671N-R1-2.jpg?v=1693510020")</f>
        <v>#NAME?</v>
      </c>
      <c r="H1355" t="e">
        <f ca="1">_xludf.IMAGE("https://m.media-amazon.com/images/I/51udy51xLdL._AC_UL320_.jpg")</f>
        <v>#NAME?</v>
      </c>
      <c r="I1355" t="s">
        <v>3591</v>
      </c>
      <c r="J1355">
        <v>19.75</v>
      </c>
      <c r="K1355" s="4">
        <v>0.29249999999999998</v>
      </c>
      <c r="L1355">
        <v>4.5999999999999996</v>
      </c>
      <c r="M1355">
        <v>36</v>
      </c>
      <c r="O1355" t="s">
        <v>25</v>
      </c>
      <c r="P1355" t="s">
        <v>138</v>
      </c>
      <c r="Q1355" t="s">
        <v>3592</v>
      </c>
    </row>
    <row r="1356" spans="1:17" ht="15.5" x14ac:dyDescent="0.35">
      <c r="A1356" s="3" t="str">
        <f>HYPERLINK("https://edmondsonsupply.com/collections/hvac/products/us-motors-1861-5-6-condenser-fan-motor-208-230v-1-3-hp-1075-rpm-psc-teao", "https://edmondsonsupply.com/collections/hvac/products/us-motors-1861-5-6-condenser-fan-motor-208-230v-1-3-hp-1075-rpm-psc-teao")</f>
        <v>https://edmondsonsupply.com/collections/hvac/products/us-motors-1861-5-6-condenser-fan-motor-208-230v-1-3-hp-1075-rpm-psc-teao</v>
      </c>
      <c r="B1356" s="3" t="str">
        <f>HYPERLINK("https://edmondsonsupply.com/products/us-motors-1861-5-6-condenser-fan-motor-208-230v-1-3-hp-1075-rpm-psc-teao", "https://edmondsonsupply.com/products/us-motors-1861-5-6-condenser-fan-motor-208-230v-1-3-hp-1075-rpm-psc-teao")</f>
        <v>https://edmondsonsupply.com/products/us-motors-1861-5-6-condenser-fan-motor-208-230v-1-3-hp-1075-rpm-psc-teao</v>
      </c>
      <c r="C1356" t="s">
        <v>3593</v>
      </c>
      <c r="D1356" t="s">
        <v>3594</v>
      </c>
      <c r="E1356" s="3" t="str">
        <f>HYPERLINK("https://www.amazon.com/Nidec-Motors-Condenser-Motor-208-230V/dp/B08VN53ZKP/ref=sr_1_8?keywords=US+Motors+1861+5.6%22+Condenser+Fan+Motor%2C+208-230V%2C+1%2F3+HP%2C+1075+RPM%2C+PSC%2C+TEAO&amp;qid=1695173429&amp;sr=8-8", "https://www.amazon.com/Nidec-Motors-Condenser-Motor-208-230V/dp/B08VN53ZKP/ref=sr_1_8?keywords=US+Motors+1861+5.6%22+Condenser+Fan+Motor%2C+208-230V%2C+1%2F3+HP%2C+1075+RPM%2C+PSC%2C+TEAO&amp;qid=1695173429&amp;sr=8-8")</f>
        <v>https://www.amazon.com/Nidec-Motors-Condenser-Motor-208-230V/dp/B08VN53ZKP/ref=sr_1_8?keywords=US+Motors+1861+5.6%22+Condenser+Fan+Motor%2C+208-230V%2C+1%2F3+HP%2C+1075+RPM%2C+PSC%2C+TEAO&amp;qid=1695173429&amp;sr=8-8</v>
      </c>
      <c r="F1356" t="s">
        <v>3595</v>
      </c>
      <c r="G1356" t="e">
        <f ca="1">_xludf.IMAGE("https://edmondsonsupply.com/cdn/shop/products/1861-2.jpg?v=1633030344")</f>
        <v>#NAME?</v>
      </c>
      <c r="H1356" t="e">
        <f ca="1">_xludf.IMAGE("https://m.media-amazon.com/images/I/41p4vhJP1+L._AC_UL320_.jpg")</f>
        <v>#NAME?</v>
      </c>
      <c r="I1356" t="s">
        <v>3596</v>
      </c>
      <c r="J1356">
        <v>143.80000000000001</v>
      </c>
      <c r="K1356" s="4">
        <v>0.29249999999999998</v>
      </c>
      <c r="L1356">
        <v>5</v>
      </c>
      <c r="M1356">
        <v>1</v>
      </c>
      <c r="O1356" t="s">
        <v>25</v>
      </c>
      <c r="P1356" t="s">
        <v>138</v>
      </c>
      <c r="Q1356" t="s">
        <v>3597</v>
      </c>
    </row>
    <row r="1357" spans="1:17" ht="15.5" x14ac:dyDescent="0.35">
      <c r="A1357" s="3" t="str">
        <f>HYPERLINK("https://edmondsonsupply.com/collections/hvac/products/rack-a-tiers-43095-electricians-grande-butt-pouch", "https://edmondsonsupply.com/collections/hvac/products/rack-a-tiers-43095-electricians-grande-butt-pouch")</f>
        <v>https://edmondsonsupply.com/collections/hvac/products/rack-a-tiers-43095-electricians-grande-butt-pouch</v>
      </c>
      <c r="B1357" s="3" t="str">
        <f>HYPERLINK("https://edmondsonsupply.com/products/rack-a-tiers-43095-electricians-grande-butt-pouch", "https://edmondsonsupply.com/products/rack-a-tiers-43095-electricians-grande-butt-pouch")</f>
        <v>https://edmondsonsupply.com/products/rack-a-tiers-43095-electricians-grande-butt-pouch</v>
      </c>
      <c r="C1357" t="s">
        <v>3598</v>
      </c>
      <c r="D1357" t="s">
        <v>3599</v>
      </c>
      <c r="E1357" s="3" t="str">
        <f>HYPERLINK("https://www.amazon.com/Rack-Tiers-Ballistic-Grande-Pocket/dp/B0186JN22E/ref=sr_1_2?keywords=Rack-A-Tiers+43095+Electricians+Grande+Butt+Pouch&amp;qid=1695173637&amp;sr=8-2", "https://www.amazon.com/Rack-Tiers-Ballistic-Grande-Pocket/dp/B0186JN22E/ref=sr_1_2?keywords=Rack-A-Tiers+43095+Electricians+Grande+Butt+Pouch&amp;qid=1695173637&amp;sr=8-2")</f>
        <v>https://www.amazon.com/Rack-Tiers-Ballistic-Grande-Pocket/dp/B0186JN22E/ref=sr_1_2?keywords=Rack-A-Tiers+43095+Electricians+Grande+Butt+Pouch&amp;qid=1695173637&amp;sr=8-2</v>
      </c>
      <c r="F1357" t="s">
        <v>3600</v>
      </c>
      <c r="G1357" t="e">
        <f ca="1">_xludf.IMAGE("https://edmondsonsupply.com/cdn/shop/products/43095-Grande-Butt-Pouch-1-1-1-1-1-300x300.png?v=1633030598")</f>
        <v>#NAME?</v>
      </c>
      <c r="H1357" t="e">
        <f ca="1">_xludf.IMAGE("https://m.media-amazon.com/images/I/518zKc1qDyL._AC_UL320_.jpg")</f>
        <v>#NAME?</v>
      </c>
      <c r="I1357" t="s">
        <v>3601</v>
      </c>
      <c r="J1357">
        <v>38.1</v>
      </c>
      <c r="K1357" s="4">
        <v>0.29199999999999998</v>
      </c>
      <c r="L1357">
        <v>3.5</v>
      </c>
      <c r="M1357">
        <v>29</v>
      </c>
      <c r="O1357" t="s">
        <v>25</v>
      </c>
      <c r="P1357" t="s">
        <v>3602</v>
      </c>
      <c r="Q1357" t="s">
        <v>3603</v>
      </c>
    </row>
    <row r="1358" spans="1:17" ht="15.5" x14ac:dyDescent="0.35">
      <c r="A1358" s="3" t="str">
        <f>HYPERLINK("https://edmondsonsupply.com/collections/hvac/products/rectorseal-66734-rectorseal-nokink-7-8-x-3-flexible-hose", "https://edmondsonsupply.com/collections/hvac/products/rectorseal-66734-rectorseal-nokink-7-8-x-3-flexible-hose")</f>
        <v>https://edmondsonsupply.com/collections/hvac/products/rectorseal-66734-rectorseal-nokink-7-8-x-3-flexible-hose</v>
      </c>
      <c r="B1358" s="3" t="str">
        <f>HYPERLINK("https://edmondsonsupply.com/products/rectorseal-66734-rectorseal-nokink-7-8-x-3-flexible-hose", "https://edmondsonsupply.com/products/rectorseal-66734-rectorseal-nokink-7-8-x-3-flexible-hose")</f>
        <v>https://edmondsonsupply.com/products/rectorseal-66734-rectorseal-nokink-7-8-x-3-flexible-hose</v>
      </c>
      <c r="C1358" t="s">
        <v>3604</v>
      </c>
      <c r="D1358" t="s">
        <v>3605</v>
      </c>
      <c r="E1358" s="3" t="str">
        <f>HYPERLINK("https://www.amazon.com/Rectorseal-66734-Nokink-Flexible-Hose/dp/B01BKAZIN2/ref=sr_1_1?keywords=RectorSeal+66734+NoKink+7%2F8%22+x+3%27+Flexible+Hose&amp;qid=1695173720&amp;sr=8-1", "https://www.amazon.com/Rectorseal-66734-Nokink-Flexible-Hose/dp/B01BKAZIN2/ref=sr_1_1?keywords=RectorSeal+66734+NoKink+7%2F8%22+x+3%27+Flexible+Hose&amp;qid=1695173720&amp;sr=8-1")</f>
        <v>https://www.amazon.com/Rectorseal-66734-Nokink-Flexible-Hose/dp/B01BKAZIN2/ref=sr_1_1?keywords=RectorSeal+66734+NoKink+7%2F8%22+x+3%27+Flexible+Hose&amp;qid=1695173720&amp;sr=8-1</v>
      </c>
      <c r="F1358" t="s">
        <v>3606</v>
      </c>
      <c r="G1358" t="e">
        <f ca="1">_xludf.IMAGE("https://edmondsonsupply.com/cdn/shop/files/66734.png?v=1691419524")</f>
        <v>#NAME?</v>
      </c>
      <c r="H1358" t="e">
        <f ca="1">_xludf.IMAGE("https://m.media-amazon.com/images/I/61maqanlaGL._AC_UL320_.jpg")</f>
        <v>#NAME?</v>
      </c>
      <c r="I1358" t="s">
        <v>413</v>
      </c>
      <c r="J1358">
        <v>219.62</v>
      </c>
      <c r="K1358" s="4">
        <v>0.29199999999999998</v>
      </c>
      <c r="L1358">
        <v>5</v>
      </c>
      <c r="M1358">
        <v>2</v>
      </c>
      <c r="O1358" t="s">
        <v>25</v>
      </c>
      <c r="P1358" t="s">
        <v>138</v>
      </c>
      <c r="Q1358" t="s">
        <v>3607</v>
      </c>
    </row>
    <row r="1359" spans="1:17" ht="15.5" x14ac:dyDescent="0.35">
      <c r="A1359" s="3" t="str">
        <f>HYPERLINK("https://edmondsonsupply.com/collections/hvac/products/supco-spp6-super-boost-relay-hard-start-capacitor-starter-pow-r-pak", "https://edmondsonsupply.com/collections/hvac/products/supco-spp6-super-boost-relay-hard-start-capacitor-starter-pow-r-pak")</f>
        <v>https://edmondsonsupply.com/collections/hvac/products/supco-spp6-super-boost-relay-hard-start-capacitor-starter-pow-r-pak</v>
      </c>
      <c r="B1359" s="3" t="str">
        <f>HYPERLINK("https://edmondsonsupply.com/products/supco-spp6-super-boost-relay-hard-start-capacitor-starter-pow-r-pak", "https://edmondsonsupply.com/products/supco-spp6-super-boost-relay-hard-start-capacitor-starter-pow-r-pak")</f>
        <v>https://edmondsonsupply.com/products/supco-spp6-super-boost-relay-hard-start-capacitor-starter-pow-r-pak</v>
      </c>
      <c r="C1359" t="s">
        <v>3608</v>
      </c>
      <c r="D1359" t="s">
        <v>3609</v>
      </c>
      <c r="E1359" s="3" t="str">
        <f>HYPERLINK("https://www.amazon.com/SPP6-Capacitor-Increase-Starting-Torque/dp/B0002YTLFE/ref=sr_1_1?keywords=Supco+SPP6+SUPER+BOOST+AC+Hard+Start+Capacitor+Kit%2C+500%25+Torque+Increase&amp;qid=1695173370&amp;sr=8-1", "https://www.amazon.com/SPP6-Capacitor-Increase-Starting-Torque/dp/B0002YTLFE/ref=sr_1_1?keywords=Supco+SPP6+SUPER+BOOST+AC+Hard+Start+Capacitor+Kit%2C+500%25+Torque+Increase&amp;qid=1695173370&amp;sr=8-1")</f>
        <v>https://www.amazon.com/SPP6-Capacitor-Increase-Starting-Torque/dp/B0002YTLFE/ref=sr_1_1?keywords=Supco+SPP6+SUPER+BOOST+AC+Hard+Start+Capacitor+Kit%2C+500%25+Torque+Increase&amp;qid=1695173370&amp;sr=8-1</v>
      </c>
      <c r="F1359" t="s">
        <v>3610</v>
      </c>
      <c r="G1359" t="e">
        <f ca="1">_xludf.IMAGE("https://edmondsonsupply.com/cdn/shop/products/SPP6_L.png?v=1633030097")</f>
        <v>#NAME?</v>
      </c>
      <c r="H1359" t="e">
        <f ca="1">_xludf.IMAGE("https://m.media-amazon.com/images/I/71wgg5wU+zL._AC_UY218_.jpg")</f>
        <v>#NAME?</v>
      </c>
      <c r="I1359" t="s">
        <v>3611</v>
      </c>
      <c r="J1359">
        <v>13.02</v>
      </c>
      <c r="K1359" s="4">
        <v>0.29170000000000001</v>
      </c>
      <c r="L1359">
        <v>4.5999999999999996</v>
      </c>
      <c r="M1359">
        <v>1685</v>
      </c>
      <c r="O1359" t="s">
        <v>25</v>
      </c>
      <c r="P1359" t="s">
        <v>138</v>
      </c>
      <c r="Q1359" t="s">
        <v>3612</v>
      </c>
    </row>
    <row r="1360" spans="1:17" ht="15.5" x14ac:dyDescent="0.35">
      <c r="A1360" s="3" t="str">
        <f>HYPERLINK("https://edmondsonsupply.com/collections/hvac/products/uniweld-70022", "https://edmondsonsupply.com/collections/hvac/products/uniweld-70022")</f>
        <v>https://edmondsonsupply.com/collections/hvac/products/uniweld-70022</v>
      </c>
      <c r="B1360" s="3" t="str">
        <f>HYPERLINK("https://edmondsonsupply.com/products/uniweld-70022", "https://edmondsonsupply.com/products/uniweld-70022")</f>
        <v>https://edmondsonsupply.com/products/uniweld-70022</v>
      </c>
      <c r="C1360" t="s">
        <v>3613</v>
      </c>
      <c r="D1360" t="s">
        <v>3614</v>
      </c>
      <c r="E1360" s="3" t="str">
        <f>HYPERLINK("https://www.amazon.com/Uniweld-70022-Reversible-Ratchet-Adaptor/dp/B00ECC6DE4/ref=sr_1_1?keywords=Uniweld+70022+Ratchet+Service+Wrench&amp;qid=1695173507&amp;sr=8-1", "https://www.amazon.com/Uniweld-70022-Reversible-Ratchet-Adaptor/dp/B00ECC6DE4/ref=sr_1_1?keywords=Uniweld+70022+Ratchet+Service+Wrench&amp;qid=1695173507&amp;sr=8-1")</f>
        <v>https://www.amazon.com/Uniweld-70022-Reversible-Ratchet-Adaptor/dp/B00ECC6DE4/ref=sr_1_1?keywords=Uniweld+70022+Ratchet+Service+Wrench&amp;qid=1695173507&amp;sr=8-1</v>
      </c>
      <c r="F1360" t="s">
        <v>3615</v>
      </c>
      <c r="G1360" t="e">
        <f ca="1">_xludf.IMAGE("https://edmondsonsupply.com/cdn/shop/products/70022_pkg.jpg?v=1656082349")</f>
        <v>#NAME?</v>
      </c>
      <c r="H1360" t="e">
        <f ca="1">_xludf.IMAGE("https://m.media-amazon.com/images/I/61tFH9OW43L._AC_UL320_.jpg")</f>
        <v>#NAME?</v>
      </c>
      <c r="I1360" t="s">
        <v>3616</v>
      </c>
      <c r="J1360">
        <v>17.29</v>
      </c>
      <c r="K1360" s="4">
        <v>0.2913</v>
      </c>
      <c r="L1360">
        <v>4.7</v>
      </c>
      <c r="M1360">
        <v>209</v>
      </c>
      <c r="O1360" t="s">
        <v>25</v>
      </c>
      <c r="P1360" t="s">
        <v>3617</v>
      </c>
      <c r="Q1360" t="s">
        <v>3618</v>
      </c>
    </row>
    <row r="1361" spans="1:17" ht="15.5" x14ac:dyDescent="0.35">
      <c r="A1361" s="3" t="str">
        <f>HYPERLINK("https://edmondsonsupply.com/collections/hvac/products/fieldpiece-sc260", "https://edmondsonsupply.com/collections/hvac/products/fieldpiece-sc260")</f>
        <v>https://edmondsonsupply.com/collections/hvac/products/fieldpiece-sc260</v>
      </c>
      <c r="B1361" s="3" t="str">
        <f>HYPERLINK("https://edmondsonsupply.com/products/fieldpiece-sc260", "https://edmondsonsupply.com/products/fieldpiece-sc260")</f>
        <v>https://edmondsonsupply.com/products/fieldpiece-sc260</v>
      </c>
      <c r="C1361" t="s">
        <v>3222</v>
      </c>
      <c r="D1361" t="s">
        <v>3619</v>
      </c>
      <c r="E1361" s="3" t="str">
        <f>HYPERLINK("https://www.amazon.com/SC260-Compact-Clamp-Meter-True/dp/B079L5D55Z/ref=sr_1_2?keywords=Fieldpiece+SC260+Compact+Clamp+Meter+with+True+RMS&amp;qid=1695173695&amp;sr=8-2", "https://www.amazon.com/SC260-Compact-Clamp-Meter-True/dp/B079L5D55Z/ref=sr_1_2?keywords=Fieldpiece+SC260+Compact+Clamp+Meter+with+True+RMS&amp;qid=1695173695&amp;sr=8-2")</f>
        <v>https://www.amazon.com/SC260-Compact-Clamp-Meter-True/dp/B079L5D55Z/ref=sr_1_2?keywords=Fieldpiece+SC260+Compact+Clamp+Meter+with+True+RMS&amp;qid=1695173695&amp;sr=8-2</v>
      </c>
      <c r="F1361" t="s">
        <v>3620</v>
      </c>
      <c r="G1361" t="e">
        <f ca="1">_xludf.IMAGE("https://edmondsonsupply.com/cdn/shop/products/SC260-SRC-product.jpg?v=1633030161")</f>
        <v>#NAME?</v>
      </c>
      <c r="H1361" t="e">
        <f ca="1">_xludf.IMAGE("https://m.media-amazon.com/images/I/41mbTzA5D0L._AC_UY218_.jpg")</f>
        <v>#NAME?</v>
      </c>
      <c r="I1361" t="s">
        <v>3225</v>
      </c>
      <c r="J1361">
        <v>178.83</v>
      </c>
      <c r="K1361" s="4">
        <v>0.29070000000000001</v>
      </c>
      <c r="L1361">
        <v>4.8</v>
      </c>
      <c r="M1361">
        <v>11</v>
      </c>
      <c r="O1361" t="s">
        <v>25</v>
      </c>
      <c r="P1361" t="s">
        <v>1508</v>
      </c>
      <c r="Q1361" t="s">
        <v>3226</v>
      </c>
    </row>
    <row r="1362" spans="1:17" ht="15.5" x14ac:dyDescent="0.35">
      <c r="A1362" s="3" t="str">
        <f>HYPERLINK("https://edmondsonsupply.com/collections/hvac/products/appion-ctee14-megaseal-low-loss-charging-t-fitting-1-4in-fl", "https://edmondsonsupply.com/collections/hvac/products/appion-ctee14-megaseal-low-loss-charging-t-fitting-1-4in-fl")</f>
        <v>https://edmondsonsupply.com/collections/hvac/products/appion-ctee14-megaseal-low-loss-charging-t-fitting-1-4in-fl</v>
      </c>
      <c r="B1362" s="3" t="str">
        <f>HYPERLINK("https://edmondsonsupply.com/products/appion-ctee14-megaseal-low-loss-charging-t-fitting-1-4in-fl", "https://edmondsonsupply.com/products/appion-ctee14-megaseal-low-loss-charging-t-fitting-1-4in-fl")</f>
        <v>https://edmondsonsupply.com/products/appion-ctee14-megaseal-low-loss-charging-t-fitting-1-4in-fl</v>
      </c>
      <c r="C1362" t="s">
        <v>3621</v>
      </c>
      <c r="D1362" t="s">
        <v>3622</v>
      </c>
      <c r="E1362" s="3" t="str">
        <f>HYPERLINK("https://www.amazon.com/Appion-MegaSeal-Low-Loss-Charging-T-Fitting/dp/B07CZ3V566/ref=sr_1_1?keywords=Appion+CTEE14+MegaSeal+Low-Loss+Charging+T-Fitting+1%2F4in+FL&amp;qid=1695173394&amp;sr=8-1", "https://www.amazon.com/Appion-MegaSeal-Low-Loss-Charging-T-Fitting/dp/B07CZ3V566/ref=sr_1_1?keywords=Appion+CTEE14+MegaSeal+Low-Loss+Charging+T-Fitting+1%2F4in+FL&amp;qid=1695173394&amp;sr=8-1")</f>
        <v>https://www.amazon.com/Appion-MegaSeal-Low-Loss-Charging-T-Fitting/dp/B07CZ3V566/ref=sr_1_1?keywords=Appion+CTEE14+MegaSeal+Low-Loss+Charging+T-Fitting+1%2F4in+FL&amp;qid=1695173394&amp;sr=8-1</v>
      </c>
      <c r="F1362" t="s">
        <v>3623</v>
      </c>
      <c r="G1362" t="e">
        <f ca="1">_xludf.IMAGE("https://edmondsonsupply.com/cdn/shop/products/CTEE14_1080.png?v=1678496277")</f>
        <v>#NAME?</v>
      </c>
      <c r="H1362" t="e">
        <f ca="1">_xludf.IMAGE("https://m.media-amazon.com/images/I/415dEuy1meL._AC_UL320_.jpg")</f>
        <v>#NAME?</v>
      </c>
      <c r="I1362" t="s">
        <v>1931</v>
      </c>
      <c r="J1362">
        <v>64.44</v>
      </c>
      <c r="K1362" s="4">
        <v>0.28910000000000002</v>
      </c>
      <c r="L1362">
        <v>4.5</v>
      </c>
      <c r="M1362">
        <v>170</v>
      </c>
      <c r="O1362" t="s">
        <v>25</v>
      </c>
      <c r="P1362" t="s">
        <v>905</v>
      </c>
      <c r="Q1362" t="s">
        <v>3624</v>
      </c>
    </row>
    <row r="1363" spans="1:17" ht="15.5" x14ac:dyDescent="0.35">
      <c r="A1363"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363" s="3" t="str">
        <f>HYPERLINK("https://edmondsonsupply.com/products/klein-tools-11053-klein-kurve%c2%ae-wire-stripper-cutter", "https://edmondsonsupply.com/products/klein-tools-11053-klein-kurve%c2%ae-wire-stripper-cutter")</f>
        <v>https://edmondsonsupply.com/products/klein-tools-11053-klein-kurve%c2%ae-wire-stripper-cutter</v>
      </c>
      <c r="C1363" t="s">
        <v>2285</v>
      </c>
      <c r="D1363" t="s">
        <v>3625</v>
      </c>
      <c r="E1363" s="3" t="str">
        <f>HYPERLINK("https://www.amazon.com/Klein-Tools-11055GLW-Stripper-Klein-Kurve/dp/B09FVTWPQV/ref=sr_1_5?keywords=Klein+Tools+11053+Klein-Kurve%C2%AE+Wire+Stripper%2FCutter&amp;qid=1695173476&amp;sr=8-5", "https://www.amazon.com/Klein-Tools-11055GLW-Stripper-Klein-Kurve/dp/B09FVTWPQV/ref=sr_1_5?keywords=Klein+Tools+11053+Klein-Kurve%C2%AE+Wire+Stripper%2FCutter&amp;qid=1695173476&amp;sr=8-5")</f>
        <v>https://www.amazon.com/Klein-Tools-11055GLW-Stripper-Klein-Kurve/dp/B09FVTWPQV/ref=sr_1_5?keywords=Klein+Tools+11053+Klein-Kurve%C2%AE+Wire+Stripper%2FCutter&amp;qid=1695173476&amp;sr=8-5</v>
      </c>
      <c r="F1363" t="s">
        <v>3626</v>
      </c>
      <c r="G1363" t="e">
        <f ca="1">_xludf.IMAGE("https://edmondsonsupply.com/cdn/shop/products/11053.jpg?v=1633030511")</f>
        <v>#NAME?</v>
      </c>
      <c r="H1363" t="e">
        <f ca="1">_xludf.IMAGE("https://m.media-amazon.com/images/I/41qRg9375VL._AC_UL320_.jpg")</f>
        <v>#NAME?</v>
      </c>
      <c r="I1363" t="s">
        <v>2288</v>
      </c>
      <c r="J1363">
        <v>26.99</v>
      </c>
      <c r="K1363" s="4">
        <v>0.28710000000000002</v>
      </c>
      <c r="L1363">
        <v>4.8</v>
      </c>
      <c r="M1363">
        <v>7596</v>
      </c>
      <c r="O1363" t="s">
        <v>25</v>
      </c>
      <c r="P1363" t="s">
        <v>2289</v>
      </c>
      <c r="Q1363" t="s">
        <v>2290</v>
      </c>
    </row>
    <row r="1364" spans="1:17" ht="15.5" x14ac:dyDescent="0.35">
      <c r="A1364" s="3" t="str">
        <f>HYPERLINK("https://edmondsonsupply.com/collections/hvac/products/diversitech-asurity%E2%84%A2-cp-22-230-condensate-pump-22ft-lift-230v", "https://edmondsonsupply.com/collections/hvac/products/diversitech-asurity%E2%84%A2-cp-22-230-condensate-pump-22ft-lift-230v")</f>
        <v>https://edmondsonsupply.com/collections/hvac/products/diversitech-asurity%E2%84%A2-cp-22-230-condensate-pump-22ft-lift-230v</v>
      </c>
      <c r="B1364" s="3" t="str">
        <f>HYPERLINK("https://edmondsonsupply.com/products/diversitech-asurity%e2%84%a2-cp-22-230-condensate-pump-22ft-lift-230v", "https://edmondsonsupply.com/products/diversitech-asurity%e2%84%a2-cp-22-230-condensate-pump-22ft-lift-230v")</f>
        <v>https://edmondsonsupply.com/products/diversitech-asurity%e2%84%a2-cp-22-230-condensate-pump-22ft-lift-230v</v>
      </c>
      <c r="C1364" t="s">
        <v>3627</v>
      </c>
      <c r="D1364" t="s">
        <v>3628</v>
      </c>
      <c r="E1364" s="3" t="str">
        <f>HYPERLINK("https://www.amazon.com/Diversitech-CP-22-230-Pump/dp/B008FM1PGI/ref=sr_1_1?keywords=DiversiTech+Asurity%E2%84%A2+CP-22-230+Condensate+Pump%2C+22ft.+Lift%2C+230V&amp;qid=1695173725&amp;sr=8-1", "https://www.amazon.com/Diversitech-CP-22-230-Pump/dp/B008FM1PGI/ref=sr_1_1?keywords=DiversiTech+Asurity%E2%84%A2+CP-22-230+Condensate+Pump%2C+22ft.+Lift%2C+230V&amp;qid=1695173725&amp;sr=8-1")</f>
        <v>https://www.amazon.com/Diversitech-CP-22-230-Pump/dp/B008FM1PGI/ref=sr_1_1?keywords=DiversiTech+Asurity%E2%84%A2+CP-22-230+Condensate+Pump%2C+22ft.+Lift%2C+230V&amp;qid=1695173725&amp;sr=8-1</v>
      </c>
      <c r="F1364" t="s">
        <v>3629</v>
      </c>
      <c r="G1364" t="e">
        <f ca="1">_xludf.IMAGE("https://edmondsonsupply.com/cdn/shop/files/64274d57081aa759857757.jpg?v=1690809952")</f>
        <v>#NAME?</v>
      </c>
      <c r="H1364" t="e">
        <f ca="1">_xludf.IMAGE("https://m.media-amazon.com/images/I/51pb46rQvML._AC_UL320_.jpg")</f>
        <v>#NAME?</v>
      </c>
      <c r="I1364" t="s">
        <v>3630</v>
      </c>
      <c r="J1364">
        <v>88.47</v>
      </c>
      <c r="K1364" s="4">
        <v>0.28610000000000002</v>
      </c>
      <c r="L1364">
        <v>4.3</v>
      </c>
      <c r="M1364">
        <v>62</v>
      </c>
      <c r="O1364" t="s">
        <v>25</v>
      </c>
      <c r="P1364" t="s">
        <v>138</v>
      </c>
      <c r="Q1364" t="s">
        <v>3631</v>
      </c>
    </row>
    <row r="1365" spans="1:17" ht="15.5" x14ac:dyDescent="0.35">
      <c r="A1365" s="3" t="str">
        <f>HYPERLINK("https://edmondsonsupply.com/collections/hvac/products/veto-pro-pac-tp-xxl-tool-pouch", "https://edmondsonsupply.com/collections/hvac/products/veto-pro-pac-tp-xxl-tool-pouch")</f>
        <v>https://edmondsonsupply.com/collections/hvac/products/veto-pro-pac-tp-xxl-tool-pouch</v>
      </c>
      <c r="B1365" s="3" t="str">
        <f>HYPERLINK("https://edmondsonsupply.com/products/veto-pro-pac-tp-xxl-tool-pouch", "https://edmondsonsupply.com/products/veto-pro-pac-tp-xxl-tool-pouch")</f>
        <v>https://edmondsonsupply.com/products/veto-pro-pac-tp-xxl-tool-pouch</v>
      </c>
      <c r="C1365" t="s">
        <v>451</v>
      </c>
      <c r="D1365" t="s">
        <v>452</v>
      </c>
      <c r="E1365" s="3" t="str">
        <f>HYPERLINK("https://www.amazon.com/VETO-PRO-PAC-Model-XXL-F/dp/B0002HC2CK/ref=sr_1_3?keywords=Veto+Pro+Pac+TP-XXL+Tool+Pouch&amp;qid=1695173439&amp;sr=8-3", "https://www.amazon.com/VETO-PRO-PAC-Model-XXL-F/dp/B0002HC2CK/ref=sr_1_3?keywords=Veto+Pro+Pac+TP-XXL+Tool+Pouch&amp;qid=1695173439&amp;sr=8-3")</f>
        <v>https://www.amazon.com/VETO-PRO-PAC-Model-XXL-F/dp/B0002HC2CK/ref=sr_1_3?keywords=Veto+Pro+Pac+TP-XXL+Tool+Pouch&amp;qid=1695173439&amp;sr=8-3</v>
      </c>
      <c r="F1365" t="s">
        <v>453</v>
      </c>
      <c r="G1365" t="e">
        <f ca="1">_xludf.IMAGE("https://edmondsonsupply.com/cdn/shop/products/01_TP-XXL.jpg?v=1633031173")</f>
        <v>#NAME?</v>
      </c>
      <c r="H1365" t="e">
        <f ca="1">_xludf.IMAGE("https://m.media-amazon.com/images/I/61tR0YjGMkL._AC_UL320_.jpg")</f>
        <v>#NAME?</v>
      </c>
      <c r="I1365" t="s">
        <v>454</v>
      </c>
      <c r="J1365">
        <v>269.95</v>
      </c>
      <c r="K1365" s="4">
        <v>0.28549999999999998</v>
      </c>
      <c r="L1365">
        <v>4.5</v>
      </c>
      <c r="M1365">
        <v>262</v>
      </c>
      <c r="O1365" t="s">
        <v>25</v>
      </c>
      <c r="P1365" t="s">
        <v>138</v>
      </c>
      <c r="Q1365" t="s">
        <v>455</v>
      </c>
    </row>
    <row r="1366" spans="1:17" ht="15.5" x14ac:dyDescent="0.35">
      <c r="A1366"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1366" s="3" t="str">
        <f>HYPERLINK("https://edmondsonsupply.com/products/midwest-mwt-6510r-right-offset-aviation-snip", "https://edmondsonsupply.com/products/midwest-mwt-6510r-right-offset-aviation-snip")</f>
        <v>https://edmondsonsupply.com/products/midwest-mwt-6510r-right-offset-aviation-snip</v>
      </c>
      <c r="C1366" t="s">
        <v>1776</v>
      </c>
      <c r="D1366" t="s">
        <v>3567</v>
      </c>
      <c r="E1366" s="3" t="str">
        <f>HYPERLINK("https://www.amazon.com/MIDWEST-Aviation-Snip-KUSHN-POWER-MWT-6510R/dp/B00OCGQG6A/ref=sr_1_1?keywords=Midwest+MWT-6510R+Right+Offset+Aviation+Snip&amp;qid=1695173557&amp;sr=8-1", "https://www.amazon.com/MIDWEST-Aviation-Snip-KUSHN-POWER-MWT-6510R/dp/B00OCGQG6A/ref=sr_1_1?keywords=Midwest+MWT-6510R+Right+Offset+Aviation+Snip&amp;qid=1695173557&amp;sr=8-1")</f>
        <v>https://www.amazon.com/MIDWEST-Aviation-Snip-KUSHN-POWER-MWT-6510R/dp/B00OCGQG6A/ref=sr_1_1?keywords=Midwest+MWT-6510R+Right+Offset+Aviation+Snip&amp;qid=1695173557&amp;sr=8-1</v>
      </c>
      <c r="F1366" t="s">
        <v>3568</v>
      </c>
      <c r="G1366" t="e">
        <f ca="1">_xludf.IMAGE("https://edmondsonsupply.com/cdn/shop/products/MWT-6510R.png?v=1587144877")</f>
        <v>#NAME?</v>
      </c>
      <c r="H1366" t="e">
        <f ca="1">_xludf.IMAGE("https://m.media-amazon.com/images/I/714fHvEMecL._AC_UL320_.jpg")</f>
        <v>#NAME?</v>
      </c>
      <c r="I1366" t="s">
        <v>1777</v>
      </c>
      <c r="J1366">
        <v>31.99</v>
      </c>
      <c r="K1366" s="4">
        <v>0.2853</v>
      </c>
      <c r="L1366">
        <v>4.7</v>
      </c>
      <c r="M1366">
        <v>3425</v>
      </c>
      <c r="O1366" t="s">
        <v>25</v>
      </c>
      <c r="P1366" t="s">
        <v>260</v>
      </c>
      <c r="Q1366" t="s">
        <v>1778</v>
      </c>
    </row>
    <row r="1367" spans="1:17" ht="15.5" x14ac:dyDescent="0.35">
      <c r="A1367" s="3" t="str">
        <f>HYPERLINK("https://edmondsonsupply.com/collections/hvac/products/klein-tools-k12035-klein-kurve%C2%AE-heavy-duty-wire-stripper-8-20-awg", "https://edmondsonsupply.com/collections/hvac/products/klein-tools-k12035-klein-kurve%C2%AE-heavy-duty-wire-stripper-8-20-awg")</f>
        <v>https://edmondsonsupply.com/collections/hvac/products/klein-tools-k12035-klein-kurve%C2%AE-heavy-duty-wire-stripper-8-20-awg</v>
      </c>
      <c r="B1367" s="3" t="str">
        <f>HYPERLINK("https://edmondsonsupply.com/products/klein-tools-k12035-klein-kurve%c2%ae-heavy-duty-wire-stripper-8-20-awg", "https://edmondsonsupply.com/products/klein-tools-k12035-klein-kurve%c2%ae-heavy-duty-wire-stripper-8-20-awg")</f>
        <v>https://edmondsonsupply.com/products/klein-tools-k12035-klein-kurve%c2%ae-heavy-duty-wire-stripper-8-20-awg</v>
      </c>
      <c r="C1367" t="s">
        <v>3632</v>
      </c>
      <c r="D1367" t="s">
        <v>3633</v>
      </c>
      <c r="E1367" s="3" t="str">
        <f>HYPERLINK("https://www.amazon.com/Klein-Tools-Klein-Kurve-Electronics-Screwdriver/dp/B09Z91XMF1/ref=sr_1_7?keywords=Klein+Tools+K12035+Klein-Kurve%C2%AE+Heavy-Duty+Wire+Stripper+8-20+AWG&amp;qid=1695173668&amp;sr=8-7", "https://www.amazon.com/Klein-Tools-Klein-Kurve-Electronics-Screwdriver/dp/B09Z91XMF1/ref=sr_1_7?keywords=Klein+Tools+K12035+Klein-Kurve%C2%AE+Heavy-Duty+Wire+Stripper+8-20+AWG&amp;qid=1695173668&amp;sr=8-7")</f>
        <v>https://www.amazon.com/Klein-Tools-Klein-Kurve-Electronics-Screwdriver/dp/B09Z91XMF1/ref=sr_1_7?keywords=Klein+Tools+K12035+Klein-Kurve%C2%AE+Heavy-Duty+Wire+Stripper+8-20+AWG&amp;qid=1695173668&amp;sr=8-7</v>
      </c>
      <c r="F1367" t="s">
        <v>3634</v>
      </c>
      <c r="G1367" t="e">
        <f ca="1">_xludf.IMAGE("https://edmondsonsupply.com/cdn/shop/products/k12035_c.jpg?v=1678970768")</f>
        <v>#NAME?</v>
      </c>
      <c r="H1367" t="e">
        <f ca="1">_xludf.IMAGE("https://m.media-amazon.com/images/I/41-4krrkm2L._AC_UL320_.jpg")</f>
        <v>#NAME?</v>
      </c>
      <c r="I1367" t="s">
        <v>340</v>
      </c>
      <c r="J1367">
        <v>44.94</v>
      </c>
      <c r="K1367" s="4">
        <v>0.28510000000000002</v>
      </c>
      <c r="L1367">
        <v>4.5999999999999996</v>
      </c>
      <c r="M1367">
        <v>616</v>
      </c>
      <c r="O1367" t="s">
        <v>25</v>
      </c>
      <c r="P1367" t="s">
        <v>3635</v>
      </c>
      <c r="Q1367" t="s">
        <v>3636</v>
      </c>
    </row>
    <row r="1368" spans="1:17" ht="15.5" x14ac:dyDescent="0.35">
      <c r="A1368" s="3" t="str">
        <f>HYPERLINK("https://edmondsonsupply.com/collections/hvac/products/midwest-mwt-6900r-upright-right-cutting-aviation-snip", "https://edmondsonsupply.com/collections/hvac/products/midwest-mwt-6900r-upright-right-cutting-aviation-snip")</f>
        <v>https://edmondsonsupply.com/collections/hvac/products/midwest-mwt-6900r-upright-right-cutting-aviation-snip</v>
      </c>
      <c r="B1368" s="3" t="str">
        <f>HYPERLINK("https://edmondsonsupply.com/products/midwest-mwt-6900r-upright-right-cutting-aviation-snip", "https://edmondsonsupply.com/products/midwest-mwt-6900r-upright-right-cutting-aviation-snip")</f>
        <v>https://edmondsonsupply.com/products/midwest-mwt-6900r-upright-right-cutting-aviation-snip</v>
      </c>
      <c r="C1368" t="s">
        <v>1785</v>
      </c>
      <c r="D1368" t="s">
        <v>3513</v>
      </c>
      <c r="E1368" s="3" t="str">
        <f>HYPERLINK("https://www.amazon.com/MIDWEST-Aviation-Snip-KUSHN-POWER-MWT-6900R/dp/B00OJ0KPE8/ref=sr_1_1?keywords=Midwest+MWT-6900R+Upright+Right-Cutting+Aviation+Snip&amp;qid=1695173458&amp;sr=8-1", "https://www.amazon.com/MIDWEST-Aviation-Snip-KUSHN-POWER-MWT-6900R/dp/B00OJ0KPE8/ref=sr_1_1?keywords=Midwest+MWT-6900R+Upright+Right-Cutting+Aviation+Snip&amp;qid=1695173458&amp;sr=8-1")</f>
        <v>https://www.amazon.com/MIDWEST-Aviation-Snip-KUSHN-POWER-MWT-6900R/dp/B00OJ0KPE8/ref=sr_1_1?keywords=Midwest+MWT-6900R+Upright+Right-Cutting+Aviation+Snip&amp;qid=1695173458&amp;sr=8-1</v>
      </c>
      <c r="F1368" t="s">
        <v>3514</v>
      </c>
      <c r="G1368" t="e">
        <f ca="1">_xludf.IMAGE("https://edmondsonsupply.com/cdn/shop/products/MW-P6900R1.jpg?v=1587142622")</f>
        <v>#NAME?</v>
      </c>
      <c r="H1368" t="e">
        <f ca="1">_xludf.IMAGE("https://m.media-amazon.com/images/I/715hD0L0+uL._AC_UL320_.jpg")</f>
        <v>#NAME?</v>
      </c>
      <c r="I1368" t="s">
        <v>1786</v>
      </c>
      <c r="J1368">
        <v>32.479999999999997</v>
      </c>
      <c r="K1368" s="4">
        <v>0.2843</v>
      </c>
      <c r="L1368">
        <v>4.7</v>
      </c>
      <c r="M1368">
        <v>779</v>
      </c>
      <c r="O1368" t="s">
        <v>25</v>
      </c>
      <c r="P1368" t="s">
        <v>1787</v>
      </c>
      <c r="Q1368" t="s">
        <v>1788</v>
      </c>
    </row>
    <row r="1369" spans="1:17" ht="15.5" x14ac:dyDescent="0.35">
      <c r="A1369"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369" s="3" t="str">
        <f>HYPERLINK("https://edmondsonsupply.com/products/packard-c130a-contactor-1-pole-30-amps-24-coil-voltage", "https://edmondsonsupply.com/products/packard-c130a-contactor-1-pole-30-amps-24-coil-voltage")</f>
        <v>https://edmondsonsupply.com/products/packard-c130a-contactor-1-pole-30-amps-24-coil-voltage</v>
      </c>
      <c r="C1369" t="s">
        <v>2726</v>
      </c>
      <c r="D1369" t="s">
        <v>3637</v>
      </c>
      <c r="E1369" s="3" t="str">
        <f>HYPERLINK("https://www.amazon.com/Lennox-Packard-Replacement-Contactor-C130A/dp/B00S8JJR0E/ref=sr_1_5?keywords=Packard+C130A+Contactor+1+Pole+30+Amps+24+Coil+Voltage&amp;qid=1695173411&amp;sr=8-5", "https://www.amazon.com/Lennox-Packard-Replacement-Contactor-C130A/dp/B00S8JJR0E/ref=sr_1_5?keywords=Packard+C130A+Contactor+1+Pole+30+Amps+24+Coil+Voltage&amp;qid=1695173411&amp;sr=8-5")</f>
        <v>https://www.amazon.com/Lennox-Packard-Replacement-Contactor-C130A/dp/B00S8JJR0E/ref=sr_1_5?keywords=Packard+C130A+Contactor+1+Pole+30+Amps+24+Coil+Voltage&amp;qid=1695173411&amp;sr=8-5</v>
      </c>
      <c r="F1369" t="s">
        <v>3638</v>
      </c>
      <c r="G1369" t="e">
        <f ca="1">_xludf.IMAGE("https://edmondsonsupply.com/cdn/shop/products/61bb566724620904123205.jpg?v=1650335931")</f>
        <v>#NAME?</v>
      </c>
      <c r="H1369" t="e">
        <f ca="1">_xludf.IMAGE("https://m.media-amazon.com/images/I/61Xmo3JFZxL._AC_UY218_.jpg")</f>
        <v>#NAME?</v>
      </c>
      <c r="I1369" t="s">
        <v>2729</v>
      </c>
      <c r="J1369">
        <v>12.31</v>
      </c>
      <c r="K1369" s="4">
        <v>0.27960000000000002</v>
      </c>
      <c r="L1369">
        <v>3.7</v>
      </c>
      <c r="M1369">
        <v>4</v>
      </c>
      <c r="O1369" t="s">
        <v>25</v>
      </c>
      <c r="P1369" t="s">
        <v>138</v>
      </c>
      <c r="Q1369" t="s">
        <v>2730</v>
      </c>
    </row>
    <row r="1370" spans="1:17" ht="15.5" x14ac:dyDescent="0.35">
      <c r="A1370"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370" s="3" t="str">
        <f>HYPERLINK("https://edmondsonsupply.com/products/packard-c130a-contactor-1-pole-30-amps-24-coil-voltage", "https://edmondsonsupply.com/products/packard-c130a-contactor-1-pole-30-amps-24-coil-voltage")</f>
        <v>https://edmondsonsupply.com/products/packard-c130a-contactor-1-pole-30-amps-24-coil-voltage</v>
      </c>
      <c r="C1370" t="s">
        <v>2726</v>
      </c>
      <c r="D1370" t="s">
        <v>3639</v>
      </c>
      <c r="E1370" s="3" t="str">
        <f>HYPERLINK("https://www.amazon.com/Tempstar-Packard-Replacement-Contactor-C130A/dp/B00S8JK244/ref=sr_1_6?keywords=Packard+C130A+Contactor+1+Pole+30+Amps+24+Coil+Voltage&amp;qid=1695173411&amp;sr=8-6", "https://www.amazon.com/Tempstar-Packard-Replacement-Contactor-C130A/dp/B00S8JK244/ref=sr_1_6?keywords=Packard+C130A+Contactor+1+Pole+30+Amps+24+Coil+Voltage&amp;qid=1695173411&amp;sr=8-6")</f>
        <v>https://www.amazon.com/Tempstar-Packard-Replacement-Contactor-C130A/dp/B00S8JK244/ref=sr_1_6?keywords=Packard+C130A+Contactor+1+Pole+30+Amps+24+Coil+Voltage&amp;qid=1695173411&amp;sr=8-6</v>
      </c>
      <c r="F1370" t="s">
        <v>3640</v>
      </c>
      <c r="G1370" t="e">
        <f ca="1">_xludf.IMAGE("https://edmondsonsupply.com/cdn/shop/products/61bb566724620904123205.jpg?v=1650335931")</f>
        <v>#NAME?</v>
      </c>
      <c r="H1370" t="e">
        <f ca="1">_xludf.IMAGE("https://m.media-amazon.com/images/I/41Is+M5WoFL._AC_UY218_.jpg")</f>
        <v>#NAME?</v>
      </c>
      <c r="I1370" t="s">
        <v>2729</v>
      </c>
      <c r="J1370">
        <v>12.31</v>
      </c>
      <c r="K1370" s="4">
        <v>0.27960000000000002</v>
      </c>
      <c r="L1370">
        <v>5</v>
      </c>
      <c r="M1370">
        <v>2</v>
      </c>
      <c r="O1370" t="s">
        <v>25</v>
      </c>
      <c r="P1370" t="s">
        <v>138</v>
      </c>
      <c r="Q1370" t="s">
        <v>2730</v>
      </c>
    </row>
    <row r="1371" spans="1:17" ht="15.5" x14ac:dyDescent="0.35">
      <c r="A1371" s="3" t="str">
        <f>HYPERLINK("https://edmondsonsupply.com/collections/hvac/products/diversitech-asurity%E2%84%A2-cp-22-230-condensate-pump-22ft-lift-230v", "https://edmondsonsupply.com/collections/hvac/products/diversitech-asurity%E2%84%A2-cp-22-230-condensate-pump-22ft-lift-230v")</f>
        <v>https://edmondsonsupply.com/collections/hvac/products/diversitech-asurity%E2%84%A2-cp-22-230-condensate-pump-22ft-lift-230v</v>
      </c>
      <c r="B1371" s="3" t="str">
        <f>HYPERLINK("https://edmondsonsupply.com/products/diversitech-asurity%e2%84%a2-cp-22-230-condensate-pump-22ft-lift-230v", "https://edmondsonsupply.com/products/diversitech-asurity%e2%84%a2-cp-22-230-condensate-pump-22ft-lift-230v")</f>
        <v>https://edmondsonsupply.com/products/diversitech-asurity%e2%84%a2-cp-22-230-condensate-pump-22ft-lift-230v</v>
      </c>
      <c r="C1371" t="s">
        <v>3627</v>
      </c>
      <c r="D1371" t="s">
        <v>3641</v>
      </c>
      <c r="E1371" s="3" t="str">
        <f>HYPERLINK("https://www.amazon.com/DiversiTech-CP-22-230-230V-22ft-condensate/dp/B079RM2JFX/ref=sr_1_2?keywords=DiversiTech+Asurity%E2%84%A2+CP-22-230+Condensate+Pump%2C+22ft.+Lift%2C+230V&amp;qid=1695173725&amp;sr=8-2", "https://www.amazon.com/DiversiTech-CP-22-230-230V-22ft-condensate/dp/B079RM2JFX/ref=sr_1_2?keywords=DiversiTech+Asurity%E2%84%A2+CP-22-230+Condensate+Pump%2C+22ft.+Lift%2C+230V&amp;qid=1695173725&amp;sr=8-2")</f>
        <v>https://www.amazon.com/DiversiTech-CP-22-230-230V-22ft-condensate/dp/B079RM2JFX/ref=sr_1_2?keywords=DiversiTech+Asurity%E2%84%A2+CP-22-230+Condensate+Pump%2C+22ft.+Lift%2C+230V&amp;qid=1695173725&amp;sr=8-2</v>
      </c>
      <c r="F1371" t="s">
        <v>3642</v>
      </c>
      <c r="G1371" t="e">
        <f ca="1">_xludf.IMAGE("https://edmondsonsupply.com/cdn/shop/files/64274d57081aa759857757.jpg?v=1690809952")</f>
        <v>#NAME?</v>
      </c>
      <c r="H1371" t="e">
        <f ca="1">_xludf.IMAGE("https://m.media-amazon.com/images/I/41hfn2ETEpL._AC_UL320_.jpg")</f>
        <v>#NAME?</v>
      </c>
      <c r="I1371" t="s">
        <v>3630</v>
      </c>
      <c r="J1371">
        <v>87.99</v>
      </c>
      <c r="K1371" s="4">
        <v>0.27910000000000001</v>
      </c>
      <c r="L1371">
        <v>5</v>
      </c>
      <c r="M1371">
        <v>3</v>
      </c>
      <c r="O1371" t="s">
        <v>25</v>
      </c>
      <c r="P1371" t="s">
        <v>138</v>
      </c>
      <c r="Q1371" t="s">
        <v>3631</v>
      </c>
    </row>
    <row r="1372" spans="1:17" ht="15.5" x14ac:dyDescent="0.35">
      <c r="A1372" s="3" t="str">
        <f>HYPERLINK("https://edmondsonsupply.com/collections/hvac/products/hilmor-1838947-fs-quick-engage-flare-swage-tool-kit-3-16-to-3-4", "https://edmondsonsupply.com/collections/hvac/products/hilmor-1838947-fs-quick-engage-flare-swage-tool-kit-3-16-to-3-4")</f>
        <v>https://edmondsonsupply.com/collections/hvac/products/hilmor-1838947-fs-quick-engage-flare-swage-tool-kit-3-16-to-3-4</v>
      </c>
      <c r="B1372" s="3" t="str">
        <f>HYPERLINK("https://edmondsonsupply.com/products/hilmor-1838947-fs-quick-engage-flare-swage-tool-kit-3-16-to-3-4", "https://edmondsonsupply.com/products/hilmor-1838947-fs-quick-engage-flare-swage-tool-kit-3-16-to-3-4")</f>
        <v>https://edmondsonsupply.com/products/hilmor-1838947-fs-quick-engage-flare-swage-tool-kit-3-16-to-3-4</v>
      </c>
      <c r="C1372" t="s">
        <v>3643</v>
      </c>
      <c r="D1372" t="s">
        <v>3644</v>
      </c>
      <c r="E1372" s="3" t="str">
        <f>HYPERLINK("https://www.amazon.com/hilmor-Quick-Engage-Flare-1838947/dp/B00IOS0OKQ/ref=sr_1_1?keywords=Hilmor+1838947+FS+Quick-Engage+Flare+%2B+Swage+Tool+Kit+-+3%2F16%22+to+3%2F4%22&amp;qid=1695173581&amp;sr=8-1", "https://www.amazon.com/hilmor-Quick-Engage-Flare-1838947/dp/B00IOS0OKQ/ref=sr_1_1?keywords=Hilmor+1838947+FS+Quick-Engage+Flare+%2B+Swage+Tool+Kit+-+3%2F16%22+to+3%2F4%22&amp;qid=1695173581&amp;sr=8-1")</f>
        <v>https://www.amazon.com/hilmor-Quick-Engage-Flare-1838947/dp/B00IOS0OKQ/ref=sr_1_1?keywords=Hilmor+1838947+FS+Quick-Engage+Flare+%2B+Swage+Tool+Kit+-+3%2F16%22+to+3%2F4%22&amp;qid=1695173581&amp;sr=8-1</v>
      </c>
      <c r="F1372" t="s">
        <v>3645</v>
      </c>
      <c r="G1372" t="e">
        <f ca="1">_xludf.IMAGE("https://edmondsonsupply.com/cdn/shop/products/1838947-re-1.jpg?v=1587149391")</f>
        <v>#NAME?</v>
      </c>
      <c r="H1372" t="e">
        <f ca="1">_xludf.IMAGE("https://m.media-amazon.com/images/I/91syuKpfXPL._AC_UL320_.jpg")</f>
        <v>#NAME?</v>
      </c>
      <c r="I1372" t="s">
        <v>3646</v>
      </c>
      <c r="J1372">
        <v>191.8</v>
      </c>
      <c r="K1372" s="4">
        <v>0.27660000000000001</v>
      </c>
      <c r="L1372">
        <v>3.9</v>
      </c>
      <c r="M1372">
        <v>190</v>
      </c>
      <c r="O1372" t="s">
        <v>25</v>
      </c>
      <c r="P1372" t="s">
        <v>138</v>
      </c>
      <c r="Q1372" t="s">
        <v>3647</v>
      </c>
    </row>
    <row r="1373" spans="1:17" ht="15.5" x14ac:dyDescent="0.35">
      <c r="A1373" s="3" t="str">
        <f>HYPERLINK("https://edmondsonsupply.com/collections/hvac/products/malco-tools-av8-vertical-upright-aviation-snip-left-cutting", "https://edmondsonsupply.com/collections/hvac/products/malco-tools-av8-vertical-upright-aviation-snip-left-cutting")</f>
        <v>https://edmondsonsupply.com/collections/hvac/products/malco-tools-av8-vertical-upright-aviation-snip-left-cutting</v>
      </c>
      <c r="B1373" s="3" t="str">
        <f>HYPERLINK("https://edmondsonsupply.com/products/malco-tools-av8-vertical-upright-aviation-snip-left-cutting", "https://edmondsonsupply.com/products/malco-tools-av8-vertical-upright-aviation-snip-left-cutting")</f>
        <v>https://edmondsonsupply.com/products/malco-tools-av8-vertical-upright-aviation-snip-left-cutting</v>
      </c>
      <c r="C1373" t="s">
        <v>3648</v>
      </c>
      <c r="D1373" t="s">
        <v>3649</v>
      </c>
      <c r="E1373" s="3" t="str">
        <f>HYPERLINK("https://www.amazon.com/Malco-AV8-Cutting-Vertical-Aviation/dp/B009FAZNOO/ref=sr_1_1?keywords=Malco+Tools+AV8+Vertical%2FUpright+Aviation+Snip+-+Left+Cutting&amp;qid=1695173637&amp;sr=8-1", "https://www.amazon.com/Malco-AV8-Cutting-Vertical-Aviation/dp/B009FAZNOO/ref=sr_1_1?keywords=Malco+Tools+AV8+Vertical%2FUpright+Aviation+Snip+-+Left+Cutting&amp;qid=1695173637&amp;sr=8-1")</f>
        <v>https://www.amazon.com/Malco-AV8-Cutting-Vertical-Aviation/dp/B009FAZNOO/ref=sr_1_1?keywords=Malco+Tools+AV8+Vertical%2FUpright+Aviation+Snip+-+Left+Cutting&amp;qid=1695173637&amp;sr=8-1</v>
      </c>
      <c r="F1373" t="s">
        <v>3650</v>
      </c>
      <c r="G1373" t="e">
        <f ca="1">_xludf.IMAGE("https://edmondsonsupply.com/cdn/shop/products/av8-big-e1530194005742.jpg?v=1633030538")</f>
        <v>#NAME?</v>
      </c>
      <c r="H1373" t="e">
        <f ca="1">_xludf.IMAGE("https://m.media-amazon.com/images/I/617TTJdzrXL._AC_UL320_.jpg")</f>
        <v>#NAME?</v>
      </c>
      <c r="I1373" t="s">
        <v>3047</v>
      </c>
      <c r="J1373">
        <v>33.61</v>
      </c>
      <c r="K1373" s="4">
        <v>0.27360000000000001</v>
      </c>
      <c r="L1373">
        <v>4.8</v>
      </c>
      <c r="M1373">
        <v>343</v>
      </c>
      <c r="O1373" t="s">
        <v>25</v>
      </c>
      <c r="P1373" t="s">
        <v>3651</v>
      </c>
      <c r="Q1373" t="s">
        <v>3652</v>
      </c>
    </row>
    <row r="1374" spans="1:17" ht="15.5" x14ac:dyDescent="0.35">
      <c r="A1374" s="3" t="str">
        <f>HYPERLINK("https://edmondsonsupply.com/collections/hvac/products/white-rodgers-50m56-743-integrated-furnace-control-board-replacement-for-goodman", "https://edmondsonsupply.com/collections/hvac/products/white-rodgers-50m56-743-integrated-furnace-control-board-replacement-for-goodman")</f>
        <v>https://edmondsonsupply.com/collections/hvac/products/white-rodgers-50m56-743-integrated-furnace-control-board-replacement-for-goodman</v>
      </c>
      <c r="B1374" s="3" t="str">
        <f>HYPERLINK("https://edmondsonsupply.com/products/white-rodgers-50m56-743-integrated-furnace-control-board-replacement-for-goodman", "https://edmondsonsupply.com/products/white-rodgers-50m56-743-integrated-furnace-control-board-replacement-for-goodman")</f>
        <v>https://edmondsonsupply.com/products/white-rodgers-50m56-743-integrated-furnace-control-board-replacement-for-goodman</v>
      </c>
      <c r="C1374" t="s">
        <v>3653</v>
      </c>
      <c r="D1374" t="s">
        <v>3654</v>
      </c>
      <c r="E1374" s="3" t="str">
        <f>HYPERLINK("https://www.amazon.com/Home-Tools-Single-Stage-Replacement-White-Rodgers/dp/B00TW2G416/ref=sr_1_1?keywords=White-Rodgers+50M56-743+Integrated+Furnace+Control+Board%2C+Replacement+for+Goodman&amp;qid=1695173389&amp;sr=8-1", "https://www.amazon.com/Home-Tools-Single-Stage-Replacement-White-Rodgers/dp/B00TW2G416/ref=sr_1_1?keywords=White-Rodgers+50M56-743+Integrated+Furnace+Control+Board%2C+Replacement+for+Goodman&amp;qid=1695173389&amp;sr=8-1")</f>
        <v>https://www.amazon.com/Home-Tools-Single-Stage-Replacement-White-Rodgers/dp/B00TW2G416/ref=sr_1_1?keywords=White-Rodgers+50M56-743+Integrated+Furnace+Control+Board%2C+Replacement+for+Goodman&amp;qid=1695173389&amp;sr=8-1</v>
      </c>
      <c r="F1374" t="s">
        <v>3655</v>
      </c>
      <c r="G1374" t="e">
        <f ca="1">_xludf.IMAGE("https://edmondsonsupply.com/cdn/shop/products/50m56-743-front.jpg?v=1633030704")</f>
        <v>#NAME?</v>
      </c>
      <c r="H1374" t="e">
        <f ca="1">_xludf.IMAGE("https://m.media-amazon.com/images/I/51HGvJrwnvL._AC_UL320_.jpg")</f>
        <v>#NAME?</v>
      </c>
      <c r="I1374" t="s">
        <v>3656</v>
      </c>
      <c r="J1374">
        <v>80</v>
      </c>
      <c r="K1374" s="4">
        <v>0.27250000000000002</v>
      </c>
      <c r="L1374">
        <v>3.9</v>
      </c>
      <c r="M1374">
        <v>21</v>
      </c>
      <c r="O1374" t="s">
        <v>25</v>
      </c>
      <c r="P1374" t="s">
        <v>3657</v>
      </c>
      <c r="Q1374" t="s">
        <v>3658</v>
      </c>
    </row>
    <row r="1375" spans="1:17" ht="15.5" x14ac:dyDescent="0.35">
      <c r="A1375" s="3" t="str">
        <f>HYPERLINK("https://edmondsonsupply.com/collections/hvac/products/appion-ctee14-megaseal-low-loss-charging-t-fitting-1-4in-fl", "https://edmondsonsupply.com/collections/hvac/products/appion-ctee14-megaseal-low-loss-charging-t-fitting-1-4in-fl")</f>
        <v>https://edmondsonsupply.com/collections/hvac/products/appion-ctee14-megaseal-low-loss-charging-t-fitting-1-4in-fl</v>
      </c>
      <c r="B1375" s="3" t="str">
        <f>HYPERLINK("https://edmondsonsupply.com/products/appion-ctee14-megaseal-low-loss-charging-t-fitting-1-4in-fl", "https://edmondsonsupply.com/products/appion-ctee14-megaseal-low-loss-charging-t-fitting-1-4in-fl")</f>
        <v>https://edmondsonsupply.com/products/appion-ctee14-megaseal-low-loss-charging-t-fitting-1-4in-fl</v>
      </c>
      <c r="C1375" t="s">
        <v>3621</v>
      </c>
      <c r="D1375" t="s">
        <v>3659</v>
      </c>
      <c r="E1375" s="3" t="str">
        <f>HYPERLINK("https://www.amazon.com/Appion-MegaSeal-Low-Loss-Charging-T-Fitting/dp/B072LXGRV2/ref=sr_1_2?keywords=Appion+CTEE14+MegaSeal+Low-Loss+Charging+T-Fitting+1%2F4in+FL&amp;qid=1695173394&amp;sr=8-2", "https://www.amazon.com/Appion-MegaSeal-Low-Loss-Charging-T-Fitting/dp/B072LXGRV2/ref=sr_1_2?keywords=Appion+CTEE14+MegaSeal+Low-Loss+Charging+T-Fitting+1%2F4in+FL&amp;qid=1695173394&amp;sr=8-2")</f>
        <v>https://www.amazon.com/Appion-MegaSeal-Low-Loss-Charging-T-Fitting/dp/B072LXGRV2/ref=sr_1_2?keywords=Appion+CTEE14+MegaSeal+Low-Loss+Charging+T-Fitting+1%2F4in+FL&amp;qid=1695173394&amp;sr=8-2</v>
      </c>
      <c r="F1375" t="s">
        <v>3660</v>
      </c>
      <c r="G1375" t="e">
        <f ca="1">_xludf.IMAGE("https://edmondsonsupply.com/cdn/shop/products/CTEE14_1080.png?v=1678496277")</f>
        <v>#NAME?</v>
      </c>
      <c r="H1375" t="e">
        <f ca="1">_xludf.IMAGE("https://m.media-amazon.com/images/I/41nhxga+rxL._AC_UL320_.jpg")</f>
        <v>#NAME?</v>
      </c>
      <c r="I1375" t="s">
        <v>1931</v>
      </c>
      <c r="J1375">
        <v>63.41</v>
      </c>
      <c r="K1375" s="4">
        <v>0.26850000000000002</v>
      </c>
      <c r="L1375">
        <v>4.3</v>
      </c>
      <c r="M1375">
        <v>30</v>
      </c>
      <c r="O1375" t="s">
        <v>25</v>
      </c>
      <c r="P1375" t="s">
        <v>905</v>
      </c>
      <c r="Q1375" t="s">
        <v>3624</v>
      </c>
    </row>
    <row r="1376" spans="1:17" ht="15.5" x14ac:dyDescent="0.35">
      <c r="A1376" s="3" t="str">
        <f>HYPERLINK("https://edmondsonsupply.com/collections/hvac/products/robertshaw-1980-024-24-1980-series-snap-fit%C2%AE-universal-thermocouple", "https://edmondsonsupply.com/collections/hvac/products/robertshaw-1980-024-24-1980-series-snap-fit%C2%AE-universal-thermocouple")</f>
        <v>https://edmondsonsupply.com/collections/hvac/products/robertshaw-1980-024-24-1980-series-snap-fit%C2%AE-universal-thermocouple</v>
      </c>
      <c r="B1376" s="3" t="str">
        <f>HYPERLINK("https://edmondsonsupply.com/products/robertshaw-1980-024-24-1980-series-snap-fit%c2%ae-universal-thermocouple", "https://edmondsonsupply.com/products/robertshaw-1980-024-24-1980-series-snap-fit%c2%ae-universal-thermocouple")</f>
        <v>https://edmondsonsupply.com/products/robertshaw-1980-024-24-1980-series-snap-fit%c2%ae-universal-thermocouple</v>
      </c>
      <c r="C1376" t="s">
        <v>3661</v>
      </c>
      <c r="D1376" t="s">
        <v>3662</v>
      </c>
      <c r="E1376" s="3" t="str">
        <f>HYPERLINK("https://www.amazon.com/MENSI-Robertshaw-Thermostat-Replacement-Thermocouple/dp/B0832L7ZG4/ref=sr_1_1?keywords=Robertshaw+1980-024+24%22+1980+Series+Snap-Fit%C2%AE+Universal+Thermocouple&amp;qid=1695173527&amp;sr=8-1", "https://www.amazon.com/MENSI-Robertshaw-Thermostat-Replacement-Thermocouple/dp/B0832L7ZG4/ref=sr_1_1?keywords=Robertshaw+1980-024+24%22+1980+Series+Snap-Fit%C2%AE+Universal+Thermocouple&amp;qid=1695173527&amp;sr=8-1")</f>
        <v>https://www.amazon.com/MENSI-Robertshaw-Thermostat-Replacement-Thermocouple/dp/B0832L7ZG4/ref=sr_1_1?keywords=Robertshaw+1980-024+24%22+1980+Series+Snap-Fit%C2%AE+Universal+Thermocouple&amp;qid=1695173527&amp;sr=8-1</v>
      </c>
      <c r="F1376" t="s">
        <v>3663</v>
      </c>
      <c r="G1376" t="e">
        <f ca="1">_xludf.IMAGE("https://edmondsonsupply.com/cdn/shop/products/1980thermocouplecmyk300dpi_d127d33f-20bf-40f4-874c-d4ddaef0621f.jpg?v=1633030850")</f>
        <v>#NAME?</v>
      </c>
      <c r="H1376" t="e">
        <f ca="1">_xludf.IMAGE("https://m.media-amazon.com/images/I/61Ag+SM1fzL._AC_UL320_.jpg")</f>
        <v>#NAME?</v>
      </c>
      <c r="I1376" t="s">
        <v>3664</v>
      </c>
      <c r="J1376">
        <v>8.99</v>
      </c>
      <c r="K1376" s="4">
        <v>0.26800000000000002</v>
      </c>
      <c r="L1376">
        <v>4.3</v>
      </c>
      <c r="M1376">
        <v>57</v>
      </c>
      <c r="O1376" t="s">
        <v>25</v>
      </c>
      <c r="P1376" t="s">
        <v>138</v>
      </c>
      <c r="Q1376" t="s">
        <v>3665</v>
      </c>
    </row>
    <row r="1377" spans="1:17" ht="15.5" x14ac:dyDescent="0.35">
      <c r="A1377" s="3" t="str">
        <f>HYPERLINK("https://edmondsonsupply.com/collections/hvac/products/midwest-mwt-6716rls-left-right-straight-aviation-3-piece-set", "https://edmondsonsupply.com/collections/hvac/products/midwest-mwt-6716rls-left-right-straight-aviation-3-piece-set")</f>
        <v>https://edmondsonsupply.com/collections/hvac/products/midwest-mwt-6716rls-left-right-straight-aviation-3-piece-set</v>
      </c>
      <c r="B1377" s="3" t="str">
        <f>HYPERLINK("https://edmondsonsupply.com/products/midwest-mwt-6716rls-left-right-straight-aviation-3-piece-set", "https://edmondsonsupply.com/products/midwest-mwt-6716rls-left-right-straight-aviation-3-piece-set")</f>
        <v>https://edmondsonsupply.com/products/midwest-mwt-6716rls-left-right-straight-aviation-3-piece-set</v>
      </c>
      <c r="C1377" t="s">
        <v>3666</v>
      </c>
      <c r="D1377" t="s">
        <v>3667</v>
      </c>
      <c r="E1377" s="3" t="str">
        <f>HYPERLINK("https://www.amazon.com/MIDWEST-Aviation-Snip-Set-KUSHN-POWER/dp/B003IWDQR6/ref=sr_1_1?keywords=Midwest+MWT-6716RLS+Left%2C+Right&amp;qid=1695173484&amp;sr=8-1", "https://www.amazon.com/MIDWEST-Aviation-Snip-Set-KUSHN-POWER/dp/B003IWDQR6/ref=sr_1_1?keywords=Midwest+MWT-6716RLS+Left%2C+Right&amp;qid=1695173484&amp;sr=8-1")</f>
        <v>https://www.amazon.com/MIDWEST-Aviation-Snip-Set-KUSHN-POWER/dp/B003IWDQR6/ref=sr_1_1?keywords=Midwest+MWT-6716RLS+Left%2C+Right&amp;qid=1695173484&amp;sr=8-1</v>
      </c>
      <c r="F1377" t="s">
        <v>3668</v>
      </c>
      <c r="G1377" t="e">
        <f ca="1">_xludf.IMAGE("https://edmondsonsupply.com/cdn/shop/products/MW-P6716RLS.jpg?v=1587144680")</f>
        <v>#NAME?</v>
      </c>
      <c r="H1377" t="e">
        <f ca="1">_xludf.IMAGE("https://m.media-amazon.com/images/I/71eotZZ9UtL._AC_UL320_.jpg")</f>
        <v>#NAME?</v>
      </c>
      <c r="I1377" t="s">
        <v>3669</v>
      </c>
      <c r="J1377">
        <v>80.989999999999995</v>
      </c>
      <c r="K1377" s="4">
        <v>0.26569999999999999</v>
      </c>
      <c r="L1377">
        <v>4.4000000000000004</v>
      </c>
      <c r="M1377">
        <v>575</v>
      </c>
      <c r="O1377" t="s">
        <v>25</v>
      </c>
      <c r="P1377" t="s">
        <v>3670</v>
      </c>
      <c r="Q1377" t="s">
        <v>3671</v>
      </c>
    </row>
    <row r="1378" spans="1:17" ht="15.5" x14ac:dyDescent="0.35">
      <c r="A1378" s="3" t="str">
        <f>HYPERLINK("https://edmondsonsupply.com/collections/hvac/products/nu-calgon-4155-01-connect-injector-tool", "https://edmondsonsupply.com/collections/hvac/products/nu-calgon-4155-01-connect-injector-tool")</f>
        <v>https://edmondsonsupply.com/collections/hvac/products/nu-calgon-4155-01-connect-injector-tool</v>
      </c>
      <c r="B1378" s="3" t="str">
        <f>HYPERLINK("https://edmondsonsupply.com/products/nu-calgon-4155-01-connect-injector-tool", "https://edmondsonsupply.com/products/nu-calgon-4155-01-connect-injector-tool")</f>
        <v>https://edmondsonsupply.com/products/nu-calgon-4155-01-connect-injector-tool</v>
      </c>
      <c r="C1378" t="s">
        <v>3672</v>
      </c>
      <c r="D1378" t="s">
        <v>3673</v>
      </c>
      <c r="E1378" s="3" t="str">
        <f>HYPERLINK("https://www.amazon.com/Nu-Calgon-4155-01-Re-New-Connect-Injector/dp/B07QD2PRH2/ref=sr_1_2?keywords=Nu-Calgon+4155-01+Connect+Injector+Tool&amp;qid=1695173599&amp;sr=8-2", "https://www.amazon.com/Nu-Calgon-4155-01-Re-New-Connect-Injector/dp/B07QD2PRH2/ref=sr_1_2?keywords=Nu-Calgon+4155-01+Connect+Injector+Tool&amp;qid=1695173599&amp;sr=8-2")</f>
        <v>https://www.amazon.com/Nu-Calgon-4155-01-Re-New-Connect-Injector/dp/B07QD2PRH2/ref=sr_1_2?keywords=Nu-Calgon+4155-01+Connect+Injector+Tool&amp;qid=1695173599&amp;sr=8-2</v>
      </c>
      <c r="F1378" t="s">
        <v>3674</v>
      </c>
      <c r="G1378" t="e">
        <f ca="1">_xludf.IMAGE("https://edmondsonsupply.com/cdn/shop/products/4155-01.jpg?v=1660684967")</f>
        <v>#NAME?</v>
      </c>
      <c r="H1378" t="e">
        <f ca="1">_xludf.IMAGE("https://m.media-amazon.com/images/I/51mPfVLAVJL._AC_UY218_.jpg")</f>
        <v>#NAME?</v>
      </c>
      <c r="I1378" t="s">
        <v>3675</v>
      </c>
      <c r="J1378">
        <v>39.08</v>
      </c>
      <c r="K1378" s="4">
        <v>0.2651</v>
      </c>
      <c r="L1378">
        <v>3.7</v>
      </c>
      <c r="M1378">
        <v>3</v>
      </c>
      <c r="O1378" t="s">
        <v>25</v>
      </c>
      <c r="P1378" t="s">
        <v>3676</v>
      </c>
      <c r="Q1378" t="s">
        <v>3677</v>
      </c>
    </row>
    <row r="1379" spans="1:17" ht="15.5" x14ac:dyDescent="0.35">
      <c r="A1379"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1379"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1379" t="s">
        <v>2430</v>
      </c>
      <c r="D1379" t="s">
        <v>3678</v>
      </c>
      <c r="E1379" s="3" t="str">
        <f>HYPERLINK("https://www.amazon.com/Keystone-Screwdriver-Klein-Tools-602-6/dp/B0000302WW/ref=sr_1_8?keywords=Klein+Tools+605-6+1%2F4-Inch+Cabinet+Tip+Screwdriver%2C+Heavy+Duty%2C+6-Inch&amp;qid=1695173547&amp;sr=8-8", "https://www.amazon.com/Keystone-Screwdriver-Klein-Tools-602-6/dp/B0000302WW/ref=sr_1_8?keywords=Klein+Tools+605-6+1%2F4-Inch+Cabinet+Tip+Screwdriver%2C+Heavy+Duty%2C+6-Inch&amp;qid=1695173547&amp;sr=8-8")</f>
        <v>https://www.amazon.com/Keystone-Screwdriver-Klein-Tools-602-6/dp/B0000302WW/ref=sr_1_8?keywords=Klein+Tools+605-6+1%2F4-Inch+Cabinet+Tip+Screwdriver%2C+Heavy+Duty%2C+6-Inch&amp;qid=1695173547&amp;sr=8-8</v>
      </c>
      <c r="F1379" t="s">
        <v>3679</v>
      </c>
      <c r="G1379" t="e">
        <f ca="1">_xludf.IMAGE("https://edmondsonsupply.com/cdn/shop/products/605-6.jpg?v=1587149759")</f>
        <v>#NAME?</v>
      </c>
      <c r="H1379" t="e">
        <f ca="1">_xludf.IMAGE("https://m.media-amazon.com/images/I/51yw04G5ZvL._AC_UL320_.jpg")</f>
        <v>#NAME?</v>
      </c>
      <c r="I1379" t="s">
        <v>2433</v>
      </c>
      <c r="J1379">
        <v>11.99</v>
      </c>
      <c r="K1379" s="4">
        <v>0.26340000000000002</v>
      </c>
      <c r="L1379">
        <v>4.8</v>
      </c>
      <c r="M1379">
        <v>879</v>
      </c>
      <c r="O1379" t="s">
        <v>25</v>
      </c>
      <c r="P1379" t="s">
        <v>2434</v>
      </c>
      <c r="Q1379" t="s">
        <v>2435</v>
      </c>
    </row>
    <row r="1380" spans="1:17" ht="15.5" x14ac:dyDescent="0.35">
      <c r="A1380" s="3" t="str">
        <f>HYPERLINK("https://edmondsonsupply.com/collections/hvac/products/packard-psmj400-motor-start-capacitor-400-480-mfd-165-vac", "https://edmondsonsupply.com/collections/hvac/products/packard-psmj400-motor-start-capacitor-400-480-mfd-165-vac")</f>
        <v>https://edmondsonsupply.com/collections/hvac/products/packard-psmj400-motor-start-capacitor-400-480-mfd-165-vac</v>
      </c>
      <c r="B1380" s="3" t="str">
        <f>HYPERLINK("https://edmondsonsupply.com/products/packard-psmj400-motor-start-capacitor-400-480-mfd-165-vac", "https://edmondsonsupply.com/products/packard-psmj400-motor-start-capacitor-400-480-mfd-165-vac")</f>
        <v>https://edmondsonsupply.com/products/packard-psmj400-motor-start-capacitor-400-480-mfd-165-vac</v>
      </c>
      <c r="C1380" t="s">
        <v>2330</v>
      </c>
      <c r="D1380" t="s">
        <v>3680</v>
      </c>
      <c r="E1380" s="3" t="str">
        <f>HYPERLINK("https://www.amazon.com/weideer-400-480-Motor-Capacitor-Others/dp/B0B871GQ3B/ref=sr_1_6?keywords=Packard+PSMJ400+Motor+Start+Capacitor+400-480+MFD+165+VAC&amp;qid=1695173567&amp;sr=8-6", "https://www.amazon.com/weideer-400-480-Motor-Capacitor-Others/dp/B0B871GQ3B/ref=sr_1_6?keywords=Packard+PSMJ400+Motor+Start+Capacitor+400-480+MFD+165+VAC&amp;qid=1695173567&amp;sr=8-6")</f>
        <v>https://www.amazon.com/weideer-400-480-Motor-Capacitor-Others/dp/B0B871GQ3B/ref=sr_1_6?keywords=Packard+PSMJ400+Motor+Start+Capacitor+400-480+MFD+165+VAC&amp;qid=1695173567&amp;sr=8-6</v>
      </c>
      <c r="F1380" t="s">
        <v>3681</v>
      </c>
      <c r="G1380" t="e">
        <f ca="1">_xludf.IMAGE("https://edmondsonsupply.com/cdn/shop/products/PSMJ400-2.jpg?v=1587142312")</f>
        <v>#NAME?</v>
      </c>
      <c r="H1380" t="e">
        <f ca="1">_xludf.IMAGE("https://m.media-amazon.com/images/I/51DC2Ta+8WL._AC_UY218_.jpg")</f>
        <v>#NAME?</v>
      </c>
      <c r="I1380" t="s">
        <v>2202</v>
      </c>
      <c r="J1380">
        <v>9.99</v>
      </c>
      <c r="K1380" s="4">
        <v>0.26140000000000002</v>
      </c>
      <c r="L1380">
        <v>4.8</v>
      </c>
      <c r="M1380">
        <v>6</v>
      </c>
      <c r="O1380" t="s">
        <v>25</v>
      </c>
      <c r="P1380" t="s">
        <v>138</v>
      </c>
      <c r="Q1380" t="s">
        <v>2333</v>
      </c>
    </row>
    <row r="1381" spans="1:17" ht="15.5" x14ac:dyDescent="0.35">
      <c r="A1381"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1381"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1381" t="s">
        <v>2430</v>
      </c>
      <c r="D1381" t="s">
        <v>3682</v>
      </c>
      <c r="E1381" s="3" t="str">
        <f>HYPERLINK("https://www.amazon.com/Klein-Tools-6866INS-Screwdriver-Cushion-Grip/dp/B0BF73PSWC/ref=sr_1_6?keywords=Klein+Tools+605-6+1%2F4-Inch+Cabinet+Tip+Screwdriver%2C+Heavy+Duty%2C+6-Inch&amp;qid=1695173547&amp;sr=8-6", "https://www.amazon.com/Klein-Tools-6866INS-Screwdriver-Cushion-Grip/dp/B0BF73PSWC/ref=sr_1_6?keywords=Klein+Tools+605-6+1%2F4-Inch+Cabinet+Tip+Screwdriver%2C+Heavy+Duty%2C+6-Inch&amp;qid=1695173547&amp;sr=8-6")</f>
        <v>https://www.amazon.com/Klein-Tools-6866INS-Screwdriver-Cushion-Grip/dp/B0BF73PSWC/ref=sr_1_6?keywords=Klein+Tools+605-6+1%2F4-Inch+Cabinet+Tip+Screwdriver%2C+Heavy+Duty%2C+6-Inch&amp;qid=1695173547&amp;sr=8-6</v>
      </c>
      <c r="F1381" t="s">
        <v>3683</v>
      </c>
      <c r="G1381" t="e">
        <f ca="1">_xludf.IMAGE("https://edmondsonsupply.com/cdn/shop/products/605-6.jpg?v=1587149759")</f>
        <v>#NAME?</v>
      </c>
      <c r="H1381" t="e">
        <f ca="1">_xludf.IMAGE("https://m.media-amazon.com/images/I/41Sx5h6xG-L._AC_UL320_.jpg")</f>
        <v>#NAME?</v>
      </c>
      <c r="I1381" t="s">
        <v>2433</v>
      </c>
      <c r="J1381">
        <v>11.97</v>
      </c>
      <c r="K1381" s="4">
        <v>0.26129999999999998</v>
      </c>
      <c r="L1381">
        <v>4.9000000000000004</v>
      </c>
      <c r="M1381">
        <v>205</v>
      </c>
      <c r="O1381" t="s">
        <v>25</v>
      </c>
      <c r="P1381" t="s">
        <v>2434</v>
      </c>
      <c r="Q1381" t="s">
        <v>2435</v>
      </c>
    </row>
    <row r="1382" spans="1:17" ht="15.5" x14ac:dyDescent="0.35">
      <c r="A1382" s="3" t="str">
        <f>HYPERLINK("https://edmondsonsupply.com/collections/hvac/products/fieldpiece-spk2", "https://edmondsonsupply.com/collections/hvac/products/fieldpiece-spk2")</f>
        <v>https://edmondsonsupply.com/collections/hvac/products/fieldpiece-spk2</v>
      </c>
      <c r="B1382" s="3" t="str">
        <f>HYPERLINK("https://edmondsonsupply.com/products/fieldpiece-spk2", "https://edmondsonsupply.com/products/fieldpiece-spk2")</f>
        <v>https://edmondsonsupply.com/products/fieldpiece-spk2</v>
      </c>
      <c r="C1382" t="s">
        <v>3684</v>
      </c>
      <c r="D1382" t="s">
        <v>3685</v>
      </c>
      <c r="E1382" s="3" t="str">
        <f>HYPERLINK("https://www.amazon.com/SPK2-Folding-Pocket-In-Duct-Thermometer/dp/B079L845BY/ref=sr_1_2?keywords=Fieldpiece+SPK2+Folding+Pocket+In-Duct+Thermometer&amp;qid=1695173486&amp;sr=8-2", "https://www.amazon.com/SPK2-Folding-Pocket-In-Duct-Thermometer/dp/B079L845BY/ref=sr_1_2?keywords=Fieldpiece+SPK2+Folding+Pocket+In-Duct+Thermometer&amp;qid=1695173486&amp;sr=8-2")</f>
        <v>https://www.amazon.com/SPK2-Folding-Pocket-In-Duct-Thermometer/dp/B079L845BY/ref=sr_1_2?keywords=Fieldpiece+SPK2+Folding+Pocket+In-Duct+Thermometer&amp;qid=1695173486&amp;sr=8-2</v>
      </c>
      <c r="F1382" t="s">
        <v>3686</v>
      </c>
      <c r="G1382" t="e">
        <f ca="1">_xludf.IMAGE("https://edmondsonsupply.com/cdn/shop/products/SPK2-SRC-Product.jpg?v=1633030206")</f>
        <v>#NAME?</v>
      </c>
      <c r="H1382" t="e">
        <f ca="1">_xludf.IMAGE("https://m.media-amazon.com/images/I/61l19mS8l8L._AC_UY218_.jpg")</f>
        <v>#NAME?</v>
      </c>
      <c r="I1382" t="s">
        <v>3687</v>
      </c>
      <c r="J1382">
        <v>43.94</v>
      </c>
      <c r="K1382" s="4">
        <v>0.26079999999999998</v>
      </c>
      <c r="L1382">
        <v>4.5999999999999996</v>
      </c>
      <c r="M1382">
        <v>166</v>
      </c>
      <c r="O1382" t="s">
        <v>25</v>
      </c>
      <c r="P1382" t="s">
        <v>3688</v>
      </c>
      <c r="Q1382" t="s">
        <v>3689</v>
      </c>
    </row>
    <row r="1383" spans="1:17" ht="15.5" x14ac:dyDescent="0.35">
      <c r="A1383" s="3" t="str">
        <f>HYPERLINK("https://edmondsonsupply.com/collections/hvac/products/cps-bfs300-blackmax%C2%AE-flaring-swaging-tool", "https://edmondsonsupply.com/collections/hvac/products/cps-bfs300-blackmax%C2%AE-flaring-swaging-tool")</f>
        <v>https://edmondsonsupply.com/collections/hvac/products/cps-bfs300-blackmax%C2%AE-flaring-swaging-tool</v>
      </c>
      <c r="B1383" s="3" t="str">
        <f>HYPERLINK("https://edmondsonsupply.com/products/cps-bfs300-blackmax%c2%ae-flaring-swaging-tool", "https://edmondsonsupply.com/products/cps-bfs300-blackmax%c2%ae-flaring-swaging-tool")</f>
        <v>https://edmondsonsupply.com/products/cps-bfs300-blackmax%c2%ae-flaring-swaging-tool</v>
      </c>
      <c r="C1383" t="s">
        <v>3690</v>
      </c>
      <c r="D1383" t="s">
        <v>3691</v>
      </c>
      <c r="E1383" s="3" t="str">
        <f>HYPERLINK("https://www.amazon.com/CPS-BFS300QC-BlackMax-Flaring-Swaging/dp/B08K3Q8K6K/ref=sr_1_1?keywords=CPS+BFS300QC+Blackmax%C2%AE+Flaring+%26+Swaging+Tool&amp;qid=1695173635&amp;sr=8-1", "https://www.amazon.com/CPS-BFS300QC-BlackMax-Flaring-Swaging/dp/B08K3Q8K6K/ref=sr_1_1?keywords=CPS+BFS300QC+Blackmax%C2%AE+Flaring+%26+Swaging+Tool&amp;qid=1695173635&amp;sr=8-1")</f>
        <v>https://www.amazon.com/CPS-BFS300QC-BlackMax-Flaring-Swaging/dp/B08K3Q8K6K/ref=sr_1_1?keywords=CPS+BFS300QC+Blackmax%C2%AE+Flaring+%26+Swaging+Tool&amp;qid=1695173635&amp;sr=8-1</v>
      </c>
      <c r="F1383" t="s">
        <v>3692</v>
      </c>
      <c r="G1383" t="e">
        <f ca="1">_xludf.IMAGE("https://edmondsonsupply.com/cdn/shop/products/BFS300QC-c-1.jpg?v=1633031099")</f>
        <v>#NAME?</v>
      </c>
      <c r="H1383" t="e">
        <f ca="1">_xludf.IMAGE("https://m.media-amazon.com/images/I/71XaYRPbG+L._AC_UL320_.jpg")</f>
        <v>#NAME?</v>
      </c>
      <c r="I1383" t="s">
        <v>3693</v>
      </c>
      <c r="J1383">
        <v>179.72</v>
      </c>
      <c r="K1383" s="4">
        <v>0.26079999999999998</v>
      </c>
      <c r="L1383">
        <v>5</v>
      </c>
      <c r="M1383">
        <v>4</v>
      </c>
      <c r="O1383" t="s">
        <v>25</v>
      </c>
      <c r="P1383" t="s">
        <v>3694</v>
      </c>
      <c r="Q1383" t="s">
        <v>3695</v>
      </c>
    </row>
    <row r="1384" spans="1:17" ht="15.5" x14ac:dyDescent="0.35">
      <c r="A1384" s="3" t="str">
        <f>HYPERLINK("https://edmondsonsupply.com/collections/hvac/products/malco-tools-m2004-max2000%C2%AE-double-cut-aviation-snip", "https://edmondsonsupply.com/collections/hvac/products/malco-tools-m2004-max2000%C2%AE-double-cut-aviation-snip")</f>
        <v>https://edmondsonsupply.com/collections/hvac/products/malco-tools-m2004-max2000%C2%AE-double-cut-aviation-snip</v>
      </c>
      <c r="B1384" s="3" t="str">
        <f>HYPERLINK("https://edmondsonsupply.com/products/malco-tools-m2004-max2000%c2%ae-double-cut-aviation-snip", "https://edmondsonsupply.com/products/malco-tools-m2004-max2000%c2%ae-double-cut-aviation-snip")</f>
        <v>https://edmondsonsupply.com/products/malco-tools-m2004-max2000%c2%ae-double-cut-aviation-snip</v>
      </c>
      <c r="C1384" t="s">
        <v>3696</v>
      </c>
      <c r="D1384" t="s">
        <v>3697</v>
      </c>
      <c r="E1384" s="3" t="str">
        <f>HYPERLINK("https://www.amazon.com/Malco-M2004-Double-Made-Aviation/dp/B006ZOMTYU/ref=sr_1_1?keywords=Malco+Tools+M2004+Max2000%C2%AE+Double-Cut+Aviation+Snip&amp;qid=1695173479&amp;sr=8-1", "https://www.amazon.com/Malco-M2004-Double-Made-Aviation/dp/B006ZOMTYU/ref=sr_1_1?keywords=Malco+Tools+M2004+Max2000%C2%AE+Double-Cut+Aviation+Snip&amp;qid=1695173479&amp;sr=8-1")</f>
        <v>https://www.amazon.com/Malco-M2004-Double-Made-Aviation/dp/B006ZOMTYU/ref=sr_1_1?keywords=Malco+Tools+M2004+Max2000%C2%AE+Double-Cut+Aviation+Snip&amp;qid=1695173479&amp;sr=8-1</v>
      </c>
      <c r="F1384" t="s">
        <v>3698</v>
      </c>
      <c r="G1384" t="e">
        <f ca="1">_xludf.IMAGE("https://edmondsonsupply.com/cdn/shop/products/m2004_catalog-big-e1530195457745.jpg?v=1587142642")</f>
        <v>#NAME?</v>
      </c>
      <c r="H1384" t="e">
        <f ca="1">_xludf.IMAGE("https://m.media-amazon.com/images/I/51r0YGmZXoL._AC_UL320_.jpg")</f>
        <v>#NAME?</v>
      </c>
      <c r="I1384" t="s">
        <v>3699</v>
      </c>
      <c r="J1384">
        <v>79.989999999999995</v>
      </c>
      <c r="K1384" s="4">
        <v>0.25990000000000002</v>
      </c>
      <c r="L1384">
        <v>4.5</v>
      </c>
      <c r="M1384">
        <v>179</v>
      </c>
      <c r="O1384" t="s">
        <v>25</v>
      </c>
      <c r="P1384" t="s">
        <v>3700</v>
      </c>
      <c r="Q1384" t="s">
        <v>3701</v>
      </c>
    </row>
    <row r="1385" spans="1:17" ht="15.5" x14ac:dyDescent="0.35">
      <c r="A1385" s="3" t="str">
        <f>HYPERLINK("https://edmondsonsupply.com/collections/hvac/products/accutools-s10735-core-removal-tool-1-4", "https://edmondsonsupply.com/collections/hvac/products/accutools-s10735-core-removal-tool-1-4")</f>
        <v>https://edmondsonsupply.com/collections/hvac/products/accutools-s10735-core-removal-tool-1-4</v>
      </c>
      <c r="B1385" s="3" t="str">
        <f>HYPERLINK("https://edmondsonsupply.com/products/accutools-s10735-core-removal-tool-1-4", "https://edmondsonsupply.com/products/accutools-s10735-core-removal-tool-1-4")</f>
        <v>https://edmondsonsupply.com/products/accutools-s10735-core-removal-tool-1-4</v>
      </c>
      <c r="C1385" t="s">
        <v>3702</v>
      </c>
      <c r="D1385" t="s">
        <v>3703</v>
      </c>
      <c r="E1385" s="3" t="str">
        <f>HYPERLINK("https://www.amazon.com/hilmor-Valve-Core-Removal-1947967/dp/B06WVH3KHL/ref=sr_1_3?keywords=AccuTools+S10735+Core+Removal+Tool%2C+1%2F4%22&amp;qid=1695173634&amp;sr=8-3", "https://www.amazon.com/hilmor-Valve-Core-Removal-1947967/dp/B06WVH3KHL/ref=sr_1_3?keywords=AccuTools+S10735+Core+Removal+Tool%2C+1%2F4%22&amp;qid=1695173634&amp;sr=8-3")</f>
        <v>https://www.amazon.com/hilmor-Valve-Core-Removal-1947967/dp/B06WVH3KHL/ref=sr_1_3?keywords=AccuTools+S10735+Core+Removal+Tool%2C+1%2F4%22&amp;qid=1695173634&amp;sr=8-3</v>
      </c>
      <c r="F1385" t="s">
        <v>3704</v>
      </c>
      <c r="G1385" t="e">
        <f ca="1">_xludf.IMAGE("https://edmondsonsupply.com/cdn/shop/products/S10735-1.jpg?v=1633030861")</f>
        <v>#NAME?</v>
      </c>
      <c r="H1385" t="e">
        <f ca="1">_xludf.IMAGE("https://m.media-amazon.com/images/I/71hWJ76GwoL._AC_UL320_.jpg")</f>
        <v>#NAME?</v>
      </c>
      <c r="I1385" t="s">
        <v>618</v>
      </c>
      <c r="J1385">
        <v>75.53</v>
      </c>
      <c r="K1385" s="4">
        <v>0.25990000000000002</v>
      </c>
      <c r="L1385">
        <v>3.4</v>
      </c>
      <c r="M1385">
        <v>54</v>
      </c>
      <c r="O1385" t="s">
        <v>25</v>
      </c>
      <c r="P1385" t="s">
        <v>138</v>
      </c>
      <c r="Q1385" t="s">
        <v>3705</v>
      </c>
    </row>
    <row r="1386" spans="1:17" ht="15.5" x14ac:dyDescent="0.35">
      <c r="A1386" s="3" t="str">
        <f>HYPERLINK("https://edmondsonsupply.com/collections/hvac/products/robertshaw-41-414-hot-surface-furnace-ignitor-carbide", "https://edmondsonsupply.com/collections/hvac/products/robertshaw-41-414-hot-surface-furnace-ignitor-carbide")</f>
        <v>https://edmondsonsupply.com/collections/hvac/products/robertshaw-41-414-hot-surface-furnace-ignitor-carbide</v>
      </c>
      <c r="B1386" s="3" t="str">
        <f>HYPERLINK("https://edmondsonsupply.com/products/robertshaw-41-414-hot-surface-furnace-ignitor-carbide", "https://edmondsonsupply.com/products/robertshaw-41-414-hot-surface-furnace-ignitor-carbide")</f>
        <v>https://edmondsonsupply.com/products/robertshaw-41-414-hot-surface-furnace-ignitor-carbide</v>
      </c>
      <c r="C1386" t="s">
        <v>2623</v>
      </c>
      <c r="D1386" t="s">
        <v>3706</v>
      </c>
      <c r="E1386" s="3" t="str">
        <f>HYPERLINK("https://www.amazon.com/Robertshaw-41-409-Hot-Surface-Ignitor/dp/B000VYOWVI/ref=sr_1_1?keywords=Robertshaw+41-414+Hot+Surface+Furnace+Ignitor+%28Carbide%29&amp;qid=1695173723&amp;sr=8-1", "https://www.amazon.com/Robertshaw-41-409-Hot-Surface-Ignitor/dp/B000VYOWVI/ref=sr_1_1?keywords=Robertshaw+41-414+Hot+Surface+Furnace+Ignitor+%28Carbide%29&amp;qid=1695173723&amp;sr=8-1")</f>
        <v>https://www.amazon.com/Robertshaw-41-409-Hot-Surface-Ignitor/dp/B000VYOWVI/ref=sr_1_1?keywords=Robertshaw+41-414+Hot+Surface+Furnace+Ignitor+%28Carbide%29&amp;qid=1695173723&amp;sr=8-1</v>
      </c>
      <c r="F1386" t="s">
        <v>3707</v>
      </c>
      <c r="G1386" t="e">
        <f ca="1">_xludf.IMAGE("https://edmondsonsupply.com/cdn/shop/files/41-414.jpg?v=1691509200")</f>
        <v>#NAME?</v>
      </c>
      <c r="H1386" t="e">
        <f ca="1">_xludf.IMAGE("https://m.media-amazon.com/images/I/31EeWrdtmvL._AC_UL320_.jpg")</f>
        <v>#NAME?</v>
      </c>
      <c r="I1386" t="s">
        <v>2626</v>
      </c>
      <c r="J1386">
        <v>22.76</v>
      </c>
      <c r="K1386" s="4">
        <v>0.25879999999999997</v>
      </c>
      <c r="L1386">
        <v>4.4000000000000004</v>
      </c>
      <c r="M1386">
        <v>36</v>
      </c>
      <c r="O1386" t="s">
        <v>25</v>
      </c>
      <c r="P1386" t="s">
        <v>138</v>
      </c>
      <c r="Q1386" t="s">
        <v>2627</v>
      </c>
    </row>
    <row r="1387" spans="1:17" ht="15.5" x14ac:dyDescent="0.35">
      <c r="A1387" s="3" t="str">
        <f>HYPERLINK("https://edmondsonsupply.com/collections/hvac/products/robertshaw-41-414-hot-surface-furnace-ignitor-carbide", "https://edmondsonsupply.com/collections/hvac/products/robertshaw-41-414-hot-surface-furnace-ignitor-carbide")</f>
        <v>https://edmondsonsupply.com/collections/hvac/products/robertshaw-41-414-hot-surface-furnace-ignitor-carbide</v>
      </c>
      <c r="B1387" s="3" t="str">
        <f>HYPERLINK("https://edmondsonsupply.com/products/robertshaw-41-414-hot-surface-furnace-ignitor-carbide", "https://edmondsonsupply.com/products/robertshaw-41-414-hot-surface-furnace-ignitor-carbide")</f>
        <v>https://edmondsonsupply.com/products/robertshaw-41-414-hot-surface-furnace-ignitor-carbide</v>
      </c>
      <c r="C1387" t="s">
        <v>2623</v>
      </c>
      <c r="D1387" t="s">
        <v>3708</v>
      </c>
      <c r="E1387" s="3" t="str">
        <f>HYPERLINK("https://www.amazon.com/Replacement-Robertshaw-Furnace-Surface-Ignitor/dp/B00E3CDU6M/ref=sr_1_3?keywords=Robertshaw+41-414+Hot+Surface+Furnace+Ignitor+%28Carbide%29&amp;qid=1695173723&amp;sr=8-3", "https://www.amazon.com/Replacement-Robertshaw-Furnace-Surface-Ignitor/dp/B00E3CDU6M/ref=sr_1_3?keywords=Robertshaw+41-414+Hot+Surface+Furnace+Ignitor+%28Carbide%29&amp;qid=1695173723&amp;sr=8-3")</f>
        <v>https://www.amazon.com/Replacement-Robertshaw-Furnace-Surface-Ignitor/dp/B00E3CDU6M/ref=sr_1_3?keywords=Robertshaw+41-414+Hot+Surface+Furnace+Ignitor+%28Carbide%29&amp;qid=1695173723&amp;sr=8-3</v>
      </c>
      <c r="F1387" t="s">
        <v>3709</v>
      </c>
      <c r="G1387" t="e">
        <f ca="1">_xludf.IMAGE("https://edmondsonsupply.com/cdn/shop/files/41-414.jpg?v=1691509200")</f>
        <v>#NAME?</v>
      </c>
      <c r="H1387" t="e">
        <f ca="1">_xludf.IMAGE("https://m.media-amazon.com/images/I/51x4i0Xe39L._AC_UL320_.jpg")</f>
        <v>#NAME?</v>
      </c>
      <c r="I1387" t="s">
        <v>2626</v>
      </c>
      <c r="J1387">
        <v>22.74</v>
      </c>
      <c r="K1387" s="4">
        <v>0.25769999999999998</v>
      </c>
      <c r="L1387">
        <v>4.3</v>
      </c>
      <c r="M1387">
        <v>10</v>
      </c>
      <c r="O1387" t="s">
        <v>25</v>
      </c>
      <c r="P1387" t="s">
        <v>138</v>
      </c>
      <c r="Q1387" t="s">
        <v>2627</v>
      </c>
    </row>
    <row r="1388" spans="1:17" ht="15.5" x14ac:dyDescent="0.35">
      <c r="A1388" s="3" t="str">
        <f>HYPERLINK("https://edmondsonsupply.com/collections/hvac/products/icm-controls-icm493-single-phase-line-voltage-monitor-with-surge-protection", "https://edmondsonsupply.com/collections/hvac/products/icm-controls-icm493-single-phase-line-voltage-monitor-with-surge-protection")</f>
        <v>https://edmondsonsupply.com/collections/hvac/products/icm-controls-icm493-single-phase-line-voltage-monitor-with-surge-protection</v>
      </c>
      <c r="B1388" s="3" t="str">
        <f>HYPERLINK("https://edmondsonsupply.com/products/icm-controls-icm493-single-phase-line-voltage-monitor-with-surge-protection", "https://edmondsonsupply.com/products/icm-controls-icm493-single-phase-line-voltage-monitor-with-surge-protection")</f>
        <v>https://edmondsonsupply.com/products/icm-controls-icm493-single-phase-line-voltage-monitor-with-surge-protection</v>
      </c>
      <c r="C1388" t="s">
        <v>3710</v>
      </c>
      <c r="D1388" t="s">
        <v>1822</v>
      </c>
      <c r="E1388" s="3" t="str">
        <f>HYPERLINK("https://www.amazon.com/ICM-Single-Phase-Protection-contactor-Mini-Splits/dp/B07SZ45HQH/ref=sr_1_4?keywords=ICM+Controls+ICM493+Single+Phase+Line+Voltage+Monitor+with+Surge+Protection&amp;qid=1695173388&amp;sr=8-4", "https://www.amazon.com/ICM-Single-Phase-Protection-contactor-Mini-Splits/dp/B07SZ45HQH/ref=sr_1_4?keywords=ICM+Controls+ICM493+Single+Phase+Line+Voltage+Monitor+with+Surge+Protection&amp;qid=1695173388&amp;sr=8-4")</f>
        <v>https://www.amazon.com/ICM-Single-Phase-Protection-contactor-Mini-Splits/dp/B07SZ45HQH/ref=sr_1_4?keywords=ICM+Controls+ICM493+Single+Phase+Line+Voltage+Monitor+with+Surge+Protection&amp;qid=1695173388&amp;sr=8-4</v>
      </c>
      <c r="F1388" t="s">
        <v>1823</v>
      </c>
      <c r="G1388" t="e">
        <f ca="1">_xludf.IMAGE("https://edmondsonsupply.com/cdn/shop/files/ICM493-Path-Color.webp?v=1683757575")</f>
        <v>#NAME?</v>
      </c>
      <c r="H1388" t="e">
        <f ca="1">_xludf.IMAGE("https://m.media-amazon.com/images/I/41b2VVsBxRL._AC_UL320_.jpg")</f>
        <v>#NAME?</v>
      </c>
      <c r="I1388" t="s">
        <v>3711</v>
      </c>
      <c r="J1388">
        <v>303.67</v>
      </c>
      <c r="K1388" s="4">
        <v>0.25540000000000002</v>
      </c>
      <c r="L1388">
        <v>1</v>
      </c>
      <c r="M1388">
        <v>1</v>
      </c>
      <c r="O1388" t="s">
        <v>25</v>
      </c>
      <c r="P1388" t="s">
        <v>3712</v>
      </c>
      <c r="Q1388" t="s">
        <v>3713</v>
      </c>
    </row>
    <row r="1389" spans="1:17" ht="15.5" x14ac:dyDescent="0.35">
      <c r="A1389" s="3" t="str">
        <f>HYPERLINK("https://edmondsonsupply.com/collections/hvac/products/hilmor-1839054-3-quick-change-magnetic-nut-driver-1-4-5-16", "https://edmondsonsupply.com/collections/hvac/products/hilmor-1839054-3-quick-change-magnetic-nut-driver-1-4-5-16")</f>
        <v>https://edmondsonsupply.com/collections/hvac/products/hilmor-1839054-3-quick-change-magnetic-nut-driver-1-4-5-16</v>
      </c>
      <c r="B1389" s="3" t="str">
        <f>HYPERLINK("https://edmondsonsupply.com/products/hilmor-1839054-3-quick-change-magnetic-nut-driver-1-4-5-16", "https://edmondsonsupply.com/products/hilmor-1839054-3-quick-change-magnetic-nut-driver-1-4-5-16")</f>
        <v>https://edmondsonsupply.com/products/hilmor-1839054-3-quick-change-magnetic-nut-driver-1-4-5-16</v>
      </c>
      <c r="C1389" t="s">
        <v>3714</v>
      </c>
      <c r="D1389" t="s">
        <v>3715</v>
      </c>
      <c r="E1389" s="3" t="str">
        <f>HYPERLINK("https://www.amazon.com/Hilmor-1891260-Change-Magnetic-Driver/dp/B00ITFZ1S4/ref=sr_1_2?keywords=Hilmor+1839054+3%22+Quick-Change+Magnetic+Nut+Driver%2C+1%2F4%22+%26+5%2F16%22&amp;qid=1695173683&amp;sr=8-2", "https://www.amazon.com/Hilmor-1891260-Change-Magnetic-Driver/dp/B00ITFZ1S4/ref=sr_1_2?keywords=Hilmor+1839054+3%22+Quick-Change+Magnetic+Nut+Driver%2C+1%2F4%22+%26+5%2F16%22&amp;qid=1695173683&amp;sr=8-2")</f>
        <v>https://www.amazon.com/Hilmor-1891260-Change-Magnetic-Driver/dp/B00ITFZ1S4/ref=sr_1_2?keywords=Hilmor+1839054+3%22+Quick-Change+Magnetic+Nut+Driver%2C+1%2F4%22+%26+5%2F16%22&amp;qid=1695173683&amp;sr=8-2</v>
      </c>
      <c r="F1389" t="s">
        <v>3716</v>
      </c>
      <c r="G1389" t="e">
        <f ca="1">_xludf.IMAGE("https://edmondsonsupply.com/cdn/shop/products/1839054-O1.jpg?v=1587145838")</f>
        <v>#NAME?</v>
      </c>
      <c r="H1389" t="e">
        <f ca="1">_xludf.IMAGE("https://m.media-amazon.com/images/I/715lsCig6NL._AC_UL320_.jpg")</f>
        <v>#NAME?</v>
      </c>
      <c r="I1389" t="s">
        <v>2197</v>
      </c>
      <c r="J1389">
        <v>27.91</v>
      </c>
      <c r="K1389" s="4">
        <v>0.25490000000000002</v>
      </c>
      <c r="L1389">
        <v>4.3</v>
      </c>
      <c r="M1389">
        <v>214</v>
      </c>
      <c r="O1389" t="s">
        <v>25</v>
      </c>
      <c r="P1389" t="s">
        <v>138</v>
      </c>
      <c r="Q1389" t="s">
        <v>3717</v>
      </c>
    </row>
    <row r="1390" spans="1:17" ht="15.5" x14ac:dyDescent="0.35">
      <c r="A1390" s="3" t="str">
        <f>HYPERLINK("https://edmondsonsupply.com/collections/hvac/products/klein-tools-d504-10-classic-klaw%E2%84%A2-pump-pliers-10-inch", "https://edmondsonsupply.com/collections/hvac/products/klein-tools-d504-10-classic-klaw%E2%84%A2-pump-pliers-10-inch")</f>
        <v>https://edmondsonsupply.com/collections/hvac/products/klein-tools-d504-10-classic-klaw%E2%84%A2-pump-pliers-10-inch</v>
      </c>
      <c r="B1390" s="3" t="str">
        <f>HYPERLINK("https://edmondsonsupply.com/products/klein-tools-d504-10-classic-klaw%e2%84%a2-pump-pliers-10-inch", "https://edmondsonsupply.com/products/klein-tools-d504-10-classic-klaw%e2%84%a2-pump-pliers-10-inch")</f>
        <v>https://edmondsonsupply.com/products/klein-tools-d504-10-classic-klaw%e2%84%a2-pump-pliers-10-inch</v>
      </c>
      <c r="C1390" t="s">
        <v>3718</v>
      </c>
      <c r="D1390" t="s">
        <v>3719</v>
      </c>
      <c r="E1390" s="3" t="str">
        <f>HYPERLINK("https://www.amazon.com/Quick-Adjust-10-Inch-Klein-Tools-D504-10B/dp/B00BJ4ORDM/ref=sr_1_1?keywords=Klein+Tools+D504-10+Classic+Klaw%E2%84%A2+Pump+Pliers%2C+10-Inch&amp;qid=1695173666&amp;sr=8-1", "https://www.amazon.com/Quick-Adjust-10-Inch-Klein-Tools-D504-10B/dp/B00BJ4ORDM/ref=sr_1_1?keywords=Klein+Tools+D504-10+Classic+Klaw%E2%84%A2+Pump+Pliers%2C+10-Inch&amp;qid=1695173666&amp;sr=8-1")</f>
        <v>https://www.amazon.com/Quick-Adjust-10-Inch-Klein-Tools-D504-10B/dp/B00BJ4ORDM/ref=sr_1_1?keywords=Klein+Tools+D504-10+Classic+Klaw%E2%84%A2+Pump+Pliers%2C+10-Inch&amp;qid=1695173666&amp;sr=8-1</v>
      </c>
      <c r="F1390" t="s">
        <v>3720</v>
      </c>
      <c r="G1390" t="e">
        <f ca="1">_xludf.IMAGE("https://edmondsonsupply.com/cdn/shop/products/d504-10.jpg?v=1587142942")</f>
        <v>#NAME?</v>
      </c>
      <c r="H1390" t="e">
        <f ca="1">_xludf.IMAGE("https://m.media-amazon.com/images/I/51G8XuICYiL._AC_UL320_.jpg")</f>
        <v>#NAME?</v>
      </c>
      <c r="I1390" t="s">
        <v>3721</v>
      </c>
      <c r="J1390">
        <v>42.56</v>
      </c>
      <c r="K1390" s="4">
        <v>0.25290000000000001</v>
      </c>
      <c r="L1390">
        <v>4.7</v>
      </c>
      <c r="M1390">
        <v>259</v>
      </c>
      <c r="O1390" t="s">
        <v>25</v>
      </c>
      <c r="P1390" t="s">
        <v>3722</v>
      </c>
      <c r="Q1390" t="s">
        <v>3723</v>
      </c>
    </row>
    <row r="1391" spans="1:17" ht="15.5" x14ac:dyDescent="0.35">
      <c r="A1391" s="3" t="str">
        <f>HYPERLINK("https://edmondsonsupply.com/collections/hvac/products/icm-controls-icm493-single-phase-line-voltage-monitor-with-surge-protection", "https://edmondsonsupply.com/collections/hvac/products/icm-controls-icm493-single-phase-line-voltage-monitor-with-surge-protection")</f>
        <v>https://edmondsonsupply.com/collections/hvac/products/icm-controls-icm493-single-phase-line-voltage-monitor-with-surge-protection</v>
      </c>
      <c r="B1391" s="3" t="str">
        <f>HYPERLINK("https://edmondsonsupply.com/products/icm-controls-icm493-single-phase-line-voltage-monitor-with-surge-protection", "https://edmondsonsupply.com/products/icm-controls-icm493-single-phase-line-voltage-monitor-with-surge-protection")</f>
        <v>https://edmondsonsupply.com/products/icm-controls-icm493-single-phase-line-voltage-monitor-with-surge-protection</v>
      </c>
      <c r="C1391" t="s">
        <v>3710</v>
      </c>
      <c r="D1391" t="s">
        <v>3724</v>
      </c>
      <c r="E1391" s="3" t="str">
        <f>HYPERLINK("https://www.amazon.com/ICM-Controls-ICM493-Monitor-Supression/dp/B01M16A7P3/ref=sr_1_2?keywords=ICM+Controls+ICM493+Single+Phase+Line+Voltage+Monitor+with+Surge+Protection&amp;qid=1695173388&amp;sr=8-2", "https://www.amazon.com/ICM-Controls-ICM493-Monitor-Supression/dp/B01M16A7P3/ref=sr_1_2?keywords=ICM+Controls+ICM493+Single+Phase+Line+Voltage+Monitor+with+Surge+Protection&amp;qid=1695173388&amp;sr=8-2")</f>
        <v>https://www.amazon.com/ICM-Controls-ICM493-Monitor-Supression/dp/B01M16A7P3/ref=sr_1_2?keywords=ICM+Controls+ICM493+Single+Phase+Line+Voltage+Monitor+with+Surge+Protection&amp;qid=1695173388&amp;sr=8-2</v>
      </c>
      <c r="F1391" t="s">
        <v>3725</v>
      </c>
      <c r="G1391" t="e">
        <f ca="1">_xludf.IMAGE("https://edmondsonsupply.com/cdn/shop/files/ICM493-Path-Color.webp?v=1683757575")</f>
        <v>#NAME?</v>
      </c>
      <c r="H1391" t="e">
        <f ca="1">_xludf.IMAGE("https://m.media-amazon.com/images/I/51dzKW6L-jL._AC_UL320_.jpg")</f>
        <v>#NAME?</v>
      </c>
      <c r="I1391" t="s">
        <v>3711</v>
      </c>
      <c r="J1391">
        <v>302.99</v>
      </c>
      <c r="K1391" s="4">
        <v>0.25259999999999999</v>
      </c>
      <c r="L1391">
        <v>4</v>
      </c>
      <c r="M1391">
        <v>14</v>
      </c>
      <c r="O1391" t="s">
        <v>25</v>
      </c>
      <c r="P1391" t="s">
        <v>3712</v>
      </c>
      <c r="Q1391" t="s">
        <v>3713</v>
      </c>
    </row>
    <row r="1392" spans="1:17" ht="15.5" x14ac:dyDescent="0.35">
      <c r="A1392" s="3" t="str">
        <f>HYPERLINK("https://edmondsonsupply.com/collections/hvac/products/milwaukee-48-22-0305-folding-jab-saw", "https://edmondsonsupply.com/collections/hvac/products/milwaukee-48-22-0305-folding-jab-saw")</f>
        <v>https://edmondsonsupply.com/collections/hvac/products/milwaukee-48-22-0305-folding-jab-saw</v>
      </c>
      <c r="B1392" s="3" t="str">
        <f>HYPERLINK("https://edmondsonsupply.com/products/milwaukee-48-22-0305-folding-jab-saw", "https://edmondsonsupply.com/products/milwaukee-48-22-0305-folding-jab-saw")</f>
        <v>https://edmondsonsupply.com/products/milwaukee-48-22-0305-folding-jab-saw</v>
      </c>
      <c r="C1392" t="s">
        <v>2139</v>
      </c>
      <c r="D1392" t="s">
        <v>3726</v>
      </c>
      <c r="E1392" s="3" t="str">
        <f>HYPERLINK("https://www.amazon.com/MILWAUKEE-48-22-1906J-FASTBACK-DRYWALL-PLASTER/dp/B07STGMWT6/ref=sr_1_7?keywords=Milwaukee+48-22-0305+Folding+Jab+Saw&amp;qid=1695173671&amp;sr=8-7", "https://www.amazon.com/MILWAUKEE-48-22-1906J-FASTBACK-DRYWALL-PLASTER/dp/B07STGMWT6/ref=sr_1_7?keywords=Milwaukee+48-22-0305+Folding+Jab+Saw&amp;qid=1695173671&amp;sr=8-7")</f>
        <v>https://www.amazon.com/MILWAUKEE-48-22-1906J-FASTBACK-DRYWALL-PLASTER/dp/B07STGMWT6/ref=sr_1_7?keywords=Milwaukee+48-22-0305+Folding+Jab+Saw&amp;qid=1695173671&amp;sr=8-7</v>
      </c>
      <c r="F1392" t="s">
        <v>3727</v>
      </c>
      <c r="G1392" t="e">
        <f ca="1">_xludf.IMAGE("https://edmondsonsupply.com/cdn/shop/products/49678_48-22-0305-lg.jpg?v=1587148349")</f>
        <v>#NAME?</v>
      </c>
      <c r="H1392" t="e">
        <f ca="1">_xludf.IMAGE("https://m.media-amazon.com/images/I/414z44lqh3L._AC_UL320_.jpg")</f>
        <v>#NAME?</v>
      </c>
      <c r="I1392" t="s">
        <v>893</v>
      </c>
      <c r="J1392">
        <v>25</v>
      </c>
      <c r="K1392" s="4">
        <v>0.25190000000000001</v>
      </c>
      <c r="L1392">
        <v>4.9000000000000004</v>
      </c>
      <c r="M1392">
        <v>11</v>
      </c>
      <c r="O1392" t="s">
        <v>25</v>
      </c>
      <c r="P1392" t="s">
        <v>2142</v>
      </c>
      <c r="Q1392" t="s">
        <v>2143</v>
      </c>
    </row>
    <row r="1393" spans="1:17" ht="15.5" x14ac:dyDescent="0.35">
      <c r="A1393"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1393"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1393" t="s">
        <v>3118</v>
      </c>
      <c r="D1393" t="s">
        <v>3728</v>
      </c>
      <c r="E1393" s="3" t="str">
        <f>HYPERLINK("https://www.amazon.com/Journeyman-T-Handle-Klein-Tools-JTH4E17/dp/B004LRBOA8/ref=sr_1_1?keywords=Klein+Tools+JTH4E17+1%2F2-Inch+Hex+Key%2C+Journeyman+T-Handle%2C+4-Inch&amp;qid=1695173633&amp;sr=8-1", "https://www.amazon.com/Journeyman-T-Handle-Klein-Tools-JTH4E17/dp/B004LRBOA8/ref=sr_1_1?keywords=Klein+Tools+JTH4E17+1%2F2-Inch+Hex+Key%2C+Journeyman+T-Handle%2C+4-Inch&amp;qid=1695173633&amp;sr=8-1")</f>
        <v>https://www.amazon.com/Journeyman-T-Handle-Klein-Tools-JTH4E17/dp/B004LRBOA8/ref=sr_1_1?keywords=Klein+Tools+JTH4E17+1%2F2-Inch+Hex+Key%2C+Journeyman+T-Handle%2C+4-Inch&amp;qid=1695173633&amp;sr=8-1</v>
      </c>
      <c r="F1393" t="s">
        <v>3729</v>
      </c>
      <c r="G1393" t="e">
        <f ca="1">_xludf.IMAGE("https://edmondsonsupply.com/cdn/shop/products/jth4e17_583549be-7b42-43c7-9c3d-a92f2416ede5.jpg?v=1610655610")</f>
        <v>#NAME?</v>
      </c>
      <c r="H1393" t="e">
        <f ca="1">_xludf.IMAGE("https://m.media-amazon.com/images/I/41kJkcAGkqL._AC_UL320_.jpg")</f>
        <v>#NAME?</v>
      </c>
      <c r="I1393" t="s">
        <v>252</v>
      </c>
      <c r="J1393">
        <v>20.010000000000002</v>
      </c>
      <c r="K1393" s="4">
        <v>0.25140000000000001</v>
      </c>
      <c r="L1393">
        <v>4.7</v>
      </c>
      <c r="M1393">
        <v>45</v>
      </c>
      <c r="O1393" t="s">
        <v>25</v>
      </c>
      <c r="P1393" t="s">
        <v>3121</v>
      </c>
      <c r="Q1393" t="s">
        <v>3122</v>
      </c>
    </row>
    <row r="1394" spans="1:17" ht="15.5" x14ac:dyDescent="0.35">
      <c r="A1394" s="3" t="str">
        <f>HYPERLINK("https://edmondsonsupply.com/collections/hvac/products/white-rodgers-24a34-5-24v-electric-heat-sequencer-dpst-spst", "https://edmondsonsupply.com/collections/hvac/products/white-rodgers-24a34-5-24v-electric-heat-sequencer-dpst-spst")</f>
        <v>https://edmondsonsupply.com/collections/hvac/products/white-rodgers-24a34-5-24v-electric-heat-sequencer-dpst-spst</v>
      </c>
      <c r="B1394" s="3" t="str">
        <f>HYPERLINK("https://edmondsonsupply.com/products/white-rodgers-24a34-5-24v-electric-heat-sequencer-dpst-spst", "https://edmondsonsupply.com/products/white-rodgers-24a34-5-24v-electric-heat-sequencer-dpst-spst")</f>
        <v>https://edmondsonsupply.com/products/white-rodgers-24a34-5-24v-electric-heat-sequencer-dpst-spst</v>
      </c>
      <c r="C1394" t="s">
        <v>2379</v>
      </c>
      <c r="D1394" t="s">
        <v>2562</v>
      </c>
      <c r="E1394" s="3" t="str">
        <f>HYPERLINK("https://www.amazon.com/HVAC-Parts-White-Rodgers-Electric-Sequencer/dp/B09N9VYKL1/ref=sr_1_1?keywords=White-Rodgers+24A34-5+24V+Electric+Heat+Sequencer%2C+DPST-SPST&amp;qid=1695173445&amp;sr=8-1", "https://www.amazon.com/HVAC-Parts-White-Rodgers-Electric-Sequencer/dp/B09N9VYKL1/ref=sr_1_1?keywords=White-Rodgers+24A34-5+24V+Electric+Heat+Sequencer%2C+DPST-SPST&amp;qid=1695173445&amp;sr=8-1")</f>
        <v>https://www.amazon.com/HVAC-Parts-White-Rodgers-Electric-Sequencer/dp/B09N9VYKL1/ref=sr_1_1?keywords=White-Rodgers+24A34-5+24V+Electric+Heat+Sequencer%2C+DPST-SPST&amp;qid=1695173445&amp;sr=8-1</v>
      </c>
      <c r="F1394" t="s">
        <v>2563</v>
      </c>
      <c r="G1394" t="e">
        <f ca="1">_xludf.IMAGE("https://edmondsonsupply.com/cdn/shop/products/24A34-5.jpg?v=1633030752")</f>
        <v>#NAME?</v>
      </c>
      <c r="H1394" t="e">
        <f ca="1">_xludf.IMAGE("https://m.media-amazon.com/images/I/71IXexQVGwL._AC_UY218_.jpg")</f>
        <v>#NAME?</v>
      </c>
      <c r="I1394" t="s">
        <v>2382</v>
      </c>
      <c r="J1394">
        <v>22.91</v>
      </c>
      <c r="K1394" s="4">
        <v>0.25119999999999998</v>
      </c>
      <c r="L1394">
        <v>5</v>
      </c>
      <c r="M1394">
        <v>1</v>
      </c>
      <c r="O1394" t="s">
        <v>25</v>
      </c>
      <c r="P1394" t="s">
        <v>2383</v>
      </c>
      <c r="Q1394" t="s">
        <v>2384</v>
      </c>
    </row>
    <row r="1395" spans="1:17" ht="15.5" x14ac:dyDescent="0.35">
      <c r="A1395" s="3" t="str">
        <f>HYPERLINK("https://edmondsonsupply.com/collections/hvac/products/klein-tools-85076ins-screwdriver-set-1000v-insulated-6-piece", "https://edmondsonsupply.com/collections/hvac/products/klein-tools-85076ins-screwdriver-set-1000v-insulated-6-piece")</f>
        <v>https://edmondsonsupply.com/collections/hvac/products/klein-tools-85076ins-screwdriver-set-1000v-insulated-6-piece</v>
      </c>
      <c r="B1395" s="3" t="str">
        <f>HYPERLINK("https://edmondsonsupply.com/products/klein-tools-85076ins-screwdriver-set-1000v-insulated-6-piece", "https://edmondsonsupply.com/products/klein-tools-85076ins-screwdriver-set-1000v-insulated-6-piece")</f>
        <v>https://edmondsonsupply.com/products/klein-tools-85076ins-screwdriver-set-1000v-insulated-6-piece</v>
      </c>
      <c r="C1395" t="s">
        <v>3730</v>
      </c>
      <c r="D1395" t="s">
        <v>2245</v>
      </c>
      <c r="E1395" s="3" t="str">
        <f>HYPERLINK("https://www.amazon.com/Klein-Tools-33736INS-Screwdriver-Magnetizer/dp/B09GPZPMTD/ref=sr_1_3?keywords=Klein+Tools+85076INS+Screwdriver+Set%2C+1000V+Insulated%2C+6-Piece&amp;qid=1695173499&amp;sr=8-3", "https://www.amazon.com/Klein-Tools-33736INS-Screwdriver-Magnetizer/dp/B09GPZPMTD/ref=sr_1_3?keywords=Klein+Tools+85076INS+Screwdriver+Set%2C+1000V+Insulated%2C+6-Piece&amp;qid=1695173499&amp;sr=8-3")</f>
        <v>https://www.amazon.com/Klein-Tools-33736INS-Screwdriver-Magnetizer/dp/B09GPZPMTD/ref=sr_1_3?keywords=Klein+Tools+85076INS+Screwdriver+Set%2C+1000V+Insulated%2C+6-Piece&amp;qid=1695173499&amp;sr=8-3</v>
      </c>
      <c r="F1395" t="s">
        <v>2246</v>
      </c>
      <c r="G1395" t="e">
        <f ca="1">_xludf.IMAGE("https://edmondsonsupply.com/cdn/shop/products/85076ins.jpg?v=1664891110")</f>
        <v>#NAME?</v>
      </c>
      <c r="H1395" t="e">
        <f ca="1">_xludf.IMAGE("https://m.media-amazon.com/images/I/51W2DUA3c7L._AC_UL320_.jpg")</f>
        <v>#NAME?</v>
      </c>
      <c r="I1395" t="s">
        <v>246</v>
      </c>
      <c r="J1395">
        <v>49.99</v>
      </c>
      <c r="K1395" s="4">
        <v>0.25069999999999998</v>
      </c>
      <c r="L1395">
        <v>4.8</v>
      </c>
      <c r="M1395">
        <v>419</v>
      </c>
      <c r="O1395" t="s">
        <v>25</v>
      </c>
      <c r="P1395" t="s">
        <v>199</v>
      </c>
      <c r="Q1395" t="s">
        <v>3731</v>
      </c>
    </row>
    <row r="1396" spans="1:17" ht="15.5" x14ac:dyDescent="0.35">
      <c r="A1396"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1396" s="3" t="str">
        <f>HYPERLINK("https://edmondsonsupply.com/products/klein-tools-65064-2-in-1-hex-head-screwdriver-1-4-5-16", "https://edmondsonsupply.com/products/klein-tools-65064-2-in-1-hex-head-screwdriver-1-4-5-16")</f>
        <v>https://edmondsonsupply.com/products/klein-tools-65064-2-in-1-hex-head-screwdriver-1-4-5-16</v>
      </c>
      <c r="C1396" t="s">
        <v>2093</v>
      </c>
      <c r="D1396" t="s">
        <v>3732</v>
      </c>
      <c r="E1396" s="3" t="str">
        <f>HYPERLINK("https://www.amazon.com/Driver-6-Inch-Klein-Tools-65129/dp/B0716VDFTD/ref=sr_1_5?keywords=Klein+Tools+65064+2-in-1+Nut+Driver%2C+Hex+Head%2C+1%2F4-Inch+and+5%2F16-Inch&amp;qid=1695173568&amp;sr=8-5", "https://www.amazon.com/Driver-6-Inch-Klein-Tools-65129/dp/B0716VDFTD/ref=sr_1_5?keywords=Klein+Tools+65064+2-in-1+Nut+Driver%2C+Hex+Head%2C+1%2F4-Inch+and+5%2F16-Inch&amp;qid=1695173568&amp;sr=8-5")</f>
        <v>https://www.amazon.com/Driver-6-Inch-Klein-Tools-65129/dp/B0716VDFTD/ref=sr_1_5?keywords=Klein+Tools+65064+2-in-1+Nut+Driver%2C+Hex+Head%2C+1%2F4-Inch+and+5%2F16-Inch&amp;qid=1695173568&amp;sr=8-5</v>
      </c>
      <c r="F1396" t="s">
        <v>3733</v>
      </c>
      <c r="G1396" t="e">
        <f ca="1">_xludf.IMAGE("https://edmondsonsupply.com/cdn/shop/products/65064.jpg?v=1587147719")</f>
        <v>#NAME?</v>
      </c>
      <c r="H1396" t="e">
        <f ca="1">_xludf.IMAGE("https://m.media-amazon.com/images/I/31G5opAPxjL._AC_UL320_.jpg")</f>
        <v>#NAME?</v>
      </c>
      <c r="I1396" t="s">
        <v>143</v>
      </c>
      <c r="J1396">
        <v>19.97</v>
      </c>
      <c r="K1396" s="4">
        <v>0.2505</v>
      </c>
      <c r="L1396">
        <v>4.8</v>
      </c>
      <c r="M1396">
        <v>688</v>
      </c>
      <c r="O1396" t="s">
        <v>25</v>
      </c>
      <c r="P1396" t="s">
        <v>2096</v>
      </c>
      <c r="Q1396" t="s">
        <v>2097</v>
      </c>
    </row>
    <row r="1397" spans="1:17" ht="15.5" x14ac:dyDescent="0.35">
      <c r="A1397" s="3" t="str">
        <f>HYPERLINK("https://edmondsonsupply.com/collections/hvac/products/channellock-8wcb", "https://edmondsonsupply.com/collections/hvac/products/channellock-8wcb")</f>
        <v>https://edmondsonsupply.com/collections/hvac/products/channellock-8wcb</v>
      </c>
      <c r="B1397" s="3" t="str">
        <f>HYPERLINK("https://edmondsonsupply.com/products/channellock-8wcb", "https://edmondsonsupply.com/products/channellock-8wcb")</f>
        <v>https://edmondsonsupply.com/products/channellock-8wcb</v>
      </c>
      <c r="C1397" t="s">
        <v>3038</v>
      </c>
      <c r="D1397" t="s">
        <v>3734</v>
      </c>
      <c r="E1397" s="3" t="str">
        <f>HYPERLINK("https://www.amazon.com/Channellock-10WCB-Adjustable-Measurement-Diameters/dp/B0BDHWW8K8/ref=sr_1_4?keywords=Channellock+8WCB+8%22+Code+Blue+WIDEAZZ+Adjustable+Wrench&amp;qid=1695173646&amp;sr=8-4", "https://www.amazon.com/Channellock-10WCB-Adjustable-Measurement-Diameters/dp/B0BDHWW8K8/ref=sr_1_4?keywords=Channellock+8WCB+8%22+Code+Blue+WIDEAZZ+Adjustable+Wrench&amp;qid=1695173646&amp;sr=8-4")</f>
        <v>https://www.amazon.com/Channellock-10WCB-Adjustable-Measurement-Diameters/dp/B0BDHWW8K8/ref=sr_1_4?keywords=Channellock+8WCB+8%22+Code+Blue+WIDEAZZ+Adjustable+Wrench&amp;qid=1695173646&amp;sr=8-4</v>
      </c>
      <c r="F1397" t="s">
        <v>3735</v>
      </c>
      <c r="G1397" t="e">
        <f ca="1">_xludf.IMAGE("https://edmondsonsupply.com/cdn/shop/products/8WCB-683x1024.jpg?v=1633030324")</f>
        <v>#NAME?</v>
      </c>
      <c r="H1397" t="e">
        <f ca="1">_xludf.IMAGE("https://m.media-amazon.com/images/I/61w0hdzcX7L._AC_UL320_.jpg")</f>
        <v>#NAME?</v>
      </c>
      <c r="I1397" t="s">
        <v>3041</v>
      </c>
      <c r="J1397">
        <v>39.950000000000003</v>
      </c>
      <c r="K1397" s="4">
        <v>0.25040000000000001</v>
      </c>
      <c r="L1397">
        <v>4.9000000000000004</v>
      </c>
      <c r="M1397">
        <v>60</v>
      </c>
      <c r="O1397" t="s">
        <v>25</v>
      </c>
      <c r="P1397" t="s">
        <v>3042</v>
      </c>
      <c r="Q1397" t="s">
        <v>3043</v>
      </c>
    </row>
    <row r="1398" spans="1:17" ht="15.5" x14ac:dyDescent="0.35">
      <c r="A1398" s="3" t="str">
        <f>HYPERLINK("https://edmondsonsupply.com/collections/hvac/products/klein-tools-602-4dd-4-demolition-driver-1-4-keystone", "https://edmondsonsupply.com/collections/hvac/products/klein-tools-602-4dd-4-demolition-driver-1-4-keystone")</f>
        <v>https://edmondsonsupply.com/collections/hvac/products/klein-tools-602-4dd-4-demolition-driver-1-4-keystone</v>
      </c>
      <c r="B1398" s="3" t="str">
        <f>HYPERLINK("https://edmondsonsupply.com/products/klein-tools-602-4dd-4-demolition-driver-1-4-keystone", "https://edmondsonsupply.com/products/klein-tools-602-4dd-4-demolition-driver-1-4-keystone")</f>
        <v>https://edmondsonsupply.com/products/klein-tools-602-4dd-4-demolition-driver-1-4-keystone</v>
      </c>
      <c r="C1398" t="s">
        <v>3736</v>
      </c>
      <c r="D1398" t="s">
        <v>3737</v>
      </c>
      <c r="E1398" s="3" t="str">
        <f>HYPERLINK("https://www.amazon.com/16-Inch-Keystone-Demolition-Klein-Tools/dp/B00B9HIBYA/ref=sr_1_2?keywords=Klein+Tools+602-4DD+1%2F4-Inch+Keystone+Demolition+Driver%2C+4-Inch+Shank&amp;qid=1695173678&amp;sr=8-2", "https://www.amazon.com/16-Inch-Keystone-Demolition-Klein-Tools/dp/B00B9HIBYA/ref=sr_1_2?keywords=Klein+Tools+602-4DD+1%2F4-Inch+Keystone+Demolition+Driver%2C+4-Inch+Shank&amp;qid=1695173678&amp;sr=8-2")</f>
        <v>https://www.amazon.com/16-Inch-Keystone-Demolition-Klein-Tools/dp/B00B9HIBYA/ref=sr_1_2?keywords=Klein+Tools+602-4DD+1%2F4-Inch+Keystone+Demolition+Driver%2C+4-Inch+Shank&amp;qid=1695173678&amp;sr=8-2</v>
      </c>
      <c r="F1398" t="s">
        <v>3738</v>
      </c>
      <c r="G1398" t="e">
        <f ca="1">_xludf.IMAGE("https://edmondsonsupply.com/cdn/shop/products/602-4dd.jpg?v=1587143287")</f>
        <v>#NAME?</v>
      </c>
      <c r="H1398" t="e">
        <f ca="1">_xludf.IMAGE("https://m.media-amazon.com/images/I/41sh3Q2vVYL._AC_UL320_.jpg")</f>
        <v>#NAME?</v>
      </c>
      <c r="I1398" t="s">
        <v>252</v>
      </c>
      <c r="J1398">
        <v>19.989999999999998</v>
      </c>
      <c r="K1398" s="4">
        <v>0.25019999999999998</v>
      </c>
      <c r="L1398">
        <v>4.8</v>
      </c>
      <c r="M1398">
        <v>1377</v>
      </c>
      <c r="O1398" t="s">
        <v>25</v>
      </c>
      <c r="P1398" t="s">
        <v>3739</v>
      </c>
      <c r="Q1398" t="s">
        <v>3740</v>
      </c>
    </row>
    <row r="1399" spans="1:17" ht="15.5" x14ac:dyDescent="0.35">
      <c r="A1399" s="3" t="str">
        <f>HYPERLINK("https://edmondsonsupply.com/collections/hvac/products/packard-trcfd455-titan-pro-run-capacitor-45-5-mfd-440-370-volt-round", "https://edmondsonsupply.com/collections/hvac/products/packard-trcfd455-titan-pro-run-capacitor-45-5-mfd-440-370-volt-round")</f>
        <v>https://edmondsonsupply.com/collections/hvac/products/packard-trcfd455-titan-pro-run-capacitor-45-5-mfd-440-370-volt-round</v>
      </c>
      <c r="B1399" s="3" t="str">
        <f>HYPERLINK("https://edmondsonsupply.com/products/packard-trcfd455-titan-pro-run-capacitor-45-5-mfd-440-370-volt-round", "https://edmondsonsupply.com/products/packard-trcfd455-titan-pro-run-capacitor-45-5-mfd-440-370-volt-round")</f>
        <v>https://edmondsonsupply.com/products/packard-trcfd455-titan-pro-run-capacitor-45-5-mfd-440-370-volt-round</v>
      </c>
      <c r="C1399" t="s">
        <v>2069</v>
      </c>
      <c r="D1399" t="s">
        <v>3308</v>
      </c>
      <c r="E1399" s="3" t="str">
        <f>HYPERLINK("https://www.amazon.com/PACKARD-TRCD455-Capacitor-Replaces-PRCD455/dp/B00K3M3NQ8/ref=sr_1_7?keywords=Packard+TRCFD455+Titan+PRO+Run+Capacitor+45+5+MFD+440%2F370+Volt+Round&amp;qid=1695173400&amp;sr=8-7", "https://www.amazon.com/PACKARD-TRCD455-Capacitor-Replaces-PRCD455/dp/B00K3M3NQ8/ref=sr_1_7?keywords=Packard+TRCFD455+Titan+PRO+Run+Capacitor+45+5+MFD+440%2F370+Volt+Round&amp;qid=1695173400&amp;sr=8-7")</f>
        <v>https://www.amazon.com/PACKARD-TRCD455-Capacitor-Replaces-PRCD455/dp/B00K3M3NQ8/ref=sr_1_7?keywords=Packard+TRCFD455+Titan+PRO+Run+Capacitor+45+5+MFD+440%2F370+Volt+Round&amp;qid=1695173400&amp;sr=8-7</v>
      </c>
      <c r="F1399" t="s">
        <v>3309</v>
      </c>
      <c r="G1399" t="e">
        <f ca="1">_xludf.IMAGE("https://edmondsonsupply.com/cdn/shop/products/TRCFD455-2.jpg?v=1587147298")</f>
        <v>#NAME?</v>
      </c>
      <c r="H1399" t="e">
        <f ca="1">_xludf.IMAGE("https://m.media-amazon.com/images/I/4118O3-fIGL._AC_UY218_.jpg")</f>
        <v>#NAME?</v>
      </c>
      <c r="I1399" t="s">
        <v>924</v>
      </c>
      <c r="J1399">
        <v>11.23</v>
      </c>
      <c r="K1399" s="4">
        <v>0.2492</v>
      </c>
      <c r="L1399">
        <v>4.4000000000000004</v>
      </c>
      <c r="M1399">
        <v>140</v>
      </c>
      <c r="O1399" t="s">
        <v>171</v>
      </c>
      <c r="P1399" t="s">
        <v>138</v>
      </c>
      <c r="Q1399" t="s">
        <v>2072</v>
      </c>
    </row>
    <row r="1400" spans="1:17" ht="15.5" x14ac:dyDescent="0.35">
      <c r="A1400" s="3" t="str">
        <f>HYPERLINK("https://edmondsonsupply.com/collections/hvac/products/hilmor-1839110-4-valve-aluminum-manifold-set-r410a", "https://edmondsonsupply.com/collections/hvac/products/hilmor-1839110-4-valve-aluminum-manifold-set-r410a")</f>
        <v>https://edmondsonsupply.com/collections/hvac/products/hilmor-1839110-4-valve-aluminum-manifold-set-r410a</v>
      </c>
      <c r="B1400" s="3" t="str">
        <f>HYPERLINK("https://edmondsonsupply.com/products/hilmor-1839110-4-valve-aluminum-manifold-set-r410a", "https://edmondsonsupply.com/products/hilmor-1839110-4-valve-aluminum-manifold-set-r410a")</f>
        <v>https://edmondsonsupply.com/products/hilmor-1839110-4-valve-aluminum-manifold-set-r410a</v>
      </c>
      <c r="C1400" t="s">
        <v>3741</v>
      </c>
      <c r="D1400" t="s">
        <v>3742</v>
      </c>
      <c r="E1400" s="3" t="str">
        <f>HYPERLINK("https://www.amazon.com/1839110-4-Valve-Manifold-Readout-Thermometer/dp/B00FPP2SQO/ref=sr_1_1?keywords=Hilmor+1839110+4-Valve+Aluminum+Manifold+Set+-+R410A&amp;qid=1695173564&amp;sr=8-1", "https://www.amazon.com/1839110-4-Valve-Manifold-Readout-Thermometer/dp/B00FPP2SQO/ref=sr_1_1?keywords=Hilmor+1839110+4-Valve+Aluminum+Manifold+Set+-+R410A&amp;qid=1695173564&amp;sr=8-1")</f>
        <v>https://www.amazon.com/1839110-4-Valve-Manifold-Readout-Thermometer/dp/B00FPP2SQO/ref=sr_1_1?keywords=Hilmor+1839110+4-Valve+Aluminum+Manifold+Set+-+R410A&amp;qid=1695173564&amp;sr=8-1</v>
      </c>
      <c r="F1400" t="s">
        <v>3743</v>
      </c>
      <c r="G1400" t="e">
        <f ca="1">_xludf.IMAGE("https://edmondsonsupply.com/cdn/shop/files/Manifolds_4V410_FrontFacingWithDROTHosesAndClamps_735x480px-735x480_68ca81f0-40f2-4882-b1a7-b0b2eecb33af.jpg?v=1694523226")</f>
        <v>#NAME?</v>
      </c>
      <c r="H1400" t="e">
        <f ca="1">_xludf.IMAGE("https://m.media-amazon.com/images/I/91-w1LM9vCL._AC_UL320_.jpg")</f>
        <v>#NAME?</v>
      </c>
      <c r="I1400" t="s">
        <v>3744</v>
      </c>
      <c r="J1400">
        <v>638.16</v>
      </c>
      <c r="K1400" s="4">
        <v>0.24890000000000001</v>
      </c>
      <c r="L1400">
        <v>4.0999999999999996</v>
      </c>
      <c r="M1400">
        <v>20</v>
      </c>
      <c r="O1400" t="s">
        <v>25</v>
      </c>
      <c r="P1400" t="s">
        <v>3745</v>
      </c>
      <c r="Q1400" t="s">
        <v>3746</v>
      </c>
    </row>
    <row r="1401" spans="1:17" ht="15.5" x14ac:dyDescent="0.35">
      <c r="A1401"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401" s="3" t="str">
        <f>HYPERLINK("https://edmondsonsupply.com/products/klein-tools-646-5-16-5-16-inch-nut-driver-6-inch-hollow-shaft", "https://edmondsonsupply.com/products/klein-tools-646-5-16-5-16-inch-nut-driver-6-inch-hollow-shaft")</f>
        <v>https://edmondsonsupply.com/products/klein-tools-646-5-16-5-16-inch-nut-driver-6-inch-hollow-shaft</v>
      </c>
      <c r="C1401" t="s">
        <v>1893</v>
      </c>
      <c r="D1401" t="s">
        <v>3747</v>
      </c>
      <c r="E1401" s="3" t="str">
        <f>HYPERLINK("https://www.amazon.com/Magnetic-Klein-Tools-630-5-16M/dp/B000LEX58E/ref=sr_1_7?keywords=Klein+Tools+646-5%2F16+5%2F16-Inch+Nut+Driver%2C+6-Inch+Hollow+Shaft&amp;qid=1695173549&amp;sr=8-7", "https://www.amazon.com/Magnetic-Klein-Tools-630-5-16M/dp/B000LEX58E/ref=sr_1_7?keywords=Klein+Tools+646-5%2F16+5%2F16-Inch+Nut+Driver%2C+6-Inch+Hollow+Shaft&amp;qid=1695173549&amp;sr=8-7")</f>
        <v>https://www.amazon.com/Magnetic-Klein-Tools-630-5-16M/dp/B000LEX58E/ref=sr_1_7?keywords=Klein+Tools+646-5%2F16+5%2F16-Inch+Nut+Driver%2C+6-Inch+Hollow+Shaft&amp;qid=1695173549&amp;sr=8-7</v>
      </c>
      <c r="F1401" t="s">
        <v>3748</v>
      </c>
      <c r="G1401" t="e">
        <f ca="1">_xludf.IMAGE("https://edmondsonsupply.com/cdn/shop/products/646-1-2_e1540905-f750-4509-90c5-74ff653e4d83.jpg?v=1587145119")</f>
        <v>#NAME?</v>
      </c>
      <c r="H1401" t="e">
        <f ca="1">_xludf.IMAGE("https://m.media-amazon.com/images/I/515W26xlnhL._AC_UL320_.jpg")</f>
        <v>#NAME?</v>
      </c>
      <c r="I1401" t="s">
        <v>1003</v>
      </c>
      <c r="J1401">
        <v>9.9700000000000006</v>
      </c>
      <c r="K1401" s="4">
        <v>0.24779999999999999</v>
      </c>
      <c r="L1401">
        <v>4.7</v>
      </c>
      <c r="M1401">
        <v>1574</v>
      </c>
      <c r="O1401" t="s">
        <v>25</v>
      </c>
      <c r="P1401" t="s">
        <v>1481</v>
      </c>
      <c r="Q1401" t="s">
        <v>1896</v>
      </c>
    </row>
    <row r="1402" spans="1:17" ht="15.5" x14ac:dyDescent="0.35">
      <c r="A1402" s="3" t="str">
        <f>HYPERLINK("https://edmondsonsupply.com/collections/hvac/products/nu-calgon-4050-05-easyseal-ultimate-ss-ac-leak-sealant", "https://edmondsonsupply.com/collections/hvac/products/nu-calgon-4050-05-easyseal-ultimate-ss-ac-leak-sealant")</f>
        <v>https://edmondsonsupply.com/collections/hvac/products/nu-calgon-4050-05-easyseal-ultimate-ss-ac-leak-sealant</v>
      </c>
      <c r="B1402" s="3" t="str">
        <f>HYPERLINK("https://edmondsonsupply.com/products/nu-calgon-4050-05-easyseal-ultimate-ss-ac-leak-sealant", "https://edmondsonsupply.com/products/nu-calgon-4050-05-easyseal-ultimate-ss-ac-leak-sealant")</f>
        <v>https://edmondsonsupply.com/products/nu-calgon-4050-05-easyseal-ultimate-ss-ac-leak-sealant</v>
      </c>
      <c r="C1402" t="s">
        <v>3749</v>
      </c>
      <c r="D1402" t="s">
        <v>1418</v>
      </c>
      <c r="E1402" s="3" t="str">
        <f>HYPERLINK("https://www.amazon.com/Nu-Calgon-4050-11-EasySeal-Inject-UV-Refrigerant/dp/B072Q3MX47/ref=sr_1_2?keywords=Nu-Calgon+4050-05+EasySeal+Ultimate-SS+AC+Leak+Sealant&amp;qid=1695173471&amp;sr=8-2", "https://www.amazon.com/Nu-Calgon-4050-11-EasySeal-Inject-UV-Refrigerant/dp/B072Q3MX47/ref=sr_1_2?keywords=Nu-Calgon+4050-05+EasySeal+Ultimate-SS+AC+Leak+Sealant&amp;qid=1695173471&amp;sr=8-2")</f>
        <v>https://www.amazon.com/Nu-Calgon-4050-11-EasySeal-Inject-UV-Refrigerant/dp/B072Q3MX47/ref=sr_1_2?keywords=Nu-Calgon+4050-05+EasySeal+Ultimate-SS+AC+Leak+Sealant&amp;qid=1695173471&amp;sr=8-2</v>
      </c>
      <c r="F1402" t="s">
        <v>1419</v>
      </c>
      <c r="G1402" t="e">
        <f ca="1">_xludf.IMAGE("https://edmondsonsupply.com/cdn/shop/products/4050-05a.jpg?v=1658965880")</f>
        <v>#NAME?</v>
      </c>
      <c r="H1402" t="e">
        <f ca="1">_xludf.IMAGE("https://m.media-amazon.com/images/I/51kJOZZkRVL._AC_UL320_.jpg")</f>
        <v>#NAME?</v>
      </c>
      <c r="I1402" t="s">
        <v>3750</v>
      </c>
      <c r="J1402">
        <v>66.09</v>
      </c>
      <c r="K1402" s="4">
        <v>0.2472</v>
      </c>
      <c r="L1402">
        <v>4.4000000000000004</v>
      </c>
      <c r="M1402">
        <v>209</v>
      </c>
      <c r="O1402" t="s">
        <v>25</v>
      </c>
      <c r="P1402" t="s">
        <v>3751</v>
      </c>
      <c r="Q1402" t="s">
        <v>3752</v>
      </c>
    </row>
    <row r="1403" spans="1:17" ht="15.5" x14ac:dyDescent="0.35">
      <c r="A1403" s="3" t="str">
        <f>HYPERLINK("https://edmondsonsupply.com/collections/hvac/products/fresh-aire-uv-apco-tuv-apco-er2", "https://edmondsonsupply.com/collections/hvac/products/fresh-aire-uv-apco-tuv-apco-er2")</f>
        <v>https://edmondsonsupply.com/collections/hvac/products/fresh-aire-uv-apco-tuv-apco-er2</v>
      </c>
      <c r="B1403" s="3" t="str">
        <f>HYPERLINK("https://edmondsonsupply.com/products/fresh-aire-uv-apco-tuv-apco-er2", "https://edmondsonsupply.com/products/fresh-aire-uv-apco-tuv-apco-er2")</f>
        <v>https://edmondsonsupply.com/products/fresh-aire-uv-apco-tuv-apco-er2</v>
      </c>
      <c r="C1403" t="s">
        <v>2396</v>
      </c>
      <c r="D1403" t="s">
        <v>3753</v>
      </c>
      <c r="E1403" s="3" t="str">
        <f>HYPERLINK("https://www.amazon.com/Duct-System-1-Year-18-32-TUV-APCO-ER/dp/B09P9VLYMJ/ref=sr_1_10?keywords=Fresh-Aire+UV+APCO+TUV-APCO-ER2+18-32+VAC%2C+2-Year+UV+Lamp&amp;qid=1695173389&amp;sr=8-10", "https://www.amazon.com/Duct-System-1-Year-18-32-TUV-APCO-ER/dp/B09P9VLYMJ/ref=sr_1_10?keywords=Fresh-Aire+UV+APCO+TUV-APCO-ER2+18-32+VAC%2C+2-Year+UV+Lamp&amp;qid=1695173389&amp;sr=8-10")</f>
        <v>https://www.amazon.com/Duct-System-1-Year-18-32-TUV-APCO-ER/dp/B09P9VLYMJ/ref=sr_1_10?keywords=Fresh-Aire+UV+APCO+TUV-APCO-ER2+18-32+VAC%2C+2-Year+UV+Lamp&amp;qid=1695173389&amp;sr=8-10</v>
      </c>
      <c r="F1403" t="s">
        <v>3754</v>
      </c>
      <c r="G1403" t="e">
        <f ca="1">_xludf.IMAGE("https://edmondsonsupply.com/cdn/shop/products/fresh-aire-uv_tuv-apco-er2_article_1367841289911_en_normal.jpg?v=1587143929")</f>
        <v>#NAME?</v>
      </c>
      <c r="H1403" t="e">
        <f ca="1">_xludf.IMAGE("https://m.media-amazon.com/images/I/81A421QCiML._AC_UL320_.jpg")</f>
        <v>#NAME?</v>
      </c>
      <c r="I1403" t="s">
        <v>2399</v>
      </c>
      <c r="J1403">
        <v>480.33</v>
      </c>
      <c r="K1403" s="4">
        <v>0.24440000000000001</v>
      </c>
      <c r="L1403">
        <v>3.6</v>
      </c>
      <c r="M1403">
        <v>7</v>
      </c>
      <c r="O1403" t="s">
        <v>25</v>
      </c>
      <c r="P1403" t="s">
        <v>138</v>
      </c>
      <c r="Q1403" t="s">
        <v>2400</v>
      </c>
    </row>
    <row r="1404" spans="1:17" ht="15.5" x14ac:dyDescent="0.35">
      <c r="A1404" s="3" t="str">
        <f>HYPERLINK("https://edmondsonsupply.com/collections/hvac/products/supco-sfpc-freeze-protection-control", "https://edmondsonsupply.com/collections/hvac/products/supco-sfpc-freeze-protection-control")</f>
        <v>https://edmondsonsupply.com/collections/hvac/products/supco-sfpc-freeze-protection-control</v>
      </c>
      <c r="B1404" s="3" t="str">
        <f>HYPERLINK("https://edmondsonsupply.com/products/supco-sfpc-freeze-protection-control", "https://edmondsonsupply.com/products/supco-sfpc-freeze-protection-control")</f>
        <v>https://edmondsonsupply.com/products/supco-sfpc-freeze-protection-control</v>
      </c>
      <c r="C1404" t="s">
        <v>3755</v>
      </c>
      <c r="D1404" t="s">
        <v>3756</v>
      </c>
      <c r="E1404" s="3" t="str">
        <f>HYPERLINK("https://www.amazon.com/Sealed-Company-Protection-Control-Supco/dp/B00QW2H53A/ref=sr_1_1?keywords=Supco+SFPC+Freeze+Protection+Control&amp;qid=1695173695&amp;sr=8-1", "https://www.amazon.com/Sealed-Company-Protection-Control-Supco/dp/B00QW2H53A/ref=sr_1_1?keywords=Supco+SFPC+Freeze+Protection+Control&amp;qid=1695173695&amp;sr=8-1")</f>
        <v>https://www.amazon.com/Sealed-Company-Protection-Control-Supco/dp/B00QW2H53A/ref=sr_1_1?keywords=Supco+SFPC+Freeze+Protection+Control&amp;qid=1695173695&amp;sr=8-1</v>
      </c>
      <c r="F1404" t="s">
        <v>3757</v>
      </c>
      <c r="G1404" t="e">
        <f ca="1">_xludf.IMAGE("https://edmondsonsupply.com/cdn/shop/files/sfpc.png?v=1693337866")</f>
        <v>#NAME?</v>
      </c>
      <c r="H1404" t="e">
        <f ca="1">_xludf.IMAGE("https://m.media-amazon.com/images/I/61Q-j1cvxiL._AC_UY218_.jpg")</f>
        <v>#NAME?</v>
      </c>
      <c r="I1404" t="s">
        <v>3758</v>
      </c>
      <c r="J1404">
        <v>23.93</v>
      </c>
      <c r="K1404" s="4">
        <v>0.24440000000000001</v>
      </c>
      <c r="L1404">
        <v>4.5</v>
      </c>
      <c r="M1404">
        <v>38</v>
      </c>
      <c r="O1404" t="s">
        <v>25</v>
      </c>
      <c r="P1404" t="s">
        <v>138</v>
      </c>
      <c r="Q1404" t="s">
        <v>3759</v>
      </c>
    </row>
    <row r="1405" spans="1:17" ht="15.5" x14ac:dyDescent="0.35">
      <c r="A1405" s="3" t="str">
        <f>HYPERLINK("https://edmondsonsupply.com/collections/hvac/products/rectorseal-97085-safe-t-switch-ss1", "https://edmondsonsupply.com/collections/hvac/products/rectorseal-97085-safe-t-switch-ss1")</f>
        <v>https://edmondsonsupply.com/collections/hvac/products/rectorseal-97085-safe-t-switch-ss1</v>
      </c>
      <c r="B1405" s="3" t="str">
        <f>HYPERLINK("https://edmondsonsupply.com/products/rectorseal-97085-safe-t-switch-ss1", "https://edmondsonsupply.com/products/rectorseal-97085-safe-t-switch-ss1")</f>
        <v>https://edmondsonsupply.com/products/rectorseal-97085-safe-t-switch-ss1</v>
      </c>
      <c r="C1405" t="s">
        <v>2966</v>
      </c>
      <c r="D1405" t="s">
        <v>3760</v>
      </c>
      <c r="E1405" s="3" t="str">
        <f>HYPERLINK("https://www.amazon.com/Rectorseal-97632-Safe-T-Switch-Ss1/dp/B007CZCRXY/ref=sr_1_3?keywords=RectorSeal+97085+Safe-T-Switch+SS1&amp;qid=1695173727&amp;sr=8-3", "https://www.amazon.com/Rectorseal-97632-Safe-T-Switch-Ss1/dp/B007CZCRXY/ref=sr_1_3?keywords=RectorSeal+97085+Safe-T-Switch+SS1&amp;qid=1695173727&amp;sr=8-3")</f>
        <v>https://www.amazon.com/Rectorseal-97632-Safe-T-Switch-Ss1/dp/B007CZCRXY/ref=sr_1_3?keywords=RectorSeal+97085+Safe-T-Switch+SS1&amp;qid=1695173727&amp;sr=8-3</v>
      </c>
      <c r="F1405" t="s">
        <v>3761</v>
      </c>
      <c r="G1405" t="e">
        <f ca="1">_xludf.IMAGE("https://edmondsonsupply.com/cdn/shop/files/97085-ss1-ratchet-safe-t-switch-img.webp?v=1690985732")</f>
        <v>#NAME?</v>
      </c>
      <c r="H1405" t="e">
        <f ca="1">_xludf.IMAGE("https://m.media-amazon.com/images/I/513gqjJS2bL._AC_UY218_.jpg")</f>
        <v>#NAME?</v>
      </c>
      <c r="I1405" t="s">
        <v>2967</v>
      </c>
      <c r="J1405">
        <v>32.99</v>
      </c>
      <c r="K1405" s="4">
        <v>0.24349999999999999</v>
      </c>
      <c r="L1405">
        <v>4.8</v>
      </c>
      <c r="M1405">
        <v>761</v>
      </c>
      <c r="O1405" t="s">
        <v>25</v>
      </c>
      <c r="P1405" t="s">
        <v>2968</v>
      </c>
      <c r="Q1405" t="s">
        <v>2969</v>
      </c>
    </row>
    <row r="1406" spans="1:17" ht="15.5" x14ac:dyDescent="0.35">
      <c r="A1406" s="3" t="str">
        <f>HYPERLINK("https://edmondsonsupply.com/collections/hvac/products/fieldpiece-anc9-scale-case", "https://edmondsonsupply.com/collections/hvac/products/fieldpiece-anc9-scale-case")</f>
        <v>https://edmondsonsupply.com/collections/hvac/products/fieldpiece-anc9-scale-case</v>
      </c>
      <c r="B1406" s="3" t="str">
        <f>HYPERLINK("https://edmondsonsupply.com/products/fieldpiece-anc9-scale-case", "https://edmondsonsupply.com/products/fieldpiece-anc9-scale-case")</f>
        <v>https://edmondsonsupply.com/products/fieldpiece-anc9-scale-case</v>
      </c>
      <c r="C1406" t="s">
        <v>462</v>
      </c>
      <c r="D1406" t="s">
        <v>463</v>
      </c>
      <c r="E1406" s="3" t="str">
        <f>HYPERLINK("https://www.amazon.com/Fieldpiece-ANC9-Scale-Case/dp/B003U86VQG/ref=sr_1_1?keywords=Fieldpiece+ANC9+-+Padded+Scale+Case&amp;qid=1695173555&amp;sr=8-1", "https://www.amazon.com/Fieldpiece-ANC9-Scale-Case/dp/B003U86VQG/ref=sr_1_1?keywords=Fieldpiece+ANC9+-+Padded+Scale+Case&amp;qid=1695173555&amp;sr=8-1")</f>
        <v>https://www.amazon.com/Fieldpiece-ANC9-Scale-Case/dp/B003U86VQG/ref=sr_1_1?keywords=Fieldpiece+ANC9+-+Padded+Scale+Case&amp;qid=1695173555&amp;sr=8-1</v>
      </c>
      <c r="F1406" t="s">
        <v>464</v>
      </c>
      <c r="G1406" t="e">
        <f ca="1">_xludf.IMAGE("https://edmondsonsupply.com/cdn/shop/products/ANC9.png?v=1587149904")</f>
        <v>#NAME?</v>
      </c>
      <c r="H1406" t="e">
        <f ca="1">_xludf.IMAGE("https://m.media-amazon.com/images/I/21sYP-pDbhL._AC_UY218_.jpg")</f>
        <v>#NAME?</v>
      </c>
      <c r="I1406" t="s">
        <v>465</v>
      </c>
      <c r="J1406">
        <v>30.65</v>
      </c>
      <c r="K1406" s="4">
        <v>0.24340000000000001</v>
      </c>
      <c r="L1406">
        <v>4.9000000000000004</v>
      </c>
      <c r="M1406">
        <v>66</v>
      </c>
      <c r="O1406" t="s">
        <v>25</v>
      </c>
      <c r="P1406" t="s">
        <v>466</v>
      </c>
      <c r="Q1406" t="s">
        <v>467</v>
      </c>
    </row>
    <row r="1407" spans="1:17" ht="15.5" x14ac:dyDescent="0.35">
      <c r="A1407" s="3" t="str">
        <f>HYPERLINK("https://edmondsonsupply.com/collections/hvac/products/klein-tools-mm400-digital-multimeter-auto-ranging-600v", "https://edmondsonsupply.com/collections/hvac/products/klein-tools-mm400-digital-multimeter-auto-ranging-600v")</f>
        <v>https://edmondsonsupply.com/collections/hvac/products/klein-tools-mm400-digital-multimeter-auto-ranging-600v</v>
      </c>
      <c r="B1407" s="3" t="str">
        <f>HYPERLINK("https://edmondsonsupply.com/products/klein-tools-mm400-digital-multimeter-auto-ranging-600v", "https://edmondsonsupply.com/products/klein-tools-mm400-digital-multimeter-auto-ranging-600v")</f>
        <v>https://edmondsonsupply.com/products/klein-tools-mm400-digital-multimeter-auto-ranging-600v</v>
      </c>
      <c r="C1407" t="s">
        <v>3356</v>
      </c>
      <c r="D1407" t="s">
        <v>3762</v>
      </c>
      <c r="E1407" s="3" t="str">
        <f>HYPERLINK("https://www.amazon.com/Klein-Tools-Multimeter-Receptacle-Electrical/dp/B09Y7XWBDN/ref=sr_1_3?keywords=Klein+Tools+MM400+Digital+Multimeter%2C+Auto-Ranging%2C+600V&amp;qid=1695173526&amp;sr=8-3", "https://www.amazon.com/Klein-Tools-Multimeter-Receptacle-Electrical/dp/B09Y7XWBDN/ref=sr_1_3?keywords=Klein+Tools+MM400+Digital+Multimeter%2C+Auto-Ranging%2C+600V&amp;qid=1695173526&amp;sr=8-3")</f>
        <v>https://www.amazon.com/Klein-Tools-Multimeter-Receptacle-Electrical/dp/B09Y7XWBDN/ref=sr_1_3?keywords=Klein+Tools+MM400+Digital+Multimeter%2C+Auto-Ranging%2C+600V&amp;qid=1695173526&amp;sr=8-3</v>
      </c>
      <c r="F1407" t="s">
        <v>3763</v>
      </c>
      <c r="G1407" t="e">
        <f ca="1">_xludf.IMAGE("https://edmondsonsupply.com/cdn/shop/products/mm400_alt1.jpg?v=1633030778")</f>
        <v>#NAME?</v>
      </c>
      <c r="H1407" t="e">
        <f ca="1">_xludf.IMAGE("https://m.media-amazon.com/images/I/513dpkrUdRL._AC_UL320_.jpg")</f>
        <v>#NAME?</v>
      </c>
      <c r="I1407" t="s">
        <v>3359</v>
      </c>
      <c r="J1407">
        <v>68.33</v>
      </c>
      <c r="K1407" s="4">
        <v>0.24299999999999999</v>
      </c>
      <c r="L1407">
        <v>3.7</v>
      </c>
      <c r="M1407">
        <v>3</v>
      </c>
      <c r="O1407" t="s">
        <v>25</v>
      </c>
      <c r="P1407" t="s">
        <v>3360</v>
      </c>
      <c r="Q1407" t="s">
        <v>3361</v>
      </c>
    </row>
    <row r="1408" spans="1:17" ht="15.5" x14ac:dyDescent="0.35">
      <c r="A1408" s="3" t="str">
        <f>HYPERLINK("https://edmondsonsupply.com/collections/hvac/products/packard-titan-pro-trcd5-run-capacitor-40-5-mfd-370-volt-round", "https://edmondsonsupply.com/collections/hvac/products/packard-titan-pro-trcd5-run-capacitor-40-5-mfd-370-volt-round")</f>
        <v>https://edmondsonsupply.com/collections/hvac/products/packard-titan-pro-trcd5-run-capacitor-40-5-mfd-370-volt-round</v>
      </c>
      <c r="B1408" s="3" t="str">
        <f>HYPERLINK("https://edmondsonsupply.com/products/packard-titan-pro-trcd5-run-capacitor-40-5-mfd-370-volt-round", "https://edmondsonsupply.com/products/packard-titan-pro-trcd5-run-capacitor-40-5-mfd-370-volt-round")</f>
        <v>https://edmondsonsupply.com/products/packard-titan-pro-trcd5-run-capacitor-40-5-mfd-370-volt-round</v>
      </c>
      <c r="C1408" t="s">
        <v>2090</v>
      </c>
      <c r="D1408" t="s">
        <v>3308</v>
      </c>
      <c r="E1408" s="3" t="str">
        <f>HYPERLINK("https://www.amazon.com/PACKARD-TRCD455-Capacitor-Replaces-PRCD455/dp/B00K3M3NQ8/ref=sr_1_4?keywords=Packard+Titan+PRO+TRCD405+Run+Capacitor+40%2B5+MFD+370+Volt+Round&amp;qid=1695173641&amp;sr=8-4", "https://www.amazon.com/PACKARD-TRCD455-Capacitor-Replaces-PRCD455/dp/B00K3M3NQ8/ref=sr_1_4?keywords=Packard+Titan+PRO+TRCD405+Run+Capacitor+40%2B5+MFD+370+Volt+Round&amp;qid=1695173641&amp;sr=8-4")</f>
        <v>https://www.amazon.com/PACKARD-TRCD455-Capacitor-Replaces-PRCD455/dp/B00K3M3NQ8/ref=sr_1_4?keywords=Packard+Titan+PRO+TRCD405+Run+Capacitor+40%2B5+MFD+370+Volt+Round&amp;qid=1695173641&amp;sr=8-4</v>
      </c>
      <c r="F1408" t="s">
        <v>3309</v>
      </c>
      <c r="G1408" t="e">
        <f ca="1">_xludf.IMAGE("https://edmondsonsupply.com/cdn/shop/products/TRCD405-2.jpg?v=1633030397")</f>
        <v>#NAME?</v>
      </c>
      <c r="H1408" t="e">
        <f ca="1">_xludf.IMAGE("https://m.media-amazon.com/images/I/4118O3-fIGL._AC_UY218_.jpg")</f>
        <v>#NAME?</v>
      </c>
      <c r="I1408" t="s">
        <v>2091</v>
      </c>
      <c r="J1408">
        <v>11.23</v>
      </c>
      <c r="K1408" s="4">
        <v>0.24229999999999999</v>
      </c>
      <c r="L1408">
        <v>4.4000000000000004</v>
      </c>
      <c r="M1408">
        <v>140</v>
      </c>
      <c r="O1408" t="s">
        <v>25</v>
      </c>
      <c r="P1408" t="s">
        <v>138</v>
      </c>
      <c r="Q1408" t="s">
        <v>2092</v>
      </c>
    </row>
    <row r="1409" spans="1:17" ht="15.5" x14ac:dyDescent="0.35">
      <c r="A1409" s="3" t="str">
        <f>HYPERLINK("https://edmondsonsupply.com/collections/hvac/products/kroil-ks132-original-penetrant-aerosol-13oz-can", "https://edmondsonsupply.com/collections/hvac/products/kroil-ks132-original-penetrant-aerosol-13oz-can")</f>
        <v>https://edmondsonsupply.com/collections/hvac/products/kroil-ks132-original-penetrant-aerosol-13oz-can</v>
      </c>
      <c r="B1409" s="3" t="str">
        <f>HYPERLINK("https://edmondsonsupply.com/products/kroil-ks132-original-penetrant-aerosol-13oz-can", "https://edmondsonsupply.com/products/kroil-ks132-original-penetrant-aerosol-13oz-can")</f>
        <v>https://edmondsonsupply.com/products/kroil-ks132-original-penetrant-aerosol-13oz-can</v>
      </c>
      <c r="C1409" t="s">
        <v>1395</v>
      </c>
      <c r="D1409" t="s">
        <v>3764</v>
      </c>
      <c r="E1409" s="3" t="str">
        <f>HYPERLINK("https://www.amazon.com/Penetrating-Spray-10oz-Can-Single-Penetrant-KS102/dp/B00GM6NQLG/ref=sr_1_10?keywords=Kroil+KS132+Original+Penetrant+Aerosol+13oz+can&amp;qid=1695173755&amp;sr=8-10", "https://www.amazon.com/Penetrating-Spray-10oz-Can-Single-Penetrant-KS102/dp/B00GM6NQLG/ref=sr_1_10?keywords=Kroil+KS132+Original+Penetrant+Aerosol+13oz+can&amp;qid=1695173755&amp;sr=8-10")</f>
        <v>https://www.amazon.com/Penetrating-Spray-10oz-Can-Single-Penetrant-KS102/dp/B00GM6NQLG/ref=sr_1_10?keywords=Kroil+KS132+Original+Penetrant+Aerosol+13oz+can&amp;qid=1695173755&amp;sr=8-10</v>
      </c>
      <c r="F1409" t="s">
        <v>3765</v>
      </c>
      <c r="G1409" t="e">
        <f ca="1">_xludf.IMAGE("https://edmondsonsupply.com/cdn/shop/files/ks132.webp?v=1686779771")</f>
        <v>#NAME?</v>
      </c>
      <c r="H1409" t="e">
        <f ca="1">_xludf.IMAGE("https://m.media-amazon.com/images/I/515tEg7cFcL._AC_UY218_.jpg")</f>
        <v>#NAME?</v>
      </c>
      <c r="I1409" t="s">
        <v>1398</v>
      </c>
      <c r="J1409">
        <v>29.5</v>
      </c>
      <c r="K1409" s="4">
        <v>0.24</v>
      </c>
      <c r="L1409">
        <v>4.9000000000000004</v>
      </c>
      <c r="M1409">
        <v>47</v>
      </c>
      <c r="O1409" t="s">
        <v>25</v>
      </c>
      <c r="P1409" t="s">
        <v>1399</v>
      </c>
      <c r="Q1409" t="s">
        <v>1400</v>
      </c>
    </row>
    <row r="1410" spans="1:17" ht="15.5" x14ac:dyDescent="0.35">
      <c r="A1410" s="3" t="str">
        <f>HYPERLINK("https://edmondsonsupply.com/collections/hvac/products/fluke-376", "https://edmondsonsupply.com/collections/hvac/products/fluke-376")</f>
        <v>https://edmondsonsupply.com/collections/hvac/products/fluke-376</v>
      </c>
      <c r="B1410" s="3" t="str">
        <f>HYPERLINK("https://edmondsonsupply.com/products/fluke-376", "https://edmondsonsupply.com/products/fluke-376")</f>
        <v>https://edmondsonsupply.com/products/fluke-376</v>
      </c>
      <c r="C1410" t="s">
        <v>3766</v>
      </c>
      <c r="D1410" t="s">
        <v>3767</v>
      </c>
      <c r="E1410" s="3" t="str">
        <f>HYPERLINK("https://www.amazon.com/Fluke-376-FC-NIST-Traceable-Calibration-Certificate/dp/B01CFXIMOU/ref=sr_1_1?keywords=Fluke+376+FC+Wireless+True-RMS+AC%2FDC+Clamp+Meter+with+iFlex&amp;qid=1695173543&amp;sr=8-1", "https://www.amazon.com/Fluke-376-FC-NIST-Traceable-Calibration-Certificate/dp/B01CFXIMOU/ref=sr_1_1?keywords=Fluke+376+FC+Wireless+True-RMS+AC%2FDC+Clamp+Meter+with+iFlex&amp;qid=1695173543&amp;sr=8-1")</f>
        <v>https://www.amazon.com/Fluke-376-FC-NIST-Traceable-Calibration-Certificate/dp/B01CFXIMOU/ref=sr_1_1?keywords=Fluke+376+FC+Wireless+True-RMS+AC%2FDC+Clamp+Meter+with+iFlex&amp;qid=1695173543&amp;sr=8-1</v>
      </c>
      <c r="F1410" t="s">
        <v>3768</v>
      </c>
      <c r="G1410" t="e">
        <f ca="1">_xludf.IMAGE("https://edmondsonsupply.com/cdn/shop/products/f-376fc-16a-1500x1000.jpg?v=1633030274")</f>
        <v>#NAME?</v>
      </c>
      <c r="H1410" t="e">
        <f ca="1">_xludf.IMAGE("https://m.media-amazon.com/images/I/81SZ2OCx2VL._AC_UY218_.jpg")</f>
        <v>#NAME?</v>
      </c>
      <c r="I1410" t="s">
        <v>3769</v>
      </c>
      <c r="J1410">
        <v>659.99</v>
      </c>
      <c r="K1410" s="4">
        <v>0.23669999999999999</v>
      </c>
      <c r="L1410">
        <v>4.5999999999999996</v>
      </c>
      <c r="M1410">
        <v>21</v>
      </c>
      <c r="O1410" t="s">
        <v>25</v>
      </c>
      <c r="P1410" t="s">
        <v>3770</v>
      </c>
      <c r="Q1410" t="s">
        <v>3771</v>
      </c>
    </row>
    <row r="1411" spans="1:17" ht="15.5" x14ac:dyDescent="0.35">
      <c r="A1411" s="3" t="str">
        <f>HYPERLINK("https://edmondsonsupply.com/collections/hvac/products/kroil-original-penetrant-8oz-can", "https://edmondsonsupply.com/collections/hvac/products/kroil-original-penetrant-8oz-can")</f>
        <v>https://edmondsonsupply.com/collections/hvac/products/kroil-original-penetrant-8oz-can</v>
      </c>
      <c r="B1411" s="3" t="str">
        <f>HYPERLINK("https://edmondsonsupply.com/products/kroil-original-penetrant-8oz-can", "https://edmondsonsupply.com/products/kroil-original-penetrant-8oz-can")</f>
        <v>https://edmondsonsupply.com/products/kroil-original-penetrant-8oz-can</v>
      </c>
      <c r="C1411" t="s">
        <v>1512</v>
      </c>
      <c r="D1411" t="s">
        <v>3772</v>
      </c>
      <c r="E1411" s="3" t="str">
        <f>HYPERLINK("https://www.amazon.com/Penetrating-Can-Single-Penetrant-Corrosion-Inhibitor/dp/B000F09CF4/ref=sr_1_1?keywords=Kroil+KL081+Original+Penetrant+8oz+can&amp;qid=1695173765&amp;sr=8-1", "https://www.amazon.com/Penetrating-Can-Single-Penetrant-Corrosion-Inhibitor/dp/B000F09CF4/ref=sr_1_1?keywords=Kroil+KL081+Original+Penetrant+8oz+can&amp;qid=1695173765&amp;sr=8-1")</f>
        <v>https://www.amazon.com/Penetrating-Can-Single-Penetrant-Corrosion-Inhibitor/dp/B000F09CF4/ref=sr_1_1?keywords=Kroil+KL081+Original+Penetrant+8oz+can&amp;qid=1695173765&amp;sr=8-1</v>
      </c>
      <c r="F1411" t="s">
        <v>3773</v>
      </c>
      <c r="G1411" t="e">
        <f ca="1">_xludf.IMAGE("https://edmondsonsupply.com/cdn/shop/files/KL081.webp?v=1686775465")</f>
        <v>#NAME?</v>
      </c>
      <c r="H1411" t="e">
        <f ca="1">_xludf.IMAGE("https://m.media-amazon.com/images/I/51RVRqjAqkL._AC_UY218_.jpg")</f>
        <v>#NAME?</v>
      </c>
      <c r="I1411" t="s">
        <v>1515</v>
      </c>
      <c r="J1411">
        <v>19.88</v>
      </c>
      <c r="K1411" s="4">
        <v>0.2356</v>
      </c>
      <c r="L1411">
        <v>4.8</v>
      </c>
      <c r="M1411">
        <v>5589</v>
      </c>
      <c r="O1411" t="s">
        <v>25</v>
      </c>
      <c r="P1411" t="s">
        <v>1516</v>
      </c>
      <c r="Q1411" t="s">
        <v>1517</v>
      </c>
    </row>
    <row r="1412" spans="1:17" ht="15.5" x14ac:dyDescent="0.35">
      <c r="A1412" s="3" t="str">
        <f>HYPERLINK("https://edmondsonsupply.com/collections/hvac/products/midwest-mwt-x1-12-inch-duct-slitter", "https://edmondsonsupply.com/collections/hvac/products/midwest-mwt-x1-12-inch-duct-slitter")</f>
        <v>https://edmondsonsupply.com/collections/hvac/products/midwest-mwt-x1-12-inch-duct-slitter</v>
      </c>
      <c r="B1412" s="3" t="str">
        <f>HYPERLINK("https://edmondsonsupply.com/products/midwest-mwt-x1-12-inch-duct-slitter", "https://edmondsonsupply.com/products/midwest-mwt-x1-12-inch-duct-slitter")</f>
        <v>https://edmondsonsupply.com/products/midwest-mwt-x1-12-inch-duct-slitter</v>
      </c>
      <c r="C1412" t="s">
        <v>3774</v>
      </c>
      <c r="D1412" t="s">
        <v>3775</v>
      </c>
      <c r="E1412" s="3" t="str">
        <f>HYPERLINK("https://www.amazon.com/MIDWEST-Duct-Slitter-Starter-Grooved/dp/B01CI0BOXG/ref=sr_1_1?keywords=Midwest+MWT-X1+12-Inch+Duct+Slitter&amp;qid=1695173548&amp;sr=8-1", "https://www.amazon.com/MIDWEST-Duct-Slitter-Starter-Grooved/dp/B01CI0BOXG/ref=sr_1_1?keywords=Midwest+MWT-X1+12-Inch+Duct+Slitter&amp;qid=1695173548&amp;sr=8-1")</f>
        <v>https://www.amazon.com/MIDWEST-Duct-Slitter-Starter-Grooved/dp/B01CI0BOXG/ref=sr_1_1?keywords=Midwest+MWT-X1+12-Inch+Duct+Slitter&amp;qid=1695173548&amp;sr=8-1</v>
      </c>
      <c r="F1412" t="s">
        <v>3776</v>
      </c>
      <c r="G1412" t="e">
        <f ca="1">_xludf.IMAGE("https://edmondsonsupply.com/cdn/shop/products/MWT-X11.jpg?v=1633030232")</f>
        <v>#NAME?</v>
      </c>
      <c r="H1412" t="e">
        <f ca="1">_xludf.IMAGE("https://m.media-amazon.com/images/I/61WdxL6QVpL._AC_UL320_.jpg")</f>
        <v>#NAME?</v>
      </c>
      <c r="I1412" t="s">
        <v>866</v>
      </c>
      <c r="J1412">
        <v>20.99</v>
      </c>
      <c r="K1412" s="4">
        <v>0.2354</v>
      </c>
      <c r="L1412">
        <v>3.5</v>
      </c>
      <c r="M1412">
        <v>23</v>
      </c>
      <c r="O1412" t="s">
        <v>25</v>
      </c>
      <c r="P1412" t="s">
        <v>3777</v>
      </c>
      <c r="Q1412" t="s">
        <v>3778</v>
      </c>
    </row>
    <row r="1413" spans="1:17" ht="15.5" x14ac:dyDescent="0.35">
      <c r="A1413" s="3" t="str">
        <f>HYPERLINK("https://edmondsonsupply.com/collections/hvac/products/robertshaw-1820-019-pg9-pilot-generator-replacement-kit", "https://edmondsonsupply.com/collections/hvac/products/robertshaw-1820-019-pg9-pilot-generator-replacement-kit")</f>
        <v>https://edmondsonsupply.com/collections/hvac/products/robertshaw-1820-019-pg9-pilot-generator-replacement-kit</v>
      </c>
      <c r="B1413" s="3" t="str">
        <f>HYPERLINK("https://edmondsonsupply.com/products/robertshaw-1820-019-pg9-pilot-generator-replacement-kit", "https://edmondsonsupply.com/products/robertshaw-1820-019-pg9-pilot-generator-replacement-kit")</f>
        <v>https://edmondsonsupply.com/products/robertshaw-1820-019-pg9-pilot-generator-replacement-kit</v>
      </c>
      <c r="C1413" t="s">
        <v>3779</v>
      </c>
      <c r="D1413" t="s">
        <v>3780</v>
      </c>
      <c r="E1413" s="3" t="str">
        <f>HYPERLINK("https://www.amazon.com/ROBERTSHAW-1820-019-Generator-Replacement-Replaces/dp/B007IB0NZG/ref=sr_1_1?keywords=Robertshaw+1820-019+PG9+Pilot+Generator+Replacement+Kit&amp;qid=1695173366&amp;sr=8-1", "https://www.amazon.com/ROBERTSHAW-1820-019-Generator-Replacement-Replaces/dp/B007IB0NZG/ref=sr_1_1?keywords=Robertshaw+1820-019+PG9+Pilot+Generator+Replacement+Kit&amp;qid=1695173366&amp;sr=8-1")</f>
        <v>https://www.amazon.com/ROBERTSHAW-1820-019-Generator-Replacement-Replaces/dp/B007IB0NZG/ref=sr_1_1?keywords=Robertshaw+1820-019+PG9+Pilot+Generator+Replacement+Kit&amp;qid=1695173366&amp;sr=8-1</v>
      </c>
      <c r="F1413" t="s">
        <v>3781</v>
      </c>
      <c r="G1413" t="e">
        <f ca="1">_xludf.IMAGE("https://edmondsonsupply.com/cdn/shop/products/1820-019.jpg?v=1633030771")</f>
        <v>#NAME?</v>
      </c>
      <c r="H1413" t="e">
        <f ca="1">_xludf.IMAGE("https://m.media-amazon.com/images/I/216lZZiAw7L._AC_UL320_.jpg")</f>
        <v>#NAME?</v>
      </c>
      <c r="I1413" t="s">
        <v>3782</v>
      </c>
      <c r="J1413">
        <v>45.9</v>
      </c>
      <c r="K1413" s="4">
        <v>0.23089999999999999</v>
      </c>
      <c r="L1413">
        <v>4.5999999999999996</v>
      </c>
      <c r="M1413">
        <v>3</v>
      </c>
      <c r="O1413" t="s">
        <v>25</v>
      </c>
      <c r="P1413" t="s">
        <v>3783</v>
      </c>
      <c r="Q1413" t="s">
        <v>3784</v>
      </c>
    </row>
    <row r="1414" spans="1:17" ht="15.5" x14ac:dyDescent="0.35">
      <c r="A1414" s="3" t="str">
        <f>HYPERLINK("https://edmondsonsupply.com/collections/hvac/products/ritchie-yellow-jacket-60652-eight-head-precision-torque-wrench-kit", "https://edmondsonsupply.com/collections/hvac/products/ritchie-yellow-jacket-60652-eight-head-precision-torque-wrench-kit")</f>
        <v>https://edmondsonsupply.com/collections/hvac/products/ritchie-yellow-jacket-60652-eight-head-precision-torque-wrench-kit</v>
      </c>
      <c r="B1414" s="3" t="str">
        <f>HYPERLINK("https://edmondsonsupply.com/products/ritchie-yellow-jacket-60652-eight-head-precision-torque-wrench-kit", "https://edmondsonsupply.com/products/ritchie-yellow-jacket-60652-eight-head-precision-torque-wrench-kit")</f>
        <v>https://edmondsonsupply.com/products/ritchie-yellow-jacket-60652-eight-head-precision-torque-wrench-kit</v>
      </c>
      <c r="C1414" t="s">
        <v>3058</v>
      </c>
      <c r="D1414" t="s">
        <v>3785</v>
      </c>
      <c r="E1414" s="3" t="str">
        <f>HYPERLINK("https://www.amazon.com/YELLOW-JACKET-60652-Torque-Wrench/dp/B00IA2J4E8/ref=sr_1_1?keywords=Yellow+Jacket+60652+Eight+Head+Precision+Torque+Wrench+Kit&amp;qid=1695173432&amp;sr=8-1", "https://www.amazon.com/YELLOW-JACKET-60652-Torque-Wrench/dp/B00IA2J4E8/ref=sr_1_1?keywords=Yellow+Jacket+60652+Eight+Head+Precision+Torque+Wrench+Kit&amp;qid=1695173432&amp;sr=8-1")</f>
        <v>https://www.amazon.com/YELLOW-JACKET-60652-Torque-Wrench/dp/B00IA2J4E8/ref=sr_1_1?keywords=Yellow+Jacket+60652+Eight+Head+Precision+Torque+Wrench+Kit&amp;qid=1695173432&amp;sr=8-1</v>
      </c>
      <c r="F1414" t="s">
        <v>3786</v>
      </c>
      <c r="G1414" t="e">
        <f ca="1">_xludf.IMAGE("https://edmondsonsupply.com/cdn/shop/products/precision-torque-wrench.jpg?v=1640296268")</f>
        <v>#NAME?</v>
      </c>
      <c r="H1414" t="e">
        <f ca="1">_xludf.IMAGE("https://m.media-amazon.com/images/I/61Z6Hhk3g5L._AC_UL320_.jpg")</f>
        <v>#NAME?</v>
      </c>
      <c r="I1414" t="s">
        <v>3061</v>
      </c>
      <c r="J1414">
        <v>239.95</v>
      </c>
      <c r="K1414" s="4">
        <v>0.22969999999999999</v>
      </c>
      <c r="L1414">
        <v>4.4000000000000004</v>
      </c>
      <c r="M1414">
        <v>204</v>
      </c>
      <c r="O1414" t="s">
        <v>171</v>
      </c>
      <c r="P1414" t="s">
        <v>138</v>
      </c>
      <c r="Q1414" t="s">
        <v>3062</v>
      </c>
    </row>
    <row r="1415" spans="1:17" ht="15.5" x14ac:dyDescent="0.35">
      <c r="A1415" s="3" t="str">
        <f>HYPERLINK("https://edmondsonsupply.com/collections/hvac/products/reed-mfg-deb3-deburring-tool", "https://edmondsonsupply.com/collections/hvac/products/reed-mfg-deb3-deburring-tool")</f>
        <v>https://edmondsonsupply.com/collections/hvac/products/reed-mfg-deb3-deburring-tool</v>
      </c>
      <c r="B1415" s="3" t="str">
        <f>HYPERLINK("https://edmondsonsupply.com/products/reed-mfg-deb3-deburring-tool", "https://edmondsonsupply.com/products/reed-mfg-deb3-deburring-tool")</f>
        <v>https://edmondsonsupply.com/products/reed-mfg-deb3-deburring-tool</v>
      </c>
      <c r="C1415" t="s">
        <v>3787</v>
      </c>
      <c r="D1415" t="s">
        <v>3788</v>
      </c>
      <c r="E1415" s="3" t="str">
        <f>HYPERLINK("https://www.amazon.com/Reed-DEB3B-Deburring-Replacement-Blades/dp/B005CCLEEM/ref=sr_1_6?keywords=Reed+Mfg+DEB3+Deburring+Tool&amp;qid=1695173349&amp;sr=8-6", "https://www.amazon.com/Reed-DEB3B-Deburring-Replacement-Blades/dp/B005CCLEEM/ref=sr_1_6?keywords=Reed+Mfg+DEB3+Deburring+Tool&amp;qid=1695173349&amp;sr=8-6")</f>
        <v>https://www.amazon.com/Reed-DEB3B-Deburring-Replacement-Blades/dp/B005CCLEEM/ref=sr_1_6?keywords=Reed+Mfg+DEB3+Deburring+Tool&amp;qid=1695173349&amp;sr=8-6</v>
      </c>
      <c r="F1415" t="s">
        <v>3789</v>
      </c>
      <c r="G1415" t="e">
        <f ca="1">_xludf.IMAGE("https://edmondsonsupply.com/cdn/shop/products/DEB3-HighRes.jpg?v=1633030907")</f>
        <v>#NAME?</v>
      </c>
      <c r="H1415" t="e">
        <f ca="1">_xludf.IMAGE("https://m.media-amazon.com/images/I/716okKlRBeL._AC_UY218_.jpg")</f>
        <v>#NAME?</v>
      </c>
      <c r="I1415" t="s">
        <v>3790</v>
      </c>
      <c r="J1415">
        <v>17.989999999999998</v>
      </c>
      <c r="K1415" s="4">
        <v>0.22800000000000001</v>
      </c>
      <c r="L1415">
        <v>4.9000000000000004</v>
      </c>
      <c r="M1415">
        <v>21</v>
      </c>
      <c r="O1415" t="s">
        <v>25</v>
      </c>
      <c r="P1415" t="s">
        <v>3791</v>
      </c>
      <c r="Q1415" t="s">
        <v>3792</v>
      </c>
    </row>
    <row r="1416" spans="1:17" ht="15.5" x14ac:dyDescent="0.35">
      <c r="A1416" s="3" t="str">
        <f>HYPERLINK("https://edmondsonsupply.com/collections/hvac/products/esp-el10", "https://edmondsonsupply.com/collections/hvac/products/esp-el10")</f>
        <v>https://edmondsonsupply.com/collections/hvac/products/esp-el10</v>
      </c>
      <c r="B1416" s="3" t="str">
        <f>HYPERLINK("https://edmondsonsupply.com/products/esp-el10", "https://edmondsonsupply.com/products/esp-el10")</f>
        <v>https://edmondsonsupply.com/products/esp-el10</v>
      </c>
      <c r="C1416" t="s">
        <v>3793</v>
      </c>
      <c r="D1416" t="s">
        <v>3794</v>
      </c>
      <c r="E1416" s="3" t="str">
        <f>HYPERLINK("https://www.amazon.com/Easy-Leveler-EL10-Adjustable-Furnace/dp/B00FJCS2DG/ref=sr_1_1?keywords=ESP+EL10+Easy+Leveler+Adjustable+Furnace+Legs&amp;qid=1695173671&amp;sr=8-1", "https://www.amazon.com/Easy-Leveler-EL10-Adjustable-Furnace/dp/B00FJCS2DG/ref=sr_1_1?keywords=ESP+EL10+Easy+Leveler+Adjustable+Furnace+Legs&amp;qid=1695173671&amp;sr=8-1")</f>
        <v>https://www.amazon.com/Easy-Leveler-EL10-Adjustable-Furnace/dp/B00FJCS2DG/ref=sr_1_1?keywords=ESP+EL10+Easy+Leveler+Adjustable+Furnace+Legs&amp;qid=1695173671&amp;sr=8-1</v>
      </c>
      <c r="F1416" t="s">
        <v>3795</v>
      </c>
      <c r="G1416" t="e">
        <f ca="1">_xludf.IMAGE("https://edmondsonsupply.com/cdn/shop/products/el10_lg_1.jpg?v=1587147043")</f>
        <v>#NAME?</v>
      </c>
      <c r="H1416" t="e">
        <f ca="1">_xludf.IMAGE("https://m.media-amazon.com/images/I/71n9h7RaHqL._AC_UL320_.jpg")</f>
        <v>#NAME?</v>
      </c>
      <c r="I1416" t="s">
        <v>2101</v>
      </c>
      <c r="J1416">
        <v>22.7</v>
      </c>
      <c r="K1416" s="4">
        <v>0.22770000000000001</v>
      </c>
      <c r="L1416">
        <v>5</v>
      </c>
      <c r="M1416">
        <v>3</v>
      </c>
      <c r="O1416" t="s">
        <v>25</v>
      </c>
      <c r="P1416" t="s">
        <v>138</v>
      </c>
      <c r="Q1416" t="s">
        <v>3796</v>
      </c>
    </row>
    <row r="1417" spans="1:17" ht="15.5" x14ac:dyDescent="0.35">
      <c r="A1417" s="3" t="str">
        <f>HYPERLINK("https://edmondsonsupply.com/collections/hvac/products/diablo-tools-dag1130-1-in-x-7-1-2-in-auger-bit", "https://edmondsonsupply.com/collections/hvac/products/diablo-tools-dag1130-1-in-x-7-1-2-in-auger-bit")</f>
        <v>https://edmondsonsupply.com/collections/hvac/products/diablo-tools-dag1130-1-in-x-7-1-2-in-auger-bit</v>
      </c>
      <c r="B1417" s="3" t="str">
        <f>HYPERLINK("https://edmondsonsupply.com/products/diablo-tools-dag1130-1-in-x-7-1-2-in-auger-bit", "https://edmondsonsupply.com/products/diablo-tools-dag1130-1-in-x-7-1-2-in-auger-bit")</f>
        <v>https://edmondsonsupply.com/products/diablo-tools-dag1130-1-in-x-7-1-2-in-auger-bit</v>
      </c>
      <c r="C1417" t="s">
        <v>3530</v>
      </c>
      <c r="D1417" t="s">
        <v>3797</v>
      </c>
      <c r="E1417" s="3" t="str">
        <f>HYPERLINK("https://www.amazon.com/Diablo-Freud-DAG1150-1-1-Auger/dp/B089LGR2GW/ref=sr_1_6?keywords=Diablo+Tools+DAG1130+1+in.+x+7-1%2F2+in.+Auger+Bit&amp;qid=1695173621&amp;sr=8-6", "https://www.amazon.com/Diablo-Freud-DAG1150-1-1-Auger/dp/B089LGR2GW/ref=sr_1_6?keywords=Diablo+Tools+DAG1130+1+in.+x+7-1%2F2+in.+Auger+Bit&amp;qid=1695173621&amp;sr=8-6")</f>
        <v>https://www.amazon.com/Diablo-Freud-DAG1150-1-1-Auger/dp/B089LGR2GW/ref=sr_1_6?keywords=Diablo+Tools+DAG1130+1+in.+x+7-1%2F2+in.+Auger+Bit&amp;qid=1695173621&amp;sr=8-6</v>
      </c>
      <c r="F1417" t="s">
        <v>3798</v>
      </c>
      <c r="G1417" t="e">
        <f ca="1">_xludf.IMAGE("https://edmondsonsupply.com/cdn/shop/products/DAG1130_Main-Image20200712.png?v=1633031124")</f>
        <v>#NAME?</v>
      </c>
      <c r="H1417" t="e">
        <f ca="1">_xludf.IMAGE("https://m.media-amazon.com/images/I/71M61xRfPtL._AC_UL320_.jpg")</f>
        <v>#NAME?</v>
      </c>
      <c r="I1417" t="s">
        <v>3533</v>
      </c>
      <c r="J1417">
        <v>20</v>
      </c>
      <c r="K1417" s="4">
        <v>0.22170000000000001</v>
      </c>
      <c r="L1417">
        <v>4.5999999999999996</v>
      </c>
      <c r="M1417">
        <v>28</v>
      </c>
      <c r="O1417" t="s">
        <v>25</v>
      </c>
      <c r="P1417" t="s">
        <v>3534</v>
      </c>
      <c r="Q1417" t="s">
        <v>3535</v>
      </c>
    </row>
    <row r="1418" spans="1:17" ht="15.5" x14ac:dyDescent="0.35">
      <c r="A1418" s="3" t="str">
        <f>HYPERLINK("https://edmondsonsupply.com/collections/hvac/products/diversitech-dp-1-nitrogen-purge-tool", "https://edmondsonsupply.com/collections/hvac/products/diversitech-dp-1-nitrogen-purge-tool")</f>
        <v>https://edmondsonsupply.com/collections/hvac/products/diversitech-dp-1-nitrogen-purge-tool</v>
      </c>
      <c r="B1418" s="3" t="str">
        <f>HYPERLINK("https://edmondsonsupply.com/products/diversitech-dp-1-nitrogen-purge-tool", "https://edmondsonsupply.com/products/diversitech-dp-1-nitrogen-purge-tool")</f>
        <v>https://edmondsonsupply.com/products/diversitech-dp-1-nitrogen-purge-tool</v>
      </c>
      <c r="C1418" t="s">
        <v>3799</v>
      </c>
      <c r="D1418" t="s">
        <v>3800</v>
      </c>
      <c r="E1418" s="3" t="str">
        <f>HYPERLINK("https://www.amazon.com/Diversitech-DP-1-Nitrogen-Purge-Tool/dp/B01H3DRH7A/ref=sr_1_1?keywords=DiversiTech+DP-1+Nitrogen+Purge+Tool&amp;qid=1695173345&amp;sr=8-1", "https://www.amazon.com/Diversitech-DP-1-Nitrogen-Purge-Tool/dp/B01H3DRH7A/ref=sr_1_1?keywords=DiversiTech+DP-1+Nitrogen+Purge+Tool&amp;qid=1695173345&amp;sr=8-1")</f>
        <v>https://www.amazon.com/Diversitech-DP-1-Nitrogen-Purge-Tool/dp/B01H3DRH7A/ref=sr_1_1?keywords=DiversiTech+DP-1+Nitrogen+Purge+Tool&amp;qid=1695173345&amp;sr=8-1</v>
      </c>
      <c r="F1418" t="s">
        <v>3801</v>
      </c>
      <c r="G1418" t="e">
        <f ca="1">_xludf.IMAGE("https://edmondsonsupply.com/cdn/shop/products/DP-1.jpg?v=1633030773")</f>
        <v>#NAME?</v>
      </c>
      <c r="H1418" t="e">
        <f ca="1">_xludf.IMAGE("https://m.media-amazon.com/images/I/51CdVEqDq+L._AC_UL320_.jpg")</f>
        <v>#NAME?</v>
      </c>
      <c r="I1418" t="s">
        <v>3802</v>
      </c>
      <c r="J1418">
        <v>74.41</v>
      </c>
      <c r="K1418" s="4">
        <v>0.22159999999999999</v>
      </c>
      <c r="L1418">
        <v>4.5</v>
      </c>
      <c r="M1418">
        <v>299</v>
      </c>
      <c r="O1418" t="s">
        <v>25</v>
      </c>
      <c r="P1418" t="s">
        <v>138</v>
      </c>
      <c r="Q1418" t="s">
        <v>3803</v>
      </c>
    </row>
    <row r="1419" spans="1:17" ht="15.5" x14ac:dyDescent="0.35">
      <c r="A1419" s="3" t="str">
        <f>HYPERLINK("https://edmondsonsupply.com/collections/hvac/products/cps-pro-set-tlvcs", "https://edmondsonsupply.com/collections/hvac/products/cps-pro-set-tlvcs")</f>
        <v>https://edmondsonsupply.com/collections/hvac/products/cps-pro-set-tlvcs</v>
      </c>
      <c r="B1419" s="3" t="str">
        <f>HYPERLINK("https://edmondsonsupply.com/products/cps-pro-set-tlvcs", "https://edmondsonsupply.com/products/cps-pro-set-tlvcs")</f>
        <v>https://edmondsonsupply.com/products/cps-pro-set-tlvcs</v>
      </c>
      <c r="C1419" t="s">
        <v>3804</v>
      </c>
      <c r="D1419" t="s">
        <v>3805</v>
      </c>
      <c r="E1419" s="3" t="str">
        <f>HYPERLINK("https://www.amazon.com/CPS-TLVCS410-5-Valve-Remover-Installer/dp/B009M9V3ME/ref=sr_1_4?keywords=CPS+Products+Pro-Set%C2%AE+TLVCS+1%2F4%22+SAE+Valve+Core+Remover+%2F+Installer+Tool+w%2F+Side+Port&amp;qid=1695173653&amp;sr=8-4", "https://www.amazon.com/CPS-TLVCS410-5-Valve-Remover-Installer/dp/B009M9V3ME/ref=sr_1_4?keywords=CPS+Products+Pro-Set%C2%AE+TLVCS+1%2F4%22+SAE+Valve+Core+Remover+%2F+Installer+Tool+w%2F+Side+Port&amp;qid=1695173653&amp;sr=8-4")</f>
        <v>https://www.amazon.com/CPS-TLVCS410-5-Valve-Remover-Installer/dp/B009M9V3ME/ref=sr_1_4?keywords=CPS+Products+Pro-Set%C2%AE+TLVCS+1%2F4%22+SAE+Valve+Core+Remover+%2F+Installer+Tool+w%2F+Side+Port&amp;qid=1695173653&amp;sr=8-4</v>
      </c>
      <c r="F1419" t="s">
        <v>3806</v>
      </c>
      <c r="G1419" t="e">
        <f ca="1">_xludf.IMAGE("https://edmondsonsupply.com/cdn/shop/products/TLVCS.jpg?v=1587148860")</f>
        <v>#NAME?</v>
      </c>
      <c r="H1419" t="e">
        <f ca="1">_xludf.IMAGE("https://m.media-amazon.com/images/I/41y2um0SkPL._AC_UL320_.jpg")</f>
        <v>#NAME?</v>
      </c>
      <c r="I1419" t="s">
        <v>3807</v>
      </c>
      <c r="J1419">
        <v>45.11</v>
      </c>
      <c r="K1419" s="4">
        <v>0.2215</v>
      </c>
      <c r="L1419">
        <v>5</v>
      </c>
      <c r="M1419">
        <v>2</v>
      </c>
      <c r="O1419" t="s">
        <v>25</v>
      </c>
      <c r="P1419" t="s">
        <v>3807</v>
      </c>
      <c r="Q1419" t="s">
        <v>3808</v>
      </c>
    </row>
    <row r="1420" spans="1:17" ht="15.5" x14ac:dyDescent="0.35">
      <c r="A1420"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420" s="3" t="str">
        <f>HYPERLINK("https://edmondsonsupply.com/products/klein-tools-s8m-1-4-inch-magnetic-nut-driver-3-inch-shank", "https://edmondsonsupply.com/products/klein-tools-s8m-1-4-inch-magnetic-nut-driver-3-inch-shank")</f>
        <v>https://edmondsonsupply.com/products/klein-tools-s8m-1-4-inch-magnetic-nut-driver-3-inch-shank</v>
      </c>
      <c r="C1420" t="s">
        <v>3809</v>
      </c>
      <c r="D1420" t="s">
        <v>3810</v>
      </c>
      <c r="E1420" s="3" t="str">
        <f>HYPERLINK("https://www.amazon.com/Magnetic-Klein-Tools-630-3-8M/dp/B000MKH4OS/ref=sr_1_5?keywords=Klein+Tools+S8M+1%2F4-Inch+Magnetic+Nut+Driver+3-Inch+Shank&amp;qid=1695173652&amp;sr=8-5", "https://www.amazon.com/Magnetic-Klein-Tools-630-3-8M/dp/B000MKH4OS/ref=sr_1_5?keywords=Klein+Tools+S8M+1%2F4-Inch+Magnetic+Nut+Driver+3-Inch+Shank&amp;qid=1695173652&amp;sr=8-5")</f>
        <v>https://www.amazon.com/Magnetic-Klein-Tools-630-3-8M/dp/B000MKH4OS/ref=sr_1_5?keywords=Klein+Tools+S8M+1%2F4-Inch+Magnetic+Nut+Driver+3-Inch+Shank&amp;qid=1695173652&amp;sr=8-5</v>
      </c>
      <c r="F1420" t="s">
        <v>3811</v>
      </c>
      <c r="G1420" t="e">
        <f ca="1">_xludf.IMAGE("https://edmondsonsupply.com/cdn/shop/products/s8m.jpg?v=1633030818")</f>
        <v>#NAME?</v>
      </c>
      <c r="H1420" t="e">
        <f ca="1">_xludf.IMAGE("https://m.media-amazon.com/images/I/51TxY7IaTtL._AC_UL320_.jpg")</f>
        <v>#NAME?</v>
      </c>
      <c r="I1420" t="s">
        <v>924</v>
      </c>
      <c r="J1420">
        <v>10.97</v>
      </c>
      <c r="K1420" s="4">
        <v>0.22020000000000001</v>
      </c>
      <c r="L1420">
        <v>4.7</v>
      </c>
      <c r="M1420">
        <v>1574</v>
      </c>
      <c r="O1420" t="s">
        <v>25</v>
      </c>
      <c r="P1420" t="s">
        <v>3812</v>
      </c>
      <c r="Q1420" t="s">
        <v>3813</v>
      </c>
    </row>
    <row r="1421" spans="1:17" ht="15.5" x14ac:dyDescent="0.35">
      <c r="A1421"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1421"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1421" t="s">
        <v>3118</v>
      </c>
      <c r="D1421" t="s">
        <v>3814</v>
      </c>
      <c r="E1421" s="3" t="str">
        <f>HYPERLINK("https://www.amazon.com/Journeyman-T-Handle-Klein-Tools-JTH6E17/dp/B004N604GC/ref=sr_1_4?keywords=Klein+Tools+JTH4E17+1%2F2-Inch+Hex+Key%2C+Journeyman+T-Handle%2C+4-Inch&amp;qid=1695173633&amp;sr=8-4", "https://www.amazon.com/Journeyman-T-Handle-Klein-Tools-JTH6E17/dp/B004N604GC/ref=sr_1_4?keywords=Klein+Tools+JTH4E17+1%2F2-Inch+Hex+Key%2C+Journeyman+T-Handle%2C+4-Inch&amp;qid=1695173633&amp;sr=8-4")</f>
        <v>https://www.amazon.com/Journeyman-T-Handle-Klein-Tools-JTH6E17/dp/B004N604GC/ref=sr_1_4?keywords=Klein+Tools+JTH4E17+1%2F2-Inch+Hex+Key%2C+Journeyman+T-Handle%2C+4-Inch&amp;qid=1695173633&amp;sr=8-4</v>
      </c>
      <c r="F1421" t="s">
        <v>3815</v>
      </c>
      <c r="G1421" t="e">
        <f ca="1">_xludf.IMAGE("https://edmondsonsupply.com/cdn/shop/products/jth4e17_583549be-7b42-43c7-9c3d-a92f2416ede5.jpg?v=1610655610")</f>
        <v>#NAME?</v>
      </c>
      <c r="H1421" t="e">
        <f ca="1">_xludf.IMAGE("https://m.media-amazon.com/images/I/41bgisgIOrL._AC_UL320_.jpg")</f>
        <v>#NAME?</v>
      </c>
      <c r="I1421" t="s">
        <v>252</v>
      </c>
      <c r="J1421">
        <v>19.5</v>
      </c>
      <c r="K1421" s="4">
        <v>0.2195</v>
      </c>
      <c r="L1421">
        <v>4.8</v>
      </c>
      <c r="M1421">
        <v>772</v>
      </c>
      <c r="O1421" t="s">
        <v>25</v>
      </c>
      <c r="P1421" t="s">
        <v>3121</v>
      </c>
      <c r="Q1421" t="s">
        <v>3122</v>
      </c>
    </row>
    <row r="1422" spans="1:17" ht="15.5" x14ac:dyDescent="0.35">
      <c r="A1422" s="3" t="str">
        <f>HYPERLINK("https://edmondsonsupply.com/collections/hvac/products/testo-0590-7551-755-1-current-voltage-meter-with-200-a-ac-600-v-ac-dc-and-continuity", "https://edmondsonsupply.com/collections/hvac/products/testo-0590-7551-755-1-current-voltage-meter-with-200-a-ac-600-v-ac-dc-and-continuity")</f>
        <v>https://edmondsonsupply.com/collections/hvac/products/testo-0590-7551-755-1-current-voltage-meter-with-200-a-ac-600-v-ac-dc-and-continuity</v>
      </c>
      <c r="B1422" s="3" t="str">
        <f>HYPERLINK("https://edmondsonsupply.com/products/testo-0590-7551-755-1-current-voltage-meter-with-200-a-ac-600-v-ac-dc-and-continuity", "https://edmondsonsupply.com/products/testo-0590-7551-755-1-current-voltage-meter-with-200-a-ac-600-v-ac-dc-and-continuity")</f>
        <v>https://edmondsonsupply.com/products/testo-0590-7551-755-1-current-voltage-meter-with-200-a-ac-600-v-ac-dc-and-continuity</v>
      </c>
      <c r="C1422" t="s">
        <v>3816</v>
      </c>
      <c r="D1422" t="s">
        <v>3817</v>
      </c>
      <c r="E1422" s="3" t="str">
        <f>HYPERLINK("https://www.amazon.com/Testo-755-2-Current-Continuity-Rotation/dp/B01F3MPHQG/ref=sr_1_2?keywords=Testo+0590+7551+755-1+-+Current+%2F+Voltage+Meter+with+200+A+AC%2C+600+V+AC%2FDC%2C+and+Continuity&amp;qid=1695173741&amp;sr=8-2", "https://www.amazon.com/Testo-755-2-Current-Continuity-Rotation/dp/B01F3MPHQG/ref=sr_1_2?keywords=Testo+0590+7551+755-1+-+Current+%2F+Voltage+Meter+with+200+A+AC%2C+600+V+AC%2FDC%2C+and+Continuity&amp;qid=1695173741&amp;sr=8-2")</f>
        <v>https://www.amazon.com/Testo-755-2-Current-Continuity-Rotation/dp/B01F3MPHQG/ref=sr_1_2?keywords=Testo+0590+7551+755-1+-+Current+%2F+Voltage+Meter+with+200+A+AC%2C+600+V+AC%2FDC%2C+and+Continuity&amp;qid=1695173741&amp;sr=8-2</v>
      </c>
      <c r="F1422" t="s">
        <v>3818</v>
      </c>
      <c r="G1422" t="e">
        <f ca="1">_xludf.IMAGE("https://edmondsonsupply.com/cdn/shop/files/testo-755-1_front_prl.jpg?v=1688226764")</f>
        <v>#NAME?</v>
      </c>
      <c r="H1422" t="e">
        <f ca="1">_xludf.IMAGE("https://m.media-amazon.com/images/I/617sSpgpYbL._AC_UY218_.jpg")</f>
        <v>#NAME?</v>
      </c>
      <c r="I1422" t="s">
        <v>1902</v>
      </c>
      <c r="J1422">
        <v>216.53</v>
      </c>
      <c r="K1422" s="4">
        <v>0.21890000000000001</v>
      </c>
      <c r="L1422">
        <v>4.2</v>
      </c>
      <c r="M1422">
        <v>7</v>
      </c>
      <c r="O1422" t="s">
        <v>25</v>
      </c>
      <c r="P1422" t="s">
        <v>697</v>
      </c>
      <c r="Q1422" t="s">
        <v>3819</v>
      </c>
    </row>
    <row r="1423" spans="1:17" ht="15.5" x14ac:dyDescent="0.35">
      <c r="A1423" s="3" t="str">
        <f>HYPERLINK("https://edmondsonsupply.com/collections/hvac/products/klein-tools-55600-tradesman-pro%E2%84%A2-tough-box-17-quart-cooler", "https://edmondsonsupply.com/collections/hvac/products/klein-tools-55600-tradesman-pro%E2%84%A2-tough-box-17-quart-cooler")</f>
        <v>https://edmondsonsupply.com/collections/hvac/products/klein-tools-55600-tradesman-pro%E2%84%A2-tough-box-17-quart-cooler</v>
      </c>
      <c r="B1423"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1423" t="s">
        <v>3583</v>
      </c>
      <c r="D1423" t="s">
        <v>3820</v>
      </c>
      <c r="E1423" s="3" t="str">
        <f>HYPERLINK("https://www.amazon.com/Klein-Tools-17-Quart-Stand-Up-Ballistic/dp/B09Y843VXJ/ref=sr_1_4?keywords=Klein+Tools+55600+Tradesman+Pro%E2%84%A2+Tough+Box+Cooler%2C+17-Quart&amp;qid=1695173675&amp;sr=8-4", "https://www.amazon.com/Klein-Tools-17-Quart-Stand-Up-Ballistic/dp/B09Y843VXJ/ref=sr_1_4?keywords=Klein+Tools+55600+Tradesman+Pro%E2%84%A2+Tough+Box+Cooler%2C+17-Quart&amp;qid=1695173675&amp;sr=8-4")</f>
        <v>https://www.amazon.com/Klein-Tools-17-Quart-Stand-Up-Ballistic/dp/B09Y843VXJ/ref=sr_1_4?keywords=Klein+Tools+55600+Tradesman+Pro%E2%84%A2+Tough+Box+Cooler%2C+17-Quart&amp;qid=1695173675&amp;sr=8-4</v>
      </c>
      <c r="F1423" t="s">
        <v>3821</v>
      </c>
      <c r="G1423" t="e">
        <f ca="1">_xludf.IMAGE("https://edmondsonsupply.com/cdn/shop/products/55600.jpg?v=1587145287")</f>
        <v>#NAME?</v>
      </c>
      <c r="H1423" t="e">
        <f ca="1">_xludf.IMAGE("https://m.media-amazon.com/images/I/518mY-OPxzL._AC_UL320_.jpg")</f>
        <v>#NAME?</v>
      </c>
      <c r="I1423" t="s">
        <v>305</v>
      </c>
      <c r="J1423">
        <v>78.989999999999995</v>
      </c>
      <c r="K1423" s="4">
        <v>0.21579999999999999</v>
      </c>
      <c r="L1423">
        <v>5</v>
      </c>
      <c r="M1423">
        <v>1</v>
      </c>
      <c r="O1423" t="s">
        <v>25</v>
      </c>
      <c r="P1423" t="s">
        <v>3586</v>
      </c>
      <c r="Q1423" t="s">
        <v>3587</v>
      </c>
    </row>
    <row r="1424" spans="1:17" ht="15.5" x14ac:dyDescent="0.35">
      <c r="A1424" s="3" t="str">
        <f>HYPERLINK("https://edmondsonsupply.com/collections/hvac/products/uei-pdt655-differential-folding-pocket-thermometer-w-large-easy-to-read-display", "https://edmondsonsupply.com/collections/hvac/products/uei-pdt655-differential-folding-pocket-thermometer-w-large-easy-to-read-display")</f>
        <v>https://edmondsonsupply.com/collections/hvac/products/uei-pdt655-differential-folding-pocket-thermometer-w-large-easy-to-read-display</v>
      </c>
      <c r="B1424" s="3" t="str">
        <f>HYPERLINK("https://edmondsonsupply.com/products/uei-pdt655-differential-folding-pocket-thermometer-w-large-easy-to-read-display", "https://edmondsonsupply.com/products/uei-pdt655-differential-folding-pocket-thermometer-w-large-easy-to-read-display")</f>
        <v>https://edmondsonsupply.com/products/uei-pdt655-differential-folding-pocket-thermometer-w-large-easy-to-read-display</v>
      </c>
      <c r="C1424" t="s">
        <v>3822</v>
      </c>
      <c r="D1424" t="s">
        <v>2942</v>
      </c>
      <c r="E1424" s="3" t="str">
        <f>HYPERLINK("https://www.amazon.com/UEi-PDT655-Folding-Pocket-Thermometer/dp/B0938HPW8R/ref=sr_1_1?keywords=UEi+PDT655+Differential+Folding+Pocket+Thermometer+w%2F+Large+Easy-to-Read+Display&amp;qid=1695173412&amp;sr=8-1", "https://www.amazon.com/UEi-PDT655-Folding-Pocket-Thermometer/dp/B0938HPW8R/ref=sr_1_1?keywords=UEi+PDT655+Differential+Folding+Pocket+Thermometer+w%2F+Large+Easy-to-Read+Display&amp;qid=1695173412&amp;sr=8-1")</f>
        <v>https://www.amazon.com/UEi-PDT655-Folding-Pocket-Thermometer/dp/B0938HPW8R/ref=sr_1_1?keywords=UEi+PDT655+Differential+Folding+Pocket+Thermometer+w%2F+Large+Easy-to-Read+Display&amp;qid=1695173412&amp;sr=8-1</v>
      </c>
      <c r="F1424" t="s">
        <v>2943</v>
      </c>
      <c r="G1424" t="e">
        <f ca="1">_xludf.IMAGE("https://edmondsonsupply.com/cdn/shop/products/PDT655-1.png?v=1633031102")</f>
        <v>#NAME?</v>
      </c>
      <c r="H1424" t="e">
        <f ca="1">_xludf.IMAGE("https://m.media-amazon.com/images/I/41g8A4ZvhTS._AC_UY218_.jpg")</f>
        <v>#NAME?</v>
      </c>
      <c r="I1424" t="s">
        <v>3823</v>
      </c>
      <c r="J1424">
        <v>31.95</v>
      </c>
      <c r="K1424" s="4">
        <v>0.21440000000000001</v>
      </c>
      <c r="L1424">
        <v>4.5999999999999996</v>
      </c>
      <c r="M1424">
        <v>53</v>
      </c>
      <c r="O1424" t="s">
        <v>25</v>
      </c>
      <c r="P1424" t="s">
        <v>3824</v>
      </c>
      <c r="Q1424" t="s">
        <v>3825</v>
      </c>
    </row>
    <row r="1425" spans="1:17" ht="15.5" x14ac:dyDescent="0.35">
      <c r="A1425" s="3" t="str">
        <f>HYPERLINK("https://edmondsonsupply.com/collections/hvac/products/tajima-lc-500-heavy-duty-ergonomic-utility-knife-auto-blade-lock-3-x-endura-blade", "https://edmondsonsupply.com/collections/hvac/products/tajima-lc-500-heavy-duty-ergonomic-utility-knife-auto-blade-lock-3-x-endura-blade")</f>
        <v>https://edmondsonsupply.com/collections/hvac/products/tajima-lc-500-heavy-duty-ergonomic-utility-knife-auto-blade-lock-3-x-endura-blade</v>
      </c>
      <c r="B1425" s="3" t="str">
        <f>HYPERLINK("https://edmondsonsupply.com/products/tajima-lc-500-heavy-duty-ergonomic-utility-knife-auto-blade-lock-3-x-endura-blade", "https://edmondsonsupply.com/products/tajima-lc-500-heavy-duty-ergonomic-utility-knife-auto-blade-lock-3-x-endura-blade")</f>
        <v>https://edmondsonsupply.com/products/tajima-lc-500-heavy-duty-ergonomic-utility-knife-auto-blade-lock-3-x-endura-blade</v>
      </c>
      <c r="C1425" t="s">
        <v>3826</v>
      </c>
      <c r="D1425" t="s">
        <v>3827</v>
      </c>
      <c r="E1425" s="3" t="str">
        <f>HYPERLINK("https://www.amazon.com/TAJIMA-Utility-Knives-Blades-Endura-Blades/dp/B003O684GO/ref=sr_1_2?keywords=Tajima+LC-500+Heavy+Duty+Ergonomic+Utility+Knife%2C+Auto+Blade+Lock%2C+3+x+Endura-Blade&amp;qid=1695173514&amp;sr=8-2", "https://www.amazon.com/TAJIMA-Utility-Knives-Blades-Endura-Blades/dp/B003O684GO/ref=sr_1_2?keywords=Tajima+LC-500+Heavy+Duty+Ergonomic+Utility+Knife%2C+Auto+Blade+Lock%2C+3+x+Endura-Blade&amp;qid=1695173514&amp;sr=8-2")</f>
        <v>https://www.amazon.com/TAJIMA-Utility-Knives-Blades-Endura-Blades/dp/B003O684GO/ref=sr_1_2?keywords=Tajima+LC-500+Heavy+Duty+Ergonomic+Utility+Knife%2C+Auto+Blade+Lock%2C+3+x+Endura-Blade&amp;qid=1695173514&amp;sr=8-2</v>
      </c>
      <c r="F1425" t="s">
        <v>3828</v>
      </c>
      <c r="G1425" t="e">
        <f ca="1">_xludf.IMAGE("https://edmondsonsupply.com/cdn/shop/products/LC-500_s.jpg?v=1633031159")</f>
        <v>#NAME?</v>
      </c>
      <c r="H1425" t="e">
        <f ca="1">_xludf.IMAGE("https://m.media-amazon.com/images/I/61+jGAA-25L._AC_UL320_.jpg")</f>
        <v>#NAME?</v>
      </c>
      <c r="I1425" t="s">
        <v>2219</v>
      </c>
      <c r="J1425">
        <v>10.43</v>
      </c>
      <c r="K1425" s="4">
        <v>0.2142</v>
      </c>
      <c r="L1425">
        <v>4.8</v>
      </c>
      <c r="M1425">
        <v>25</v>
      </c>
      <c r="O1425" t="s">
        <v>25</v>
      </c>
      <c r="P1425" t="s">
        <v>138</v>
      </c>
      <c r="Q1425" t="s">
        <v>3829</v>
      </c>
    </row>
    <row r="1426" spans="1:17" ht="15.5" x14ac:dyDescent="0.35">
      <c r="A1426" s="3" t="str">
        <f>HYPERLINK("https://edmondsonsupply.com/collections/hvac/products/icm-controls-icm271-fan-blower-control-board-replacement-for-carrier", "https://edmondsonsupply.com/collections/hvac/products/icm-controls-icm271-fan-blower-control-board-replacement-for-carrier")</f>
        <v>https://edmondsonsupply.com/collections/hvac/products/icm-controls-icm271-fan-blower-control-board-replacement-for-carrier</v>
      </c>
      <c r="B1426" s="3" t="str">
        <f>HYPERLINK("https://edmondsonsupply.com/products/icm-controls-icm271-fan-blower-control-board-replacement-for-carrier", "https://edmondsonsupply.com/products/icm-controls-icm271-fan-blower-control-board-replacement-for-carrier")</f>
        <v>https://edmondsonsupply.com/products/icm-controls-icm271-fan-blower-control-board-replacement-for-carrier</v>
      </c>
      <c r="C1426" t="s">
        <v>3830</v>
      </c>
      <c r="D1426" t="s">
        <v>3831</v>
      </c>
      <c r="E1426" s="3" t="str">
        <f>HYPERLINK("https://www.amazon.com/ICM-Controls-ICM271-Replacement-HH84AA020/dp/B000TMK310/ref=sr_1_1?keywords=ICM+Controls+ICM271+Fan+Blower+Control+Board%2C+Replacement+for+Carrier&amp;qid=1695173467&amp;sr=8-1", "https://www.amazon.com/ICM-Controls-ICM271-Replacement-HH84AA020/dp/B000TMK310/ref=sr_1_1?keywords=ICM+Controls+ICM271+Fan+Blower+Control+Board%2C+Replacement+for+Carrier&amp;qid=1695173467&amp;sr=8-1")</f>
        <v>https://www.amazon.com/ICM-Controls-ICM271-Replacement-HH84AA020/dp/B000TMK310/ref=sr_1_1?keywords=ICM+Controls+ICM271+Fan+Blower+Control+Board%2C+Replacement+for+Carrier&amp;qid=1695173467&amp;sr=8-1</v>
      </c>
      <c r="F1426" t="s">
        <v>3832</v>
      </c>
      <c r="G1426" t="e">
        <f ca="1">_xludf.IMAGE("https://edmondsonsupply.com/cdn/shop/products/icm271.jpg?v=1633285273")</f>
        <v>#NAME?</v>
      </c>
      <c r="H1426" t="e">
        <f ca="1">_xludf.IMAGE("https://m.media-amazon.com/images/I/612YOajKtML._AC_UL320_.jpg")</f>
        <v>#NAME?</v>
      </c>
      <c r="I1426" t="s">
        <v>3833</v>
      </c>
      <c r="J1426">
        <v>82.5</v>
      </c>
      <c r="K1426" s="4">
        <v>0.21340000000000001</v>
      </c>
      <c r="L1426">
        <v>4.7</v>
      </c>
      <c r="M1426">
        <v>325</v>
      </c>
      <c r="O1426" t="s">
        <v>25</v>
      </c>
      <c r="P1426" t="s">
        <v>3834</v>
      </c>
      <c r="Q1426" t="s">
        <v>3835</v>
      </c>
    </row>
    <row r="1427" spans="1:17" ht="15.5" x14ac:dyDescent="0.35">
      <c r="A1427" s="3" t="str">
        <f>HYPERLINK("https://edmondsonsupply.com/collections/hvac/products/packard-titan-pro-trcd5-run-capacitor-40-5-mfd-370-volt-round", "https://edmondsonsupply.com/collections/hvac/products/packard-titan-pro-trcd5-run-capacitor-40-5-mfd-370-volt-round")</f>
        <v>https://edmondsonsupply.com/collections/hvac/products/packard-titan-pro-trcd5-run-capacitor-40-5-mfd-370-volt-round</v>
      </c>
      <c r="B1427" s="3" t="str">
        <f>HYPERLINK("https://edmondsonsupply.com/products/packard-titan-pro-trcd5-run-capacitor-40-5-mfd-370-volt-round", "https://edmondsonsupply.com/products/packard-titan-pro-trcd5-run-capacitor-40-5-mfd-370-volt-round")</f>
        <v>https://edmondsonsupply.com/products/packard-titan-pro-trcd5-run-capacitor-40-5-mfd-370-volt-round</v>
      </c>
      <c r="C1427" t="s">
        <v>2090</v>
      </c>
      <c r="D1427" t="s">
        <v>2165</v>
      </c>
      <c r="E1427" s="3" t="str">
        <f>HYPERLINK("https://www.amazon.com/Titan-TRCFD405-Rated-Motor-Capacitor/dp/B01HPK5ANO/ref=sr_1_3?keywords=Packard+Titan+PRO+TRCD405+Run+Capacitor+40%2B5+MFD+370+Volt+Round&amp;qid=1695173641&amp;sr=8-3", "https://www.amazon.com/Titan-TRCFD405-Rated-Motor-Capacitor/dp/B01HPK5ANO/ref=sr_1_3?keywords=Packard+Titan+PRO+TRCD405+Run+Capacitor+40%2B5+MFD+370+Volt+Round&amp;qid=1695173641&amp;sr=8-3")</f>
        <v>https://www.amazon.com/Titan-TRCFD405-Rated-Motor-Capacitor/dp/B01HPK5ANO/ref=sr_1_3?keywords=Packard+Titan+PRO+TRCD405+Run+Capacitor+40%2B5+MFD+370+Volt+Round&amp;qid=1695173641&amp;sr=8-3</v>
      </c>
      <c r="F1427" t="s">
        <v>2166</v>
      </c>
      <c r="G1427" t="e">
        <f ca="1">_xludf.IMAGE("https://edmondsonsupply.com/cdn/shop/products/TRCD405-2.jpg?v=1633030397")</f>
        <v>#NAME?</v>
      </c>
      <c r="H1427" t="e">
        <f ca="1">_xludf.IMAGE("https://m.media-amazon.com/images/I/31rIunJqcaL._AC_UY218_.jpg")</f>
        <v>#NAME?</v>
      </c>
      <c r="I1427" t="s">
        <v>2091</v>
      </c>
      <c r="J1427">
        <v>10.96</v>
      </c>
      <c r="K1427" s="4">
        <v>0.21240000000000001</v>
      </c>
      <c r="L1427">
        <v>4.7</v>
      </c>
      <c r="M1427">
        <v>393</v>
      </c>
      <c r="O1427" t="s">
        <v>25</v>
      </c>
      <c r="P1427" t="s">
        <v>138</v>
      </c>
      <c r="Q1427" t="s">
        <v>2092</v>
      </c>
    </row>
    <row r="1428" spans="1:17" ht="15.5" x14ac:dyDescent="0.35">
      <c r="A1428" s="3" t="str">
        <f>HYPERLINK("https://edmondsonsupply.com/collections/hvac/products/pro1-iaq-t721-digital-non-programmable-thermostat-single-stage-2-heat-1-cool-heat-pump-conventional", "https://edmondsonsupply.com/collections/hvac/products/pro1-iaq-t721-digital-non-programmable-thermostat-single-stage-2-heat-1-cool-heat-pump-conventional")</f>
        <v>https://edmondsonsupply.com/collections/hvac/products/pro1-iaq-t721-digital-non-programmable-thermostat-single-stage-2-heat-1-cool-heat-pump-conventional</v>
      </c>
      <c r="B1428" s="3" t="str">
        <f>HYPERLINK("https://edmondsonsupply.com/products/pro1-iaq-t721-digital-non-programmable-thermostat-single-stage-2-heat-1-cool-heat-pump-conventional", "https://edmondsonsupply.com/products/pro1-iaq-t721-digital-non-programmable-thermostat-single-stage-2-heat-1-cool-heat-pump-conventional")</f>
        <v>https://edmondsonsupply.com/products/pro1-iaq-t721-digital-non-programmable-thermostat-single-stage-2-heat-1-cool-heat-pump-conventional</v>
      </c>
      <c r="C1428" t="s">
        <v>3836</v>
      </c>
      <c r="D1428" t="s">
        <v>3837</v>
      </c>
      <c r="E1428" s="3" t="str">
        <f>HYPERLINK("https://www.amazon.com/conditoner-non-programmable-Digital-Thermostat-PRO1/dp/B006103HDU/ref=sr_1_1?keywords=PRO1+IAQ+T721+Digital+Non-Programmable+Thermostat%2C+2+Heat+-+1+Cool%2C+Heat+Pump%2FConventional&amp;qid=1695173739&amp;sr=8-1", "https://www.amazon.com/conditoner-non-programmable-Digital-Thermostat-PRO1/dp/B006103HDU/ref=sr_1_1?keywords=PRO1+IAQ+T721+Digital+Non-Programmable+Thermostat%2C+2+Heat+-+1+Cool%2C+Heat+Pump%2FConventional&amp;qid=1695173739&amp;sr=8-1")</f>
        <v>https://www.amazon.com/conditoner-non-programmable-Digital-Thermostat-PRO1/dp/B006103HDU/ref=sr_1_1?keywords=PRO1+IAQ+T721+Digital+Non-Programmable+Thermostat%2C+2+Heat+-+1+Cool%2C+Heat+Pump%2FConventional&amp;qid=1695173739&amp;sr=8-1</v>
      </c>
      <c r="F1428" t="s">
        <v>3838</v>
      </c>
      <c r="G1428" t="e">
        <f ca="1">_xludf.IMAGE("https://edmondsonsupply.com/cdn/shop/files/pro1-t721-hero.png?v=1689544101")</f>
        <v>#NAME?</v>
      </c>
      <c r="H1428" t="e">
        <f ca="1">_xludf.IMAGE("https://m.media-amazon.com/images/I/41W8VKU3BXL._AC_UL320_.jpg")</f>
        <v>#NAME?</v>
      </c>
      <c r="I1428" t="s">
        <v>3839</v>
      </c>
      <c r="J1428">
        <v>59.95</v>
      </c>
      <c r="K1428" s="4">
        <v>0.21179999999999999</v>
      </c>
      <c r="L1428">
        <v>3.6</v>
      </c>
      <c r="M1428">
        <v>12</v>
      </c>
      <c r="O1428" t="s">
        <v>25</v>
      </c>
      <c r="P1428" t="s">
        <v>3840</v>
      </c>
      <c r="Q1428" t="s">
        <v>3841</v>
      </c>
    </row>
    <row r="1429" spans="1:17" ht="15.5" x14ac:dyDescent="0.35">
      <c r="A1429" s="3" t="str">
        <f>HYPERLINK("https://edmondsonsupply.com/collections/hvac/products/robertshaw-1820-019-pg9-pilot-generator-replacement-kit", "https://edmondsonsupply.com/collections/hvac/products/robertshaw-1820-019-pg9-pilot-generator-replacement-kit")</f>
        <v>https://edmondsonsupply.com/collections/hvac/products/robertshaw-1820-019-pg9-pilot-generator-replacement-kit</v>
      </c>
      <c r="B1429" s="3" t="str">
        <f>HYPERLINK("https://edmondsonsupply.com/products/robertshaw-1820-019-pg9-pilot-generator-replacement-kit", "https://edmondsonsupply.com/products/robertshaw-1820-019-pg9-pilot-generator-replacement-kit")</f>
        <v>https://edmondsonsupply.com/products/robertshaw-1820-019-pg9-pilot-generator-replacement-kit</v>
      </c>
      <c r="C1429" t="s">
        <v>3779</v>
      </c>
      <c r="D1429" t="s">
        <v>3842</v>
      </c>
      <c r="E1429" s="3" t="str">
        <f>HYPERLINK("https://www.amazon.com/Robertshaw-Product-1820-019/dp/B00EZHK9LE/ref=sr_1_2?keywords=Robertshaw+1820-019+PG9+Pilot+Generator+Replacement+Kit&amp;qid=1695173366&amp;sr=8-2", "https://www.amazon.com/Robertshaw-Product-1820-019/dp/B00EZHK9LE/ref=sr_1_2?keywords=Robertshaw+1820-019+PG9+Pilot+Generator+Replacement+Kit&amp;qid=1695173366&amp;sr=8-2")</f>
        <v>https://www.amazon.com/Robertshaw-Product-1820-019/dp/B00EZHK9LE/ref=sr_1_2?keywords=Robertshaw+1820-019+PG9+Pilot+Generator+Replacement+Kit&amp;qid=1695173366&amp;sr=8-2</v>
      </c>
      <c r="F1429" t="s">
        <v>3843</v>
      </c>
      <c r="G1429" t="e">
        <f ca="1">_xludf.IMAGE("https://edmondsonsupply.com/cdn/shop/products/1820-019.jpg?v=1633030771")</f>
        <v>#NAME?</v>
      </c>
      <c r="H1429" t="e">
        <f ca="1">_xludf.IMAGE("https://m.media-amazon.com/images/I/81622tuX76L._AC_UL320_.jpg")</f>
        <v>#NAME?</v>
      </c>
      <c r="I1429" t="s">
        <v>3782</v>
      </c>
      <c r="J1429">
        <v>44.9</v>
      </c>
      <c r="K1429" s="4">
        <v>0.2041</v>
      </c>
      <c r="L1429">
        <v>4</v>
      </c>
      <c r="M1429">
        <v>4</v>
      </c>
      <c r="O1429" t="s">
        <v>25</v>
      </c>
      <c r="P1429" t="s">
        <v>3783</v>
      </c>
      <c r="Q1429" t="s">
        <v>3784</v>
      </c>
    </row>
    <row r="1430" spans="1:17" ht="15.5" x14ac:dyDescent="0.35">
      <c r="A1430" s="3" t="str">
        <f>HYPERLINK("https://edmondsonsupply.com/collections/hvac/products/appion-mh380004aay-megaflow-3-8in-hose-4-ft-1-4fl-to-1-4fl-yellow", "https://edmondsonsupply.com/collections/hvac/products/appion-mh380004aay-megaflow-3-8in-hose-4-ft-1-4fl-to-1-4fl-yellow")</f>
        <v>https://edmondsonsupply.com/collections/hvac/products/appion-mh380004aay-megaflow-3-8in-hose-4-ft-1-4fl-to-1-4fl-yellow</v>
      </c>
      <c r="B1430" s="3" t="str">
        <f>HYPERLINK("https://edmondsonsupply.com/products/appion-mh380004aay-megaflow-3-8in-hose-4-ft-1-4fl-to-1-4fl-yellow", "https://edmondsonsupply.com/products/appion-mh380004aay-megaflow-3-8in-hose-4-ft-1-4fl-to-1-4fl-yellow")</f>
        <v>https://edmondsonsupply.com/products/appion-mh380004aay-megaflow-3-8in-hose-4-ft-1-4fl-to-1-4fl-yellow</v>
      </c>
      <c r="C1430" t="s">
        <v>3435</v>
      </c>
      <c r="D1430" t="s">
        <v>3536</v>
      </c>
      <c r="E1430" s="3" t="str">
        <f>HYPERLINK("https://www.amazon.com/Appion-MH380001BAB-MegaFlow-Filter-Degrees/dp/B08BR98WQB/ref=sr_1_2?keywords=Appion+MH380004AAY+MegaFlow+3%2F8in+Hose+-+4+ft+%281%2F4FL+to+1%2F4FL%29+Yellow&amp;qid=1695173494&amp;sr=8-2", "https://www.amazon.com/Appion-MH380001BAB-MegaFlow-Filter-Degrees/dp/B08BR98WQB/ref=sr_1_2?keywords=Appion+MH380004AAY+MegaFlow+3%2F8in+Hose+-+4+ft+%281%2F4FL+to+1%2F4FL%29+Yellow&amp;qid=1695173494&amp;sr=8-2")</f>
        <v>https://www.amazon.com/Appion-MH380001BAB-MegaFlow-Filter-Degrees/dp/B08BR98WQB/ref=sr_1_2?keywords=Appion+MH380004AAY+MegaFlow+3%2F8in+Hose+-+4+ft+%281%2F4FL+to+1%2F4FL%29+Yellow&amp;qid=1695173494&amp;sr=8-2</v>
      </c>
      <c r="F1430" t="s">
        <v>3537</v>
      </c>
      <c r="G1430" t="e">
        <f ca="1">_xludf.IMAGE("https://edmondsonsupply.com/cdn/shop/products/MH380004AAY_MHH_1080.png?v=1678407092")</f>
        <v>#NAME?</v>
      </c>
      <c r="H1430" t="e">
        <f ca="1">_xludf.IMAGE("https://m.media-amazon.com/images/I/31SeKRPf6nL._AC_UY218_.jpg")</f>
        <v>#NAME?</v>
      </c>
      <c r="I1430" t="s">
        <v>3436</v>
      </c>
      <c r="J1430">
        <v>57.68</v>
      </c>
      <c r="K1430" s="4">
        <v>0.2019</v>
      </c>
      <c r="L1430">
        <v>3.9</v>
      </c>
      <c r="M1430">
        <v>8</v>
      </c>
      <c r="O1430" t="s">
        <v>25</v>
      </c>
      <c r="P1430" t="s">
        <v>905</v>
      </c>
      <c r="Q1430" t="s">
        <v>3437</v>
      </c>
    </row>
    <row r="1431" spans="1:17" ht="15.5" x14ac:dyDescent="0.35">
      <c r="A1431" s="3" t="str">
        <f>HYPERLINK("https://edmondsonsupply.com/collections/hvac/products/packard-c140a-contactor-1-pole-40-amps-24-coil-voltage", "https://edmondsonsupply.com/collections/hvac/products/packard-c140a-contactor-1-pole-40-amps-24-coil-voltage")</f>
        <v>https://edmondsonsupply.com/collections/hvac/products/packard-c140a-contactor-1-pole-40-amps-24-coil-voltage</v>
      </c>
      <c r="B1431" s="3" t="str">
        <f>HYPERLINK("https://edmondsonsupply.com/products/packard-c140a-contactor-1-pole-40-amps-24-coil-voltage", "https://edmondsonsupply.com/products/packard-c140a-contactor-1-pole-40-amps-24-coil-voltage")</f>
        <v>https://edmondsonsupply.com/products/packard-c140a-contactor-1-pole-40-amps-24-coil-voltage</v>
      </c>
      <c r="C1431" t="s">
        <v>2339</v>
      </c>
      <c r="D1431" t="s">
        <v>3844</v>
      </c>
      <c r="E1431" s="3" t="str">
        <f>HYPERLINK("https://www.amazon.com/PC140A-C140A-Contactor-Single-Conditioner/dp/B07H2SVVH3/ref=sr_1_1?keywords=Packard+C140A+Contactor+1+Pole+40+AMPS+24+Coil+Voltage&amp;qid=1695173362&amp;sr=8-1", "https://www.amazon.com/PC140A-C140A-Contactor-Single-Conditioner/dp/B07H2SVVH3/ref=sr_1_1?keywords=Packard+C140A+Contactor+1+Pole+40+AMPS+24+Coil+Voltage&amp;qid=1695173362&amp;sr=8-1")</f>
        <v>https://www.amazon.com/PC140A-C140A-Contactor-Single-Conditioner/dp/B07H2SVVH3/ref=sr_1_1?keywords=Packard+C140A+Contactor+1+Pole+40+AMPS+24+Coil+Voltage&amp;qid=1695173362&amp;sr=8-1</v>
      </c>
      <c r="F1431" t="s">
        <v>3845</v>
      </c>
      <c r="G1431" t="e">
        <f ca="1">_xludf.IMAGE("https://edmondsonsupply.com/cdn/shop/products/C140A-1.jpg?v=1587147314")</f>
        <v>#NAME?</v>
      </c>
      <c r="H1431" t="e">
        <f ca="1">_xludf.IMAGE("https://m.media-amazon.com/images/I/51YcRhjpcNL._AC_UY218_.jpg")</f>
        <v>#NAME?</v>
      </c>
      <c r="I1431" t="s">
        <v>2342</v>
      </c>
      <c r="J1431">
        <v>11.99</v>
      </c>
      <c r="K1431" s="4">
        <v>0.2014</v>
      </c>
      <c r="L1431">
        <v>4.5999999999999996</v>
      </c>
      <c r="M1431">
        <v>224</v>
      </c>
      <c r="O1431" t="s">
        <v>25</v>
      </c>
      <c r="P1431" t="s">
        <v>138</v>
      </c>
      <c r="Q1431" t="s">
        <v>2343</v>
      </c>
    </row>
    <row r="1432" spans="1:17" ht="15.5" x14ac:dyDescent="0.35">
      <c r="A1432" s="3" t="str">
        <f>HYPERLINK("https://edmondsonsupply.com/collections/hvac/products/klein-tools-mm300kit-digital-multimeter-electrical-test-kit", "https://edmondsonsupply.com/collections/hvac/products/klein-tools-mm300kit-digital-multimeter-electrical-test-kit")</f>
        <v>https://edmondsonsupply.com/collections/hvac/products/klein-tools-mm300kit-digital-multimeter-electrical-test-kit</v>
      </c>
      <c r="B1432"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1432" t="s">
        <v>3227</v>
      </c>
      <c r="D1432" t="s">
        <v>3846</v>
      </c>
      <c r="E1432" s="3" t="str">
        <f>HYPERLINK("https://www.amazon.com/Klein-Tools-80130-Multimeter-Non-Contact/dp/B0BVSK581C/ref=sr_1_6?keywords=Klein+Tools+MM320KIT+Digital+Multimeter+Electrical+Test+Kit&amp;qid=1695173460&amp;sr=8-6", "https://www.amazon.com/Klein-Tools-80130-Multimeter-Non-Contact/dp/B0BVSK581C/ref=sr_1_6?keywords=Klein+Tools+MM320KIT+Digital+Multimeter+Electrical+Test+Kit&amp;qid=1695173460&amp;sr=8-6")</f>
        <v>https://www.amazon.com/Klein-Tools-80130-Multimeter-Non-Contact/dp/B0BVSK581C/ref=sr_1_6?keywords=Klein+Tools+MM320KIT+Digital+Multimeter+Electrical+Test+Kit&amp;qid=1695173460&amp;sr=8-6</v>
      </c>
      <c r="F1432" t="s">
        <v>3847</v>
      </c>
      <c r="G1432" t="e">
        <f ca="1">_xludf.IMAGE("https://edmondsonsupply.com/cdn/shop/products/mm320kit_photo.jpg?v=1660756496")</f>
        <v>#NAME?</v>
      </c>
      <c r="H1432" t="e">
        <f ca="1">_xludf.IMAGE("https://m.media-amazon.com/images/I/61U30g-38NL._AC_UL320_.jpg")</f>
        <v>#NAME?</v>
      </c>
      <c r="I1432" t="s">
        <v>380</v>
      </c>
      <c r="J1432">
        <v>59.99</v>
      </c>
      <c r="K1432" s="4">
        <v>0.20050000000000001</v>
      </c>
      <c r="L1432">
        <v>5</v>
      </c>
      <c r="M1432">
        <v>2</v>
      </c>
      <c r="O1432" t="s">
        <v>25</v>
      </c>
      <c r="P1432" t="s">
        <v>3230</v>
      </c>
      <c r="Q1432" t="s">
        <v>3231</v>
      </c>
    </row>
    <row r="1433" spans="1:17" ht="15.5" x14ac:dyDescent="0.35">
      <c r="A1433" s="3" t="str">
        <f>HYPERLINK("https://edmondsonsupply.com/collections/hvac/products/milwaukee-2912-22-m18-fuel%E2%84%A2-1-sds-plus-rotary-hammer-kit", "https://edmondsonsupply.com/collections/hvac/products/milwaukee-2912-22-m18-fuel%E2%84%A2-1-sds-plus-rotary-hammer-kit")</f>
        <v>https://edmondsonsupply.com/collections/hvac/products/milwaukee-2912-22-m18-fuel%E2%84%A2-1-sds-plus-rotary-hammer-kit</v>
      </c>
      <c r="B1433" s="3" t="str">
        <f>HYPERLINK("https://edmondsonsupply.com/products/milwaukee-2912-22-m18-fuel%e2%84%a2-1-sds-plus-rotary-hammer-kit", "https://edmondsonsupply.com/products/milwaukee-2912-22-m18-fuel%e2%84%a2-1-sds-plus-rotary-hammer-kit")</f>
        <v>https://edmondsonsupply.com/products/milwaukee-2912-22-m18-fuel%e2%84%a2-1-sds-plus-rotary-hammer-kit</v>
      </c>
      <c r="C1433" t="s">
        <v>3848</v>
      </c>
      <c r="D1433" t="s">
        <v>3849</v>
      </c>
      <c r="E1433" s="3" t="str">
        <f>HYPERLINK("https://www.amazon.com/Milwaukee-2715-22-Fuel-Rotary-Hammer/dp/B00OTXQUL2/ref=sr_1_3?keywords=Milwaukee+2912-22+M18+FUEL%E2%84%A2+1%22+SDS+Plus+Rotary+Hammer+Kit&amp;qid=1695173755&amp;sr=8-3", "https://www.amazon.com/Milwaukee-2715-22-Fuel-Rotary-Hammer/dp/B00OTXQUL2/ref=sr_1_3?keywords=Milwaukee+2912-22+M18+FUEL%E2%84%A2+1%22+SDS+Plus+Rotary+Hammer+Kit&amp;qid=1695173755&amp;sr=8-3")</f>
        <v>https://www.amazon.com/Milwaukee-2715-22-Fuel-Rotary-Hammer/dp/B00OTXQUL2/ref=sr_1_3?keywords=Milwaukee+2912-22+M18+FUEL%E2%84%A2+1%22+SDS+Plus+Rotary+Hammer+Kit&amp;qid=1695173755&amp;sr=8-3</v>
      </c>
      <c r="F1433" t="s">
        <v>3850</v>
      </c>
      <c r="G1433" t="e">
        <f ca="1">_xludf.IMAGE("https://edmondsonsupply.com/cdn/shop/files/2912-20_1.webp?v=1686934956")</f>
        <v>#NAME?</v>
      </c>
      <c r="H1433" t="e">
        <f ca="1">_xludf.IMAGE("https://m.media-amazon.com/images/I/615tfbdfVfL._AC_UL320_.jpg")</f>
        <v>#NAME?</v>
      </c>
      <c r="I1433" t="s">
        <v>3851</v>
      </c>
      <c r="J1433">
        <v>719</v>
      </c>
      <c r="K1433" s="4">
        <v>0.20030000000000001</v>
      </c>
      <c r="L1433">
        <v>4.2</v>
      </c>
      <c r="M1433">
        <v>21</v>
      </c>
      <c r="O1433" t="s">
        <v>25</v>
      </c>
      <c r="P1433" t="s">
        <v>3852</v>
      </c>
      <c r="Q1433" t="s">
        <v>3853</v>
      </c>
    </row>
    <row r="1434" spans="1:17" ht="15.5" x14ac:dyDescent="0.35">
      <c r="A1434"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434"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434" t="s">
        <v>2155</v>
      </c>
      <c r="D1434" t="s">
        <v>3854</v>
      </c>
      <c r="E1434" s="3" t="str">
        <f>HYPERLINK("https://www.amazon.com/Klein-Tools-80077-Electronic-Non-Contact/dp/B0B11F7Q69/ref=sr_1_8?keywords=Klein+Tools+NCVT1XTKIT+Non-Contact+Voltage+and+GFCI+Receptacle+Premium+Test+Kit&amp;qid=1695173496&amp;sr=8-8", "https://www.amazon.com/Klein-Tools-80077-Electronic-Non-Contact/dp/B0B11F7Q69/ref=sr_1_8?keywords=Klein+Tools+NCVT1XTKIT+Non-Contact+Voltage+and+GFCI+Receptacle+Premium+Test+Kit&amp;qid=1695173496&amp;sr=8-8")</f>
        <v>https://www.amazon.com/Klein-Tools-80077-Electronic-Non-Contact/dp/B0B11F7Q69/ref=sr_1_8?keywords=Klein+Tools+NCVT1XTKIT+Non-Contact+Voltage+and+GFCI+Receptacle+Premium+Test+Kit&amp;qid=1695173496&amp;sr=8-8</v>
      </c>
      <c r="F1434" t="s">
        <v>3855</v>
      </c>
      <c r="G1434" t="e">
        <f ca="1">_xludf.IMAGE("https://edmondsonsupply.com/cdn/shop/products/ncvt1xtkit.jpg?v=1674497102")</f>
        <v>#NAME?</v>
      </c>
      <c r="H1434" t="e">
        <f ca="1">_xludf.IMAGE("https://m.media-amazon.com/images/I/51cU3aEkbCL._AC_UL320_.jpg")</f>
        <v>#NAME?</v>
      </c>
      <c r="I1434" t="s">
        <v>471</v>
      </c>
      <c r="J1434">
        <v>29.99</v>
      </c>
      <c r="K1434" s="4">
        <v>0.2001</v>
      </c>
      <c r="L1434">
        <v>4.5999999999999996</v>
      </c>
      <c r="M1434">
        <v>183</v>
      </c>
      <c r="O1434" t="s">
        <v>25</v>
      </c>
      <c r="P1434" t="s">
        <v>2158</v>
      </c>
      <c r="Q1434" t="s">
        <v>2159</v>
      </c>
    </row>
    <row r="1435" spans="1:17" ht="15.5" x14ac:dyDescent="0.35">
      <c r="A1435" s="3" t="str">
        <f>HYPERLINK("https://edmondsonsupply.com/collections/hvac/products/hilmor-1963826-digital-adjustable-torque-wrench", "https://edmondsonsupply.com/collections/hvac/products/hilmor-1963826-digital-adjustable-torque-wrench")</f>
        <v>https://edmondsonsupply.com/collections/hvac/products/hilmor-1963826-digital-adjustable-torque-wrench</v>
      </c>
      <c r="B1435" s="3" t="str">
        <f>HYPERLINK("https://edmondsonsupply.com/products/hilmor-1963826-digital-adjustable-torque-wrench", "https://edmondsonsupply.com/products/hilmor-1963826-digital-adjustable-torque-wrench")</f>
        <v>https://edmondsonsupply.com/products/hilmor-1963826-digital-adjustable-torque-wrench</v>
      </c>
      <c r="C1435" t="s">
        <v>3856</v>
      </c>
      <c r="D1435" t="s">
        <v>3856</v>
      </c>
      <c r="E1435" s="3" t="str">
        <f>HYPERLINK("https://www.amazon.com/hilmor-Digital-Adjustable-Torque-1963826/dp/B01N5XLDMS/ref=sr_1_1?keywords=Hilmor+1963826+Digital+Adjustable+Torque+Wrench&amp;qid=1695173378&amp;sr=8-1", "https://www.amazon.com/hilmor-Digital-Adjustable-Torque-1963826/dp/B01N5XLDMS/ref=sr_1_1?keywords=Hilmor+1963826+Digital+Adjustable+Torque+Wrench&amp;qid=1695173378&amp;sr=8-1")</f>
        <v>https://www.amazon.com/hilmor-Digital-Adjustable-Torque-1963826/dp/B01N5XLDMS/ref=sr_1_1?keywords=Hilmor+1963826+Digital+Adjustable+Torque+Wrench&amp;qid=1695173378&amp;sr=8-1</v>
      </c>
      <c r="F1435" t="s">
        <v>3857</v>
      </c>
      <c r="G1435" t="e">
        <f ca="1">_xludf.IMAGE("https://edmondsonsupply.com/cdn/shop/products/1963826-hilmor-service-tools-digital-adjustable-torque-wrench-primary-735x480-735x480.jpg?v=1643855265")</f>
        <v>#NAME?</v>
      </c>
      <c r="H1435" t="e">
        <f ca="1">_xludf.IMAGE("https://m.media-amazon.com/images/I/619YFeVr6yL._AC_UL320_.jpg")</f>
        <v>#NAME?</v>
      </c>
      <c r="I1435" t="s">
        <v>3858</v>
      </c>
      <c r="J1435">
        <v>241.19</v>
      </c>
      <c r="K1435" s="4">
        <v>0.19980000000000001</v>
      </c>
      <c r="L1435">
        <v>4.7</v>
      </c>
      <c r="M1435">
        <v>58</v>
      </c>
      <c r="O1435" t="s">
        <v>25</v>
      </c>
      <c r="P1435" t="s">
        <v>3859</v>
      </c>
      <c r="Q1435" t="s">
        <v>3860</v>
      </c>
    </row>
    <row r="1436" spans="1:17" ht="15.5" x14ac:dyDescent="0.35">
      <c r="A1436" s="3" t="str">
        <f>HYPERLINK("https://edmondsonsupply.com/collections/hvac/products/klein-tools-mm720-digital-multimeter-trms-auto-ranging-1000v-temp-low-impedance", "https://edmondsonsupply.com/collections/hvac/products/klein-tools-mm720-digital-multimeter-trms-auto-ranging-1000v-temp-low-impedance")</f>
        <v>https://edmondsonsupply.com/collections/hvac/products/klein-tools-mm720-digital-multimeter-trms-auto-ranging-1000v-temp-low-impedance</v>
      </c>
      <c r="B1436" s="3" t="str">
        <f>HYPERLINK("https://edmondsonsupply.com/products/klein-tools-mm720-digital-multimeter-trms-auto-ranging-1000v-temp-low-impedance", "https://edmondsonsupply.com/products/klein-tools-mm720-digital-multimeter-trms-auto-ranging-1000v-temp-low-impedance")</f>
        <v>https://edmondsonsupply.com/products/klein-tools-mm720-digital-multimeter-trms-auto-ranging-1000v-temp-low-impedance</v>
      </c>
      <c r="C1436" t="s">
        <v>3861</v>
      </c>
      <c r="D1436" t="s">
        <v>1527</v>
      </c>
      <c r="E1436" s="3" t="str">
        <f>HYPERLINK("https://www.amazon.com/Klein-Tools-Auto-Ranging-MOhms-Resistance-Replacement/dp/B0C7QB94HG/ref=sr_1_3?keywords=Klein+Tools+MM720+Digital+Multimeter%2C+TRMS+Auto-Ranging%2C+1000V%2C+Temp%2C+Low+Impedance&amp;qid=1695173500&amp;sr=8-3", "https://www.amazon.com/Klein-Tools-Auto-Ranging-MOhms-Resistance-Replacement/dp/B0C7QB94HG/ref=sr_1_3?keywords=Klein+Tools+MM720+Digital+Multimeter%2C+TRMS+Auto-Ranging%2C+1000V%2C+Temp%2C+Low+Impedance&amp;qid=1695173500&amp;sr=8-3")</f>
        <v>https://www.amazon.com/Klein-Tools-Auto-Ranging-MOhms-Resistance-Replacement/dp/B0C7QB94HG/ref=sr_1_3?keywords=Klein+Tools+MM720+Digital+Multimeter%2C+TRMS+Auto-Ranging%2C+1000V%2C+Temp%2C+Low+Impedance&amp;qid=1695173500&amp;sr=8-3</v>
      </c>
      <c r="F1436" t="s">
        <v>1528</v>
      </c>
      <c r="G1436" t="e">
        <f ca="1">_xludf.IMAGE("https://edmondsonsupply.com/cdn/shop/products/mm720.jpg?v=1663609402")</f>
        <v>#NAME?</v>
      </c>
      <c r="H1436" t="e">
        <f ca="1">_xludf.IMAGE("https://m.media-amazon.com/images/I/51iZGkiWnZL._AC_UL320_.jpg")</f>
        <v>#NAME?</v>
      </c>
      <c r="I1436" t="s">
        <v>545</v>
      </c>
      <c r="J1436">
        <v>119.94</v>
      </c>
      <c r="K1436" s="4">
        <v>0.19980000000000001</v>
      </c>
      <c r="L1436">
        <v>5</v>
      </c>
      <c r="M1436">
        <v>1</v>
      </c>
      <c r="O1436" t="s">
        <v>25</v>
      </c>
      <c r="P1436" t="s">
        <v>3862</v>
      </c>
      <c r="Q1436" t="s">
        <v>3863</v>
      </c>
    </row>
    <row r="1437" spans="1:17" ht="15.5" x14ac:dyDescent="0.35">
      <c r="A1437" s="3" t="str">
        <f>HYPERLINK("https://edmondsonsupply.com/collections/hvac/products/klein-tools-85153k-slotted-screw-holding-driver-kit-3-16-inch-and-1-4-inch", "https://edmondsonsupply.com/collections/hvac/products/klein-tools-85153k-slotted-screw-holding-driver-kit-3-16-inch-and-1-4-inch")</f>
        <v>https://edmondsonsupply.com/collections/hvac/products/klein-tools-85153k-slotted-screw-holding-driver-kit-3-16-inch-and-1-4-inch</v>
      </c>
      <c r="B1437"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1437" t="s">
        <v>3864</v>
      </c>
      <c r="D1437" t="s">
        <v>3865</v>
      </c>
      <c r="E1437" s="3" t="str">
        <f>HYPERLINK("https://www.amazon.com/Klein-Tools-85153K-Screw-Holding-Screwdriver/dp/B0CFRP1K3L/ref=sr_1_1?keywords=Klein+Tools+85153K+Slotted+Screw+Holding+Driver+Kit%2C+3%2F16-Inch+and+1%2F4-Inch&amp;qid=1695173691&amp;sr=8-1", "https://www.amazon.com/Klein-Tools-85153K-Screw-Holding-Screwdriver/dp/B0CFRP1K3L/ref=sr_1_1?keywords=Klein+Tools+85153K+Slotted+Screw+Holding+Driver+Kit%2C+3%2F16-Inch+and+1%2F4-Inch&amp;qid=1695173691&amp;sr=8-1")</f>
        <v>https://www.amazon.com/Klein-Tools-85153K-Screw-Holding-Screwdriver/dp/B0CFRP1K3L/ref=sr_1_1?keywords=Klein+Tools+85153K+Slotted+Screw+Holding+Driver+Kit%2C+3%2F16-Inch+and+1%2F4-Inch&amp;qid=1695173691&amp;sr=8-1</v>
      </c>
      <c r="F1437" t="s">
        <v>3866</v>
      </c>
      <c r="G1437" t="e">
        <f ca="1">_xludf.IMAGE("https://edmondsonsupply.com/cdn/shop/files/85153k.jpg?v=1693933663")</f>
        <v>#NAME?</v>
      </c>
      <c r="H1437" t="e">
        <f ca="1">_xludf.IMAGE("https://m.media-amazon.com/images/I/41KoRmOkBpL._AC_UL320_.jpg")</f>
        <v>#NAME?</v>
      </c>
      <c r="I1437" t="s">
        <v>3867</v>
      </c>
      <c r="J1437">
        <v>23.97</v>
      </c>
      <c r="K1437" s="4">
        <v>0.19969999999999999</v>
      </c>
      <c r="L1437">
        <v>5</v>
      </c>
      <c r="M1437">
        <v>1</v>
      </c>
      <c r="O1437" t="s">
        <v>25</v>
      </c>
      <c r="P1437" t="s">
        <v>3068</v>
      </c>
      <c r="Q1437" t="s">
        <v>3868</v>
      </c>
    </row>
    <row r="1438" spans="1:17" ht="15.5" x14ac:dyDescent="0.35">
      <c r="A1438" s="3" t="str">
        <f>HYPERLINK("https://edmondsonsupply.com/collections/hvac/products/klein-tools-56048-rechargeable-headlamp-with-strap-400-lumen-all-day-runtime-auto-off", "https://edmondsonsupply.com/collections/hvac/products/klein-tools-56048-rechargeable-headlamp-with-strap-400-lumen-all-day-runtime-auto-off")</f>
        <v>https://edmondsonsupply.com/collections/hvac/products/klein-tools-56048-rechargeable-headlamp-with-strap-400-lumen-all-day-runtime-auto-off</v>
      </c>
      <c r="B1438"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1438" t="s">
        <v>1034</v>
      </c>
      <c r="D1438" t="s">
        <v>934</v>
      </c>
      <c r="E1438" s="3" t="str">
        <f>HYPERLINK("https://www.amazon.com/Klein-Tools-Rechargeable-Auto-Off-Headlamp/dp/B09Z932C3Z/ref=sr_1_4?keywords=Klein+Tools+56048+Rechargeable+Headlamp+with+Fabric+Strap%2C+400+Lumens%2C+All-Day+Runtime&amp;qid=1695173659&amp;sr=8-4", "https://www.amazon.com/Klein-Tools-Rechargeable-Auto-Off-Headlamp/dp/B09Z932C3Z/ref=sr_1_4?keywords=Klein+Tools+56048+Rechargeable+Headlamp+with+Fabric+Strap%2C+400+Lumens%2C+All-Day+Runtime&amp;qid=1695173659&amp;sr=8-4")</f>
        <v>https://www.amazon.com/Klein-Tools-Rechargeable-Auto-Off-Headlamp/dp/B09Z932C3Z/ref=sr_1_4?keywords=Klein+Tools+56048+Rechargeable+Headlamp+with+Fabric+Strap%2C+400+Lumens%2C+All-Day+Runtime&amp;qid=1695173659&amp;sr=8-4</v>
      </c>
      <c r="F1438" t="s">
        <v>935</v>
      </c>
      <c r="G1438" t="e">
        <f ca="1">_xludf.IMAGE("https://edmondsonsupply.com/cdn/shop/products/56048.jpg?v=1633030457")</f>
        <v>#NAME?</v>
      </c>
      <c r="H1438" t="e">
        <f ca="1">_xludf.IMAGE("https://m.media-amazon.com/images/I/51-nHtYlwEL._AC_UL320_.jpg")</f>
        <v>#NAME?</v>
      </c>
      <c r="I1438" t="s">
        <v>246</v>
      </c>
      <c r="J1438">
        <v>47.94</v>
      </c>
      <c r="K1438" s="4">
        <v>0.19939999999999999</v>
      </c>
      <c r="L1438">
        <v>5</v>
      </c>
      <c r="M1438">
        <v>1</v>
      </c>
      <c r="O1438" t="s">
        <v>25</v>
      </c>
      <c r="P1438" t="s">
        <v>1032</v>
      </c>
      <c r="Q1438" t="s">
        <v>1035</v>
      </c>
    </row>
    <row r="1439" spans="1:17" ht="15.5" x14ac:dyDescent="0.35">
      <c r="A1439" s="3" t="str">
        <f>HYPERLINK("https://edmondsonsupply.com/collections/hvac/products/klein-tools-ir07-dual-ir-probe-thermometer", "https://edmondsonsupply.com/collections/hvac/products/klein-tools-ir07-dual-ir-probe-thermometer")</f>
        <v>https://edmondsonsupply.com/collections/hvac/products/klein-tools-ir07-dual-ir-probe-thermometer</v>
      </c>
      <c r="B1439" s="3" t="str">
        <f>HYPERLINK("https://edmondsonsupply.com/products/klein-tools-ir07-dual-ir-probe-thermometer", "https://edmondsonsupply.com/products/klein-tools-ir07-dual-ir-probe-thermometer")</f>
        <v>https://edmondsonsupply.com/products/klein-tools-ir07-dual-ir-probe-thermometer</v>
      </c>
      <c r="C1439" t="s">
        <v>2948</v>
      </c>
      <c r="D1439" t="s">
        <v>3869</v>
      </c>
      <c r="E1439" s="3" t="str">
        <f>HYPERLINK("https://www.amazon.com/Klein-Tools-Thermometer-Screwdriver-Adjustable/dp/B0BNL7N5NM/ref=sr_1_3?keywords=Klein+Tools+IR07+Dual+IR%2FProbe+Thermometer&amp;qid=1695173681&amp;sr=8-3", "https://www.amazon.com/Klein-Tools-Thermometer-Screwdriver-Adjustable/dp/B0BNL7N5NM/ref=sr_1_3?keywords=Klein+Tools+IR07+Dual+IR%2FProbe+Thermometer&amp;qid=1695173681&amp;sr=8-3")</f>
        <v>https://www.amazon.com/Klein-Tools-Thermometer-Screwdriver-Adjustable/dp/B0BNL7N5NM/ref=sr_1_3?keywords=Klein+Tools+IR07+Dual+IR%2FProbe+Thermometer&amp;qid=1695173681&amp;sr=8-3</v>
      </c>
      <c r="F1439" t="s">
        <v>3870</v>
      </c>
      <c r="G1439" t="e">
        <f ca="1">_xludf.IMAGE("https://edmondsonsupply.com/cdn/shop/products/ir07.jpg?v=1599003623")</f>
        <v>#NAME?</v>
      </c>
      <c r="H1439" t="e">
        <f ca="1">_xludf.IMAGE("https://m.media-amazon.com/images/I/51TF5FbvFYL._AC_UY218_.jpg")</f>
        <v>#NAME?</v>
      </c>
      <c r="I1439" t="s">
        <v>2951</v>
      </c>
      <c r="J1439">
        <v>68.94</v>
      </c>
      <c r="K1439" s="4">
        <v>0.19919999999999999</v>
      </c>
      <c r="L1439">
        <v>5</v>
      </c>
      <c r="M1439">
        <v>1</v>
      </c>
      <c r="O1439" t="s">
        <v>25</v>
      </c>
      <c r="P1439" t="s">
        <v>2952</v>
      </c>
      <c r="Q1439" t="s">
        <v>2953</v>
      </c>
    </row>
    <row r="1440" spans="1:17" ht="15.5" x14ac:dyDescent="0.35">
      <c r="A1440" s="3" t="str">
        <f>HYPERLINK("https://edmondsonsupply.com/collections/hvac/products/malco-mshc-2-inch-c-rhex-cleanable-reversible-magnetic-hex-driver-1-4-5-16", "https://edmondsonsupply.com/collections/hvac/products/malco-mshc-2-inch-c-rhex-cleanable-reversible-magnetic-hex-driver-1-4-5-16")</f>
        <v>https://edmondsonsupply.com/collections/hvac/products/malco-mshc-2-inch-c-rhex-cleanable-reversible-magnetic-hex-driver-1-4-5-16</v>
      </c>
      <c r="B1440"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1440" t="s">
        <v>134</v>
      </c>
      <c r="D1440" t="s">
        <v>213</v>
      </c>
      <c r="E1440" s="3" t="str">
        <f>HYPERLINK("https://www.amazon.com/Malco-MSHC2-Construction-Cleanable-Reversible/dp/B0BX779Y8S/ref=sr_1_2?keywords=Malco+Tools+MSHC+2-Inch+C-Rhex+Cleanable%2C+Reversible+Magnetic+Hex+Driver%2C+1%2F4&amp;qid=1695173343&amp;sr=8-2", "https://www.amazon.com/Malco-MSHC2-Construction-Cleanable-Reversible/dp/B0BX779Y8S/ref=sr_1_2?keywords=Malco+Tools+MSHC+2-Inch+C-Rhex+Cleanable%2C+Reversible+Magnetic+Hex+Driver%2C+1%2F4&amp;qid=1695173343&amp;sr=8-2")</f>
        <v>https://www.amazon.com/Malco-MSHC2-Construction-Cleanable-Reversible/dp/B0BX779Y8S/ref=sr_1_2?keywords=Malco+Tools+MSHC+2-Inch+C-Rhex+Cleanable%2C+Reversible+Magnetic+Hex+Driver%2C+1%2F4&amp;qid=1695173343&amp;sr=8-2</v>
      </c>
      <c r="F1440" t="s">
        <v>214</v>
      </c>
      <c r="G1440" t="e">
        <f ca="1">_xludf.IMAGE("https://edmondsonsupply.com/cdn/shop/products/Malco-MSHC-CRHEX-Slim-Design.jpg?v=1646614493")</f>
        <v>#NAME?</v>
      </c>
      <c r="H1440" t="e">
        <f ca="1">_xludf.IMAGE("https://m.media-amazon.com/images/I/61Iwy5K7S5L._AC_UL320_.jpg")</f>
        <v>#NAME?</v>
      </c>
      <c r="I1440" t="s">
        <v>137</v>
      </c>
      <c r="J1440">
        <v>7.05</v>
      </c>
      <c r="K1440" s="4">
        <v>0.19689999999999999</v>
      </c>
      <c r="L1440">
        <v>4.5999999999999996</v>
      </c>
      <c r="M1440">
        <v>45</v>
      </c>
      <c r="O1440" t="s">
        <v>25</v>
      </c>
      <c r="P1440" t="s">
        <v>138</v>
      </c>
      <c r="Q1440" t="s">
        <v>139</v>
      </c>
    </row>
    <row r="1441" spans="1:17" ht="15.5" x14ac:dyDescent="0.35">
      <c r="A1441" s="3" t="str">
        <f>HYPERLINK("https://edmondsonsupply.com/collections/hvac/products/supco-mag1bk-30-vac-magnetic-test-leads", "https://edmondsonsupply.com/collections/hvac/products/supco-mag1bk-30-vac-magnetic-test-leads")</f>
        <v>https://edmondsonsupply.com/collections/hvac/products/supco-mag1bk-30-vac-magnetic-test-leads</v>
      </c>
      <c r="B1441" s="3" t="str">
        <f>HYPERLINK("https://edmondsonsupply.com/products/supco-mag1bk-30-vac-magnetic-test-leads", "https://edmondsonsupply.com/products/supco-mag1bk-30-vac-magnetic-test-leads")</f>
        <v>https://edmondsonsupply.com/products/supco-mag1bk-30-vac-magnetic-test-leads</v>
      </c>
      <c r="C1441" t="s">
        <v>2574</v>
      </c>
      <c r="D1441" t="s">
        <v>2574</v>
      </c>
      <c r="E1441" s="3" t="str">
        <f>HYPERLINK("https://www.amazon.com/Supco-MAG1BK-Magnetic-Test-Leads/dp/B01KU9583E/ref=sr_1_3?keywords=Supco+MAG1BK+30+VAC+Magnetic+Test+Leads&amp;qid=1695173502&amp;sr=8-3", "https://www.amazon.com/Supco-MAG1BK-Magnetic-Test-Leads/dp/B01KU9583E/ref=sr_1_3?keywords=Supco+MAG1BK+30+VAC+Magnetic+Test+Leads&amp;qid=1695173502&amp;sr=8-3")</f>
        <v>https://www.amazon.com/Supco-MAG1BK-Magnetic-Test-Leads/dp/B01KU9583E/ref=sr_1_3?keywords=Supco+MAG1BK+30+VAC+Magnetic+Test+Leads&amp;qid=1695173502&amp;sr=8-3</v>
      </c>
      <c r="F1441" t="s">
        <v>3871</v>
      </c>
      <c r="G1441" t="e">
        <f ca="1">_xludf.IMAGE("https://edmondsonsupply.com/cdn/shop/products/mag1bk.png?v=1671744087")</f>
        <v>#NAME?</v>
      </c>
      <c r="H1441" t="e">
        <f ca="1">_xludf.IMAGE("https://m.media-amazon.com/images/I/61u4F4PHojL._AC_UY218_.jpg")</f>
        <v>#NAME?</v>
      </c>
      <c r="I1441" t="s">
        <v>2577</v>
      </c>
      <c r="J1441">
        <v>11.95</v>
      </c>
      <c r="K1441" s="4">
        <v>0.19620000000000001</v>
      </c>
      <c r="L1441">
        <v>4.5</v>
      </c>
      <c r="M1441">
        <v>305</v>
      </c>
      <c r="O1441" t="s">
        <v>25</v>
      </c>
      <c r="P1441" t="s">
        <v>138</v>
      </c>
      <c r="Q1441" t="s">
        <v>2578</v>
      </c>
    </row>
    <row r="1442" spans="1:17" ht="15.5" x14ac:dyDescent="0.35">
      <c r="A1442" s="3" t="str">
        <f>HYPERLINK("https://edmondsonsupply.com/collections/hvac/products/packard-titan-pro-trcd455-run-capacitor-45-5-mfd-370-volt-round", "https://edmondsonsupply.com/collections/hvac/products/packard-titan-pro-trcd455-run-capacitor-45-5-mfd-370-volt-round")</f>
        <v>https://edmondsonsupply.com/collections/hvac/products/packard-titan-pro-trcd455-run-capacitor-45-5-mfd-370-volt-round</v>
      </c>
      <c r="B1442" s="3" t="str">
        <f>HYPERLINK("https://edmondsonsupply.com/products/packard-titan-pro-trcd455-run-capacitor-45-5-mfd-370-volt-round", "https://edmondsonsupply.com/products/packard-titan-pro-trcd455-run-capacitor-45-5-mfd-370-volt-round")</f>
        <v>https://edmondsonsupply.com/products/packard-titan-pro-trcd455-run-capacitor-45-5-mfd-370-volt-round</v>
      </c>
      <c r="C1442" t="s">
        <v>2504</v>
      </c>
      <c r="D1442" t="s">
        <v>3308</v>
      </c>
      <c r="E1442" s="3" t="str">
        <f>HYPERLINK("https://www.amazon.com/PACKARD-TRCD455-Capacitor-Replaces-PRCD455/dp/B00K3M3NQ8/ref=sr_1_1?keywords=Packard+Titan+PRO+TRCD455+Run+Capacitor+45+5+MFD+370+Volt%2C+Round&amp;qid=1695173358&amp;sr=8-1", "https://www.amazon.com/PACKARD-TRCD455-Capacitor-Replaces-PRCD455/dp/B00K3M3NQ8/ref=sr_1_1?keywords=Packard+Titan+PRO+TRCD455+Run+Capacitor+45+5+MFD+370+Volt%2C+Round&amp;qid=1695173358&amp;sr=8-1")</f>
        <v>https://www.amazon.com/PACKARD-TRCD455-Capacitor-Replaces-PRCD455/dp/B00K3M3NQ8/ref=sr_1_1?keywords=Packard+Titan+PRO+TRCD455+Run+Capacitor+45+5+MFD+370+Volt%2C+Round&amp;qid=1695173358&amp;sr=8-1</v>
      </c>
      <c r="F1442" t="s">
        <v>3309</v>
      </c>
      <c r="G1442" t="e">
        <f ca="1">_xludf.IMAGE("https://edmondsonsupply.com/cdn/shop/products/TRCD455-2.jpg?v=1633030398")</f>
        <v>#NAME?</v>
      </c>
      <c r="H1442" t="e">
        <f ca="1">_xludf.IMAGE("https://m.media-amazon.com/images/I/4118O3-fIGL._AC_UY218_.jpg")</f>
        <v>#NAME?</v>
      </c>
      <c r="I1442" t="s">
        <v>2505</v>
      </c>
      <c r="J1442">
        <v>11.23</v>
      </c>
      <c r="K1442" s="4">
        <v>0.19600000000000001</v>
      </c>
      <c r="L1442">
        <v>4.4000000000000004</v>
      </c>
      <c r="M1442">
        <v>140</v>
      </c>
      <c r="O1442" t="s">
        <v>25</v>
      </c>
      <c r="P1442" t="s">
        <v>138</v>
      </c>
      <c r="Q1442" t="s">
        <v>2506</v>
      </c>
    </row>
    <row r="1443" spans="1:17" ht="15.5" x14ac:dyDescent="0.35">
      <c r="A1443" s="3" t="str">
        <f>HYPERLINK("https://edmondsonsupply.com/collections/hvac/products/icm-controls-icm289-furnace-control-board-replacement-for-lennox", "https://edmondsonsupply.com/collections/hvac/products/icm-controls-icm289-furnace-control-board-replacement-for-lennox")</f>
        <v>https://edmondsonsupply.com/collections/hvac/products/icm-controls-icm289-furnace-control-board-replacement-for-lennox</v>
      </c>
      <c r="B1443" s="3" t="str">
        <f>HYPERLINK("https://edmondsonsupply.com/products/icm-controls-icm289-furnace-control-board-replacement-for-lennox", "https://edmondsonsupply.com/products/icm-controls-icm289-furnace-control-board-replacement-for-lennox")</f>
        <v>https://edmondsonsupply.com/products/icm-controls-icm289-furnace-control-board-replacement-for-lennox</v>
      </c>
      <c r="C1443" t="s">
        <v>2160</v>
      </c>
      <c r="D1443" t="s">
        <v>2970</v>
      </c>
      <c r="E1443" s="3" t="str">
        <f>HYPERLINK("https://www.amazon.com/ICM-Controls-ICM289-Replacement-Replaces/dp/B004I55HHY/ref=sr_1_1?keywords=ICM+Controls+ICM289+Furnace+Control+Board+-+Replacement+for+Lennox&amp;qid=1695173465&amp;sr=8-1", "https://www.amazon.com/ICM-Controls-ICM289-Replacement-Replaces/dp/B004I55HHY/ref=sr_1_1?keywords=ICM+Controls+ICM289+Furnace+Control+Board+-+Replacement+for+Lennox&amp;qid=1695173465&amp;sr=8-1")</f>
        <v>https://www.amazon.com/ICM-Controls-ICM289-Replacement-Replaces/dp/B004I55HHY/ref=sr_1_1?keywords=ICM+Controls+ICM289+Furnace+Control+Board+-+Replacement+for+Lennox&amp;qid=1695173465&amp;sr=8-1</v>
      </c>
      <c r="F1443" t="s">
        <v>2971</v>
      </c>
      <c r="G1443" t="e">
        <f ca="1">_xludf.IMAGE("https://edmondsonsupply.com/cdn/shop/products/photo_3601_medium_abc82be0-5d13-465a-9be5-04a6748e2d27.png?v=1656728911")</f>
        <v>#NAME?</v>
      </c>
      <c r="H1443" t="e">
        <f ca="1">_xludf.IMAGE("https://m.media-amazon.com/images/I/617eMhg9d2L._AC_UL320_.jpg")</f>
        <v>#NAME?</v>
      </c>
      <c r="I1443" t="s">
        <v>460</v>
      </c>
      <c r="J1443">
        <v>161.44</v>
      </c>
      <c r="K1443" s="4">
        <v>0.19589999999999999</v>
      </c>
      <c r="L1443">
        <v>4.8</v>
      </c>
      <c r="M1443">
        <v>156</v>
      </c>
      <c r="O1443" t="s">
        <v>171</v>
      </c>
      <c r="P1443" t="s">
        <v>2163</v>
      </c>
      <c r="Q1443" t="s">
        <v>2164</v>
      </c>
    </row>
    <row r="1444" spans="1:17" ht="15.5" x14ac:dyDescent="0.35">
      <c r="A1444"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444"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444" t="s">
        <v>2155</v>
      </c>
      <c r="D1444" t="s">
        <v>3872</v>
      </c>
      <c r="E1444" s="3" t="str">
        <f>HYPERLINK("https://www.amazon.com/Klein-Tools-Receptacle-Standard-Electrical/dp/B0BC861K3W/ref=sr_1_5?keywords=Klein+Tools+NCVT1XTKIT+Non-Contact+Voltage+and+GFCI+Receptacle+Premium+Test+Kit&amp;qid=1695173496&amp;sr=8-5", "https://www.amazon.com/Klein-Tools-Receptacle-Standard-Electrical/dp/B0BC861K3W/ref=sr_1_5?keywords=Klein+Tools+NCVT1XTKIT+Non-Contact+Voltage+and+GFCI+Receptacle+Premium+Test+Kit&amp;qid=1695173496&amp;sr=8-5")</f>
        <v>https://www.amazon.com/Klein-Tools-Receptacle-Standard-Electrical/dp/B0BC861K3W/ref=sr_1_5?keywords=Klein+Tools+NCVT1XTKIT+Non-Contact+Voltage+and+GFCI+Receptacle+Premium+Test+Kit&amp;qid=1695173496&amp;sr=8-5</v>
      </c>
      <c r="F1444" t="s">
        <v>3873</v>
      </c>
      <c r="G1444" t="e">
        <f ca="1">_xludf.IMAGE("https://edmondsonsupply.com/cdn/shop/products/ncvt1xtkit.jpg?v=1674497102")</f>
        <v>#NAME?</v>
      </c>
      <c r="H1444" t="e">
        <f ca="1">_xludf.IMAGE("https://m.media-amazon.com/images/I/5145pmsV9+L._AC_UL320_.jpg")</f>
        <v>#NAME?</v>
      </c>
      <c r="I1444" t="s">
        <v>471</v>
      </c>
      <c r="J1444">
        <v>29.88</v>
      </c>
      <c r="K1444" s="4">
        <v>0.19570000000000001</v>
      </c>
      <c r="L1444">
        <v>4.5</v>
      </c>
      <c r="M1444">
        <v>14</v>
      </c>
      <c r="O1444" t="s">
        <v>25</v>
      </c>
      <c r="P1444" t="s">
        <v>2158</v>
      </c>
      <c r="Q1444" t="s">
        <v>2159</v>
      </c>
    </row>
    <row r="1445" spans="1:17" ht="15.5" x14ac:dyDescent="0.35">
      <c r="A1445" s="3" t="str">
        <f>HYPERLINK("https://edmondsonsupply.com/collections/hvac/products/appion-mh380006aay-megaflow-3-8in-recovery-hose-6-ft-1-4fl-to-1-4fl-yellow", "https://edmondsonsupply.com/collections/hvac/products/appion-mh380006aay-megaflow-3-8in-recovery-hose-6-ft-1-4fl-to-1-4fl-yellow")</f>
        <v>https://edmondsonsupply.com/collections/hvac/products/appion-mh380006aay-megaflow-3-8in-recovery-hose-6-ft-1-4fl-to-1-4fl-yellow</v>
      </c>
      <c r="B1445" s="3" t="str">
        <f>HYPERLINK("https://edmondsonsupply.com/products/appion-mh380006aay-megaflow-3-8in-recovery-hose-6-ft-1-4fl-to-1-4fl-yellow", "https://edmondsonsupply.com/products/appion-mh380006aay-megaflow-3-8in-recovery-hose-6-ft-1-4fl-to-1-4fl-yellow")</f>
        <v>https://edmondsonsupply.com/products/appion-mh380006aay-megaflow-3-8in-recovery-hose-6-ft-1-4fl-to-1-4fl-yellow</v>
      </c>
      <c r="C1445" t="s">
        <v>3874</v>
      </c>
      <c r="D1445" t="s">
        <v>3159</v>
      </c>
      <c r="E1445" s="3" t="str">
        <f>HYPERLINK("https://www.amazon.com/Appion-MH380006AAY-Dia-6-foot-Yellow/dp/B072JBR98L/ref=sr_1_1?keywords=Appion+MH380006AAY+MegaFlow+3%2F8in+Recovery+Hose+-+6+ft+%281%2F4FL+to+1%2F4FL%29+Yellow&amp;qid=1695173428&amp;sr=8-1", "https://www.amazon.com/Appion-MH380006AAY-Dia-6-foot-Yellow/dp/B072JBR98L/ref=sr_1_1?keywords=Appion+MH380006AAY+MegaFlow+3%2F8in+Recovery+Hose+-+6+ft+%281%2F4FL+to+1%2F4FL%29+Yellow&amp;qid=1695173428&amp;sr=8-1")</f>
        <v>https://www.amazon.com/Appion-MH380006AAY-Dia-6-foot-Yellow/dp/B072JBR98L/ref=sr_1_1?keywords=Appion+MH380006AAY+MegaFlow+3%2F8in+Recovery+Hose+-+6+ft+%281%2F4FL+to+1%2F4FL%29+Yellow&amp;qid=1695173428&amp;sr=8-1</v>
      </c>
      <c r="F1445" t="s">
        <v>3160</v>
      </c>
      <c r="G1445" t="e">
        <f ca="1">_xludf.IMAGE("https://edmondsonsupply.com/cdn/shop/products/MH380006AAY_MHH_1080.png?v=1679015808")</f>
        <v>#NAME?</v>
      </c>
      <c r="H1445" t="e">
        <f ca="1">_xludf.IMAGE("https://m.media-amazon.com/images/I/51N9D8MncgL._AC_UY218_.jpg")</f>
        <v>#NAME?</v>
      </c>
      <c r="I1445" t="s">
        <v>269</v>
      </c>
      <c r="J1445">
        <v>65.59</v>
      </c>
      <c r="K1445" s="4">
        <v>0.1928</v>
      </c>
      <c r="L1445">
        <v>4.4000000000000004</v>
      </c>
      <c r="M1445">
        <v>33</v>
      </c>
      <c r="O1445" t="s">
        <v>25</v>
      </c>
      <c r="P1445" t="s">
        <v>588</v>
      </c>
      <c r="Q1445" t="s">
        <v>3875</v>
      </c>
    </row>
    <row r="1446" spans="1:17" ht="15.5" x14ac:dyDescent="0.35">
      <c r="A1446" s="3" t="str">
        <f>HYPERLINK("https://edmondsonsupply.com/collections/hvac/products/rectorseal-66735-nokink-5-8-x-3-flexible-refrigerant-line-connector", "https://edmondsonsupply.com/collections/hvac/products/rectorseal-66735-nokink-5-8-x-3-flexible-refrigerant-line-connector")</f>
        <v>https://edmondsonsupply.com/collections/hvac/products/rectorseal-66735-nokink-5-8-x-3-flexible-refrigerant-line-connector</v>
      </c>
      <c r="B1446" s="3" t="str">
        <f>HYPERLINK("https://edmondsonsupply.com/products/rectorseal-66735-nokink-5-8-x-3-flexible-refrigerant-line-connector", "https://edmondsonsupply.com/products/rectorseal-66735-nokink-5-8-x-3-flexible-refrigerant-line-connector")</f>
        <v>https://edmondsonsupply.com/products/rectorseal-66735-nokink-5-8-x-3-flexible-refrigerant-line-connector</v>
      </c>
      <c r="C1446" t="s">
        <v>2894</v>
      </c>
      <c r="D1446" t="s">
        <v>3095</v>
      </c>
      <c r="E1446" s="3" t="str">
        <f>HYPERLINK("https://www.amazon.com/Rectorseal-66733-Flexible-Refrigerant-Connector/dp/B00MTWACSW/ref=sr_1_3?keywords=RectorSeal+66735+NoKink+5%2F8%22+x+3%27+Flexible+Refrigerant+Line+Connector&amp;qid=1695173468&amp;sr=8-3", "https://www.amazon.com/Rectorseal-66733-Flexible-Refrigerant-Connector/dp/B00MTWACSW/ref=sr_1_3?keywords=RectorSeal+66735+NoKink+5%2F8%22+x+3%27+Flexible+Refrigerant+Line+Connector&amp;qid=1695173468&amp;sr=8-3")</f>
        <v>https://www.amazon.com/Rectorseal-66733-Flexible-Refrigerant-Connector/dp/B00MTWACSW/ref=sr_1_3?keywords=RectorSeal+66735+NoKink+5%2F8%22+x+3%27+Flexible+Refrigerant+Line+Connector&amp;qid=1695173468&amp;sr=8-3</v>
      </c>
      <c r="F1446" t="s">
        <v>3096</v>
      </c>
      <c r="G1446" t="e">
        <f ca="1">_xludf.IMAGE("https://edmondsonsupply.com/cdn/shop/products/66735-1.jpg?v=1632264692")</f>
        <v>#NAME?</v>
      </c>
      <c r="H1446" t="e">
        <f ca="1">_xludf.IMAGE("https://m.media-amazon.com/images/I/715p30FDZuL._AC_UY218_.jpg")</f>
        <v>#NAME?</v>
      </c>
      <c r="I1446" t="s">
        <v>300</v>
      </c>
      <c r="J1446">
        <v>95.27</v>
      </c>
      <c r="K1446" s="4">
        <v>0.191</v>
      </c>
      <c r="L1446">
        <v>3.6</v>
      </c>
      <c r="M1446">
        <v>3</v>
      </c>
      <c r="O1446" t="s">
        <v>25</v>
      </c>
      <c r="P1446" t="s">
        <v>138</v>
      </c>
      <c r="Q1446" t="s">
        <v>2895</v>
      </c>
    </row>
    <row r="1447" spans="1:17" ht="15.5" x14ac:dyDescent="0.35">
      <c r="A1447" s="3" t="str">
        <f>HYPERLINK("https://edmondsonsupply.com/collections/hvac/products/refrigeration-technologies-rt175b-viper-big-blu-brush-on-micro-leak-detector", "https://edmondsonsupply.com/collections/hvac/products/refrigeration-technologies-rt175b-viper-big-blu-brush-on-micro-leak-detector")</f>
        <v>https://edmondsonsupply.com/collections/hvac/products/refrigeration-technologies-rt175b-viper-big-blu-brush-on-micro-leak-detector</v>
      </c>
      <c r="B1447" s="3" t="str">
        <f>HYPERLINK("https://edmondsonsupply.com/products/refrigeration-technologies-rt175b-viper-big-blu-brush-on-micro-leak-detector", "https://edmondsonsupply.com/products/refrigeration-technologies-rt175b-viper-big-blu-brush-on-micro-leak-detector")</f>
        <v>https://edmondsonsupply.com/products/refrigeration-technologies-rt175b-viper-big-blu-brush-on-micro-leak-detector</v>
      </c>
      <c r="C1447" t="s">
        <v>1534</v>
      </c>
      <c r="D1447" t="s">
        <v>3876</v>
      </c>
      <c r="E1447" s="3" t="str">
        <f>HYPERLINK("https://www.amazon.com/Refrigeration-Technologies-Brush-Refrigerant-Detector/dp/B082MQZBV5/ref=sr_1_1?keywords=Refrigeration+Technologies+RT175B+Viper+Big+Blu+-+Brush+On+Micro+Leak+Detector&amp;qid=1695173358&amp;sr=8-1", "https://www.amazon.com/Refrigeration-Technologies-Brush-Refrigerant-Detector/dp/B082MQZBV5/ref=sr_1_1?keywords=Refrigeration+Technologies+RT175B+Viper+Big+Blu+-+Brush+On+Micro+Leak+Detector&amp;qid=1695173358&amp;sr=8-1")</f>
        <v>https://www.amazon.com/Refrigeration-Technologies-Brush-Refrigerant-Detector/dp/B082MQZBV5/ref=sr_1_1?keywords=Refrigeration+Technologies+RT175B+Viper+Big+Blu+-+Brush+On+Micro+Leak+Detector&amp;qid=1695173358&amp;sr=8-1</v>
      </c>
      <c r="F1447" t="s">
        <v>3877</v>
      </c>
      <c r="G1447" t="e">
        <f ca="1">_xludf.IMAGE("https://edmondsonsupply.com/cdn/shop/products/brush_on_blu_reflection-o17r8mukbu9smr8id6u6yq699brmo1twijfcclnbpc.jpg?v=1633030388")</f>
        <v>#NAME?</v>
      </c>
      <c r="H1447" t="e">
        <f ca="1">_xludf.IMAGE("https://m.media-amazon.com/images/I/31Dz5b0E1iL._AC_UY218_.jpg")</f>
        <v>#NAME?</v>
      </c>
      <c r="I1447" t="s">
        <v>1537</v>
      </c>
      <c r="J1447">
        <v>9.99</v>
      </c>
      <c r="K1447" s="4">
        <v>0.19070000000000001</v>
      </c>
      <c r="L1447">
        <v>4.5999999999999996</v>
      </c>
      <c r="M1447">
        <v>230</v>
      </c>
      <c r="O1447" t="s">
        <v>25</v>
      </c>
      <c r="P1447" t="s">
        <v>1538</v>
      </c>
      <c r="Q1447" t="s">
        <v>1539</v>
      </c>
    </row>
    <row r="1448" spans="1:17" ht="15.5" x14ac:dyDescent="0.35">
      <c r="A1448"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448"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448" t="s">
        <v>2903</v>
      </c>
      <c r="D1448" t="s">
        <v>3878</v>
      </c>
      <c r="E1448" s="3" t="str">
        <f>HYPERLINK("https://www.amazon.com/Diablo-SDS-Max-4-Cutter-Carbide-Hammer/dp/B089LJ9GHW/ref=sr_1_6?keywords=Diablo+Tools+DMAMX1300+1-1%2F4+in.+x+16+in.+x+21+in.+Rebar+Demon%E2%84%A2+SDS-Max+4-Cutter+Full+Carbide+Head+Hammer+Drill+Bit&amp;qid=1695173488&amp;sr=8-6", "https://www.amazon.com/Diablo-SDS-Max-4-Cutter-Carbide-Hammer/dp/B089LJ9GHW/ref=sr_1_6?keywords=Diablo+Tools+DMAMX1300+1-1%2F4+in.+x+16+in.+x+21+in.+Rebar+Demon%E2%84%A2+SDS-Max+4-Cutter+Full+Carbide+Head+Hammer+Drill+Bit&amp;qid=1695173488&amp;sr=8-6")</f>
        <v>https://www.amazon.com/Diablo-SDS-Max-4-Cutter-Carbide-Hammer/dp/B089LJ9GHW/ref=sr_1_6?keywords=Diablo+Tools+DMAMX1300+1-1%2F4+in.+x+16+in.+x+21+in.+Rebar+Demon%E2%84%A2+SDS-Max+4-Cutter+Full+Carbide+Head+Hammer+Drill+Bit&amp;qid=1695173488&amp;sr=8-6</v>
      </c>
      <c r="F1448" t="s">
        <v>3879</v>
      </c>
      <c r="G1448" t="e">
        <f ca="1">_xludf.IMAGE("https://edmondsonsupply.com/cdn/shop/files/immoyh7jjmbau4fzhuq6_7dd7fd73-2865-4c12-9443-da45b48dbd51.webp?v=1685465465")</f>
        <v>#NAME?</v>
      </c>
      <c r="H1448" t="e">
        <f ca="1">_xludf.IMAGE("https://m.media-amazon.com/images/I/61vWAd-z8eL._AC_UL320_.jpg")</f>
        <v>#NAME?</v>
      </c>
      <c r="I1448" t="s">
        <v>2906</v>
      </c>
      <c r="J1448">
        <v>78.98</v>
      </c>
      <c r="K1448" s="4">
        <v>0.1895</v>
      </c>
      <c r="L1448">
        <v>4.7</v>
      </c>
      <c r="M1448">
        <v>4</v>
      </c>
      <c r="O1448" t="s">
        <v>171</v>
      </c>
      <c r="P1448" t="s">
        <v>2907</v>
      </c>
      <c r="Q1448" t="s">
        <v>2908</v>
      </c>
    </row>
    <row r="1449" spans="1:17" ht="15.5" x14ac:dyDescent="0.35">
      <c r="A1449" s="3" t="str">
        <f>HYPERLINK("https://edmondsonsupply.com/collections/hvac/products/packard-titan-pro-trcfd605-run-capacitor-60-5-mfd-440-370-volt-round", "https://edmondsonsupply.com/collections/hvac/products/packard-titan-pro-trcfd605-run-capacitor-60-5-mfd-440-370-volt-round")</f>
        <v>https://edmondsonsupply.com/collections/hvac/products/packard-titan-pro-trcfd605-run-capacitor-60-5-mfd-440-370-volt-round</v>
      </c>
      <c r="B1449" s="3" t="str">
        <f>HYPERLINK("https://edmondsonsupply.com/products/packard-titan-pro-trcfd605-run-capacitor-60-5-mfd-440-370-volt-round", "https://edmondsonsupply.com/products/packard-titan-pro-trcfd605-run-capacitor-60-5-mfd-440-370-volt-round")</f>
        <v>https://edmondsonsupply.com/products/packard-titan-pro-trcfd605-run-capacitor-60-5-mfd-440-370-volt-round</v>
      </c>
      <c r="C1449" t="s">
        <v>3451</v>
      </c>
      <c r="D1449" t="s">
        <v>3880</v>
      </c>
      <c r="E1449" s="3" t="str">
        <f>HYPERLINK("https://www.amazon.com/Packard-Titan-TRCF60-Capacitor-Round/dp/B08P3R452R/ref=sr_1_1?keywords=Packard+TRCFD605+Titan+PRO+Run+Capacitor+60%2B5+MFD+440%2F370+Volt+Round&amp;qid=1695173488&amp;sr=8-1", "https://www.amazon.com/Packard-Titan-TRCF60-Capacitor-Round/dp/B08P3R452R/ref=sr_1_1?keywords=Packard+TRCFD605+Titan+PRO+Run+Capacitor+60%2B5+MFD+440%2F370+Volt+Round&amp;qid=1695173488&amp;sr=8-1")</f>
        <v>https://www.amazon.com/Packard-Titan-TRCF60-Capacitor-Round/dp/B08P3R452R/ref=sr_1_1?keywords=Packard+TRCFD605+Titan+PRO+Run+Capacitor+60%2B5+MFD+440%2F370+Volt+Round&amp;qid=1695173488&amp;sr=8-1</v>
      </c>
      <c r="F1449" t="s">
        <v>3881</v>
      </c>
      <c r="G1449" t="e">
        <f ca="1">_xludf.IMAGE("https://edmondsonsupply.com/cdn/shop/products/61bb567904cdd692881387_jpeg.webp?v=1655427971")</f>
        <v>#NAME?</v>
      </c>
      <c r="H1449" t="e">
        <f ca="1">_xludf.IMAGE("https://m.media-amazon.com/images/I/41joDGOR+kL._AC_UY218_.jpg")</f>
        <v>#NAME?</v>
      </c>
      <c r="I1449" t="s">
        <v>3454</v>
      </c>
      <c r="J1449">
        <v>16.04</v>
      </c>
      <c r="K1449" s="4">
        <v>0.189</v>
      </c>
      <c r="L1449">
        <v>5</v>
      </c>
      <c r="M1449">
        <v>1</v>
      </c>
      <c r="O1449" t="s">
        <v>25</v>
      </c>
      <c r="P1449" t="s">
        <v>138</v>
      </c>
      <c r="Q1449" t="s">
        <v>3455</v>
      </c>
    </row>
    <row r="1450" spans="1:17" ht="15.5" x14ac:dyDescent="0.35">
      <c r="A1450"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1450"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1450" t="s">
        <v>1540</v>
      </c>
      <c r="D1450" t="s">
        <v>3882</v>
      </c>
      <c r="E1450" s="3" t="str">
        <f>HYPERLINK("https://www.amazon.com/PCBBF140-Upgraded-Replacement-Goodman-Furnace/dp/B079YXPQSC/ref=sr_1_3?keywords=ICM+Controls+ICM2811+Furnace+Control+Board+-+Replacement+for+Goodman&amp;qid=1695173453&amp;sr=8-3", "https://www.amazon.com/PCBBF140-Upgraded-Replacement-Goodman-Furnace/dp/B079YXPQSC/ref=sr_1_3?keywords=ICM+Controls+ICM2811+Furnace+Control+Board+-+Replacement+for+Goodman&amp;qid=1695173453&amp;sr=8-3")</f>
        <v>https://www.amazon.com/PCBBF140-Upgraded-Replacement-Goodman-Furnace/dp/B079YXPQSC/ref=sr_1_3?keywords=ICM+Controls+ICM2811+Furnace+Control+Board+-+Replacement+for+Goodman&amp;qid=1695173453&amp;sr=8-3</v>
      </c>
      <c r="F1450" t="s">
        <v>3883</v>
      </c>
      <c r="G1450" t="e">
        <f ca="1">_xludf.IMAGE("https://edmondsonsupply.com/cdn/shop/products/photo_3800_medium_86f45e25-a764-4839-bc84-759a6ce1c7bd.jpg?v=1659910436")</f>
        <v>#NAME?</v>
      </c>
      <c r="H1450" t="e">
        <f ca="1">_xludf.IMAGE("https://m.media-amazon.com/images/I/51QC-63B2vL._AC_UL320_.jpg")</f>
        <v>#NAME?</v>
      </c>
      <c r="I1450" t="s">
        <v>1543</v>
      </c>
      <c r="J1450">
        <v>81.98</v>
      </c>
      <c r="K1450" s="4">
        <v>0.1883</v>
      </c>
      <c r="L1450">
        <v>5</v>
      </c>
      <c r="M1450">
        <v>7</v>
      </c>
      <c r="O1450" t="s">
        <v>25</v>
      </c>
      <c r="P1450" t="s">
        <v>1544</v>
      </c>
      <c r="Q1450" t="s">
        <v>1545</v>
      </c>
    </row>
    <row r="1451" spans="1:17" ht="15.5" x14ac:dyDescent="0.35">
      <c r="A1451"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451" s="3" t="str">
        <f>HYPERLINK("https://edmondsonsupply.com/products/klein-tools-646-1-4-1-4-inch-nut-driver-with-6-inch-hollow-shaft", "https://edmondsonsupply.com/products/klein-tools-646-1-4-1-4-inch-nut-driver-with-6-inch-hollow-shaft")</f>
        <v>https://edmondsonsupply.com/products/klein-tools-646-1-4-1-4-inch-nut-driver-with-6-inch-hollow-shaft</v>
      </c>
      <c r="C1451" t="s">
        <v>1478</v>
      </c>
      <c r="D1451" t="s">
        <v>3884</v>
      </c>
      <c r="E1451" s="3" t="str">
        <f>HYPERLINK("https://www.amazon.com/Magnetic-Cushion-Klein-610-1-4M/dp/B00093GE3A/ref=sr_1_4?keywords=Klein+Tools+646-1%2F4+1%2F4-Inch+Nut+Driver+with+6-Inch+Hollow+Shaft&amp;qid=1695173548&amp;sr=8-4", "https://www.amazon.com/Magnetic-Cushion-Klein-610-1-4M/dp/B00093GE3A/ref=sr_1_4?keywords=Klein+Tools+646-1%2F4+1%2F4-Inch+Nut+Driver+with+6-Inch+Hollow+Shaft&amp;qid=1695173548&amp;sr=8-4")</f>
        <v>https://www.amazon.com/Magnetic-Cushion-Klein-610-1-4M/dp/B00093GE3A/ref=sr_1_4?keywords=Klein+Tools+646-1%2F4+1%2F4-Inch+Nut+Driver+with+6-Inch+Hollow+Shaft&amp;qid=1695173548&amp;sr=8-4</v>
      </c>
      <c r="F1451" t="s">
        <v>3885</v>
      </c>
      <c r="G1451" t="e">
        <f ca="1">_xludf.IMAGE("https://edmondsonsupply.com/cdn/shop/products/646-1-2_08d87fa9-eac4-4869-8d3b-bb680d4b1d53.jpg?v=1587150676")</f>
        <v>#NAME?</v>
      </c>
      <c r="H1451" t="e">
        <f ca="1">_xludf.IMAGE("https://m.media-amazon.com/images/I/41piyjqJVeL._AC_UL320_.jpg")</f>
        <v>#NAME?</v>
      </c>
      <c r="I1451" t="s">
        <v>1003</v>
      </c>
      <c r="J1451">
        <v>9.49</v>
      </c>
      <c r="K1451" s="4">
        <v>0.18770000000000001</v>
      </c>
      <c r="L1451">
        <v>4.8</v>
      </c>
      <c r="M1451">
        <v>260</v>
      </c>
      <c r="O1451" t="s">
        <v>25</v>
      </c>
      <c r="P1451" t="s">
        <v>1481</v>
      </c>
      <c r="Q1451" t="s">
        <v>1482</v>
      </c>
    </row>
    <row r="1452" spans="1:17" ht="15.5" x14ac:dyDescent="0.35">
      <c r="A1452" s="3" t="str">
        <f>HYPERLINK("https://edmondsonsupply.com/collections/hvac/products/packard-c340a-contactor-3-pole-40-amps-24-coil-voltage", "https://edmondsonsupply.com/collections/hvac/products/packard-c340a-contactor-3-pole-40-amps-24-coil-voltage")</f>
        <v>https://edmondsonsupply.com/collections/hvac/products/packard-c340a-contactor-3-pole-40-amps-24-coil-voltage</v>
      </c>
      <c r="B1452" s="3" t="str">
        <f>HYPERLINK("https://edmondsonsupply.com/products/packard-c340a-contactor-3-pole-40-amps-24-coil-voltage", "https://edmondsonsupply.com/products/packard-c340a-contactor-3-pole-40-amps-24-coil-voltage")</f>
        <v>https://edmondsonsupply.com/products/packard-c340a-contactor-3-pole-40-amps-24-coil-voltage</v>
      </c>
      <c r="C1452" t="s">
        <v>2194</v>
      </c>
      <c r="D1452" t="s">
        <v>2934</v>
      </c>
      <c r="E1452" s="3" t="str">
        <f>HYPERLINK("https://www.amazon.com/Packard-C340C-Pole-Contactor-Volt/dp/B004ZRWGGA/ref=sr_1_7?keywords=Packard+C340A+Contactor+3+Pole+40+Amps+24+Coil+Voltage&amp;qid=1695173549&amp;sr=8-7", "https://www.amazon.com/Packard-C340C-Pole-Contactor-Volt/dp/B004ZRWGGA/ref=sr_1_7?keywords=Packard+C340A+Contactor+3+Pole+40+Amps+24+Coil+Voltage&amp;qid=1695173549&amp;sr=8-7")</f>
        <v>https://www.amazon.com/Packard-C340C-Pole-Contactor-Volt/dp/B004ZRWGGA/ref=sr_1_7?keywords=Packard+C340A+Contactor+3+Pole+40+Amps+24+Coil+Voltage&amp;qid=1695173549&amp;sr=8-7</v>
      </c>
      <c r="F1452" t="s">
        <v>2935</v>
      </c>
      <c r="G1452" t="e">
        <f ca="1">_xludf.IMAGE("https://edmondsonsupply.com/cdn/shop/products/C340A-2.jpg?v=1633030393")</f>
        <v>#NAME?</v>
      </c>
      <c r="H1452" t="e">
        <f ca="1">_xludf.IMAGE("https://m.media-amazon.com/images/I/71LfPG7H6RL._AC_UY218_.jpg")</f>
        <v>#NAME?</v>
      </c>
      <c r="I1452" t="s">
        <v>2197</v>
      </c>
      <c r="J1452">
        <v>26.41</v>
      </c>
      <c r="K1452" s="4">
        <v>0.1875</v>
      </c>
      <c r="L1452">
        <v>4.4000000000000004</v>
      </c>
      <c r="M1452">
        <v>131</v>
      </c>
      <c r="O1452" t="s">
        <v>25</v>
      </c>
      <c r="P1452" t="s">
        <v>138</v>
      </c>
      <c r="Q1452" t="s">
        <v>2198</v>
      </c>
    </row>
    <row r="1453" spans="1:17" ht="15.5" x14ac:dyDescent="0.35">
      <c r="A1453" s="3" t="str">
        <f>HYPERLINK("https://edmondsonsupply.com/collections/hvac/products/uniweld-type17-15-oxyacetylene-rosebud-heating-welding-brazing-tip", "https://edmondsonsupply.com/collections/hvac/products/uniweld-type17-15-oxyacetylene-rosebud-heating-welding-brazing-tip")</f>
        <v>https://edmondsonsupply.com/collections/hvac/products/uniweld-type17-15-oxyacetylene-rosebud-heating-welding-brazing-tip</v>
      </c>
      <c r="B1453" s="3" t="str">
        <f>HYPERLINK("https://edmondsonsupply.com/products/uniweld-type17-15-oxyacetylene-rosebud-heating-welding-brazing-tip", "https://edmondsonsupply.com/products/uniweld-type17-15-oxyacetylene-rosebud-heating-welding-brazing-tip")</f>
        <v>https://edmondsonsupply.com/products/uniweld-type17-15-oxyacetylene-rosebud-heating-welding-brazing-tip</v>
      </c>
      <c r="C1453" t="s">
        <v>3886</v>
      </c>
      <c r="D1453" t="s">
        <v>2120</v>
      </c>
      <c r="E1453" s="3" t="str">
        <f>HYPERLINK("https://www.amazon.com/Uniweld-Type17-15-Rosebud-Heating-Tip/dp/B00FI1J1V0/ref=sr_1_1?keywords=Uniweld+Type17-15+Oxyacetylene+Rosebud+Heating+Welding&amp;qid=1695173349&amp;sr=8-1", "https://www.amazon.com/Uniweld-Type17-15-Rosebud-Heating-Tip/dp/B00FI1J1V0/ref=sr_1_1?keywords=Uniweld+Type17-15+Oxyacetylene+Rosebud+Heating+Welding&amp;qid=1695173349&amp;sr=8-1")</f>
        <v>https://www.amazon.com/Uniweld-Type17-15-Rosebud-Heating-Tip/dp/B00FI1J1V0/ref=sr_1_1?keywords=Uniweld+Type17-15+Oxyacetylene+Rosebud+Heating+Welding&amp;qid=1695173349&amp;sr=8-1</v>
      </c>
      <c r="F1453" t="s">
        <v>2121</v>
      </c>
      <c r="G1453" t="e">
        <f ca="1">_xludf.IMAGE("https://edmondsonsupply.com/cdn/shop/products/type17-15.jpg?v=1633030590")</f>
        <v>#NAME?</v>
      </c>
      <c r="H1453" t="e">
        <f ca="1">_xludf.IMAGE("https://m.media-amazon.com/images/I/51L7GasrP9L._AC_UL320_.jpg")</f>
        <v>#NAME?</v>
      </c>
      <c r="I1453" t="s">
        <v>3887</v>
      </c>
      <c r="J1453">
        <v>74.989999999999995</v>
      </c>
      <c r="K1453" s="4">
        <v>0.1875</v>
      </c>
      <c r="L1453">
        <v>4.3</v>
      </c>
      <c r="M1453">
        <v>98</v>
      </c>
      <c r="O1453" t="s">
        <v>25</v>
      </c>
      <c r="P1453" t="s">
        <v>3888</v>
      </c>
      <c r="Q1453" t="s">
        <v>3889</v>
      </c>
    </row>
    <row r="1454" spans="1:17" ht="15.5" x14ac:dyDescent="0.35">
      <c r="A1454" s="3" t="str">
        <f>HYPERLINK("https://edmondsonsupply.com/collections/hvac/products/midwest-mwt-6510ro-right-cutting-offset-aviation-snip-blackout-series", "https://edmondsonsupply.com/collections/hvac/products/midwest-mwt-6510ro-right-cutting-offset-aviation-snip-blackout-series")</f>
        <v>https://edmondsonsupply.com/collections/hvac/products/midwest-mwt-6510ro-right-cutting-offset-aviation-snip-blackout-series</v>
      </c>
      <c r="B1454" s="3" t="str">
        <f>HYPERLINK("https://edmondsonsupply.com/products/midwest-mwt-6510ro-right-cutting-offset-aviation-snip-blackout-series", "https://edmondsonsupply.com/products/midwest-mwt-6510ro-right-cutting-offset-aviation-snip-blackout-series")</f>
        <v>https://edmondsonsupply.com/products/midwest-mwt-6510ro-right-cutting-offset-aviation-snip-blackout-series</v>
      </c>
      <c r="C1454" t="s">
        <v>157</v>
      </c>
      <c r="D1454" t="s">
        <v>215</v>
      </c>
      <c r="E1454" s="3" t="str">
        <f>HYPERLINK("https://www.amazon.com/MIDWEST-Aviation-Snip-KUSHN-POWER-MWT-SS6510R/dp/B00OMSVOZ6/ref=sr_1_5?keywords=Midwest+MWT-6510RO+Right-Cutting+Offset+Aviation+Snip+-+Blackout+Series&amp;qid=1695173332&amp;sr=8-5", "https://www.amazon.com/MIDWEST-Aviation-Snip-KUSHN-POWER-MWT-SS6510R/dp/B00OMSVOZ6/ref=sr_1_5?keywords=Midwest+MWT-6510RO+Right-Cutting+Offset+Aviation+Snip+-+Blackout+Series&amp;qid=1695173332&amp;sr=8-5")</f>
        <v>https://www.amazon.com/MIDWEST-Aviation-Snip-KUSHN-POWER-MWT-SS6510R/dp/B00OMSVOZ6/ref=sr_1_5?keywords=Midwest+MWT-6510RO+Right-Cutting+Offset+Aviation+Snip+-+Blackout+Series&amp;qid=1695173332&amp;sr=8-5</v>
      </c>
      <c r="F1454" t="s">
        <v>216</v>
      </c>
      <c r="G1454" t="e">
        <f ca="1">_xludf.IMAGE("https://edmondsonsupply.com/cdn/shop/products/6510ro.jpg?v=1587142626")</f>
        <v>#NAME?</v>
      </c>
      <c r="H1454" t="e">
        <f ca="1">_xludf.IMAGE("https://m.media-amazon.com/images/I/6111Xzz5-TL._AC_UL320_.jpg")</f>
        <v>#NAME?</v>
      </c>
      <c r="I1454" t="s">
        <v>160</v>
      </c>
      <c r="J1454">
        <v>35.99</v>
      </c>
      <c r="K1454" s="4">
        <v>0.18740000000000001</v>
      </c>
      <c r="L1454">
        <v>4.3</v>
      </c>
      <c r="M1454">
        <v>99</v>
      </c>
      <c r="O1454" t="s">
        <v>25</v>
      </c>
      <c r="P1454" t="s">
        <v>161</v>
      </c>
      <c r="Q1454" t="s">
        <v>162</v>
      </c>
    </row>
    <row r="1455" spans="1:17" ht="15.5" x14ac:dyDescent="0.35">
      <c r="A1455" s="3" t="str">
        <f>HYPERLINK("https://edmondsonsupply.com/collections/hvac/products/rectorseal-66737-nokink-1-2-x-3-flexible-refrigerant-line-connector", "https://edmondsonsupply.com/collections/hvac/products/rectorseal-66737-nokink-1-2-x-3-flexible-refrigerant-line-connector")</f>
        <v>https://edmondsonsupply.com/collections/hvac/products/rectorseal-66737-nokink-1-2-x-3-flexible-refrigerant-line-connector</v>
      </c>
      <c r="B1455" s="3" t="str">
        <f>HYPERLINK("https://edmondsonsupply.com/products/rectorseal-66737-nokink-1-2-x-3-flexible-refrigerant-line-connector", "https://edmondsonsupply.com/products/rectorseal-66737-nokink-1-2-x-3-flexible-refrigerant-line-connector")</f>
        <v>https://edmondsonsupply.com/products/rectorseal-66737-nokink-1-2-x-3-flexible-refrigerant-line-connector</v>
      </c>
      <c r="C1455" t="s">
        <v>2718</v>
      </c>
      <c r="D1455" t="s">
        <v>3140</v>
      </c>
      <c r="E1455" s="3" t="str">
        <f>HYPERLINK("https://www.amazon.com/Rectorseal-66737-Flexible-Refrigerant-Connector/dp/B010M22SNM/ref=sr_1_1?keywords=RectorSeal+66737+NoKink+1%2F2%22+x+3%27+Flexible+Refrigerant+Line+Connector&amp;qid=1695173471&amp;sr=8-1", "https://www.amazon.com/Rectorseal-66737-Flexible-Refrigerant-Connector/dp/B010M22SNM/ref=sr_1_1?keywords=RectorSeal+66737+NoKink+1%2F2%22+x+3%27+Flexible+Refrigerant+Line+Connector&amp;qid=1695173471&amp;sr=8-1")</f>
        <v>https://www.amazon.com/Rectorseal-66737-Flexible-Refrigerant-Connector/dp/B010M22SNM/ref=sr_1_1?keywords=RectorSeal+66737+NoKink+1%2F2%22+x+3%27+Flexible+Refrigerant+Line+Connector&amp;qid=1695173471&amp;sr=8-1</v>
      </c>
      <c r="F1455" t="s">
        <v>3141</v>
      </c>
      <c r="G1455" t="e">
        <f ca="1">_xludf.IMAGE("https://edmondsonsupply.com/cdn/shop/products/66737.png?v=1665964950")</f>
        <v>#NAME?</v>
      </c>
      <c r="H1455" t="e">
        <f ca="1">_xludf.IMAGE("https://m.media-amazon.com/images/I/4101YLR79GL._AC_UL320_.jpg")</f>
        <v>#NAME?</v>
      </c>
      <c r="I1455" t="s">
        <v>2719</v>
      </c>
      <c r="J1455">
        <v>89.97</v>
      </c>
      <c r="K1455" s="4">
        <v>0.186</v>
      </c>
      <c r="L1455">
        <v>4.5</v>
      </c>
      <c r="M1455">
        <v>6</v>
      </c>
      <c r="O1455" t="s">
        <v>25</v>
      </c>
      <c r="P1455" t="s">
        <v>138</v>
      </c>
      <c r="Q1455" t="s">
        <v>2720</v>
      </c>
    </row>
    <row r="1456" spans="1:17" ht="15.5" x14ac:dyDescent="0.35">
      <c r="A1456" s="3" t="str">
        <f>HYPERLINK("https://edmondsonsupply.com/collections/hvac/products/klein-tools-86939-hex-key-adapter-for-refrigeration-wrench", "https://edmondsonsupply.com/collections/hvac/products/klein-tools-86939-hex-key-adapter-for-refrigeration-wrench")</f>
        <v>https://edmondsonsupply.com/collections/hvac/products/klein-tools-86939-hex-key-adapter-for-refrigeration-wrench</v>
      </c>
      <c r="B1456" s="3" t="str">
        <f>HYPERLINK("https://edmondsonsupply.com/products/klein-tools-86939-hex-key-adapter-for-refrigeration-wrench", "https://edmondsonsupply.com/products/klein-tools-86939-hex-key-adapter-for-refrigeration-wrench")</f>
        <v>https://edmondsonsupply.com/products/klein-tools-86939-hex-key-adapter-for-refrigeration-wrench</v>
      </c>
      <c r="C1456" t="s">
        <v>3890</v>
      </c>
      <c r="D1456" t="s">
        <v>3891</v>
      </c>
      <c r="E1456" s="3" t="str">
        <f>HYPERLINK("https://www.amazon.com/Klein-Tools-Adapter-Refrigeration-Wrench/dp/B07HFDT6SX/ref=sr_1_1?keywords=Klein+Tools+86939+Hex+Key+Adapter+for+Refrigeration+Wrench&amp;qid=1695173630&amp;sr=8-1", "https://www.amazon.com/Klein-Tools-Adapter-Refrigeration-Wrench/dp/B07HFDT6SX/ref=sr_1_1?keywords=Klein+Tools+86939+Hex+Key+Adapter+for+Refrigeration+Wrench&amp;qid=1695173630&amp;sr=8-1")</f>
        <v>https://www.amazon.com/Klein-Tools-Adapter-Refrigeration-Wrench/dp/B07HFDT6SX/ref=sr_1_1?keywords=Klein+Tools+86939+Hex+Key+Adapter+for+Refrigeration+Wrench&amp;qid=1695173630&amp;sr=8-1</v>
      </c>
      <c r="F1456" t="s">
        <v>3892</v>
      </c>
      <c r="G1456" t="e">
        <f ca="1">_xludf.IMAGE("https://edmondsonsupply.com/cdn/shop/products/86939.jpg?v=1587145061")</f>
        <v>#NAME?</v>
      </c>
      <c r="H1456" t="e">
        <f ca="1">_xludf.IMAGE("https://m.media-amazon.com/images/I/41PotE8OMsL._AC_UL320_.jpg")</f>
        <v>#NAME?</v>
      </c>
      <c r="I1456" t="s">
        <v>2337</v>
      </c>
      <c r="J1456">
        <v>14.22</v>
      </c>
      <c r="K1456" s="4">
        <v>0.186</v>
      </c>
      <c r="L1456">
        <v>4.7</v>
      </c>
      <c r="M1456">
        <v>81</v>
      </c>
      <c r="O1456" t="s">
        <v>25</v>
      </c>
      <c r="P1456" t="s">
        <v>3893</v>
      </c>
      <c r="Q1456" t="s">
        <v>3894</v>
      </c>
    </row>
    <row r="1457" spans="1:17" ht="15.5" x14ac:dyDescent="0.35">
      <c r="A1457"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457" s="3" t="str">
        <f>HYPERLINK("https://edmondsonsupply.com/products/klein-tools-646-1-4-1-4-inch-nut-driver-with-6-inch-hollow-shaft", "https://edmondsonsupply.com/products/klein-tools-646-1-4-1-4-inch-nut-driver-with-6-inch-hollow-shaft")</f>
        <v>https://edmondsonsupply.com/products/klein-tools-646-1-4-1-4-inch-nut-driver-with-6-inch-hollow-shaft</v>
      </c>
      <c r="C1457" t="s">
        <v>1478</v>
      </c>
      <c r="D1457" t="s">
        <v>3895</v>
      </c>
      <c r="E1457" s="3" t="str">
        <f>HYPERLINK("https://www.amazon.com/Magnetic-Klein-Tools-630-1-4M/dp/B00093GE6M/ref=sr_1_8?keywords=Klein+Tools+646-1%2F4+1%2F4-Inch+Nut+Driver+with+6-Inch+Hollow+Shaft&amp;qid=1695173548&amp;sr=8-8", "https://www.amazon.com/Magnetic-Klein-Tools-630-1-4M/dp/B00093GE6M/ref=sr_1_8?keywords=Klein+Tools+646-1%2F4+1%2F4-Inch+Nut+Driver+with+6-Inch+Hollow+Shaft&amp;qid=1695173548&amp;sr=8-8")</f>
        <v>https://www.amazon.com/Magnetic-Klein-Tools-630-1-4M/dp/B00093GE6M/ref=sr_1_8?keywords=Klein+Tools+646-1%2F4+1%2F4-Inch+Nut+Driver+with+6-Inch+Hollow+Shaft&amp;qid=1695173548&amp;sr=8-8</v>
      </c>
      <c r="F1457" t="s">
        <v>3896</v>
      </c>
      <c r="G1457" t="e">
        <f ca="1">_xludf.IMAGE("https://edmondsonsupply.com/cdn/shop/products/646-1-2_08d87fa9-eac4-4869-8d3b-bb680d4b1d53.jpg?v=1587150676")</f>
        <v>#NAME?</v>
      </c>
      <c r="H1457" t="e">
        <f ca="1">_xludf.IMAGE("https://m.media-amazon.com/images/I/51TXA1qvEdL._AC_UL320_.jpg")</f>
        <v>#NAME?</v>
      </c>
      <c r="I1457" t="s">
        <v>1003</v>
      </c>
      <c r="J1457">
        <v>9.4499999999999993</v>
      </c>
      <c r="K1457" s="4">
        <v>0.1827</v>
      </c>
      <c r="L1457">
        <v>4.7</v>
      </c>
      <c r="M1457">
        <v>1574</v>
      </c>
      <c r="O1457" t="s">
        <v>25</v>
      </c>
      <c r="P1457" t="s">
        <v>1481</v>
      </c>
      <c r="Q1457" t="s">
        <v>1482</v>
      </c>
    </row>
    <row r="1458" spans="1:17" ht="15.5" x14ac:dyDescent="0.35">
      <c r="A1458" s="3" t="str">
        <f>HYPERLINK("https://edmondsonsupply.com/collections/hvac/products/klein-tools-32562-6-in-1-multi-bit-screwdriver-nut-driver-stubby", "https://edmondsonsupply.com/collections/hvac/products/klein-tools-32562-6-in-1-multi-bit-screwdriver-nut-driver-stubby")</f>
        <v>https://edmondsonsupply.com/collections/hvac/products/klein-tools-32562-6-in-1-multi-bit-screwdriver-nut-driver-stubby</v>
      </c>
      <c r="B1458"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1458" t="s">
        <v>3544</v>
      </c>
      <c r="D1458" t="s">
        <v>3897</v>
      </c>
      <c r="E1458" s="3" t="str">
        <f>HYPERLINK("https://www.amazon.com/Ratcheting-Screwdriver-Klein-Tools-32594/dp/B01I2KTKR8/ref=sr_1_4?keywords=Klein+Tools+32562+Multi-Bit+Screwdriver+%2F+Nut+Driver%2C+6-in-1%2C+Stubby%2C+Ph%2C+Sl%2C+Sq+Bits&amp;qid=1695173663&amp;sr=8-4", "https://www.amazon.com/Ratcheting-Screwdriver-Klein-Tools-32594/dp/B01I2KTKR8/ref=sr_1_4?keywords=Klein+Tools+32562+Multi-Bit+Screwdriver+%2F+Nut+Driver%2C+6-in-1%2C+Stubby%2C+Ph%2C+Sl%2C+Sq+Bits&amp;qid=1695173663&amp;sr=8-4")</f>
        <v>https://www.amazon.com/Ratcheting-Screwdriver-Klein-Tools-32594/dp/B01I2KTKR8/ref=sr_1_4?keywords=Klein+Tools+32562+Multi-Bit+Screwdriver+%2F+Nut+Driver%2C+6-in-1%2C+Stubby%2C+Ph%2C+Sl%2C+Sq+Bits&amp;qid=1695173663&amp;sr=8-4</v>
      </c>
      <c r="F1458" t="s">
        <v>3898</v>
      </c>
      <c r="G1458" t="e">
        <f ca="1">_xludf.IMAGE("https://edmondsonsupply.com/cdn/shop/products/32562.jpg?v=1587145424")</f>
        <v>#NAME?</v>
      </c>
      <c r="H1458" t="e">
        <f ca="1">_xludf.IMAGE("https://m.media-amazon.com/images/I/51pkI+hcIbL._AC_UL320_.jpg")</f>
        <v>#NAME?</v>
      </c>
      <c r="I1458" t="s">
        <v>834</v>
      </c>
      <c r="J1458">
        <v>15.36</v>
      </c>
      <c r="K1458" s="4">
        <v>0.18240000000000001</v>
      </c>
      <c r="L1458">
        <v>4.8</v>
      </c>
      <c r="M1458">
        <v>551</v>
      </c>
      <c r="O1458" t="s">
        <v>25</v>
      </c>
      <c r="P1458" t="s">
        <v>3547</v>
      </c>
      <c r="Q1458" t="s">
        <v>3548</v>
      </c>
    </row>
    <row r="1459" spans="1:17" ht="15.5" x14ac:dyDescent="0.35">
      <c r="A1459" s="3" t="str">
        <f>HYPERLINK("https://edmondsonsupply.com/collections/hvac/products/malco-tools-m2001-max2000%C2%AE-standard-aviation-snip-left-cutting", "https://edmondsonsupply.com/collections/hvac/products/malco-tools-m2001-max2000%C2%AE-standard-aviation-snip-left-cutting")</f>
        <v>https://edmondsonsupply.com/collections/hvac/products/malco-tools-m2001-max2000%C2%AE-standard-aviation-snip-left-cutting</v>
      </c>
      <c r="B1459" s="3" t="str">
        <f>HYPERLINK("https://edmondsonsupply.com/products/malco-tools-m2001-max2000%c2%ae-standard-aviation-snip-left-cutting", "https://edmondsonsupply.com/products/malco-tools-m2001-max2000%c2%ae-standard-aviation-snip-left-cutting")</f>
        <v>https://edmondsonsupply.com/products/malco-tools-m2001-max2000%c2%ae-standard-aviation-snip-left-cutting</v>
      </c>
      <c r="C1459" t="s">
        <v>3899</v>
      </c>
      <c r="D1459" t="s">
        <v>3900</v>
      </c>
      <c r="E1459" s="3" t="str">
        <f>HYPERLINK("https://www.amazon.com/Malco-M2001-MAX2000-Capacity-Aviation/dp/B00004SUQJ/ref=sr_1_1?keywords=Malco+Tools+M2001+Max2000%C2%AE+Standard+Aviation+Snip+-+Left+Cutting&amp;qid=1695173663&amp;sr=8-1", "https://www.amazon.com/Malco-M2001-MAX2000-Capacity-Aviation/dp/B00004SUQJ/ref=sr_1_1?keywords=Malco+Tools+M2001+Max2000%C2%AE+Standard+Aviation+Snip+-+Left+Cutting&amp;qid=1695173663&amp;sr=8-1")</f>
        <v>https://www.amazon.com/Malco-M2001-MAX2000-Capacity-Aviation/dp/B00004SUQJ/ref=sr_1_1?keywords=Malco+Tools+M2001+Max2000%C2%AE+Standard+Aviation+Snip+-+Left+Cutting&amp;qid=1695173663&amp;sr=8-1</v>
      </c>
      <c r="F1459" t="s">
        <v>3901</v>
      </c>
      <c r="G1459" t="e">
        <f ca="1">_xludf.IMAGE("https://edmondsonsupply.com/cdn/shop/products/m2001_catalog-big-e1530194086198.jpg?v=1587147477")</f>
        <v>#NAME?</v>
      </c>
      <c r="H1459" t="e">
        <f ca="1">_xludf.IMAGE("https://m.media-amazon.com/images/I/51xKEGPGMPL._AC_UL320_.jpg")</f>
        <v>#NAME?</v>
      </c>
      <c r="I1459" t="s">
        <v>261</v>
      </c>
      <c r="J1459">
        <v>42.5</v>
      </c>
      <c r="K1459" s="4">
        <v>0.18090000000000001</v>
      </c>
      <c r="L1459">
        <v>4.7</v>
      </c>
      <c r="M1459">
        <v>47</v>
      </c>
      <c r="O1459" t="s">
        <v>25</v>
      </c>
      <c r="P1459" t="s">
        <v>3579</v>
      </c>
      <c r="Q1459" t="s">
        <v>3902</v>
      </c>
    </row>
    <row r="1460" spans="1:17" ht="15.5" x14ac:dyDescent="0.35">
      <c r="A1460" s="3" t="str">
        <f>HYPERLINK("https://edmondsonsupply.com/collections/hvac/products/diablo-tools-dag1130-1-in-x-7-1-2-in-auger-bit", "https://edmondsonsupply.com/collections/hvac/products/diablo-tools-dag1130-1-in-x-7-1-2-in-auger-bit")</f>
        <v>https://edmondsonsupply.com/collections/hvac/products/diablo-tools-dag1130-1-in-x-7-1-2-in-auger-bit</v>
      </c>
      <c r="B1460" s="3" t="str">
        <f>HYPERLINK("https://edmondsonsupply.com/products/diablo-tools-dag1130-1-in-x-7-1-2-in-auger-bit", "https://edmondsonsupply.com/products/diablo-tools-dag1130-1-in-x-7-1-2-in-auger-bit")</f>
        <v>https://edmondsonsupply.com/products/diablo-tools-dag1130-1-in-x-7-1-2-in-auger-bit</v>
      </c>
      <c r="C1460" t="s">
        <v>3530</v>
      </c>
      <c r="D1460" t="s">
        <v>3903</v>
      </c>
      <c r="E1460" s="3" t="str">
        <f>HYPERLINK("https://www.amazon.com/Diablo-Freud-DAG1110-7-1-Auger/dp/B089KWR9F4/ref=sr_1_9?keywords=Diablo+Tools+DAG1130+1+in.+x+7-1%2F2+in.+Auger+Bit&amp;qid=1695173621&amp;sr=8-9", "https://www.amazon.com/Diablo-Freud-DAG1110-7-1-Auger/dp/B089KWR9F4/ref=sr_1_9?keywords=Diablo+Tools+DAG1130+1+in.+x+7-1%2F2+in.+Auger+Bit&amp;qid=1695173621&amp;sr=8-9")</f>
        <v>https://www.amazon.com/Diablo-Freud-DAG1110-7-1-Auger/dp/B089KWR9F4/ref=sr_1_9?keywords=Diablo+Tools+DAG1130+1+in.+x+7-1%2F2+in.+Auger+Bit&amp;qid=1695173621&amp;sr=8-9</v>
      </c>
      <c r="F1460" t="s">
        <v>3904</v>
      </c>
      <c r="G1460" t="e">
        <f ca="1">_xludf.IMAGE("https://edmondsonsupply.com/cdn/shop/products/DAG1130_Main-Image20200712.png?v=1633031124")</f>
        <v>#NAME?</v>
      </c>
      <c r="H1460" t="e">
        <f ca="1">_xludf.IMAGE("https://m.media-amazon.com/images/I/61FgY3Jv5eL._AC_UL320_.jpg")</f>
        <v>#NAME?</v>
      </c>
      <c r="I1460" t="s">
        <v>3533</v>
      </c>
      <c r="J1460">
        <v>19.29</v>
      </c>
      <c r="K1460" s="4">
        <v>0.1784</v>
      </c>
      <c r="L1460">
        <v>4.8</v>
      </c>
      <c r="M1460">
        <v>48</v>
      </c>
      <c r="O1460" t="s">
        <v>25</v>
      </c>
      <c r="P1460" t="s">
        <v>3534</v>
      </c>
      <c r="Q1460" t="s">
        <v>3535</v>
      </c>
    </row>
    <row r="1461" spans="1:17" ht="15.5" x14ac:dyDescent="0.35">
      <c r="A1461"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1461"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1461" t="s">
        <v>2391</v>
      </c>
      <c r="D1461" t="s">
        <v>3905</v>
      </c>
      <c r="E1461" s="3" t="str">
        <f>HYPERLINK("https://www.amazon.com/Journeyman-T-Handle-Klein-Tools-JTH9M3/dp/B005G3HJ28/ref=sr_1_7?keywords=Klein+Tools+JTH6E11+3%2F16-Inch+Hex+Key%2C+Journeyman+T-Handle%2C+6-Inch&amp;qid=1695173553&amp;sr=8-7", "https://www.amazon.com/Journeyman-T-Handle-Klein-Tools-JTH9M3/dp/B005G3HJ28/ref=sr_1_7?keywords=Klein+Tools+JTH6E11+3%2F16-Inch+Hex+Key%2C+Journeyman+T-Handle%2C+6-Inch&amp;qid=1695173553&amp;sr=8-7")</f>
        <v>https://www.amazon.com/Journeyman-T-Handle-Klein-Tools-JTH9M3/dp/B005G3HJ28/ref=sr_1_7?keywords=Klein+Tools+JTH6E11+3%2F16-Inch+Hex+Key%2C+Journeyman+T-Handle%2C+6-Inch&amp;qid=1695173553&amp;sr=8-7</v>
      </c>
      <c r="F1461" t="s">
        <v>3906</v>
      </c>
      <c r="G1461" t="e">
        <f ca="1">_xludf.IMAGE("https://edmondsonsupply.com/cdn/shop/products/jth6e15_0266106d-0a3b-44ba-997b-66db7749d83f.jpg?v=1587144829")</f>
        <v>#NAME?</v>
      </c>
      <c r="H1461" t="e">
        <f ca="1">_xludf.IMAGE("https://m.media-amazon.com/images/I/51MZtGjDOtL._AC_UL320_.jpg")</f>
        <v>#NAME?</v>
      </c>
      <c r="I1461" t="s">
        <v>2388</v>
      </c>
      <c r="J1461">
        <v>5.88</v>
      </c>
      <c r="K1461" s="4">
        <v>0.1784</v>
      </c>
      <c r="L1461">
        <v>4.5999999999999996</v>
      </c>
      <c r="M1461">
        <v>179</v>
      </c>
      <c r="O1461" t="s">
        <v>25</v>
      </c>
      <c r="P1461" t="s">
        <v>2392</v>
      </c>
      <c r="Q1461" t="s">
        <v>2393</v>
      </c>
    </row>
    <row r="1462" spans="1:17" ht="15.5" x14ac:dyDescent="0.35">
      <c r="A1462"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462" s="3" t="str">
        <f>HYPERLINK("https://edmondsonsupply.com/products/klein-tools-jth4e17-1-2-inch-hex-key-journeyman-t-handle-4-inch", "https://edmondsonsupply.com/products/klein-tools-jth4e17-1-2-inch-hex-key-journeyman-t-handle-4-inch")</f>
        <v>https://edmondsonsupply.com/products/klein-tools-jth4e17-1-2-inch-hex-key-journeyman-t-handle-4-inch</v>
      </c>
      <c r="C1462" t="s">
        <v>2385</v>
      </c>
      <c r="D1462" t="s">
        <v>3905</v>
      </c>
      <c r="E1462" s="3" t="str">
        <f>HYPERLINK("https://www.amazon.com/Journeyman-T-Handle-Klein-Tools-JTH9M3/dp/B005G3HJ28/ref=sr_1_7?keywords=Klein+Tools+JTH4E11+3%2F16-Inch+Hex+Key+with+Journeyman+T-Handle%2C+4-Inch&amp;qid=1695173548&amp;sr=8-7", "https://www.amazon.com/Journeyman-T-Handle-Klein-Tools-JTH9M3/dp/B005G3HJ28/ref=sr_1_7?keywords=Klein+Tools+JTH4E11+3%2F16-Inch+Hex+Key+with+Journeyman+T-Handle%2C+4-Inch&amp;qid=1695173548&amp;sr=8-7")</f>
        <v>https://www.amazon.com/Journeyman-T-Handle-Klein-Tools-JTH9M3/dp/B005G3HJ28/ref=sr_1_7?keywords=Klein+Tools+JTH4E11+3%2F16-Inch+Hex+Key+with+Journeyman+T-Handle%2C+4-Inch&amp;qid=1695173548&amp;sr=8-7</v>
      </c>
      <c r="F1462" t="s">
        <v>3906</v>
      </c>
      <c r="G1462" t="e">
        <f ca="1">_xludf.IMAGE("https://edmondsonsupply.com/cdn/shop/products/jth4e17.jpg?v=1587144836")</f>
        <v>#NAME?</v>
      </c>
      <c r="H1462" t="e">
        <f ca="1">_xludf.IMAGE("https://m.media-amazon.com/images/I/51MZtGjDOtL._AC_UL320_.jpg")</f>
        <v>#NAME?</v>
      </c>
      <c r="I1462" t="s">
        <v>2388</v>
      </c>
      <c r="J1462">
        <v>5.88</v>
      </c>
      <c r="K1462" s="4">
        <v>0.1784</v>
      </c>
      <c r="L1462">
        <v>4.5999999999999996</v>
      </c>
      <c r="M1462">
        <v>179</v>
      </c>
      <c r="O1462" t="s">
        <v>25</v>
      </c>
      <c r="P1462" t="s">
        <v>2389</v>
      </c>
      <c r="Q1462" t="s">
        <v>2390</v>
      </c>
    </row>
    <row r="1463" spans="1:17" ht="15.5" x14ac:dyDescent="0.35">
      <c r="A1463" s="3" t="str">
        <f>HYPERLINK("https://edmondsonsupply.com/collections/hvac/products/fluke-t5-600", "https://edmondsonsupply.com/collections/hvac/products/fluke-t5-600")</f>
        <v>https://edmondsonsupply.com/collections/hvac/products/fluke-t5-600</v>
      </c>
      <c r="B1463" s="3" t="str">
        <f>HYPERLINK("https://edmondsonsupply.com/products/fluke-t5-600", "https://edmondsonsupply.com/products/fluke-t5-600")</f>
        <v>https://edmondsonsupply.com/products/fluke-t5-600</v>
      </c>
      <c r="C1463" t="s">
        <v>3397</v>
      </c>
      <c r="D1463" t="s">
        <v>3907</v>
      </c>
      <c r="E1463" s="3" t="str">
        <f>HYPERLINK("https://www.amazon.com/Fluke-Continuity-NIST-Traceable-Calibration-Certificate/dp/B00DK89Y7O/ref=sr_1_2?keywords=Fluke+T5-600+Voltage%2C+Continuity+and+Current+Tester%2C+600V+AC%2FDC&amp;qid=1695173406&amp;sr=8-2", "https://www.amazon.com/Fluke-Continuity-NIST-Traceable-Calibration-Certificate/dp/B00DK89Y7O/ref=sr_1_2?keywords=Fluke+T5-600+Voltage%2C+Continuity+and+Current+Tester%2C+600V+AC%2FDC&amp;qid=1695173406&amp;sr=8-2")</f>
        <v>https://www.amazon.com/Fluke-Continuity-NIST-Traceable-Calibration-Certificate/dp/B00DK89Y7O/ref=sr_1_2?keywords=Fluke+T5-600+Voltage%2C+Continuity+and+Current+Tester%2C+600V+AC%2FDC&amp;qid=1695173406&amp;sr=8-2</v>
      </c>
      <c r="F1463" t="s">
        <v>3908</v>
      </c>
      <c r="G1463" t="e">
        <f ca="1">_xludf.IMAGE("https://edmondsonsupply.com/cdn/shop/products/F-t5-600-euro_03a_c.jpg?v=1633030279")</f>
        <v>#NAME?</v>
      </c>
      <c r="H1463" t="e">
        <f ca="1">_xludf.IMAGE("https://m.media-amazon.com/images/I/61MauP-WopL._AC_UL320_.jpg")</f>
        <v>#NAME?</v>
      </c>
      <c r="I1463" t="s">
        <v>3400</v>
      </c>
      <c r="J1463">
        <v>162.47999999999999</v>
      </c>
      <c r="K1463" s="4">
        <v>0.17749999999999999</v>
      </c>
      <c r="L1463">
        <v>4.5999999999999996</v>
      </c>
      <c r="M1463">
        <v>21</v>
      </c>
      <c r="O1463" t="s">
        <v>25</v>
      </c>
      <c r="P1463" t="s">
        <v>3401</v>
      </c>
      <c r="Q1463" t="s">
        <v>3402</v>
      </c>
    </row>
    <row r="1464" spans="1:17" ht="15.5" x14ac:dyDescent="0.35">
      <c r="A1464" s="3" t="str">
        <f>HYPERLINK("https://edmondsonsupply.com/collections/hvac/products/channellock-428", "https://edmondsonsupply.com/collections/hvac/products/channellock-428")</f>
        <v>https://edmondsonsupply.com/collections/hvac/products/channellock-428</v>
      </c>
      <c r="B1464" s="3" t="str">
        <f>HYPERLINK("https://edmondsonsupply.com/products/channellock-428", "https://edmondsonsupply.com/products/channellock-428")</f>
        <v>https://edmondsonsupply.com/products/channellock-428</v>
      </c>
      <c r="C1464" t="s">
        <v>1791</v>
      </c>
      <c r="D1464" t="s">
        <v>3909</v>
      </c>
      <c r="E1464" s="3" t="str">
        <f>HYPERLINK("https://www.amazon.com/Channellock-430-Straight-Heat-Treated-Reinforcing/dp/B00002N5JF/ref=sr_1_5?keywords=Channellock+428+8-Inch+Straight+Jaw+Tongue+%26+Groove+Pliers&amp;qid=1695173687&amp;sr=8-5", "https://www.amazon.com/Channellock-430-Straight-Heat-Treated-Reinforcing/dp/B00002N5JF/ref=sr_1_5?keywords=Channellock+428+8-Inch+Straight+Jaw+Tongue+%26+Groove+Pliers&amp;qid=1695173687&amp;sr=8-5")</f>
        <v>https://www.amazon.com/Channellock-430-Straight-Heat-Treated-Reinforcing/dp/B00002N5JF/ref=sr_1_5?keywords=Channellock+428+8-Inch+Straight+Jaw+Tongue+%26+Groove+Pliers&amp;qid=1695173687&amp;sr=8-5</v>
      </c>
      <c r="F1464" t="s">
        <v>3910</v>
      </c>
      <c r="G1464" t="e">
        <f ca="1">_xludf.IMAGE("https://edmondsonsupply.com/cdn/shop/products/428-683x1024.jpg?v=1587145854")</f>
        <v>#NAME?</v>
      </c>
      <c r="H1464" t="e">
        <f ca="1">_xludf.IMAGE("https://m.media-amazon.com/images/I/71JqgqffnnL._AC_UL320_.jpg")</f>
        <v>#NAME?</v>
      </c>
      <c r="I1464" t="s">
        <v>1554</v>
      </c>
      <c r="J1464">
        <v>19.95</v>
      </c>
      <c r="K1464" s="4">
        <v>0.17699999999999999</v>
      </c>
      <c r="L1464">
        <v>4.8</v>
      </c>
      <c r="M1464">
        <v>2191</v>
      </c>
      <c r="O1464" t="s">
        <v>25</v>
      </c>
      <c r="P1464" t="s">
        <v>1794</v>
      </c>
      <c r="Q1464" t="s">
        <v>1795</v>
      </c>
    </row>
    <row r="1465" spans="1:17" ht="15.5" x14ac:dyDescent="0.35">
      <c r="A1465" s="3" t="str">
        <f>HYPERLINK("https://edmondsonsupply.com/collections/hvac/products/channellock-804", "https://edmondsonsupply.com/collections/hvac/products/channellock-804")</f>
        <v>https://edmondsonsupply.com/collections/hvac/products/channellock-804</v>
      </c>
      <c r="B1465" s="3" t="str">
        <f>HYPERLINK("https://edmondsonsupply.com/products/channellock-804", "https://edmondsonsupply.com/products/channellock-804")</f>
        <v>https://edmondsonsupply.com/products/channellock-804</v>
      </c>
      <c r="C1465" t="s">
        <v>1551</v>
      </c>
      <c r="D1465" t="s">
        <v>3911</v>
      </c>
      <c r="E1465" s="3" t="str">
        <f>HYPERLINK("https://www.amazon.com/Channellock-808W-8-Inch-Adjustable-Wrench/dp/B000UJQ6EA/ref=sr_1_5?keywords=Channellock+804+4-Inch+Chrome+Adjustable+Wrench&amp;qid=1695173641&amp;sr=8-5", "https://www.amazon.com/Channellock-808W-8-Inch-Adjustable-Wrench/dp/B000UJQ6EA/ref=sr_1_5?keywords=Channellock+804+4-Inch+Chrome+Adjustable+Wrench&amp;qid=1695173641&amp;sr=8-5")</f>
        <v>https://www.amazon.com/Channellock-808W-8-Inch-Adjustable-Wrench/dp/B000UJQ6EA/ref=sr_1_5?keywords=Channellock+804+4-Inch+Chrome+Adjustable+Wrench&amp;qid=1695173641&amp;sr=8-5</v>
      </c>
      <c r="F1465" t="s">
        <v>3912</v>
      </c>
      <c r="G1465" t="e">
        <f ca="1">_xludf.IMAGE("https://edmondsonsupply.com/cdn/shop/products/804-683x1024.jpg?v=1587145853")</f>
        <v>#NAME?</v>
      </c>
      <c r="H1465" t="e">
        <f ca="1">_xludf.IMAGE("https://m.media-amazon.com/images/I/71Gsk0R5dIL._AC_UL320_.jpg")</f>
        <v>#NAME?</v>
      </c>
      <c r="I1465" t="s">
        <v>1554</v>
      </c>
      <c r="J1465">
        <v>19.95</v>
      </c>
      <c r="K1465" s="4">
        <v>0.17699999999999999</v>
      </c>
      <c r="L1465">
        <v>4.8</v>
      </c>
      <c r="M1465">
        <v>368</v>
      </c>
      <c r="O1465" t="s">
        <v>25</v>
      </c>
      <c r="P1465" t="s">
        <v>1555</v>
      </c>
      <c r="Q1465" t="s">
        <v>1556</v>
      </c>
    </row>
    <row r="1466" spans="1:17" ht="15.5" x14ac:dyDescent="0.35">
      <c r="A1466" s="3" t="str">
        <f>HYPERLINK("https://edmondsonsupply.com/collections/hvac/products/solderweld-sw-hb1-hot-block-reusable-heat-absorption-putty", "https://edmondsonsupply.com/collections/hvac/products/solderweld-sw-hb1-hot-block-reusable-heat-absorption-putty")</f>
        <v>https://edmondsonsupply.com/collections/hvac/products/solderweld-sw-hb1-hot-block-reusable-heat-absorption-putty</v>
      </c>
      <c r="B1466" s="3" t="str">
        <f>HYPERLINK("https://edmondsonsupply.com/products/solderweld-sw-hb1-hot-block-reusable-heat-absorption-putty", "https://edmondsonsupply.com/products/solderweld-sw-hb1-hot-block-reusable-heat-absorption-putty")</f>
        <v>https://edmondsonsupply.com/products/solderweld-sw-hb1-hot-block-reusable-heat-absorption-putty</v>
      </c>
      <c r="C1466" t="s">
        <v>3913</v>
      </c>
      <c r="D1466" t="s">
        <v>3914</v>
      </c>
      <c r="E1466" s="3" t="str">
        <f>HYPERLINK("https://www.amazon.com/Solderweld-SW-HB1-Welding-accesory/dp/B07QF6T8BH/ref=sr_1_1?keywords=SolderWeld+SW-HB1+Hot+Block+-+Reusable+Heat+Absorption+Putty%2C+1+lb+Tub&amp;qid=1695173413&amp;sr=8-1", "https://www.amazon.com/Solderweld-SW-HB1-Welding-accesory/dp/B07QF6T8BH/ref=sr_1_1?keywords=SolderWeld+SW-HB1+Hot+Block+-+Reusable+Heat+Absorption+Putty%2C+1+lb+Tub&amp;qid=1695173413&amp;sr=8-1")</f>
        <v>https://www.amazon.com/Solderweld-SW-HB1-Welding-accesory/dp/B07QF6T8BH/ref=sr_1_1?keywords=SolderWeld+SW-HB1+Hot+Block+-+Reusable+Heat+Absorption+Putty%2C+1+lb+Tub&amp;qid=1695173413&amp;sr=8-1</v>
      </c>
      <c r="F1466" t="s">
        <v>3915</v>
      </c>
      <c r="G1466" t="e">
        <f ca="1">_xludf.IMAGE("https://edmondsonsupply.com/cdn/shop/products/HotBlock_06de5d94-9e03-4006-9cb0-fca470d5534a_500x334_png.webp?v=1660614324")</f>
        <v>#NAME?</v>
      </c>
      <c r="H1466" t="e">
        <f ca="1">_xludf.IMAGE("https://m.media-amazon.com/images/I/31CMhAWXGtL._AC_UY218_.jpg")</f>
        <v>#NAME?</v>
      </c>
      <c r="I1466" t="s">
        <v>3916</v>
      </c>
      <c r="J1466">
        <v>59.99</v>
      </c>
      <c r="K1466" s="4">
        <v>0.17649999999999999</v>
      </c>
      <c r="L1466">
        <v>4.3</v>
      </c>
      <c r="M1466">
        <v>56</v>
      </c>
      <c r="O1466" t="s">
        <v>25</v>
      </c>
      <c r="P1466" t="s">
        <v>3253</v>
      </c>
      <c r="Q1466" t="s">
        <v>3917</v>
      </c>
    </row>
    <row r="1467" spans="1:17" ht="15.5" x14ac:dyDescent="0.35">
      <c r="A1467" s="3" t="str">
        <f>HYPERLINK("https://edmondsonsupply.com/collections/hvac/products/supco-mag1bk-30-vac-magnetic-test-leads", "https://edmondsonsupply.com/collections/hvac/products/supco-mag1bk-30-vac-magnetic-test-leads")</f>
        <v>https://edmondsonsupply.com/collections/hvac/products/supco-mag1bk-30-vac-magnetic-test-leads</v>
      </c>
      <c r="B1467" s="3" t="str">
        <f>HYPERLINK("https://edmondsonsupply.com/products/supco-mag1bk-30-vac-magnetic-test-leads", "https://edmondsonsupply.com/products/supco-mag1bk-30-vac-magnetic-test-leads")</f>
        <v>https://edmondsonsupply.com/products/supco-mag1bk-30-vac-magnetic-test-leads</v>
      </c>
      <c r="C1467" t="s">
        <v>2574</v>
      </c>
      <c r="D1467" t="s">
        <v>3918</v>
      </c>
      <c r="E1467" s="3" t="str">
        <f>HYPERLINK("https://www.amazon.com/Supco-MAG1BL-Orginal-Replacement-Parts/dp/B01KU9564K/ref=sr_1_5?keywords=Supco+MAG1BK+30+VAC+Magnetic+Test+Leads&amp;qid=1695173502&amp;sr=8-5", "https://www.amazon.com/Supco-MAG1BL-Orginal-Replacement-Parts/dp/B01KU9564K/ref=sr_1_5?keywords=Supco+MAG1BK+30+VAC+Magnetic+Test+Leads&amp;qid=1695173502&amp;sr=8-5")</f>
        <v>https://www.amazon.com/Supco-MAG1BL-Orginal-Replacement-Parts/dp/B01KU9564K/ref=sr_1_5?keywords=Supco+MAG1BK+30+VAC+Magnetic+Test+Leads&amp;qid=1695173502&amp;sr=8-5</v>
      </c>
      <c r="F1467" t="s">
        <v>3919</v>
      </c>
      <c r="G1467" t="e">
        <f ca="1">_xludf.IMAGE("https://edmondsonsupply.com/cdn/shop/products/mag1bk.png?v=1671744087")</f>
        <v>#NAME?</v>
      </c>
      <c r="H1467" t="e">
        <f ca="1">_xludf.IMAGE("https://m.media-amazon.com/images/I/61ha6OxORnL._AC_UY218_.jpg")</f>
        <v>#NAME?</v>
      </c>
      <c r="I1467" t="s">
        <v>2577</v>
      </c>
      <c r="J1467">
        <v>11.75</v>
      </c>
      <c r="K1467" s="4">
        <v>0.1762</v>
      </c>
      <c r="L1467">
        <v>4.5</v>
      </c>
      <c r="M1467">
        <v>463</v>
      </c>
      <c r="O1467" t="s">
        <v>25</v>
      </c>
      <c r="P1467" t="s">
        <v>138</v>
      </c>
      <c r="Q1467" t="s">
        <v>2578</v>
      </c>
    </row>
    <row r="1468" spans="1:17" ht="15.5" x14ac:dyDescent="0.35">
      <c r="A1468" s="3" t="str">
        <f>HYPERLINK("https://edmondsonsupply.com/collections/hvac/products/klein-tools-pnd-916-10-9-16-inch-power-nut-driver-10-inch-length-pnd91610", "https://edmondsonsupply.com/collections/hvac/products/klein-tools-pnd-916-10-9-16-inch-power-nut-driver-10-inch-length-pnd91610")</f>
        <v>https://edmondsonsupply.com/collections/hvac/products/klein-tools-pnd-916-10-9-16-inch-power-nut-driver-10-inch-length-pnd91610</v>
      </c>
      <c r="B1468" s="3" t="str">
        <f>HYPERLINK("https://edmondsonsupply.com/products/klein-tools-pnd-916-10-9-16-inch-power-nut-driver-10-inch-length-pnd91610", "https://edmondsonsupply.com/products/klein-tools-pnd-916-10-9-16-inch-power-nut-driver-10-inch-length-pnd91610")</f>
        <v>https://edmondsonsupply.com/products/klein-tools-pnd-916-10-9-16-inch-power-nut-driver-10-inch-length-pnd91610</v>
      </c>
      <c r="C1468" t="s">
        <v>3920</v>
      </c>
      <c r="D1468" t="s">
        <v>3920</v>
      </c>
      <c r="E1468" s="3" t="str">
        <f>HYPERLINK("https://www.amazon.com/16-Inch-10-Inch-Klein-Tools-PND91610/dp/B00ELGQ9WC/ref=sr_1_1?keywords=Klein+Tools+PND91610+9%2F16-Inch+Power+Nut+Driver%2C+10-Inch+Length&amp;qid=1695173522&amp;sr=8-1", "https://www.amazon.com/16-Inch-10-Inch-Klein-Tools-PND91610/dp/B00ELGQ9WC/ref=sr_1_1?keywords=Klein+Tools+PND91610+9%2F16-Inch+Power+Nut+Driver%2C+10-Inch+Length&amp;qid=1695173522&amp;sr=8-1")</f>
        <v>https://www.amazon.com/16-Inch-10-Inch-Klein-Tools-PND91610/dp/B00ELGQ9WC/ref=sr_1_1?keywords=Klein+Tools+PND91610+9%2F16-Inch+Power+Nut+Driver%2C+10-Inch+Length&amp;qid=1695173522&amp;sr=8-1</v>
      </c>
      <c r="F1468" t="s">
        <v>3921</v>
      </c>
      <c r="G1468" t="e">
        <f ca="1">_xludf.IMAGE("https://edmondsonsupply.com/cdn/shop/products/pnd91610.jpg?v=1587144987")</f>
        <v>#NAME?</v>
      </c>
      <c r="H1468" t="e">
        <f ca="1">_xludf.IMAGE("https://m.media-amazon.com/images/I/31wQ2+L9xFL._AC_UL320_.jpg")</f>
        <v>#NAME?</v>
      </c>
      <c r="I1468" t="s">
        <v>471</v>
      </c>
      <c r="J1468">
        <v>29.36</v>
      </c>
      <c r="K1468" s="4">
        <v>0.1749</v>
      </c>
      <c r="L1468">
        <v>4.5999999999999996</v>
      </c>
      <c r="M1468">
        <v>1108</v>
      </c>
      <c r="O1468" t="s">
        <v>25</v>
      </c>
      <c r="P1468" t="s">
        <v>472</v>
      </c>
      <c r="Q1468" t="s">
        <v>3922</v>
      </c>
    </row>
    <row r="1469" spans="1:17" ht="15.5" x14ac:dyDescent="0.35">
      <c r="A1469" s="3" t="str">
        <f>HYPERLINK("https://edmondsonsupply.com/collections/hvac/products/jb-industries-a32008-1-4-valve-core-torque-tool", "https://edmondsonsupply.com/collections/hvac/products/jb-industries-a32008-1-4-valve-core-torque-tool")</f>
        <v>https://edmondsonsupply.com/collections/hvac/products/jb-industries-a32008-1-4-valve-core-torque-tool</v>
      </c>
      <c r="B1469" s="3" t="str">
        <f>HYPERLINK("https://edmondsonsupply.com/products/jb-industries-a32008-1-4-valve-core-torque-tool", "https://edmondsonsupply.com/products/jb-industries-a32008-1-4-valve-core-torque-tool")</f>
        <v>https://edmondsonsupply.com/products/jb-industries-a32008-1-4-valve-core-torque-tool</v>
      </c>
      <c r="C1469" t="s">
        <v>3923</v>
      </c>
      <c r="D1469" t="s">
        <v>3924</v>
      </c>
      <c r="E1469" s="3" t="str">
        <f>HYPERLINK("https://www.amazon.com/JB-Industries-A32008-Valve-Torque/dp/B00LO2JJ78/ref=sr_1_1?keywords=JB+Industries+A32008+1%2F4%22+Valve+Core+Torque+Tool&amp;qid=1695173439&amp;sr=8-1", "https://www.amazon.com/JB-Industries-A32008-Valve-Torque/dp/B00LO2JJ78/ref=sr_1_1?keywords=JB+Industries+A32008+1%2F4%22+Valve+Core+Torque+Tool&amp;qid=1695173439&amp;sr=8-1")</f>
        <v>https://www.amazon.com/JB-Industries-A32008-Valve-Torque/dp/B00LO2JJ78/ref=sr_1_1?keywords=JB+Industries+A32008+1%2F4%22+Valve+Core+Torque+Tool&amp;qid=1695173439&amp;sr=8-1</v>
      </c>
      <c r="F1469" t="s">
        <v>3925</v>
      </c>
      <c r="G1469" t="e">
        <f ca="1">_xludf.IMAGE("https://edmondsonsupply.com/cdn/shop/products/A32008-JB-Valve-Core-Torque-Tool-Access-Valves.png?v=1680140821")</f>
        <v>#NAME?</v>
      </c>
      <c r="H1469" t="e">
        <f ca="1">_xludf.IMAGE("https://m.media-amazon.com/images/I/41YaJf3IQxL._AC_UL320_.jpg")</f>
        <v>#NAME?</v>
      </c>
      <c r="I1469" t="s">
        <v>3926</v>
      </c>
      <c r="J1469">
        <v>26.99</v>
      </c>
      <c r="K1469" s="4">
        <v>0.1719</v>
      </c>
      <c r="L1469">
        <v>4</v>
      </c>
      <c r="M1469">
        <v>28</v>
      </c>
      <c r="O1469" t="s">
        <v>25</v>
      </c>
      <c r="P1469" t="s">
        <v>3927</v>
      </c>
      <c r="Q1469" t="s">
        <v>3928</v>
      </c>
    </row>
    <row r="1470" spans="1:17" ht="15.5" x14ac:dyDescent="0.35">
      <c r="A1470" s="3" t="str">
        <f>HYPERLINK("https://edmondsonsupply.com/collections/hvac/products/robertshaw-rs8210-digital-non-programmable-thermostat-multi-stage-2-heat-1-cool", "https://edmondsonsupply.com/collections/hvac/products/robertshaw-rs8210-digital-non-programmable-thermostat-multi-stage-2-heat-1-cool")</f>
        <v>https://edmondsonsupply.com/collections/hvac/products/robertshaw-rs8210-digital-non-programmable-thermostat-multi-stage-2-heat-1-cool</v>
      </c>
      <c r="B1470" s="3" t="str">
        <f>HYPERLINK("https://edmondsonsupply.com/products/robertshaw-rs8210-digital-non-programmable-thermostat-multi-stage-2-heat-1-cool", "https://edmondsonsupply.com/products/robertshaw-rs8210-digital-non-programmable-thermostat-multi-stage-2-heat-1-cool")</f>
        <v>https://edmondsonsupply.com/products/robertshaw-rs8210-digital-non-programmable-thermostat-multi-stage-2-heat-1-cool</v>
      </c>
      <c r="C1470" t="s">
        <v>3929</v>
      </c>
      <c r="D1470" t="s">
        <v>3403</v>
      </c>
      <c r="E1470" s="3" t="str">
        <f>HYPERLINK("https://www.amazon.com/Robertshaw-Non-Programmable-Thermostat-Multi-Stage-Conventional/dp/B00U5CAN6O/ref=sr_1_1?keywords=Robertshaw+RS8210+Digital+Non-Programmable+Thermostat%2C+Multi-Stage+-+2+Heat%2F1+Cool&amp;qid=1695173348&amp;sr=8-1", "https://www.amazon.com/Robertshaw-Non-Programmable-Thermostat-Multi-Stage-Conventional/dp/B00U5CAN6O/ref=sr_1_1?keywords=Robertshaw+RS8210+Digital+Non-Programmable+Thermostat%2C+Multi-Stage+-+2+Heat%2F1+Cool&amp;qid=1695173348&amp;sr=8-1")</f>
        <v>https://www.amazon.com/Robertshaw-Non-Programmable-Thermostat-Multi-Stage-Conventional/dp/B00U5CAN6O/ref=sr_1_1?keywords=Robertshaw+RS8210+Digital+Non-Programmable+Thermostat%2C+Multi-Stage+-+2+Heat%2F1+Cool&amp;qid=1695173348&amp;sr=8-1</v>
      </c>
      <c r="F1470" t="s">
        <v>3404</v>
      </c>
      <c r="G1470" t="e">
        <f ca="1">_xludf.IMAGE("https://edmondsonsupply.com/cdn/shop/products/RS8210-RS9210.jpg?v=1633031027")</f>
        <v>#NAME?</v>
      </c>
      <c r="H1470" t="e">
        <f ca="1">_xludf.IMAGE("https://m.media-amazon.com/images/I/715RZLigtNL._AC_UL320_.jpg")</f>
        <v>#NAME?</v>
      </c>
      <c r="I1470" t="s">
        <v>3930</v>
      </c>
      <c r="J1470">
        <v>45.58</v>
      </c>
      <c r="K1470" s="4">
        <v>0.16900000000000001</v>
      </c>
      <c r="L1470">
        <v>4.0999999999999996</v>
      </c>
      <c r="M1470">
        <v>20</v>
      </c>
      <c r="O1470" t="s">
        <v>25</v>
      </c>
      <c r="P1470" t="s">
        <v>3931</v>
      </c>
      <c r="Q1470" t="s">
        <v>3932</v>
      </c>
    </row>
    <row r="1471" spans="1:17" ht="15.5" x14ac:dyDescent="0.35">
      <c r="A1471" s="3" t="str">
        <f>HYPERLINK("https://edmondsonsupply.com/collections/hvac/products/milwaukee-2912-22-m18-fuel%E2%84%A2-1-sds-plus-rotary-hammer-kit", "https://edmondsonsupply.com/collections/hvac/products/milwaukee-2912-22-m18-fuel%E2%84%A2-1-sds-plus-rotary-hammer-kit")</f>
        <v>https://edmondsonsupply.com/collections/hvac/products/milwaukee-2912-22-m18-fuel%E2%84%A2-1-sds-plus-rotary-hammer-kit</v>
      </c>
      <c r="B1471" s="3" t="str">
        <f>HYPERLINK("https://edmondsonsupply.com/products/milwaukee-2912-22-m18-fuel%e2%84%a2-1-sds-plus-rotary-hammer-kit", "https://edmondsonsupply.com/products/milwaukee-2912-22-m18-fuel%e2%84%a2-1-sds-plus-rotary-hammer-kit")</f>
        <v>https://edmondsonsupply.com/products/milwaukee-2912-22-m18-fuel%e2%84%a2-1-sds-plus-rotary-hammer-kit</v>
      </c>
      <c r="C1471" t="s">
        <v>3848</v>
      </c>
      <c r="D1471" t="s">
        <v>3933</v>
      </c>
      <c r="E1471" s="3" t="str">
        <f>HYPERLINK("https://www.amazon.com/Milwaukee-2715-22DE-Fuel-Rotary-Hammer/dp/B00PP58QAQ/ref=sr_1_9?keywords=Milwaukee+2912-22+M18+FUEL%E2%84%A2+1%22+SDS+Plus+Rotary+Hammer+Kit&amp;qid=1695173755&amp;sr=8-9", "https://www.amazon.com/Milwaukee-2715-22DE-Fuel-Rotary-Hammer/dp/B00PP58QAQ/ref=sr_1_9?keywords=Milwaukee+2912-22+M18+FUEL%E2%84%A2+1%22+SDS+Plus+Rotary+Hammer+Kit&amp;qid=1695173755&amp;sr=8-9")</f>
        <v>https://www.amazon.com/Milwaukee-2715-22DE-Fuel-Rotary-Hammer/dp/B00PP58QAQ/ref=sr_1_9?keywords=Milwaukee+2912-22+M18+FUEL%E2%84%A2+1%22+SDS+Plus+Rotary+Hammer+Kit&amp;qid=1695173755&amp;sr=8-9</v>
      </c>
      <c r="F1471" t="s">
        <v>3934</v>
      </c>
      <c r="G1471" t="e">
        <f ca="1">_xludf.IMAGE("https://edmondsonsupply.com/cdn/shop/files/2912-20_1.webp?v=1686934956")</f>
        <v>#NAME?</v>
      </c>
      <c r="H1471" t="e">
        <f ca="1">_xludf.IMAGE("https://m.media-amazon.com/images/I/61R8HKz2VhL._AC_UL320_.jpg")</f>
        <v>#NAME?</v>
      </c>
      <c r="I1471" t="s">
        <v>3851</v>
      </c>
      <c r="J1471">
        <v>699.99</v>
      </c>
      <c r="K1471" s="4">
        <v>0.1686</v>
      </c>
      <c r="L1471">
        <v>3.9</v>
      </c>
      <c r="M1471">
        <v>2</v>
      </c>
      <c r="O1471" t="s">
        <v>25</v>
      </c>
      <c r="P1471" t="s">
        <v>3852</v>
      </c>
      <c r="Q1471" t="s">
        <v>3853</v>
      </c>
    </row>
    <row r="1472" spans="1:17" ht="15.5" x14ac:dyDescent="0.35">
      <c r="A1472" s="3" t="str">
        <f>HYPERLINK("https://edmondsonsupply.com/collections/hvac/products/sensible-products-dwl-1-dual-worklight-blue", "https://edmondsonsupply.com/collections/hvac/products/sensible-products-dwl-1-dual-worklight-blue")</f>
        <v>https://edmondsonsupply.com/collections/hvac/products/sensible-products-dwl-1-dual-worklight-blue</v>
      </c>
      <c r="B1472" s="3" t="str">
        <f>HYPERLINK("https://edmondsonsupply.com/products/sensible-products-dwl-1-dual-worklight-blue", "https://edmondsonsupply.com/products/sensible-products-dwl-1-dual-worklight-blue")</f>
        <v>https://edmondsonsupply.com/products/sensible-products-dwl-1-dual-worklight-blue</v>
      </c>
      <c r="C1472" t="s">
        <v>3190</v>
      </c>
      <c r="D1472" t="s">
        <v>3935</v>
      </c>
      <c r="E1472" s="3" t="str">
        <f>HYPERLINK("https://www.amazon.com/Light-DWL-1-Holster-Sensible-Products/dp/B079MDF76G/ref=sr_1_2?keywords=Sensible+Products+DWL-1+Dual+Worklight%2C+Blue&amp;qid=1695173406&amp;sr=8-2", "https://www.amazon.com/Light-DWL-1-Holster-Sensible-Products/dp/B079MDF76G/ref=sr_1_2?keywords=Sensible+Products+DWL-1+Dual+Worklight%2C+Blue&amp;qid=1695173406&amp;sr=8-2")</f>
        <v>https://www.amazon.com/Light-DWL-1-Holster-Sensible-Products/dp/B079MDF76G/ref=sr_1_2?keywords=Sensible+Products+DWL-1+Dual+Worklight%2C+Blue&amp;qid=1695173406&amp;sr=8-2</v>
      </c>
      <c r="F1472" t="s">
        <v>3936</v>
      </c>
      <c r="G1472" t="e">
        <f ca="1">_xludf.IMAGE("https://edmondsonsupply.com/cdn/shop/products/DWL-1-2.jpg?v=1587148321")</f>
        <v>#NAME?</v>
      </c>
      <c r="H1472" t="e">
        <f ca="1">_xludf.IMAGE("https://m.media-amazon.com/images/I/51bpVy8B6iL._AC_UL320_.jpg")</f>
        <v>#NAME?</v>
      </c>
      <c r="I1472" t="s">
        <v>3193</v>
      </c>
      <c r="J1472">
        <v>32.450000000000003</v>
      </c>
      <c r="K1472" s="4">
        <v>0.16769999999999999</v>
      </c>
      <c r="L1472">
        <v>4.8</v>
      </c>
      <c r="M1472">
        <v>31</v>
      </c>
      <c r="O1472" t="s">
        <v>25</v>
      </c>
      <c r="P1472" t="s">
        <v>138</v>
      </c>
      <c r="Q1472" t="s">
        <v>3194</v>
      </c>
    </row>
    <row r="1473" spans="1:17" ht="15.5" x14ac:dyDescent="0.35">
      <c r="A1473" s="3" t="str">
        <f>HYPERLINK("https://edmondsonsupply.com/collections/hvac/products/midwest-mwt-c5-5-blade-sheet-metal-crimper", "https://edmondsonsupply.com/collections/hvac/products/midwest-mwt-c5-5-blade-sheet-metal-crimper")</f>
        <v>https://edmondsonsupply.com/collections/hvac/products/midwest-mwt-c5-5-blade-sheet-metal-crimper</v>
      </c>
      <c r="B1473" s="3" t="str">
        <f>HYPERLINK("https://edmondsonsupply.com/products/midwest-mwt-c5-5-blade-sheet-metal-crimper", "https://edmondsonsupply.com/products/midwest-mwt-c5-5-blade-sheet-metal-crimper")</f>
        <v>https://edmondsonsupply.com/products/midwest-mwt-c5-5-blade-sheet-metal-crimper</v>
      </c>
      <c r="C1473" t="s">
        <v>3937</v>
      </c>
      <c r="D1473" t="s">
        <v>3938</v>
      </c>
      <c r="E1473" s="3" t="str">
        <f>HYPERLINK("https://www.amazon.com/MIDWEST-Blade-Crimper-Compound-KUSHN-POWER/dp/B00OJ0KPBG/ref=sr_1_1?keywords=Midwest+MWT-C5+5-Blade+Sheet+Metal+Crimper&amp;qid=1695173485&amp;sr=8-1", "https://www.amazon.com/MIDWEST-Blade-Crimper-Compound-KUSHN-POWER/dp/B00OJ0KPBG/ref=sr_1_1?keywords=Midwest+MWT-C5+5-Blade+Sheet+Metal+Crimper&amp;qid=1695173485&amp;sr=8-1")</f>
        <v>https://www.amazon.com/MIDWEST-Blade-Crimper-Compound-KUSHN-POWER/dp/B00OJ0KPBG/ref=sr_1_1?keywords=Midwest+MWT-C5+5-Blade+Sheet+Metal+Crimper&amp;qid=1695173485&amp;sr=8-1</v>
      </c>
      <c r="F1473" t="s">
        <v>3939</v>
      </c>
      <c r="G1473" t="e">
        <f ca="1">_xludf.IMAGE("https://edmondsonsupply.com/cdn/shop/products/MWT-C51.jpg?v=1587151243")</f>
        <v>#NAME?</v>
      </c>
      <c r="H1473" t="e">
        <f ca="1">_xludf.IMAGE("https://m.media-amazon.com/images/I/61Lp1Xf+1VL._AC_UL320_.jpg")</f>
        <v>#NAME?</v>
      </c>
      <c r="I1473" t="s">
        <v>3940</v>
      </c>
      <c r="J1473">
        <v>29.99</v>
      </c>
      <c r="K1473" s="4">
        <v>0.16739999999999999</v>
      </c>
      <c r="L1473">
        <v>4.5</v>
      </c>
      <c r="M1473">
        <v>308</v>
      </c>
      <c r="O1473" t="s">
        <v>171</v>
      </c>
      <c r="P1473" t="s">
        <v>3941</v>
      </c>
      <c r="Q1473" t="s">
        <v>3942</v>
      </c>
    </row>
    <row r="1474" spans="1:17" ht="15.5" x14ac:dyDescent="0.35">
      <c r="A1474" s="3" t="str">
        <f>HYPERLINK("https://edmondsonsupply.com/collections/hvac/products/white-rodgers-50m56u-843-integrated-furnace-control-board-universal-replacement", "https://edmondsonsupply.com/collections/hvac/products/white-rodgers-50m56u-843-integrated-furnace-control-board-universal-replacement")</f>
        <v>https://edmondsonsupply.com/collections/hvac/products/white-rodgers-50m56u-843-integrated-furnace-control-board-universal-replacement</v>
      </c>
      <c r="B1474" s="3" t="str">
        <f>HYPERLINK("https://edmondsonsupply.com/products/white-rodgers-50m56u-843-integrated-furnace-control-board-universal-replacement", "https://edmondsonsupply.com/products/white-rodgers-50m56u-843-integrated-furnace-control-board-universal-replacement")</f>
        <v>https://edmondsonsupply.com/products/white-rodgers-50m56u-843-integrated-furnace-control-board-universal-replacement</v>
      </c>
      <c r="C1474" t="s">
        <v>3127</v>
      </c>
      <c r="D1474" t="s">
        <v>3387</v>
      </c>
      <c r="E1474" s="3" t="str">
        <f>HYPERLINK("https://www.amazon.com/White-rodgers-Universal-Integrated-Furnace-50m56u-843/dp/B082J512XT/ref=sr_1_1?keywords=White-Rodgers+50M56U-843+Integrated+Furnace+Control+Board%2C+Universal+Replacement&amp;qid=1695173373&amp;sr=8-1", "https://www.amazon.com/White-rodgers-Universal-Integrated-Furnace-50m56u-843/dp/B082J512XT/ref=sr_1_1?keywords=White-Rodgers+50M56U-843+Integrated+Furnace+Control+Board%2C+Universal+Replacement&amp;qid=1695173373&amp;sr=8-1")</f>
        <v>https://www.amazon.com/White-rodgers-Universal-Integrated-Furnace-50m56u-843/dp/B082J512XT/ref=sr_1_1?keywords=White-Rodgers+50M56U-843+Integrated+Furnace+Control+Board%2C+Universal+Replacement&amp;qid=1695173373&amp;sr=8-1</v>
      </c>
      <c r="F1474" t="s">
        <v>3388</v>
      </c>
      <c r="G1474" t="e">
        <f ca="1">_xludf.IMAGE("https://edmondsonsupply.com/cdn/shop/products/integrated-furnace-controls-universal-replacement-img-4a.jpg?v=1633030752")</f>
        <v>#NAME?</v>
      </c>
      <c r="H1474" t="e">
        <f ca="1">_xludf.IMAGE("https://m.media-amazon.com/images/I/51hdpsDr8TL._AC_UL320_.jpg")</f>
        <v>#NAME?</v>
      </c>
      <c r="I1474" t="s">
        <v>3128</v>
      </c>
      <c r="J1474">
        <v>187.83</v>
      </c>
      <c r="K1474" s="4">
        <v>0.16719999999999999</v>
      </c>
      <c r="L1474">
        <v>2.8</v>
      </c>
      <c r="M1474">
        <v>4</v>
      </c>
      <c r="O1474" t="s">
        <v>25</v>
      </c>
      <c r="P1474" t="s">
        <v>3129</v>
      </c>
      <c r="Q1474" t="s">
        <v>3130</v>
      </c>
    </row>
    <row r="1475" spans="1:17" ht="15.5" x14ac:dyDescent="0.35">
      <c r="A1475"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475" s="3" t="str">
        <f>HYPERLINK("https://edmondsonsupply.com/products/klein-tools-s8m-1-4-inch-magnetic-nut-driver-3-inch-shank", "https://edmondsonsupply.com/products/klein-tools-s8m-1-4-inch-magnetic-nut-driver-3-inch-shank")</f>
        <v>https://edmondsonsupply.com/products/klein-tools-s8m-1-4-inch-magnetic-nut-driver-3-inch-shank</v>
      </c>
      <c r="C1475" t="s">
        <v>3809</v>
      </c>
      <c r="D1475" t="s">
        <v>3528</v>
      </c>
      <c r="E1475" s="3" t="str">
        <f>HYPERLINK("https://www.amazon.com/4-Inch-Cushion-Klein-Tools-630-1/dp/B00093DZR8/ref=sr_1_9?keywords=Klein+Tools+S8M+1%2F4-Inch+Magnetic+Nut+Driver+3-Inch+Shank&amp;qid=1695173652&amp;sr=8-9", "https://www.amazon.com/4-Inch-Cushion-Klein-Tools-630-1/dp/B00093DZR8/ref=sr_1_9?keywords=Klein+Tools+S8M+1%2F4-Inch+Magnetic+Nut+Driver+3-Inch+Shank&amp;qid=1695173652&amp;sr=8-9")</f>
        <v>https://www.amazon.com/4-Inch-Cushion-Klein-Tools-630-1/dp/B00093DZR8/ref=sr_1_9?keywords=Klein+Tools+S8M+1%2F4-Inch+Magnetic+Nut+Driver+3-Inch+Shank&amp;qid=1695173652&amp;sr=8-9</v>
      </c>
      <c r="F1475" t="s">
        <v>3529</v>
      </c>
      <c r="G1475" t="e">
        <f ca="1">_xludf.IMAGE("https://edmondsonsupply.com/cdn/shop/products/s8m.jpg?v=1633030818")</f>
        <v>#NAME?</v>
      </c>
      <c r="H1475" t="e">
        <f ca="1">_xludf.IMAGE("https://m.media-amazon.com/images/I/41gchQgPtfL._AC_UL320_.jpg")</f>
        <v>#NAME?</v>
      </c>
      <c r="I1475" t="s">
        <v>924</v>
      </c>
      <c r="J1475">
        <v>10.49</v>
      </c>
      <c r="K1475" s="4">
        <v>0.16689999999999999</v>
      </c>
      <c r="L1475">
        <v>4.8</v>
      </c>
      <c r="M1475">
        <v>59</v>
      </c>
      <c r="O1475" t="s">
        <v>25</v>
      </c>
      <c r="P1475" t="s">
        <v>3812</v>
      </c>
      <c r="Q1475" t="s">
        <v>3813</v>
      </c>
    </row>
    <row r="1476" spans="1:17" ht="15.5" x14ac:dyDescent="0.35">
      <c r="A1476"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476" s="3" t="str">
        <f>HYPERLINK("https://edmondsonsupply.com/products/klein-tools-s8m-1-4-inch-magnetic-nut-driver-3-inch-shank", "https://edmondsonsupply.com/products/klein-tools-s8m-1-4-inch-magnetic-nut-driver-3-inch-shank")</f>
        <v>https://edmondsonsupply.com/products/klein-tools-s8m-1-4-inch-magnetic-nut-driver-3-inch-shank</v>
      </c>
      <c r="C1476" t="s">
        <v>3809</v>
      </c>
      <c r="D1476" t="s">
        <v>3943</v>
      </c>
      <c r="E1476" s="3" t="str">
        <f>HYPERLINK("https://www.amazon.com/Magnetic-Klein-Tools-646-1-4M/dp/B00093GEC6/ref=sr_1_2?keywords=Klein+Tools+S8M+1%2F4-Inch+Magnetic+Nut+Driver+3-Inch+Shank&amp;qid=1695173652&amp;sr=8-2", "https://www.amazon.com/Magnetic-Klein-Tools-646-1-4M/dp/B00093GEC6/ref=sr_1_2?keywords=Klein+Tools+S8M+1%2F4-Inch+Magnetic+Nut+Driver+3-Inch+Shank&amp;qid=1695173652&amp;sr=8-2")</f>
        <v>https://www.amazon.com/Magnetic-Klein-Tools-646-1-4M/dp/B00093GEC6/ref=sr_1_2?keywords=Klein+Tools+S8M+1%2F4-Inch+Magnetic+Nut+Driver+3-Inch+Shank&amp;qid=1695173652&amp;sr=8-2</v>
      </c>
      <c r="F1476" t="s">
        <v>3944</v>
      </c>
      <c r="G1476" t="e">
        <f ca="1">_xludf.IMAGE("https://edmondsonsupply.com/cdn/shop/products/s8m.jpg?v=1633030818")</f>
        <v>#NAME?</v>
      </c>
      <c r="H1476" t="e">
        <f ca="1">_xludf.IMAGE("https://m.media-amazon.com/images/I/418bbEGck1L._AC_UL320_.jpg")</f>
        <v>#NAME?</v>
      </c>
      <c r="I1476" t="s">
        <v>924</v>
      </c>
      <c r="J1476">
        <v>10.49</v>
      </c>
      <c r="K1476" s="4">
        <v>0.16689999999999999</v>
      </c>
      <c r="L1476">
        <v>4.8</v>
      </c>
      <c r="M1476">
        <v>2497</v>
      </c>
      <c r="O1476" t="s">
        <v>25</v>
      </c>
      <c r="P1476" t="s">
        <v>3812</v>
      </c>
      <c r="Q1476" t="s">
        <v>3813</v>
      </c>
    </row>
    <row r="1477" spans="1:17" ht="15.5" x14ac:dyDescent="0.35">
      <c r="A1477" s="3" t="str">
        <f>HYPERLINK("https://edmondsonsupply.com/collections/hvac/products/cps-products-ad64-3-8-sae-m-x-1-4sae-f-adapter", "https://edmondsonsupply.com/collections/hvac/products/cps-products-ad64-3-8-sae-m-x-1-4sae-f-adapter")</f>
        <v>https://edmondsonsupply.com/collections/hvac/products/cps-products-ad64-3-8-sae-m-x-1-4sae-f-adapter</v>
      </c>
      <c r="B1477" s="3" t="str">
        <f>HYPERLINK("https://edmondsonsupply.com/products/cps-products-ad64-3-8-sae-m-x-1-4sae-f-adapter", "https://edmondsonsupply.com/products/cps-products-ad64-3-8-sae-m-x-1-4sae-f-adapter")</f>
        <v>https://edmondsonsupply.com/products/cps-products-ad64-3-8-sae-m-x-1-4sae-f-adapter</v>
      </c>
      <c r="C1477" t="s">
        <v>3945</v>
      </c>
      <c r="D1477" t="s">
        <v>3946</v>
      </c>
      <c r="E1477" s="3" t="str">
        <f>HYPERLINK("https://www.amazon.com/CPS-AD64-3-SAE-4SAE-Adapter/dp/B07N93GJGZ/ref=sr_1_1?keywords=CPS+Products+AD64+-+3%2F8%22+SAE+M+x+1%2F4%22SAE+F+Adapter&amp;qid=1695173752&amp;sr=8-1", "https://www.amazon.com/CPS-AD64-3-SAE-4SAE-Adapter/dp/B07N93GJGZ/ref=sr_1_1?keywords=CPS+Products+AD64+-+3%2F8%22+SAE+M+x+1%2F4%22SAE+F+Adapter&amp;qid=1695173752&amp;sr=8-1")</f>
        <v>https://www.amazon.com/CPS-AD64-3-SAE-4SAE-Adapter/dp/B07N93GJGZ/ref=sr_1_1?keywords=CPS+Products+AD64+-+3%2F8%22+SAE+M+x+1%2F4%22SAE+F+Adapter&amp;qid=1695173752&amp;sr=8-1</v>
      </c>
      <c r="F1477" t="s">
        <v>3947</v>
      </c>
      <c r="G1477" t="e">
        <f ca="1">_xludf.IMAGE("https://edmondsonsupply.com/cdn/shop/files/CPSad68-2.jpg?v=1687354474")</f>
        <v>#NAME?</v>
      </c>
      <c r="H1477" t="e">
        <f ca="1">_xludf.IMAGE("https://m.media-amazon.com/images/I/41J1x8a1PDL._AC_UY218_.jpg")</f>
        <v>#NAME?</v>
      </c>
      <c r="I1477" t="s">
        <v>2639</v>
      </c>
      <c r="J1477">
        <v>6.97</v>
      </c>
      <c r="K1477" s="4">
        <v>0.1636</v>
      </c>
      <c r="L1477">
        <v>3</v>
      </c>
      <c r="M1477">
        <v>1</v>
      </c>
      <c r="O1477" t="s">
        <v>25</v>
      </c>
      <c r="P1477" t="s">
        <v>138</v>
      </c>
      <c r="Q1477" t="s">
        <v>3948</v>
      </c>
    </row>
    <row r="1478" spans="1:17" ht="15.5" x14ac:dyDescent="0.35">
      <c r="A1478" s="3" t="str">
        <f>HYPERLINK("https://edmondsonsupply.com/collections/hvac/products/packard-prmj189-motor-start-capacitor-189-227-mfd-330-vac", "https://edmondsonsupply.com/collections/hvac/products/packard-prmj189-motor-start-capacitor-189-227-mfd-330-vac")</f>
        <v>https://edmondsonsupply.com/collections/hvac/products/packard-prmj189-motor-start-capacitor-189-227-mfd-330-vac</v>
      </c>
      <c r="B1478" s="3" t="str">
        <f>HYPERLINK("https://edmondsonsupply.com/products/packard-prmj189-motor-start-capacitor-189-227-mfd-330-vac", "https://edmondsonsupply.com/products/packard-prmj189-motor-start-capacitor-189-227-mfd-330-vac")</f>
        <v>https://edmondsonsupply.com/products/packard-prmj189-motor-start-capacitor-189-227-mfd-330-vac</v>
      </c>
      <c r="C1478" t="s">
        <v>2216</v>
      </c>
      <c r="D1478" t="s">
        <v>3949</v>
      </c>
      <c r="E1478" s="3" t="str">
        <f>HYPERLINK("https://www.amazon.com/Motor-Capacitor-189-227-125VAC-Single/dp/B07H28CRSJ/ref=sr_1_9?keywords=Packard+PRMJ189+Motor+Start+Capacitor+189-227+MFD+330+VAC&amp;qid=1695173678&amp;sr=8-9", "https://www.amazon.com/Motor-Capacitor-189-227-125VAC-Single/dp/B07H28CRSJ/ref=sr_1_9?keywords=Packard+PRMJ189+Motor+Start+Capacitor+189-227+MFD+330+VAC&amp;qid=1695173678&amp;sr=8-9")</f>
        <v>https://www.amazon.com/Motor-Capacitor-189-227-125VAC-Single/dp/B07H28CRSJ/ref=sr_1_9?keywords=Packard+PRMJ189+Motor+Start+Capacitor+189-227+MFD+330+VAC&amp;qid=1695173678&amp;sr=8-9</v>
      </c>
      <c r="F1478" t="s">
        <v>3950</v>
      </c>
      <c r="G1478" t="e">
        <f ca="1">_xludf.IMAGE("https://edmondsonsupply.com/cdn/shop/products/PRMJ189-2.jpg?v=1663378512")</f>
        <v>#NAME?</v>
      </c>
      <c r="H1478" t="e">
        <f ca="1">_xludf.IMAGE("https://m.media-amazon.com/images/I/61AHnMO+owL._AC_UY218_.jpg")</f>
        <v>#NAME?</v>
      </c>
      <c r="I1478" t="s">
        <v>2219</v>
      </c>
      <c r="J1478">
        <v>9.99</v>
      </c>
      <c r="K1478" s="4">
        <v>0.16300000000000001</v>
      </c>
      <c r="L1478">
        <v>4.5999999999999996</v>
      </c>
      <c r="M1478">
        <v>245</v>
      </c>
      <c r="O1478" t="s">
        <v>25</v>
      </c>
      <c r="P1478" t="s">
        <v>138</v>
      </c>
      <c r="Q1478" t="s">
        <v>2220</v>
      </c>
    </row>
    <row r="1479" spans="1:17" ht="15.5" x14ac:dyDescent="0.35">
      <c r="A1479" s="3" t="str">
        <f>HYPERLINK("https://edmondsonsupply.com/collections/hvac/products/white-rodgers-50a65-5165-integrated-furnace-control-board-replacement-for-trane", "https://edmondsonsupply.com/collections/hvac/products/white-rodgers-50a65-5165-integrated-furnace-control-board-replacement-for-trane")</f>
        <v>https://edmondsonsupply.com/collections/hvac/products/white-rodgers-50a65-5165-integrated-furnace-control-board-replacement-for-trane</v>
      </c>
      <c r="B1479" s="3" t="str">
        <f>HYPERLINK("https://edmondsonsupply.com/products/white-rodgers-50a65-5165-integrated-furnace-control-board-replacement-for-trane", "https://edmondsonsupply.com/products/white-rodgers-50a65-5165-integrated-furnace-control-board-replacement-for-trane")</f>
        <v>https://edmondsonsupply.com/products/white-rodgers-50a65-5165-integrated-furnace-control-board-replacement-for-trane</v>
      </c>
      <c r="C1479" t="s">
        <v>3951</v>
      </c>
      <c r="D1479" t="s">
        <v>3952</v>
      </c>
      <c r="E1479" s="3" t="str">
        <f>HYPERLINK("https://www.amazon.com/White-rodgers-Ignitor-Integrated-Furnace-50a65-5165/dp/B082J6QBJH/ref=sr_1_2?keywords=White-Rodgers+50A65-5165+Integrated+Furnace+Control+Board%2C+Replacement+for+Trane&amp;qid=1695173418&amp;sr=8-2", "https://www.amazon.com/White-rodgers-Ignitor-Integrated-Furnace-50a65-5165/dp/B082J6QBJH/ref=sr_1_2?keywords=White-Rodgers+50A65-5165+Integrated+Furnace+Control+Board%2C+Replacement+for+Trane&amp;qid=1695173418&amp;sr=8-2")</f>
        <v>https://www.amazon.com/White-rodgers-Ignitor-Integrated-Furnace-50a65-5165/dp/B082J6QBJH/ref=sr_1_2?keywords=White-Rodgers+50A65-5165+Integrated+Furnace+Control+Board%2C+Replacement+for+Trane&amp;qid=1695173418&amp;sr=8-2</v>
      </c>
      <c r="F1479" t="s">
        <v>3953</v>
      </c>
      <c r="G1479" t="e">
        <f ca="1">_xludf.IMAGE("https://edmondsonsupply.com/cdn/shop/products/integrated-furnace-controls-direct-oem-replacement-g.jpg?v=1633030662")</f>
        <v>#NAME?</v>
      </c>
      <c r="H1479" t="e">
        <f ca="1">_xludf.IMAGE("https://m.media-amazon.com/images/I/51TXilEX9sL._AC_UL320_.jpg")</f>
        <v>#NAME?</v>
      </c>
      <c r="I1479" t="s">
        <v>3954</v>
      </c>
      <c r="J1479">
        <v>130.5</v>
      </c>
      <c r="K1479" s="4">
        <v>0.15920000000000001</v>
      </c>
      <c r="L1479">
        <v>3.7</v>
      </c>
      <c r="M1479">
        <v>4</v>
      </c>
      <c r="O1479" t="s">
        <v>25</v>
      </c>
      <c r="P1479" t="s">
        <v>3955</v>
      </c>
      <c r="Q1479" t="s">
        <v>3956</v>
      </c>
    </row>
    <row r="1480" spans="1:17" ht="15.5" x14ac:dyDescent="0.35">
      <c r="A1480" s="3" t="str">
        <f>HYPERLINK("https://edmondsonsupply.com/collections/hvac/products/robertshaw-rs9220", "https://edmondsonsupply.com/collections/hvac/products/robertshaw-rs9220")</f>
        <v>https://edmondsonsupply.com/collections/hvac/products/robertshaw-rs9220</v>
      </c>
      <c r="B1480" s="3" t="str">
        <f>HYPERLINK("https://edmondsonsupply.com/products/robertshaw-rs9220", "https://edmondsonsupply.com/products/robertshaw-rs9220")</f>
        <v>https://edmondsonsupply.com/products/robertshaw-rs9220</v>
      </c>
      <c r="C1480" t="s">
        <v>2990</v>
      </c>
      <c r="D1480" t="s">
        <v>3957</v>
      </c>
      <c r="E1480" s="3" t="str">
        <f>HYPERLINK("https://www.amazon.com/Robertshaw-RS9220-Programmable-Thermostat-Multi-Stage/dp/B00U5CAZAS/ref=sr_1_1?keywords=Robertshaw+RS9220+Programmable+Wall+Thermostat%2C+Multi-Stage+-+2+Heat+%2F+2+Cool&amp;qid=1695173696&amp;sr=8-1", "https://www.amazon.com/Robertshaw-RS9220-Programmable-Thermostat-Multi-Stage/dp/B00U5CAZAS/ref=sr_1_1?keywords=Robertshaw+RS9220+Programmable+Wall+Thermostat%2C+Multi-Stage+-+2+Heat+%2F+2+Cool&amp;qid=1695173696&amp;sr=8-1")</f>
        <v>https://www.amazon.com/Robertshaw-RS9220-Programmable-Thermostat-Multi-Stage/dp/B00U5CAZAS/ref=sr_1_1?keywords=Robertshaw+RS9220+Programmable+Wall+Thermostat%2C+Multi-Stage+-+2+Heat+%2F+2+Cool&amp;qid=1695173696&amp;sr=8-1</v>
      </c>
      <c r="F1480" t="s">
        <v>3958</v>
      </c>
      <c r="G1480" t="e">
        <f ca="1">_xludf.IMAGE("https://edmondsonsupply.com/cdn/shop/files/67652dc9-4ca4-4b9c-987a-a2c62c95b630.jpg?v=1693935585")</f>
        <v>#NAME?</v>
      </c>
      <c r="H1480" t="e">
        <f ca="1">_xludf.IMAGE("https://m.media-amazon.com/images/I/61kDR6KMw4L._AC_UL320_.jpg")</f>
        <v>#NAME?</v>
      </c>
      <c r="I1480" t="s">
        <v>2993</v>
      </c>
      <c r="J1480">
        <v>54.51</v>
      </c>
      <c r="K1480" s="4">
        <v>0.1588</v>
      </c>
      <c r="L1480">
        <v>3.7</v>
      </c>
      <c r="M1480">
        <v>7</v>
      </c>
      <c r="O1480" t="s">
        <v>25</v>
      </c>
      <c r="P1480" t="s">
        <v>138</v>
      </c>
      <c r="Q1480" t="s">
        <v>2994</v>
      </c>
    </row>
    <row r="1481" spans="1:17" ht="15.5" x14ac:dyDescent="0.35">
      <c r="A1481" s="3" t="str">
        <f>HYPERLINK("https://edmondsonsupply.com/collections/hvac/products/5-2-1-compressor-saver-csru2", "https://edmondsonsupply.com/collections/hvac/products/5-2-1-compressor-saver-csru2")</f>
        <v>https://edmondsonsupply.com/collections/hvac/products/5-2-1-compressor-saver-csru2</v>
      </c>
      <c r="B1481" s="3" t="str">
        <f>HYPERLINK("https://edmondsonsupply.com/products/5-2-1-compressor-saver-csru2", "https://edmondsonsupply.com/products/5-2-1-compressor-saver-csru2")</f>
        <v>https://edmondsonsupply.com/products/5-2-1-compressor-saver-csru2</v>
      </c>
      <c r="C1481" t="s">
        <v>3959</v>
      </c>
      <c r="D1481" t="s">
        <v>3322</v>
      </c>
      <c r="E1481" s="3" t="str">
        <f>HYPERLINK("https://www.amazon.com/CPS-5-2-1-CSRU1-Compressor-Saver/dp/B003FNMADE/ref=sr_1_8?keywords=5-2-1+CSRU2+Compressor+Saver%2C+3-1%2F2+to+5+Tons&amp;qid=1695173684&amp;sr=8-8", "https://www.amazon.com/CPS-5-2-1-CSRU1-Compressor-Saver/dp/B003FNMADE/ref=sr_1_8?keywords=5-2-1+CSRU2+Compressor+Saver%2C+3-1%2F2+to+5+Tons&amp;qid=1695173684&amp;sr=8-8")</f>
        <v>https://www.amazon.com/CPS-5-2-1-CSRU1-Compressor-Saver/dp/B003FNMADE/ref=sr_1_8?keywords=5-2-1+CSRU2+Compressor+Saver%2C+3-1%2F2+to+5+Tons&amp;qid=1695173684&amp;sr=8-8</v>
      </c>
      <c r="F1481" t="s">
        <v>3323</v>
      </c>
      <c r="G1481" t="e">
        <f ca="1">_xludf.IMAGE("https://edmondsonsupply.com/cdn/shop/products/CSRU2.jpg?v=1633030087")</f>
        <v>#NAME?</v>
      </c>
      <c r="H1481" t="e">
        <f ca="1">_xludf.IMAGE("https://m.media-amazon.com/images/I/41opwK2dhRL._AC_UL320_.jpg")</f>
        <v>#NAME?</v>
      </c>
      <c r="I1481" t="s">
        <v>3960</v>
      </c>
      <c r="J1481">
        <v>48.86</v>
      </c>
      <c r="K1481" s="4">
        <v>0.15670000000000001</v>
      </c>
      <c r="L1481">
        <v>4.5999999999999996</v>
      </c>
      <c r="M1481">
        <v>875</v>
      </c>
      <c r="O1481" t="s">
        <v>25</v>
      </c>
      <c r="P1481" t="s">
        <v>3961</v>
      </c>
      <c r="Q1481" t="s">
        <v>3962</v>
      </c>
    </row>
    <row r="1482" spans="1:17" ht="15.5" x14ac:dyDescent="0.35">
      <c r="A1482" s="3" t="str">
        <f>HYPERLINK("https://edmondsonsupply.com/collections/hvac/products/uei-dl429b-true-rms-digital-clamp-meter-w-wireless-and-differential-temperature", "https://edmondsonsupply.com/collections/hvac/products/uei-dl429b-true-rms-digital-clamp-meter-w-wireless-and-differential-temperature")</f>
        <v>https://edmondsonsupply.com/collections/hvac/products/uei-dl429b-true-rms-digital-clamp-meter-w-wireless-and-differential-temperature</v>
      </c>
      <c r="B1482"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1482" t="s">
        <v>2868</v>
      </c>
      <c r="D1482" t="s">
        <v>3963</v>
      </c>
      <c r="E1482" s="3" t="str">
        <f>HYPERLINK("https://www.amazon.com/DL389B-True-Display-Clamp-Meter/dp/B07T9GD6DB/ref=sr_1_1?keywords=UEi+DL479+AC+600A+True+RMS+HVAC%2FR+Clamp+Meter&amp;qid=1695173563&amp;sr=8-1", "https://www.amazon.com/DL389B-True-Display-Clamp-Meter/dp/B07T9GD6DB/ref=sr_1_1?keywords=UEi+DL479+AC+600A+True+RMS+HVAC%2FR+Clamp+Meter&amp;qid=1695173563&amp;sr=8-1")</f>
        <v>https://www.amazon.com/DL389B-True-Display-Clamp-Meter/dp/B07T9GD6DB/ref=sr_1_1?keywords=UEi+DL479+AC+600A+True+RMS+HVAC%2FR+Clamp+Meter&amp;qid=1695173563&amp;sr=8-1</v>
      </c>
      <c r="F1482" t="s">
        <v>3964</v>
      </c>
      <c r="G1482" t="e">
        <f ca="1">_xludf.IMAGE("https://edmondsonsupply.com/cdn/shop/products/DL479-1.jpg?v=1587142104")</f>
        <v>#NAME?</v>
      </c>
      <c r="H1482" t="e">
        <f ca="1">_xludf.IMAGE("https://m.media-amazon.com/images/I/61+s0r8oDBL._AC_UY218_.jpg")</f>
        <v>#NAME?</v>
      </c>
      <c r="I1482" t="s">
        <v>2871</v>
      </c>
      <c r="J1482">
        <v>160</v>
      </c>
      <c r="K1482" s="4">
        <v>0.1552</v>
      </c>
      <c r="L1482">
        <v>4.5999999999999996</v>
      </c>
      <c r="M1482">
        <v>216</v>
      </c>
      <c r="O1482" t="s">
        <v>171</v>
      </c>
      <c r="P1482" t="s">
        <v>2872</v>
      </c>
      <c r="Q1482" t="s">
        <v>2873</v>
      </c>
    </row>
    <row r="1483" spans="1:17" ht="15.5" x14ac:dyDescent="0.35">
      <c r="A1483" s="3" t="str">
        <f>HYPERLINK("https://edmondsonsupply.com/collections/hvac/products/nu-calgon-4774-0-coil-gun", "https://edmondsonsupply.com/collections/hvac/products/nu-calgon-4774-0-coil-gun")</f>
        <v>https://edmondsonsupply.com/collections/hvac/products/nu-calgon-4774-0-coil-gun</v>
      </c>
      <c r="B1483" s="3" t="str">
        <f>HYPERLINK("https://edmondsonsupply.com/products/nu-calgon-4774-0-coil-gun", "https://edmondsonsupply.com/products/nu-calgon-4774-0-coil-gun")</f>
        <v>https://edmondsonsupply.com/products/nu-calgon-4774-0-coil-gun</v>
      </c>
      <c r="C1483" t="s">
        <v>3965</v>
      </c>
      <c r="D1483" t="s">
        <v>3966</v>
      </c>
      <c r="E1483" s="3" t="str">
        <f>HYPERLINK("https://www.amazon.com/Nu-Calgon-Coil-Gun-Sprayer-gallon/dp/B0794HTC8H/ref=sr_1_2?keywords=Nu-Calgon+4774-0+Coil+Gun&amp;qid=1695173335&amp;sr=8-2", "https://www.amazon.com/Nu-Calgon-Coil-Gun-Sprayer-gallon/dp/B0794HTC8H/ref=sr_1_2?keywords=Nu-Calgon+4774-0+Coil+Gun&amp;qid=1695173335&amp;sr=8-2")</f>
        <v>https://www.amazon.com/Nu-Calgon-Coil-Gun-Sprayer-gallon/dp/B0794HTC8H/ref=sr_1_2?keywords=Nu-Calgon+4774-0+Coil+Gun&amp;qid=1695173335&amp;sr=8-2</v>
      </c>
      <c r="F1483" t="s">
        <v>3967</v>
      </c>
      <c r="G1483" t="e">
        <f ca="1">_xludf.IMAGE("https://edmondsonsupply.com/cdn/shop/products/4774-0.jpg?v=1660159773")</f>
        <v>#NAME?</v>
      </c>
      <c r="H1483" t="e">
        <f ca="1">_xludf.IMAGE("https://m.media-amazon.com/images/I/61wOPrQrwgL._AC_UL320_.jpg")</f>
        <v>#NAME?</v>
      </c>
      <c r="I1483" t="s">
        <v>3968</v>
      </c>
      <c r="J1483">
        <v>101.57</v>
      </c>
      <c r="K1483" s="4">
        <v>0.15429999999999999</v>
      </c>
      <c r="L1483">
        <v>3.6</v>
      </c>
      <c r="M1483">
        <v>14</v>
      </c>
      <c r="O1483" t="s">
        <v>25</v>
      </c>
      <c r="P1483" t="s">
        <v>3969</v>
      </c>
      <c r="Q1483" t="s">
        <v>3970</v>
      </c>
    </row>
    <row r="1484" spans="1:17" ht="15.5" x14ac:dyDescent="0.35">
      <c r="A1484" s="3" t="str">
        <f>HYPERLINK("https://edmondsonsupply.com/collections/hvac/products/supco-sb100-shaft-blaster-motor-shaft-cutting-tool", "https://edmondsonsupply.com/collections/hvac/products/supco-sb100-shaft-blaster-motor-shaft-cutting-tool")</f>
        <v>https://edmondsonsupply.com/collections/hvac/products/supco-sb100-shaft-blaster-motor-shaft-cutting-tool</v>
      </c>
      <c r="B1484" s="3" t="str">
        <f>HYPERLINK("https://edmondsonsupply.com/products/supco-sb100-shaft-blaster-motor-shaft-cutting-tool", "https://edmondsonsupply.com/products/supco-sb100-shaft-blaster-motor-shaft-cutting-tool")</f>
        <v>https://edmondsonsupply.com/products/supco-sb100-shaft-blaster-motor-shaft-cutting-tool</v>
      </c>
      <c r="C1484" t="s">
        <v>3971</v>
      </c>
      <c r="D1484" t="s">
        <v>3972</v>
      </c>
      <c r="E1484" s="3" t="str">
        <f>HYPERLINK("https://www.amazon.com/Supplying-Demand-SB100-Blaster-Cutting/dp/B09W68Z7WB/ref=sr_1_3?keywords=Supco+SB100+Shaft+Blaster+-+Motor+Shaft+Cutting+Tool&amp;qid=1695173637&amp;sr=8-3", "https://www.amazon.com/Supplying-Demand-SB100-Blaster-Cutting/dp/B09W68Z7WB/ref=sr_1_3?keywords=Supco+SB100+Shaft+Blaster+-+Motor+Shaft+Cutting+Tool&amp;qid=1695173637&amp;sr=8-3")</f>
        <v>https://www.amazon.com/Supplying-Demand-SB100-Blaster-Cutting/dp/B09W68Z7WB/ref=sr_1_3?keywords=Supco+SB100+Shaft+Blaster+-+Motor+Shaft+Cutting+Tool&amp;qid=1695173637&amp;sr=8-3</v>
      </c>
      <c r="F1484" t="s">
        <v>3973</v>
      </c>
      <c r="G1484" t="e">
        <f ca="1">_xludf.IMAGE("https://edmondsonsupply.com/cdn/shop/products/sb100-1.jpg?v=1633030480")</f>
        <v>#NAME?</v>
      </c>
      <c r="H1484" t="e">
        <f ca="1">_xludf.IMAGE("https://m.media-amazon.com/images/I/61sywlAJU-L._AC_UL320_.jpg")</f>
        <v>#NAME?</v>
      </c>
      <c r="I1484" t="s">
        <v>3974</v>
      </c>
      <c r="J1484">
        <v>159.99</v>
      </c>
      <c r="K1484" s="4">
        <v>0.15429999999999999</v>
      </c>
      <c r="L1484">
        <v>2.9</v>
      </c>
      <c r="M1484">
        <v>3</v>
      </c>
      <c r="O1484" t="s">
        <v>25</v>
      </c>
      <c r="P1484" t="s">
        <v>138</v>
      </c>
      <c r="Q1484" t="s">
        <v>3975</v>
      </c>
    </row>
    <row r="1485" spans="1:17" ht="15.5" x14ac:dyDescent="0.35">
      <c r="A1485" s="3" t="str">
        <f>HYPERLINK("https://edmondsonsupply.com/collections/hvac/products/klein-tools-32562-6-in-1-multi-bit-screwdriver-nut-driver-stubby", "https://edmondsonsupply.com/collections/hvac/products/klein-tools-32562-6-in-1-multi-bit-screwdriver-nut-driver-stubby")</f>
        <v>https://edmondsonsupply.com/collections/hvac/products/klein-tools-32562-6-in-1-multi-bit-screwdriver-nut-driver-stubby</v>
      </c>
      <c r="B1485"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1485" t="s">
        <v>3544</v>
      </c>
      <c r="D1485" t="s">
        <v>3976</v>
      </c>
      <c r="E1485" s="3" t="str">
        <f>HYPERLINK("https://www.amazon.com/Klein-Tools-32557-Multi-Bit-Screwdriver/dp/B005FQDH9A/ref=sr_1_3?keywords=Klein+Tools+32562+Multi-Bit+Screwdriver+%2F+Nut+Driver%2C+6-in-1%2C+Stubby%2C+Ph%2C+Sl%2C+Sq+Bits&amp;qid=1695173663&amp;sr=8-3", "https://www.amazon.com/Klein-Tools-32557-Multi-Bit-Screwdriver/dp/B005FQDH9A/ref=sr_1_3?keywords=Klein+Tools+32562+Multi-Bit+Screwdriver+%2F+Nut+Driver%2C+6-in-1%2C+Stubby%2C+Ph%2C+Sl%2C+Sq+Bits&amp;qid=1695173663&amp;sr=8-3")</f>
        <v>https://www.amazon.com/Klein-Tools-32557-Multi-Bit-Screwdriver/dp/B005FQDH9A/ref=sr_1_3?keywords=Klein+Tools+32562+Multi-Bit+Screwdriver+%2F+Nut+Driver%2C+6-in-1%2C+Stubby%2C+Ph%2C+Sl%2C+Sq+Bits&amp;qid=1695173663&amp;sr=8-3</v>
      </c>
      <c r="F1485" t="s">
        <v>3977</v>
      </c>
      <c r="G1485" t="e">
        <f ca="1">_xludf.IMAGE("https://edmondsonsupply.com/cdn/shop/products/32562.jpg?v=1587145424")</f>
        <v>#NAME?</v>
      </c>
      <c r="H1485" t="e">
        <f ca="1">_xludf.IMAGE("https://m.media-amazon.com/images/I/41vMDiO0rOL._AC_UL320_.jpg")</f>
        <v>#NAME?</v>
      </c>
      <c r="I1485" t="s">
        <v>834</v>
      </c>
      <c r="J1485">
        <v>14.98</v>
      </c>
      <c r="K1485" s="4">
        <v>0.1532</v>
      </c>
      <c r="L1485">
        <v>4.8</v>
      </c>
      <c r="M1485">
        <v>921</v>
      </c>
      <c r="O1485" t="s">
        <v>25</v>
      </c>
      <c r="P1485" t="s">
        <v>3547</v>
      </c>
      <c r="Q1485" t="s">
        <v>3548</v>
      </c>
    </row>
    <row r="1486" spans="1:17" ht="15.5" x14ac:dyDescent="0.35">
      <c r="A1486" s="3" t="str">
        <f>HYPERLINK("https://edmondsonsupply.com/collections/hvac/products/diablo-tools-dmapl4210-5-8-in-x-4-in-x-6-in-rebar-demon%E2%84%A2-sds-plus-4-cutter-full-carbide-head-hammer-bit", "https://edmondsonsupply.com/collections/hvac/products/diablo-tools-dmapl4210-5-8-in-x-4-in-x-6-in-rebar-demon%E2%84%A2-sds-plus-4-cutter-full-carbide-head-hammer-bit")</f>
        <v>https://edmondsonsupply.com/collections/hvac/products/diablo-tools-dmapl4210-5-8-in-x-4-in-x-6-in-rebar-demon%E2%84%A2-sds-plus-4-cutter-full-carbide-head-hammer-bit</v>
      </c>
      <c r="B1486"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1486" t="s">
        <v>1424</v>
      </c>
      <c r="D1486" t="s">
        <v>3978</v>
      </c>
      <c r="E1486" s="3" t="str">
        <f>HYPERLINK("https://www.amazon.com/Diablo-Freud-DMAPL4210-SDS-Plus-4-Cutter/dp/B089LGF2KS/ref=sr_1_1?keywords=Diablo+Tools+DMAPL4210+5%2F8+in.+x+4+in.+x+6+in.+Rebar+Demon%E2%84%A2+SDS%E2%80%91Plus+4%E2%80%91Cutter+Full+Carbide+Head+Hammer+Bit&amp;qid=1695173544&amp;sr=8-1", "https://www.amazon.com/Diablo-Freud-DMAPL4210-SDS-Plus-4-Cutter/dp/B089LGF2KS/ref=sr_1_1?keywords=Diablo+Tools+DMAPL4210+5%2F8+in.+x+4+in.+x+6+in.+Rebar+Demon%E2%84%A2+SDS%E2%80%91Plus+4%E2%80%91Cutter+Full+Carbide+Head+Hammer+Bit&amp;qid=1695173544&amp;sr=8-1")</f>
        <v>https://www.amazon.com/Diablo-Freud-DMAPL4210-SDS-Plus-4-Cutter/dp/B089LGF2KS/ref=sr_1_1?keywords=Diablo+Tools+DMAPL4210+5%2F8+in.+x+4+in.+x+6+in.+Rebar+Demon%E2%84%A2+SDS%E2%80%91Plus+4%E2%80%91Cutter+Full+Carbide+Head+Hammer+Bit&amp;qid=1695173544&amp;sr=8-1</v>
      </c>
      <c r="F1486" t="s">
        <v>3979</v>
      </c>
      <c r="G1486" t="e">
        <f ca="1">_xludf.IMAGE("https://edmondsonsupply.com/cdn/shop/products/DMAPL4210_Main-Image20200701.png?v=1633030426")</f>
        <v>#NAME?</v>
      </c>
      <c r="H1486" t="e">
        <f ca="1">_xludf.IMAGE("https://m.media-amazon.com/images/I/61rU9ZgmndL._AC_UL320_.jpg")</f>
        <v>#NAME?</v>
      </c>
      <c r="I1486" t="s">
        <v>1427</v>
      </c>
      <c r="J1486">
        <v>11.49</v>
      </c>
      <c r="K1486" s="4">
        <v>0.1525</v>
      </c>
      <c r="L1486">
        <v>4.5999999999999996</v>
      </c>
      <c r="M1486">
        <v>63</v>
      </c>
      <c r="O1486" t="s">
        <v>25</v>
      </c>
      <c r="P1486" t="s">
        <v>1428</v>
      </c>
      <c r="Q1486" t="s">
        <v>1429</v>
      </c>
    </row>
    <row r="1487" spans="1:17" ht="15.5" x14ac:dyDescent="0.35">
      <c r="A1487" s="3" t="str">
        <f>HYPERLINK("https://edmondsonsupply.com/collections/hvac/products/5-2-1-csru1", "https://edmondsonsupply.com/collections/hvac/products/5-2-1-csru1")</f>
        <v>https://edmondsonsupply.com/collections/hvac/products/5-2-1-csru1</v>
      </c>
      <c r="B1487" s="3" t="str">
        <f>HYPERLINK("https://edmondsonsupply.com/products/5-2-1-csru1", "https://edmondsonsupply.com/products/5-2-1-csru1")</f>
        <v>https://edmondsonsupply.com/products/5-2-1-csru1</v>
      </c>
      <c r="C1487" t="s">
        <v>3321</v>
      </c>
      <c r="D1487" t="s">
        <v>3980</v>
      </c>
      <c r="E1487" s="3" t="str">
        <f>HYPERLINK("https://www.amazon.com/Upgraded-Durable-CSR-U2-Compressor-Capacitor/dp/B097947PG6/ref=sr_1_8?keywords=5-2-1+CSRU1+Compressor+Saver%2C+1+to+3+Tons&amp;qid=1695173572&amp;sr=8-8", "https://www.amazon.com/Upgraded-Durable-CSR-U2-Compressor-Capacitor/dp/B097947PG6/ref=sr_1_8?keywords=5-2-1+CSRU1+Compressor+Saver%2C+1+to+3+Tons&amp;qid=1695173572&amp;sr=8-8")</f>
        <v>https://www.amazon.com/Upgraded-Durable-CSR-U2-Compressor-Capacitor/dp/B097947PG6/ref=sr_1_8?keywords=5-2-1+CSRU1+Compressor+Saver%2C+1+to+3+Tons&amp;qid=1695173572&amp;sr=8-8</v>
      </c>
      <c r="F1487" t="s">
        <v>3981</v>
      </c>
      <c r="G1487" t="e">
        <f ca="1">_xludf.IMAGE("https://edmondsonsupply.com/cdn/shop/products/CSRU1.jpg?v=1633030087")</f>
        <v>#NAME?</v>
      </c>
      <c r="H1487" t="e">
        <f ca="1">_xludf.IMAGE("https://m.media-amazon.com/images/I/81D4yuVmb4S._AC_UL320_.jpg")</f>
        <v>#NAME?</v>
      </c>
      <c r="I1487" t="s">
        <v>3324</v>
      </c>
      <c r="J1487">
        <v>39.869999999999997</v>
      </c>
      <c r="K1487" s="4">
        <v>0.15160000000000001</v>
      </c>
      <c r="L1487">
        <v>4.2</v>
      </c>
      <c r="M1487">
        <v>35</v>
      </c>
      <c r="O1487" t="s">
        <v>25</v>
      </c>
      <c r="P1487" t="s">
        <v>1307</v>
      </c>
      <c r="Q1487" t="s">
        <v>3325</v>
      </c>
    </row>
    <row r="1488" spans="1:17" ht="15.5" x14ac:dyDescent="0.35">
      <c r="A1488" s="3" t="str">
        <f>HYPERLINK("https://edmondsonsupply.com/collections/hvac/products/appion-mgavct-1-4in-valve-core-removal-tool", "https://edmondsonsupply.com/collections/hvac/products/appion-mgavct-1-4in-valve-core-removal-tool")</f>
        <v>https://edmondsonsupply.com/collections/hvac/products/appion-mgavct-1-4in-valve-core-removal-tool</v>
      </c>
      <c r="B1488" s="3" t="str">
        <f>HYPERLINK("https://edmondsonsupply.com/products/appion-mgavct-1-4in-valve-core-removal-tool", "https://edmondsonsupply.com/products/appion-mgavct-1-4in-valve-core-removal-tool")</f>
        <v>https://edmondsonsupply.com/products/appion-mgavct-1-4in-valve-core-removal-tool</v>
      </c>
      <c r="C1488" t="s">
        <v>2272</v>
      </c>
      <c r="D1488" t="s">
        <v>3982</v>
      </c>
      <c r="E1488" s="3" t="str">
        <f>HYPERLINK("https://www.amazon.com/Appion-MGAVCT-Vacuum-Rated-Removal-Connection/dp/B008GVRI50/ref=sr_1_2?keywords=Appion+MGAVCT+1%2F4in+Valve+Core+Removal+Tool&amp;qid=1695173344&amp;sr=8-2", "https://www.amazon.com/Appion-MGAVCT-Vacuum-Rated-Removal-Connection/dp/B008GVRI50/ref=sr_1_2?keywords=Appion+MGAVCT+1%2F4in+Valve+Core+Removal+Tool&amp;qid=1695173344&amp;sr=8-2")</f>
        <v>https://www.amazon.com/Appion-MGAVCT-Vacuum-Rated-Removal-Connection/dp/B008GVRI50/ref=sr_1_2?keywords=Appion+MGAVCT+1%2F4in+Valve+Core+Removal+Tool&amp;qid=1695173344&amp;sr=8-2</v>
      </c>
      <c r="F1488" t="s">
        <v>3983</v>
      </c>
      <c r="G1488" t="e">
        <f ca="1">_xludf.IMAGE("https://edmondsonsupply.com/cdn/shop/products/MGAVCT_1080.png?v=1678240814")</f>
        <v>#NAME?</v>
      </c>
      <c r="H1488" t="e">
        <f ca="1">_xludf.IMAGE("https://m.media-amazon.com/images/I/71Y3KHHd0cL._AC_UL320_.jpg")</f>
        <v>#NAME?</v>
      </c>
      <c r="I1488" t="s">
        <v>588</v>
      </c>
      <c r="J1488">
        <v>80.540000000000006</v>
      </c>
      <c r="K1488" s="4">
        <v>0.1507</v>
      </c>
      <c r="L1488">
        <v>4.7</v>
      </c>
      <c r="M1488">
        <v>68</v>
      </c>
      <c r="O1488" t="s">
        <v>25</v>
      </c>
      <c r="P1488" t="s">
        <v>315</v>
      </c>
      <c r="Q1488" t="s">
        <v>2275</v>
      </c>
    </row>
    <row r="1489" spans="1:17" ht="15.5" x14ac:dyDescent="0.35">
      <c r="A1489" s="3" t="str">
        <f>HYPERLINK("https://edmondsonsupply.com/collections/hvac/products/hilmor-1839027-tb1412-tri-tube-benders-1-4-3-8-1-2", "https://edmondsonsupply.com/collections/hvac/products/hilmor-1839027-tb1412-tri-tube-benders-1-4-3-8-1-2")</f>
        <v>https://edmondsonsupply.com/collections/hvac/products/hilmor-1839027-tb1412-tri-tube-benders-1-4-3-8-1-2</v>
      </c>
      <c r="B1489" s="3" t="str">
        <f>HYPERLINK("https://edmondsonsupply.com/products/hilmor-1839027-tb1412-tri-tube-benders-1-4-3-8-1-2", "https://edmondsonsupply.com/products/hilmor-1839027-tb1412-tri-tube-benders-1-4-3-8-1-2")</f>
        <v>https://edmondsonsupply.com/products/hilmor-1839027-tb1412-tri-tube-benders-1-4-3-8-1-2</v>
      </c>
      <c r="C1489" t="s">
        <v>3984</v>
      </c>
      <c r="D1489" t="s">
        <v>3985</v>
      </c>
      <c r="E1489" s="3" t="str">
        <f>HYPERLINK("https://www.amazon.com/hilmor-1839027-TB1412-Tri-Tube-Bender/dp/B00IPEJVJE/ref=sr_1_1?keywords=Hilmor+1839027+Tri-Tube+Bender+-+1%2F4%22%2C+3%2F8%22%2C+1%2F2%22&amp;qid=1695173685&amp;sr=8-1", "https://www.amazon.com/hilmor-1839027-TB1412-Tri-Tube-Bender/dp/B00IPEJVJE/ref=sr_1_1?keywords=Hilmor+1839027+Tri-Tube+Bender+-+1%2F4%22%2C+3%2F8%22%2C+1%2F2%22&amp;qid=1695173685&amp;sr=8-1")</f>
        <v>https://www.amazon.com/hilmor-1839027-TB1412-Tri-Tube-Bender/dp/B00IPEJVJE/ref=sr_1_1?keywords=Hilmor+1839027+Tri-Tube+Bender+-+1%2F4%22%2C+3%2F8%22%2C+1%2F2%22&amp;qid=1695173685&amp;sr=8-1</v>
      </c>
      <c r="F1489" t="s">
        <v>3986</v>
      </c>
      <c r="G1489" t="e">
        <f ca="1">_xludf.IMAGE("https://edmondsonsupply.com/cdn/shop/products/Tri-Tube_Bender2-green_glow-735x480.png?v=1643678213")</f>
        <v>#NAME?</v>
      </c>
      <c r="H1489" t="e">
        <f ca="1">_xludf.IMAGE("https://m.media-amazon.com/images/I/51sA9FK-flS._AC_UL320_.jpg")</f>
        <v>#NAME?</v>
      </c>
      <c r="I1489" t="s">
        <v>1931</v>
      </c>
      <c r="J1489">
        <v>57.37</v>
      </c>
      <c r="K1489" s="4">
        <v>0.14760000000000001</v>
      </c>
      <c r="L1489">
        <v>4.4000000000000004</v>
      </c>
      <c r="M1489">
        <v>88</v>
      </c>
      <c r="O1489" t="s">
        <v>25</v>
      </c>
      <c r="P1489" t="s">
        <v>3987</v>
      </c>
      <c r="Q1489" t="s">
        <v>3988</v>
      </c>
    </row>
    <row r="1490" spans="1:17" ht="15.5" x14ac:dyDescent="0.35">
      <c r="A1490" s="3" t="str">
        <f>HYPERLINK("https://edmondsonsupply.com/collections/hvac/products/lucas-milhaupt-95177-sil-fos-15-7-rods-15-silver", "https://edmondsonsupply.com/collections/hvac/products/lucas-milhaupt-95177-sil-fos-15-7-rods-15-silver")</f>
        <v>https://edmondsonsupply.com/collections/hvac/products/lucas-milhaupt-95177-sil-fos-15-7-rods-15-silver</v>
      </c>
      <c r="B1490" s="3" t="str">
        <f>HYPERLINK("https://edmondsonsupply.com/products/lucas-milhaupt-95177-sil-fos-15-7-rods-15-silver", "https://edmondsonsupply.com/products/lucas-milhaupt-95177-sil-fos-15-7-rods-15-silver")</f>
        <v>https://edmondsonsupply.com/products/lucas-milhaupt-95177-sil-fos-15-7-rods-15-silver</v>
      </c>
      <c r="C1490" t="s">
        <v>3989</v>
      </c>
      <c r="D1490" t="s">
        <v>3990</v>
      </c>
      <c r="E1490" s="3" t="str">
        <f>HYPERLINK("https://www.amazon.com/Lucas-Milhaupt-95060-Brazing-Alloy-Tube/dp/B06Y1TMQ41/ref=sr_1_1?keywords=Lucas+Milhaupt+95060+Sil-Fos+5+28+Rods%2C+5%25+Silver&amp;qid=1695173679&amp;sr=8-1", "https://www.amazon.com/Lucas-Milhaupt-95060-Brazing-Alloy-Tube/dp/B06Y1TMQ41/ref=sr_1_1?keywords=Lucas+Milhaupt+95060+Sil-Fos+5+28+Rods%2C+5%25+Silver&amp;qid=1695173679&amp;sr=8-1")</f>
        <v>https://www.amazon.com/Lucas-Milhaupt-95060-Brazing-Alloy-Tube/dp/B06Y1TMQ41/ref=sr_1_1?keywords=Lucas+Milhaupt+95060+Sil-Fos+5+28+Rods%2C+5%25+Silver&amp;qid=1695173679&amp;sr=8-1</v>
      </c>
      <c r="F1490" t="s">
        <v>3991</v>
      </c>
      <c r="G1490" t="e">
        <f ca="1">_xludf.IMAGE("https://edmondsonsupply.com/cdn/shop/products/95060-2.jpg?v=1587142682")</f>
        <v>#NAME?</v>
      </c>
      <c r="H1490" t="e">
        <f ca="1">_xludf.IMAGE("https://m.media-amazon.com/images/I/21lnzg1yx4L._AC_UL320_.jpg")</f>
        <v>#NAME?</v>
      </c>
      <c r="I1490" t="s">
        <v>3992</v>
      </c>
      <c r="J1490">
        <v>54.95</v>
      </c>
      <c r="K1490" s="4">
        <v>0.1474</v>
      </c>
      <c r="L1490">
        <v>4.4000000000000004</v>
      </c>
      <c r="M1490">
        <v>5</v>
      </c>
      <c r="O1490" t="s">
        <v>25</v>
      </c>
      <c r="P1490" t="s">
        <v>138</v>
      </c>
      <c r="Q1490" t="s">
        <v>3993</v>
      </c>
    </row>
    <row r="1491" spans="1:17" ht="15.5" x14ac:dyDescent="0.35">
      <c r="A1491" s="3" t="str">
        <f>HYPERLINK("https://edmondsonsupply.com/collections/hvac/products/bacharach-3015-0486-h-10-pro-refrigerant-leak-detector-replacement-sensor", "https://edmondsonsupply.com/collections/hvac/products/bacharach-3015-0486-h-10-pro-refrigerant-leak-detector-replacement-sensor")</f>
        <v>https://edmondsonsupply.com/collections/hvac/products/bacharach-3015-0486-h-10-pro-refrigerant-leak-detector-replacement-sensor</v>
      </c>
      <c r="B1491" s="3" t="str">
        <f>HYPERLINK("https://edmondsonsupply.com/products/bacharach-3015-0486-h-10-pro-refrigerant-leak-detector-replacement-sensor", "https://edmondsonsupply.com/products/bacharach-3015-0486-h-10-pro-refrigerant-leak-detector-replacement-sensor")</f>
        <v>https://edmondsonsupply.com/products/bacharach-3015-0486-h-10-pro-refrigerant-leak-detector-replacement-sensor</v>
      </c>
      <c r="C1491" t="s">
        <v>1504</v>
      </c>
      <c r="D1491" t="s">
        <v>3994</v>
      </c>
      <c r="E1491" s="3" t="str">
        <f>HYPERLINK("https://www.amazon.com/Bacharach-3015-0486-Replacement-Refrigerant-Detector/dp/B00DSVGIUE/ref=sr_1_1?keywords=Bacharach+3015-0486+H-10+PRO+Refrigerant+Leak+Detector+Replacement+Sensor&amp;qid=1695173505&amp;sr=8-1", "https://www.amazon.com/Bacharach-3015-0486-Replacement-Refrigerant-Detector/dp/B00DSVGIUE/ref=sr_1_1?keywords=Bacharach+3015-0486+H-10+PRO+Refrigerant+Leak+Detector+Replacement+Sensor&amp;qid=1695173505&amp;sr=8-1")</f>
        <v>https://www.amazon.com/Bacharach-3015-0486-Replacement-Refrigerant-Detector/dp/B00DSVGIUE/ref=sr_1_1?keywords=Bacharach+3015-0486+H-10+PRO+Refrigerant+Leak+Detector+Replacement+Sensor&amp;qid=1695173505&amp;sr=8-1</v>
      </c>
      <c r="F1491" t="s">
        <v>3995</v>
      </c>
      <c r="G1491" t="e">
        <f ca="1">_xludf.IMAGE("https://edmondsonsupply.com/cdn/shop/products/3015.png?v=1664282949")</f>
        <v>#NAME?</v>
      </c>
      <c r="H1491" t="e">
        <f ca="1">_xludf.IMAGE("https://m.media-amazon.com/images/I/71cff7LAGrL._AC_UL320_.jpg")</f>
        <v>#NAME?</v>
      </c>
      <c r="I1491" t="s">
        <v>1507</v>
      </c>
      <c r="J1491">
        <v>168.15</v>
      </c>
      <c r="K1491" s="4">
        <v>0.1462</v>
      </c>
      <c r="L1491">
        <v>4.5</v>
      </c>
      <c r="M1491">
        <v>9</v>
      </c>
      <c r="O1491" t="s">
        <v>25</v>
      </c>
      <c r="P1491" t="s">
        <v>1508</v>
      </c>
      <c r="Q1491" t="s">
        <v>1509</v>
      </c>
    </row>
    <row r="1492" spans="1:17" ht="15.5" x14ac:dyDescent="0.35">
      <c r="A1492" s="3" t="str">
        <f>HYPERLINK("https://edmondsonsupply.com/collections/hvac/products/greenlee-gsb02-1-2-step-bit-2", "https://edmondsonsupply.com/collections/hvac/products/greenlee-gsb02-1-2-step-bit-2")</f>
        <v>https://edmondsonsupply.com/collections/hvac/products/greenlee-gsb02-1-2-step-bit-2</v>
      </c>
      <c r="B1492" s="3" t="str">
        <f>HYPERLINK("https://edmondsonsupply.com/products/greenlee-gsb02-1-2-step-bit-2", "https://edmondsonsupply.com/products/greenlee-gsb02-1-2-step-bit-2")</f>
        <v>https://edmondsonsupply.com/products/greenlee-gsb02-1-2-step-bit-2</v>
      </c>
      <c r="C1492" t="s">
        <v>2882</v>
      </c>
      <c r="D1492" t="s">
        <v>3245</v>
      </c>
      <c r="E1492" s="3" t="str">
        <f>HYPERLINK("https://www.amazon.com/Greenlee-GSB12-Step-Bit-1-3/dp/B08TVF7KMP/ref=sr_1_2?keywords=Greenlee+GSB02+1%2F2%22+Step+Bit+%28%232%29&amp;qid=1695173752&amp;sr=8-2", "https://www.amazon.com/Greenlee-GSB12-Step-Bit-1-3/dp/B08TVF7KMP/ref=sr_1_2?keywords=Greenlee+GSB02+1%2F2%22+Step+Bit+%28%232%29&amp;qid=1695173752&amp;sr=8-2")</f>
        <v>https://www.amazon.com/Greenlee-GSB12-Step-Bit-1-3/dp/B08TVF7KMP/ref=sr_1_2?keywords=Greenlee+GSB02+1%2F2%22+Step+Bit+%28%232%29&amp;qid=1695173752&amp;sr=8-2</v>
      </c>
      <c r="F1492" t="s">
        <v>3246</v>
      </c>
      <c r="G1492" t="e">
        <f ca="1">_xludf.IMAGE("https://edmondsonsupply.com/cdn/shop/files/GSB02_CAT1_72dpi.jpg?v=1687783943")</f>
        <v>#NAME?</v>
      </c>
      <c r="H1492" t="e">
        <f ca="1">_xludf.IMAGE("https://m.media-amazon.com/images/I/41Z8kxeeZfL._AC_UY218_.jpg")</f>
        <v>#NAME?</v>
      </c>
      <c r="I1492" t="s">
        <v>2883</v>
      </c>
      <c r="J1492">
        <v>45</v>
      </c>
      <c r="K1492" s="4">
        <v>0.14530000000000001</v>
      </c>
      <c r="L1492">
        <v>4.8</v>
      </c>
      <c r="M1492">
        <v>27</v>
      </c>
      <c r="O1492" t="s">
        <v>25</v>
      </c>
      <c r="P1492" t="s">
        <v>2884</v>
      </c>
      <c r="Q1492" t="s">
        <v>2885</v>
      </c>
    </row>
    <row r="1493" spans="1:17" ht="15.5" x14ac:dyDescent="0.35">
      <c r="A1493" s="3" t="str">
        <f>HYPERLINK("https://edmondsonsupply.com/collections/hvac/products/nu-calgon-4300-89-rx11-flush-injection-valve", "https://edmondsonsupply.com/collections/hvac/products/nu-calgon-4300-89-rx11-flush-injection-valve")</f>
        <v>https://edmondsonsupply.com/collections/hvac/products/nu-calgon-4300-89-rx11-flush-injection-valve</v>
      </c>
      <c r="B1493" s="3" t="str">
        <f>HYPERLINK("https://edmondsonsupply.com/products/nu-calgon-4300-89-rx11-flush-injection-valve", "https://edmondsonsupply.com/products/nu-calgon-4300-89-rx11-flush-injection-valve")</f>
        <v>https://edmondsonsupply.com/products/nu-calgon-4300-89-rx11-flush-injection-valve</v>
      </c>
      <c r="C1493" t="s">
        <v>3996</v>
      </c>
      <c r="D1493" t="s">
        <v>3997</v>
      </c>
      <c r="E1493" s="3" t="str">
        <f>HYPERLINK("https://www.amazon.com/Nu-calgon-Rx11-Flush-Injection-4300-89/dp/B082J5HCH4/ref=sr_1_1?keywords=Nu-Calgon+4300-89+Rx11-Flush+Injection+Valve&amp;qid=1695173615&amp;sr=8-1", "https://www.amazon.com/Nu-calgon-Rx11-Flush-Injection-4300-89/dp/B082J5HCH4/ref=sr_1_1?keywords=Nu-Calgon+4300-89+Rx11-Flush+Injection+Valve&amp;qid=1695173615&amp;sr=8-1")</f>
        <v>https://www.amazon.com/Nu-calgon-Rx11-Flush-Injection-4300-89/dp/B082J5HCH4/ref=sr_1_1?keywords=Nu-Calgon+4300-89+Rx11-Flush+Injection+Valve&amp;qid=1695173615&amp;sr=8-1</v>
      </c>
      <c r="F1493" t="s">
        <v>3998</v>
      </c>
      <c r="G1493" t="e">
        <f ca="1">_xludf.IMAGE("https://edmondsonsupply.com/cdn/shop/products/4300-89.jpg?v=1658853039")</f>
        <v>#NAME?</v>
      </c>
      <c r="H1493" t="e">
        <f ca="1">_xludf.IMAGE("https://m.media-amazon.com/images/I/41yGd3S4UGL._AC_UY218_.jpg")</f>
        <v>#NAME?</v>
      </c>
      <c r="I1493" t="s">
        <v>3999</v>
      </c>
      <c r="J1493">
        <v>43.76</v>
      </c>
      <c r="K1493" s="4">
        <v>0.14349999999999999</v>
      </c>
      <c r="L1493">
        <v>4.4000000000000004</v>
      </c>
      <c r="M1493">
        <v>5</v>
      </c>
      <c r="O1493" t="s">
        <v>25</v>
      </c>
      <c r="P1493" t="s">
        <v>4000</v>
      </c>
      <c r="Q1493" t="s">
        <v>4001</v>
      </c>
    </row>
    <row r="1494" spans="1:17" ht="15.5" x14ac:dyDescent="0.35">
      <c r="A1494" s="3" t="str">
        <f>HYPERLINK("https://edmondsonsupply.com/collections/hvac/products/klein-tools-32791-pro-impact-power-bit-extension-1-4-inch-hex", "https://edmondsonsupply.com/collections/hvac/products/klein-tools-32791-pro-impact-power-bit-extension-1-4-inch-hex")</f>
        <v>https://edmondsonsupply.com/collections/hvac/products/klein-tools-32791-pro-impact-power-bit-extension-1-4-inch-hex</v>
      </c>
      <c r="B1494" s="3" t="str">
        <f>HYPERLINK("https://edmondsonsupply.com/products/klein-tools-32791-pro-impact-power-bit-extension-1-4-inch-hex", "https://edmondsonsupply.com/products/klein-tools-32791-pro-impact-power-bit-extension-1-4-inch-hex")</f>
        <v>https://edmondsonsupply.com/products/klein-tools-32791-pro-impact-power-bit-extension-1-4-inch-hex</v>
      </c>
      <c r="C1494" t="s">
        <v>2944</v>
      </c>
      <c r="D1494" t="s">
        <v>4002</v>
      </c>
      <c r="E1494" s="3" t="str">
        <f>HYPERLINK("https://www.amazon.com/Klein-Tools-32792-Impact-Driver/dp/B07RGVMK47/ref=sr_1_3?keywords=Klein+Tools+32791+Pro+Impact+Power+Bit+Extension+1%2F4-Inch+Hex&amp;qid=1695173651&amp;sr=8-3", "https://www.amazon.com/Klein-Tools-32792-Impact-Driver/dp/B07RGVMK47/ref=sr_1_3?keywords=Klein+Tools+32791+Pro+Impact+Power+Bit+Extension+1%2F4-Inch+Hex&amp;qid=1695173651&amp;sr=8-3")</f>
        <v>https://www.amazon.com/Klein-Tools-32792-Impact-Driver/dp/B07RGVMK47/ref=sr_1_3?keywords=Klein+Tools+32791+Pro+Impact+Power+Bit+Extension+1%2F4-Inch+Hex&amp;qid=1695173651&amp;sr=8-3</v>
      </c>
      <c r="F1494" t="s">
        <v>4003</v>
      </c>
      <c r="G1494" t="e">
        <f ca="1">_xludf.IMAGE("https://edmondsonsupply.com/cdn/shop/products/32791.jpg?v=1587145614")</f>
        <v>#NAME?</v>
      </c>
      <c r="H1494" t="e">
        <f ca="1">_xludf.IMAGE("https://m.media-amazon.com/images/I/51JzG4GF5wL._AC_UL320_.jpg")</f>
        <v>#NAME?</v>
      </c>
      <c r="I1494" t="s">
        <v>2347</v>
      </c>
      <c r="J1494">
        <v>7.99</v>
      </c>
      <c r="K1494" s="4">
        <v>0.1431</v>
      </c>
      <c r="L1494">
        <v>4.5</v>
      </c>
      <c r="M1494">
        <v>131</v>
      </c>
      <c r="O1494" t="s">
        <v>25</v>
      </c>
      <c r="P1494" t="s">
        <v>2826</v>
      </c>
      <c r="Q1494" t="s">
        <v>2947</v>
      </c>
    </row>
    <row r="1495" spans="1:17" ht="15.5" x14ac:dyDescent="0.35">
      <c r="A1495" s="3" t="str">
        <f>HYPERLINK("https://edmondsonsupply.com/collections/hvac/products/milwaukee-48-25-1372-1-3-8-self-feed-wood-bit", "https://edmondsonsupply.com/collections/hvac/products/milwaukee-48-25-1372-1-3-8-self-feed-wood-bit")</f>
        <v>https://edmondsonsupply.com/collections/hvac/products/milwaukee-48-25-1372-1-3-8-self-feed-wood-bit</v>
      </c>
      <c r="B1495" s="3" t="str">
        <f>HYPERLINK("https://edmondsonsupply.com/products/milwaukee-48-25-1372-1-3-8-self-feed-wood-bit", "https://edmondsonsupply.com/products/milwaukee-48-25-1372-1-3-8-self-feed-wood-bit")</f>
        <v>https://edmondsonsupply.com/products/milwaukee-48-25-1372-1-3-8-self-feed-wood-bit</v>
      </c>
      <c r="C1495" t="s">
        <v>4004</v>
      </c>
      <c r="D1495" t="s">
        <v>4005</v>
      </c>
      <c r="E1495" s="3" t="str">
        <f>HYPERLINK("https://www.amazon.com/Milwaukee-48-25-1371-8-Inch-16-Inch-Selfeed/dp/B00002249T/ref=sr_1_1?keywords=Milwaukee+48-25-1372+1-3%2F8%22+Self+Feed+Wood+Bit&amp;qid=1695173670&amp;sr=8-1", "https://www.amazon.com/Milwaukee-48-25-1371-8-Inch-16-Inch-Selfeed/dp/B00002249T/ref=sr_1_1?keywords=Milwaukee+48-25-1372+1-3%2F8%22+Self+Feed+Wood+Bit&amp;qid=1695173670&amp;sr=8-1")</f>
        <v>https://www.amazon.com/Milwaukee-48-25-1371-8-Inch-16-Inch-Selfeed/dp/B00002249T/ref=sr_1_1?keywords=Milwaukee+48-25-1372+1-3%2F8%22+Self+Feed+Wood+Bit&amp;qid=1695173670&amp;sr=8-1</v>
      </c>
      <c r="F1495" t="s">
        <v>4006</v>
      </c>
      <c r="G1495" t="e">
        <f ca="1">_xludf.IMAGE("https://edmondsonsupply.com/cdn/shop/products/milwaukee-auger-bits-48-25-1372-64_1000.jpg?v=1587150001")</f>
        <v>#NAME?</v>
      </c>
      <c r="H1495" t="e">
        <f ca="1">_xludf.IMAGE("https://m.media-amazon.com/images/I/51xlKJWPzYL._AC_UL320_.jpg")</f>
        <v>#NAME?</v>
      </c>
      <c r="I1495" t="s">
        <v>571</v>
      </c>
      <c r="J1495">
        <v>39.99</v>
      </c>
      <c r="K1495" s="4">
        <v>0.1429</v>
      </c>
      <c r="L1495">
        <v>4.5999999999999996</v>
      </c>
      <c r="M1495">
        <v>106</v>
      </c>
      <c r="O1495" t="s">
        <v>25</v>
      </c>
      <c r="P1495" t="s">
        <v>4007</v>
      </c>
      <c r="Q1495" t="s">
        <v>4008</v>
      </c>
    </row>
    <row r="1496" spans="1:17" ht="15.5" x14ac:dyDescent="0.35">
      <c r="A1496" s="3" t="str">
        <f>HYPERLINK("https://edmondsonsupply.com/collections/hvac/products/appion-mgavct-1-4in-valve-core-removal-tool", "https://edmondsonsupply.com/collections/hvac/products/appion-mgavct-1-4in-valve-core-removal-tool")</f>
        <v>https://edmondsonsupply.com/collections/hvac/products/appion-mgavct-1-4in-valve-core-removal-tool</v>
      </c>
      <c r="B1496" s="3" t="str">
        <f>HYPERLINK("https://edmondsonsupply.com/products/appion-mgavct-1-4in-valve-core-removal-tool", "https://edmondsonsupply.com/products/appion-mgavct-1-4in-valve-core-removal-tool")</f>
        <v>https://edmondsonsupply.com/products/appion-mgavct-1-4in-valve-core-removal-tool</v>
      </c>
      <c r="C1496" t="s">
        <v>2272</v>
      </c>
      <c r="D1496" t="s">
        <v>4009</v>
      </c>
      <c r="E1496" s="3" t="str">
        <f>HYPERLINK("https://www.amazon.com/Appion-MGAVCR-Vacuum-Rated-Removal/dp/B008HQ2EZ8/ref=sr_1_4?keywords=Appion+MGAVCT+1%2F4in+Valve+Core+Removal+Tool&amp;qid=1695173344&amp;sr=8-4", "https://www.amazon.com/Appion-MGAVCR-Vacuum-Rated-Removal/dp/B008HQ2EZ8/ref=sr_1_4?keywords=Appion+MGAVCT+1%2F4in+Valve+Core+Removal+Tool&amp;qid=1695173344&amp;sr=8-4")</f>
        <v>https://www.amazon.com/Appion-MGAVCR-Vacuum-Rated-Removal/dp/B008HQ2EZ8/ref=sr_1_4?keywords=Appion+MGAVCT+1%2F4in+Valve+Core+Removal+Tool&amp;qid=1695173344&amp;sr=8-4</v>
      </c>
      <c r="F1496" t="s">
        <v>4010</v>
      </c>
      <c r="G1496" t="e">
        <f ca="1">_xludf.IMAGE("https://edmondsonsupply.com/cdn/shop/products/MGAVCT_1080.png?v=1678240814")</f>
        <v>#NAME?</v>
      </c>
      <c r="H1496" t="e">
        <f ca="1">_xludf.IMAGE("https://m.media-amazon.com/images/I/51u6BXUiN9L._AC_UL320_.jpg")</f>
        <v>#NAME?</v>
      </c>
      <c r="I1496" t="s">
        <v>588</v>
      </c>
      <c r="J1496">
        <v>79.989999999999995</v>
      </c>
      <c r="K1496" s="4">
        <v>0.1429</v>
      </c>
      <c r="L1496">
        <v>4.8</v>
      </c>
      <c r="M1496">
        <v>886</v>
      </c>
      <c r="O1496" t="s">
        <v>25</v>
      </c>
      <c r="P1496" t="s">
        <v>315</v>
      </c>
      <c r="Q1496" t="s">
        <v>2275</v>
      </c>
    </row>
    <row r="1497" spans="1:17" ht="15.5" x14ac:dyDescent="0.35">
      <c r="A1497" s="3" t="str">
        <f>HYPERLINK("https://edmondsonsupply.com/collections/hvac/products/appion-mgavcr-5-16in-valve-core-removal-tool", "https://edmondsonsupply.com/collections/hvac/products/appion-mgavcr-5-16in-valve-core-removal-tool")</f>
        <v>https://edmondsonsupply.com/collections/hvac/products/appion-mgavcr-5-16in-valve-core-removal-tool</v>
      </c>
      <c r="B1497" s="3" t="str">
        <f>HYPERLINK("https://edmondsonsupply.com/products/appion-mgavcr-5-16in-valve-core-removal-tool", "https://edmondsonsupply.com/products/appion-mgavcr-5-16in-valve-core-removal-tool")</f>
        <v>https://edmondsonsupply.com/products/appion-mgavcr-5-16in-valve-core-removal-tool</v>
      </c>
      <c r="C1497" t="s">
        <v>2276</v>
      </c>
      <c r="D1497" t="s">
        <v>4009</v>
      </c>
      <c r="E1497" s="3" t="str">
        <f>HYPERLINK("https://www.amazon.com/Appion-MGAVCR-Vacuum-Rated-Removal/dp/B008HQ2EZ8/ref=sr_1_1?keywords=Appion+MGAVCR+5%2F16in+Valve+Core+Removal+Tool&amp;qid=1695173455&amp;sr=8-1", "https://www.amazon.com/Appion-MGAVCR-Vacuum-Rated-Removal/dp/B008HQ2EZ8/ref=sr_1_1?keywords=Appion+MGAVCR+5%2F16in+Valve+Core+Removal+Tool&amp;qid=1695173455&amp;sr=8-1")</f>
        <v>https://www.amazon.com/Appion-MGAVCR-Vacuum-Rated-Removal/dp/B008HQ2EZ8/ref=sr_1_1?keywords=Appion+MGAVCR+5%2F16in+Valve+Core+Removal+Tool&amp;qid=1695173455&amp;sr=8-1</v>
      </c>
      <c r="F1497" t="s">
        <v>4010</v>
      </c>
      <c r="G1497" t="e">
        <f ca="1">_xludf.IMAGE("https://edmondsonsupply.com/cdn/shop/products/MGAVCR_1080.png?v=1678239697")</f>
        <v>#NAME?</v>
      </c>
      <c r="H1497" t="e">
        <f ca="1">_xludf.IMAGE("https://m.media-amazon.com/images/I/51u6BXUiN9L._AC_UL320_.jpg")</f>
        <v>#NAME?</v>
      </c>
      <c r="I1497" t="s">
        <v>588</v>
      </c>
      <c r="J1497">
        <v>79.989999999999995</v>
      </c>
      <c r="K1497" s="4">
        <v>0.1429</v>
      </c>
      <c r="L1497">
        <v>4.8</v>
      </c>
      <c r="M1497">
        <v>886</v>
      </c>
      <c r="O1497" t="s">
        <v>25</v>
      </c>
      <c r="P1497" t="s">
        <v>315</v>
      </c>
      <c r="Q1497" t="s">
        <v>2277</v>
      </c>
    </row>
    <row r="1498" spans="1:17" ht="15.5" x14ac:dyDescent="0.35">
      <c r="A1498" s="3" t="str">
        <f>HYPERLINK("https://edmondsonsupply.com/collections/hvac/products/ritchie-yellow-jacket-19165-1-2-female-acme-quick-coupler-x-1-4-male-flare", "https://edmondsonsupply.com/collections/hvac/products/ritchie-yellow-jacket-19165-1-2-female-acme-quick-coupler-x-1-4-male-flare")</f>
        <v>https://edmondsonsupply.com/collections/hvac/products/ritchie-yellow-jacket-19165-1-2-female-acme-quick-coupler-x-1-4-male-flare</v>
      </c>
      <c r="B1498" s="3" t="str">
        <f>HYPERLINK("https://edmondsonsupply.com/products/ritchie-yellow-jacket-19165-1-2-female-acme-quick-coupler-x-1-4-male-flare", "https://edmondsonsupply.com/products/ritchie-yellow-jacket-19165-1-2-female-acme-quick-coupler-x-1-4-male-flare")</f>
        <v>https://edmondsonsupply.com/products/ritchie-yellow-jacket-19165-1-2-female-acme-quick-coupler-x-1-4-male-flare</v>
      </c>
      <c r="C1498" t="s">
        <v>3097</v>
      </c>
      <c r="D1498" t="s">
        <v>4011</v>
      </c>
      <c r="E1498" s="3" t="str">
        <f>HYPERLINK("https://www.amazon.com/Ritchie-Yellow-Jacket-Female-Couplersx1/dp/B0B1YN6DC7/ref=sr_1_7?keywords=Yellow+Jacket+19165+1%2F2%22+Female+Acme+Quick+Coupler+X+1%2F4%22+Male+Flare&amp;qid=1695173569&amp;sr=8-7", "https://www.amazon.com/Ritchie-Yellow-Jacket-Female-Couplersx1/dp/B0B1YN6DC7/ref=sr_1_7?keywords=Yellow+Jacket+19165+1%2F2%22+Female+Acme+Quick+Coupler+X+1%2F4%22+Male+Flare&amp;qid=1695173569&amp;sr=8-7")</f>
        <v>https://www.amazon.com/Ritchie-Yellow-Jacket-Female-Couplersx1/dp/B0B1YN6DC7/ref=sr_1_7?keywords=Yellow+Jacket+19165+1%2F2%22+Female+Acme+Quick+Coupler+X+1%2F4%22+Male+Flare&amp;qid=1695173569&amp;sr=8-7</v>
      </c>
      <c r="F1498" t="s">
        <v>4012</v>
      </c>
      <c r="G1498" t="e">
        <f ca="1">_xludf.IMAGE("https://edmondsonsupply.com/cdn/shop/products/s-l500_35c9f138-c108-4fd6-aab6-baa85329b323.jpg?v=1597544718")</f>
        <v>#NAME?</v>
      </c>
      <c r="H1498" t="e">
        <f ca="1">_xludf.IMAGE("https://m.media-amazon.com/images/I/71xnb6cLD8L._AC_UL320_.jpg")</f>
        <v>#NAME?</v>
      </c>
      <c r="I1498" t="s">
        <v>3100</v>
      </c>
      <c r="J1498">
        <v>21.74</v>
      </c>
      <c r="K1498" s="4">
        <v>0.1424</v>
      </c>
      <c r="L1498">
        <v>4.7</v>
      </c>
      <c r="M1498">
        <v>690</v>
      </c>
      <c r="O1498" t="s">
        <v>25</v>
      </c>
      <c r="P1498" t="s">
        <v>138</v>
      </c>
      <c r="Q1498" t="s">
        <v>3101</v>
      </c>
    </row>
    <row r="1499" spans="1:17" ht="15.5" x14ac:dyDescent="0.35">
      <c r="A1499" s="3" t="str">
        <f>HYPERLINK("https://edmondsonsupply.com/collections/hvac/products/diversitech-cp-m115", "https://edmondsonsupply.com/collections/hvac/products/diversitech-cp-m115")</f>
        <v>https://edmondsonsupply.com/collections/hvac/products/diversitech-cp-m115</v>
      </c>
      <c r="B1499" s="3" t="str">
        <f>HYPERLINK("https://edmondsonsupply.com/products/diversitech-cp-m115", "https://edmondsonsupply.com/products/diversitech-cp-m115")</f>
        <v>https://edmondsonsupply.com/products/diversitech-cp-m115</v>
      </c>
      <c r="C1499" t="s">
        <v>4013</v>
      </c>
      <c r="D1499" t="s">
        <v>4014</v>
      </c>
      <c r="E1499" s="3" t="str">
        <f>HYPERLINK("https://www.amazon.com/Diversitech-CP-M115-Mini-Split-Condensate-Pump/dp/B01LYB6WRD/ref=sr_1_1?keywords=DiversiTech+CP-M115+Mini-Split+Condensate+Pump%2C+115V&amp;qid=1695173460&amp;sr=8-1", "https://www.amazon.com/Diversitech-CP-M115-Mini-Split-Condensate-Pump/dp/B01LYB6WRD/ref=sr_1_1?keywords=DiversiTech+CP-M115+Mini-Split+Condensate+Pump%2C+115V&amp;qid=1695173460&amp;sr=8-1")</f>
        <v>https://www.amazon.com/Diversitech-CP-M115-Mini-Split-Condensate-Pump/dp/B01LYB6WRD/ref=sr_1_1?keywords=DiversiTech+CP-M115+Mini-Split+Condensate+Pump%2C+115V&amp;qid=1695173460&amp;sr=8-1</v>
      </c>
      <c r="F1499" t="s">
        <v>4015</v>
      </c>
      <c r="G1499" t="e">
        <f ca="1">_xludf.IMAGE("https://edmondsonsupply.com/cdn/shop/products/CP-M230_bc4e9a15-626b-4bef-bde3-a9f714acff00.jpg?v=1587150729")</f>
        <v>#NAME?</v>
      </c>
      <c r="H1499" t="e">
        <f ca="1">_xludf.IMAGE("https://m.media-amazon.com/images/I/51xVBCtmzmL._AC_UY218_.jpg")</f>
        <v>#NAME?</v>
      </c>
      <c r="I1499" t="s">
        <v>4016</v>
      </c>
      <c r="J1499">
        <v>129</v>
      </c>
      <c r="K1499" s="4">
        <v>0.14169999999999999</v>
      </c>
      <c r="L1499">
        <v>5</v>
      </c>
      <c r="M1499">
        <v>1</v>
      </c>
      <c r="O1499" t="s">
        <v>25</v>
      </c>
      <c r="P1499" t="s">
        <v>4017</v>
      </c>
      <c r="Q1499" t="s">
        <v>4018</v>
      </c>
    </row>
    <row r="1500" spans="1:17" ht="15.5" x14ac:dyDescent="0.35">
      <c r="A1500" s="3" t="str">
        <f>HYPERLINK("https://edmondsonsupply.com/collections/hvac/products/klein-tools-32791-pro-impact-power-bit-extension-1-4-inch-hex", "https://edmondsonsupply.com/collections/hvac/products/klein-tools-32791-pro-impact-power-bit-extension-1-4-inch-hex")</f>
        <v>https://edmondsonsupply.com/collections/hvac/products/klein-tools-32791-pro-impact-power-bit-extension-1-4-inch-hex</v>
      </c>
      <c r="B1500" s="3" t="str">
        <f>HYPERLINK("https://edmondsonsupply.com/products/klein-tools-32791-pro-impact-power-bit-extension-1-4-inch-hex", "https://edmondsonsupply.com/products/klein-tools-32791-pro-impact-power-bit-extension-1-4-inch-hex")</f>
        <v>https://edmondsonsupply.com/products/klein-tools-32791-pro-impact-power-bit-extension-1-4-inch-hex</v>
      </c>
      <c r="C1500" t="s">
        <v>2944</v>
      </c>
      <c r="D1500" t="s">
        <v>4019</v>
      </c>
      <c r="E1500" s="3" t="str">
        <f>HYPERLINK("https://www.amazon.com/WORKPRO-9-Piece-Socket-Adapter-Extension/dp/B0B6YYSZ6N/ref=sr_1_4?keywords=Klein+Tools+32791+Pro+Impact+Power+Bit+Extension+1%2F4-Inch+Hex&amp;qid=1695173651&amp;sr=8-4", "https://www.amazon.com/WORKPRO-9-Piece-Socket-Adapter-Extension/dp/B0B6YYSZ6N/ref=sr_1_4?keywords=Klein+Tools+32791+Pro+Impact+Power+Bit+Extension+1%2F4-Inch+Hex&amp;qid=1695173651&amp;sr=8-4")</f>
        <v>https://www.amazon.com/WORKPRO-9-Piece-Socket-Adapter-Extension/dp/B0B6YYSZ6N/ref=sr_1_4?keywords=Klein+Tools+32791+Pro+Impact+Power+Bit+Extension+1%2F4-Inch+Hex&amp;qid=1695173651&amp;sr=8-4</v>
      </c>
      <c r="F1500" t="s">
        <v>4020</v>
      </c>
      <c r="G1500" t="e">
        <f ca="1">_xludf.IMAGE("https://edmondsonsupply.com/cdn/shop/products/32791.jpg?v=1587145614")</f>
        <v>#NAME?</v>
      </c>
      <c r="H1500" t="e">
        <f ca="1">_xludf.IMAGE("https://m.media-amazon.com/images/I/61f5WFB-N1L._AC_UL320_.jpg")</f>
        <v>#NAME?</v>
      </c>
      <c r="I1500" t="s">
        <v>2347</v>
      </c>
      <c r="J1500">
        <v>7.97</v>
      </c>
      <c r="K1500" s="4">
        <v>0.14019999999999999</v>
      </c>
      <c r="L1500">
        <v>4.7</v>
      </c>
      <c r="M1500">
        <v>199</v>
      </c>
      <c r="O1500" t="s">
        <v>25</v>
      </c>
      <c r="P1500" t="s">
        <v>2826</v>
      </c>
      <c r="Q1500" t="s">
        <v>2947</v>
      </c>
    </row>
    <row r="1501" spans="1:17" ht="15.5" x14ac:dyDescent="0.35">
      <c r="A1501" s="3" t="str">
        <f>HYPERLINK("https://edmondsonsupply.com/collections/hvac/products/fresh-aire-uv-apco-tuvl-215-2-year-replacement-uv-lamp", "https://edmondsonsupply.com/collections/hvac/products/fresh-aire-uv-apco-tuvl-215-2-year-replacement-uv-lamp")</f>
        <v>https://edmondsonsupply.com/collections/hvac/products/fresh-aire-uv-apco-tuvl-215-2-year-replacement-uv-lamp</v>
      </c>
      <c r="B1501" s="3" t="str">
        <f>HYPERLINK("https://edmondsonsupply.com/products/fresh-aire-uv-apco-tuvl-215-2-year-replacement-uv-lamp", "https://edmondsonsupply.com/products/fresh-aire-uv-apco-tuvl-215-2-year-replacement-uv-lamp")</f>
        <v>https://edmondsonsupply.com/products/fresh-aire-uv-apco-tuvl-215-2-year-replacement-uv-lamp</v>
      </c>
      <c r="C1501" t="s">
        <v>2896</v>
      </c>
      <c r="D1501" t="s">
        <v>4021</v>
      </c>
      <c r="E1501" s="3" t="str">
        <f>HYPERLINK("https://www.amazon.com/Fresh-Aire-UV-Genuine-Replacement-Effective/dp/B072N1MGRC/ref=sr_1_2?keywords=Fresh-Aire+UV+APCO+TUVL-215%2C+2-Year+Replacement+UV+Lamp&amp;qid=1695173344&amp;sr=8-2", "https://www.amazon.com/Fresh-Aire-UV-Genuine-Replacement-Effective/dp/B072N1MGRC/ref=sr_1_2?keywords=Fresh-Aire+UV+APCO+TUVL-215%2C+2-Year+Replacement+UV+Lamp&amp;qid=1695173344&amp;sr=8-2")</f>
        <v>https://www.amazon.com/Fresh-Aire-UV-Genuine-Replacement-Effective/dp/B072N1MGRC/ref=sr_1_2?keywords=Fresh-Aire+UV+APCO+TUVL-215%2C+2-Year+Replacement+UV+Lamp&amp;qid=1695173344&amp;sr=8-2</v>
      </c>
      <c r="F1501" t="s">
        <v>4022</v>
      </c>
      <c r="G1501" t="e">
        <f ca="1">_xludf.IMAGE("https://edmondsonsupply.com/cdn/shop/products/TUVL-215_1ea9b67d-7d35-4102-a10b-a43913714c29.jpg?v=1633030216")</f>
        <v>#NAME?</v>
      </c>
      <c r="H1501" t="e">
        <f ca="1">_xludf.IMAGE("https://m.media-amazon.com/images/I/417N6rXTb6L._AC_UL320_.jpg")</f>
        <v>#NAME?</v>
      </c>
      <c r="I1501" t="s">
        <v>2899</v>
      </c>
      <c r="J1501">
        <v>123</v>
      </c>
      <c r="K1501" s="4">
        <v>0.13689999999999999</v>
      </c>
      <c r="L1501">
        <v>4.5</v>
      </c>
      <c r="M1501">
        <v>152</v>
      </c>
      <c r="O1501" t="s">
        <v>25</v>
      </c>
      <c r="P1501" t="s">
        <v>138</v>
      </c>
      <c r="Q1501" t="s">
        <v>2900</v>
      </c>
    </row>
    <row r="1502" spans="1:17" ht="15.5" x14ac:dyDescent="0.35">
      <c r="A1502" s="3" t="str">
        <f>HYPERLINK("https://edmondsonsupply.com/collections/hvac/products/midwest-mwt-ss6510l-special-hardness-offset-aviation-snip-left-cutting", "https://edmondsonsupply.com/collections/hvac/products/midwest-mwt-ss6510l-special-hardness-offset-aviation-snip-left-cutting")</f>
        <v>https://edmondsonsupply.com/collections/hvac/products/midwest-mwt-ss6510l-special-hardness-offset-aviation-snip-left-cutting</v>
      </c>
      <c r="B1502"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1502" t="s">
        <v>169</v>
      </c>
      <c r="D1502" t="s">
        <v>217</v>
      </c>
      <c r="E1502" s="3" t="str">
        <f>HYPERLINK("https://www.amazon.com/MIDWEST-Aviation-Snip-KUSHN-POWER-MWT-6510L/dp/B00OCGQFP2/ref=sr_1_2?keywords=Midwest+MWT-SS6510L+Special+Hardness+Offset+Aviation+Snip+-+Left-Cutting&amp;qid=1695173337&amp;sr=8-2", "https://www.amazon.com/MIDWEST-Aviation-Snip-KUSHN-POWER-MWT-6510L/dp/B00OCGQFP2/ref=sr_1_2?keywords=Midwest+MWT-SS6510L+Special+Hardness+Offset+Aviation+Snip+-+Left-Cutting&amp;qid=1695173337&amp;sr=8-2")</f>
        <v>https://www.amazon.com/MIDWEST-Aviation-Snip-KUSHN-POWER-MWT-6510L/dp/B00OCGQFP2/ref=sr_1_2?keywords=Midwest+MWT-SS6510L+Special+Hardness+Offset+Aviation+Snip+-+Left-Cutting&amp;qid=1695173337&amp;sr=8-2</v>
      </c>
      <c r="F1502" t="s">
        <v>218</v>
      </c>
      <c r="G1502" t="e">
        <f ca="1">_xludf.IMAGE("https://edmondsonsupply.com/cdn/shop/products/MWT-SS6510L.png?v=1587150385")</f>
        <v>#NAME?</v>
      </c>
      <c r="H1502" t="e">
        <f ca="1">_xludf.IMAGE("https://m.media-amazon.com/images/I/71WhwcyI50L._AC_UL320_.jpg")</f>
        <v>#NAME?</v>
      </c>
      <c r="I1502" t="s">
        <v>170</v>
      </c>
      <c r="J1502">
        <v>36.520000000000003</v>
      </c>
      <c r="K1502" s="4">
        <v>0.13589999999999999</v>
      </c>
      <c r="L1502">
        <v>4.7</v>
      </c>
      <c r="M1502">
        <v>3425</v>
      </c>
      <c r="O1502" t="s">
        <v>171</v>
      </c>
      <c r="P1502" t="s">
        <v>172</v>
      </c>
      <c r="Q1502" t="s">
        <v>173</v>
      </c>
    </row>
    <row r="1503" spans="1:17" ht="15.5" x14ac:dyDescent="0.35">
      <c r="A1503" s="3" t="str">
        <f>HYPERLINK("https://edmondsonsupply.com/collections/hvac/products/midwest-mwt-ss6510l-special-hardness-offset-aviation-snip-left-cutting", "https://edmondsonsupply.com/collections/hvac/products/midwest-mwt-ss6510l-special-hardness-offset-aviation-snip-left-cutting")</f>
        <v>https://edmondsonsupply.com/collections/hvac/products/midwest-mwt-ss6510l-special-hardness-offset-aviation-snip-left-cutting</v>
      </c>
      <c r="B1503" s="3" t="str">
        <f>HYPERLINK("https://edmondsonsupply.com/products/midwest-mwt-ss6510l-special-hardness-offset-aviation-snip-left-cutting", "https://edmondsonsupply.com/products/midwest-mwt-ss6510l-special-hardness-offset-aviation-snip-left-cutting")</f>
        <v>https://edmondsonsupply.com/products/midwest-mwt-ss6510l-special-hardness-offset-aviation-snip-left-cutting</v>
      </c>
      <c r="C1503" t="s">
        <v>169</v>
      </c>
      <c r="D1503" t="s">
        <v>3335</v>
      </c>
      <c r="E1503" s="3" t="str">
        <f>HYPERLINK("https://www.amazon.com/MIDWEST-Aviation-Snip-KUSHN-POWER-MWT-SS6510L/dp/B00PNJ1XXQ/ref=sr_1_1?keywords=Midwest+MWT-SS6510L+Special+Hardness+Offset+Aviation+Snip+-+Left-Cutting&amp;qid=1695173337&amp;sr=8-1", "https://www.amazon.com/MIDWEST-Aviation-Snip-KUSHN-POWER-MWT-SS6510L/dp/B00PNJ1XXQ/ref=sr_1_1?keywords=Midwest+MWT-SS6510L+Special+Hardness+Offset+Aviation+Snip+-+Left-Cutting&amp;qid=1695173337&amp;sr=8-1")</f>
        <v>https://www.amazon.com/MIDWEST-Aviation-Snip-KUSHN-POWER-MWT-SS6510L/dp/B00PNJ1XXQ/ref=sr_1_1?keywords=Midwest+MWT-SS6510L+Special+Hardness+Offset+Aviation+Snip+-+Left-Cutting&amp;qid=1695173337&amp;sr=8-1</v>
      </c>
      <c r="F1503" t="s">
        <v>3336</v>
      </c>
      <c r="G1503" t="e">
        <f ca="1">_xludf.IMAGE("https://edmondsonsupply.com/cdn/shop/products/MWT-SS6510L.png?v=1587150385")</f>
        <v>#NAME?</v>
      </c>
      <c r="H1503" t="e">
        <f ca="1">_xludf.IMAGE("https://m.media-amazon.com/images/I/61fSW+20AVL._AC_UL320_.jpg")</f>
        <v>#NAME?</v>
      </c>
      <c r="I1503" t="s">
        <v>170</v>
      </c>
      <c r="J1503">
        <v>36.5</v>
      </c>
      <c r="K1503" s="4">
        <v>0.1353</v>
      </c>
      <c r="L1503">
        <v>4.4000000000000004</v>
      </c>
      <c r="M1503">
        <v>1137</v>
      </c>
      <c r="O1503" t="s">
        <v>171</v>
      </c>
      <c r="P1503" t="s">
        <v>172</v>
      </c>
      <c r="Q1503" t="s">
        <v>173</v>
      </c>
    </row>
    <row r="1504" spans="1:17" ht="15.5" x14ac:dyDescent="0.35">
      <c r="A1504" s="3" t="str">
        <f>HYPERLINK("https://edmondsonsupply.com/collections/hvac/products/testo-0590-7551-755-1-current-voltage-meter-with-200-a-ac-600-v-ac-dc-and-continuity", "https://edmondsonsupply.com/collections/hvac/products/testo-0590-7551-755-1-current-voltage-meter-with-200-a-ac-600-v-ac-dc-and-continuity")</f>
        <v>https://edmondsonsupply.com/collections/hvac/products/testo-0590-7551-755-1-current-voltage-meter-with-200-a-ac-600-v-ac-dc-and-continuity</v>
      </c>
      <c r="B1504" s="3" t="str">
        <f>HYPERLINK("https://edmondsonsupply.com/products/testo-0590-7551-755-1-current-voltage-meter-with-200-a-ac-600-v-ac-dc-and-continuity", "https://edmondsonsupply.com/products/testo-0590-7551-755-1-current-voltage-meter-with-200-a-ac-600-v-ac-dc-and-continuity")</f>
        <v>https://edmondsonsupply.com/products/testo-0590-7551-755-1-current-voltage-meter-with-200-a-ac-600-v-ac-dc-and-continuity</v>
      </c>
      <c r="C1504" t="s">
        <v>3816</v>
      </c>
      <c r="D1504" t="s">
        <v>4023</v>
      </c>
      <c r="E1504" s="3" t="str">
        <f>HYPERLINK("https://www.amazon.com/Testo-755-1-Current-Voltage-Continuity/dp/B01F3MPHMU/ref=sr_1_1?keywords=Testo+0590+7551+755-1+-+Current+%2F+Voltage+Meter+with+200+A+AC%2C+600+V+AC%2FDC%2C+and+Continuity&amp;qid=1695173741&amp;sr=8-1", "https://www.amazon.com/Testo-755-1-Current-Voltage-Continuity/dp/B01F3MPHMU/ref=sr_1_1?keywords=Testo+0590+7551+755-1+-+Current+%2F+Voltage+Meter+with+200+A+AC%2C+600+V+AC%2FDC%2C+and+Continuity&amp;qid=1695173741&amp;sr=8-1")</f>
        <v>https://www.amazon.com/Testo-755-1-Current-Voltage-Continuity/dp/B01F3MPHMU/ref=sr_1_1?keywords=Testo+0590+7551+755-1+-+Current+%2F+Voltage+Meter+with+200+A+AC%2C+600+V+AC%2FDC%2C+and+Continuity&amp;qid=1695173741&amp;sr=8-1</v>
      </c>
      <c r="F1504" t="s">
        <v>4024</v>
      </c>
      <c r="G1504" t="e">
        <f ca="1">_xludf.IMAGE("https://edmondsonsupply.com/cdn/shop/files/testo-755-1_front_prl.jpg?v=1688226764")</f>
        <v>#NAME?</v>
      </c>
      <c r="H1504" t="e">
        <f ca="1">_xludf.IMAGE("https://m.media-amazon.com/images/I/81EGlqWO01L._AC_UY218_.jpg")</f>
        <v>#NAME?</v>
      </c>
      <c r="I1504" t="s">
        <v>1902</v>
      </c>
      <c r="J1504">
        <v>201.68</v>
      </c>
      <c r="K1504" s="4">
        <v>0.1353</v>
      </c>
      <c r="L1504">
        <v>3.2</v>
      </c>
      <c r="M1504">
        <v>5</v>
      </c>
      <c r="O1504" t="s">
        <v>25</v>
      </c>
      <c r="P1504" t="s">
        <v>697</v>
      </c>
      <c r="Q1504" t="s">
        <v>3819</v>
      </c>
    </row>
    <row r="1505" spans="1:17" ht="15.5" x14ac:dyDescent="0.35">
      <c r="A1505" s="3" t="str">
        <f>HYPERLINK("https://edmondsonsupply.com/collections/hvac/products/icm-controls-icm2813-furnace-control-board-replacement-for-lennox", "https://edmondsonsupply.com/collections/hvac/products/icm-controls-icm2813-furnace-control-board-replacement-for-lennox")</f>
        <v>https://edmondsonsupply.com/collections/hvac/products/icm-controls-icm2813-furnace-control-board-replacement-for-lennox</v>
      </c>
      <c r="B1505" s="3" t="str">
        <f>HYPERLINK("https://edmondsonsupply.com/products/icm-controls-icm2813-furnace-control-board-replacement-for-lennox", "https://edmondsonsupply.com/products/icm-controls-icm2813-furnace-control-board-replacement-for-lennox")</f>
        <v>https://edmondsonsupply.com/products/icm-controls-icm2813-furnace-control-board-replacement-for-lennox</v>
      </c>
      <c r="C1505" t="s">
        <v>2928</v>
      </c>
      <c r="D1505" t="s">
        <v>4025</v>
      </c>
      <c r="E1505" s="3" t="str">
        <f>HYPERLINK("https://www.amazon.com/ICM2813-Furnace-Control-23W5101-30W2501/dp/B08TPQ179V/ref=sr_1_1?keywords=ICM+Controls+ICM2813+Furnace+Control+Board+-+Replacement+for+Lennox&amp;qid=1695173342&amp;sr=8-1", "https://www.amazon.com/ICM2813-Furnace-Control-23W5101-30W2501/dp/B08TPQ179V/ref=sr_1_1?keywords=ICM+Controls+ICM2813+Furnace+Control+Board+-+Replacement+for+Lennox&amp;qid=1695173342&amp;sr=8-1")</f>
        <v>https://www.amazon.com/ICM2813-Furnace-Control-23W5101-30W2501/dp/B08TPQ179V/ref=sr_1_1?keywords=ICM+Controls+ICM2813+Furnace+Control+Board+-+Replacement+for+Lennox&amp;qid=1695173342&amp;sr=8-1</v>
      </c>
      <c r="F1505" t="s">
        <v>4026</v>
      </c>
      <c r="G1505" t="e">
        <f ca="1">_xludf.IMAGE("https://edmondsonsupply.com/cdn/shop/products/ICM2813.jpg?v=1666552363")</f>
        <v>#NAME?</v>
      </c>
      <c r="H1505" t="e">
        <f ca="1">_xludf.IMAGE("https://m.media-amazon.com/images/I/81ojjm5E6kL._AC_UL320_.jpg")</f>
        <v>#NAME?</v>
      </c>
      <c r="I1505" t="s">
        <v>2224</v>
      </c>
      <c r="J1505">
        <v>113.48</v>
      </c>
      <c r="K1505" s="4">
        <v>0.13489999999999999</v>
      </c>
      <c r="L1505">
        <v>4.8</v>
      </c>
      <c r="M1505">
        <v>5</v>
      </c>
      <c r="O1505" t="s">
        <v>25</v>
      </c>
      <c r="P1505" t="s">
        <v>2931</v>
      </c>
      <c r="Q1505" t="s">
        <v>2932</v>
      </c>
    </row>
    <row r="1506" spans="1:17" ht="15.5" x14ac:dyDescent="0.35">
      <c r="A1506" s="3" t="str">
        <f>HYPERLINK("https://edmondsonsupply.com/collections/hvac/products/jb-industries-shld-multi-the-shield", "https://edmondsonsupply.com/collections/hvac/products/jb-industries-shld-multi-the-shield")</f>
        <v>https://edmondsonsupply.com/collections/hvac/products/jb-industries-shld-multi-the-shield</v>
      </c>
      <c r="B1506" s="3" t="str">
        <f>HYPERLINK("https://edmondsonsupply.com/products/jb-industries-shld-multi-the-shield", "https://edmondsonsupply.com/products/jb-industries-shld-multi-the-shield")</f>
        <v>https://edmondsonsupply.com/products/jb-industries-shld-multi-the-shield</v>
      </c>
      <c r="C1506" t="s">
        <v>207</v>
      </c>
      <c r="D1506" t="s">
        <v>219</v>
      </c>
      <c r="E1506" s="3" t="str">
        <f>HYPERLINK("https://www.amazon.com/JB-Industries-SHLD-Multi-Locking-Multi-Key/dp/B015UA7GUQ/ref=sr_1_1?keywords=JB+Industries+SHLD-MULTI+The+Shield%E2%84%A2+Universal+Locking+Cap+Multi-Tool&amp;qid=1695173337&amp;sr=8-1", "https://www.amazon.com/JB-Industries-SHLD-Multi-Locking-Multi-Key/dp/B015UA7GUQ/ref=sr_1_1?keywords=JB+Industries+SHLD-MULTI+The+Shield%E2%84%A2+Universal+Locking+Cap+Multi-Tool&amp;qid=1695173337&amp;sr=8-1")</f>
        <v>https://www.amazon.com/JB-Industries-SHLD-Multi-Locking-Multi-Key/dp/B015UA7GUQ/ref=sr_1_1?keywords=JB+Industries+SHLD-MULTI+The+Shield%E2%84%A2+Universal+Locking+Cap+Multi-Tool&amp;qid=1695173337&amp;sr=8-1</v>
      </c>
      <c r="F1506" t="s">
        <v>220</v>
      </c>
      <c r="G1506" t="e">
        <f ca="1">_xludf.IMAGE("https://edmondsonsupply.com/cdn/shop/products/SHLD-MULTI-JB-Shield-Locking-Cap-Multi-Tool-Access-Valves-1024x1024-1.png?v=1650331009")</f>
        <v>#NAME?</v>
      </c>
      <c r="H1506" t="e">
        <f ca="1">_xludf.IMAGE("https://m.media-amazon.com/images/I/81lphpRAUNL._AC_UL320_.jpg")</f>
        <v>#NAME?</v>
      </c>
      <c r="I1506" t="s">
        <v>210</v>
      </c>
      <c r="J1506">
        <v>35</v>
      </c>
      <c r="K1506" s="4">
        <v>0.1338</v>
      </c>
      <c r="L1506">
        <v>4.4000000000000004</v>
      </c>
      <c r="M1506">
        <v>110</v>
      </c>
      <c r="O1506" t="s">
        <v>25</v>
      </c>
      <c r="P1506" t="s">
        <v>211</v>
      </c>
      <c r="Q1506" t="s">
        <v>212</v>
      </c>
    </row>
    <row r="1507" spans="1:17" ht="15.5" x14ac:dyDescent="0.35">
      <c r="A1507" s="3" t="str">
        <f>HYPERLINK("https://edmondsonsupply.com/collections/hvac/products/midwest-mwt-so6-6-inch-offset-hand-seamer", "https://edmondsonsupply.com/collections/hvac/products/midwest-mwt-so6-6-inch-offset-hand-seamer")</f>
        <v>https://edmondsonsupply.com/collections/hvac/products/midwest-mwt-so6-6-inch-offset-hand-seamer</v>
      </c>
      <c r="B1507" s="3" t="str">
        <f>HYPERLINK("https://edmondsonsupply.com/products/midwest-mwt-so6-6-inch-offset-hand-seamer", "https://edmondsonsupply.com/products/midwest-mwt-so6-6-inch-offset-hand-seamer")</f>
        <v>https://edmondsonsupply.com/products/midwest-mwt-so6-6-inch-offset-hand-seamer</v>
      </c>
      <c r="C1507" t="s">
        <v>4027</v>
      </c>
      <c r="D1507" t="s">
        <v>4028</v>
      </c>
      <c r="E1507" s="3" t="str">
        <f>HYPERLINK("https://www.amazon.com/MIDWEST-Seamer-KUSHN-POWER-Comfort-MWT-SO6/dp/B00UM3YKXS/ref=sr_1_1?keywords=Midwest+MWT-SO6+6-Inch+Offset+Hand+Seamer&amp;qid=1695173549&amp;sr=8-1", "https://www.amazon.com/MIDWEST-Seamer-KUSHN-POWER-Comfort-MWT-SO6/dp/B00UM3YKXS/ref=sr_1_1?keywords=Midwest+MWT-SO6+6-Inch+Offset+Hand+Seamer&amp;qid=1695173549&amp;sr=8-1")</f>
        <v>https://www.amazon.com/MIDWEST-Seamer-KUSHN-POWER-Comfort-MWT-SO6/dp/B00UM3YKXS/ref=sr_1_1?keywords=Midwest+MWT-SO6+6-Inch+Offset+Hand+Seamer&amp;qid=1695173549&amp;sr=8-1</v>
      </c>
      <c r="F1507" t="s">
        <v>4029</v>
      </c>
      <c r="G1507" t="e">
        <f ca="1">_xludf.IMAGE("https://edmondsonsupply.com/cdn/shop/products/MWT-SO61.jpg?v=1587144674")</f>
        <v>#NAME?</v>
      </c>
      <c r="H1507" t="e">
        <f ca="1">_xludf.IMAGE("https://m.media-amazon.com/images/I/61NPnc3liJL._AC_UL320_.jpg")</f>
        <v>#NAME?</v>
      </c>
      <c r="I1507" t="s">
        <v>4030</v>
      </c>
      <c r="J1507">
        <v>58.91</v>
      </c>
      <c r="K1507" s="4">
        <v>0.1331</v>
      </c>
      <c r="L1507">
        <v>4.2</v>
      </c>
      <c r="M1507">
        <v>158</v>
      </c>
      <c r="O1507" t="s">
        <v>171</v>
      </c>
      <c r="P1507" t="s">
        <v>4031</v>
      </c>
      <c r="Q1507" t="s">
        <v>4032</v>
      </c>
    </row>
    <row r="1508" spans="1:17" ht="15.5" x14ac:dyDescent="0.35">
      <c r="A1508" s="3" t="str">
        <f>HYPERLINK("https://edmondsonsupply.com/collections/hvac/products/spin-tools-s1014-swaging-1-4-drill-bit", "https://edmondsonsupply.com/collections/hvac/products/spin-tools-s1014-swaging-1-4-drill-bit")</f>
        <v>https://edmondsonsupply.com/collections/hvac/products/spin-tools-s1014-swaging-1-4-drill-bit</v>
      </c>
      <c r="B1508" s="3" t="str">
        <f>HYPERLINK("https://edmondsonsupply.com/products/spin-tools-s1014-swaging-1-4-drill-bit", "https://edmondsonsupply.com/products/spin-tools-s1014-swaging-1-4-drill-bit")</f>
        <v>https://edmondsonsupply.com/products/spin-tools-s1014-swaging-1-4-drill-bit</v>
      </c>
      <c r="C1508" t="s">
        <v>2178</v>
      </c>
      <c r="D1508" t="s">
        <v>4033</v>
      </c>
      <c r="E1508" s="3" t="str">
        <f>HYPERLINK("https://www.amazon.com/HVAC-Tools-Expander-Swaging-Refrigeration/dp/B087WSN432/ref=sr_1_1?keywords=SPIN+Tools+S1014+Swaging+Individual+1%2F4%22+Drill+Bit&amp;qid=1695173476&amp;sr=8-1", "https://www.amazon.com/HVAC-Tools-Expander-Swaging-Refrigeration/dp/B087WSN432/ref=sr_1_1?keywords=SPIN+Tools+S1014+Swaging+Individual+1%2F4%22+Drill+Bit&amp;qid=1695173476&amp;sr=8-1")</f>
        <v>https://www.amazon.com/HVAC-Tools-Expander-Swaging-Refrigeration/dp/B087WSN432/ref=sr_1_1?keywords=SPIN+Tools+S1014+Swaging+Individual+1%2F4%22+Drill+Bit&amp;qid=1695173476&amp;sr=8-1</v>
      </c>
      <c r="F1508" t="s">
        <v>4034</v>
      </c>
      <c r="G1508" t="e">
        <f ca="1">_xludf.IMAGE("https://edmondsonsupply.com/cdn/shop/products/S1014-2.jpg?v=1633030315")</f>
        <v>#NAME?</v>
      </c>
      <c r="H1508" t="e">
        <f ca="1">_xludf.IMAGE("https://m.media-amazon.com/images/I/41IKHISHP4L._AC_UL320_.jpg")</f>
        <v>#NAME?</v>
      </c>
      <c r="I1508" t="s">
        <v>2181</v>
      </c>
      <c r="J1508">
        <v>29.96</v>
      </c>
      <c r="K1508" s="4">
        <v>0.13270000000000001</v>
      </c>
      <c r="L1508">
        <v>4</v>
      </c>
      <c r="M1508">
        <v>16</v>
      </c>
      <c r="O1508" t="s">
        <v>171</v>
      </c>
      <c r="P1508" t="s">
        <v>2182</v>
      </c>
      <c r="Q1508" t="s">
        <v>2183</v>
      </c>
    </row>
    <row r="1509" spans="1:17" ht="15.5" x14ac:dyDescent="0.35">
      <c r="A1509" s="3" t="str">
        <f>HYPERLINK("https://edmondsonsupply.com/collections/hvac/products/copy-of-jb-industries-cmvc003-coremax-high-flow-valve-with-caps", "https://edmondsonsupply.com/collections/hvac/products/copy-of-jb-industries-cmvc003-coremax-high-flow-valve-with-caps")</f>
        <v>https://edmondsonsupply.com/collections/hvac/products/copy-of-jb-industries-cmvc003-coremax-high-flow-valve-with-caps</v>
      </c>
      <c r="B1509" s="3" t="str">
        <f>HYPERLINK("https://edmondsonsupply.com/products/copy-of-jb-industries-cmvc003-coremax-high-flow-valve-with-caps", "https://edmondsonsupply.com/products/copy-of-jb-industries-cmvc003-coremax-high-flow-valve-with-caps")</f>
        <v>https://edmondsonsupply.com/products/copy-of-jb-industries-cmvc003-coremax-high-flow-valve-with-caps</v>
      </c>
      <c r="C1509" t="s">
        <v>4035</v>
      </c>
      <c r="D1509" t="s">
        <v>4036</v>
      </c>
      <c r="E1509" s="3" t="str">
        <f>HYPERLINK("https://www.amazon.com/JB-Industries-CM-VC010-CoreMax-Valve/dp/B071SG7H2M/ref=sr_1_1?keywords=JB+Industries+CM-VC010+CoreMax+High-Flow+Valve+with+Caps+%2810+pack%29&amp;qid=1695173746&amp;sr=8-1", "https://www.amazon.com/JB-Industries-CM-VC010-CoreMax-Valve/dp/B071SG7H2M/ref=sr_1_1?keywords=JB+Industries+CM-VC010+CoreMax+High-Flow+Valve+with+Caps+%2810+pack%29&amp;qid=1695173746&amp;sr=8-1")</f>
        <v>https://www.amazon.com/JB-Industries-CM-VC010-CoreMax-Valve/dp/B071SG7H2M/ref=sr_1_1?keywords=JB+Industries+CM-VC010+CoreMax+High-Flow+Valve+with+Caps+%2810+pack%29&amp;qid=1695173746&amp;sr=8-1</v>
      </c>
      <c r="F1509" t="s">
        <v>4037</v>
      </c>
      <c r="G1509" t="e">
        <f ca="1">_xludf.IMAGE("https://edmondsonsupply.com/cdn/shop/files/CM-VC010-JB-CoreMax-High-Flow-Access-Valves.png?v=1687796681")</f>
        <v>#NAME?</v>
      </c>
      <c r="H1509" t="e">
        <f ca="1">_xludf.IMAGE("https://m.media-amazon.com/images/I/51TUmkJsZZL._AC_UY218_.jpg")</f>
        <v>#NAME?</v>
      </c>
      <c r="I1509" t="s">
        <v>4038</v>
      </c>
      <c r="J1509">
        <v>63.79</v>
      </c>
      <c r="K1509" s="4">
        <v>0.13220000000000001</v>
      </c>
      <c r="L1509">
        <v>5</v>
      </c>
      <c r="M1509">
        <v>1</v>
      </c>
      <c r="O1509" t="s">
        <v>25</v>
      </c>
      <c r="P1509" t="s">
        <v>4039</v>
      </c>
      <c r="Q1509" t="s">
        <v>4040</v>
      </c>
    </row>
    <row r="1510" spans="1:17" ht="15.5" x14ac:dyDescent="0.35">
      <c r="A1510" s="3" t="str">
        <f>HYPERLINK("https://edmondsonsupply.com/collections/hvac/products/icm-controls-icm2805a-furnace-control-board-replacement-for-nordyne", "https://edmondsonsupply.com/collections/hvac/products/icm-controls-icm2805a-furnace-control-board-replacement-for-nordyne")</f>
        <v>https://edmondsonsupply.com/collections/hvac/products/icm-controls-icm2805a-furnace-control-board-replacement-for-nordyne</v>
      </c>
      <c r="B1510" s="3" t="str">
        <f>HYPERLINK("https://edmondsonsupply.com/products/icm-controls-icm2805a-furnace-control-board-replacement-for-nordyne", "https://edmondsonsupply.com/products/icm-controls-icm2805a-furnace-control-board-replacement-for-nordyne")</f>
        <v>https://edmondsonsupply.com/products/icm-controls-icm2805a-furnace-control-board-replacement-for-nordyne</v>
      </c>
      <c r="C1510" t="s">
        <v>2813</v>
      </c>
      <c r="D1510" t="s">
        <v>4041</v>
      </c>
      <c r="E1510" s="3" t="str">
        <f>HYPERLINK("https://www.amazon.com/ICM-ICM2805A-Furnace-Control-Board/dp/B0716MJL45/ref=sr_1_6?keywords=ICM+Controls+ICM2805A+Furnace+Control+Board+-+Replacement+for+Nordyne&amp;qid=1695173420&amp;sr=8-6", "https://www.amazon.com/ICM-ICM2805A-Furnace-Control-Board/dp/B0716MJL45/ref=sr_1_6?keywords=ICM+Controls+ICM2805A+Furnace+Control+Board+-+Replacement+for+Nordyne&amp;qid=1695173420&amp;sr=8-6")</f>
        <v>https://www.amazon.com/ICM-ICM2805A-Furnace-Control-Board/dp/B0716MJL45/ref=sr_1_6?keywords=ICM+Controls+ICM2805A+Furnace+Control+Board+-+Replacement+for+Nordyne&amp;qid=1695173420&amp;sr=8-6</v>
      </c>
      <c r="F1510" t="s">
        <v>4042</v>
      </c>
      <c r="G1510" t="e">
        <f ca="1">_xludf.IMAGE("https://edmondsonsupply.com/cdn/shop/products/57_3_42a53dd2-02e8-4469-bc0c-0265897201e7.jpg?v=1633031145")</f>
        <v>#NAME?</v>
      </c>
      <c r="H1510" t="e">
        <f ca="1">_xludf.IMAGE("https://m.media-amazon.com/images/I/71WbYlTC1yL._AC_UL320_.jpg")</f>
        <v>#NAME?</v>
      </c>
      <c r="I1510" t="s">
        <v>2816</v>
      </c>
      <c r="J1510">
        <v>131.99</v>
      </c>
      <c r="K1510" s="4">
        <v>0.1321</v>
      </c>
      <c r="L1510">
        <v>4.4000000000000004</v>
      </c>
      <c r="M1510">
        <v>12</v>
      </c>
      <c r="O1510" t="s">
        <v>25</v>
      </c>
      <c r="P1510" t="s">
        <v>2817</v>
      </c>
      <c r="Q1510" t="s">
        <v>2818</v>
      </c>
    </row>
    <row r="1511" spans="1:17" ht="15.5" x14ac:dyDescent="0.35">
      <c r="A1511" s="3" t="str">
        <f>HYPERLINK("https://edmondsonsupply.com/collections/hvac/products/milwaukee-2912-22-m18-fuel%E2%84%A2-1-sds-plus-rotary-hammer-kit", "https://edmondsonsupply.com/collections/hvac/products/milwaukee-2912-22-m18-fuel%E2%84%A2-1-sds-plus-rotary-hammer-kit")</f>
        <v>https://edmondsonsupply.com/collections/hvac/products/milwaukee-2912-22-m18-fuel%E2%84%A2-1-sds-plus-rotary-hammer-kit</v>
      </c>
      <c r="B1511" s="3" t="str">
        <f>HYPERLINK("https://edmondsonsupply.com/products/milwaukee-2912-22-m18-fuel%e2%84%a2-1-sds-plus-rotary-hammer-kit", "https://edmondsonsupply.com/products/milwaukee-2912-22-m18-fuel%e2%84%a2-1-sds-plus-rotary-hammer-kit")</f>
        <v>https://edmondsonsupply.com/products/milwaukee-2912-22-m18-fuel%e2%84%a2-1-sds-plus-rotary-hammer-kit</v>
      </c>
      <c r="C1511" t="s">
        <v>3848</v>
      </c>
      <c r="D1511" t="s">
        <v>4043</v>
      </c>
      <c r="E1511" s="3" t="str">
        <f>HYPERLINK("https://www.amazon.com/Milwaukee-2712-22DE-Fuel-Rotary-Hammer/dp/B00PP3CX3O/ref=sr_1_2?keywords=Milwaukee+2912-22+M18+FUEL%E2%84%A2+1%22+SDS+Plus+Rotary+Hammer+Kit&amp;qid=1695173755&amp;sr=8-2", "https://www.amazon.com/Milwaukee-2712-22DE-Fuel-Rotary-Hammer/dp/B00PP3CX3O/ref=sr_1_2?keywords=Milwaukee+2912-22+M18+FUEL%E2%84%A2+1%22+SDS+Plus+Rotary+Hammer+Kit&amp;qid=1695173755&amp;sr=8-2")</f>
        <v>https://www.amazon.com/Milwaukee-2712-22DE-Fuel-Rotary-Hammer/dp/B00PP3CX3O/ref=sr_1_2?keywords=Milwaukee+2912-22+M18+FUEL%E2%84%A2+1%22+SDS+Plus+Rotary+Hammer+Kit&amp;qid=1695173755&amp;sr=8-2</v>
      </c>
      <c r="F1511" t="s">
        <v>4044</v>
      </c>
      <c r="G1511" t="e">
        <f ca="1">_xludf.IMAGE("https://edmondsonsupply.com/cdn/shop/files/2912-20_1.webp?v=1686934956")</f>
        <v>#NAME?</v>
      </c>
      <c r="H1511" t="e">
        <f ca="1">_xludf.IMAGE("https://m.media-amazon.com/images/I/618mxmdIXEL._AC_UL320_.jpg")</f>
        <v>#NAME?</v>
      </c>
      <c r="I1511" t="s">
        <v>3851</v>
      </c>
      <c r="J1511">
        <v>678</v>
      </c>
      <c r="K1511" s="4">
        <v>0.13189999999999999</v>
      </c>
      <c r="L1511">
        <v>3.3</v>
      </c>
      <c r="M1511">
        <v>6</v>
      </c>
      <c r="O1511" t="s">
        <v>25</v>
      </c>
      <c r="P1511" t="s">
        <v>3852</v>
      </c>
      <c r="Q1511" t="s">
        <v>3853</v>
      </c>
    </row>
    <row r="1512" spans="1:17" ht="15.5" x14ac:dyDescent="0.35">
      <c r="A1512" s="3" t="str">
        <f>HYPERLINK("https://edmondsonsupply.com/collections/hvac/products/sensible-products-up-1-ultimate-puller-fan-blade-and-blower-wheel-puller", "https://edmondsonsupply.com/collections/hvac/products/sensible-products-up-1-ultimate-puller-fan-blade-and-blower-wheel-puller")</f>
        <v>https://edmondsonsupply.com/collections/hvac/products/sensible-products-up-1-ultimate-puller-fan-blade-and-blower-wheel-puller</v>
      </c>
      <c r="B1512" s="3" t="str">
        <f>HYPERLINK("https://edmondsonsupply.com/products/sensible-products-up-1-ultimate-puller-fan-blade-and-blower-wheel-puller", "https://edmondsonsupply.com/products/sensible-products-up-1-ultimate-puller-fan-blade-and-blower-wheel-puller")</f>
        <v>https://edmondsonsupply.com/products/sensible-products-up-1-ultimate-puller-fan-blade-and-blower-wheel-puller</v>
      </c>
      <c r="C1512" t="s">
        <v>4045</v>
      </c>
      <c r="D1512" t="s">
        <v>4046</v>
      </c>
      <c r="E1512" s="3" t="str">
        <f>HYPERLINK("https://www.amazon.com/Blade-Wheel-Puller-Original-Version/dp/B001CGFQDW/ref=sr_1_1?keywords=Sensible+Products+UP-1+Ultimate+Puller+-+Fan+Blade+and+Blower+Wheel+Puller&amp;qid=1695173340&amp;sr=8-1", "https://www.amazon.com/Blade-Wheel-Puller-Original-Version/dp/B001CGFQDW/ref=sr_1_1?keywords=Sensible+Products+UP-1+Ultimate+Puller+-+Fan+Blade+and+Blower+Wheel+Puller&amp;qid=1695173340&amp;sr=8-1")</f>
        <v>https://www.amazon.com/Blade-Wheel-Puller-Original-Version/dp/B001CGFQDW/ref=sr_1_1?keywords=Sensible+Products+UP-1+Ultimate+Puller+-+Fan+Blade+and+Blower+Wheel+Puller&amp;qid=1695173340&amp;sr=8-1</v>
      </c>
      <c r="F1512" t="s">
        <v>4047</v>
      </c>
      <c r="G1512" t="e">
        <f ca="1">_xludf.IMAGE("https://edmondsonsupply.com/cdn/shop/products/UPAsset-2_3x_28364a83-d5d7-4a51-b059-b5bf0887b56e.png?v=1638146548")</f>
        <v>#NAME?</v>
      </c>
      <c r="H1512" t="e">
        <f ca="1">_xludf.IMAGE("https://m.media-amazon.com/images/I/61KvznXd3nL._AC_UL320_.jpg")</f>
        <v>#NAME?</v>
      </c>
      <c r="I1512" t="s">
        <v>4048</v>
      </c>
      <c r="J1512">
        <v>53.85</v>
      </c>
      <c r="K1512" s="4">
        <v>0.1313</v>
      </c>
      <c r="L1512">
        <v>4.7</v>
      </c>
      <c r="M1512">
        <v>881</v>
      </c>
      <c r="O1512" t="s">
        <v>25</v>
      </c>
      <c r="P1512" t="s">
        <v>138</v>
      </c>
      <c r="Q1512" t="s">
        <v>4049</v>
      </c>
    </row>
    <row r="1513" spans="1:17" ht="15.5" x14ac:dyDescent="0.35">
      <c r="A1513" s="3" t="str">
        <f>HYPERLINK("https://edmondsonsupply.com/collections/hvac/products/sensible-products-hrf-2-high-beam-rechargeable-flashlight-2-black", "https://edmondsonsupply.com/collections/hvac/products/sensible-products-hrf-2-high-beam-rechargeable-flashlight-2-black")</f>
        <v>https://edmondsonsupply.com/collections/hvac/products/sensible-products-hrf-2-high-beam-rechargeable-flashlight-2-black</v>
      </c>
      <c r="B1513" s="3" t="str">
        <f>HYPERLINK("https://edmondsonsupply.com/products/sensible-products-hrf-2-high-beam-rechargeable-flashlight-2-black", "https://edmondsonsupply.com/products/sensible-products-hrf-2-high-beam-rechargeable-flashlight-2-black")</f>
        <v>https://edmondsonsupply.com/products/sensible-products-hrf-2-high-beam-rechargeable-flashlight-2-black</v>
      </c>
      <c r="C1513" t="s">
        <v>4050</v>
      </c>
      <c r="D1513" t="s">
        <v>3286</v>
      </c>
      <c r="E1513" s="3" t="str">
        <f>HYPERLINK("https://www.amazon.com/Sensible-Products-High-Beam-Rechargeable-Flashlight/dp/B0BVGLNYDK/ref=sr_1_1?keywords=Sensible+Products+HRF-2+High-Beam+Rechargeable+Flashlight-2%2C+Black&amp;qid=1695173576&amp;sr=8-1", "https://www.amazon.com/Sensible-Products-High-Beam-Rechargeable-Flashlight/dp/B0BVGLNYDK/ref=sr_1_1?keywords=Sensible+Products+HRF-2+High-Beam+Rechargeable+Flashlight-2%2C+Black&amp;qid=1695173576&amp;sr=8-1")</f>
        <v>https://www.amazon.com/Sensible-Products-High-Beam-Rechargeable-Flashlight/dp/B0BVGLNYDK/ref=sr_1_1?keywords=Sensible+Products+HRF-2+High-Beam+Rechargeable+Flashlight-2%2C+Black&amp;qid=1695173576&amp;sr=8-1</v>
      </c>
      <c r="F1513" t="s">
        <v>3287</v>
      </c>
      <c r="G1513" t="e">
        <f ca="1">_xludf.IMAGE("https://edmondsonsupply.com/cdn/shop/files/hrf2.jpg?v=1693231375")</f>
        <v>#NAME?</v>
      </c>
      <c r="H1513" t="e">
        <f ca="1">_xludf.IMAGE("https://m.media-amazon.com/images/I/31tIPF-TUsL._AC_UL320_.jpg")</f>
        <v>#NAME?</v>
      </c>
      <c r="I1513" t="s">
        <v>1297</v>
      </c>
      <c r="J1513">
        <v>38.950000000000003</v>
      </c>
      <c r="K1513" s="4">
        <v>0.1293</v>
      </c>
      <c r="L1513">
        <v>5</v>
      </c>
      <c r="M1513">
        <v>1</v>
      </c>
      <c r="O1513" t="s">
        <v>25</v>
      </c>
      <c r="P1513" t="s">
        <v>138</v>
      </c>
      <c r="Q1513" t="s">
        <v>4051</v>
      </c>
    </row>
    <row r="1514" spans="1:17" ht="15.5" x14ac:dyDescent="0.35">
      <c r="A1514" s="3" t="str">
        <f>HYPERLINK("https://edmondsonsupply.com/collections/hvac/products/fluke-t5-600", "https://edmondsonsupply.com/collections/hvac/products/fluke-t5-600")</f>
        <v>https://edmondsonsupply.com/collections/hvac/products/fluke-t5-600</v>
      </c>
      <c r="B1514" s="3" t="str">
        <f>HYPERLINK("https://edmondsonsupply.com/products/fluke-t5-600", "https://edmondsonsupply.com/products/fluke-t5-600")</f>
        <v>https://edmondsonsupply.com/products/fluke-t5-600</v>
      </c>
      <c r="C1514" t="s">
        <v>3397</v>
      </c>
      <c r="D1514" t="s">
        <v>4052</v>
      </c>
      <c r="E1514" s="3" t="str">
        <f>HYPERLINK("https://www.amazon.com/Fluke-Electrical-Voltage-Continuity-Current/dp/B0006Z3GZU/ref=sr_1_1?keywords=Fluke+T5-600+Voltage%2C+Continuity+and+Current+Tester%2C+600V+AC%2FDC&amp;qid=1695173406&amp;sr=8-1", "https://www.amazon.com/Fluke-Electrical-Voltage-Continuity-Current/dp/B0006Z3GZU/ref=sr_1_1?keywords=Fluke+T5-600+Voltage%2C+Continuity+and+Current+Tester%2C+600V+AC%2FDC&amp;qid=1695173406&amp;sr=8-1")</f>
        <v>https://www.amazon.com/Fluke-Electrical-Voltage-Continuity-Current/dp/B0006Z3GZU/ref=sr_1_1?keywords=Fluke+T5-600+Voltage%2C+Continuity+and+Current+Tester%2C+600V+AC%2FDC&amp;qid=1695173406&amp;sr=8-1</v>
      </c>
      <c r="F1514" t="s">
        <v>4053</v>
      </c>
      <c r="G1514" t="e">
        <f ca="1">_xludf.IMAGE("https://edmondsonsupply.com/cdn/shop/products/F-t5-600-euro_03a_c.jpg?v=1633030279")</f>
        <v>#NAME?</v>
      </c>
      <c r="H1514" t="e">
        <f ca="1">_xludf.IMAGE("https://m.media-amazon.com/images/I/51Ymlw0UFUL._AC_UL320_.jpg")</f>
        <v>#NAME?</v>
      </c>
      <c r="I1514" t="s">
        <v>3400</v>
      </c>
      <c r="J1514">
        <v>155.58000000000001</v>
      </c>
      <c r="K1514" s="4">
        <v>0.1275</v>
      </c>
      <c r="L1514">
        <v>4.8</v>
      </c>
      <c r="M1514">
        <v>4638</v>
      </c>
      <c r="O1514" t="s">
        <v>25</v>
      </c>
      <c r="P1514" t="s">
        <v>3401</v>
      </c>
      <c r="Q1514" t="s">
        <v>3402</v>
      </c>
    </row>
    <row r="1515" spans="1:17" ht="15.5" x14ac:dyDescent="0.35">
      <c r="A1515"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1515" s="3" t="str">
        <f>HYPERLINK("https://edmondsonsupply.com/products/klein-tools-65064-2-in-1-hex-head-screwdriver-1-4-5-16", "https://edmondsonsupply.com/products/klein-tools-65064-2-in-1-hex-head-screwdriver-1-4-5-16")</f>
        <v>https://edmondsonsupply.com/products/klein-tools-65064-2-in-1-hex-head-screwdriver-1-4-5-16</v>
      </c>
      <c r="C1515" t="s">
        <v>2093</v>
      </c>
      <c r="D1515" t="s">
        <v>4054</v>
      </c>
      <c r="E1515" s="3" t="str">
        <f>HYPERLINK("https://www.amazon.com/Driver-2-Inch-Klein-Tools-65131/dp/B071LCCGT1/ref=sr_1_6?keywords=Klein+Tools+65064+2-in-1+Nut+Driver%2C+Hex+Head%2C+1%2F4-Inch+and+5%2F16-Inch&amp;qid=1695173568&amp;sr=8-6", "https://www.amazon.com/Driver-2-Inch-Klein-Tools-65131/dp/B071LCCGT1/ref=sr_1_6?keywords=Klein+Tools+65064+2-in-1+Nut+Driver%2C+Hex+Head%2C+1%2F4-Inch+and+5%2F16-Inch&amp;qid=1695173568&amp;sr=8-6")</f>
        <v>https://www.amazon.com/Driver-2-Inch-Klein-Tools-65131/dp/B071LCCGT1/ref=sr_1_6?keywords=Klein+Tools+65064+2-in-1+Nut+Driver%2C+Hex+Head%2C+1%2F4-Inch+and+5%2F16-Inch&amp;qid=1695173568&amp;sr=8-6</v>
      </c>
      <c r="F1515" t="s">
        <v>4055</v>
      </c>
      <c r="G1515" t="e">
        <f ca="1">_xludf.IMAGE("https://edmondsonsupply.com/cdn/shop/products/65064.jpg?v=1587147719")</f>
        <v>#NAME?</v>
      </c>
      <c r="H1515" t="e">
        <f ca="1">_xludf.IMAGE("https://m.media-amazon.com/images/I/51SI9ktOe4L._AC_UL320_.jpg")</f>
        <v>#NAME?</v>
      </c>
      <c r="I1515" t="s">
        <v>143</v>
      </c>
      <c r="J1515">
        <v>17.989999999999998</v>
      </c>
      <c r="K1515" s="4">
        <v>0.1265</v>
      </c>
      <c r="L1515">
        <v>4.8</v>
      </c>
      <c r="M1515">
        <v>909</v>
      </c>
      <c r="O1515" t="s">
        <v>25</v>
      </c>
      <c r="P1515" t="s">
        <v>2096</v>
      </c>
      <c r="Q1515" t="s">
        <v>2097</v>
      </c>
    </row>
    <row r="1516" spans="1:17" ht="15.5" x14ac:dyDescent="0.35">
      <c r="A1516"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516" s="3" t="str">
        <f>HYPERLINK("https://edmondsonsupply.com/products/klein-tools-646-5-16-5-16-inch-nut-driver-6-inch-hollow-shaft", "https://edmondsonsupply.com/products/klein-tools-646-5-16-5-16-inch-nut-driver-6-inch-hollow-shaft")</f>
        <v>https://edmondsonsupply.com/products/klein-tools-646-5-16-5-16-inch-nut-driver-6-inch-hollow-shaft</v>
      </c>
      <c r="C1516" t="s">
        <v>1893</v>
      </c>
      <c r="D1516" t="s">
        <v>4056</v>
      </c>
      <c r="E1516" s="3" t="str">
        <f>HYPERLINK("https://www.amazon.com/16-Inch-Klein-Tools-630-5-16/dp/B001BY0ESW/ref=sr_1_3?keywords=Klein+Tools+646-5%2F16+5%2F16-Inch+Nut+Driver%2C+6-Inch+Hollow+Shaft&amp;qid=1695173549&amp;sr=8-3", "https://www.amazon.com/16-Inch-Klein-Tools-630-5-16/dp/B001BY0ESW/ref=sr_1_3?keywords=Klein+Tools+646-5%2F16+5%2F16-Inch+Nut+Driver%2C+6-Inch+Hollow+Shaft&amp;qid=1695173549&amp;sr=8-3")</f>
        <v>https://www.amazon.com/16-Inch-Klein-Tools-630-5-16/dp/B001BY0ESW/ref=sr_1_3?keywords=Klein+Tools+646-5%2F16+5%2F16-Inch+Nut+Driver%2C+6-Inch+Hollow+Shaft&amp;qid=1695173549&amp;sr=8-3</v>
      </c>
      <c r="F1516" t="s">
        <v>4057</v>
      </c>
      <c r="G1516" t="e">
        <f ca="1">_xludf.IMAGE("https://edmondsonsupply.com/cdn/shop/products/646-1-2_e1540905-f750-4509-90c5-74ff653e4d83.jpg?v=1587145119")</f>
        <v>#NAME?</v>
      </c>
      <c r="H1516" t="e">
        <f ca="1">_xludf.IMAGE("https://m.media-amazon.com/images/I/41Cj8-Y8KnL._AC_UL320_.jpg")</f>
        <v>#NAME?</v>
      </c>
      <c r="I1516" t="s">
        <v>1003</v>
      </c>
      <c r="J1516">
        <v>8.99</v>
      </c>
      <c r="K1516" s="4">
        <v>0.12520000000000001</v>
      </c>
      <c r="L1516">
        <v>4.8</v>
      </c>
      <c r="M1516">
        <v>2075</v>
      </c>
      <c r="O1516" t="s">
        <v>25</v>
      </c>
      <c r="P1516" t="s">
        <v>1481</v>
      </c>
      <c r="Q1516" t="s">
        <v>1896</v>
      </c>
    </row>
    <row r="1517" spans="1:17" ht="15.5" x14ac:dyDescent="0.35">
      <c r="A1517" s="3" t="str">
        <f>HYPERLINK("https://edmondsonsupply.com/collections/hvac/products/klein-tools-610-stubby-nut-driver-set-1-1-2-inch-shafts-2-piece", "https://edmondsonsupply.com/collections/hvac/products/klein-tools-610-stubby-nut-driver-set-1-1-2-inch-shafts-2-piece")</f>
        <v>https://edmondsonsupply.com/collections/hvac/products/klein-tools-610-stubby-nut-driver-set-1-1-2-inch-shafts-2-piece</v>
      </c>
      <c r="B1517" s="3" t="str">
        <f>HYPERLINK("https://edmondsonsupply.com/products/klein-tools-610-stubby-nut-driver-set-1-1-2-inch-shafts-2-piece", "https://edmondsonsupply.com/products/klein-tools-610-stubby-nut-driver-set-1-1-2-inch-shafts-2-piece")</f>
        <v>https://edmondsonsupply.com/products/klein-tools-610-stubby-nut-driver-set-1-1-2-inch-shafts-2-piece</v>
      </c>
      <c r="C1517" t="s">
        <v>3030</v>
      </c>
      <c r="D1517" t="s">
        <v>4058</v>
      </c>
      <c r="E1517" s="3" t="str">
        <f>HYPERLINK("https://www.amazon.com/Klein-Tools-610M-16-Inch-Magnetic/dp/B00093DZO6/ref=sr_1_1?keywords=Klein+Tools+610+Stubby+Nut+Driver+Set+1-1%2F2-Inch+Shafts+2-Piece&amp;qid=1695173671&amp;sr=8-1", "https://www.amazon.com/Klein-Tools-610M-16-Inch-Magnetic/dp/B00093DZO6/ref=sr_1_1?keywords=Klein+Tools+610+Stubby+Nut+Driver+Set+1-1%2F2-Inch+Shafts+2-Piece&amp;qid=1695173671&amp;sr=8-1")</f>
        <v>https://www.amazon.com/Klein-Tools-610M-16-Inch-Magnetic/dp/B00093DZO6/ref=sr_1_1?keywords=Klein+Tools+610+Stubby+Nut+Driver+Set+1-1%2F2-Inch+Shafts+2-Piece&amp;qid=1695173671&amp;sr=8-1</v>
      </c>
      <c r="F1517" t="s">
        <v>4059</v>
      </c>
      <c r="G1517" t="e">
        <f ca="1">_xludf.IMAGE("https://edmondsonsupply.com/cdn/shop/products/610m_169714eb-6816-4f42-aa86-ea17ea5fcbbb.jpg?v=1633030110")</f>
        <v>#NAME?</v>
      </c>
      <c r="H1517" t="e">
        <f ca="1">_xludf.IMAGE("https://m.media-amazon.com/images/I/51lgiheW64L._AC_UL320_.jpg")</f>
        <v>#NAME?</v>
      </c>
      <c r="I1517" t="s">
        <v>252</v>
      </c>
      <c r="J1517">
        <v>17.989999999999998</v>
      </c>
      <c r="K1517" s="4">
        <v>0.12509999999999999</v>
      </c>
      <c r="L1517">
        <v>4.8</v>
      </c>
      <c r="M1517">
        <v>559</v>
      </c>
      <c r="O1517" t="s">
        <v>25</v>
      </c>
      <c r="P1517" t="s">
        <v>3031</v>
      </c>
      <c r="Q1517" t="s">
        <v>3032</v>
      </c>
    </row>
    <row r="1518" spans="1:17" ht="15.5" x14ac:dyDescent="0.35">
      <c r="A1518" s="3" t="str">
        <f>HYPERLINK("https://edmondsonsupply.com/collections/hvac/products/supco-tb100-tugboat-hvac-compressor-tote", "https://edmondsonsupply.com/collections/hvac/products/supco-tb100-tugboat-hvac-compressor-tote")</f>
        <v>https://edmondsonsupply.com/collections/hvac/products/supco-tb100-tugboat-hvac-compressor-tote</v>
      </c>
      <c r="B1518" s="3" t="str">
        <f>HYPERLINK("https://edmondsonsupply.com/products/supco-tb100-tugboat-hvac-compressor-tote", "https://edmondsonsupply.com/products/supco-tb100-tugboat-hvac-compressor-tote")</f>
        <v>https://edmondsonsupply.com/products/supco-tb100-tugboat-hvac-compressor-tote</v>
      </c>
      <c r="C1518" t="s">
        <v>3330</v>
      </c>
      <c r="D1518" t="s">
        <v>4060</v>
      </c>
      <c r="E1518" s="3" t="str">
        <f>HYPERLINK("https://www.amazon.com/Supco-Tradefox-Tugboat-Compressor-Carrier/dp/B09HYTH7HC/ref=sr_1_1?keywords=Supco+TB100+TugBoat+HVAC+Compressor+Tote&amp;qid=1695173403&amp;sr=8-1", "https://www.amazon.com/Supco-Tradefox-Tugboat-Compressor-Carrier/dp/B09HYTH7HC/ref=sr_1_1?keywords=Supco+TB100+TugBoat+HVAC+Compressor+Tote&amp;qid=1695173403&amp;sr=8-1")</f>
        <v>https://www.amazon.com/Supco-Tradefox-Tugboat-Compressor-Carrier/dp/B09HYTH7HC/ref=sr_1_1?keywords=Supco+TB100+TugBoat+HVAC+Compressor+Tote&amp;qid=1695173403&amp;sr=8-1</v>
      </c>
      <c r="F1518" t="s">
        <v>4061</v>
      </c>
      <c r="G1518" t="e">
        <f ca="1">_xludf.IMAGE("https://edmondsonsupply.com/cdn/shop/products/tb100.webp?v=1652750979")</f>
        <v>#NAME?</v>
      </c>
      <c r="H1518" t="e">
        <f ca="1">_xludf.IMAGE("https://m.media-amazon.com/images/I/71yu5L2ZZ-L._AC_UL320_.jpg")</f>
        <v>#NAME?</v>
      </c>
      <c r="I1518" t="s">
        <v>3333</v>
      </c>
      <c r="J1518">
        <v>80</v>
      </c>
      <c r="K1518" s="4">
        <v>0.1239</v>
      </c>
      <c r="L1518">
        <v>5</v>
      </c>
      <c r="M1518">
        <v>1</v>
      </c>
      <c r="O1518" t="s">
        <v>25</v>
      </c>
      <c r="P1518" t="s">
        <v>138</v>
      </c>
      <c r="Q1518" t="s">
        <v>3334</v>
      </c>
    </row>
    <row r="1519" spans="1:17" ht="15.5" x14ac:dyDescent="0.35">
      <c r="A1519" s="3" t="str">
        <f>HYPERLINK("https://edmondsonsupply.com/collections/hvac/products/imperial-370-fh-triple-head-180-tube-bender-3-16-1-2-o-d", "https://edmondsonsupply.com/collections/hvac/products/imperial-370-fh-triple-head-180-tube-bender-3-16-1-2-o-d")</f>
        <v>https://edmondsonsupply.com/collections/hvac/products/imperial-370-fh-triple-head-180-tube-bender-3-16-1-2-o-d</v>
      </c>
      <c r="B1519" s="3" t="str">
        <f>HYPERLINK("https://edmondsonsupply.com/products/imperial-370-fh-triple-head-180-tube-bender-3-16-1-2-o-d", "https://edmondsonsupply.com/products/imperial-370-fh-triple-head-180-tube-bender-3-16-1-2-o-d")</f>
        <v>https://edmondsonsupply.com/products/imperial-370-fh-triple-head-180-tube-bender-3-16-1-2-o-d</v>
      </c>
      <c r="C1519" t="s">
        <v>4062</v>
      </c>
      <c r="D1519" t="s">
        <v>4063</v>
      </c>
      <c r="E1519" s="3" t="str">
        <f>HYPERLINK("https://www.amazon.com/Imperial-Tool-370FH-Triple-Header/dp/B002P8UUD2/ref=sr_1_1?keywords=Imperial+370-FH+Triple+Head+180%C2%B0+Tube+Bender+3%2F16%22+-+1%2F2%22+O.D.&amp;qid=1695173350&amp;sr=8-1", "https://www.amazon.com/Imperial-Tool-370FH-Triple-Header/dp/B002P8UUD2/ref=sr_1_1?keywords=Imperial+370-FH+Triple+Head+180%C2%B0+Tube+Bender+3%2F16%22+-+1%2F2%22+O.D.&amp;qid=1695173350&amp;sr=8-1")</f>
        <v>https://www.amazon.com/Imperial-Tool-370FH-Triple-Header/dp/B002P8UUD2/ref=sr_1_1?keywords=Imperial+370-FH+Triple+Head+180%C2%B0+Tube+Bender+3%2F16%22+-+1%2F2%22+O.D.&amp;qid=1695173350&amp;sr=8-1</v>
      </c>
      <c r="F1519" t="s">
        <v>4064</v>
      </c>
      <c r="G1519" t="e">
        <f ca="1">_xludf.IMAGE("https://edmondsonsupply.com/cdn/shop/products/370-FHC-1.jpg?v=1587144084")</f>
        <v>#NAME?</v>
      </c>
      <c r="H1519" t="e">
        <f ca="1">_xludf.IMAGE("https://m.media-amazon.com/images/I/71RH4yYytfL._AC_UL320_.jpg")</f>
        <v>#NAME?</v>
      </c>
      <c r="I1519" t="s">
        <v>1765</v>
      </c>
      <c r="J1519">
        <v>63.98</v>
      </c>
      <c r="K1519" s="4">
        <v>0.1227</v>
      </c>
      <c r="L1519">
        <v>4.4000000000000004</v>
      </c>
      <c r="M1519">
        <v>911</v>
      </c>
      <c r="O1519" t="s">
        <v>25</v>
      </c>
      <c r="P1519" t="s">
        <v>138</v>
      </c>
      <c r="Q1519" t="s">
        <v>4065</v>
      </c>
    </row>
    <row r="1520" spans="1:17" ht="15.5" x14ac:dyDescent="0.35">
      <c r="A1520" s="3" t="str">
        <f>HYPERLINK("https://edmondsonsupply.com/collections/hvac/products/klein-tools-80028-electricians-tool-kit-28-piece", "https://edmondsonsupply.com/collections/hvac/products/klein-tools-80028-electricians-tool-kit-28-piece")</f>
        <v>https://edmondsonsupply.com/collections/hvac/products/klein-tools-80028-electricians-tool-kit-28-piece</v>
      </c>
      <c r="B1520" s="3" t="str">
        <f>HYPERLINK("https://edmondsonsupply.com/products/klein-tools-80028-electricians-tool-kit-28-piece", "https://edmondsonsupply.com/products/klein-tools-80028-electricians-tool-kit-28-piece")</f>
        <v>https://edmondsonsupply.com/products/klein-tools-80028-electricians-tool-kit-28-piece</v>
      </c>
      <c r="C1520" t="s">
        <v>4066</v>
      </c>
      <c r="D1520" t="s">
        <v>4067</v>
      </c>
      <c r="E1520" s="3" t="str">
        <f>HYPERLINK("https://www.amazon.com/Klein-Tools-Screwdrivers-Multi-Bit-Screwdriver/dp/B0BC7Y96KZ/ref=sr_1_1?keywords=Klein+Tools+80028+Electrician%27s+Tool+Kit%2C+28-Piece&amp;qid=1695173551&amp;sr=8-1", "https://www.amazon.com/Klein-Tools-Screwdrivers-Multi-Bit-Screwdriver/dp/B0BC7Y96KZ/ref=sr_1_1?keywords=Klein+Tools+80028+Electrician%27s+Tool+Kit%2C+28-Piece&amp;qid=1695173551&amp;sr=8-1")</f>
        <v>https://www.amazon.com/Klein-Tools-Screwdrivers-Multi-Bit-Screwdriver/dp/B0BC7Y96KZ/ref=sr_1_1?keywords=Klein+Tools+80028+Electrician%27s+Tool+Kit%2C+28-Piece&amp;qid=1695173551&amp;sr=8-1</v>
      </c>
      <c r="F1520" t="s">
        <v>4068</v>
      </c>
      <c r="G1520" t="e">
        <f ca="1">_xludf.IMAGE("https://edmondsonsupply.com/cdn/shop/files/80028_d.jpg?v=1686062794")</f>
        <v>#NAME?</v>
      </c>
      <c r="H1520" t="e">
        <f ca="1">_xludf.IMAGE("https://m.media-amazon.com/images/I/51ilyu0AbQL._AC_UL320_.jpg")</f>
        <v>#NAME?</v>
      </c>
      <c r="I1520" t="s">
        <v>4069</v>
      </c>
      <c r="J1520">
        <v>464.98</v>
      </c>
      <c r="K1520" s="4">
        <v>0.1205</v>
      </c>
      <c r="L1520">
        <v>5</v>
      </c>
      <c r="M1520">
        <v>5</v>
      </c>
      <c r="O1520" t="s">
        <v>25</v>
      </c>
      <c r="P1520" t="s">
        <v>4070</v>
      </c>
      <c r="Q1520" t="s">
        <v>4071</v>
      </c>
    </row>
    <row r="1521" spans="1:17" ht="15.5" x14ac:dyDescent="0.35">
      <c r="A1521" s="3" t="str">
        <f>HYPERLINK("https://edmondsonsupply.com/collections/hvac/products/midwest-mwt-ss6510r-special-hardness-offset-aviation-snip-right-cutting", "https://edmondsonsupply.com/collections/hvac/products/midwest-mwt-ss6510r-special-hardness-offset-aviation-snip-right-cutting")</f>
        <v>https://edmondsonsupply.com/collections/hvac/products/midwest-mwt-ss6510r-special-hardness-offset-aviation-snip-right-cutting</v>
      </c>
      <c r="B1521" s="3" t="str">
        <f>HYPERLINK("https://edmondsonsupply.com/products/midwest-mwt-ss6510r-special-hardness-offset-aviation-snip-right-cutting", "https://edmondsonsupply.com/products/midwest-mwt-ss6510r-special-hardness-offset-aviation-snip-right-cutting")</f>
        <v>https://edmondsonsupply.com/products/midwest-mwt-ss6510r-special-hardness-offset-aviation-snip-right-cutting</v>
      </c>
      <c r="C1521" t="s">
        <v>2030</v>
      </c>
      <c r="D1521" t="s">
        <v>215</v>
      </c>
      <c r="E1521" s="3" t="str">
        <f>HYPERLINK("https://www.amazon.com/MIDWEST-Aviation-Snip-KUSHN-POWER-MWT-SS6510R/dp/B00OMSVOZ6/ref=sr_1_2?keywords=Midwest+MWT-SS6510R+Special+Hardness+Offset+Aviation+Snip+-+Right-Cutting&amp;qid=1695173360&amp;sr=8-2", "https://www.amazon.com/MIDWEST-Aviation-Snip-KUSHN-POWER-MWT-SS6510R/dp/B00OMSVOZ6/ref=sr_1_2?keywords=Midwest+MWT-SS6510R+Special+Hardness+Offset+Aviation+Snip+-+Right-Cutting&amp;qid=1695173360&amp;sr=8-2")</f>
        <v>https://www.amazon.com/MIDWEST-Aviation-Snip-KUSHN-POWER-MWT-SS6510R/dp/B00OMSVOZ6/ref=sr_1_2?keywords=Midwest+MWT-SS6510R+Special+Hardness+Offset+Aviation+Snip+-+Right-Cutting&amp;qid=1695173360&amp;sr=8-2</v>
      </c>
      <c r="F1521" t="s">
        <v>216</v>
      </c>
      <c r="G1521" t="e">
        <f ca="1">_xludf.IMAGE("https://edmondsonsupply.com/cdn/shop/products/MWT-SSP6510R.jpg?v=1587142544")</f>
        <v>#NAME?</v>
      </c>
      <c r="H1521" t="e">
        <f ca="1">_xludf.IMAGE("https://m.media-amazon.com/images/I/6111Xzz5-TL._AC_UL320_.jpg")</f>
        <v>#NAME?</v>
      </c>
      <c r="I1521" t="s">
        <v>170</v>
      </c>
      <c r="J1521">
        <v>35.99</v>
      </c>
      <c r="K1521" s="4">
        <v>0.11940000000000001</v>
      </c>
      <c r="L1521">
        <v>4.3</v>
      </c>
      <c r="M1521">
        <v>99</v>
      </c>
      <c r="O1521" t="s">
        <v>171</v>
      </c>
      <c r="P1521" t="s">
        <v>172</v>
      </c>
      <c r="Q1521" t="s">
        <v>2031</v>
      </c>
    </row>
    <row r="1522" spans="1:17" ht="15.5" x14ac:dyDescent="0.35">
      <c r="A1522" s="3" t="str">
        <f>HYPERLINK("https://edmondsonsupply.com/collections/hvac/products/icm-controls-icm492-single-phase-line-voltage-monitor", "https://edmondsonsupply.com/collections/hvac/products/icm-controls-icm492-single-phase-line-voltage-monitor")</f>
        <v>https://edmondsonsupply.com/collections/hvac/products/icm-controls-icm492-single-phase-line-voltage-monitor</v>
      </c>
      <c r="B1522" s="3" t="str">
        <f>HYPERLINK("https://edmondsonsupply.com/products/icm-controls-icm492-single-phase-line-voltage-monitor", "https://edmondsonsupply.com/products/icm-controls-icm492-single-phase-line-voltage-monitor")</f>
        <v>https://edmondsonsupply.com/products/icm-controls-icm492-single-phase-line-voltage-monitor</v>
      </c>
      <c r="C1522" t="s">
        <v>1821</v>
      </c>
      <c r="D1522" t="s">
        <v>4072</v>
      </c>
      <c r="E1522" s="3" t="str">
        <f>HYPERLINK("https://www.amazon.com/ICM-Controls-ICM492-Monitor-Diagnostics/dp/B003MX23SE/ref=sr_1_1?keywords=ICM+Controls+ICM492+Single+Phase+Line+Voltage+Monitor&amp;qid=1695173362&amp;sr=8-1", "https://www.amazon.com/ICM-Controls-ICM492-Monitor-Diagnostics/dp/B003MX23SE/ref=sr_1_1?keywords=ICM+Controls+ICM492+Single+Phase+Line+Voltage+Monitor&amp;qid=1695173362&amp;sr=8-1")</f>
        <v>https://www.amazon.com/ICM-Controls-ICM492-Monitor-Diagnostics/dp/B003MX23SE/ref=sr_1_1?keywords=ICM+Controls+ICM492+Single+Phase+Line+Voltage+Monitor&amp;qid=1695173362&amp;sr=8-1</v>
      </c>
      <c r="F1522" t="s">
        <v>4073</v>
      </c>
      <c r="G1522" t="e">
        <f ca="1">_xludf.IMAGE("https://edmondsonsupply.com/cdn/shop/products/photo_3666_medium_19efda5b-a59a-4ff4-8872-2cd0c4aa35aa.png?v=1665085673")</f>
        <v>#NAME?</v>
      </c>
      <c r="H1522" t="e">
        <f ca="1">_xludf.IMAGE("https://m.media-amazon.com/images/I/61yENUQbaFL._AC_UL320_.jpg")</f>
        <v>#NAME?</v>
      </c>
      <c r="I1522" t="s">
        <v>315</v>
      </c>
      <c r="J1522">
        <v>100.65</v>
      </c>
      <c r="K1522" s="4">
        <v>0.11849999999999999</v>
      </c>
      <c r="L1522">
        <v>3.9</v>
      </c>
      <c r="M1522">
        <v>35</v>
      </c>
      <c r="O1522" t="s">
        <v>25</v>
      </c>
      <c r="P1522" t="s">
        <v>1824</v>
      </c>
      <c r="Q1522" t="s">
        <v>1825</v>
      </c>
    </row>
    <row r="1523" spans="1:17" ht="15.5" x14ac:dyDescent="0.35">
      <c r="A1523" s="3" t="str">
        <f>HYPERLINK("https://edmondsonsupply.com/collections/hvac/products/fluke-1587-fc-insulation-multimeter", "https://edmondsonsupply.com/collections/hvac/products/fluke-1587-fc-insulation-multimeter")</f>
        <v>https://edmondsonsupply.com/collections/hvac/products/fluke-1587-fc-insulation-multimeter</v>
      </c>
      <c r="B1523" s="3" t="str">
        <f>HYPERLINK("https://edmondsonsupply.com/products/fluke-1587-fc-insulation-multimeter", "https://edmondsonsupply.com/products/fluke-1587-fc-insulation-multimeter")</f>
        <v>https://edmondsonsupply.com/products/fluke-1587-fc-insulation-multimeter</v>
      </c>
      <c r="C1523" t="s">
        <v>4074</v>
      </c>
      <c r="D1523" t="s">
        <v>4075</v>
      </c>
      <c r="E1523" s="3" t="str">
        <f>HYPERLINK("https://www.amazon.com/FLUKE-1587-I400-Insulation-Multimeter-Clamp/dp/B017OVC2HG/ref=sr_1_2?keywords=Fluke+1587+FC+Insulation+Multimeter&amp;qid=1695173471&amp;sr=8-2", "https://www.amazon.com/FLUKE-1587-I400-Insulation-Multimeter-Clamp/dp/B017OVC2HG/ref=sr_1_2?keywords=Fluke+1587+FC+Insulation+Multimeter&amp;qid=1695173471&amp;sr=8-2")</f>
        <v>https://www.amazon.com/FLUKE-1587-I400-Insulation-Multimeter-Clamp/dp/B017OVC2HG/ref=sr_1_2?keywords=Fluke+1587+FC+Insulation+Multimeter&amp;qid=1695173471&amp;sr=8-2</v>
      </c>
      <c r="F1523" t="s">
        <v>4076</v>
      </c>
      <c r="G1523" t="e">
        <f ca="1">_xludf.IMAGE("https://edmondsonsupply.com/cdn/shop/products/Fluke_1587_FC_True-rms_Insulation_Multimeter__1280x1006px_E_NR-20298.jpg?v=1633031188")</f>
        <v>#NAME?</v>
      </c>
      <c r="H1523" t="e">
        <f ca="1">_xludf.IMAGE("https://m.media-amazon.com/images/I/81aUvl4xhJL._AC_UL320_.jpg")</f>
        <v>#NAME?</v>
      </c>
      <c r="I1523" t="s">
        <v>4077</v>
      </c>
      <c r="J1523">
        <v>1036.67</v>
      </c>
      <c r="K1523" s="4">
        <v>0.1147</v>
      </c>
      <c r="L1523">
        <v>4.5999999999999996</v>
      </c>
      <c r="M1523">
        <v>128</v>
      </c>
      <c r="O1523" t="s">
        <v>25</v>
      </c>
      <c r="P1523" t="s">
        <v>4078</v>
      </c>
      <c r="Q1523" t="s">
        <v>4079</v>
      </c>
    </row>
    <row r="1524" spans="1:17" ht="15.5" x14ac:dyDescent="0.35">
      <c r="A1524" s="3" t="str">
        <f>HYPERLINK("https://edmondsonsupply.com/collections/hvac/products/diversitech-cc-1", "https://edmondsonsupply.com/collections/hvac/products/diversitech-cc-1")</f>
        <v>https://edmondsonsupply.com/collections/hvac/products/diversitech-cc-1</v>
      </c>
      <c r="B1524" s="3" t="str">
        <f>HYPERLINK("https://edmondsonsupply.com/products/diversitech-cc-1", "https://edmondsonsupply.com/products/diversitech-cc-1")</f>
        <v>https://edmondsonsupply.com/products/diversitech-cc-1</v>
      </c>
      <c r="C1524" t="s">
        <v>4080</v>
      </c>
      <c r="D1524" t="s">
        <v>4081</v>
      </c>
      <c r="E1524" s="3" t="str">
        <f>HYPERLINK("https://www.amazon.com/DiversiTech-CC-1-Condensate-Drain-Switch/dp/B003QK4KUM/ref=sr_1_1?keywords=DiversiTech+CC-1+Condensate+Cop%E2%84%A2+Clamp-On+Condensate+Float+Switch&amp;qid=1695173430&amp;sr=8-1", "https://www.amazon.com/DiversiTech-CC-1-Condensate-Drain-Switch/dp/B003QK4KUM/ref=sr_1_1?keywords=DiversiTech+CC-1+Condensate+Cop%E2%84%A2+Clamp-On+Condensate+Float+Switch&amp;qid=1695173430&amp;sr=8-1")</f>
        <v>https://www.amazon.com/DiversiTech-CC-1-Condensate-Drain-Switch/dp/B003QK4KUM/ref=sr_1_1?keywords=DiversiTech+CC-1+Condensate+Cop%E2%84%A2+Clamp-On+Condensate+Float+Switch&amp;qid=1695173430&amp;sr=8-1</v>
      </c>
      <c r="F1524" t="s">
        <v>4082</v>
      </c>
      <c r="G1524" t="e">
        <f ca="1">_xludf.IMAGE("https://edmondsonsupply.com/cdn/shop/products/CC-1.jpg?v=1587149890")</f>
        <v>#NAME?</v>
      </c>
      <c r="H1524" t="e">
        <f ca="1">_xludf.IMAGE("https://m.media-amazon.com/images/I/61xteGyw7nL._AC_UY218_.jpg")</f>
        <v>#NAME?</v>
      </c>
      <c r="I1524" t="s">
        <v>4083</v>
      </c>
      <c r="J1524">
        <v>13.06</v>
      </c>
      <c r="K1524" s="4">
        <v>0.1134</v>
      </c>
      <c r="L1524">
        <v>4.7</v>
      </c>
      <c r="M1524">
        <v>146</v>
      </c>
      <c r="O1524" t="s">
        <v>25</v>
      </c>
      <c r="P1524" t="s">
        <v>4084</v>
      </c>
      <c r="Q1524" t="s">
        <v>4085</v>
      </c>
    </row>
    <row r="1525" spans="1:17" ht="15.5" x14ac:dyDescent="0.35">
      <c r="A1525" s="3" t="str">
        <f>HYPERLINK("https://edmondsonsupply.com/collections/hvac/products/uniweld-45503-gas-pressure-test-kit", "https://edmondsonsupply.com/collections/hvac/products/uniweld-45503-gas-pressure-test-kit")</f>
        <v>https://edmondsonsupply.com/collections/hvac/products/uniweld-45503-gas-pressure-test-kit</v>
      </c>
      <c r="B1525" s="3" t="str">
        <f>HYPERLINK("https://edmondsonsupply.com/products/uniweld-45503-gas-pressure-test-kit", "https://edmondsonsupply.com/products/uniweld-45503-gas-pressure-test-kit")</f>
        <v>https://edmondsonsupply.com/products/uniweld-45503-gas-pressure-test-kit</v>
      </c>
      <c r="C1525" t="s">
        <v>4086</v>
      </c>
      <c r="D1525" t="s">
        <v>4087</v>
      </c>
      <c r="E1525" s="3" t="str">
        <f>HYPERLINK("https://www.amazon.com/Uniweld-Products-45503-Uni-Weld-Pressure/dp/B0023ROKS6/ref=sr_1_1?keywords=Uniweld+45503+Gas+Pressure+Test+Kit&amp;qid=1695173415&amp;sr=8-1", "https://www.amazon.com/Uniweld-Products-45503-Uni-Weld-Pressure/dp/B0023ROKS6/ref=sr_1_1?keywords=Uniweld+45503+Gas+Pressure+Test+Kit&amp;qid=1695173415&amp;sr=8-1")</f>
        <v>https://www.amazon.com/Uniweld-Products-45503-Uni-Weld-Pressure/dp/B0023ROKS6/ref=sr_1_1?keywords=Uniweld+45503+Gas+Pressure+Test+Kit&amp;qid=1695173415&amp;sr=8-1</v>
      </c>
      <c r="F1525" t="s">
        <v>4088</v>
      </c>
      <c r="G1525" t="e">
        <f ca="1">_xludf.IMAGE("https://edmondsonsupply.com/cdn/shop/products/45503.jpg?v=1633030423")</f>
        <v>#NAME?</v>
      </c>
      <c r="H1525" t="e">
        <f ca="1">_xludf.IMAGE("https://m.media-amazon.com/images/I/515ONQo8VnL._AC_UL320_.jpg")</f>
        <v>#NAME?</v>
      </c>
      <c r="I1525" t="s">
        <v>3750</v>
      </c>
      <c r="J1525">
        <v>58.99</v>
      </c>
      <c r="K1525" s="4">
        <v>0.1132</v>
      </c>
      <c r="L1525">
        <v>4.5999999999999996</v>
      </c>
      <c r="M1525">
        <v>3</v>
      </c>
      <c r="O1525" t="s">
        <v>25</v>
      </c>
      <c r="P1525" t="s">
        <v>4089</v>
      </c>
      <c r="Q1525" t="s">
        <v>4090</v>
      </c>
    </row>
    <row r="1526" spans="1:17" ht="15.5" x14ac:dyDescent="0.35">
      <c r="A1526" s="3" t="str">
        <f>HYPERLINK("https://edmondsonsupply.com/collections/hvac/products/uniweld-rhp800-nitrogen-regulator-0-800-delivery-psig", "https://edmondsonsupply.com/collections/hvac/products/uniweld-rhp800-nitrogen-regulator-0-800-delivery-psig")</f>
        <v>https://edmondsonsupply.com/collections/hvac/products/uniweld-rhp800-nitrogen-regulator-0-800-delivery-psig</v>
      </c>
      <c r="B1526" s="3" t="str">
        <f>HYPERLINK("https://edmondsonsupply.com/products/uniweld-rhp800-nitrogen-regulator-0-800-delivery-psig", "https://edmondsonsupply.com/products/uniweld-rhp800-nitrogen-regulator-0-800-delivery-psig")</f>
        <v>https://edmondsonsupply.com/products/uniweld-rhp800-nitrogen-regulator-0-800-delivery-psig</v>
      </c>
      <c r="C1526" t="s">
        <v>4091</v>
      </c>
      <c r="D1526" t="s">
        <v>4092</v>
      </c>
      <c r="E1526" s="3" t="str">
        <f>HYPERLINK("https://www.amazon.com/Uniweld-RHP800-Nitrogen-Regulator-Delivery/dp/B00GYGJUQ4/ref=sr_1_1?keywords=Uniweld+RHP800+Nitrogen+Regulator%2C+0-800+Delivery+PSIG&amp;qid=1695173346&amp;sr=8-1", "https://www.amazon.com/Uniweld-RHP800-Nitrogen-Regulator-Delivery/dp/B00GYGJUQ4/ref=sr_1_1?keywords=Uniweld+RHP800+Nitrogen+Regulator%2C+0-800+Delivery+PSIG&amp;qid=1695173346&amp;sr=8-1")</f>
        <v>https://www.amazon.com/Uniweld-RHP800-Nitrogen-Regulator-Delivery/dp/B00GYGJUQ4/ref=sr_1_1?keywords=Uniweld+RHP800+Nitrogen+Regulator%2C+0-800+Delivery+PSIG&amp;qid=1695173346&amp;sr=8-1</v>
      </c>
      <c r="F1526" t="s">
        <v>4093</v>
      </c>
      <c r="G1526" t="e">
        <f ca="1">_xludf.IMAGE("https://edmondsonsupply.com/cdn/shop/products/rhp800-front.jpg?v=1633030389")</f>
        <v>#NAME?</v>
      </c>
      <c r="H1526" t="e">
        <f ca="1">_xludf.IMAGE("https://m.media-amazon.com/images/I/71cKGUPs1KL._AC_UL320_.jpg")</f>
        <v>#NAME?</v>
      </c>
      <c r="I1526" t="s">
        <v>4094</v>
      </c>
      <c r="J1526">
        <v>99.49</v>
      </c>
      <c r="K1526" s="4">
        <v>0.113</v>
      </c>
      <c r="L1526">
        <v>4.4000000000000004</v>
      </c>
      <c r="M1526">
        <v>153</v>
      </c>
      <c r="O1526" t="s">
        <v>25</v>
      </c>
      <c r="P1526" t="s">
        <v>4095</v>
      </c>
      <c r="Q1526" t="s">
        <v>4096</v>
      </c>
    </row>
    <row r="1527" spans="1:17" ht="15.5" x14ac:dyDescent="0.35">
      <c r="A1527" s="3" t="str">
        <f>HYPERLINK("https://edmondsonsupply.com/collections/hvac/products/uniweld-rhp400-nitrogen-regulator-0-400-delivery-psig", "https://edmondsonsupply.com/collections/hvac/products/uniweld-rhp400-nitrogen-regulator-0-400-delivery-psig")</f>
        <v>https://edmondsonsupply.com/collections/hvac/products/uniweld-rhp400-nitrogen-regulator-0-400-delivery-psig</v>
      </c>
      <c r="B1527" s="3" t="str">
        <f>HYPERLINK("https://edmondsonsupply.com/products/uniweld-rhp400-nitrogen-regulator-0-400-delivery-psig", "https://edmondsonsupply.com/products/uniweld-rhp400-nitrogen-regulator-0-400-delivery-psig")</f>
        <v>https://edmondsonsupply.com/products/uniweld-rhp400-nitrogen-regulator-0-400-delivery-psig</v>
      </c>
      <c r="C1527" t="s">
        <v>4097</v>
      </c>
      <c r="D1527" t="s">
        <v>4098</v>
      </c>
      <c r="E1527" s="3" t="str">
        <f>HYPERLINK("https://www.amazon.com/Uniweld-RHP400-Nitrogen-Regulator-Connection/dp/B008HQ6GXO/ref=sr_1_1?keywords=Uniweld+RHP400+Nitrogen+Regulator%2C+0-400+Delivery+PSIG&amp;qid=1695173335&amp;sr=8-1", "https://www.amazon.com/Uniweld-RHP400-Nitrogen-Regulator-Connection/dp/B008HQ6GXO/ref=sr_1_1?keywords=Uniweld+RHP400+Nitrogen+Regulator%2C+0-400+Delivery+PSIG&amp;qid=1695173335&amp;sr=8-1")</f>
        <v>https://www.amazon.com/Uniweld-RHP400-Nitrogen-Regulator-Connection/dp/B008HQ6GXO/ref=sr_1_1?keywords=Uniweld+RHP400+Nitrogen+Regulator%2C+0-400+Delivery+PSIG&amp;qid=1695173335&amp;sr=8-1</v>
      </c>
      <c r="F1527" t="s">
        <v>4099</v>
      </c>
      <c r="G1527" t="e">
        <f ca="1">_xludf.IMAGE("https://edmondsonsupply.com/cdn/shop/products/rhp400-front.jpg?v=1633030388")</f>
        <v>#NAME?</v>
      </c>
      <c r="H1527" t="e">
        <f ca="1">_xludf.IMAGE("https://m.media-amazon.com/images/I/71xGQ7q6WoL._AC_UL320_.jpg")</f>
        <v>#NAME?</v>
      </c>
      <c r="I1527" t="s">
        <v>4100</v>
      </c>
      <c r="J1527">
        <v>84.48</v>
      </c>
      <c r="K1527" s="4">
        <v>0.11169999999999999</v>
      </c>
      <c r="L1527">
        <v>4.5999999999999996</v>
      </c>
      <c r="M1527">
        <v>798</v>
      </c>
      <c r="O1527" t="s">
        <v>25</v>
      </c>
      <c r="P1527" t="s">
        <v>4101</v>
      </c>
      <c r="Q1527" t="s">
        <v>4102</v>
      </c>
    </row>
    <row r="1528" spans="1:17" ht="15.5" x14ac:dyDescent="0.35">
      <c r="A1528" s="3" t="str">
        <f>HYPERLINK("https://edmondsonsupply.com/collections/hvac/products/greenlee-dtap1-4-20-drill-tap-1-4-20", "https://edmondsonsupply.com/collections/hvac/products/greenlee-dtap1-4-20-drill-tap-1-4-20")</f>
        <v>https://edmondsonsupply.com/collections/hvac/products/greenlee-dtap1-4-20-drill-tap-1-4-20</v>
      </c>
      <c r="B1528" s="3" t="str">
        <f>HYPERLINK("https://edmondsonsupply.com/products/greenlee-dtap1-4-20-drill-tap-1-4-20", "https://edmondsonsupply.com/products/greenlee-dtap1-4-20-drill-tap-1-4-20")</f>
        <v>https://edmondsonsupply.com/products/greenlee-dtap1-4-20-drill-tap-1-4-20</v>
      </c>
      <c r="C1528" t="s">
        <v>2854</v>
      </c>
      <c r="D1528" t="s">
        <v>4103</v>
      </c>
      <c r="E1528" s="3" t="str">
        <f>HYPERLINK("https://www.amazon.com/DEWALT-DWADT1420-UNC-Drill-Tap/dp/B014R19O7C/ref=sr_1_8?keywords=Greenlee+DTAP1%2F4-20+Drill%2FTap%2C+1%2F4-20&amp;qid=1695173673&amp;sr=8-8", "https://www.amazon.com/DEWALT-DWADT1420-UNC-Drill-Tap/dp/B014R19O7C/ref=sr_1_8?keywords=Greenlee+DTAP1%2F4-20+Drill%2FTap%2C+1%2F4-20&amp;qid=1695173673&amp;sr=8-8")</f>
        <v>https://www.amazon.com/DEWALT-DWADT1420-UNC-Drill-Tap/dp/B014R19O7C/ref=sr_1_8?keywords=Greenlee+DTAP1%2F4-20+Drill%2FTap%2C+1%2F4-20&amp;qid=1695173673&amp;sr=8-8</v>
      </c>
      <c r="F1528" t="s">
        <v>4104</v>
      </c>
      <c r="G1528" t="e">
        <f ca="1">_xludf.IMAGE("https://edmondsonsupply.com/cdn/shop/products/DTAP1-4-20.jpg?v=1587151009")</f>
        <v>#NAME?</v>
      </c>
      <c r="H1528" t="e">
        <f ca="1">_xludf.IMAGE("https://m.media-amazon.com/images/I/41AF1rdbzdL._AC_UL320_.jpg")</f>
        <v>#NAME?</v>
      </c>
      <c r="I1528" t="s">
        <v>924</v>
      </c>
      <c r="J1528">
        <v>9.99</v>
      </c>
      <c r="K1528" s="4">
        <v>0.11119999999999999</v>
      </c>
      <c r="L1528">
        <v>4.5</v>
      </c>
      <c r="M1528">
        <v>400</v>
      </c>
      <c r="O1528" t="s">
        <v>25</v>
      </c>
      <c r="P1528" t="s">
        <v>2857</v>
      </c>
      <c r="Q1528" t="s">
        <v>2858</v>
      </c>
    </row>
    <row r="1529" spans="1:17" ht="15.5" x14ac:dyDescent="0.35">
      <c r="A1529"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1529"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1529" t="s">
        <v>4105</v>
      </c>
      <c r="D1529" t="s">
        <v>4106</v>
      </c>
      <c r="E1529" s="3" t="str">
        <f>HYPERLINK("https://www.amazon.com/Klein-Tools-J2159CRTP-Journeyman-Leverage/dp/B09YSR1M8G/ref=sr_1_4?keywords=Klein+Tools+D20009NEGLW+High-Visibility+Side-Cutting+Pliers+High-Leverage&amp;qid=1695173666&amp;sr=8-4", "https://www.amazon.com/Klein-Tools-J2159CRTP-Journeyman-Leverage/dp/B09YSR1M8G/ref=sr_1_4?keywords=Klein+Tools+D20009NEGLW+High-Visibility+Side-Cutting+Pliers+High-Leverage&amp;qid=1695173666&amp;sr=8-4")</f>
        <v>https://www.amazon.com/Klein-Tools-J2159CRTP-Journeyman-Leverage/dp/B09YSR1M8G/ref=sr_1_4?keywords=Klein+Tools+D20009NEGLW+High-Visibility+Side-Cutting+Pliers+High-Leverage&amp;qid=1695173666&amp;sr=8-4</v>
      </c>
      <c r="F1529" t="s">
        <v>4107</v>
      </c>
      <c r="G1529" t="e">
        <f ca="1">_xludf.IMAGE("https://edmondsonsupply.com/cdn/shop/products/d20009neglw.jpg?v=1587144933")</f>
        <v>#NAME?</v>
      </c>
      <c r="H1529" t="e">
        <f ca="1">_xludf.IMAGE("https://m.media-amazon.com/images/I/41p9xe-fzjL._AC_UL320_.jpg")</f>
        <v>#NAME?</v>
      </c>
      <c r="I1529" t="s">
        <v>4108</v>
      </c>
      <c r="J1529">
        <v>49.97</v>
      </c>
      <c r="K1529" s="4">
        <v>0.11119999999999999</v>
      </c>
      <c r="L1529">
        <v>4.7</v>
      </c>
      <c r="M1529">
        <v>177</v>
      </c>
      <c r="O1529" t="s">
        <v>25</v>
      </c>
      <c r="P1529" t="s">
        <v>4109</v>
      </c>
      <c r="Q1529" t="s">
        <v>4110</v>
      </c>
    </row>
    <row r="1530" spans="1:17" ht="15.5" x14ac:dyDescent="0.35">
      <c r="A1530" s="3" t="str">
        <f>HYPERLINK("https://edmondsonsupply.com/collections/hvac/products/klein-tools-60346-hard-hat-premium-karbn%E2%84%A2-pattern-non-vented-full-brim-class-e-lamp", "https://edmondsonsupply.com/collections/hvac/products/klein-tools-60346-hard-hat-premium-karbn%E2%84%A2-pattern-non-vented-full-brim-class-e-lamp")</f>
        <v>https://edmondsonsupply.com/collections/hvac/products/klein-tools-60346-hard-hat-premium-karbn%E2%84%A2-pattern-non-vented-full-brim-class-e-lamp</v>
      </c>
      <c r="B1530"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1530" t="s">
        <v>1020</v>
      </c>
      <c r="D1530" t="s">
        <v>962</v>
      </c>
      <c r="E1530" s="3" t="str">
        <f>HYPERLINK("https://www.amazon.com/Klein-Tools-Non-Vented-Premium-Pattern/dp/B09Z8ZC2TJ/ref=sr_1_3?keywords=Klein+Tools+60346+Hard+Hat%2C+Premium+KARBN%E2%84%A2+Pattern%2C+Non-Vented+Full+Brim%2C+Class+E%2C+Lamp&amp;qid=1695173502&amp;sr=8-3", "https://www.amazon.com/Klein-Tools-Non-Vented-Premium-Pattern/dp/B09Z8ZC2TJ/ref=sr_1_3?keywords=Klein+Tools+60346+Hard+Hat%2C+Premium+KARBN%E2%84%A2+Pattern%2C+Non-Vented+Full+Brim%2C+Class+E%2C+Lamp&amp;qid=1695173502&amp;sr=8-3")</f>
        <v>https://www.amazon.com/Klein-Tools-Non-Vented-Premium-Pattern/dp/B09Z8ZC2TJ/ref=sr_1_3?keywords=Klein+Tools+60346+Hard+Hat%2C+Premium+KARBN%E2%84%A2+Pattern%2C+Non-Vented+Full+Brim%2C+Class+E%2C+Lamp&amp;qid=1695173502&amp;sr=8-3</v>
      </c>
      <c r="F1530" t="s">
        <v>963</v>
      </c>
      <c r="G1530" t="e">
        <f ca="1">_xludf.IMAGE("https://edmondsonsupply.com/cdn/shop/products/60346.jpg?v=1660168162")</f>
        <v>#NAME?</v>
      </c>
      <c r="H1530" t="e">
        <f ca="1">_xludf.IMAGE("https://m.media-amazon.com/images/I/51OeMTIeiuL._AC_UL320_.jpg")</f>
        <v>#NAME?</v>
      </c>
      <c r="I1530" t="s">
        <v>315</v>
      </c>
      <c r="J1530">
        <v>99.98</v>
      </c>
      <c r="K1530" s="4">
        <v>0.111</v>
      </c>
      <c r="L1530">
        <v>4.7</v>
      </c>
      <c r="M1530">
        <v>8</v>
      </c>
      <c r="O1530" t="s">
        <v>25</v>
      </c>
      <c r="P1530" t="s">
        <v>917</v>
      </c>
      <c r="Q1530" t="s">
        <v>1021</v>
      </c>
    </row>
    <row r="1531" spans="1:17" ht="15.5" x14ac:dyDescent="0.35">
      <c r="A1531" s="3" t="str">
        <f>HYPERLINK("https://edmondsonsupply.com/collections/hvac/products/hilmor-1926598-cbkrb-compact-bender-kit-with-reverse-bending-attachment", "https://edmondsonsupply.com/collections/hvac/products/hilmor-1926598-cbkrb-compact-bender-kit-with-reverse-bending-attachment")</f>
        <v>https://edmondsonsupply.com/collections/hvac/products/hilmor-1926598-cbkrb-compact-bender-kit-with-reverse-bending-attachment</v>
      </c>
      <c r="B1531" s="3" t="str">
        <f>HYPERLINK("https://edmondsonsupply.com/products/hilmor-1926598-cbkrb-compact-bender-kit-with-reverse-bending-attachment", "https://edmondsonsupply.com/products/hilmor-1926598-cbkrb-compact-bender-kit-with-reverse-bending-attachment")</f>
        <v>https://edmondsonsupply.com/products/hilmor-1926598-cbkrb-compact-bender-kit-with-reverse-bending-attachment</v>
      </c>
      <c r="C1531" t="s">
        <v>4111</v>
      </c>
      <c r="D1531" t="s">
        <v>4112</v>
      </c>
      <c r="E1531" s="3" t="str">
        <f>HYPERLINK("https://www.amazon.com/1926598-Compact-Reverse-Bending-Attachment/dp/B00X9BJ8IC/ref=sr_1_1?keywords=Hilmor+1926598+CBKRB+Compact+Bender+Kit+with+Reverse+Bending+Attachment&amp;qid=1695173331&amp;sr=8-1", "https://www.amazon.com/1926598-Compact-Reverse-Bending-Attachment/dp/B00X9BJ8IC/ref=sr_1_1?keywords=Hilmor+1926598+CBKRB+Compact+Bender+Kit+with+Reverse+Bending+Attachment&amp;qid=1695173331&amp;sr=8-1")</f>
        <v>https://www.amazon.com/1926598-Compact-Reverse-Bending-Attachment/dp/B00X9BJ8IC/ref=sr_1_1?keywords=Hilmor+1926598+CBKRB+Compact+Bender+Kit+with+Reverse+Bending+Attachment&amp;qid=1695173331&amp;sr=8-1</v>
      </c>
      <c r="F1531" t="s">
        <v>4113</v>
      </c>
      <c r="G1531" t="e">
        <f ca="1">_xludf.IMAGE("https://edmondsonsupply.com/cdn/shop/products/57_4722856f-2f25-4fd0-bfb9-375a4a8cbf3a.jpg?v=1633030018")</f>
        <v>#NAME?</v>
      </c>
      <c r="H1531" t="e">
        <f ca="1">_xludf.IMAGE("https://m.media-amazon.com/images/I/91YIw1z-oyL._AC_UL320_.jpg")</f>
        <v>#NAME?</v>
      </c>
      <c r="I1531" t="s">
        <v>4114</v>
      </c>
      <c r="J1531">
        <v>293.23</v>
      </c>
      <c r="K1531" s="4">
        <v>0.1106</v>
      </c>
      <c r="L1531">
        <v>4.7</v>
      </c>
      <c r="M1531">
        <v>1385</v>
      </c>
      <c r="O1531" t="s">
        <v>25</v>
      </c>
      <c r="P1531" t="s">
        <v>4115</v>
      </c>
      <c r="Q1531" t="s">
        <v>4116</v>
      </c>
    </row>
    <row r="1532" spans="1:17" ht="15.5" x14ac:dyDescent="0.35">
      <c r="A1532" s="3" t="str">
        <f>HYPERLINK("https://edmondsonsupply.com/collections/hvac/products/icm-controls-icm401-3-phase-line-voltage-monitor", "https://edmondsonsupply.com/collections/hvac/products/icm-controls-icm401-3-phase-line-voltage-monitor")</f>
        <v>https://edmondsonsupply.com/collections/hvac/products/icm-controls-icm401-3-phase-line-voltage-monitor</v>
      </c>
      <c r="B1532" s="3" t="str">
        <f>HYPERLINK("https://edmondsonsupply.com/products/icm-controls-icm401-3-phase-line-voltage-monitor", "https://edmondsonsupply.com/products/icm-controls-icm401-3-phase-line-voltage-monitor")</f>
        <v>https://edmondsonsupply.com/products/icm-controls-icm401-3-phase-line-voltage-monitor</v>
      </c>
      <c r="C1532" t="s">
        <v>1650</v>
      </c>
      <c r="D1532" t="s">
        <v>4117</v>
      </c>
      <c r="E1532" s="3" t="str">
        <f>HYPERLINK("https://www.amazon.com/ICM-Controls-ICM401-Three-Phase-Protection/dp/B004I5817C/ref=sr_1_1?keywords=ICM+Controls+ICM401+3+Phase+Line+Voltage+Monitor&amp;qid=1695173605&amp;sr=8-1", "https://www.amazon.com/ICM-Controls-ICM401-Three-Phase-Protection/dp/B004I5817C/ref=sr_1_1?keywords=ICM+Controls+ICM401+3+Phase+Line+Voltage+Monitor&amp;qid=1695173605&amp;sr=8-1")</f>
        <v>https://www.amazon.com/ICM-Controls-ICM401-Three-Phase-Protection/dp/B004I5817C/ref=sr_1_1?keywords=ICM+Controls+ICM401+3+Phase+Line+Voltage+Monitor&amp;qid=1695173605&amp;sr=8-1</v>
      </c>
      <c r="F1532" t="s">
        <v>4118</v>
      </c>
      <c r="G1532" t="e">
        <f ca="1">_xludf.IMAGE("https://edmondsonsupply.com/cdn/shop/products/photo_3653_medium_52cb7f2c-e5f0-4da1-ac53-d344fb2403c9.png?v=1665087171")</f>
        <v>#NAME?</v>
      </c>
      <c r="H1532" t="e">
        <f ca="1">_xludf.IMAGE("https://m.media-amazon.com/images/I/61T2FryJHhL._AC_UL320_.jpg")</f>
        <v>#NAME?</v>
      </c>
      <c r="I1532" t="s">
        <v>1653</v>
      </c>
      <c r="J1532">
        <v>38.6</v>
      </c>
      <c r="K1532" s="4">
        <v>0.1095</v>
      </c>
      <c r="L1532">
        <v>4.0999999999999996</v>
      </c>
      <c r="M1532">
        <v>11</v>
      </c>
      <c r="O1532" t="s">
        <v>25</v>
      </c>
      <c r="P1532" t="s">
        <v>1654</v>
      </c>
      <c r="Q1532" t="s">
        <v>1655</v>
      </c>
    </row>
    <row r="1533" spans="1:17" ht="15.5" x14ac:dyDescent="0.35">
      <c r="A1533" s="3" t="str">
        <f>HYPERLINK("https://edmondsonsupply.com/collections/hvac/products/klein-tools-mm400-digital-multimeter-auto-ranging-600v", "https://edmondsonsupply.com/collections/hvac/products/klein-tools-mm400-digital-multimeter-auto-ranging-600v")</f>
        <v>https://edmondsonsupply.com/collections/hvac/products/klein-tools-mm400-digital-multimeter-auto-ranging-600v</v>
      </c>
      <c r="B1533" s="3" t="str">
        <f>HYPERLINK("https://edmondsonsupply.com/products/klein-tools-mm400-digital-multimeter-auto-ranging-600v", "https://edmondsonsupply.com/products/klein-tools-mm400-digital-multimeter-auto-ranging-600v")</f>
        <v>https://edmondsonsupply.com/products/klein-tools-mm400-digital-multimeter-auto-ranging-600v</v>
      </c>
      <c r="C1533" t="s">
        <v>3356</v>
      </c>
      <c r="D1533" t="s">
        <v>4119</v>
      </c>
      <c r="E1533" s="3" t="str">
        <f>HYPERLINK("https://www.amazon.com/Klein-Tools-Multimeter-Auto-Ranging-Magnetic/dp/B095RFF319/ref=sr_1_2?keywords=Klein+Tools+MM400+Digital+Multimeter%2C+Auto-Ranging%2C+600V&amp;qid=1695173526&amp;sr=8-2", "https://www.amazon.com/Klein-Tools-Multimeter-Auto-Ranging-Magnetic/dp/B095RFF319/ref=sr_1_2?keywords=Klein+Tools+MM400+Digital+Multimeter%2C+Auto-Ranging%2C+600V&amp;qid=1695173526&amp;sr=8-2")</f>
        <v>https://www.amazon.com/Klein-Tools-Multimeter-Auto-Ranging-Magnetic/dp/B095RFF319/ref=sr_1_2?keywords=Klein+Tools+MM400+Digital+Multimeter%2C+Auto-Ranging%2C+600V&amp;qid=1695173526&amp;sr=8-2</v>
      </c>
      <c r="F1533" t="s">
        <v>4120</v>
      </c>
      <c r="G1533" t="e">
        <f ca="1">_xludf.IMAGE("https://edmondsonsupply.com/cdn/shop/products/mm400_alt1.jpg?v=1633030778")</f>
        <v>#NAME?</v>
      </c>
      <c r="H1533" t="e">
        <f ca="1">_xludf.IMAGE("https://m.media-amazon.com/images/I/51JeRgf8UeS._AC_UL320_.jpg")</f>
        <v>#NAME?</v>
      </c>
      <c r="I1533" t="s">
        <v>3359</v>
      </c>
      <c r="J1533">
        <v>60.89</v>
      </c>
      <c r="K1533" s="4">
        <v>0.1077</v>
      </c>
      <c r="L1533">
        <v>4.8</v>
      </c>
      <c r="M1533">
        <v>37</v>
      </c>
      <c r="O1533" t="s">
        <v>25</v>
      </c>
      <c r="P1533" t="s">
        <v>3360</v>
      </c>
      <c r="Q1533" t="s">
        <v>3361</v>
      </c>
    </row>
    <row r="1534" spans="1:17" ht="15.5" x14ac:dyDescent="0.35">
      <c r="A1534" s="3" t="str">
        <f>HYPERLINK("https://edmondsonsupply.com/collections/hvac/products/imperial-tc-1050-imp%C2%AE-mini-tube-cutter-1-8-5-8-o-d", "https://edmondsonsupply.com/collections/hvac/products/imperial-tc-1050-imp%C2%AE-mini-tube-cutter-1-8-5-8-o-d")</f>
        <v>https://edmondsonsupply.com/collections/hvac/products/imperial-tc-1050-imp%C2%AE-mini-tube-cutter-1-8-5-8-o-d</v>
      </c>
      <c r="B1534" s="3" t="str">
        <f>HYPERLINK("https://edmondsonsupply.com/products/imperial-tc-1050-imp%c2%ae-mini-tube-cutter-1-8-5-8-o-d", "https://edmondsonsupply.com/products/imperial-tc-1050-imp%c2%ae-mini-tube-cutter-1-8-5-8-o-d")</f>
        <v>https://edmondsonsupply.com/products/imperial-tc-1050-imp%c2%ae-mini-tube-cutter-1-8-5-8-o-d</v>
      </c>
      <c r="C1534" t="s">
        <v>2109</v>
      </c>
      <c r="D1534" t="s">
        <v>4121</v>
      </c>
      <c r="E1534" s="3" t="str">
        <f>HYPERLINK("https://www.amazon.com/Imperial-Tool-TC1050-Tube-Cutter/dp/B002FCVPX2/ref=sr_1_2?keywords=Imperial+TC-1050+IMP%C2%AE+Mini+Tube+Cutter+1%2F8%22+-+5%2F8%22+O.D.&amp;qid=1695173452&amp;sr=8-2", "https://www.amazon.com/Imperial-Tool-TC1050-Tube-Cutter/dp/B002FCVPX2/ref=sr_1_2?keywords=Imperial+TC-1050+IMP%C2%AE+Mini+Tube+Cutter+1%2F8%22+-+5%2F8%22+O.D.&amp;qid=1695173452&amp;sr=8-2")</f>
        <v>https://www.amazon.com/Imperial-Tool-TC1050-Tube-Cutter/dp/B002FCVPX2/ref=sr_1_2?keywords=Imperial+TC-1050+IMP%C2%AE+Mini+Tube+Cutter+1%2F8%22+-+5%2F8%22+O.D.&amp;qid=1695173452&amp;sr=8-2</v>
      </c>
      <c r="F1534" t="s">
        <v>4122</v>
      </c>
      <c r="G1534" t="e">
        <f ca="1">_xludf.IMAGE("https://edmondsonsupply.com/cdn/shop/products/imperial-pipe-tube-cutters-tc1050-64_1000.jpg?v=1587144076")</f>
        <v>#NAME?</v>
      </c>
      <c r="H1534" t="e">
        <f ca="1">_xludf.IMAGE("https://m.media-amazon.com/images/I/51pwBeK-86L._AC_UL320_.jpg")</f>
        <v>#NAME?</v>
      </c>
      <c r="I1534" t="s">
        <v>1687</v>
      </c>
      <c r="J1534">
        <v>21</v>
      </c>
      <c r="K1534" s="4">
        <v>0.10580000000000001</v>
      </c>
      <c r="L1534">
        <v>4.5999999999999996</v>
      </c>
      <c r="M1534">
        <v>175</v>
      </c>
      <c r="O1534" t="s">
        <v>25</v>
      </c>
      <c r="P1534" t="s">
        <v>138</v>
      </c>
      <c r="Q1534" t="s">
        <v>2112</v>
      </c>
    </row>
    <row r="1535" spans="1:17" ht="15.5" x14ac:dyDescent="0.35">
      <c r="A1535"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1535"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1535" t="s">
        <v>2430</v>
      </c>
      <c r="D1535" t="s">
        <v>4123</v>
      </c>
      <c r="E1535" s="3" t="str">
        <f>HYPERLINK("https://www.amazon.com/Klein-Tools-670-6-Screwdriver-Rapi-Driv/dp/B000BO9T3Y/ref=sr_1_5?keywords=Klein+Tools+605-6+1%2F4-Inch+Cabinet+Tip+Screwdriver%2C+Heavy+Duty%2C+6-Inch&amp;qid=1695173547&amp;sr=8-5", "https://www.amazon.com/Klein-Tools-670-6-Screwdriver-Rapi-Driv/dp/B000BO9T3Y/ref=sr_1_5?keywords=Klein+Tools+605-6+1%2F4-Inch+Cabinet+Tip+Screwdriver%2C+Heavy+Duty%2C+6-Inch&amp;qid=1695173547&amp;sr=8-5")</f>
        <v>https://www.amazon.com/Klein-Tools-670-6-Screwdriver-Rapi-Driv/dp/B000BO9T3Y/ref=sr_1_5?keywords=Klein+Tools+605-6+1%2F4-Inch+Cabinet+Tip+Screwdriver%2C+Heavy+Duty%2C+6-Inch&amp;qid=1695173547&amp;sr=8-5</v>
      </c>
      <c r="F1535" t="s">
        <v>4124</v>
      </c>
      <c r="G1535" t="e">
        <f ca="1">_xludf.IMAGE("https://edmondsonsupply.com/cdn/shop/products/605-6.jpg?v=1587149759")</f>
        <v>#NAME?</v>
      </c>
      <c r="H1535" t="e">
        <f ca="1">_xludf.IMAGE("https://m.media-amazon.com/images/I/31+1RSUdZ+S._AC_UL320_.jpg")</f>
        <v>#NAME?</v>
      </c>
      <c r="I1535" t="s">
        <v>2433</v>
      </c>
      <c r="J1535">
        <v>10.49</v>
      </c>
      <c r="K1535" s="4">
        <v>0.10539999999999999</v>
      </c>
      <c r="L1535">
        <v>4.8</v>
      </c>
      <c r="M1535">
        <v>1607</v>
      </c>
      <c r="O1535" t="s">
        <v>25</v>
      </c>
      <c r="P1535" t="s">
        <v>2434</v>
      </c>
      <c r="Q1535" t="s">
        <v>2435</v>
      </c>
    </row>
    <row r="1536" spans="1:17" ht="15.5" x14ac:dyDescent="0.35">
      <c r="A1536" s="3" t="str">
        <f>HYPERLINK("https://edmondsonsupply.com/collections/hvac/products/channellock-431", "https://edmondsonsupply.com/collections/hvac/products/channellock-431")</f>
        <v>https://edmondsonsupply.com/collections/hvac/products/channellock-431</v>
      </c>
      <c r="B1536" s="3" t="str">
        <f>HYPERLINK("https://edmondsonsupply.com/products/channellock-431", "https://edmondsonsupply.com/products/channellock-431")</f>
        <v>https://edmondsonsupply.com/products/channellock-431</v>
      </c>
      <c r="C1536" t="s">
        <v>3341</v>
      </c>
      <c r="D1536" t="s">
        <v>4125</v>
      </c>
      <c r="E1536" s="3" t="str">
        <f>HYPERLINK("https://www.amazon.com/WORKPRO-Groove-Pliers-2-Inch-Adjustable/dp/B09NMBQNSP/ref=sr_1_5?keywords=Channellock+432+10-Inch+V-Jaw+Tongue+%26+Groove+Pliers&amp;qid=1695173686&amp;sr=8-5", "https://www.amazon.com/WORKPRO-Groove-Pliers-2-Inch-Adjustable/dp/B09NMBQNSP/ref=sr_1_5?keywords=Channellock+432+10-Inch+V-Jaw+Tongue+%26+Groove+Pliers&amp;qid=1695173686&amp;sr=8-5")</f>
        <v>https://www.amazon.com/WORKPRO-Groove-Pliers-2-Inch-Adjustable/dp/B09NMBQNSP/ref=sr_1_5?keywords=Channellock+432+10-Inch+V-Jaw+Tongue+%26+Groove+Pliers&amp;qid=1695173686&amp;sr=8-5</v>
      </c>
      <c r="F1536" t="s">
        <v>4126</v>
      </c>
      <c r="G1536" t="e">
        <f ca="1">_xludf.IMAGE("https://edmondsonsupply.com/cdn/shop/products/432-683x1024.jpg?v=1587147134")</f>
        <v>#NAME?</v>
      </c>
      <c r="H1536" t="e">
        <f ca="1">_xludf.IMAGE("https://m.media-amazon.com/images/I/5196NVQBrrL._AC_UL320_.jpg")</f>
        <v>#NAME?</v>
      </c>
      <c r="I1536" t="s">
        <v>488</v>
      </c>
      <c r="J1536">
        <v>21.99</v>
      </c>
      <c r="K1536" s="4">
        <v>0.1023</v>
      </c>
      <c r="L1536">
        <v>4.5</v>
      </c>
      <c r="M1536">
        <v>974</v>
      </c>
      <c r="O1536" t="s">
        <v>25</v>
      </c>
      <c r="P1536" t="s">
        <v>3344</v>
      </c>
      <c r="Q1536" t="s">
        <v>3345</v>
      </c>
    </row>
    <row r="1537" spans="1:17" ht="15.5" x14ac:dyDescent="0.35">
      <c r="A1537" s="3" t="str">
        <f>HYPERLINK("https://edmondsonsupply.com/collections/hvac/products/icm-controls-icm866u-universal-hard-start-kit", "https://edmondsonsupply.com/collections/hvac/products/icm-controls-icm866u-universal-hard-start-kit")</f>
        <v>https://edmondsonsupply.com/collections/hvac/products/icm-controls-icm866u-universal-hard-start-kit</v>
      </c>
      <c r="B1537" s="3" t="str">
        <f>HYPERLINK("https://edmondsonsupply.com/products/icm-controls-icm866u-universal-hard-start-kit", "https://edmondsonsupply.com/products/icm-controls-icm866u-universal-hard-start-kit")</f>
        <v>https://edmondsonsupply.com/products/icm-controls-icm866u-universal-hard-start-kit</v>
      </c>
      <c r="C1537" t="s">
        <v>4127</v>
      </c>
      <c r="D1537" t="s">
        <v>4128</v>
      </c>
      <c r="E1537" s="3" t="str">
        <f>HYPERLINK("https://www.amazon.com/ICM-Controls-ICM866U-high-powered-Recognized/dp/B00QW2HRK6/ref=sr_1_2?keywords=ICM+Controls+ICM866U+Universal+Hard+Start+Kit&amp;qid=1695173739&amp;sr=8-2", "https://www.amazon.com/ICM-Controls-ICM866U-high-powered-Recognized/dp/B00QW2HRK6/ref=sr_1_2?keywords=ICM+Controls+ICM866U+Universal+Hard+Start+Kit&amp;qid=1695173739&amp;sr=8-2")</f>
        <v>https://www.amazon.com/ICM-Controls-ICM866U-high-powered-Recognized/dp/B00QW2HRK6/ref=sr_1_2?keywords=ICM+Controls+ICM866U+Universal+Hard+Start+Kit&amp;qid=1695173739&amp;sr=8-2</v>
      </c>
      <c r="F1537" t="s">
        <v>4129</v>
      </c>
      <c r="G1537" t="e">
        <f ca="1">_xludf.IMAGE("https://edmondsonsupply.com/cdn/shop/files/ICM866.png?v=1689282208")</f>
        <v>#NAME?</v>
      </c>
      <c r="H1537" t="e">
        <f ca="1">_xludf.IMAGE("https://m.media-amazon.com/images/I/41pAdbVB8zL._AC_UL320_.jpg")</f>
        <v>#NAME?</v>
      </c>
      <c r="I1537" t="s">
        <v>4130</v>
      </c>
      <c r="J1537">
        <v>50.09</v>
      </c>
      <c r="K1537" s="4">
        <v>0.1016</v>
      </c>
      <c r="L1537">
        <v>5</v>
      </c>
      <c r="M1537">
        <v>4</v>
      </c>
      <c r="O1537" t="s">
        <v>25</v>
      </c>
      <c r="P1537" t="s">
        <v>138</v>
      </c>
      <c r="Q1537" t="s">
        <v>4131</v>
      </c>
    </row>
    <row r="1538" spans="1:17" ht="15.5" x14ac:dyDescent="0.35">
      <c r="A1538" s="3" t="str">
        <f>HYPERLINK("https://edmondsonsupply.com/collections/hvac/products/malco-tools-s3r-redline-3-inch-offset-hand-seamer", "https://edmondsonsupply.com/collections/hvac/products/malco-tools-s3r-redline-3-inch-offset-hand-seamer")</f>
        <v>https://edmondsonsupply.com/collections/hvac/products/malco-tools-s3r-redline-3-inch-offset-hand-seamer</v>
      </c>
      <c r="B1538" s="3" t="str">
        <f>HYPERLINK("https://edmondsonsupply.com/products/malco-tools-s3r-redline-3-inch-offset-hand-seamer", "https://edmondsonsupply.com/products/malco-tools-s3r-redline-3-inch-offset-hand-seamer")</f>
        <v>https://edmondsonsupply.com/products/malco-tools-s3r-redline-3-inch-offset-hand-seamer</v>
      </c>
      <c r="C1538" t="s">
        <v>4132</v>
      </c>
      <c r="D1538" t="s">
        <v>4133</v>
      </c>
      <c r="E1538" s="3" t="str">
        <f>HYPERLINK("https://www.amazon.com/Malco-S3R-3-25in-Offset-REDLINE/dp/B005ZDY5FS/ref=sr_1_1?keywords=Malco+Tools+S3R+RedLine+3-Inch+Offset+Hand+Seamer&amp;qid=1695173417&amp;sr=8-1", "https://www.amazon.com/Malco-S3R-3-25in-Offset-REDLINE/dp/B005ZDY5FS/ref=sr_1_1?keywords=Malco+Tools+S3R+RedLine+3-Inch+Offset+Hand+Seamer&amp;qid=1695173417&amp;sr=8-1")</f>
        <v>https://www.amazon.com/Malco-S3R-3-25in-Offset-REDLINE/dp/B005ZDY5FS/ref=sr_1_1?keywords=Malco+Tools+S3R+RedLine+3-Inch+Offset+Hand+Seamer&amp;qid=1695173417&amp;sr=8-1</v>
      </c>
      <c r="F1538" t="s">
        <v>4134</v>
      </c>
      <c r="G1538" t="e">
        <f ca="1">_xludf.IMAGE("https://edmondsonsupply.com/cdn/shop/products/3in-Offset-Hand-Seamers-Forged-Jaws-1.jpg?v=1587148509")</f>
        <v>#NAME?</v>
      </c>
      <c r="H1538" t="e">
        <f ca="1">_xludf.IMAGE("https://m.media-amazon.com/images/I/61-QormbHGL._AC_UL320_.jpg")</f>
        <v>#NAME?</v>
      </c>
      <c r="I1538" t="s">
        <v>4135</v>
      </c>
      <c r="J1538">
        <v>72.650000000000006</v>
      </c>
      <c r="K1538" s="4">
        <v>0.1009</v>
      </c>
      <c r="L1538">
        <v>4.8</v>
      </c>
      <c r="M1538">
        <v>386</v>
      </c>
      <c r="O1538" t="s">
        <v>25</v>
      </c>
      <c r="P1538" t="s">
        <v>4136</v>
      </c>
      <c r="Q1538" t="s">
        <v>4137</v>
      </c>
    </row>
    <row r="1539" spans="1:17" ht="15.5" x14ac:dyDescent="0.35">
      <c r="A1539" s="3" t="str">
        <f>HYPERLINK("https://edmondsonsupply.com/collections/hvac/products/channellock-431", "https://edmondsonsupply.com/collections/hvac/products/channellock-431")</f>
        <v>https://edmondsonsupply.com/collections/hvac/products/channellock-431</v>
      </c>
      <c r="B1539" s="3" t="str">
        <f>HYPERLINK("https://edmondsonsupply.com/products/channellock-431", "https://edmondsonsupply.com/products/channellock-431")</f>
        <v>https://edmondsonsupply.com/products/channellock-431</v>
      </c>
      <c r="C1539" t="s">
        <v>3341</v>
      </c>
      <c r="D1539" t="s">
        <v>3573</v>
      </c>
      <c r="E1539" s="3" t="str">
        <f>HYPERLINK("https://www.amazon.com/Channellock-440-12-Inch-Tongue-Groove/dp/B00004SBCU/ref=sr_1_8?keywords=Channellock+432+10-Inch+V-Jaw+Tongue+%26+Groove+Pliers&amp;qid=1695173686&amp;sr=8-8", "https://www.amazon.com/Channellock-440-12-Inch-Tongue-Groove/dp/B00004SBCU/ref=sr_1_8?keywords=Channellock+432+10-Inch+V-Jaw+Tongue+%26+Groove+Pliers&amp;qid=1695173686&amp;sr=8-8")</f>
        <v>https://www.amazon.com/Channellock-440-12-Inch-Tongue-Groove/dp/B00004SBCU/ref=sr_1_8?keywords=Channellock+432+10-Inch+V-Jaw+Tongue+%26+Groove+Pliers&amp;qid=1695173686&amp;sr=8-8</v>
      </c>
      <c r="F1539" t="s">
        <v>3574</v>
      </c>
      <c r="G1539" t="e">
        <f ca="1">_xludf.IMAGE("https://edmondsonsupply.com/cdn/shop/products/432-683x1024.jpg?v=1587147134")</f>
        <v>#NAME?</v>
      </c>
      <c r="H1539" t="e">
        <f ca="1">_xludf.IMAGE("https://m.media-amazon.com/images/I/71FM1bkavsL._AC_UL320_.jpg")</f>
        <v>#NAME?</v>
      </c>
      <c r="I1539" t="s">
        <v>488</v>
      </c>
      <c r="J1539">
        <v>21.95</v>
      </c>
      <c r="K1539" s="4">
        <v>0.1003</v>
      </c>
      <c r="L1539">
        <v>4.8</v>
      </c>
      <c r="M1539">
        <v>3565</v>
      </c>
      <c r="O1539" t="s">
        <v>25</v>
      </c>
      <c r="P1539" t="s">
        <v>3344</v>
      </c>
      <c r="Q1539" t="s">
        <v>3345</v>
      </c>
    </row>
    <row r="1540" spans="1:17" ht="15.5" x14ac:dyDescent="0.35">
      <c r="A1540" s="3" t="str">
        <f>HYPERLINK("https://edmondsonsupply.com/collections/hvac/products/klein-tools-44131-folding-utility-knife", "https://edmondsonsupply.com/collections/hvac/products/klein-tools-44131-folding-utility-knife")</f>
        <v>https://edmondsonsupply.com/collections/hvac/products/klein-tools-44131-folding-utility-knife</v>
      </c>
      <c r="B1540" s="3" t="str">
        <f>HYPERLINK("https://edmondsonsupply.com/products/klein-tools-44131-folding-utility-knife", "https://edmondsonsupply.com/products/klein-tools-44131-folding-utility-knife")</f>
        <v>https://edmondsonsupply.com/products/klein-tools-44131-folding-utility-knife</v>
      </c>
      <c r="C1540" t="s">
        <v>4138</v>
      </c>
      <c r="D1540" t="s">
        <v>4139</v>
      </c>
      <c r="E1540" s="3" t="str">
        <f>HYPERLINK("https://www.amazon.com/Replaceable-Mechanism-Klein-Tools-44218/dp/B071YR1Q2L/ref=sr_1_3?keywords=Klein+Tools+44131+Folding+Utility+Knife&amp;qid=1695173558&amp;sr=8-3", "https://www.amazon.com/Replaceable-Mechanism-Klein-Tools-44218/dp/B071YR1Q2L/ref=sr_1_3?keywords=Klein+Tools+44131+Folding+Utility+Knife&amp;qid=1695173558&amp;sr=8-3")</f>
        <v>https://www.amazon.com/Replaceable-Mechanism-Klein-Tools-44218/dp/B071YR1Q2L/ref=sr_1_3?keywords=Klein+Tools+44131+Folding+Utility+Knife&amp;qid=1695173558&amp;sr=8-3</v>
      </c>
      <c r="F1540" t="s">
        <v>4140</v>
      </c>
      <c r="G1540" t="e">
        <f ca="1">_xludf.IMAGE("https://edmondsonsupply.com/cdn/shop/files/44131.jpg?v=1685458449")</f>
        <v>#NAME?</v>
      </c>
      <c r="H1540" t="e">
        <f ca="1">_xludf.IMAGE("https://m.media-amazon.com/images/I/41ToQfPYPnL._AC_UL320_.jpg")</f>
        <v>#NAME?</v>
      </c>
      <c r="I1540" t="s">
        <v>893</v>
      </c>
      <c r="J1540">
        <v>21.97</v>
      </c>
      <c r="K1540" s="4">
        <v>0.1002</v>
      </c>
      <c r="L1540">
        <v>4.8</v>
      </c>
      <c r="M1540">
        <v>3348</v>
      </c>
      <c r="O1540" t="s">
        <v>25</v>
      </c>
      <c r="P1540" t="s">
        <v>4141</v>
      </c>
      <c r="Q1540" t="s">
        <v>4142</v>
      </c>
    </row>
    <row r="1541" spans="1:17" ht="15.5" x14ac:dyDescent="0.35">
      <c r="A1541" s="3" t="str">
        <f>HYPERLINK("https://edmondsonsupply.com/collections/hvac/products/klein-tools-935r-aluminum-torpedo-level-rare-earth-magnet", "https://edmondsonsupply.com/collections/hvac/products/klein-tools-935r-aluminum-torpedo-level-rare-earth-magnet")</f>
        <v>https://edmondsonsupply.com/collections/hvac/products/klein-tools-935r-aluminum-torpedo-level-rare-earth-magnet</v>
      </c>
      <c r="B1541" s="3" t="str">
        <f>HYPERLINK("https://edmondsonsupply.com/products/klein-tools-935r-aluminum-torpedo-level-rare-earth-magnet", "https://edmondsonsupply.com/products/klein-tools-935r-aluminum-torpedo-level-rare-earth-magnet")</f>
        <v>https://edmondsonsupply.com/products/klein-tools-935r-aluminum-torpedo-level-rare-earth-magnet</v>
      </c>
      <c r="C1541" t="s">
        <v>3123</v>
      </c>
      <c r="D1541" t="s">
        <v>4143</v>
      </c>
      <c r="E1541" s="3" t="str">
        <f>HYPERLINK("https://www.amazon.com/Magnetic-Aluminum-Klein-Tools-935R/dp/B01M7SWA5B/ref=sr_1_1?keywords=Klein+Tools+935R+Aluminum+Torpedo+Level+Rare+Earth+Magnet%2C+9-Inch&amp;qid=1695173569&amp;sr=8-1", "https://www.amazon.com/Magnetic-Aluminum-Klein-Tools-935R/dp/B01M7SWA5B/ref=sr_1_1?keywords=Klein+Tools+935R+Aluminum+Torpedo+Level+Rare+Earth+Magnet%2C+9-Inch&amp;qid=1695173569&amp;sr=8-1")</f>
        <v>https://www.amazon.com/Magnetic-Aluminum-Klein-Tools-935R/dp/B01M7SWA5B/ref=sr_1_1?keywords=Klein+Tools+935R+Aluminum+Torpedo+Level+Rare+Earth+Magnet%2C+9-Inch&amp;qid=1695173569&amp;sr=8-1</v>
      </c>
      <c r="F1541" t="s">
        <v>4144</v>
      </c>
      <c r="G1541" t="e">
        <f ca="1">_xludf.IMAGE("https://edmondsonsupply.com/cdn/shop/products/935r_b.jpg?v=1658103129")</f>
        <v>#NAME?</v>
      </c>
      <c r="H1541" t="e">
        <f ca="1">_xludf.IMAGE("https://m.media-amazon.com/images/I/51BvZgLyLHL._AC_UL320_.jpg")</f>
        <v>#NAME?</v>
      </c>
      <c r="I1541" t="s">
        <v>577</v>
      </c>
      <c r="J1541">
        <v>21.99</v>
      </c>
      <c r="K1541" s="4">
        <v>0.10009999999999999</v>
      </c>
      <c r="L1541">
        <v>4.5</v>
      </c>
      <c r="M1541">
        <v>766</v>
      </c>
      <c r="O1541" t="s">
        <v>25</v>
      </c>
      <c r="P1541" t="s">
        <v>466</v>
      </c>
      <c r="Q1541" t="s">
        <v>3126</v>
      </c>
    </row>
    <row r="1542" spans="1:17" ht="15.5" x14ac:dyDescent="0.35">
      <c r="A1542" s="3" t="str">
        <f>HYPERLINK("https://edmondsonsupply.com/collections/hvac/products/wiha-tools-76889-32-piece-gobox-terminatorblue-impact-bit-set-with-mini-ratchet", "https://edmondsonsupply.com/collections/hvac/products/wiha-tools-76889-32-piece-gobox-terminatorblue-impact-bit-set-with-mini-ratchet")</f>
        <v>https://edmondsonsupply.com/collections/hvac/products/wiha-tools-76889-32-piece-gobox-terminatorblue-impact-bit-set-with-mini-ratchet</v>
      </c>
      <c r="B1542" s="3" t="str">
        <f>HYPERLINK("https://edmondsonsupply.com/products/wiha-tools-76889-32-piece-gobox-terminatorblue-impact-bit-set-with-mini-ratchet", "https://edmondsonsupply.com/products/wiha-tools-76889-32-piece-gobox-terminatorblue-impact-bit-set-with-mini-ratchet")</f>
        <v>https://edmondsonsupply.com/products/wiha-tools-76889-32-piece-gobox-terminatorblue-impact-bit-set-with-mini-ratchet</v>
      </c>
      <c r="C1542" t="s">
        <v>4145</v>
      </c>
      <c r="D1542" t="s">
        <v>4146</v>
      </c>
      <c r="E1542" s="3" t="str">
        <f>HYPERLINK("https://www.amazon.com/Wiha-Impact-Ratchet-Compact-Storage/dp/B07MVNQ2KZ/ref=sr_1_1?keywords=Wiha+Tools+76889+32+Piece+GoBox+TerminatorBlue+Impact+Bit+Set+with+Mini+Ratchet&amp;qid=1695173724&amp;sr=8-1", "https://www.amazon.com/Wiha-Impact-Ratchet-Compact-Storage/dp/B07MVNQ2KZ/ref=sr_1_1?keywords=Wiha+Tools+76889+32+Piece+GoBox+TerminatorBlue+Impact+Bit+Set+with+Mini+Ratchet&amp;qid=1695173724&amp;sr=8-1")</f>
        <v>https://www.amazon.com/Wiha-Impact-Ratchet-Compact-Storage/dp/B07MVNQ2KZ/ref=sr_1_1?keywords=Wiha+Tools+76889+32+Piece+GoBox+TerminatorBlue+Impact+Bit+Set+with+Mini+Ratchet&amp;qid=1695173724&amp;sr=8-1</v>
      </c>
      <c r="F1542" t="s">
        <v>4147</v>
      </c>
      <c r="G1542" t="e">
        <f ca="1">_xludf.IMAGE("https://edmondsonsupply.com/cdn/shop/files/hfx5og2ykdq224nkquvr_1000x_fdfee816-5508-46f3-892d-f4d0e2f2859c.webp?v=1690908048")</f>
        <v>#NAME?</v>
      </c>
      <c r="H1542" t="e">
        <f ca="1">_xludf.IMAGE("https://m.media-amazon.com/images/I/71x8KBiz5-L._AC_UL320_.jpg")</f>
        <v>#NAME?</v>
      </c>
      <c r="I1542" t="s">
        <v>26</v>
      </c>
      <c r="J1542">
        <v>32.979999999999997</v>
      </c>
      <c r="K1542" s="4">
        <v>9.9699999999999997E-2</v>
      </c>
      <c r="L1542">
        <v>4.8</v>
      </c>
      <c r="M1542">
        <v>345</v>
      </c>
      <c r="O1542" t="s">
        <v>25</v>
      </c>
      <c r="P1542" t="s">
        <v>4148</v>
      </c>
      <c r="Q1542" t="s">
        <v>4149</v>
      </c>
    </row>
    <row r="1543" spans="1:17" ht="15.5" x14ac:dyDescent="0.35">
      <c r="A1543" s="3" t="str">
        <f>HYPERLINK("https://edmondsonsupply.com/collections/hvac/products/yellow-jacket-25002-9-flexflow%E2%84%A2-1-4-adaper-hose-with-ball-valve-yellow", "https://edmondsonsupply.com/collections/hvac/products/yellow-jacket-25002-9-flexflow%E2%84%A2-1-4-adaper-hose-with-ball-valve-yellow")</f>
        <v>https://edmondsonsupply.com/collections/hvac/products/yellow-jacket-25002-9-flexflow%E2%84%A2-1-4-adaper-hose-with-ball-valve-yellow</v>
      </c>
      <c r="B1543" s="3" t="str">
        <f>HYPERLINK("https://edmondsonsupply.com/products/yellow-jacket-25002-9-flexflow%e2%84%a2-1-4-adaper-hose-with-ball-valve-yellow", "https://edmondsonsupply.com/products/yellow-jacket-25002-9-flexflow%e2%84%a2-1-4-adaper-hose-with-ball-valve-yellow")</f>
        <v>https://edmondsonsupply.com/products/yellow-jacket-25002-9-flexflow%e2%84%a2-1-4-adaper-hose-with-ball-valve-yellow</v>
      </c>
      <c r="C1543" t="s">
        <v>1677</v>
      </c>
      <c r="D1543" t="s">
        <v>4150</v>
      </c>
      <c r="E1543" s="3" t="str">
        <f>HYPERLINK("https://www.amazon.com/Yellow-Jacket-29465-Valve-R410A/dp/B009AXBTB2/ref=sr_1_9?keywords=Yellow+Jacket+25002+9%22+FLEXFLOW%E2%84%A2+1%2F4%22+Adaper+Hose+with+Ball+Valve+-+Yellow&amp;qid=1695173563&amp;sr=8-9", "https://www.amazon.com/Yellow-Jacket-29465-Valve-R410A/dp/B009AXBTB2/ref=sr_1_9?keywords=Yellow+Jacket+25002+9%22+FLEXFLOW%E2%84%A2+1%2F4%22+Adaper+Hose+with+Ball+Valve+-+Yellow&amp;qid=1695173563&amp;sr=8-9")</f>
        <v>https://www.amazon.com/Yellow-Jacket-29465-Valve-R410A/dp/B009AXBTB2/ref=sr_1_9?keywords=Yellow+Jacket+25002+9%22+FLEXFLOW%E2%84%A2+1%2F4%22+Adaper+Hose+with+Ball+Valve+-+Yellow&amp;qid=1695173563&amp;sr=8-9</v>
      </c>
      <c r="F1543" t="s">
        <v>4151</v>
      </c>
      <c r="G1543" t="e">
        <f ca="1">_xludf.IMAGE("https://edmondsonsupply.com/cdn/shop/products/Yellow_Jacket_25002.jpg?v=1587150917")</f>
        <v>#NAME?</v>
      </c>
      <c r="H1543" t="e">
        <f ca="1">_xludf.IMAGE("https://m.media-amazon.com/images/I/81USLbS1TPL._AC_UL320_.jpg")</f>
        <v>#NAME?</v>
      </c>
      <c r="I1543" t="s">
        <v>1680</v>
      </c>
      <c r="J1543">
        <v>39.08</v>
      </c>
      <c r="K1543" s="4">
        <v>9.9599999999999994E-2</v>
      </c>
      <c r="L1543">
        <v>5</v>
      </c>
      <c r="M1543">
        <v>2</v>
      </c>
      <c r="O1543" t="s">
        <v>25</v>
      </c>
      <c r="P1543" t="s">
        <v>138</v>
      </c>
      <c r="Q1543" t="s">
        <v>1681</v>
      </c>
    </row>
    <row r="1544" spans="1:17" ht="15.5" x14ac:dyDescent="0.35">
      <c r="A1544" s="3" t="str">
        <f>HYPERLINK("https://edmondsonsupply.com/collections/hvac/products/sensible-products-hrf-1-high-beam-rechargeable-flashlight-black", "https://edmondsonsupply.com/collections/hvac/products/sensible-products-hrf-1-high-beam-rechargeable-flashlight-black")</f>
        <v>https://edmondsonsupply.com/collections/hvac/products/sensible-products-hrf-1-high-beam-rechargeable-flashlight-black</v>
      </c>
      <c r="B1544" s="3" t="str">
        <f>HYPERLINK("https://edmondsonsupply.com/products/sensible-products-hrf-1-high-beam-rechargeable-flashlight-black", "https://edmondsonsupply.com/products/sensible-products-hrf-1-high-beam-rechargeable-flashlight-black")</f>
        <v>https://edmondsonsupply.com/products/sensible-products-hrf-1-high-beam-rechargeable-flashlight-black</v>
      </c>
      <c r="C1544" t="s">
        <v>3285</v>
      </c>
      <c r="D1544" t="s">
        <v>4152</v>
      </c>
      <c r="E1544" s="3" t="str">
        <f>HYPERLINK("https://www.amazon.com/Sold-Each-High-Beam-Rechargeable-Flashlight/dp/B07QV3HVKP/ref=sr_1_2?keywords=Sensible+Products+HRF-1+High-Beam+Rechargeable+Flashlight%2C+Black&amp;qid=1695173383&amp;sr=8-2", "https://www.amazon.com/Sold-Each-High-Beam-Rechargeable-Flashlight/dp/B07QV3HVKP/ref=sr_1_2?keywords=Sensible+Products+HRF-1+High-Beam+Rechargeable+Flashlight%2C+Black&amp;qid=1695173383&amp;sr=8-2")</f>
        <v>https://www.amazon.com/Sold-Each-High-Beam-Rechargeable-Flashlight/dp/B07QV3HVKP/ref=sr_1_2?keywords=Sensible+Products+HRF-1+High-Beam+Rechargeable+Flashlight%2C+Black&amp;qid=1695173383&amp;sr=8-2</v>
      </c>
      <c r="F1544" t="s">
        <v>4153</v>
      </c>
      <c r="G1544" t="e">
        <f ca="1">_xludf.IMAGE("https://edmondsonsupply.com/cdn/shop/products/HRF1BLACK-2.jpg?v=1587144533")</f>
        <v>#NAME?</v>
      </c>
      <c r="H1544" t="e">
        <f ca="1">_xludf.IMAGE("https://m.media-amazon.com/images/I/31tIPF-TUsL._AC_UL320_.jpg")</f>
        <v>#NAME?</v>
      </c>
      <c r="I1544" t="s">
        <v>3288</v>
      </c>
      <c r="J1544">
        <v>29.99</v>
      </c>
      <c r="K1544" s="4">
        <v>9.7299999999999998E-2</v>
      </c>
      <c r="L1544">
        <v>4</v>
      </c>
      <c r="M1544">
        <v>14</v>
      </c>
      <c r="O1544" t="s">
        <v>25</v>
      </c>
      <c r="P1544" t="s">
        <v>138</v>
      </c>
      <c r="Q1544" t="s">
        <v>3289</v>
      </c>
    </row>
    <row r="1545" spans="1:17" ht="15.5" x14ac:dyDescent="0.35">
      <c r="A1545" s="3" t="str">
        <f>HYPERLINK("https://edmondsonsupply.com/collections/hvac/products/sensible-products-hrf-1-high-beam-rechargeable-flashlight-silver", "https://edmondsonsupply.com/collections/hvac/products/sensible-products-hrf-1-high-beam-rechargeable-flashlight-silver")</f>
        <v>https://edmondsonsupply.com/collections/hvac/products/sensible-products-hrf-1-high-beam-rechargeable-flashlight-silver</v>
      </c>
      <c r="B1545" s="3" t="str">
        <f>HYPERLINK("https://edmondsonsupply.com/products/sensible-products-hrf-1-high-beam-rechargeable-flashlight-silver", "https://edmondsonsupply.com/products/sensible-products-hrf-1-high-beam-rechargeable-flashlight-silver")</f>
        <v>https://edmondsonsupply.com/products/sensible-products-hrf-1-high-beam-rechargeable-flashlight-silver</v>
      </c>
      <c r="C1545" t="s">
        <v>3290</v>
      </c>
      <c r="D1545" t="s">
        <v>4152</v>
      </c>
      <c r="E1545" s="3" t="str">
        <f>HYPERLINK("https://www.amazon.com/Sold-Each-High-Beam-Rechargeable-Flashlight/dp/B07QV3HVKP/ref=sr_1_1?keywords=Sensible+Products+HRF-1+High-Beam+Rechargeable+Flashlight%2C+Silver&amp;qid=1695173469&amp;sr=8-1", "https://www.amazon.com/Sold-Each-High-Beam-Rechargeable-Flashlight/dp/B07QV3HVKP/ref=sr_1_1?keywords=Sensible+Products+HRF-1+High-Beam+Rechargeable+Flashlight%2C+Silver&amp;qid=1695173469&amp;sr=8-1")</f>
        <v>https://www.amazon.com/Sold-Each-High-Beam-Rechargeable-Flashlight/dp/B07QV3HVKP/ref=sr_1_1?keywords=Sensible+Products+HRF-1+High-Beam+Rechargeable+Flashlight%2C+Silver&amp;qid=1695173469&amp;sr=8-1</v>
      </c>
      <c r="F1545" t="s">
        <v>4153</v>
      </c>
      <c r="G1545" t="e">
        <f ca="1">_xludf.IMAGE("https://edmondsonsupply.com/cdn/shop/products/HRF1SILVER-2.jpg?v=1587142434")</f>
        <v>#NAME?</v>
      </c>
      <c r="H1545" t="e">
        <f ca="1">_xludf.IMAGE("https://m.media-amazon.com/images/I/31tIPF-TUsL._AC_UL320_.jpg")</f>
        <v>#NAME?</v>
      </c>
      <c r="I1545" t="s">
        <v>3288</v>
      </c>
      <c r="J1545">
        <v>29.99</v>
      </c>
      <c r="K1545" s="4">
        <v>9.7299999999999998E-2</v>
      </c>
      <c r="L1545">
        <v>4</v>
      </c>
      <c r="M1545">
        <v>14</v>
      </c>
      <c r="O1545" t="s">
        <v>25</v>
      </c>
      <c r="P1545" t="s">
        <v>138</v>
      </c>
      <c r="Q1545" t="s">
        <v>3291</v>
      </c>
    </row>
    <row r="1546" spans="1:17" ht="15.5" x14ac:dyDescent="0.35">
      <c r="A1546" s="3" t="str">
        <f>HYPERLINK("https://edmondsonsupply.com/collections/hvac/products/icm-controls-icm450-3-phase-line-voltage-monitor", "https://edmondsonsupply.com/collections/hvac/products/icm-controls-icm450-3-phase-line-voltage-monitor")</f>
        <v>https://edmondsonsupply.com/collections/hvac/products/icm-controls-icm450-3-phase-line-voltage-monitor</v>
      </c>
      <c r="B1546" s="3" t="str">
        <f>HYPERLINK("https://edmondsonsupply.com/products/icm-controls-icm450-3-phase-line-voltage-monitor", "https://edmondsonsupply.com/products/icm-controls-icm450-3-phase-line-voltage-monitor")</f>
        <v>https://edmondsonsupply.com/products/icm-controls-icm450-3-phase-line-voltage-monitor</v>
      </c>
      <c r="C1546" t="s">
        <v>4154</v>
      </c>
      <c r="D1546" t="s">
        <v>1651</v>
      </c>
      <c r="E1546" s="3" t="str">
        <f>HYPERLINK("https://www.amazon.com/ICM-Controls-Three-Phase-Protection-Unbalance/dp/B00DGB4PQU/ref=sr_1_2?keywords=ICM+Controls+ICM450A+3+Phase+Line+Voltage+Monitor&amp;qid=1695173452&amp;sr=8-2", "https://www.amazon.com/ICM-Controls-Three-Phase-Protection-Unbalance/dp/B00DGB4PQU/ref=sr_1_2?keywords=ICM+Controls+ICM450A+3+Phase+Line+Voltage+Monitor&amp;qid=1695173452&amp;sr=8-2")</f>
        <v>https://www.amazon.com/ICM-Controls-Three-Phase-Protection-Unbalance/dp/B00DGB4PQU/ref=sr_1_2?keywords=ICM+Controls+ICM450A+3+Phase+Line+Voltage+Monitor&amp;qid=1695173452&amp;sr=8-2</v>
      </c>
      <c r="F1546" t="s">
        <v>1652</v>
      </c>
      <c r="G1546" t="e">
        <f ca="1">_xludf.IMAGE("https://edmondsonsupply.com/cdn/shop/products/450A.png?v=1666732398")</f>
        <v>#NAME?</v>
      </c>
      <c r="H1546" t="e">
        <f ca="1">_xludf.IMAGE("https://m.media-amazon.com/images/I/61og6zGDF+L._AC_UL320_.jpg")</f>
        <v>#NAME?</v>
      </c>
      <c r="I1546" t="s">
        <v>4155</v>
      </c>
      <c r="J1546">
        <v>164.38</v>
      </c>
      <c r="K1546" s="4">
        <v>9.5899999999999999E-2</v>
      </c>
      <c r="L1546">
        <v>5</v>
      </c>
      <c r="M1546">
        <v>2</v>
      </c>
      <c r="O1546" t="s">
        <v>25</v>
      </c>
      <c r="P1546" t="s">
        <v>4156</v>
      </c>
      <c r="Q1546" t="s">
        <v>4157</v>
      </c>
    </row>
    <row r="1547" spans="1:17" ht="15.5" x14ac:dyDescent="0.35">
      <c r="A1547" s="3" t="str">
        <f>HYPERLINK("https://edmondsonsupply.com/collections/hvac/products/midwest-mwt-ss6716r-special-hardness-aviation-snip-right-cutting", "https://edmondsonsupply.com/collections/hvac/products/midwest-mwt-ss6716r-special-hardness-aviation-snip-right-cutting")</f>
        <v>https://edmondsonsupply.com/collections/hvac/products/midwest-mwt-ss6716r-special-hardness-aviation-snip-right-cutting</v>
      </c>
      <c r="B1547" s="3" t="str">
        <f>HYPERLINK("https://edmondsonsupply.com/products/midwest-mwt-ss6716r-special-hardness-aviation-snip-right-cutting", "https://edmondsonsupply.com/products/midwest-mwt-ss6716r-special-hardness-aviation-snip-right-cutting")</f>
        <v>https://edmondsonsupply.com/products/midwest-mwt-ss6716r-special-hardness-aviation-snip-right-cutting</v>
      </c>
      <c r="C1547" t="s">
        <v>1768</v>
      </c>
      <c r="D1547" t="s">
        <v>4158</v>
      </c>
      <c r="E1547" s="3" t="str">
        <f>HYPERLINK("https://www.amazon.com/MIDWEST-Aviation-Snip-KUSHN-POWER-MWT-6716R/dp/B00OCGQJL2/ref=sr_1_4?keywords=Midwest+MWT-SS6716R+Special+Hardness+Aviation+Snip+-+Right-Cutting&amp;qid=1695173444&amp;sr=8-4", "https://www.amazon.com/MIDWEST-Aviation-Snip-KUSHN-POWER-MWT-6716R/dp/B00OCGQJL2/ref=sr_1_4?keywords=Midwest+MWT-SS6716R+Special+Hardness+Aviation+Snip+-+Right-Cutting&amp;qid=1695173444&amp;sr=8-4")</f>
        <v>https://www.amazon.com/MIDWEST-Aviation-Snip-KUSHN-POWER-MWT-6716R/dp/B00OCGQJL2/ref=sr_1_4?keywords=Midwest+MWT-SS6716R+Special+Hardness+Aviation+Snip+-+Right-Cutting&amp;qid=1695173444&amp;sr=8-4</v>
      </c>
      <c r="F1547" t="s">
        <v>4159</v>
      </c>
      <c r="G1547" t="e">
        <f ca="1">_xludf.IMAGE("https://edmondsonsupply.com/cdn/shop/products/MWT-SS6716R1.jpg?v=1587146219")</f>
        <v>#NAME?</v>
      </c>
      <c r="H1547" t="e">
        <f ca="1">_xludf.IMAGE("https://m.media-amazon.com/images/I/71E3s-FagnL._AC_UL320_.jpg")</f>
        <v>#NAME?</v>
      </c>
      <c r="I1547" t="s">
        <v>1769</v>
      </c>
      <c r="J1547">
        <v>26.99</v>
      </c>
      <c r="K1547" s="4">
        <v>9.4500000000000001E-2</v>
      </c>
      <c r="L1547">
        <v>4.4000000000000004</v>
      </c>
      <c r="M1547">
        <v>575</v>
      </c>
      <c r="O1547" t="s">
        <v>25</v>
      </c>
      <c r="P1547" t="s">
        <v>1770</v>
      </c>
      <c r="Q1547" t="s">
        <v>1771</v>
      </c>
    </row>
    <row r="1548" spans="1:17" ht="15.5" x14ac:dyDescent="0.35">
      <c r="A1548" s="3" t="str">
        <f>HYPERLINK("https://edmondsonsupply.com/collections/hvac/products/icm-controls-icm2805a-furnace-control-board-replacement-for-nordyne", "https://edmondsonsupply.com/collections/hvac/products/icm-controls-icm2805a-furnace-control-board-replacement-for-nordyne")</f>
        <v>https://edmondsonsupply.com/collections/hvac/products/icm-controls-icm2805a-furnace-control-board-replacement-for-nordyne</v>
      </c>
      <c r="B1548" s="3" t="str">
        <f>HYPERLINK("https://edmondsonsupply.com/products/icm-controls-icm2805a-furnace-control-board-replacement-for-nordyne", "https://edmondsonsupply.com/products/icm-controls-icm2805a-furnace-control-board-replacement-for-nordyne")</f>
        <v>https://edmondsonsupply.com/products/icm-controls-icm2805a-furnace-control-board-replacement-for-nordyne</v>
      </c>
      <c r="C1548" t="s">
        <v>2813</v>
      </c>
      <c r="D1548" t="s">
        <v>4160</v>
      </c>
      <c r="E1548" s="3" t="str">
        <f>HYPERLINK("https://www.amazon.com/ICM-Controls-ICM2805A-Furnace-Replacement/dp/B006M7E8QW/ref=sr_1_1?keywords=ICM+Controls+ICM2805A+Furnace+Control+Board+-+Replacement+for+Nordyne&amp;qid=1695173420&amp;sr=8-1", "https://www.amazon.com/ICM-Controls-ICM2805A-Furnace-Replacement/dp/B006M7E8QW/ref=sr_1_1?keywords=ICM+Controls+ICM2805A+Furnace+Control+Board+-+Replacement+for+Nordyne&amp;qid=1695173420&amp;sr=8-1")</f>
        <v>https://www.amazon.com/ICM-Controls-ICM2805A-Furnace-Replacement/dp/B006M7E8QW/ref=sr_1_1?keywords=ICM+Controls+ICM2805A+Furnace+Control+Board+-+Replacement+for+Nordyne&amp;qid=1695173420&amp;sr=8-1</v>
      </c>
      <c r="F1548" t="s">
        <v>4161</v>
      </c>
      <c r="G1548" t="e">
        <f ca="1">_xludf.IMAGE("https://edmondsonsupply.com/cdn/shop/products/57_3_42a53dd2-02e8-4469-bc0c-0265897201e7.jpg?v=1633031145")</f>
        <v>#NAME?</v>
      </c>
      <c r="H1548" t="e">
        <f ca="1">_xludf.IMAGE("https://m.media-amazon.com/images/I/715AvGgYR1L._AC_UL320_.jpg")</f>
        <v>#NAME?</v>
      </c>
      <c r="I1548" t="s">
        <v>2816</v>
      </c>
      <c r="J1548">
        <v>127.51</v>
      </c>
      <c r="K1548" s="4">
        <v>9.3700000000000006E-2</v>
      </c>
      <c r="L1548">
        <v>4.5</v>
      </c>
      <c r="M1548">
        <v>215</v>
      </c>
      <c r="O1548" t="s">
        <v>25</v>
      </c>
      <c r="P1548" t="s">
        <v>2817</v>
      </c>
      <c r="Q1548" t="s">
        <v>2818</v>
      </c>
    </row>
    <row r="1549" spans="1:17" ht="15.5" x14ac:dyDescent="0.35">
      <c r="A1549" s="3" t="str">
        <f>HYPERLINK("https://edmondsonsupply.com/collections/hvac/products/uniweld-utc702-premium-tubing-cutter", "https://edmondsonsupply.com/collections/hvac/products/uniweld-utc702-premium-tubing-cutter")</f>
        <v>https://edmondsonsupply.com/collections/hvac/products/uniweld-utc702-premium-tubing-cutter</v>
      </c>
      <c r="B1549" s="3" t="str">
        <f>HYPERLINK("https://edmondsonsupply.com/products/uniweld-utc702-premium-tubing-cutter", "https://edmondsonsupply.com/products/uniweld-utc702-premium-tubing-cutter")</f>
        <v>https://edmondsonsupply.com/products/uniweld-utc702-premium-tubing-cutter</v>
      </c>
      <c r="C1549" t="s">
        <v>2792</v>
      </c>
      <c r="D1549" t="s">
        <v>4162</v>
      </c>
      <c r="E1549" s="3" t="str">
        <f>HYPERLINK("https://www.amazon.com/Uniweld-UTC702-Premium-Tubing-Aluminum/dp/B00HNQRKGG/ref=sr_1_1?keywords=Uniweld+UTC702+1%2F8%E2%80%B3+to+1-1%2F8%E2%80%B3+Premium+Tubing+Cutter&amp;qid=1695173635&amp;sr=8-1", "https://www.amazon.com/Uniweld-UTC702-Premium-Tubing-Aluminum/dp/B00HNQRKGG/ref=sr_1_1?keywords=Uniweld+UTC702+1%2F8%E2%80%B3+to+1-1%2F8%E2%80%B3+Premium+Tubing+Cutter&amp;qid=1695173635&amp;sr=8-1")</f>
        <v>https://www.amazon.com/Uniweld-UTC702-Premium-Tubing-Aluminum/dp/B00HNQRKGG/ref=sr_1_1?keywords=Uniweld+UTC702+1%2F8%E2%80%B3+to+1-1%2F8%E2%80%B3+Premium+Tubing+Cutter&amp;qid=1695173635&amp;sr=8-1</v>
      </c>
      <c r="F1549" t="s">
        <v>4163</v>
      </c>
      <c r="G1549" t="e">
        <f ca="1">_xludf.IMAGE("https://edmondsonsupply.com/cdn/shop/products/utc702-front.jpg?v=1656354409")</f>
        <v>#NAME?</v>
      </c>
      <c r="H1549" t="e">
        <f ca="1">_xludf.IMAGE("https://m.media-amazon.com/images/I/61fYazQJiCL._AC_UL320_.jpg")</f>
        <v>#NAME?</v>
      </c>
      <c r="I1549" t="s">
        <v>2795</v>
      </c>
      <c r="J1549">
        <v>26.89</v>
      </c>
      <c r="K1549" s="4">
        <v>9.35E-2</v>
      </c>
      <c r="L1549">
        <v>2.7</v>
      </c>
      <c r="M1549">
        <v>5</v>
      </c>
      <c r="O1549" t="s">
        <v>25</v>
      </c>
      <c r="P1549" t="s">
        <v>2796</v>
      </c>
      <c r="Q1549" t="s">
        <v>2797</v>
      </c>
    </row>
    <row r="1550" spans="1:17" ht="15.5" x14ac:dyDescent="0.35">
      <c r="A1550" s="3" t="str">
        <f>HYPERLINK("https://edmondsonsupply.com/collections/hvac/products/nu-calgon-4774-0-coil-gun", "https://edmondsonsupply.com/collections/hvac/products/nu-calgon-4774-0-coil-gun")</f>
        <v>https://edmondsonsupply.com/collections/hvac/products/nu-calgon-4774-0-coil-gun</v>
      </c>
      <c r="B1550" s="3" t="str">
        <f>HYPERLINK("https://edmondsonsupply.com/products/nu-calgon-4774-0-coil-gun", "https://edmondsonsupply.com/products/nu-calgon-4774-0-coil-gun")</f>
        <v>https://edmondsonsupply.com/products/nu-calgon-4774-0-coil-gun</v>
      </c>
      <c r="C1550" t="s">
        <v>3965</v>
      </c>
      <c r="D1550" t="s">
        <v>4164</v>
      </c>
      <c r="E1550" s="3" t="str">
        <f>HYPERLINK("https://www.amazon.com/Nu-Calgon-4774-0-Sprayer-Nozzle-SX-0470877/dp/B000R81VMG/ref=sr_1_1?keywords=Nu-Calgon+4774-0+Coil+Gun&amp;qid=1695173335&amp;sr=8-1", "https://www.amazon.com/Nu-Calgon-4774-0-Sprayer-Nozzle-SX-0470877/dp/B000R81VMG/ref=sr_1_1?keywords=Nu-Calgon+4774-0+Coil+Gun&amp;qid=1695173335&amp;sr=8-1")</f>
        <v>https://www.amazon.com/Nu-Calgon-4774-0-Sprayer-Nozzle-SX-0470877/dp/B000R81VMG/ref=sr_1_1?keywords=Nu-Calgon+4774-0+Coil+Gun&amp;qid=1695173335&amp;sr=8-1</v>
      </c>
      <c r="F1550" t="s">
        <v>4165</v>
      </c>
      <c r="G1550" t="e">
        <f ca="1">_xludf.IMAGE("https://edmondsonsupply.com/cdn/shop/products/4774-0.jpg?v=1660159773")</f>
        <v>#NAME?</v>
      </c>
      <c r="H1550" t="e">
        <f ca="1">_xludf.IMAGE("https://m.media-amazon.com/images/I/81ywNYt43kL._AC_UL320_.jpg")</f>
        <v>#NAME?</v>
      </c>
      <c r="I1550" t="s">
        <v>3968</v>
      </c>
      <c r="J1550">
        <v>96.11</v>
      </c>
      <c r="K1550" s="4">
        <v>9.2299999999999993E-2</v>
      </c>
      <c r="L1550">
        <v>4.7</v>
      </c>
      <c r="M1550">
        <v>269</v>
      </c>
      <c r="O1550" t="s">
        <v>25</v>
      </c>
      <c r="P1550" t="s">
        <v>3969</v>
      </c>
      <c r="Q1550" t="s">
        <v>3970</v>
      </c>
    </row>
    <row r="1551" spans="1:17" ht="15.5" x14ac:dyDescent="0.35">
      <c r="A1551"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551" s="3" t="str">
        <f>HYPERLINK("https://edmondsonsupply.com/products/klein-tools-11053-klein-kurve%c2%ae-wire-stripper-cutter", "https://edmondsonsupply.com/products/klein-tools-11053-klein-kurve%c2%ae-wire-stripper-cutter")</f>
        <v>https://edmondsonsupply.com/products/klein-tools-11053-klein-kurve%c2%ae-wire-stripper-cutter</v>
      </c>
      <c r="C1551" t="s">
        <v>2285</v>
      </c>
      <c r="D1551" t="s">
        <v>4166</v>
      </c>
      <c r="E1551" s="3" t="str">
        <f>HYPERLINK("https://www.amazon.com/Klein-Tools-1010-Crimper-Stripper/dp/B0000302WX/ref=sr_1_4?keywords=Klein+Tools+11053+Klein-Kurve%C2%AE+Wire+Stripper%2FCutter&amp;qid=1695173476&amp;sr=8-4", "https://www.amazon.com/Klein-Tools-1010-Crimper-Stripper/dp/B0000302WX/ref=sr_1_4?keywords=Klein+Tools+11053+Klein-Kurve%C2%AE+Wire+Stripper%2FCutter&amp;qid=1695173476&amp;sr=8-4")</f>
        <v>https://www.amazon.com/Klein-Tools-1010-Crimper-Stripper/dp/B0000302WX/ref=sr_1_4?keywords=Klein+Tools+11053+Klein-Kurve%C2%AE+Wire+Stripper%2FCutter&amp;qid=1695173476&amp;sr=8-4</v>
      </c>
      <c r="F1551" t="s">
        <v>4167</v>
      </c>
      <c r="G1551" t="e">
        <f ca="1">_xludf.IMAGE("https://edmondsonsupply.com/cdn/shop/products/11053.jpg?v=1633030511")</f>
        <v>#NAME?</v>
      </c>
      <c r="H1551" t="e">
        <f ca="1">_xludf.IMAGE("https://m.media-amazon.com/images/I/51hS7c2qzvL._AC_UL320_.jpg")</f>
        <v>#NAME?</v>
      </c>
      <c r="I1551" t="s">
        <v>2288</v>
      </c>
      <c r="J1551">
        <v>22.9</v>
      </c>
      <c r="K1551" s="4">
        <v>9.1999999999999998E-2</v>
      </c>
      <c r="L1551">
        <v>4.8</v>
      </c>
      <c r="M1551">
        <v>1507</v>
      </c>
      <c r="O1551" t="s">
        <v>25</v>
      </c>
      <c r="P1551" t="s">
        <v>2289</v>
      </c>
      <c r="Q1551" t="s">
        <v>2290</v>
      </c>
    </row>
    <row r="1552" spans="1:17" ht="15.5" x14ac:dyDescent="0.35">
      <c r="A1552" s="3" t="str">
        <f>HYPERLINK("https://edmondsonsupply.com/collections/hvac/products/diversitech-sg-1-20g-swoosh-drain-gun-big-shot", "https://edmondsonsupply.com/collections/hvac/products/diversitech-sg-1-20g-swoosh-drain-gun-big-shot")</f>
        <v>https://edmondsonsupply.com/collections/hvac/products/diversitech-sg-1-20g-swoosh-drain-gun-big-shot</v>
      </c>
      <c r="B1552" s="3" t="str">
        <f>HYPERLINK("https://edmondsonsupply.com/products/diversitech-sg-1-20g-swoosh-drain-gun-big-shot", "https://edmondsonsupply.com/products/diversitech-sg-1-20g-swoosh-drain-gun-big-shot")</f>
        <v>https://edmondsonsupply.com/products/diversitech-sg-1-20g-swoosh-drain-gun-big-shot</v>
      </c>
      <c r="C1552" t="s">
        <v>4168</v>
      </c>
      <c r="D1552" t="s">
        <v>4169</v>
      </c>
      <c r="E1552" s="3" t="str">
        <f>HYPERLINK("https://www.amazon.com/Diversitech-SG-1-SWOOSH-Drain-Shot/dp/B08B1S9X59/ref=sr_1_1?keywords=DiversiTech+SG-1+20G+SWOOSH+Drain+Gun+Big+Shot&amp;qid=1695173385&amp;sr=8-1", "https://www.amazon.com/Diversitech-SG-1-SWOOSH-Drain-Shot/dp/B08B1S9X59/ref=sr_1_1?keywords=DiversiTech+SG-1+20G+SWOOSH+Drain+Gun+Big+Shot&amp;qid=1695173385&amp;sr=8-1")</f>
        <v>https://www.amazon.com/Diversitech-SG-1-SWOOSH-Drain-Shot/dp/B08B1S9X59/ref=sr_1_1?keywords=DiversiTech+SG-1+20G+SWOOSH+Drain+Gun+Big+Shot&amp;qid=1695173385&amp;sr=8-1</v>
      </c>
      <c r="F1552" t="s">
        <v>4170</v>
      </c>
      <c r="G1552" t="e">
        <f ca="1">_xludf.IMAGE("https://edmondsonsupply.com/cdn/shop/products/SG-1.jpg?v=1633030338")</f>
        <v>#NAME?</v>
      </c>
      <c r="H1552" t="e">
        <f ca="1">_xludf.IMAGE("https://m.media-amazon.com/images/I/71vtRHtkxcL._AC_UL320_.jpg")</f>
        <v>#NAME?</v>
      </c>
      <c r="I1552" t="s">
        <v>4171</v>
      </c>
      <c r="J1552">
        <v>38.99</v>
      </c>
      <c r="K1552" s="4">
        <v>8.7300000000000003E-2</v>
      </c>
      <c r="L1552">
        <v>4</v>
      </c>
      <c r="M1552">
        <v>126</v>
      </c>
      <c r="O1552" t="s">
        <v>25</v>
      </c>
      <c r="P1552" t="s">
        <v>4172</v>
      </c>
      <c r="Q1552" t="s">
        <v>4173</v>
      </c>
    </row>
    <row r="1553" spans="1:17" ht="15.5" x14ac:dyDescent="0.35">
      <c r="A1553" s="3" t="str">
        <f>HYPERLINK("https://edmondsonsupply.com/collections/hvac/products/hilmor-1926598-cbkrb-compact-bender-kit-with-reverse-bending-attachment", "https://edmondsonsupply.com/collections/hvac/products/hilmor-1926598-cbkrb-compact-bender-kit-with-reverse-bending-attachment")</f>
        <v>https://edmondsonsupply.com/collections/hvac/products/hilmor-1926598-cbkrb-compact-bender-kit-with-reverse-bending-attachment</v>
      </c>
      <c r="B1553" s="3" t="str">
        <f>HYPERLINK("https://edmondsonsupply.com/products/hilmor-1926598-cbkrb-compact-bender-kit-with-reverse-bending-attachment", "https://edmondsonsupply.com/products/hilmor-1926598-cbkrb-compact-bender-kit-with-reverse-bending-attachment")</f>
        <v>https://edmondsonsupply.com/products/hilmor-1926598-cbkrb-compact-bender-kit-with-reverse-bending-attachment</v>
      </c>
      <c r="C1553" t="s">
        <v>4111</v>
      </c>
      <c r="D1553" t="s">
        <v>3148</v>
      </c>
      <c r="E1553" s="3" t="str">
        <f>HYPERLINK("https://www.amazon.com/hilmor-Compact-Reverse-Bending-Attachment/dp/B0BQ5F2JVJ/ref=sr_1_2?keywords=Hilmor+1926598+CBKRB+Compact+Bender+Kit+with+Reverse+Bending+Attachment&amp;qid=1695173331&amp;sr=8-2", "https://www.amazon.com/hilmor-Compact-Reverse-Bending-Attachment/dp/B0BQ5F2JVJ/ref=sr_1_2?keywords=Hilmor+1926598+CBKRB+Compact+Bender+Kit+with+Reverse+Bending+Attachment&amp;qid=1695173331&amp;sr=8-2")</f>
        <v>https://www.amazon.com/hilmor-Compact-Reverse-Bending-Attachment/dp/B0BQ5F2JVJ/ref=sr_1_2?keywords=Hilmor+1926598+CBKRB+Compact+Bender+Kit+with+Reverse+Bending+Attachment&amp;qid=1695173331&amp;sr=8-2</v>
      </c>
      <c r="F1553" t="s">
        <v>3149</v>
      </c>
      <c r="G1553" t="e">
        <f ca="1">_xludf.IMAGE("https://edmondsonsupply.com/cdn/shop/products/57_4722856f-2f25-4fd0-bfb9-375a4a8cbf3a.jpg?v=1633030018")</f>
        <v>#NAME?</v>
      </c>
      <c r="H1553" t="e">
        <f ca="1">_xludf.IMAGE("https://m.media-amazon.com/images/I/51hyNMjbjEL._AC_UL320_.jpg")</f>
        <v>#NAME?</v>
      </c>
      <c r="I1553" t="s">
        <v>4114</v>
      </c>
      <c r="J1553">
        <v>286.99</v>
      </c>
      <c r="K1553" s="4">
        <v>8.6999999999999994E-2</v>
      </c>
      <c r="L1553">
        <v>5</v>
      </c>
      <c r="M1553">
        <v>1</v>
      </c>
      <c r="O1553" t="s">
        <v>25</v>
      </c>
      <c r="P1553" t="s">
        <v>4115</v>
      </c>
      <c r="Q1553" t="s">
        <v>4116</v>
      </c>
    </row>
    <row r="1554" spans="1:17" ht="15.5" x14ac:dyDescent="0.35">
      <c r="A1554" s="3" t="str">
        <f>HYPERLINK("https://edmondsonsupply.com/collections/hvac/products/rack-a-tiers-43095-electricians-grande-butt-pouch", "https://edmondsonsupply.com/collections/hvac/products/rack-a-tiers-43095-electricians-grande-butt-pouch")</f>
        <v>https://edmondsonsupply.com/collections/hvac/products/rack-a-tiers-43095-electricians-grande-butt-pouch</v>
      </c>
      <c r="B1554" s="3" t="str">
        <f>HYPERLINK("https://edmondsonsupply.com/products/rack-a-tiers-43095-electricians-grande-butt-pouch", "https://edmondsonsupply.com/products/rack-a-tiers-43095-electricians-grande-butt-pouch")</f>
        <v>https://edmondsonsupply.com/products/rack-a-tiers-43095-electricians-grande-butt-pouch</v>
      </c>
      <c r="C1554" t="s">
        <v>3598</v>
      </c>
      <c r="D1554" t="s">
        <v>4174</v>
      </c>
      <c r="E1554" s="3" t="str">
        <f>HYPERLINK("https://www.amazon.com/Rack-Tiers-43095-Pocket-Holder/dp/B079DWYQQF/ref=sr_1_1?keywords=Rack-A-Tiers+43095+Electricians+Grande+Butt+Pouch&amp;qid=1695173637&amp;sr=8-1", "https://www.amazon.com/Rack-Tiers-43095-Pocket-Holder/dp/B079DWYQQF/ref=sr_1_1?keywords=Rack-A-Tiers+43095+Electricians+Grande+Butt+Pouch&amp;qid=1695173637&amp;sr=8-1")</f>
        <v>https://www.amazon.com/Rack-Tiers-43095-Pocket-Holder/dp/B079DWYQQF/ref=sr_1_1?keywords=Rack-A-Tiers+43095+Electricians+Grande+Butt+Pouch&amp;qid=1695173637&amp;sr=8-1</v>
      </c>
      <c r="F1554" t="s">
        <v>4175</v>
      </c>
      <c r="G1554" t="e">
        <f ca="1">_xludf.IMAGE("https://edmondsonsupply.com/cdn/shop/products/43095-Grande-Butt-Pouch-1-1-1-1-1-300x300.png?v=1633030598")</f>
        <v>#NAME?</v>
      </c>
      <c r="H1554" t="e">
        <f ca="1">_xludf.IMAGE("https://m.media-amazon.com/images/I/51y+Jt8bC5L._AC_UL320_.jpg")</f>
        <v>#NAME?</v>
      </c>
      <c r="I1554" t="s">
        <v>3601</v>
      </c>
      <c r="J1554">
        <v>31.99</v>
      </c>
      <c r="K1554" s="4">
        <v>8.48E-2</v>
      </c>
      <c r="L1554">
        <v>5</v>
      </c>
      <c r="M1554">
        <v>1</v>
      </c>
      <c r="O1554" t="s">
        <v>25</v>
      </c>
      <c r="P1554" t="s">
        <v>3602</v>
      </c>
      <c r="Q1554" t="s">
        <v>3603</v>
      </c>
    </row>
    <row r="1555" spans="1:17" ht="15.5" x14ac:dyDescent="0.35">
      <c r="A1555" s="3" t="str">
        <f>HYPERLINK("https://edmondsonsupply.com/collections/hvac/products/milwaukee-48-22-1540-fastback%E2%84%A2-5-in-1-folding-knife", "https://edmondsonsupply.com/collections/hvac/products/milwaukee-48-22-1540-fastback%E2%84%A2-5-in-1-folding-knife")</f>
        <v>https://edmondsonsupply.com/collections/hvac/products/milwaukee-48-22-1540-fastback%E2%84%A2-5-in-1-folding-knife</v>
      </c>
      <c r="B1555" s="3" t="str">
        <f>HYPERLINK("https://edmondsonsupply.com/products/milwaukee-48-22-1540-fastback%e2%84%a2-5-in-1-folding-knife", "https://edmondsonsupply.com/products/milwaukee-48-22-1540-fastback%e2%84%a2-5-in-1-folding-knife")</f>
        <v>https://edmondsonsupply.com/products/milwaukee-48-22-1540-fastback%e2%84%a2-5-in-1-folding-knife</v>
      </c>
      <c r="C1555" t="s">
        <v>2507</v>
      </c>
      <c r="D1555" t="s">
        <v>1942</v>
      </c>
      <c r="E1555" s="3" t="str">
        <f>HYPERLINK("https://www.amazon.com/Milwaukee-48-22-1505-FastbackTM-Folding-Utility/dp/B0C69TGH9K/ref=sr_1_3?keywords=Milwaukee+48-22-1540+FASTBACK%E2%84%A2+5-in-1+Folding+Knife&amp;qid=1695173436&amp;sr=8-3", "https://www.amazon.com/Milwaukee-48-22-1505-FastbackTM-Folding-Utility/dp/B0C69TGH9K/ref=sr_1_3?keywords=Milwaukee+48-22-1540+FASTBACK%E2%84%A2+5-in-1+Folding+Knife&amp;qid=1695173436&amp;sr=8-3")</f>
        <v>https://www.amazon.com/Milwaukee-48-22-1505-FastbackTM-Folding-Utility/dp/B0C69TGH9K/ref=sr_1_3?keywords=Milwaukee+48-22-1540+FASTBACK%E2%84%A2+5-in-1+Folding+Knife&amp;qid=1695173436&amp;sr=8-3</v>
      </c>
      <c r="F1555" t="s">
        <v>1943</v>
      </c>
      <c r="G1555" t="e">
        <f ca="1">_xludf.IMAGE("https://edmondsonsupply.com/cdn/shop/products/48-22-1540_1.png?v=1587142762")</f>
        <v>#NAME?</v>
      </c>
      <c r="H1555" t="e">
        <f ca="1">_xludf.IMAGE("https://m.media-amazon.com/images/I/41ZUsUsHByL._AC_UL320_.jpg")</f>
        <v>#NAME?</v>
      </c>
      <c r="I1555" t="s">
        <v>2510</v>
      </c>
      <c r="J1555">
        <v>26</v>
      </c>
      <c r="K1555" s="4">
        <v>8.4699999999999998E-2</v>
      </c>
      <c r="L1555">
        <v>4.7</v>
      </c>
      <c r="M1555">
        <v>4</v>
      </c>
      <c r="O1555" t="s">
        <v>25</v>
      </c>
      <c r="P1555" t="s">
        <v>2511</v>
      </c>
      <c r="Q1555" t="s">
        <v>2512</v>
      </c>
    </row>
    <row r="1556" spans="1:17" ht="15.5" x14ac:dyDescent="0.35">
      <c r="A1556" s="3" t="str">
        <f>HYPERLINK("https://edmondsonsupply.com/collections/hvac/products/midwest-mwt-6510r-right-offset-aviation-snip", "https://edmondsonsupply.com/collections/hvac/products/midwest-mwt-6510r-right-offset-aviation-snip")</f>
        <v>https://edmondsonsupply.com/collections/hvac/products/midwest-mwt-6510r-right-offset-aviation-snip</v>
      </c>
      <c r="B1556" s="3" t="str">
        <f>HYPERLINK("https://edmondsonsupply.com/products/midwest-mwt-6510r-right-offset-aviation-snip", "https://edmondsonsupply.com/products/midwest-mwt-6510r-right-offset-aviation-snip")</f>
        <v>https://edmondsonsupply.com/products/midwest-mwt-6510r-right-offset-aviation-snip</v>
      </c>
      <c r="C1556" t="s">
        <v>1776</v>
      </c>
      <c r="D1556" t="s">
        <v>4158</v>
      </c>
      <c r="E1556" s="3" t="str">
        <f>HYPERLINK("https://www.amazon.com/MIDWEST-Aviation-Snip-KUSHN-POWER-MWT-6716R/dp/B00OCGQJL2/ref=sr_1_9?keywords=Midwest+MWT-6510R+Right+Offset+Aviation+Snip&amp;qid=1695173557&amp;sr=8-9", "https://www.amazon.com/MIDWEST-Aviation-Snip-KUSHN-POWER-MWT-6716R/dp/B00OCGQJL2/ref=sr_1_9?keywords=Midwest+MWT-6510R+Right+Offset+Aviation+Snip&amp;qid=1695173557&amp;sr=8-9")</f>
        <v>https://www.amazon.com/MIDWEST-Aviation-Snip-KUSHN-POWER-MWT-6716R/dp/B00OCGQJL2/ref=sr_1_9?keywords=Midwest+MWT-6510R+Right+Offset+Aviation+Snip&amp;qid=1695173557&amp;sr=8-9</v>
      </c>
      <c r="F1556" t="s">
        <v>4159</v>
      </c>
      <c r="G1556" t="e">
        <f ca="1">_xludf.IMAGE("https://edmondsonsupply.com/cdn/shop/products/MWT-6510R.png?v=1587144877")</f>
        <v>#NAME?</v>
      </c>
      <c r="H1556" t="e">
        <f ca="1">_xludf.IMAGE("https://m.media-amazon.com/images/I/71E3s-FagnL._AC_UL320_.jpg")</f>
        <v>#NAME?</v>
      </c>
      <c r="I1556" t="s">
        <v>1777</v>
      </c>
      <c r="J1556">
        <v>26.99</v>
      </c>
      <c r="K1556" s="4">
        <v>8.4400000000000003E-2</v>
      </c>
      <c r="L1556">
        <v>4.4000000000000004</v>
      </c>
      <c r="M1556">
        <v>575</v>
      </c>
      <c r="O1556" t="s">
        <v>25</v>
      </c>
      <c r="P1556" t="s">
        <v>260</v>
      </c>
      <c r="Q1556" t="s">
        <v>1778</v>
      </c>
    </row>
    <row r="1557" spans="1:17" ht="15.5" x14ac:dyDescent="0.35">
      <c r="A1557" s="3" t="str">
        <f>HYPERLINK("https://edmondsonsupply.com/collections/hvac/products/imperial-644-c-600-series-4-valve-manifold-w-4-60-hoses-r-410a-r-22-r-404a", "https://edmondsonsupply.com/collections/hvac/products/imperial-644-c-600-series-4-valve-manifold-w-4-60-hoses-r-410a-r-22-r-404a")</f>
        <v>https://edmondsonsupply.com/collections/hvac/products/imperial-644-c-600-series-4-valve-manifold-w-4-60-hoses-r-410a-r-22-r-404a</v>
      </c>
      <c r="B1557" s="3" t="str">
        <f>HYPERLINK("https://edmondsonsupply.com/products/imperial-644-c-600-series-4-valve-manifold-w-4-60-hoses-r-410a-r-22-r-404a", "https://edmondsonsupply.com/products/imperial-644-c-600-series-4-valve-manifold-w-4-60-hoses-r-410a-r-22-r-404a")</f>
        <v>https://edmondsonsupply.com/products/imperial-644-c-600-series-4-valve-manifold-w-4-60-hoses-r-410a-r-22-r-404a</v>
      </c>
      <c r="C1557" t="s">
        <v>4176</v>
      </c>
      <c r="D1557" t="s">
        <v>4177</v>
      </c>
      <c r="E1557" s="3" t="str">
        <f>HYPERLINK("https://www.amazon.com/Imperial-Tool-644C-Manifold-4-Valve/dp/B01KWRZE9W/ref=sr_1_fkmr1_1?keywords=Imperial+644-C+600+Series+4-Valve+Manifold+w%2F4-60%22+Hoses+R-410A%2C+R-22%2C+R-404A&amp;qid=1695173458&amp;sr=8-1-fkmr1", "https://www.amazon.com/Imperial-Tool-644C-Manifold-4-Valve/dp/B01KWRZE9W/ref=sr_1_fkmr1_1?keywords=Imperial+644-C+600+Series+4-Valve+Manifold+w%2F4-60%22+Hoses+R-410A%2C+R-22%2C+R-404A&amp;qid=1695173458&amp;sr=8-1-fkmr1")</f>
        <v>https://www.amazon.com/Imperial-Tool-644C-Manifold-4-Valve/dp/B01KWRZE9W/ref=sr_1_fkmr1_1?keywords=Imperial+644-C+600+Series+4-Valve+Manifold+w%2F4-60%22+Hoses+R-410A%2C+R-22%2C+R-404A&amp;qid=1695173458&amp;sr=8-1-fkmr1</v>
      </c>
      <c r="F1557" t="s">
        <v>4178</v>
      </c>
      <c r="G1557" t="e">
        <f ca="1">_xludf.IMAGE("https://edmondsonsupply.com/cdn/shop/products/644CC-1.jpg?v=1587145793")</f>
        <v>#NAME?</v>
      </c>
      <c r="H1557" t="e">
        <f ca="1">_xludf.IMAGE("https://m.media-amazon.com/images/I/71o3OZZRH+L._AC_UY218_.jpg")</f>
        <v>#NAME?</v>
      </c>
      <c r="I1557" t="s">
        <v>4179</v>
      </c>
      <c r="J1557">
        <v>211</v>
      </c>
      <c r="K1557" s="4">
        <v>8.3500000000000005E-2</v>
      </c>
      <c r="L1557">
        <v>4.0999999999999996</v>
      </c>
      <c r="M1557">
        <v>39</v>
      </c>
      <c r="O1557" t="s">
        <v>25</v>
      </c>
      <c r="P1557" t="s">
        <v>138</v>
      </c>
      <c r="Q1557" t="s">
        <v>4180</v>
      </c>
    </row>
    <row r="1558" spans="1:17" ht="15.5" x14ac:dyDescent="0.35">
      <c r="A1558" s="3" t="str">
        <f>HYPERLINK("https://edmondsonsupply.com/collections/hvac/products/klein-tools-et450-advanced-circuit-tracer-kit", "https://edmondsonsupply.com/collections/hvac/products/klein-tools-et450-advanced-circuit-tracer-kit")</f>
        <v>https://edmondsonsupply.com/collections/hvac/products/klein-tools-et450-advanced-circuit-tracer-kit</v>
      </c>
      <c r="B1558" s="3" t="str">
        <f>HYPERLINK("https://edmondsonsupply.com/products/klein-tools-et450-advanced-circuit-tracer-kit", "https://edmondsonsupply.com/products/klein-tools-et450-advanced-circuit-tracer-kit")</f>
        <v>https://edmondsonsupply.com/products/klein-tools-et450-advanced-circuit-tracer-kit</v>
      </c>
      <c r="C1558" t="s">
        <v>2849</v>
      </c>
      <c r="D1558" t="s">
        <v>4181</v>
      </c>
      <c r="E1558" s="3" t="str">
        <f>HYPERLINK("https://www.amazon.com/Klein-Tools-VDV500-820-Telephone-Communications/dp/B0BS36CVBC/ref=sr_1_3?keywords=Klein+Tools+ET450+Advanced+Circuit+Tracer+Kit&amp;qid=1695173503&amp;sr=8-3", "https://www.amazon.com/Klein-Tools-VDV500-820-Telephone-Communications/dp/B0BS36CVBC/ref=sr_1_3?keywords=Klein+Tools+ET450+Advanced+Circuit+Tracer+Kit&amp;qid=1695173503&amp;sr=8-3")</f>
        <v>https://www.amazon.com/Klein-Tools-VDV500-820-Telephone-Communications/dp/B0BS36CVBC/ref=sr_1_3?keywords=Klein+Tools+ET450+Advanced+Circuit+Tracer+Kit&amp;qid=1695173503&amp;sr=8-3</v>
      </c>
      <c r="F1558" t="s">
        <v>4182</v>
      </c>
      <c r="G1558" t="e">
        <f ca="1">_xludf.IMAGE("https://edmondsonsupply.com/cdn/shop/products/et450.jpg?v=1660165248")</f>
        <v>#NAME?</v>
      </c>
      <c r="H1558" t="e">
        <f ca="1">_xludf.IMAGE("https://m.media-amazon.com/images/I/616jkVkV61L._AC_UL320_.jpg")</f>
        <v>#NAME?</v>
      </c>
      <c r="I1558" t="s">
        <v>759</v>
      </c>
      <c r="J1558">
        <v>259.95999999999998</v>
      </c>
      <c r="K1558" s="4">
        <v>8.3199999999999996E-2</v>
      </c>
      <c r="L1558">
        <v>5</v>
      </c>
      <c r="M1558">
        <v>3</v>
      </c>
      <c r="O1558" t="s">
        <v>25</v>
      </c>
      <c r="P1558" t="s">
        <v>2852</v>
      </c>
      <c r="Q1558" t="s">
        <v>2853</v>
      </c>
    </row>
    <row r="1559" spans="1:17" ht="15.5" x14ac:dyDescent="0.35">
      <c r="A1559" s="3" t="str">
        <f>HYPERLINK("https://edmondsonsupply.com/collections/hvac/products/jb-industries-dv-41-supernova%C2%AE-digital-vacuum-gauge-with-case", "https://edmondsonsupply.com/collections/hvac/products/jb-industries-dv-41-supernova%C2%AE-digital-vacuum-gauge-with-case")</f>
        <v>https://edmondsonsupply.com/collections/hvac/products/jb-industries-dv-41-supernova%C2%AE-digital-vacuum-gauge-with-case</v>
      </c>
      <c r="B1559" s="3" t="str">
        <f>HYPERLINK("https://edmondsonsupply.com/products/jb-industries-dv-41-supernova%c2%ae-digital-vacuum-gauge-with-case", "https://edmondsonsupply.com/products/jb-industries-dv-41-supernova%c2%ae-digital-vacuum-gauge-with-case")</f>
        <v>https://edmondsonsupply.com/products/jb-industries-dv-41-supernova%c2%ae-digital-vacuum-gauge-with-case</v>
      </c>
      <c r="C1559" t="s">
        <v>4183</v>
      </c>
      <c r="D1559" t="s">
        <v>4184</v>
      </c>
      <c r="E1559" s="3" t="str">
        <f>HYPERLINK("https://www.amazon.com/JB-Industries-DV-41-Supernova-Digital/dp/B00E1N4OBS/ref=sr_1_1?keywords=JB+Industries+DV-41+Supernova%C2%AE+Digital+Vacuum+Gauge+with+Case&amp;qid=1695173642&amp;sr=8-1", "https://www.amazon.com/JB-Industries-DV-41-Supernova-Digital/dp/B00E1N4OBS/ref=sr_1_1?keywords=JB+Industries+DV-41+Supernova%C2%AE+Digital+Vacuum+Gauge+with+Case&amp;qid=1695173642&amp;sr=8-1")</f>
        <v>https://www.amazon.com/JB-Industries-DV-41-Supernova-Digital/dp/B00E1N4OBS/ref=sr_1_1?keywords=JB+Industries+DV-41+Supernova%C2%AE+Digital+Vacuum+Gauge+with+Case&amp;qid=1695173642&amp;sr=8-1</v>
      </c>
      <c r="F1559" t="s">
        <v>4185</v>
      </c>
      <c r="G1559" t="e">
        <f ca="1">_xludf.IMAGE("https://edmondsonsupply.com/cdn/shop/products/dv-41.png?v=1633030566")</f>
        <v>#NAME?</v>
      </c>
      <c r="H1559" t="e">
        <f ca="1">_xludf.IMAGE("https://m.media-amazon.com/images/I/713wm6Ii-jL._AC_UY218_.jpg")</f>
        <v>#NAME?</v>
      </c>
      <c r="I1559" t="s">
        <v>4186</v>
      </c>
      <c r="J1559">
        <v>306.79000000000002</v>
      </c>
      <c r="K1559" s="4">
        <v>8.0500000000000002E-2</v>
      </c>
      <c r="L1559">
        <v>2.5</v>
      </c>
      <c r="M1559">
        <v>14</v>
      </c>
      <c r="O1559" t="s">
        <v>25</v>
      </c>
      <c r="P1559" t="s">
        <v>4187</v>
      </c>
      <c r="Q1559" t="s">
        <v>4188</v>
      </c>
    </row>
    <row r="1560" spans="1:17" ht="15.5" x14ac:dyDescent="0.35">
      <c r="A1560" s="3" t="str">
        <f>HYPERLINK("https://edmondsonsupply.com/collections/hvac/products/yellow-jacket-29985-plus-ii-60-charging-hose", "https://edmondsonsupply.com/collections/hvac/products/yellow-jacket-29985-plus-ii-60-charging-hose")</f>
        <v>https://edmondsonsupply.com/collections/hvac/products/yellow-jacket-29985-plus-ii-60-charging-hose</v>
      </c>
      <c r="B1560" s="3" t="str">
        <f>HYPERLINK("https://edmondsonsupply.com/products/yellow-jacket-29985-plus-ii-60-charging-hose", "https://edmondsonsupply.com/products/yellow-jacket-29985-plus-ii-60-charging-hose")</f>
        <v>https://edmondsonsupply.com/products/yellow-jacket-29985-plus-ii-60-charging-hose</v>
      </c>
      <c r="C1560" t="s">
        <v>4189</v>
      </c>
      <c r="D1560" t="s">
        <v>4190</v>
      </c>
      <c r="E1560" s="3" t="str">
        <f>HYPERLINK("https://www.amazon.com/Yellow-Jacket-29986-Compact-Valve/dp/B0036UK0UQ/ref=sr_1_1?keywords=Yellow+Jacket+29985+PLUS+II+60%22+Charging+Hose+%28RYB%29+w%2F+Compact+Ball+Valve%2C+3-Pack&amp;qid=1695173366&amp;sr=8-1", "https://www.amazon.com/Yellow-Jacket-29986-Compact-Valve/dp/B0036UK0UQ/ref=sr_1_1?keywords=Yellow+Jacket+29985+PLUS+II+60%22+Charging+Hose+%28RYB%29+w%2F+Compact+Ball+Valve%2C+3-Pack&amp;qid=1695173366&amp;sr=8-1")</f>
        <v>https://www.amazon.com/Yellow-Jacket-29986-Compact-Valve/dp/B0036UK0UQ/ref=sr_1_1?keywords=Yellow+Jacket+29985+PLUS+II+60%22+Charging+Hose+%28RYB%29+w%2F+Compact+Ball+Valve%2C+3-Pack&amp;qid=1695173366&amp;sr=8-1</v>
      </c>
      <c r="F1560" t="s">
        <v>4191</v>
      </c>
      <c r="G1560" t="e">
        <f ca="1">_xludf.IMAGE("https://edmondsonsupply.com/cdn/shop/products/plus-ii-with-compact-ball-valve-end_daf9ff49-90e3-4782-bcfe-be83f0c422fa.jpg?v=1652142880")</f>
        <v>#NAME?</v>
      </c>
      <c r="H1560" t="e">
        <f ca="1">_xludf.IMAGE("https://m.media-amazon.com/images/I/81U1hYka1XL._AC_UY218_.jpg")</f>
        <v>#NAME?</v>
      </c>
      <c r="I1560" t="s">
        <v>4192</v>
      </c>
      <c r="J1560">
        <v>151.07</v>
      </c>
      <c r="K1560" s="4">
        <v>8.0399999999999999E-2</v>
      </c>
      <c r="L1560">
        <v>4.8</v>
      </c>
      <c r="M1560">
        <v>451</v>
      </c>
      <c r="O1560" t="s">
        <v>25</v>
      </c>
      <c r="P1560" t="s">
        <v>138</v>
      </c>
      <c r="Q1560" t="s">
        <v>4193</v>
      </c>
    </row>
    <row r="1561" spans="1:17" ht="15.5" x14ac:dyDescent="0.35">
      <c r="A1561" s="3" t="str">
        <f>HYPERLINK("https://edmondsonsupply.com/collections/hvac/products/jb-industries-dv-200n-platinum-7-cfm-vacuum-pump", "https://edmondsonsupply.com/collections/hvac/products/jb-industries-dv-200n-platinum-7-cfm-vacuum-pump")</f>
        <v>https://edmondsonsupply.com/collections/hvac/products/jb-industries-dv-200n-platinum-7-cfm-vacuum-pump</v>
      </c>
      <c r="B1561" s="3" t="str">
        <f>HYPERLINK("https://edmondsonsupply.com/products/jb-industries-dv-200n-platinum-7-cfm-vacuum-pump", "https://edmondsonsupply.com/products/jb-industries-dv-200n-platinum-7-cfm-vacuum-pump")</f>
        <v>https://edmondsonsupply.com/products/jb-industries-dv-200n-platinum-7-cfm-vacuum-pump</v>
      </c>
      <c r="C1561" t="s">
        <v>2843</v>
      </c>
      <c r="D1561" t="s">
        <v>4194</v>
      </c>
      <c r="E1561" s="3" t="str">
        <f>HYPERLINK("https://www.amazon.com/Cfm-Platinum-Vacuum-Pump-Dv-200n/dp/B082MQ7W29/ref=sr_1_2?keywords=JB+Industries+DV-200N+Platinum+7+CFM+Vacuum+Pump&amp;qid=1695173576&amp;sr=8-2", "https://www.amazon.com/Cfm-Platinum-Vacuum-Pump-Dv-200n/dp/B082MQ7W29/ref=sr_1_2?keywords=JB+Industries+DV-200N+Platinum+7+CFM+Vacuum+Pump&amp;qid=1695173576&amp;sr=8-2")</f>
        <v>https://www.amazon.com/Cfm-Platinum-Vacuum-Pump-Dv-200n/dp/B082MQ7W29/ref=sr_1_2?keywords=JB+Industries+DV-200N+Platinum+7+CFM+Vacuum+Pump&amp;qid=1695173576&amp;sr=8-2</v>
      </c>
      <c r="F1561" t="s">
        <v>4195</v>
      </c>
      <c r="G1561" t="e">
        <f ca="1">_xludf.IMAGE("https://edmondsonsupply.com/cdn/shop/products/dv-200n.jpg?v=1587145620")</f>
        <v>#NAME?</v>
      </c>
      <c r="H1561" t="e">
        <f ca="1">_xludf.IMAGE("https://m.media-amazon.com/images/I/41ksijmvvlL._AC_UY218_.jpg")</f>
        <v>#NAME?</v>
      </c>
      <c r="I1561" t="s">
        <v>2846</v>
      </c>
      <c r="J1561">
        <v>660</v>
      </c>
      <c r="K1561" s="4">
        <v>7.9799999999999996E-2</v>
      </c>
      <c r="L1561">
        <v>5</v>
      </c>
      <c r="M1561">
        <v>5</v>
      </c>
      <c r="O1561" t="s">
        <v>25</v>
      </c>
      <c r="P1561" t="s">
        <v>2847</v>
      </c>
      <c r="Q1561" t="s">
        <v>2848</v>
      </c>
    </row>
    <row r="1562" spans="1:17" ht="15.5" x14ac:dyDescent="0.35">
      <c r="A1562" s="3" t="str">
        <f>HYPERLINK("https://edmondsonsupply.com/collections/hvac/products/rectorseal-66732-nokink-3-4-x-3-flex-hose", "https://edmondsonsupply.com/collections/hvac/products/rectorseal-66732-nokink-3-4-x-3-flex-hose")</f>
        <v>https://edmondsonsupply.com/collections/hvac/products/rectorseal-66732-nokink-3-4-x-3-flex-hose</v>
      </c>
      <c r="B1562" s="3" t="str">
        <f>HYPERLINK("https://edmondsonsupply.com/products/rectorseal-66732-nokink-3-4-x-3-flex-hose", "https://edmondsonsupply.com/products/rectorseal-66732-nokink-3-4-x-3-flex-hose")</f>
        <v>https://edmondsonsupply.com/products/rectorseal-66732-nokink-3-4-x-3-flex-hose</v>
      </c>
      <c r="C1562" t="s">
        <v>4196</v>
      </c>
      <c r="D1562" t="s">
        <v>2374</v>
      </c>
      <c r="E1562" s="3" t="str">
        <f>HYPERLINK("https://www.amazon.com/Rectorseal-68235-Flexible-Refrigerant-Connector/dp/B01ALRVLTA/ref=sr_1_3?keywords=RectorSeal+66732+NoKink+3%2F4%22+x+3%27+Flexible+Refrigerant+Line+Connector&amp;qid=1695173725&amp;sr=8-3", "https://www.amazon.com/Rectorseal-68235-Flexible-Refrigerant-Connector/dp/B01ALRVLTA/ref=sr_1_3?keywords=RectorSeal+66732+NoKink+3%2F4%22+x+3%27+Flexible+Refrigerant+Line+Connector&amp;qid=1695173725&amp;sr=8-3")</f>
        <v>https://www.amazon.com/Rectorseal-68235-Flexible-Refrigerant-Connector/dp/B01ALRVLTA/ref=sr_1_3?keywords=RectorSeal+66732+NoKink+3%2F4%22+x+3%27+Flexible+Refrigerant+Line+Connector&amp;qid=1695173725&amp;sr=8-3</v>
      </c>
      <c r="F1562" t="s">
        <v>2375</v>
      </c>
      <c r="G1562" t="e">
        <f ca="1">_xludf.IMAGE("https://edmondsonsupply.com/cdn/shop/files/66732.png?v=1691010373")</f>
        <v>#NAME?</v>
      </c>
      <c r="H1562" t="e">
        <f ca="1">_xludf.IMAGE("https://m.media-amazon.com/images/I/51pjB6ZOm9L._AC_UL320_.jpg")</f>
        <v>#NAME?</v>
      </c>
      <c r="I1562" t="s">
        <v>4197</v>
      </c>
      <c r="J1562">
        <v>133.66999999999999</v>
      </c>
      <c r="K1562" s="4">
        <v>7.8100000000000003E-2</v>
      </c>
      <c r="L1562">
        <v>4</v>
      </c>
      <c r="M1562">
        <v>5</v>
      </c>
      <c r="O1562" t="s">
        <v>25</v>
      </c>
      <c r="P1562" t="s">
        <v>138</v>
      </c>
      <c r="Q1562" t="s">
        <v>4198</v>
      </c>
    </row>
    <row r="1563" spans="1:17" ht="15.5" x14ac:dyDescent="0.35">
      <c r="A1563" s="3" t="str">
        <f>HYPERLINK("https://edmondsonsupply.com/collections/hvac/products/jb-industries-ld-5000-prowler-refrigerant-leak-detector-with-case", "https://edmondsonsupply.com/collections/hvac/products/jb-industries-ld-5000-prowler-refrigerant-leak-detector-with-case")</f>
        <v>https://edmondsonsupply.com/collections/hvac/products/jb-industries-ld-5000-prowler-refrigerant-leak-detector-with-case</v>
      </c>
      <c r="B1563" s="3" t="str">
        <f>HYPERLINK("https://edmondsonsupply.com/products/jb-industries-ld-5000-prowler-refrigerant-leak-detector-with-case", "https://edmondsonsupply.com/products/jb-industries-ld-5000-prowler-refrigerant-leak-detector-with-case")</f>
        <v>https://edmondsonsupply.com/products/jb-industries-ld-5000-prowler-refrigerant-leak-detector-with-case</v>
      </c>
      <c r="C1563" t="s">
        <v>4199</v>
      </c>
      <c r="D1563" t="s">
        <v>4200</v>
      </c>
      <c r="E1563" s="3" t="str">
        <f>HYPERLINK("https://www.amazon.com/JB-Industries-LD-5000-Refrigerant-Detector/dp/B007BR545G/ref=sr_1_1?keywords=JB+Industries+LD-5000+Prowler+Electrochemical+Refrigerant+Leak+Detector&amp;qid=1695173463&amp;sr=8-1", "https://www.amazon.com/JB-Industries-LD-5000-Refrigerant-Detector/dp/B007BR545G/ref=sr_1_1?keywords=JB+Industries+LD-5000+Prowler+Electrochemical+Refrigerant+Leak+Detector&amp;qid=1695173463&amp;sr=8-1")</f>
        <v>https://www.amazon.com/JB-Industries-LD-5000-Refrigerant-Detector/dp/B007BR545G/ref=sr_1_1?keywords=JB+Industries+LD-5000+Prowler+Electrochemical+Refrigerant+Leak+Detector&amp;qid=1695173463&amp;sr=8-1</v>
      </c>
      <c r="F1563" t="s">
        <v>4201</v>
      </c>
      <c r="G1563" t="e">
        <f ca="1">_xludf.IMAGE("https://edmondsonsupply.com/cdn/shop/products/LD-5000.jpg?v=1587143861")</f>
        <v>#NAME?</v>
      </c>
      <c r="H1563" t="e">
        <f ca="1">_xludf.IMAGE("https://m.media-amazon.com/images/I/7133q6nUFyL._AC_UL320_.jpg")</f>
        <v>#NAME?</v>
      </c>
      <c r="I1563" t="s">
        <v>4202</v>
      </c>
      <c r="J1563">
        <v>489.9</v>
      </c>
      <c r="K1563" s="4">
        <v>7.7499999999999999E-2</v>
      </c>
      <c r="L1563">
        <v>4.0999999999999996</v>
      </c>
      <c r="M1563">
        <v>11</v>
      </c>
      <c r="O1563" t="s">
        <v>25</v>
      </c>
      <c r="P1563" t="s">
        <v>4203</v>
      </c>
      <c r="Q1563" t="s">
        <v>4204</v>
      </c>
    </row>
    <row r="1564" spans="1:17" ht="15.5" x14ac:dyDescent="0.35">
      <c r="A1564" s="3" t="str">
        <f>HYPERLINK("https://edmondsonsupply.com/collections/hvac/products/milwaukee-2997-22-m18-fuel%E2%84%A2-2-tool-combo-kit-hammer-drill-impact", "https://edmondsonsupply.com/collections/hvac/products/milwaukee-2997-22-m18-fuel%E2%84%A2-2-tool-combo-kit-hammer-drill-impact")</f>
        <v>https://edmondsonsupply.com/collections/hvac/products/milwaukee-2997-22-m18-fuel%E2%84%A2-2-tool-combo-kit-hammer-drill-impact</v>
      </c>
      <c r="B1564" s="3" t="str">
        <f>HYPERLINK("https://edmondsonsupply.com/products/milwaukee-2997-22-m18-fuel%e2%84%a2-2-tool-combo-kit-hammer-drill-impact", "https://edmondsonsupply.com/products/milwaukee-2997-22-m18-fuel%e2%84%a2-2-tool-combo-kit-hammer-drill-impact")</f>
        <v>https://edmondsonsupply.com/products/milwaukee-2997-22-m18-fuel%e2%84%a2-2-tool-combo-kit-hammer-drill-impact</v>
      </c>
      <c r="C1564" t="s">
        <v>4205</v>
      </c>
      <c r="D1564" t="s">
        <v>4206</v>
      </c>
      <c r="E1564" s="3" t="str">
        <f>HYPERLINK("https://www.amazon.com/Milwaukee-2797-22-Lithium-2-Tool-Hammer/dp/B009OO84RY/ref=sr_1_2?keywords=Milwaukee+2997-22+M18+FUEL%E2%84%A2+2-Tool+Combo+Kit%3A+Hammer+Drill%2FImpact&amp;qid=1695173619&amp;sr=8-2", "https://www.amazon.com/Milwaukee-2797-22-Lithium-2-Tool-Hammer/dp/B009OO84RY/ref=sr_1_2?keywords=Milwaukee+2997-22+M18+FUEL%E2%84%A2+2-Tool+Combo+Kit%3A+Hammer+Drill%2FImpact&amp;qid=1695173619&amp;sr=8-2")</f>
        <v>https://www.amazon.com/Milwaukee-2797-22-Lithium-2-Tool-Hammer/dp/B009OO84RY/ref=sr_1_2?keywords=Milwaukee+2997-22+M18+FUEL%E2%84%A2+2-Tool+Combo+Kit%3A+Hammer+Drill%2FImpact&amp;qid=1695173619&amp;sr=8-2</v>
      </c>
      <c r="F1564" t="s">
        <v>4207</v>
      </c>
      <c r="G1564" t="e">
        <f ca="1">_xludf.IMAGE("https://edmondsonsupply.com/cdn/shop/products/2997-22-1.png?v=1657217833")</f>
        <v>#NAME?</v>
      </c>
      <c r="H1564" t="e">
        <f ca="1">_xludf.IMAGE("https://m.media-amazon.com/images/I/51XUQoGSTFL._AC_UL320_.jpg")</f>
        <v>#NAME?</v>
      </c>
      <c r="I1564" t="s">
        <v>4208</v>
      </c>
      <c r="J1564">
        <v>429.9</v>
      </c>
      <c r="K1564" s="4">
        <v>7.7399999999999997E-2</v>
      </c>
      <c r="L1564">
        <v>4.5</v>
      </c>
      <c r="M1564">
        <v>162</v>
      </c>
      <c r="O1564" t="s">
        <v>171</v>
      </c>
      <c r="P1564" t="s">
        <v>4209</v>
      </c>
      <c r="Q1564" t="s">
        <v>4210</v>
      </c>
    </row>
    <row r="1565" spans="1:17" ht="15.5" x14ac:dyDescent="0.35">
      <c r="A1565" s="3" t="str">
        <f>HYPERLINK("https://edmondsonsupply.com/collections/hvac/products/icm-controls-icm206-delay-on-break-timer-with-3-10-minute-time-delay-18-30-vac", "https://edmondsonsupply.com/collections/hvac/products/icm-controls-icm206-delay-on-break-timer-with-3-10-minute-time-delay-18-30-vac")</f>
        <v>https://edmondsonsupply.com/collections/hvac/products/icm-controls-icm206-delay-on-break-timer-with-3-10-minute-time-delay-18-30-vac</v>
      </c>
      <c r="B1565" s="3" t="str">
        <f>HYPERLINK("https://edmondsonsupply.com/products/icm-controls-icm206-delay-on-break-timer-with-3-10-minute-time-delay-18-30-vac", "https://edmondsonsupply.com/products/icm-controls-icm206-delay-on-break-timer-with-3-10-minute-time-delay-18-30-vac")</f>
        <v>https://edmondsonsupply.com/products/icm-controls-icm206-delay-on-break-timer-with-3-10-minute-time-delay-18-30-vac</v>
      </c>
      <c r="C1565" t="s">
        <v>2978</v>
      </c>
      <c r="D1565" t="s">
        <v>2235</v>
      </c>
      <c r="E1565" s="3" t="str">
        <f>HYPERLINK("https://www.amazon.com/ICM-Controls-ICM105-Adjustable-Universal/dp/B00441XZXK/ref=sr_1_7?keywords=ICM+Controls+ICM206+Delay+on+Break+Timer+with+3-10+Minute+Time+Delay%2C+18-30+VAC&amp;qid=1695173338&amp;sr=8-7", "https://www.amazon.com/ICM-Controls-ICM105-Adjustable-Universal/dp/B00441XZXK/ref=sr_1_7?keywords=ICM+Controls+ICM206+Delay+on+Break+Timer+with+3-10+Minute+Time+Delay%2C+18-30+VAC&amp;qid=1695173338&amp;sr=8-7")</f>
        <v>https://www.amazon.com/ICM-Controls-ICM105-Adjustable-Universal/dp/B00441XZXK/ref=sr_1_7?keywords=ICM+Controls+ICM206+Delay+on+Break+Timer+with+3-10+Minute+Time+Delay%2C+18-30+VAC&amp;qid=1695173338&amp;sr=8-7</v>
      </c>
      <c r="F1565" t="s">
        <v>2236</v>
      </c>
      <c r="G1565" t="e">
        <f ca="1">_xludf.IMAGE("https://edmondsonsupply.com/cdn/shop/products/61Oa3Tbl-VL._SL1000.jpg?v=1633030862")</f>
        <v>#NAME?</v>
      </c>
      <c r="H1565" t="e">
        <f ca="1">_xludf.IMAGE("https://m.media-amazon.com/images/I/61Fd+ZYvG1L._AC_UL320_.jpg")</f>
        <v>#NAME?</v>
      </c>
      <c r="I1565" t="s">
        <v>2979</v>
      </c>
      <c r="J1565">
        <v>34.25</v>
      </c>
      <c r="K1565" s="4">
        <v>7.7399999999999997E-2</v>
      </c>
      <c r="L1565">
        <v>4.3</v>
      </c>
      <c r="M1565">
        <v>4</v>
      </c>
      <c r="O1565" t="s">
        <v>25</v>
      </c>
      <c r="P1565" t="s">
        <v>2980</v>
      </c>
      <c r="Q1565" t="s">
        <v>2981</v>
      </c>
    </row>
    <row r="1566" spans="1:17" ht="15.5" x14ac:dyDescent="0.35">
      <c r="A1566" s="3" t="str">
        <f>HYPERLINK("https://edmondsonsupply.com/collections/hvac/products/uei-dmg150-digital-micron-gauge", "https://edmondsonsupply.com/collections/hvac/products/uei-dmg150-digital-micron-gauge")</f>
        <v>https://edmondsonsupply.com/collections/hvac/products/uei-dmg150-digital-micron-gauge</v>
      </c>
      <c r="B1566" s="3" t="str">
        <f>HYPERLINK("https://edmondsonsupply.com/products/uei-dmg150-digital-micron-gauge", "https://edmondsonsupply.com/products/uei-dmg150-digital-micron-gauge")</f>
        <v>https://edmondsonsupply.com/products/uei-dmg150-digital-micron-gauge</v>
      </c>
      <c r="C1566" t="s">
        <v>1496</v>
      </c>
      <c r="D1566" t="s">
        <v>4211</v>
      </c>
      <c r="E1566" s="3" t="str">
        <f>HYPERLINK("https://www.amazon.com/UEi-Test-Instruments-PDT650-Thermometer/dp/B004WE73N2/ref=sr_1_1?keywords=UEi+PDT650+Digital+Folding+Pocket+Thermometer&amp;qid=1695173385&amp;sr=8-1", "https://www.amazon.com/UEi-Test-Instruments-PDT650-Thermometer/dp/B004WE73N2/ref=sr_1_1?keywords=UEi+PDT650+Digital+Folding+Pocket+Thermometer&amp;qid=1695173385&amp;sr=8-1")</f>
        <v>https://www.amazon.com/UEi-Test-Instruments-PDT650-Thermometer/dp/B004WE73N2/ref=sr_1_1?keywords=UEi+PDT650+Digital+Folding+Pocket+Thermometer&amp;qid=1695173385&amp;sr=8-1</v>
      </c>
      <c r="F1566" t="s">
        <v>4212</v>
      </c>
      <c r="G1566" t="e">
        <f ca="1">_xludf.IMAGE("https://edmondsonsupply.com/cdn/shop/products/PDT650-1.png?v=1633030101")</f>
        <v>#NAME?</v>
      </c>
      <c r="H1566" t="e">
        <f ca="1">_xludf.IMAGE("https://m.media-amazon.com/images/I/51VR1dx-YlL._AC_UY218_.jpg")</f>
        <v>#NAME?</v>
      </c>
      <c r="I1566" t="s">
        <v>1499</v>
      </c>
      <c r="J1566">
        <v>20.99</v>
      </c>
      <c r="K1566" s="4">
        <v>7.5899999999999995E-2</v>
      </c>
      <c r="L1566">
        <v>4.7</v>
      </c>
      <c r="M1566">
        <v>6162</v>
      </c>
      <c r="O1566" t="s">
        <v>25</v>
      </c>
      <c r="P1566" t="s">
        <v>1500</v>
      </c>
      <c r="Q1566" t="s">
        <v>1501</v>
      </c>
    </row>
    <row r="1567" spans="1:17" ht="15.5" x14ac:dyDescent="0.35">
      <c r="A1567" s="3" t="str">
        <f>HYPERLINK("https://edmondsonsupply.com/collections/hvac/products/klein-tools-502-10-eins-insulated-pump-pliers-slim-handle-10-inch", "https://edmondsonsupply.com/collections/hvac/products/klein-tools-502-10-eins-insulated-pump-pliers-slim-handle-10-inch")</f>
        <v>https://edmondsonsupply.com/collections/hvac/products/klein-tools-502-10-eins-insulated-pump-pliers-slim-handle-10-inch</v>
      </c>
      <c r="B1567" s="3" t="str">
        <f>HYPERLINK("https://edmondsonsupply.com/products/klein-tools-502-10-eins-insulated-pump-pliers-slim-handle-10-inch", "https://edmondsonsupply.com/products/klein-tools-502-10-eins-insulated-pump-pliers-slim-handle-10-inch")</f>
        <v>https://edmondsonsupply.com/products/klein-tools-502-10-eins-insulated-pump-pliers-slim-handle-10-inch</v>
      </c>
      <c r="C1567" t="s">
        <v>4213</v>
      </c>
      <c r="D1567" t="s">
        <v>4214</v>
      </c>
      <c r="E1567" s="3" t="str">
        <f>HYPERLINK("https://www.amazon.com/Electricians-Insulated-Klein-Tools-502-10-EINS/dp/B00JGG5QE4/ref=sr_1_1?keywords=Klein+Tools+502-10-EINS+Insulated+Pump+Pliers%2C+Slim+Handle%2C+10-Inch&amp;qid=1695173668&amp;sr=8-1", "https://www.amazon.com/Electricians-Insulated-Klein-Tools-502-10-EINS/dp/B00JGG5QE4/ref=sr_1_1?keywords=Klein+Tools+502-10-EINS+Insulated+Pump+Pliers%2C+Slim+Handle%2C+10-Inch&amp;qid=1695173668&amp;sr=8-1")</f>
        <v>https://www.amazon.com/Electricians-Insulated-Klein-Tools-502-10-EINS/dp/B00JGG5QE4/ref=sr_1_1?keywords=Klein+Tools+502-10-EINS+Insulated+Pump+Pliers%2C+Slim+Handle%2C+10-Inch&amp;qid=1695173668&amp;sr=8-1</v>
      </c>
      <c r="F1567" t="s">
        <v>4215</v>
      </c>
      <c r="G1567" t="e">
        <f ca="1">_xludf.IMAGE("https://edmondsonsupply.com/cdn/shop/products/50210eins.jpg?v=1633030819")</f>
        <v>#NAME?</v>
      </c>
      <c r="H1567" t="e">
        <f ca="1">_xludf.IMAGE("https://m.media-amazon.com/images/I/51NdzPzCWBL._AC_UL320_.jpg")</f>
        <v>#NAME?</v>
      </c>
      <c r="I1567" t="s">
        <v>905</v>
      </c>
      <c r="J1567">
        <v>64.349999999999994</v>
      </c>
      <c r="K1567" s="4">
        <v>7.2700000000000001E-2</v>
      </c>
      <c r="L1567">
        <v>4.5999999999999996</v>
      </c>
      <c r="M1567">
        <v>77</v>
      </c>
      <c r="O1567" t="s">
        <v>25</v>
      </c>
      <c r="P1567" t="s">
        <v>4216</v>
      </c>
      <c r="Q1567" t="s">
        <v>4217</v>
      </c>
    </row>
    <row r="1568" spans="1:17" ht="15.5" x14ac:dyDescent="0.35">
      <c r="A1568" s="3" t="str">
        <f>HYPERLINK("https://edmondsonsupply.com/collections/hvac/products/klein-tools-80028-electricians-tool-kit-28-piece", "https://edmondsonsupply.com/collections/hvac/products/klein-tools-80028-electricians-tool-kit-28-piece")</f>
        <v>https://edmondsonsupply.com/collections/hvac/products/klein-tools-80028-electricians-tool-kit-28-piece</v>
      </c>
      <c r="B1568" s="3" t="str">
        <f>HYPERLINK("https://edmondsonsupply.com/products/klein-tools-80028-electricians-tool-kit-28-piece", "https://edmondsonsupply.com/products/klein-tools-80028-electricians-tool-kit-28-piece")</f>
        <v>https://edmondsonsupply.com/products/klein-tools-80028-electricians-tool-kit-28-piece</v>
      </c>
      <c r="C1568" t="s">
        <v>4066</v>
      </c>
      <c r="D1568" t="s">
        <v>4218</v>
      </c>
      <c r="E1568" s="3" t="str">
        <f>HYPERLINK("https://www.amazon.com/Klein-Tools-28-Piece-32807MAG-Magnetic/dp/B09T6Z6BK9/ref=sr_1_2?keywords=Klein+Tools+80028+Electrician%27s+Tool+Kit%2C+28-Piece&amp;qid=1695173551&amp;sr=8-2", "https://www.amazon.com/Klein-Tools-28-Piece-32807MAG-Magnetic/dp/B09T6Z6BK9/ref=sr_1_2?keywords=Klein+Tools+80028+Electrician%27s+Tool+Kit%2C+28-Piece&amp;qid=1695173551&amp;sr=8-2")</f>
        <v>https://www.amazon.com/Klein-Tools-28-Piece-32807MAG-Magnetic/dp/B09T6Z6BK9/ref=sr_1_2?keywords=Klein+Tools+80028+Electrician%27s+Tool+Kit%2C+28-Piece&amp;qid=1695173551&amp;sr=8-2</v>
      </c>
      <c r="F1568" t="s">
        <v>4219</v>
      </c>
      <c r="G1568" t="e">
        <f ca="1">_xludf.IMAGE("https://edmondsonsupply.com/cdn/shop/files/80028_d.jpg?v=1686062794")</f>
        <v>#NAME?</v>
      </c>
      <c r="H1568" t="e">
        <f ca="1">_xludf.IMAGE("https://m.media-amazon.com/images/I/511xo9SQ+rL._AC_UL320_.jpg")</f>
        <v>#NAME?</v>
      </c>
      <c r="I1568" t="s">
        <v>4069</v>
      </c>
      <c r="J1568">
        <v>444.96</v>
      </c>
      <c r="K1568" s="4">
        <v>7.22E-2</v>
      </c>
      <c r="L1568">
        <v>5</v>
      </c>
      <c r="M1568">
        <v>1</v>
      </c>
      <c r="O1568" t="s">
        <v>25</v>
      </c>
      <c r="P1568" t="s">
        <v>4070</v>
      </c>
      <c r="Q1568" t="s">
        <v>4071</v>
      </c>
    </row>
    <row r="1569" spans="1:17" ht="15.5" x14ac:dyDescent="0.35">
      <c r="A1569" s="3" t="str">
        <f>HYPERLINK("https://edmondsonsupply.com/collections/hvac/products/malco-mshmlc-4-inch-c-rhex%C2%AE-dual-sided-magnetic-hex-driver", "https://edmondsonsupply.com/collections/hvac/products/malco-mshmlc-4-inch-c-rhex%C2%AE-dual-sided-magnetic-hex-driver")</f>
        <v>https://edmondsonsupply.com/collections/hvac/products/malco-mshmlc-4-inch-c-rhex%C2%AE-dual-sided-magnetic-hex-driver</v>
      </c>
      <c r="B1569" s="3" t="str">
        <f>HYPERLINK("https://edmondsonsupply.com/products/malco-mshmlc-4-inch-c-rhex%c2%ae-dual-sided-magnetic-hex-driver", "https://edmondsonsupply.com/products/malco-mshmlc-4-inch-c-rhex%c2%ae-dual-sided-magnetic-hex-driver")</f>
        <v>https://edmondsonsupply.com/products/malco-mshmlc-4-inch-c-rhex%c2%ae-dual-sided-magnetic-hex-driver</v>
      </c>
      <c r="C1569" t="s">
        <v>2723</v>
      </c>
      <c r="D1569" t="s">
        <v>178</v>
      </c>
      <c r="E1569" s="3" t="str">
        <f>HYPERLINK("https://www.amazon.com/Malco-MSHMLC2-Construction-Cleanable-Reversible/dp/B0BX77PFCY/ref=sr_1_5?keywords=Malco+Tools+MSHMLC+4-Inch+C-Rhex+Cleanable%2C+Reversible+Magnetic+Hex+Driver%2C+1%2F4%22+%26+5%2F16%22&amp;qid=1695173566&amp;sr=8-5", "https://www.amazon.com/Malco-MSHMLC2-Construction-Cleanable-Reversible/dp/B0BX77PFCY/ref=sr_1_5?keywords=Malco+Tools+MSHMLC+4-Inch+C-Rhex+Cleanable%2C+Reversible+Magnetic+Hex+Driver%2C+1%2F4%22+%26+5%2F16%22&amp;qid=1695173566&amp;sr=8-5")</f>
        <v>https://www.amazon.com/Malco-MSHMLC2-Construction-Cleanable-Reversible/dp/B0BX77PFCY/ref=sr_1_5?keywords=Malco+Tools+MSHMLC+4-Inch+C-Rhex+Cleanable%2C+Reversible+Magnetic+Hex+Driver%2C+1%2F4%22+%26+5%2F16%22&amp;qid=1695173566&amp;sr=8-5</v>
      </c>
      <c r="F1569" t="s">
        <v>179</v>
      </c>
      <c r="G1569" t="e">
        <f ca="1">_xludf.IMAGE("https://edmondsonsupply.com/cdn/shop/products/Malco-MSHMLC-CRHEX-Slim-Design.jpg?v=1653096554")</f>
        <v>#NAME?</v>
      </c>
      <c r="H1569" t="e">
        <f ca="1">_xludf.IMAGE("https://m.media-amazon.com/images/I/61SpFpw6GjL._AC_UL320_.jpg")</f>
        <v>#NAME?</v>
      </c>
      <c r="I1569" t="s">
        <v>834</v>
      </c>
      <c r="J1569">
        <v>13.91</v>
      </c>
      <c r="K1569" s="4">
        <v>7.0800000000000002E-2</v>
      </c>
      <c r="L1569">
        <v>3</v>
      </c>
      <c r="M1569">
        <v>4</v>
      </c>
      <c r="O1569" t="s">
        <v>25</v>
      </c>
      <c r="P1569" t="s">
        <v>2724</v>
      </c>
      <c r="Q1569" t="s">
        <v>2725</v>
      </c>
    </row>
    <row r="1570" spans="1:17" ht="15.5" x14ac:dyDescent="0.35">
      <c r="A1570" s="3" t="str">
        <f>HYPERLINK("https://edmondsonsupply.com/collections/hvac/products/ranco-etc-112000-000-single-stage-electronic-temperature-control-24v", "https://edmondsonsupply.com/collections/hvac/products/ranco-etc-112000-000-single-stage-electronic-temperature-control-24v")</f>
        <v>https://edmondsonsupply.com/collections/hvac/products/ranco-etc-112000-000-single-stage-electronic-temperature-control-24v</v>
      </c>
      <c r="B1570" s="3" t="str">
        <f>HYPERLINK("https://edmondsonsupply.com/products/ranco-etc-112000-000-single-stage-electronic-temperature-control-24v", "https://edmondsonsupply.com/products/ranco-etc-112000-000-single-stage-electronic-temperature-control-24v")</f>
        <v>https://edmondsonsupply.com/products/ranco-etc-112000-000-single-stage-electronic-temperature-control-24v</v>
      </c>
      <c r="C1570" t="s">
        <v>4220</v>
      </c>
      <c r="D1570" t="s">
        <v>4221</v>
      </c>
      <c r="E1570" s="3" t="str">
        <f>HYPERLINK("https://www.amazon.com/Ranco-ETC-112000-Single-Temperature-Control/dp/B003V14XBM/ref=sr_1_1?keywords=Ranco+ETC-112000-000+Single+Stage+Electronic+Temperature+Control%2C+24V&amp;qid=1695173635&amp;sr=8-1", "https://www.amazon.com/Ranco-ETC-112000-Single-Temperature-Control/dp/B003V14XBM/ref=sr_1_1?keywords=Ranco+ETC-112000-000+Single+Stage+Electronic+Temperature+Control%2C+24V&amp;qid=1695173635&amp;sr=8-1")</f>
        <v>https://www.amazon.com/Ranco-ETC-112000-Single-Temperature-Control/dp/B003V14XBM/ref=sr_1_1?keywords=Ranco+ETC-112000-000+Single+Stage+Electronic+Temperature+Control%2C+24V&amp;qid=1695173635&amp;sr=8-1</v>
      </c>
      <c r="F1570" t="s">
        <v>4222</v>
      </c>
      <c r="G1570" t="e">
        <f ca="1">_xludf.IMAGE("https://edmondsonsupply.com/cdn/shop/products/ETC-112000-000-2.jpg?v=1633030606")</f>
        <v>#NAME?</v>
      </c>
      <c r="H1570" t="e">
        <f ca="1">_xludf.IMAGE("https://m.media-amazon.com/images/I/21PGKYtLF5L._AC_UY218_.jpg")</f>
        <v>#NAME?</v>
      </c>
      <c r="I1570" t="s">
        <v>4223</v>
      </c>
      <c r="J1570">
        <v>104.58</v>
      </c>
      <c r="K1570" s="4">
        <v>7.0099999999999996E-2</v>
      </c>
      <c r="L1570">
        <v>4.7</v>
      </c>
      <c r="M1570">
        <v>3</v>
      </c>
      <c r="O1570" t="s">
        <v>25</v>
      </c>
      <c r="P1570" t="s">
        <v>4224</v>
      </c>
      <c r="Q1570" t="s">
        <v>4225</v>
      </c>
    </row>
    <row r="1571" spans="1:17" ht="15.5" x14ac:dyDescent="0.35">
      <c r="A1571" s="3" t="str">
        <f>HYPERLINK("https://edmondsonsupply.com/collections/hvac/products/rack-a-tiers-bb1520-bumper-balls-kit", "https://edmondsonsupply.com/collections/hvac/products/rack-a-tiers-bb1520-bumper-balls-kit")</f>
        <v>https://edmondsonsupply.com/collections/hvac/products/rack-a-tiers-bb1520-bumper-balls-kit</v>
      </c>
      <c r="B1571" s="3" t="str">
        <f>HYPERLINK("https://edmondsonsupply.com/products/rack-a-tiers-bb1520-bumper-balls-kit", "https://edmondsonsupply.com/products/rack-a-tiers-bb1520-bumper-balls-kit")</f>
        <v>https://edmondsonsupply.com/products/rack-a-tiers-bb1520-bumper-balls-kit</v>
      </c>
      <c r="C1571" t="s">
        <v>4226</v>
      </c>
      <c r="D1571" t="s">
        <v>4227</v>
      </c>
      <c r="E1571" s="3" t="str">
        <f>HYPERLINK("https://www.amazon.com/Rack-Tiers-Bumper-Balls-Alignment/dp/B09JTWFQHT/ref=sr_1_1?keywords=Rack-A-Tiers+BB1520+Bumper+Balls+Kit&amp;qid=1695173516&amp;sr=8-1", "https://www.amazon.com/Rack-Tiers-Bumper-Balls-Alignment/dp/B09JTWFQHT/ref=sr_1_1?keywords=Rack-A-Tiers+BB1520+Bumper+Balls+Kit&amp;qid=1695173516&amp;sr=8-1")</f>
        <v>https://www.amazon.com/Rack-Tiers-Bumper-Balls-Alignment/dp/B09JTWFQHT/ref=sr_1_1?keywords=Rack-A-Tiers+BB1520+Bumper+Balls+Kit&amp;qid=1695173516&amp;sr=8-1</v>
      </c>
      <c r="F1571" t="s">
        <v>4228</v>
      </c>
      <c r="G1571" t="e">
        <f ca="1">_xludf.IMAGE("https://edmondsonsupply.com/cdn/shop/products/BB1520-Bumper-Balls.png?v=1633031148")</f>
        <v>#NAME?</v>
      </c>
      <c r="H1571" t="e">
        <f ca="1">_xludf.IMAGE("https://m.media-amazon.com/images/I/41V-bJsX0DL._AC_UL320_.jpg")</f>
        <v>#NAME?</v>
      </c>
      <c r="I1571" t="s">
        <v>1883</v>
      </c>
      <c r="J1571">
        <v>15.49</v>
      </c>
      <c r="K1571" s="4">
        <v>6.9000000000000006E-2</v>
      </c>
      <c r="L1571">
        <v>4.2</v>
      </c>
      <c r="M1571">
        <v>25</v>
      </c>
      <c r="O1571" t="s">
        <v>25</v>
      </c>
      <c r="P1571" t="s">
        <v>4229</v>
      </c>
      <c r="Q1571" t="s">
        <v>4230</v>
      </c>
    </row>
    <row r="1572" spans="1:17" ht="15.5" x14ac:dyDescent="0.35">
      <c r="A1572" s="3" t="str">
        <f>HYPERLINK("https://edmondsonsupply.com/collections/hvac/products/midwest-mwt-6900r-upright-right-cutting-aviation-snip", "https://edmondsonsupply.com/collections/hvac/products/midwest-mwt-6900r-upright-right-cutting-aviation-snip")</f>
        <v>https://edmondsonsupply.com/collections/hvac/products/midwest-mwt-6900r-upright-right-cutting-aviation-snip</v>
      </c>
      <c r="B1572" s="3" t="str">
        <f>HYPERLINK("https://edmondsonsupply.com/products/midwest-mwt-6900r-upright-right-cutting-aviation-snip", "https://edmondsonsupply.com/products/midwest-mwt-6900r-upright-right-cutting-aviation-snip")</f>
        <v>https://edmondsonsupply.com/products/midwest-mwt-6900r-upright-right-cutting-aviation-snip</v>
      </c>
      <c r="C1572" t="s">
        <v>1785</v>
      </c>
      <c r="D1572" t="s">
        <v>4158</v>
      </c>
      <c r="E1572" s="3" t="str">
        <f>HYPERLINK("https://www.amazon.com/MIDWEST-Aviation-Snip-KUSHN-POWER-MWT-6716R/dp/B00OCGQJL2/ref=sr_1_2?keywords=Midwest+MWT-6900R+Upright+Right-Cutting+Aviation+Snip&amp;qid=1695173458&amp;sr=8-2", "https://www.amazon.com/MIDWEST-Aviation-Snip-KUSHN-POWER-MWT-6716R/dp/B00OCGQJL2/ref=sr_1_2?keywords=Midwest+MWT-6900R+Upright+Right-Cutting+Aviation+Snip&amp;qid=1695173458&amp;sr=8-2")</f>
        <v>https://www.amazon.com/MIDWEST-Aviation-Snip-KUSHN-POWER-MWT-6716R/dp/B00OCGQJL2/ref=sr_1_2?keywords=Midwest+MWT-6900R+Upright+Right-Cutting+Aviation+Snip&amp;qid=1695173458&amp;sr=8-2</v>
      </c>
      <c r="F1572" t="s">
        <v>4159</v>
      </c>
      <c r="G1572" t="e">
        <f ca="1">_xludf.IMAGE("https://edmondsonsupply.com/cdn/shop/products/MW-P6900R1.jpg?v=1587142622")</f>
        <v>#NAME?</v>
      </c>
      <c r="H1572" t="e">
        <f ca="1">_xludf.IMAGE("https://m.media-amazon.com/images/I/71E3s-FagnL._AC_UL320_.jpg")</f>
        <v>#NAME?</v>
      </c>
      <c r="I1572" t="s">
        <v>1786</v>
      </c>
      <c r="J1572">
        <v>26.99</v>
      </c>
      <c r="K1572" s="4">
        <v>6.7199999999999996E-2</v>
      </c>
      <c r="L1572">
        <v>4.4000000000000004</v>
      </c>
      <c r="M1572">
        <v>575</v>
      </c>
      <c r="O1572" t="s">
        <v>25</v>
      </c>
      <c r="P1572" t="s">
        <v>1787</v>
      </c>
      <c r="Q1572" t="s">
        <v>1788</v>
      </c>
    </row>
    <row r="1573" spans="1:17" ht="15.5" x14ac:dyDescent="0.35">
      <c r="A1573"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1573"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1573" t="s">
        <v>1848</v>
      </c>
      <c r="D1573" t="s">
        <v>930</v>
      </c>
      <c r="E1573" s="3" t="str">
        <f>HYPERLINK("https://www.amazon.com/Klein-60471-Protection-Anti-Fog-Resistant/dp/B0B69LNT2Y/ref=sr_1_3?keywords=Klein+Tools+60164+Professional+Safety+Glasses%2C+Full+Frame%2C+Gray+Lens&amp;qid=1695173626&amp;sr=8-3", "https://www.amazon.com/Klein-60471-Protection-Anti-Fog-Resistant/dp/B0B69LNT2Y/ref=sr_1_3?keywords=Klein+Tools+60164+Professional+Safety+Glasses%2C+Full+Frame%2C+Gray+Lens&amp;qid=1695173626&amp;sr=8-3")</f>
        <v>https://www.amazon.com/Klein-60471-Protection-Anti-Fog-Resistant/dp/B0B69LNT2Y/ref=sr_1_3?keywords=Klein+Tools+60164+Professional+Safety+Glasses%2C+Full+Frame%2C+Gray+Lens&amp;qid=1695173626&amp;sr=8-3</v>
      </c>
      <c r="F1573" t="s">
        <v>931</v>
      </c>
      <c r="G1573" t="e">
        <f ca="1">_xludf.IMAGE("https://edmondsonsupply.com/cdn/shop/products/60164.jpg?v=1633030851")</f>
        <v>#NAME?</v>
      </c>
      <c r="H1573" t="e">
        <f ca="1">_xludf.IMAGE("https://m.media-amazon.com/images/I/51z-a2tdJlL._AC_UL320_.jpg")</f>
        <v>#NAME?</v>
      </c>
      <c r="I1573" t="s">
        <v>276</v>
      </c>
      <c r="J1573">
        <v>15.99</v>
      </c>
      <c r="K1573" s="4">
        <v>6.6699999999999995E-2</v>
      </c>
      <c r="L1573">
        <v>4.3</v>
      </c>
      <c r="M1573">
        <v>56</v>
      </c>
      <c r="O1573" t="s">
        <v>25</v>
      </c>
      <c r="P1573" t="s">
        <v>277</v>
      </c>
      <c r="Q1573" t="s">
        <v>1849</v>
      </c>
    </row>
    <row r="1574" spans="1:17" ht="15.5" x14ac:dyDescent="0.35">
      <c r="A1574"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1574"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1574" t="s">
        <v>1848</v>
      </c>
      <c r="D1574" t="s">
        <v>922</v>
      </c>
      <c r="E1574" s="3" t="str">
        <f>HYPERLINK("https://www.amazon.com/Klein-60161-Professional-Protective-Resistant/dp/B08B496F57/ref=sr_1_10?keywords=Klein+Tools+60164+Professional+Safety+Glasses%2C+Full+Frame%2C+Gray+Lens&amp;qid=1695173626&amp;sr=8-10", "https://www.amazon.com/Klein-60161-Professional-Protective-Resistant/dp/B08B496F57/ref=sr_1_10?keywords=Klein+Tools+60164+Professional+Safety+Glasses%2C+Full+Frame%2C+Gray+Lens&amp;qid=1695173626&amp;sr=8-10")</f>
        <v>https://www.amazon.com/Klein-60161-Professional-Protective-Resistant/dp/B08B496F57/ref=sr_1_10?keywords=Klein+Tools+60164+Professional+Safety+Glasses%2C+Full+Frame%2C+Gray+Lens&amp;qid=1695173626&amp;sr=8-10</v>
      </c>
      <c r="F1574" t="s">
        <v>923</v>
      </c>
      <c r="G1574" t="e">
        <f ca="1">_xludf.IMAGE("https://edmondsonsupply.com/cdn/shop/products/60164.jpg?v=1633030851")</f>
        <v>#NAME?</v>
      </c>
      <c r="H1574" t="e">
        <f ca="1">_xludf.IMAGE("https://m.media-amazon.com/images/I/515pVZPvJ0L._AC_UL320_.jpg")</f>
        <v>#NAME?</v>
      </c>
      <c r="I1574" t="s">
        <v>276</v>
      </c>
      <c r="J1574">
        <v>15.99</v>
      </c>
      <c r="K1574" s="4">
        <v>6.6699999999999995E-2</v>
      </c>
      <c r="L1574">
        <v>4.4000000000000004</v>
      </c>
      <c r="M1574">
        <v>374</v>
      </c>
      <c r="O1574" t="s">
        <v>25</v>
      </c>
      <c r="P1574" t="s">
        <v>277</v>
      </c>
      <c r="Q1574" t="s">
        <v>1849</v>
      </c>
    </row>
    <row r="1575" spans="1:17" ht="15.5" x14ac:dyDescent="0.35">
      <c r="A1575" s="3" t="str">
        <f>HYPERLINK("https://edmondsonsupply.com/collections/hvac/products/rack-a-tiers-47002-crocs-jr-needle-nose-wire-strippers", "https://edmondsonsupply.com/collections/hvac/products/rack-a-tiers-47002-crocs-jr-needle-nose-wire-strippers")</f>
        <v>https://edmondsonsupply.com/collections/hvac/products/rack-a-tiers-47002-crocs-jr-needle-nose-wire-strippers</v>
      </c>
      <c r="B1575" s="3" t="str">
        <f>HYPERLINK("https://edmondsonsupply.com/products/rack-a-tiers-47002-crocs-jr-needle-nose-wire-strippers", "https://edmondsonsupply.com/products/rack-a-tiers-47002-crocs-jr-needle-nose-wire-strippers")</f>
        <v>https://edmondsonsupply.com/products/rack-a-tiers-47002-crocs-jr-needle-nose-wire-strippers</v>
      </c>
      <c r="C1575" t="s">
        <v>3468</v>
      </c>
      <c r="D1575" t="s">
        <v>4231</v>
      </c>
      <c r="E1575" s="3" t="str">
        <f>HYPERLINK("https://www.amazon.com/Rack-A-Tiers-CECOMINOD033650-47002-Crocs-Jr/dp/B00ZV4JXU8/ref=sr_1_1?keywords=Rack-A-Tiers+47002+Croc%27s+Jr.+Needle+Nose+Wire+Strippers&amp;qid=1695173457&amp;sr=8-1", "https://www.amazon.com/Rack-A-Tiers-CECOMINOD033650-47002-Crocs-Jr/dp/B00ZV4JXU8/ref=sr_1_1?keywords=Rack-A-Tiers+47002+Croc%27s+Jr.+Needle+Nose+Wire+Strippers&amp;qid=1695173457&amp;sr=8-1")</f>
        <v>https://www.amazon.com/Rack-A-Tiers-CECOMINOD033650-47002-Crocs-Jr/dp/B00ZV4JXU8/ref=sr_1_1?keywords=Rack-A-Tiers+47002+Croc%27s+Jr.+Needle+Nose+Wire+Strippers&amp;qid=1695173457&amp;sr=8-1</v>
      </c>
      <c r="F1575" t="s">
        <v>4232</v>
      </c>
      <c r="G1575" t="e">
        <f ca="1">_xludf.IMAGE("https://edmondsonsupply.com/cdn/shop/products/47002-Crocs-Jr-2-1-1-1.png?v=1587142280")</f>
        <v>#NAME?</v>
      </c>
      <c r="H1575" t="e">
        <f ca="1">_xludf.IMAGE("https://m.media-amazon.com/images/I/41nJh9Nus8S._AC_UL320_.jpg")</f>
        <v>#NAME?</v>
      </c>
      <c r="I1575" t="s">
        <v>3471</v>
      </c>
      <c r="J1575">
        <v>23.99</v>
      </c>
      <c r="K1575" s="4">
        <v>6.6699999999999995E-2</v>
      </c>
      <c r="L1575">
        <v>4.5</v>
      </c>
      <c r="M1575">
        <v>252</v>
      </c>
      <c r="O1575" t="s">
        <v>25</v>
      </c>
      <c r="P1575" t="s">
        <v>3472</v>
      </c>
      <c r="Q1575" t="s">
        <v>3473</v>
      </c>
    </row>
    <row r="1576" spans="1:17" ht="15.5" x14ac:dyDescent="0.35">
      <c r="A1576"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576" s="3" t="str">
        <f>HYPERLINK("https://edmondsonsupply.com/products/klein-tools-d2000-28glw-diagonal-cutting-pliers-hi-viz-8-inch", "https://edmondsonsupply.com/products/klein-tools-d2000-28glw-diagonal-cutting-pliers-hi-viz-8-inch")</f>
        <v>https://edmondsonsupply.com/products/klein-tools-d2000-28glw-diagonal-cutting-pliers-hi-viz-8-inch</v>
      </c>
      <c r="C1576" t="s">
        <v>4233</v>
      </c>
      <c r="D1576" t="s">
        <v>4234</v>
      </c>
      <c r="E1576" s="3" t="str">
        <f>HYPERLINK("https://www.amazon.com/Klein-Tools-J2000-48-Diagonal-Cutters/dp/B0006M6Y8O/ref=sr_1_7?keywords=Klein+Tools+D200028GLW+Diagonal+Cutting+Pliers%2C+High-Visibility%2C+8-Inch&amp;qid=1695173646&amp;sr=8-7", "https://www.amazon.com/Klein-Tools-J2000-48-Diagonal-Cutters/dp/B0006M6Y8O/ref=sr_1_7?keywords=Klein+Tools+D200028GLW+Diagonal+Cutting+Pliers%2C+High-Visibility%2C+8-Inch&amp;qid=1695173646&amp;sr=8-7")</f>
        <v>https://www.amazon.com/Klein-Tools-J2000-48-Diagonal-Cutters/dp/B0006M6Y8O/ref=sr_1_7?keywords=Klein+Tools+D200028GLW+Diagonal+Cutting+Pliers%2C+High-Visibility%2C+8-Inch&amp;qid=1695173646&amp;sr=8-7</v>
      </c>
      <c r="F1576" t="s">
        <v>4235</v>
      </c>
      <c r="G1576" t="e">
        <f ca="1">_xludf.IMAGE("https://edmondsonsupply.com/cdn/shop/products/d200028glw.jpg?v=1633030701")</f>
        <v>#NAME?</v>
      </c>
      <c r="H1576" t="e">
        <f ca="1">_xludf.IMAGE("https://m.media-amazon.com/images/I/41ZnJLE+YFL._AC_UL320_.jpg")</f>
        <v>#NAME?</v>
      </c>
      <c r="I1576" t="s">
        <v>67</v>
      </c>
      <c r="J1576">
        <v>39.99</v>
      </c>
      <c r="K1576" s="4">
        <v>6.6699999999999995E-2</v>
      </c>
      <c r="L1576">
        <v>4.8</v>
      </c>
      <c r="M1576">
        <v>1554</v>
      </c>
      <c r="O1576" t="s">
        <v>25</v>
      </c>
      <c r="P1576" t="s">
        <v>4236</v>
      </c>
      <c r="Q1576" t="s">
        <v>4237</v>
      </c>
    </row>
    <row r="1577" spans="1:17" ht="15.5" x14ac:dyDescent="0.35">
      <c r="A1577" s="3" t="str">
        <f>HYPERLINK("https://edmondsonsupply.com/collections/hvac/products/robertshaw-720-400-24vac-fast-opening-standing-pilot-gas-valve-150-000-btu", "https://edmondsonsupply.com/collections/hvac/products/robertshaw-720-400-24vac-fast-opening-standing-pilot-gas-valve-150-000-btu")</f>
        <v>https://edmondsonsupply.com/collections/hvac/products/robertshaw-720-400-24vac-fast-opening-standing-pilot-gas-valve-150-000-btu</v>
      </c>
      <c r="B1577" s="3" t="str">
        <f>HYPERLINK("https://edmondsonsupply.com/products/robertshaw-720-400-24vac-fast-opening-standing-pilot-gas-valve-150-000-btu", "https://edmondsonsupply.com/products/robertshaw-720-400-24vac-fast-opening-standing-pilot-gas-valve-150-000-btu")</f>
        <v>https://edmondsonsupply.com/products/robertshaw-720-400-24vac-fast-opening-standing-pilot-gas-valve-150-000-btu</v>
      </c>
      <c r="C1577" t="s">
        <v>4238</v>
      </c>
      <c r="D1577" t="s">
        <v>4239</v>
      </c>
      <c r="E1577" s="3" t="str">
        <f>HYPERLINK("https://www.amazon.com/Robertshaw-Valve-Fast-Opening-BtuH/dp/B07L5DZXRW/ref=sr_1_1?keywords=Robertshaw+720-400+24VAC%2C+Fast+Opening%2C+Standing+Pilot+Gas+Valve%2C+150%2C000+BTU&amp;qid=1695173388&amp;sr=8-1", "https://www.amazon.com/Robertshaw-Valve-Fast-Opening-BtuH/dp/B07L5DZXRW/ref=sr_1_1?keywords=Robertshaw+720-400+24VAC%2C+Fast+Opening%2C+Standing+Pilot+Gas+Valve%2C+150%2C000+BTU&amp;qid=1695173388&amp;sr=8-1")</f>
        <v>https://www.amazon.com/Robertshaw-Valve-Fast-Opening-BtuH/dp/B07L5DZXRW/ref=sr_1_1?keywords=Robertshaw+720-400+24VAC%2C+Fast+Opening%2C+Standing+Pilot+Gas+Valve%2C+150%2C000+BTU&amp;qid=1695173388&amp;sr=8-1</v>
      </c>
      <c r="F1577" t="s">
        <v>4240</v>
      </c>
      <c r="G1577" t="e">
        <f ca="1">_xludf.IMAGE("https://edmondsonsupply.com/cdn/shop/products/720-400.jpg?v=1633030768")</f>
        <v>#NAME?</v>
      </c>
      <c r="H1577" t="e">
        <f ca="1">_xludf.IMAGE("https://m.media-amazon.com/images/I/515iHN7GdoL._AC_UL320_.jpg")</f>
        <v>#NAME?</v>
      </c>
      <c r="I1577" t="s">
        <v>4241</v>
      </c>
      <c r="J1577">
        <v>111</v>
      </c>
      <c r="K1577" s="4">
        <v>6.6500000000000004E-2</v>
      </c>
      <c r="L1577">
        <v>5</v>
      </c>
      <c r="M1577">
        <v>1</v>
      </c>
      <c r="O1577" t="s">
        <v>25</v>
      </c>
      <c r="P1577" t="s">
        <v>4242</v>
      </c>
      <c r="Q1577" t="s">
        <v>4243</v>
      </c>
    </row>
    <row r="1578" spans="1:17" ht="15.5" x14ac:dyDescent="0.35">
      <c r="A1578"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578" s="3" t="str">
        <f>HYPERLINK("https://edmondsonsupply.com/products/klein-tools-d2000-28glw-diagonal-cutting-pliers-hi-viz-8-inch", "https://edmondsonsupply.com/products/klein-tools-d2000-28glw-diagonal-cutting-pliers-hi-viz-8-inch")</f>
        <v>https://edmondsonsupply.com/products/klein-tools-d2000-28glw-diagonal-cutting-pliers-hi-viz-8-inch</v>
      </c>
      <c r="C1578" t="s">
        <v>4233</v>
      </c>
      <c r="D1578" t="s">
        <v>4244</v>
      </c>
      <c r="E1578" s="3" t="str">
        <f>HYPERLINK("https://www.amazon.com/Klein-Tools-J248-8-Diagonal-Cutters-Angled/dp/B000CRY52A/ref=sr_1_8?keywords=Klein+Tools+D200028GLW+Diagonal+Cutting+Pliers%2C+High-Visibility%2C+8-Inch&amp;qid=1695173646&amp;sr=8-8", "https://www.amazon.com/Klein-Tools-J248-8-Diagonal-Cutters-Angled/dp/B000CRY52A/ref=sr_1_8?keywords=Klein+Tools+D200028GLW+Diagonal+Cutting+Pliers%2C+High-Visibility%2C+8-Inch&amp;qid=1695173646&amp;sr=8-8")</f>
        <v>https://www.amazon.com/Klein-Tools-J248-8-Diagonal-Cutters-Angled/dp/B000CRY52A/ref=sr_1_8?keywords=Klein+Tools+D200028GLW+Diagonal+Cutting+Pliers%2C+High-Visibility%2C+8-Inch&amp;qid=1695173646&amp;sr=8-8</v>
      </c>
      <c r="F1578" t="s">
        <v>4245</v>
      </c>
      <c r="G1578" t="e">
        <f ca="1">_xludf.IMAGE("https://edmondsonsupply.com/cdn/shop/products/d200028glw.jpg?v=1633030701")</f>
        <v>#NAME?</v>
      </c>
      <c r="H1578" t="e">
        <f ca="1">_xludf.IMAGE("https://m.media-amazon.com/images/I/51AWyzskD+L._AC_UL320_.jpg")</f>
        <v>#NAME?</v>
      </c>
      <c r="I1578" t="s">
        <v>67</v>
      </c>
      <c r="J1578">
        <v>39.97</v>
      </c>
      <c r="K1578" s="4">
        <v>6.6199999999999995E-2</v>
      </c>
      <c r="L1578">
        <v>4.9000000000000004</v>
      </c>
      <c r="M1578">
        <v>490</v>
      </c>
      <c r="O1578" t="s">
        <v>25</v>
      </c>
      <c r="P1578" t="s">
        <v>4236</v>
      </c>
      <c r="Q1578" t="s">
        <v>4237</v>
      </c>
    </row>
    <row r="1579" spans="1:17" ht="15.5" x14ac:dyDescent="0.35">
      <c r="A1579" s="3" t="str">
        <f>HYPERLINK("https://edmondsonsupply.com/collections/hvac/products/nu-calgon-4179-01-gallo-gun", "https://edmondsonsupply.com/collections/hvac/products/nu-calgon-4179-01-gallo-gun")</f>
        <v>https://edmondsonsupply.com/collections/hvac/products/nu-calgon-4179-01-gallo-gun</v>
      </c>
      <c r="B1579" s="3" t="str">
        <f>HYPERLINK("https://edmondsonsupply.com/products/nu-calgon-4179-01-gallo-gun", "https://edmondsonsupply.com/products/nu-calgon-4179-01-gallo-gun")</f>
        <v>https://edmondsonsupply.com/products/nu-calgon-4179-01-gallo-gun</v>
      </c>
      <c r="C1579" t="s">
        <v>4246</v>
      </c>
      <c r="D1579" t="s">
        <v>2039</v>
      </c>
      <c r="E1579" s="3" t="str">
        <f>HYPERLINK("https://www.amazon.com/Nu-Calgon-4179-01-Gallo-Gun-Clears-Condensate/dp/B0BSG1NW8T/ref=sr_1_1?keywords=Nu-Calgon+4179-01+Gallo+Gun+Condensate+Drain+Line+Cleaner&amp;qid=1695173349&amp;sr=8-1", "https://www.amazon.com/Nu-Calgon-4179-01-Gallo-Gun-Clears-Condensate/dp/B0BSG1NW8T/ref=sr_1_1?keywords=Nu-Calgon+4179-01+Gallo+Gun+Condensate+Drain+Line+Cleaner&amp;qid=1695173349&amp;sr=8-1")</f>
        <v>https://www.amazon.com/Nu-Calgon-4179-01-Gallo-Gun-Clears-Condensate/dp/B0BSG1NW8T/ref=sr_1_1?keywords=Nu-Calgon+4179-01+Gallo+Gun+Condensate+Drain+Line+Cleaner&amp;qid=1695173349&amp;sr=8-1</v>
      </c>
      <c r="F1579" t="s">
        <v>2040</v>
      </c>
      <c r="G1579" t="e">
        <f ca="1">_xludf.IMAGE("https://edmondsonsupply.com/cdn/shop/products/4179-01_20200624_pak.png?v=1659367795")</f>
        <v>#NAME?</v>
      </c>
      <c r="H1579" t="e">
        <f ca="1">_xludf.IMAGE("https://m.media-amazon.com/images/I/7158+93inqL._AC_UL320_.jpg")</f>
        <v>#NAME?</v>
      </c>
      <c r="I1579" t="s">
        <v>4247</v>
      </c>
      <c r="J1579">
        <v>53.17</v>
      </c>
      <c r="K1579" s="4">
        <v>6.5699999999999995E-2</v>
      </c>
      <c r="L1579">
        <v>3.7</v>
      </c>
      <c r="M1579">
        <v>8</v>
      </c>
      <c r="O1579" t="s">
        <v>25</v>
      </c>
      <c r="P1579" t="s">
        <v>4248</v>
      </c>
      <c r="Q1579" t="s">
        <v>4249</v>
      </c>
    </row>
    <row r="1580" spans="1:17" ht="15.5" x14ac:dyDescent="0.35">
      <c r="A1580" s="3" t="str">
        <f>HYPERLINK("https://edmondsonsupply.com/collections/hvac/products/fluke-1587-fc-insulation-multimeter", "https://edmondsonsupply.com/collections/hvac/products/fluke-1587-fc-insulation-multimeter")</f>
        <v>https://edmondsonsupply.com/collections/hvac/products/fluke-1587-fc-insulation-multimeter</v>
      </c>
      <c r="B1580" s="3" t="str">
        <f>HYPERLINK("https://edmondsonsupply.com/products/fluke-1587-fc-insulation-multimeter", "https://edmondsonsupply.com/products/fluke-1587-fc-insulation-multimeter")</f>
        <v>https://edmondsonsupply.com/products/fluke-1587-fc-insulation-multimeter</v>
      </c>
      <c r="C1580" t="s">
        <v>4074</v>
      </c>
      <c r="D1580" t="s">
        <v>4250</v>
      </c>
      <c r="E1580" s="3" t="str">
        <f>HYPERLINK("https://www.amazon.com/Fluke-Insulation-Multimeter-Telecommunications-Resistance/dp/B0012WTHIQ/ref=sr_1_8?keywords=Fluke+1587+FC+Insulation+Multimeter&amp;qid=1695173471&amp;sr=8-8", "https://www.amazon.com/Fluke-Insulation-Multimeter-Telecommunications-Resistance/dp/B0012WTHIQ/ref=sr_1_8?keywords=Fluke+1587+FC+Insulation+Multimeter&amp;qid=1695173471&amp;sr=8-8")</f>
        <v>https://www.amazon.com/Fluke-Insulation-Multimeter-Telecommunications-Resistance/dp/B0012WTHIQ/ref=sr_1_8?keywords=Fluke+1587+FC+Insulation+Multimeter&amp;qid=1695173471&amp;sr=8-8</v>
      </c>
      <c r="F1580" t="s">
        <v>4251</v>
      </c>
      <c r="G1580" t="e">
        <f ca="1">_xludf.IMAGE("https://edmondsonsupply.com/cdn/shop/products/Fluke_1587_FC_True-rms_Insulation_Multimeter__1280x1006px_E_NR-20298.jpg?v=1633031188")</f>
        <v>#NAME?</v>
      </c>
      <c r="H1580" t="e">
        <f ca="1">_xludf.IMAGE("https://m.media-amazon.com/images/I/91ygwKv9dWL._AC_UL320_.jpg")</f>
        <v>#NAME?</v>
      </c>
      <c r="I1580" t="s">
        <v>4077</v>
      </c>
      <c r="J1580">
        <v>989.99</v>
      </c>
      <c r="K1580" s="4">
        <v>6.4500000000000002E-2</v>
      </c>
      <c r="L1580">
        <v>5</v>
      </c>
      <c r="M1580">
        <v>1</v>
      </c>
      <c r="O1580" t="s">
        <v>25</v>
      </c>
      <c r="P1580" t="s">
        <v>4078</v>
      </c>
      <c r="Q1580" t="s">
        <v>4079</v>
      </c>
    </row>
    <row r="1581" spans="1:17" ht="15.5" x14ac:dyDescent="0.35">
      <c r="A1581"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1581"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1581" t="s">
        <v>2344</v>
      </c>
      <c r="D1581" t="s">
        <v>3163</v>
      </c>
      <c r="E1581" s="3" t="str">
        <f>HYPERLINK("https://www.amazon.com/Journeyman-T-Handle-Klein-Tools-JTH9E14/dp/B004QVAH4I/ref=sr_1_3?keywords=Klein+Tools+JTH6E14+5%2F16-Inch+Hex+Key+with+Journeyman+T-Handle%2C+6-Inch&amp;qid=1695173449&amp;sr=8-3", "https://www.amazon.com/Journeyman-T-Handle-Klein-Tools-JTH9E14/dp/B004QVAH4I/ref=sr_1_3?keywords=Klein+Tools+JTH6E14+5%2F16-Inch+Hex+Key+with+Journeyman+T-Handle%2C+6-Inch&amp;qid=1695173449&amp;sr=8-3")</f>
        <v>https://www.amazon.com/Journeyman-T-Handle-Klein-Tools-JTH9E14/dp/B004QVAH4I/ref=sr_1_3?keywords=Klein+Tools+JTH6E14+5%2F16-Inch+Hex+Key+with+Journeyman+T-Handle%2C+6-Inch&amp;qid=1695173449&amp;sr=8-3</v>
      </c>
      <c r="F1581" t="s">
        <v>3164</v>
      </c>
      <c r="G1581" t="e">
        <f ca="1">_xludf.IMAGE("https://edmondsonsupply.com/cdn/shop/products/jth6e15.jpg?v=1587148489")</f>
        <v>#NAME?</v>
      </c>
      <c r="H1581" t="e">
        <f ca="1">_xludf.IMAGE("https://m.media-amazon.com/images/I/51Yb8h41vLL._AC_UL320_.jpg")</f>
        <v>#NAME?</v>
      </c>
      <c r="I1581" t="s">
        <v>2347</v>
      </c>
      <c r="J1581">
        <v>7.44</v>
      </c>
      <c r="K1581" s="4">
        <v>6.4399999999999999E-2</v>
      </c>
      <c r="L1581">
        <v>4.8</v>
      </c>
      <c r="M1581">
        <v>114</v>
      </c>
      <c r="O1581" t="s">
        <v>25</v>
      </c>
      <c r="P1581" t="s">
        <v>1140</v>
      </c>
      <c r="Q1581" t="s">
        <v>2348</v>
      </c>
    </row>
    <row r="1582" spans="1:17" ht="15.5" x14ac:dyDescent="0.35">
      <c r="A1582" s="3" t="str">
        <f>HYPERLINK("https://edmondsonsupply.com/collections/hvac/products/nu-calgon-4050-05-easyseal-ultimate-ss-ac-leak-sealant", "https://edmondsonsupply.com/collections/hvac/products/nu-calgon-4050-05-easyseal-ultimate-ss-ac-leak-sealant")</f>
        <v>https://edmondsonsupply.com/collections/hvac/products/nu-calgon-4050-05-easyseal-ultimate-ss-ac-leak-sealant</v>
      </c>
      <c r="B1582" s="3" t="str">
        <f>HYPERLINK("https://edmondsonsupply.com/products/nu-calgon-4050-05-easyseal-ultimate-ss-ac-leak-sealant", "https://edmondsonsupply.com/products/nu-calgon-4050-05-easyseal-ultimate-ss-ac-leak-sealant")</f>
        <v>https://edmondsonsupply.com/products/nu-calgon-4050-05-easyseal-ultimate-ss-ac-leak-sealant</v>
      </c>
      <c r="C1582" t="s">
        <v>3749</v>
      </c>
      <c r="D1582" t="s">
        <v>4252</v>
      </c>
      <c r="E1582" s="3" t="str">
        <f>HYPERLINK("https://www.amazon.com/Nu-Calgon-4050-05-EasySeal-SS-Refrigerant-Fractional/dp/B014T2K8WO/ref=sr_1_1?keywords=Nu-Calgon+4050-05+EasySeal+Ultimate-SS+AC+Leak+Sealant&amp;qid=1695173471&amp;sr=8-1", "https://www.amazon.com/Nu-Calgon-4050-05-EasySeal-SS-Refrigerant-Fractional/dp/B014T2K8WO/ref=sr_1_1?keywords=Nu-Calgon+4050-05+EasySeal+Ultimate-SS+AC+Leak+Sealant&amp;qid=1695173471&amp;sr=8-1")</f>
        <v>https://www.amazon.com/Nu-Calgon-4050-05-EasySeal-SS-Refrigerant-Fractional/dp/B014T2K8WO/ref=sr_1_1?keywords=Nu-Calgon+4050-05+EasySeal+Ultimate-SS+AC+Leak+Sealant&amp;qid=1695173471&amp;sr=8-1</v>
      </c>
      <c r="F1582" t="s">
        <v>4253</v>
      </c>
      <c r="G1582" t="e">
        <f ca="1">_xludf.IMAGE("https://edmondsonsupply.com/cdn/shop/products/4050-05a.jpg?v=1658965880")</f>
        <v>#NAME?</v>
      </c>
      <c r="H1582" t="e">
        <f ca="1">_xludf.IMAGE("https://m.media-amazon.com/images/I/71Kg73kPLyL._AC_UL320_.jpg")</f>
        <v>#NAME?</v>
      </c>
      <c r="I1582" t="s">
        <v>3750</v>
      </c>
      <c r="J1582">
        <v>56.35</v>
      </c>
      <c r="K1582" s="4">
        <v>6.3399999999999998E-2</v>
      </c>
      <c r="L1582">
        <v>3.7</v>
      </c>
      <c r="M1582">
        <v>24</v>
      </c>
      <c r="O1582" t="s">
        <v>25</v>
      </c>
      <c r="P1582" t="s">
        <v>3751</v>
      </c>
      <c r="Q1582" t="s">
        <v>3752</v>
      </c>
    </row>
    <row r="1583" spans="1:17" ht="15.5" x14ac:dyDescent="0.35">
      <c r="A1583" s="3" t="str">
        <f>HYPERLINK("https://edmondsonsupply.com/collections/hvac/products/uniweld-70022", "https://edmondsonsupply.com/collections/hvac/products/uniweld-70022")</f>
        <v>https://edmondsonsupply.com/collections/hvac/products/uniweld-70022</v>
      </c>
      <c r="B1583" s="3" t="str">
        <f>HYPERLINK("https://edmondsonsupply.com/products/uniweld-70022", "https://edmondsonsupply.com/products/uniweld-70022")</f>
        <v>https://edmondsonsupply.com/products/uniweld-70022</v>
      </c>
      <c r="C1583" t="s">
        <v>3613</v>
      </c>
      <c r="D1583" t="s">
        <v>151</v>
      </c>
      <c r="E1583" s="3" t="str">
        <f>HYPERLINK("https://www.amazon.com/Uniweld-DHW316/dp/B00ECC6DR6/ref=sr_1_2?keywords=Uniweld+70022+Ratchet+Service+Wrench&amp;qid=1695173507&amp;sr=8-2", "https://www.amazon.com/Uniweld-DHW316/dp/B00ECC6DR6/ref=sr_1_2?keywords=Uniweld+70022+Ratchet+Service+Wrench&amp;qid=1695173507&amp;sr=8-2")</f>
        <v>https://www.amazon.com/Uniweld-DHW316/dp/B00ECC6DR6/ref=sr_1_2?keywords=Uniweld+70022+Ratchet+Service+Wrench&amp;qid=1695173507&amp;sr=8-2</v>
      </c>
      <c r="F1583" t="s">
        <v>152</v>
      </c>
      <c r="G1583" t="e">
        <f ca="1">_xludf.IMAGE("https://edmondsonsupply.com/cdn/shop/products/70022_pkg.jpg?v=1656082349")</f>
        <v>#NAME?</v>
      </c>
      <c r="H1583" t="e">
        <f ca="1">_xludf.IMAGE("https://m.media-amazon.com/images/I/61AUWm45d4L._AC_UL320_.jpg")</f>
        <v>#NAME?</v>
      </c>
      <c r="I1583" t="s">
        <v>3616</v>
      </c>
      <c r="J1583">
        <v>14.19</v>
      </c>
      <c r="K1583" s="4">
        <v>5.9700000000000003E-2</v>
      </c>
      <c r="L1583">
        <v>3.9</v>
      </c>
      <c r="M1583">
        <v>26</v>
      </c>
      <c r="O1583" t="s">
        <v>25</v>
      </c>
      <c r="P1583" t="s">
        <v>3617</v>
      </c>
      <c r="Q1583" t="s">
        <v>3618</v>
      </c>
    </row>
    <row r="1584" spans="1:17" ht="15.5" x14ac:dyDescent="0.35">
      <c r="A1584" s="3" t="str">
        <f>HYPERLINK("https://edmondsonsupply.com/collections/hvac/products/white-rodgers-21d64-2-hotrod%E2%84%A2-120v-nitride-universal-hot-surface-ignitor", "https://edmondsonsupply.com/collections/hvac/products/white-rodgers-21d64-2-hotrod%E2%84%A2-120v-nitride-universal-hot-surface-ignitor")</f>
        <v>https://edmondsonsupply.com/collections/hvac/products/white-rodgers-21d64-2-hotrod%E2%84%A2-120v-nitride-universal-hot-surface-ignitor</v>
      </c>
      <c r="B1584" s="3" t="str">
        <f>HYPERLINK("https://edmondsonsupply.com/products/white-rodgers-21d64-2-hotrod%e2%84%a2-120v-nitride-universal-hot-surface-ignitor", "https://edmondsonsupply.com/products/white-rodgers-21d64-2-hotrod%e2%84%a2-120v-nitride-universal-hot-surface-ignitor")</f>
        <v>https://edmondsonsupply.com/products/white-rodgers-21d64-2-hotrod%e2%84%a2-120v-nitride-universal-hot-surface-ignitor</v>
      </c>
      <c r="C1584" t="s">
        <v>4254</v>
      </c>
      <c r="D1584" t="s">
        <v>4255</v>
      </c>
      <c r="E1584" s="3" t="str">
        <f>HYPERLINK("https://www.amazon.com/White-Rodgers-21D64-2-Universal-Silicon/dp/B00BTLLJ40/ref=sr_1_1?keywords=White-Rodgers+21D64-2+HotRod%E2%84%A2+120V+Nitride+Universal+Hot+Surface+Ignitor&amp;qid=1695173638&amp;sr=8-1", "https://www.amazon.com/White-Rodgers-21D64-2-Universal-Silicon/dp/B00BTLLJ40/ref=sr_1_1?keywords=White-Rodgers+21D64-2+HotRod%E2%84%A2+120V+Nitride+Universal+Hot+Surface+Ignitor&amp;qid=1695173638&amp;sr=8-1")</f>
        <v>https://www.amazon.com/White-Rodgers-21D64-2-Universal-Silicon/dp/B00BTLLJ40/ref=sr_1_1?keywords=White-Rodgers+21D64-2+HotRod%E2%84%A2+120V+Nitride+Universal+Hot+Surface+Ignitor&amp;qid=1695173638&amp;sr=8-1</v>
      </c>
      <c r="F1584" t="s">
        <v>4256</v>
      </c>
      <c r="G1584" t="e">
        <f ca="1">_xludf.IMAGE("https://edmondsonsupply.com/cdn/shop/products/21d64-2.png?v=1649028076")</f>
        <v>#NAME?</v>
      </c>
      <c r="H1584" t="e">
        <f ca="1">_xludf.IMAGE("https://m.media-amazon.com/images/I/71bXfIO696L._AC_UY218_.jpg")</f>
        <v>#NAME?</v>
      </c>
      <c r="I1584" t="s">
        <v>4257</v>
      </c>
      <c r="J1584">
        <v>31.85</v>
      </c>
      <c r="K1584" s="4">
        <v>5.9200000000000003E-2</v>
      </c>
      <c r="L1584">
        <v>4.5999999999999996</v>
      </c>
      <c r="M1584">
        <v>226</v>
      </c>
      <c r="O1584" t="s">
        <v>25</v>
      </c>
      <c r="P1584" t="s">
        <v>4136</v>
      </c>
      <c r="Q1584" t="s">
        <v>4258</v>
      </c>
    </row>
    <row r="1585" spans="1:17" ht="15.5" x14ac:dyDescent="0.35">
      <c r="A1585" s="3" t="str">
        <f>HYPERLINK("https://edmondsonsupply.com/collections/hvac/products/testo-0560-1410-01-410i-vane-anemometer-wireless-smart-probe", "https://edmondsonsupply.com/collections/hvac/products/testo-0560-1410-01-410i-vane-anemometer-wireless-smart-probe")</f>
        <v>https://edmondsonsupply.com/collections/hvac/products/testo-0560-1410-01-410i-vane-anemometer-wireless-smart-probe</v>
      </c>
      <c r="B1585" s="3" t="str">
        <f>HYPERLINK("https://edmondsonsupply.com/products/testo-0560-1410-01-410i-vane-anemometer-wireless-smart-probe", "https://edmondsonsupply.com/products/testo-0560-1410-01-410i-vane-anemometer-wireless-smart-probe")</f>
        <v>https://edmondsonsupply.com/products/testo-0560-1410-01-410i-vane-anemometer-wireless-smart-probe</v>
      </c>
      <c r="C1585" t="s">
        <v>4259</v>
      </c>
      <c r="D1585" t="s">
        <v>4260</v>
      </c>
      <c r="E1585" s="3" t="str">
        <f>HYPERLINK("https://www.amazon.com/Testo-0560-1410-Anemometer-Wireless/dp/B018VO5GIM/ref=sr_1_1?keywords=Testo+0560+1410+01+-+410i+Vane+Anemometer+Wireless+Smart+Probe&amp;qid=1695173561&amp;sr=8-1", "https://www.amazon.com/Testo-0560-1410-Anemometer-Wireless/dp/B018VO5GIM/ref=sr_1_1?keywords=Testo+0560+1410+01+-+410i+Vane+Anemometer+Wireless+Smart+Probe&amp;qid=1695173561&amp;sr=8-1")</f>
        <v>https://www.amazon.com/Testo-0560-1410-Anemometer-Wireless/dp/B018VO5GIM/ref=sr_1_1?keywords=Testo+0560+1410+01+-+410i+Vane+Anemometer+Wireless+Smart+Probe&amp;qid=1695173561&amp;sr=8-1</v>
      </c>
      <c r="F1585" t="s">
        <v>4261</v>
      </c>
      <c r="G1585" t="e">
        <f ca="1">_xludf.IMAGE("https://edmondsonsupply.com/cdn/shop/products/testo-410i-velocity-front_master.jpg?v=1587142563")</f>
        <v>#NAME?</v>
      </c>
      <c r="H1585" t="e">
        <f ca="1">_xludf.IMAGE("https://m.media-amazon.com/images/I/51zFrsbbAmL._AC_UY218_.jpg")</f>
        <v>#NAME?</v>
      </c>
      <c r="I1585" t="s">
        <v>4262</v>
      </c>
      <c r="J1585">
        <v>139.37</v>
      </c>
      <c r="K1585" s="4">
        <v>5.7799999999999997E-2</v>
      </c>
      <c r="L1585">
        <v>4.5</v>
      </c>
      <c r="M1585">
        <v>176</v>
      </c>
      <c r="O1585" t="s">
        <v>25</v>
      </c>
      <c r="P1585" t="s">
        <v>4263</v>
      </c>
      <c r="Q1585" t="s">
        <v>4264</v>
      </c>
    </row>
    <row r="1586" spans="1:17" ht="15.5" x14ac:dyDescent="0.35">
      <c r="A1586" s="3" t="str">
        <f>HYPERLINK("https://edmondsonsupply.com/collections/hvac/products/freud-99-240-2-drawer-lock-bit", "https://edmondsonsupply.com/collections/hvac/products/freud-99-240-2-drawer-lock-bit")</f>
        <v>https://edmondsonsupply.com/collections/hvac/products/freud-99-240-2-drawer-lock-bit</v>
      </c>
      <c r="B1586" s="3" t="str">
        <f>HYPERLINK("https://edmondsonsupply.com/products/freud-99-240-2-drawer-lock-bit", "https://edmondsonsupply.com/products/freud-99-240-2-drawer-lock-bit")</f>
        <v>https://edmondsonsupply.com/products/freud-99-240-2-drawer-lock-bit</v>
      </c>
      <c r="C1586" t="s">
        <v>2358</v>
      </c>
      <c r="D1586" t="s">
        <v>4265</v>
      </c>
      <c r="E1586" s="3" t="str">
        <f>HYPERLINK("https://www.amazon.com/Freud-99-239-4-Inch-2-Inch-Drawer/dp/B0002TUDME/ref=sr_1_5?keywords=Freud+99-240+2%22+Drawer+Lock+Bit&amp;qid=1695173757&amp;sr=8-5", "https://www.amazon.com/Freud-99-239-4-Inch-2-Inch-Drawer/dp/B0002TUDME/ref=sr_1_5?keywords=Freud+99-240+2%22+Drawer+Lock+Bit&amp;qid=1695173757&amp;sr=8-5")</f>
        <v>https://www.amazon.com/Freud-99-239-4-Inch-2-Inch-Drawer/dp/B0002TUDME/ref=sr_1_5?keywords=Freud+99-240+2%22+Drawer+Lock+Bit&amp;qid=1695173757&amp;sr=8-5</v>
      </c>
      <c r="F1586" t="s">
        <v>4266</v>
      </c>
      <c r="G1586" t="e">
        <f ca="1">_xludf.IMAGE("https://edmondsonsupply.com/cdn/shop/files/2-dia-drawer-lock-bit.webp?v=1687359925")</f>
        <v>#NAME?</v>
      </c>
      <c r="H1586" t="e">
        <f ca="1">_xludf.IMAGE("https://m.media-amazon.com/images/I/71r1txo5pmL._AC_UL320_.jpg")</f>
        <v>#NAME?</v>
      </c>
      <c r="I1586" t="s">
        <v>2361</v>
      </c>
      <c r="J1586">
        <v>39.090000000000003</v>
      </c>
      <c r="K1586" s="4">
        <v>5.7099999999999998E-2</v>
      </c>
      <c r="L1586">
        <v>4.8</v>
      </c>
      <c r="M1586">
        <v>9</v>
      </c>
      <c r="O1586" t="s">
        <v>25</v>
      </c>
      <c r="P1586" t="s">
        <v>2362</v>
      </c>
      <c r="Q1586" t="s">
        <v>2363</v>
      </c>
    </row>
    <row r="1587" spans="1:17" ht="15.5" x14ac:dyDescent="0.35">
      <c r="A1587" s="3" t="str">
        <f>HYPERLINK("https://edmondsonsupply.com/collections/hvac/products/cps-pro-set-tlvcs", "https://edmondsonsupply.com/collections/hvac/products/cps-pro-set-tlvcs")</f>
        <v>https://edmondsonsupply.com/collections/hvac/products/cps-pro-set-tlvcs</v>
      </c>
      <c r="B1587" s="3" t="str">
        <f>HYPERLINK("https://edmondsonsupply.com/products/cps-pro-set-tlvcs", "https://edmondsonsupply.com/products/cps-pro-set-tlvcs")</f>
        <v>https://edmondsonsupply.com/products/cps-pro-set-tlvcs</v>
      </c>
      <c r="C1587" t="s">
        <v>3804</v>
      </c>
      <c r="D1587" t="s">
        <v>4267</v>
      </c>
      <c r="E1587" s="3" t="str">
        <f>HYPERLINK("https://www.amazon.com/Inch-Ball-Valve-Remover-Installer/dp/B009M9V392/ref=sr_1_1?keywords=CPS+Products+Pro-Set%C2%AE+TLVCS+1%2F4%22+SAE+Valve+Core+Remover+%2F+Installer+Tool+w%2F+Side+Port&amp;qid=1695173653&amp;sr=8-1", "https://www.amazon.com/Inch-Ball-Valve-Remover-Installer/dp/B009M9V392/ref=sr_1_1?keywords=CPS+Products+Pro-Set%C2%AE+TLVCS+1%2F4%22+SAE+Valve+Core+Remover+%2F+Installer+Tool+w%2F+Side+Port&amp;qid=1695173653&amp;sr=8-1")</f>
        <v>https://www.amazon.com/Inch-Ball-Valve-Remover-Installer/dp/B009M9V392/ref=sr_1_1?keywords=CPS+Products+Pro-Set%C2%AE+TLVCS+1%2F4%22+SAE+Valve+Core+Remover+%2F+Installer+Tool+w%2F+Side+Port&amp;qid=1695173653&amp;sr=8-1</v>
      </c>
      <c r="F1587" t="s">
        <v>4268</v>
      </c>
      <c r="G1587" t="e">
        <f ca="1">_xludf.IMAGE("https://edmondsonsupply.com/cdn/shop/products/TLVCS.jpg?v=1587148860")</f>
        <v>#NAME?</v>
      </c>
      <c r="H1587" t="e">
        <f ca="1">_xludf.IMAGE("https://m.media-amazon.com/images/I/416forpOGRL._AC_UL320_.jpg")</f>
        <v>#NAME?</v>
      </c>
      <c r="I1587" t="s">
        <v>3807</v>
      </c>
      <c r="J1587">
        <v>39</v>
      </c>
      <c r="K1587" s="4">
        <v>5.6099999999999997E-2</v>
      </c>
      <c r="L1587">
        <v>4.0999999999999996</v>
      </c>
      <c r="M1587">
        <v>5</v>
      </c>
      <c r="O1587" t="s">
        <v>25</v>
      </c>
      <c r="P1587" t="s">
        <v>3807</v>
      </c>
      <c r="Q1587" t="s">
        <v>3808</v>
      </c>
    </row>
    <row r="1588" spans="1:17" ht="15.5" x14ac:dyDescent="0.35">
      <c r="A1588"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588" s="3" t="str">
        <f>HYPERLINK("https://edmondsonsupply.com/products/klein-tools-s8m-1-4-inch-magnetic-nut-driver-3-inch-shank", "https://edmondsonsupply.com/products/klein-tools-s8m-1-4-inch-magnetic-nut-driver-3-inch-shank")</f>
        <v>https://edmondsonsupply.com/products/klein-tools-s8m-1-4-inch-magnetic-nut-driver-3-inch-shank</v>
      </c>
      <c r="C1588" t="s">
        <v>3809</v>
      </c>
      <c r="D1588" t="s">
        <v>3884</v>
      </c>
      <c r="E1588" s="3" t="str">
        <f>HYPERLINK("https://www.amazon.com/Magnetic-Cushion-Klein-610-1-4M/dp/B00093GE3A/ref=sr_1_4?keywords=Klein+Tools+S8M+1%2F4-Inch+Magnetic+Nut+Driver+3-Inch+Shank&amp;qid=1695173652&amp;sr=8-4", "https://www.amazon.com/Magnetic-Cushion-Klein-610-1-4M/dp/B00093GE3A/ref=sr_1_4?keywords=Klein+Tools+S8M+1%2F4-Inch+Magnetic+Nut+Driver+3-Inch+Shank&amp;qid=1695173652&amp;sr=8-4")</f>
        <v>https://www.amazon.com/Magnetic-Cushion-Klein-610-1-4M/dp/B00093GE3A/ref=sr_1_4?keywords=Klein+Tools+S8M+1%2F4-Inch+Magnetic+Nut+Driver+3-Inch+Shank&amp;qid=1695173652&amp;sr=8-4</v>
      </c>
      <c r="F1588" t="s">
        <v>3885</v>
      </c>
      <c r="G1588" t="e">
        <f ca="1">_xludf.IMAGE("https://edmondsonsupply.com/cdn/shop/products/s8m.jpg?v=1633030818")</f>
        <v>#NAME?</v>
      </c>
      <c r="H1588" t="e">
        <f ca="1">_xludf.IMAGE("https://m.media-amazon.com/images/I/41piyjqJVeL._AC_UL320_.jpg")</f>
        <v>#NAME?</v>
      </c>
      <c r="I1588" t="s">
        <v>924</v>
      </c>
      <c r="J1588">
        <v>9.49</v>
      </c>
      <c r="K1588" s="4">
        <v>5.5599999999999997E-2</v>
      </c>
      <c r="L1588">
        <v>4.8</v>
      </c>
      <c r="M1588">
        <v>260</v>
      </c>
      <c r="O1588" t="s">
        <v>25</v>
      </c>
      <c r="P1588" t="s">
        <v>3812</v>
      </c>
      <c r="Q1588" t="s">
        <v>3813</v>
      </c>
    </row>
    <row r="1589" spans="1:17" ht="15.5" x14ac:dyDescent="0.35">
      <c r="A1589"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589"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589" t="s">
        <v>2903</v>
      </c>
      <c r="D1589" t="s">
        <v>4269</v>
      </c>
      <c r="E1589" s="3" t="str">
        <f>HYPERLINK("https://www.amazon.com/Diablo-Freud-DMAMX1300-4-Cutter-Carbide-Tipped/dp/B089KX2QSQ/ref=sr_1_1?keywords=Diablo+Tools+DMAMX1300+1-1%2F4+in.+x+16+in.+x+21+in.+Rebar+Demon%E2%84%A2+SDS-Max+4-Cutter+Full+Carbide+Head+Hammer+Drill+Bit&amp;qid=1695173488&amp;sr=8-1", "https://www.amazon.com/Diablo-Freud-DMAMX1300-4-Cutter-Carbide-Tipped/dp/B089KX2QSQ/ref=sr_1_1?keywords=Diablo+Tools+DMAMX1300+1-1%2F4+in.+x+16+in.+x+21+in.+Rebar+Demon%E2%84%A2+SDS-Max+4-Cutter+Full+Carbide+Head+Hammer+Drill+Bit&amp;qid=1695173488&amp;sr=8-1")</f>
        <v>https://www.amazon.com/Diablo-Freud-DMAMX1300-4-Cutter-Carbide-Tipped/dp/B089KX2QSQ/ref=sr_1_1?keywords=Diablo+Tools+DMAMX1300+1-1%2F4+in.+x+16+in.+x+21+in.+Rebar+Demon%E2%84%A2+SDS-Max+4-Cutter+Full+Carbide+Head+Hammer+Drill+Bit&amp;qid=1695173488&amp;sr=8-1</v>
      </c>
      <c r="F1589" t="s">
        <v>4270</v>
      </c>
      <c r="G1589" t="e">
        <f ca="1">_xludf.IMAGE("https://edmondsonsupply.com/cdn/shop/files/immoyh7jjmbau4fzhuq6_7dd7fd73-2865-4c12-9443-da45b48dbd51.webp?v=1685465465")</f>
        <v>#NAME?</v>
      </c>
      <c r="H1589" t="e">
        <f ca="1">_xludf.IMAGE("https://m.media-amazon.com/images/I/61pgqdG9SfL._AC_UL320_.jpg")</f>
        <v>#NAME?</v>
      </c>
      <c r="I1589" t="s">
        <v>2906</v>
      </c>
      <c r="J1589">
        <v>70</v>
      </c>
      <c r="K1589" s="4">
        <v>5.4199999999999998E-2</v>
      </c>
      <c r="L1589">
        <v>5</v>
      </c>
      <c r="M1589">
        <v>2</v>
      </c>
      <c r="O1589" t="s">
        <v>171</v>
      </c>
      <c r="P1589" t="s">
        <v>2907</v>
      </c>
      <c r="Q1589" t="s">
        <v>2908</v>
      </c>
    </row>
    <row r="1590" spans="1:17" ht="15.5" x14ac:dyDescent="0.35">
      <c r="A1590" s="3" t="str">
        <f>HYPERLINK("https://edmondsonsupply.com/collections/hvac/products/speedclean-coiljet%C2%AE-cj-125-hvac-coil-cleaner-system", "https://edmondsonsupply.com/collections/hvac/products/speedclean-coiljet%C2%AE-cj-125-hvac-coil-cleaner-system")</f>
        <v>https://edmondsonsupply.com/collections/hvac/products/speedclean-coiljet%C2%AE-cj-125-hvac-coil-cleaner-system</v>
      </c>
      <c r="B1590" s="3" t="str">
        <f>HYPERLINK("https://edmondsonsupply.com/products/speedclean-coiljet%c2%ae-cj-125-hvac-coil-cleaner-system", "https://edmondsonsupply.com/products/speedclean-coiljet%c2%ae-cj-125-hvac-coil-cleaner-system")</f>
        <v>https://edmondsonsupply.com/products/speedclean-coiljet%c2%ae-cj-125-hvac-coil-cleaner-system</v>
      </c>
      <c r="C1590" t="s">
        <v>4271</v>
      </c>
      <c r="D1590" t="s">
        <v>4272</v>
      </c>
      <c r="E1590" s="3" t="str">
        <f>HYPERLINK("https://www.amazon.com/SpeedClean-Portable-CoilJet-Condenser-Evaporator/dp/B003ZZZ6EM/ref=sr_1_1?keywords=SpeedClean+CoilJet%C2%AE+CJ-125+HVAC+Coil+Cleaner+System&amp;qid=1695173393&amp;sr=8-1", "https://www.amazon.com/SpeedClean-Portable-CoilJet-Condenser-Evaporator/dp/B003ZZZ6EM/ref=sr_1_1?keywords=SpeedClean+CoilJet%C2%AE+CJ-125+HVAC+Coil+Cleaner+System&amp;qid=1695173393&amp;sr=8-1")</f>
        <v>https://www.amazon.com/SpeedClean-Portable-CoilJet-Condenser-Evaporator/dp/B003ZZZ6EM/ref=sr_1_1?keywords=SpeedClean+CoilJet%C2%AE+CJ-125+HVAC+Coil+Cleaner+System&amp;qid=1695173393&amp;sr=8-1</v>
      </c>
      <c r="F1590" t="s">
        <v>4273</v>
      </c>
      <c r="G1590" t="e">
        <f ca="1">_xludf.IMAGE("https://edmondsonsupply.com/cdn/shop/products/SpeedClean-CJ125_1.jpg?v=1633030984")</f>
        <v>#NAME?</v>
      </c>
      <c r="H1590" t="e">
        <f ca="1">_xludf.IMAGE("https://m.media-amazon.com/images/I/51e-z2PcDEL._AC_UL320_.jpg")</f>
        <v>#NAME?</v>
      </c>
      <c r="I1590" t="s">
        <v>4274</v>
      </c>
      <c r="J1590">
        <v>759.98</v>
      </c>
      <c r="K1590" s="4">
        <v>5.28E-2</v>
      </c>
      <c r="L1590">
        <v>4.4000000000000004</v>
      </c>
      <c r="M1590">
        <v>31</v>
      </c>
      <c r="O1590" t="s">
        <v>25</v>
      </c>
      <c r="P1590" t="s">
        <v>138</v>
      </c>
      <c r="Q1590" t="s">
        <v>4275</v>
      </c>
    </row>
    <row r="1591" spans="1:17" ht="15.5" x14ac:dyDescent="0.35">
      <c r="A1591" s="3" t="str">
        <f>HYPERLINK("https://edmondsonsupply.com/collections/hvac/products/klein-tools-80028-electricians-tool-kit-28-piece", "https://edmondsonsupply.com/collections/hvac/products/klein-tools-80028-electricians-tool-kit-28-piece")</f>
        <v>https://edmondsonsupply.com/collections/hvac/products/klein-tools-80028-electricians-tool-kit-28-piece</v>
      </c>
      <c r="B1591" s="3" t="str">
        <f>HYPERLINK("https://edmondsonsupply.com/products/klein-tools-80028-electricians-tool-kit-28-piece", "https://edmondsonsupply.com/products/klein-tools-80028-electricians-tool-kit-28-piece")</f>
        <v>https://edmondsonsupply.com/products/klein-tools-80028-electricians-tool-kit-28-piece</v>
      </c>
      <c r="C1591" t="s">
        <v>4066</v>
      </c>
      <c r="D1591" t="s">
        <v>4276</v>
      </c>
      <c r="E1591" s="3" t="str">
        <f>HYPERLINK("https://www.amazon.com/Klein-Tools-Screwdrivers-28-Piece-Lockback/dp/B0BXK9YSJS/ref=sr_1_3?keywords=Klein+Tools+80028+Electrician%27s+Tool+Kit%2C+28-Piece&amp;qid=1695173551&amp;sr=8-3", "https://www.amazon.com/Klein-Tools-Screwdrivers-28-Piece-Lockback/dp/B0BXK9YSJS/ref=sr_1_3?keywords=Klein+Tools+80028+Electrician%27s+Tool+Kit%2C+28-Piece&amp;qid=1695173551&amp;sr=8-3")</f>
        <v>https://www.amazon.com/Klein-Tools-Screwdrivers-28-Piece-Lockback/dp/B0BXK9YSJS/ref=sr_1_3?keywords=Klein+Tools+80028+Electrician%27s+Tool+Kit%2C+28-Piece&amp;qid=1695173551&amp;sr=8-3</v>
      </c>
      <c r="F1591" t="s">
        <v>4277</v>
      </c>
      <c r="G1591" t="e">
        <f ca="1">_xludf.IMAGE("https://edmondsonsupply.com/cdn/shop/files/80028_d.jpg?v=1686062794")</f>
        <v>#NAME?</v>
      </c>
      <c r="H1591" t="e">
        <f ca="1">_xludf.IMAGE("https://m.media-amazon.com/images/I/51rspFjanxL._AC_UL320_.jpg")</f>
        <v>#NAME?</v>
      </c>
      <c r="I1591" t="s">
        <v>4069</v>
      </c>
      <c r="J1591">
        <v>435.98</v>
      </c>
      <c r="K1591" s="4">
        <v>5.0599999999999999E-2</v>
      </c>
      <c r="L1591">
        <v>5</v>
      </c>
      <c r="M1591">
        <v>1</v>
      </c>
      <c r="O1591" t="s">
        <v>25</v>
      </c>
      <c r="P1591" t="s">
        <v>4070</v>
      </c>
      <c r="Q1591" t="s">
        <v>4071</v>
      </c>
    </row>
    <row r="1592" spans="1:17" ht="15.5" x14ac:dyDescent="0.35">
      <c r="A1592" s="3" t="str">
        <f>HYPERLINK("https://edmondsonsupply.com/collections/hvac/products/klein-tools-mm300kit-digital-multimeter-electrical-test-kit", "https://edmondsonsupply.com/collections/hvac/products/klein-tools-mm300kit-digital-multimeter-electrical-test-kit")</f>
        <v>https://edmondsonsupply.com/collections/hvac/products/klein-tools-mm300kit-digital-multimeter-electrical-test-kit</v>
      </c>
      <c r="B1592"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1592" t="s">
        <v>3227</v>
      </c>
      <c r="D1592" t="s">
        <v>4278</v>
      </c>
      <c r="E1592" s="3" t="str">
        <f>HYPERLINK("https://www.amazon.com/Multimeter-Non-Contact-Klein-Tools-MM320KIT/dp/B08W1THSM8/ref=sr_1_1?keywords=Klein+Tools+MM320KIT+Digital+Multimeter+Electrical+Test+Kit&amp;qid=1695173460&amp;sr=8-1", "https://www.amazon.com/Multimeter-Non-Contact-Klein-Tools-MM320KIT/dp/B08W1THSM8/ref=sr_1_1?keywords=Klein+Tools+MM320KIT+Digital+Multimeter+Electrical+Test+Kit&amp;qid=1695173460&amp;sr=8-1")</f>
        <v>https://www.amazon.com/Multimeter-Non-Contact-Klein-Tools-MM320KIT/dp/B08W1THSM8/ref=sr_1_1?keywords=Klein+Tools+MM320KIT+Digital+Multimeter+Electrical+Test+Kit&amp;qid=1695173460&amp;sr=8-1</v>
      </c>
      <c r="F1592" t="s">
        <v>4279</v>
      </c>
      <c r="G1592" t="e">
        <f ca="1">_xludf.IMAGE("https://edmondsonsupply.com/cdn/shop/products/mm320kit_photo.jpg?v=1660756496")</f>
        <v>#NAME?</v>
      </c>
      <c r="H1592" t="e">
        <f ca="1">_xludf.IMAGE("https://m.media-amazon.com/images/I/61xZtUfGpuL._AC_UL320_.jpg")</f>
        <v>#NAME?</v>
      </c>
      <c r="I1592" t="s">
        <v>380</v>
      </c>
      <c r="J1592">
        <v>52.49</v>
      </c>
      <c r="K1592" s="4">
        <v>5.04E-2</v>
      </c>
      <c r="L1592">
        <v>4.8</v>
      </c>
      <c r="M1592">
        <v>1458</v>
      </c>
      <c r="O1592" t="s">
        <v>25</v>
      </c>
      <c r="P1592" t="s">
        <v>3230</v>
      </c>
      <c r="Q1592" t="s">
        <v>3231</v>
      </c>
    </row>
    <row r="1593" spans="1:17" ht="15.5" x14ac:dyDescent="0.35">
      <c r="A1593" s="3" t="str">
        <f>HYPERLINK("https://edmondsonsupply.com/collections/hvac/products/rectorseal-87011-pro-fit%E2%84%A2-precision-swaging-kit", "https://edmondsonsupply.com/collections/hvac/products/rectorseal-87011-pro-fit%E2%84%A2-precision-swaging-kit")</f>
        <v>https://edmondsonsupply.com/collections/hvac/products/rectorseal-87011-pro-fit%E2%84%A2-precision-swaging-kit</v>
      </c>
      <c r="B1593" s="3" t="str">
        <f>HYPERLINK("https://edmondsonsupply.com/products/rectorseal-87011-pro-fit%e2%84%a2-precision-swaging-kit", "https://edmondsonsupply.com/products/rectorseal-87011-pro-fit%e2%84%a2-precision-swaging-kit")</f>
        <v>https://edmondsonsupply.com/products/rectorseal-87011-pro-fit%e2%84%a2-precision-swaging-kit</v>
      </c>
      <c r="C1593" t="s">
        <v>4280</v>
      </c>
      <c r="D1593" t="s">
        <v>4281</v>
      </c>
      <c r="E1593" s="3" t="str">
        <f>HYPERLINK("https://www.amazon.com/Rectorseal-87011-Pro-Fit-Precision-Swaging/dp/B079SBRYZ5/ref=sr_1_1?keywords=RectorSeal+87011+PRO-Fit%E2%84%A2+Precision+Swaging+Kit&amp;qid=1695173485&amp;sr=8-1", "https://www.amazon.com/Rectorseal-87011-Pro-Fit-Precision-Swaging/dp/B079SBRYZ5/ref=sr_1_1?keywords=RectorSeal+87011+PRO-Fit%E2%84%A2+Precision+Swaging+Kit&amp;qid=1695173485&amp;sr=8-1")</f>
        <v>https://www.amazon.com/Rectorseal-87011-Pro-Fit-Precision-Swaging/dp/B079SBRYZ5/ref=sr_1_1?keywords=RectorSeal+87011+PRO-Fit%E2%84%A2+Precision+Swaging+Kit&amp;qid=1695173485&amp;sr=8-1</v>
      </c>
      <c r="F1593" t="s">
        <v>4282</v>
      </c>
      <c r="G1593" t="e">
        <f ca="1">_xludf.IMAGE("https://edmondsonsupply.com/cdn/shop/products/1280_pro-fit_swaging_kit.png?v=1633030047")</f>
        <v>#NAME?</v>
      </c>
      <c r="H1593" t="e">
        <f ca="1">_xludf.IMAGE("https://m.media-amazon.com/images/I/71rMIJWTdzL._AC_UL320_.jpg")</f>
        <v>#NAME?</v>
      </c>
      <c r="I1593" t="s">
        <v>4283</v>
      </c>
      <c r="J1593">
        <v>154.99</v>
      </c>
      <c r="K1593" s="4">
        <v>5.04E-2</v>
      </c>
      <c r="L1593">
        <v>4.4000000000000004</v>
      </c>
      <c r="M1593">
        <v>201</v>
      </c>
      <c r="O1593" t="s">
        <v>25</v>
      </c>
      <c r="P1593" t="s">
        <v>4284</v>
      </c>
      <c r="Q1593" t="s">
        <v>4285</v>
      </c>
    </row>
    <row r="1594" spans="1:17" ht="15.5" x14ac:dyDescent="0.35">
      <c r="A1594" s="3" t="str">
        <f>HYPERLINK("https://edmondsonsupply.com/collections/hvac/products/speedclean-msb-kit-mini-split-bib%C2%AE-kit", "https://edmondsonsupply.com/collections/hvac/products/speedclean-msb-kit-mini-split-bib%C2%AE-kit")</f>
        <v>https://edmondsonsupply.com/collections/hvac/products/speedclean-msb-kit-mini-split-bib%C2%AE-kit</v>
      </c>
      <c r="B1594" s="3" t="str">
        <f>HYPERLINK("https://edmondsonsupply.com/products/speedclean-msb-kit-mini-split-bib%c2%ae-kit", "https://edmondsonsupply.com/products/speedclean-msb-kit-mini-split-bib%c2%ae-kit")</f>
        <v>https://edmondsonsupply.com/products/speedclean-msb-kit-mini-split-bib%c2%ae-kit</v>
      </c>
      <c r="C1594" t="s">
        <v>4286</v>
      </c>
      <c r="D1594" t="s">
        <v>4287</v>
      </c>
      <c r="E1594" s="3" t="str">
        <f>HYPERLINK("https://www.amazon.com/SpeedClean-MSB-KIT-Mini-Split-Bib/dp/B00TG7QCDC/ref=sr_1_1?keywords=SpeedClean+MSB-KIT+Mini-Split+Bib%C2%AE+Kit&amp;qid=1695173736&amp;sr=8-1", "https://www.amazon.com/SpeedClean-MSB-KIT-Mini-Split-Bib/dp/B00TG7QCDC/ref=sr_1_1?keywords=SpeedClean+MSB-KIT+Mini-Split+Bib%C2%AE+Kit&amp;qid=1695173736&amp;sr=8-1")</f>
        <v>https://www.amazon.com/SpeedClean-MSB-KIT-Mini-Split-Bib/dp/B00TG7QCDC/ref=sr_1_1?keywords=SpeedClean+MSB-KIT+Mini-Split+Bib%C2%AE+Kit&amp;qid=1695173736&amp;sr=8-1</v>
      </c>
      <c r="F1594" t="s">
        <v>4288</v>
      </c>
      <c r="G1594" t="e">
        <f ca="1">_xludf.IMAGE("https://edmondsonsupply.com/cdn/shop/files/64274f3119e9f363178468.jpg?v=1689861211")</f>
        <v>#NAME?</v>
      </c>
      <c r="H1594" t="e">
        <f ca="1">_xludf.IMAGE("https://m.media-amazon.com/images/I/71M-2cdrpoL._AC_UL320_.jpg")</f>
        <v>#NAME?</v>
      </c>
      <c r="I1594" t="s">
        <v>4289</v>
      </c>
      <c r="J1594">
        <v>112.99</v>
      </c>
      <c r="K1594" s="4">
        <v>4.9700000000000001E-2</v>
      </c>
      <c r="L1594">
        <v>4.5</v>
      </c>
      <c r="M1594">
        <v>183</v>
      </c>
      <c r="O1594" t="s">
        <v>25</v>
      </c>
      <c r="P1594" t="s">
        <v>138</v>
      </c>
      <c r="Q1594" t="s">
        <v>4290</v>
      </c>
    </row>
    <row r="1595" spans="1:17" ht="15.5" x14ac:dyDescent="0.35">
      <c r="A1595" s="3" t="str">
        <f>HYPERLINK("https://edmondsonsupply.com/collections/hvac/products/fieldpiece-spk2", "https://edmondsonsupply.com/collections/hvac/products/fieldpiece-spk2")</f>
        <v>https://edmondsonsupply.com/collections/hvac/products/fieldpiece-spk2</v>
      </c>
      <c r="B1595" s="3" t="str">
        <f>HYPERLINK("https://edmondsonsupply.com/products/fieldpiece-spk2", "https://edmondsonsupply.com/products/fieldpiece-spk2")</f>
        <v>https://edmondsonsupply.com/products/fieldpiece-spk2</v>
      </c>
      <c r="C1595" t="s">
        <v>3684</v>
      </c>
      <c r="D1595" t="s">
        <v>4291</v>
      </c>
      <c r="E1595" s="3" t="str">
        <f>HYPERLINK("https://www.amazon.com/Fieldpiece-SPK2-Folding-Thermometer-Stainless/dp/B00KDQ2ED2/ref=sr_1_1?keywords=Fieldpiece+SPK2+Folding+Pocket+In-Duct+Thermometer&amp;qid=1695173486&amp;sr=8-1", "https://www.amazon.com/Fieldpiece-SPK2-Folding-Thermometer-Stainless/dp/B00KDQ2ED2/ref=sr_1_1?keywords=Fieldpiece+SPK2+Folding+Pocket+In-Duct+Thermometer&amp;qid=1695173486&amp;sr=8-1")</f>
        <v>https://www.amazon.com/Fieldpiece-SPK2-Folding-Thermometer-Stainless/dp/B00KDQ2ED2/ref=sr_1_1?keywords=Fieldpiece+SPK2+Folding+Pocket+In-Duct+Thermometer&amp;qid=1695173486&amp;sr=8-1</v>
      </c>
      <c r="F1595" t="s">
        <v>4292</v>
      </c>
      <c r="G1595" t="e">
        <f ca="1">_xludf.IMAGE("https://edmondsonsupply.com/cdn/shop/products/SPK2-SRC-Product.jpg?v=1633030206")</f>
        <v>#NAME?</v>
      </c>
      <c r="H1595" t="e">
        <f ca="1">_xludf.IMAGE("https://m.media-amazon.com/images/I/81atMLws-zL._AC_UY218_.jpg")</f>
        <v>#NAME?</v>
      </c>
      <c r="I1595" t="s">
        <v>3687</v>
      </c>
      <c r="J1595">
        <v>36.479999999999997</v>
      </c>
      <c r="K1595" s="4">
        <v>4.6800000000000001E-2</v>
      </c>
      <c r="L1595">
        <v>4.5999999999999996</v>
      </c>
      <c r="M1595">
        <v>529</v>
      </c>
      <c r="O1595" t="s">
        <v>25</v>
      </c>
      <c r="P1595" t="s">
        <v>3688</v>
      </c>
      <c r="Q1595" t="s">
        <v>3689</v>
      </c>
    </row>
    <row r="1596" spans="1:17" ht="15.5" x14ac:dyDescent="0.35">
      <c r="A1596" s="3" t="str">
        <f>HYPERLINK("https://edmondsonsupply.com/collections/hvac/products/ritchie-yellow-jacket-19306-valve-core-tool-with-6-cores", "https://edmondsonsupply.com/collections/hvac/products/ritchie-yellow-jacket-19306-valve-core-tool-with-6-cores")</f>
        <v>https://edmondsonsupply.com/collections/hvac/products/ritchie-yellow-jacket-19306-valve-core-tool-with-6-cores</v>
      </c>
      <c r="B1596" s="3" t="str">
        <f>HYPERLINK("https://edmondsonsupply.com/products/ritchie-yellow-jacket-19306-valve-core-tool-with-6-cores", "https://edmondsonsupply.com/products/ritchie-yellow-jacket-19306-valve-core-tool-with-6-cores")</f>
        <v>https://edmondsonsupply.com/products/ritchie-yellow-jacket-19306-valve-core-tool-with-6-cores</v>
      </c>
      <c r="C1596" t="s">
        <v>4293</v>
      </c>
      <c r="D1596" t="s">
        <v>4294</v>
      </c>
      <c r="E1596" s="3" t="str">
        <f>HYPERLINK("https://www.amazon.com/YELLOW-JACKET-19306-Valve-Core/dp/B009AXKN6E/ref=sr_1_1?keywords=Yellow+Jacket+19306+Valve+Core+Tool+with+6+Cores&amp;qid=1695173354&amp;sr=8-1", "https://www.amazon.com/YELLOW-JACKET-19306-Valve-Core/dp/B009AXKN6E/ref=sr_1_1?keywords=Yellow+Jacket+19306+Valve+Core+Tool+with+6+Cores&amp;qid=1695173354&amp;sr=8-1")</f>
        <v>https://www.amazon.com/YELLOW-JACKET-19306-Valve-Core/dp/B009AXKN6E/ref=sr_1_1?keywords=Yellow+Jacket+19306+Valve+Core+Tool+with+6+Cores&amp;qid=1695173354&amp;sr=8-1</v>
      </c>
      <c r="F1596" t="s">
        <v>4295</v>
      </c>
      <c r="G1596" t="e">
        <f ca="1">_xludf.IMAGE("https://edmondsonsupply.com/cdn/shop/products/19306-Valve-Core-Tool.jpg?v=1653092813")</f>
        <v>#NAME?</v>
      </c>
      <c r="H1596" t="e">
        <f ca="1">_xludf.IMAGE("https://m.media-amazon.com/images/I/61Ii4UdcAFL._AC_UL320_.jpg")</f>
        <v>#NAME?</v>
      </c>
      <c r="I1596" t="s">
        <v>4296</v>
      </c>
      <c r="J1596">
        <v>14.99</v>
      </c>
      <c r="K1596" s="4">
        <v>4.6100000000000002E-2</v>
      </c>
      <c r="L1596">
        <v>3.6</v>
      </c>
      <c r="M1596">
        <v>35</v>
      </c>
      <c r="O1596" t="s">
        <v>25</v>
      </c>
      <c r="P1596" t="s">
        <v>138</v>
      </c>
      <c r="Q1596" t="s">
        <v>4297</v>
      </c>
    </row>
    <row r="1597" spans="1:17" ht="15.5" x14ac:dyDescent="0.35">
      <c r="A1597" s="3" t="str">
        <f>HYPERLINK("https://edmondsonsupply.com/collections/hvac/products/supco-cppro-coolpressor-high-powered-magnetic-water-dispenser", "https://edmondsonsupply.com/collections/hvac/products/supco-cppro-coolpressor-high-powered-magnetic-water-dispenser")</f>
        <v>https://edmondsonsupply.com/collections/hvac/products/supco-cppro-coolpressor-high-powered-magnetic-water-dispenser</v>
      </c>
      <c r="B1597" s="3" t="str">
        <f>HYPERLINK("https://edmondsonsupply.com/products/supco-cppro-coolpressor-high-powered-magnetic-water-dispenser", "https://edmondsonsupply.com/products/supco-cppro-coolpressor-high-powered-magnetic-water-dispenser")</f>
        <v>https://edmondsonsupply.com/products/supco-cppro-coolpressor-high-powered-magnetic-water-dispenser</v>
      </c>
      <c r="C1597" t="s">
        <v>4298</v>
      </c>
      <c r="D1597" t="s">
        <v>4299</v>
      </c>
      <c r="E1597" s="3" t="str">
        <f>HYPERLINK("https://www.amazon.com/TradeFox-Coolpressor-High-Powered-Dispenser-Compressors/dp/B0913P8G5T/ref=sr_1_2?keywords=Supco+CPPRO+COOLPRESSOR+-+High-Powered+Magnetic+Compressor+Cooler&amp;qid=1695173342&amp;sr=8-2", "https://www.amazon.com/TradeFox-Coolpressor-High-Powered-Dispenser-Compressors/dp/B0913P8G5T/ref=sr_1_2?keywords=Supco+CPPRO+COOLPRESSOR+-+High-Powered+Magnetic+Compressor+Cooler&amp;qid=1695173342&amp;sr=8-2")</f>
        <v>https://www.amazon.com/TradeFox-Coolpressor-High-Powered-Dispenser-Compressors/dp/B0913P8G5T/ref=sr_1_2?keywords=Supco+CPPRO+COOLPRESSOR+-+High-Powered+Magnetic+Compressor+Cooler&amp;qid=1695173342&amp;sr=8-2</v>
      </c>
      <c r="F1597" t="s">
        <v>4300</v>
      </c>
      <c r="G1597" t="e">
        <f ca="1">_xludf.IMAGE("https://edmondsonsupply.com/cdn/shop/products/CPPRO_L.png?v=1587144664")</f>
        <v>#NAME?</v>
      </c>
      <c r="H1597" t="e">
        <f ca="1">_xludf.IMAGE("https://m.media-amazon.com/images/I/614x6cCgu4L._AC_UL320_.jpg")</f>
        <v>#NAME?</v>
      </c>
      <c r="I1597" t="s">
        <v>4301</v>
      </c>
      <c r="J1597">
        <v>50.95</v>
      </c>
      <c r="K1597" s="4">
        <v>4.5100000000000001E-2</v>
      </c>
      <c r="L1597">
        <v>4.9000000000000004</v>
      </c>
      <c r="M1597">
        <v>58</v>
      </c>
      <c r="O1597" t="s">
        <v>171</v>
      </c>
      <c r="P1597" t="s">
        <v>138</v>
      </c>
      <c r="Q1597" t="s">
        <v>4302</v>
      </c>
    </row>
    <row r="1598" spans="1:17" ht="15.5" x14ac:dyDescent="0.35">
      <c r="A1598" s="3" t="str">
        <f>HYPERLINK("https://edmondsonsupply.com/collections/hvac/products/milwaukee-48-22-1540-fastback%E2%84%A2-5-in-1-folding-knife", "https://edmondsonsupply.com/collections/hvac/products/milwaukee-48-22-1540-fastback%E2%84%A2-5-in-1-folding-knife")</f>
        <v>https://edmondsonsupply.com/collections/hvac/products/milwaukee-48-22-1540-fastback%E2%84%A2-5-in-1-folding-knife</v>
      </c>
      <c r="B1598" s="3" t="str">
        <f>HYPERLINK("https://edmondsonsupply.com/products/milwaukee-48-22-1540-fastback%e2%84%a2-5-in-1-folding-knife", "https://edmondsonsupply.com/products/milwaukee-48-22-1540-fastback%e2%84%a2-5-in-1-folding-knife")</f>
        <v>https://edmondsonsupply.com/products/milwaukee-48-22-1540-fastback%e2%84%a2-5-in-1-folding-knife</v>
      </c>
      <c r="C1598" t="s">
        <v>2507</v>
      </c>
      <c r="D1598" t="s">
        <v>4303</v>
      </c>
      <c r="E1598" s="3" t="str">
        <f>HYPERLINK("https://www.amazon.com/Milwaukee-48-22-1985-Fastback-Folding-Lanyard/dp/B00IQCDWIG/ref=sr_1_8?keywords=Milwaukee+48-22-1540+FASTBACK%E2%84%A2+5-in-1+Folding+Knife&amp;qid=1695173436&amp;sr=8-8", "https://www.amazon.com/Milwaukee-48-22-1985-Fastback-Folding-Lanyard/dp/B00IQCDWIG/ref=sr_1_8?keywords=Milwaukee+48-22-1540+FASTBACK%E2%84%A2+5-in-1+Folding+Knife&amp;qid=1695173436&amp;sr=8-8")</f>
        <v>https://www.amazon.com/Milwaukee-48-22-1985-Fastback-Folding-Lanyard/dp/B00IQCDWIG/ref=sr_1_8?keywords=Milwaukee+48-22-1540+FASTBACK%E2%84%A2+5-in-1+Folding+Knife&amp;qid=1695173436&amp;sr=8-8</v>
      </c>
      <c r="F1598" t="s">
        <v>4304</v>
      </c>
      <c r="G1598" t="e">
        <f ca="1">_xludf.IMAGE("https://edmondsonsupply.com/cdn/shop/products/48-22-1540_1.png?v=1587142762")</f>
        <v>#NAME?</v>
      </c>
      <c r="H1598" t="e">
        <f ca="1">_xludf.IMAGE("https://m.media-amazon.com/images/I/714SFoSX-4L._AC_UL320_.jpg")</f>
        <v>#NAME?</v>
      </c>
      <c r="I1598" t="s">
        <v>2510</v>
      </c>
      <c r="J1598">
        <v>25.05</v>
      </c>
      <c r="K1598" s="4">
        <v>4.5100000000000001E-2</v>
      </c>
      <c r="L1598">
        <v>4.5999999999999996</v>
      </c>
      <c r="M1598">
        <v>627</v>
      </c>
      <c r="O1598" t="s">
        <v>25</v>
      </c>
      <c r="P1598" t="s">
        <v>2511</v>
      </c>
      <c r="Q1598" t="s">
        <v>2512</v>
      </c>
    </row>
    <row r="1599" spans="1:17" ht="15.5" x14ac:dyDescent="0.35">
      <c r="A1599" s="3" t="str">
        <f>HYPERLINK("https://edmondsonsupply.com/collections/hvac/products/milwaukee-48-22-1540-fastback%E2%84%A2-5-in-1-folding-knife", "https://edmondsonsupply.com/collections/hvac/products/milwaukee-48-22-1540-fastback%E2%84%A2-5-in-1-folding-knife")</f>
        <v>https://edmondsonsupply.com/collections/hvac/products/milwaukee-48-22-1540-fastback%E2%84%A2-5-in-1-folding-knife</v>
      </c>
      <c r="B1599" s="3" t="str">
        <f>HYPERLINK("https://edmondsonsupply.com/products/milwaukee-48-22-1540-fastback%e2%84%a2-5-in-1-folding-knife", "https://edmondsonsupply.com/products/milwaukee-48-22-1540-fastback%e2%84%a2-5-in-1-folding-knife")</f>
        <v>https://edmondsonsupply.com/products/milwaukee-48-22-1540-fastback%e2%84%a2-5-in-1-folding-knife</v>
      </c>
      <c r="C1599" t="s">
        <v>2507</v>
      </c>
      <c r="D1599" t="s">
        <v>4305</v>
      </c>
      <c r="E1599" s="3" t="str">
        <f>HYPERLINK("https://www.amazon.com/Milwaukee-48-22-1990-FASTBACK-Smooth-Folding/dp/B00IKVFCUO/ref=sr_1_4?keywords=Milwaukee+48-22-1540+FASTBACK%E2%84%A2+5-in-1+Folding+Knife&amp;qid=1695173436&amp;sr=8-4", "https://www.amazon.com/Milwaukee-48-22-1990-FASTBACK-Smooth-Folding/dp/B00IKVFCUO/ref=sr_1_4?keywords=Milwaukee+48-22-1540+FASTBACK%E2%84%A2+5-in-1+Folding+Knife&amp;qid=1695173436&amp;sr=8-4")</f>
        <v>https://www.amazon.com/Milwaukee-48-22-1990-FASTBACK-Smooth-Folding/dp/B00IKVFCUO/ref=sr_1_4?keywords=Milwaukee+48-22-1540+FASTBACK%E2%84%A2+5-in-1+Folding+Knife&amp;qid=1695173436&amp;sr=8-4</v>
      </c>
      <c r="F1599" t="s">
        <v>4306</v>
      </c>
      <c r="G1599" t="e">
        <f ca="1">_xludf.IMAGE("https://edmondsonsupply.com/cdn/shop/products/48-22-1540_1.png?v=1587142762")</f>
        <v>#NAME?</v>
      </c>
      <c r="H1599" t="e">
        <f ca="1">_xludf.IMAGE("https://m.media-amazon.com/images/I/81wFFG5g9vL._AC_UL320_.jpg")</f>
        <v>#NAME?</v>
      </c>
      <c r="I1599" t="s">
        <v>2510</v>
      </c>
      <c r="J1599">
        <v>24.97</v>
      </c>
      <c r="K1599" s="4">
        <v>4.1700000000000001E-2</v>
      </c>
      <c r="L1599">
        <v>4.5</v>
      </c>
      <c r="M1599">
        <v>982</v>
      </c>
      <c r="O1599" t="s">
        <v>25</v>
      </c>
      <c r="P1599" t="s">
        <v>2511</v>
      </c>
      <c r="Q1599" t="s">
        <v>2512</v>
      </c>
    </row>
    <row r="1600" spans="1:17" ht="15.5" x14ac:dyDescent="0.35">
      <c r="A1600" s="3" t="str">
        <f>HYPERLINK("https://edmondsonsupply.com/collections/hvac/products/imperial-535-c-kwik-charge%C2%AE-liquid-refrigerant-low-side-charger", "https://edmondsonsupply.com/collections/hvac/products/imperial-535-c-kwik-charge%C2%AE-liquid-refrigerant-low-side-charger")</f>
        <v>https://edmondsonsupply.com/collections/hvac/products/imperial-535-c-kwik-charge%C2%AE-liquid-refrigerant-low-side-charger</v>
      </c>
      <c r="B1600" s="3" t="str">
        <f>HYPERLINK("https://edmondsonsupply.com/products/imperial-535-c-kwik-charge%c2%ae-liquid-refrigerant-low-side-charger", "https://edmondsonsupply.com/products/imperial-535-c-kwik-charge%c2%ae-liquid-refrigerant-low-side-charger")</f>
        <v>https://edmondsonsupply.com/products/imperial-535-c-kwik-charge%c2%ae-liquid-refrigerant-low-side-charger</v>
      </c>
      <c r="C1600" t="s">
        <v>4307</v>
      </c>
      <c r="D1600" t="s">
        <v>4308</v>
      </c>
      <c r="E1600" s="3" t="str">
        <f>HYPERLINK("https://www.amazon.com/Imperial-535-C-Charge-Liquid-Charger/dp/B004RIDG02/ref=sr_1_1?keywords=Imperial+535-C+Kwik+Charge%C2%AE+Liquid+Refrigerant+Low+Side+Charger&amp;qid=1695173373&amp;sr=8-1", "https://www.amazon.com/Imperial-535-C-Charge-Liquid-Charger/dp/B004RIDG02/ref=sr_1_1?keywords=Imperial+535-C+Kwik+Charge%C2%AE+Liquid+Refrigerant+Low+Side+Charger&amp;qid=1695173373&amp;sr=8-1")</f>
        <v>https://www.amazon.com/Imperial-535-C-Charge-Liquid-Charger/dp/B004RIDG02/ref=sr_1_1?keywords=Imperial+535-C+Kwik+Charge%C2%AE+Liquid+Refrigerant+Low+Side+Charger&amp;qid=1695173373&amp;sr=8-1</v>
      </c>
      <c r="F1600" t="s">
        <v>4309</v>
      </c>
      <c r="G1600" t="e">
        <f ca="1">_xludf.IMAGE("https://edmondsonsupply.com/cdn/shop/products/535-c.jpg?v=1587148089")</f>
        <v>#NAME?</v>
      </c>
      <c r="H1600" t="e">
        <f ca="1">_xludf.IMAGE("https://m.media-amazon.com/images/I/71Xd1kL22bL._AC_UL320_.jpg")</f>
        <v>#NAME?</v>
      </c>
      <c r="I1600" t="s">
        <v>4310</v>
      </c>
      <c r="J1600">
        <v>35.4</v>
      </c>
      <c r="K1600" s="4">
        <v>4.1500000000000002E-2</v>
      </c>
      <c r="L1600">
        <v>4.7</v>
      </c>
      <c r="M1600">
        <v>1325</v>
      </c>
      <c r="O1600" t="s">
        <v>25</v>
      </c>
      <c r="P1600" t="s">
        <v>4311</v>
      </c>
      <c r="Q1600" t="s">
        <v>4312</v>
      </c>
    </row>
    <row r="1601" spans="1:17" ht="15.5" x14ac:dyDescent="0.35">
      <c r="A1601"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601"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601" t="s">
        <v>2155</v>
      </c>
      <c r="D1601" t="s">
        <v>4313</v>
      </c>
      <c r="E1601" s="3" t="str">
        <f>HYPERLINK("https://www.amazon.com/Klein-Tools-80097-Beginner-3-Piece/dp/B0B7Z178B1/ref=sr_1_6?keywords=Klein+Tools+NCVT1XTKIT+Non-Contact+Voltage+and+GFCI+Receptacle+Premium+Test+Kit&amp;qid=1695173496&amp;sr=8-6", "https://www.amazon.com/Klein-Tools-80097-Beginner-3-Piece/dp/B0B7Z178B1/ref=sr_1_6?keywords=Klein+Tools+NCVT1XTKIT+Non-Contact+Voltage+and+GFCI+Receptacle+Premium+Test+Kit&amp;qid=1695173496&amp;sr=8-6")</f>
        <v>https://www.amazon.com/Klein-Tools-80097-Beginner-3-Piece/dp/B0B7Z178B1/ref=sr_1_6?keywords=Klein+Tools+NCVT1XTKIT+Non-Contact+Voltage+and+GFCI+Receptacle+Premium+Test+Kit&amp;qid=1695173496&amp;sr=8-6</v>
      </c>
      <c r="F1601" t="s">
        <v>4314</v>
      </c>
      <c r="G1601" t="e">
        <f ca="1">_xludf.IMAGE("https://edmondsonsupply.com/cdn/shop/products/ncvt1xtkit.jpg?v=1674497102")</f>
        <v>#NAME?</v>
      </c>
      <c r="H1601" t="e">
        <f ca="1">_xludf.IMAGE("https://m.media-amazon.com/images/I/51TWbZ0INyL._AC_UL320_.jpg")</f>
        <v>#NAME?</v>
      </c>
      <c r="I1601" t="s">
        <v>471</v>
      </c>
      <c r="J1601">
        <v>25.99</v>
      </c>
      <c r="K1601" s="4">
        <v>0.04</v>
      </c>
      <c r="L1601">
        <v>4.5999999999999996</v>
      </c>
      <c r="M1601">
        <v>121</v>
      </c>
      <c r="O1601" t="s">
        <v>25</v>
      </c>
      <c r="P1601" t="s">
        <v>2158</v>
      </c>
      <c r="Q1601" t="s">
        <v>2159</v>
      </c>
    </row>
    <row r="1602" spans="1:17" ht="15.5" x14ac:dyDescent="0.35">
      <c r="A1602" s="3" t="str">
        <f>HYPERLINK("https://edmondsonsupply.com/collections/hvac/products/supco-sb100-shaft-blaster-motor-shaft-cutting-tool", "https://edmondsonsupply.com/collections/hvac/products/supco-sb100-shaft-blaster-motor-shaft-cutting-tool")</f>
        <v>https://edmondsonsupply.com/collections/hvac/products/supco-sb100-shaft-blaster-motor-shaft-cutting-tool</v>
      </c>
      <c r="B1602" s="3" t="str">
        <f>HYPERLINK("https://edmondsonsupply.com/products/supco-sb100-shaft-blaster-motor-shaft-cutting-tool", "https://edmondsonsupply.com/products/supco-sb100-shaft-blaster-motor-shaft-cutting-tool")</f>
        <v>https://edmondsonsupply.com/products/supco-sb100-shaft-blaster-motor-shaft-cutting-tool</v>
      </c>
      <c r="C1602" t="s">
        <v>3971</v>
      </c>
      <c r="D1602" t="s">
        <v>4315</v>
      </c>
      <c r="E1602" s="3" t="str">
        <f>HYPERLINK("https://www.amazon.com/Supco-SB100-Motor-Blaster-Cutting/dp/B08P3Z57MY/ref=sr_1_2?keywords=Supco+SB100+Shaft+Blaster+-+Motor+Shaft+Cutting+Tool&amp;qid=1695173637&amp;sr=8-2", "https://www.amazon.com/Supco-SB100-Motor-Blaster-Cutting/dp/B08P3Z57MY/ref=sr_1_2?keywords=Supco+SB100+Shaft+Blaster+-+Motor+Shaft+Cutting+Tool&amp;qid=1695173637&amp;sr=8-2")</f>
        <v>https://www.amazon.com/Supco-SB100-Motor-Blaster-Cutting/dp/B08P3Z57MY/ref=sr_1_2?keywords=Supco+SB100+Shaft+Blaster+-+Motor+Shaft+Cutting+Tool&amp;qid=1695173637&amp;sr=8-2</v>
      </c>
      <c r="F1602" t="s">
        <v>4316</v>
      </c>
      <c r="G1602" t="e">
        <f ca="1">_xludf.IMAGE("https://edmondsonsupply.com/cdn/shop/products/sb100-1.jpg?v=1633030480")</f>
        <v>#NAME?</v>
      </c>
      <c r="H1602" t="e">
        <f ca="1">_xludf.IMAGE("https://m.media-amazon.com/images/I/61nbbfpFpZL._AC_UL320_.jpg")</f>
        <v>#NAME?</v>
      </c>
      <c r="I1602" t="s">
        <v>3974</v>
      </c>
      <c r="J1602">
        <v>143.99</v>
      </c>
      <c r="K1602" s="4">
        <v>3.8899999999999997E-2</v>
      </c>
      <c r="L1602">
        <v>4.5</v>
      </c>
      <c r="M1602">
        <v>3</v>
      </c>
      <c r="O1602" t="s">
        <v>25</v>
      </c>
      <c r="P1602" t="s">
        <v>138</v>
      </c>
      <c r="Q1602" t="s">
        <v>3975</v>
      </c>
    </row>
    <row r="1603" spans="1:17" ht="15.5" x14ac:dyDescent="0.35">
      <c r="A1603" s="3" t="str">
        <f>HYPERLINK("https://edmondsonsupply.com/collections/hvac/products/robertshaw-41-205-hot-surface-gas-range-ignitor", "https://edmondsonsupply.com/collections/hvac/products/robertshaw-41-205-hot-surface-gas-range-ignitor")</f>
        <v>https://edmondsonsupply.com/collections/hvac/products/robertshaw-41-205-hot-surface-gas-range-ignitor</v>
      </c>
      <c r="B1603" s="3" t="str">
        <f>HYPERLINK("https://edmondsonsupply.com/products/robertshaw-41-205-hot-surface-gas-range-ignitor", "https://edmondsonsupply.com/products/robertshaw-41-205-hot-surface-gas-range-ignitor")</f>
        <v>https://edmondsonsupply.com/products/robertshaw-41-205-hot-surface-gas-range-ignitor</v>
      </c>
      <c r="C1603" t="s">
        <v>4317</v>
      </c>
      <c r="D1603" t="s">
        <v>3706</v>
      </c>
      <c r="E1603" s="3" t="str">
        <f>HYPERLINK("https://www.amazon.com/Robertshaw-41-409-Hot-Surface-Ignitor/dp/B000VYOWVI/ref=sr_1_5?keywords=robertshaw+41-205+hot+surface+gas+range+igniter&amp;qid=1695173687&amp;sr=8-5", "https://www.amazon.com/Robertshaw-41-409-Hot-Surface-Ignitor/dp/B000VYOWVI/ref=sr_1_5?keywords=robertshaw+41-205+hot+surface+gas+range+igniter&amp;qid=1695173687&amp;sr=8-5")</f>
        <v>https://www.amazon.com/Robertshaw-41-409-Hot-Surface-Ignitor/dp/B000VYOWVI/ref=sr_1_5?keywords=robertshaw+41-205+hot+surface+gas+range+igniter&amp;qid=1695173687&amp;sr=8-5</v>
      </c>
      <c r="F1603" t="s">
        <v>3707</v>
      </c>
      <c r="G1603" t="e">
        <f ca="1">_xludf.IMAGE("https://edmondsonsupply.com/cdn/shop/files/41-205.jpg?v=1694184009")</f>
        <v>#NAME?</v>
      </c>
      <c r="H1603" t="e">
        <f ca="1">_xludf.IMAGE("https://m.media-amazon.com/images/I/31EeWrdtmvL._AC_UY218_.jpg")</f>
        <v>#NAME?</v>
      </c>
      <c r="I1603" t="s">
        <v>4318</v>
      </c>
      <c r="J1603">
        <v>22.76</v>
      </c>
      <c r="K1603" s="4">
        <v>3.8800000000000001E-2</v>
      </c>
      <c r="L1603">
        <v>4.4000000000000004</v>
      </c>
      <c r="M1603">
        <v>36</v>
      </c>
      <c r="O1603" t="s">
        <v>25</v>
      </c>
      <c r="P1603" t="s">
        <v>138</v>
      </c>
      <c r="Q1603" t="s">
        <v>4319</v>
      </c>
    </row>
    <row r="1604" spans="1:17" ht="15.5" x14ac:dyDescent="0.35">
      <c r="A1604" s="3" t="str">
        <f>HYPERLINK("https://edmondsonsupply.com/collections/hvac/products/icm-controls-icm2813-furnace-control-board-replacement-for-lennox", "https://edmondsonsupply.com/collections/hvac/products/icm-controls-icm2813-furnace-control-board-replacement-for-lennox")</f>
        <v>https://edmondsonsupply.com/collections/hvac/products/icm-controls-icm2813-furnace-control-board-replacement-for-lennox</v>
      </c>
      <c r="B1604" s="3" t="str">
        <f>HYPERLINK("https://edmondsonsupply.com/products/icm-controls-icm2813-furnace-control-board-replacement-for-lennox", "https://edmondsonsupply.com/products/icm-controls-icm2813-furnace-control-board-replacement-for-lennox")</f>
        <v>https://edmondsonsupply.com/products/icm-controls-icm2813-furnace-control-board-replacement-for-lennox</v>
      </c>
      <c r="C1604" t="s">
        <v>2928</v>
      </c>
      <c r="D1604" t="s">
        <v>3110</v>
      </c>
      <c r="E1604" s="3" t="str">
        <f>HYPERLINK("https://www.amazon.com/ICM-Controls-ICM286-Replacement-0130F00005S/dp/B00QW2U7KS/ref=sr_1_6?keywords=ICM+Controls+ICM2813+Furnace+Control+Board+-+Replacement+for+Lennox&amp;qid=1695173342&amp;sr=8-6", "https://www.amazon.com/ICM-Controls-ICM286-Replacement-0130F00005S/dp/B00QW2U7KS/ref=sr_1_6?keywords=ICM+Controls+ICM2813+Furnace+Control+Board+-+Replacement+for+Lennox&amp;qid=1695173342&amp;sr=8-6")</f>
        <v>https://www.amazon.com/ICM-Controls-ICM286-Replacement-0130F00005S/dp/B00QW2U7KS/ref=sr_1_6?keywords=ICM+Controls+ICM2813+Furnace+Control+Board+-+Replacement+for+Lennox&amp;qid=1695173342&amp;sr=8-6</v>
      </c>
      <c r="F1604" t="s">
        <v>3111</v>
      </c>
      <c r="G1604" t="e">
        <f ca="1">_xludf.IMAGE("https://edmondsonsupply.com/cdn/shop/products/ICM2813.jpg?v=1666552363")</f>
        <v>#NAME?</v>
      </c>
      <c r="H1604" t="e">
        <f ca="1">_xludf.IMAGE("https://m.media-amazon.com/images/I/71CBn8jMCiL._AC_UL320_.jpg")</f>
        <v>#NAME?</v>
      </c>
      <c r="I1604" t="s">
        <v>2224</v>
      </c>
      <c r="J1604">
        <v>103.85</v>
      </c>
      <c r="K1604" s="4">
        <v>3.8600000000000002E-2</v>
      </c>
      <c r="L1604">
        <v>4.3</v>
      </c>
      <c r="M1604">
        <v>157</v>
      </c>
      <c r="O1604" t="s">
        <v>25</v>
      </c>
      <c r="P1604" t="s">
        <v>2931</v>
      </c>
      <c r="Q1604" t="s">
        <v>2932</v>
      </c>
    </row>
    <row r="1605" spans="1:17" ht="15.5" x14ac:dyDescent="0.35">
      <c r="A1605" s="3" t="str">
        <f>HYPERLINK("https://edmondsonsupply.com/collections/hvac/products/icm-controls-icm280-lf-icm-furnace-board-goodman-oem-replacement-board", "https://edmondsonsupply.com/collections/hvac/products/icm-controls-icm280-lf-icm-furnace-board-goodman-oem-replacement-board")</f>
        <v>https://edmondsonsupply.com/collections/hvac/products/icm-controls-icm280-lf-icm-furnace-board-goodman-oem-replacement-board</v>
      </c>
      <c r="B1605" s="3" t="str">
        <f>HYPERLINK("https://edmondsonsupply.com/products/icm-controls-icm280-lf-icm-furnace-board-goodman-oem-replacement-board", "https://edmondsonsupply.com/products/icm-controls-icm280-lf-icm-furnace-board-goodman-oem-replacement-board")</f>
        <v>https://edmondsonsupply.com/products/icm-controls-icm280-lf-icm-furnace-board-goodman-oem-replacement-board</v>
      </c>
      <c r="C1605" t="s">
        <v>2653</v>
      </c>
      <c r="D1605" t="s">
        <v>4320</v>
      </c>
      <c r="E1605" s="3" t="str">
        <f>HYPERLINK("https://www.amazon.com/ICM-Controls-ICM280-Replacement-Including/dp/B000TVHUFI/ref=sr_1_1?keywords=ICM+Controls+ICM280+Furnace+Board&amp;qid=1695173597&amp;sr=8-1", "https://www.amazon.com/ICM-Controls-ICM280-Replacement-Including/dp/B000TVHUFI/ref=sr_1_1?keywords=ICM+Controls+ICM280+Furnace+Board&amp;qid=1695173597&amp;sr=8-1")</f>
        <v>https://www.amazon.com/ICM-Controls-ICM280-Replacement-Including/dp/B000TVHUFI/ref=sr_1_1?keywords=ICM+Controls+ICM280+Furnace+Board&amp;qid=1695173597&amp;sr=8-1</v>
      </c>
      <c r="F1605" t="s">
        <v>4321</v>
      </c>
      <c r="G1605" t="e">
        <f ca="1">_xludf.IMAGE("https://edmondsonsupply.com/cdn/shop/products/ICM280.png?v=1664296085")</f>
        <v>#NAME?</v>
      </c>
      <c r="H1605" t="e">
        <f ca="1">_xludf.IMAGE("https://m.media-amazon.com/images/I/71FSDA5PBjL._AC_UL320_.jpg")</f>
        <v>#NAME?</v>
      </c>
      <c r="I1605" t="s">
        <v>2656</v>
      </c>
      <c r="J1605">
        <v>94.78</v>
      </c>
      <c r="K1605" s="4">
        <v>3.8199999999999998E-2</v>
      </c>
      <c r="L1605">
        <v>4.5</v>
      </c>
      <c r="M1605">
        <v>457</v>
      </c>
      <c r="O1605" t="s">
        <v>25</v>
      </c>
      <c r="P1605" t="s">
        <v>2657</v>
      </c>
      <c r="Q1605" t="s">
        <v>2658</v>
      </c>
    </row>
    <row r="1606" spans="1:17" ht="15.5" x14ac:dyDescent="0.35">
      <c r="A1606" s="3" t="str">
        <f>HYPERLINK("https://edmondsonsupply.com/collections/hvac/products/diablo-tools-dag1130-1-in-x-7-1-2-in-auger-bit", "https://edmondsonsupply.com/collections/hvac/products/diablo-tools-dag1130-1-in-x-7-1-2-in-auger-bit")</f>
        <v>https://edmondsonsupply.com/collections/hvac/products/diablo-tools-dag1130-1-in-x-7-1-2-in-auger-bit</v>
      </c>
      <c r="B1606" s="3" t="str">
        <f>HYPERLINK("https://edmondsonsupply.com/products/diablo-tools-dag1130-1-in-x-7-1-2-in-auger-bit", "https://edmondsonsupply.com/products/diablo-tools-dag1130-1-in-x-7-1-2-in-auger-bit")</f>
        <v>https://edmondsonsupply.com/products/diablo-tools-dag1130-1-in-x-7-1-2-in-auger-bit</v>
      </c>
      <c r="C1606" t="s">
        <v>3530</v>
      </c>
      <c r="D1606" t="s">
        <v>4322</v>
      </c>
      <c r="E1606" s="3" t="str">
        <f>HYPERLINK("https://www.amazon.com/Diablo-7-1-Auger-Bit/dp/B089LHLLW4/ref=sr_1_1?keywords=Diablo+Tools+DAG1130+1+in.+x+7-1%2F2+in.+Auger+Bit&amp;qid=1695173621&amp;sr=8-1", "https://www.amazon.com/Diablo-7-1-Auger-Bit/dp/B089LHLLW4/ref=sr_1_1?keywords=Diablo+Tools+DAG1130+1+in.+x+7-1%2F2+in.+Auger+Bit&amp;qid=1695173621&amp;sr=8-1")</f>
        <v>https://www.amazon.com/Diablo-7-1-Auger-Bit/dp/B089LHLLW4/ref=sr_1_1?keywords=Diablo+Tools+DAG1130+1+in.+x+7-1%2F2+in.+Auger+Bit&amp;qid=1695173621&amp;sr=8-1</v>
      </c>
      <c r="F1606" t="s">
        <v>4323</v>
      </c>
      <c r="G1606" t="e">
        <f ca="1">_xludf.IMAGE("https://edmondsonsupply.com/cdn/shop/products/DAG1130_Main-Image20200712.png?v=1633031124")</f>
        <v>#NAME?</v>
      </c>
      <c r="H1606" t="e">
        <f ca="1">_xludf.IMAGE("https://m.media-amazon.com/images/I/61bFULmp4GL._AC_UL320_.jpg")</f>
        <v>#NAME?</v>
      </c>
      <c r="I1606" t="s">
        <v>3533</v>
      </c>
      <c r="J1606">
        <v>16.989999999999998</v>
      </c>
      <c r="K1606" s="4">
        <v>3.7900000000000003E-2</v>
      </c>
      <c r="L1606">
        <v>4.4000000000000004</v>
      </c>
      <c r="M1606">
        <v>38</v>
      </c>
      <c r="O1606" t="s">
        <v>25</v>
      </c>
      <c r="P1606" t="s">
        <v>3534</v>
      </c>
      <c r="Q1606" t="s">
        <v>3535</v>
      </c>
    </row>
    <row r="1607" spans="1:17" ht="15.5" x14ac:dyDescent="0.35">
      <c r="A1607" s="3" t="str">
        <f>HYPERLINK("https://edmondsonsupply.com/collections/hvac/products/nu-calgon-4774-0-coil-gun", "https://edmondsonsupply.com/collections/hvac/products/nu-calgon-4774-0-coil-gun")</f>
        <v>https://edmondsonsupply.com/collections/hvac/products/nu-calgon-4774-0-coil-gun</v>
      </c>
      <c r="B1607" s="3" t="str">
        <f>HYPERLINK("https://edmondsonsupply.com/products/nu-calgon-4774-0-coil-gun", "https://edmondsonsupply.com/products/nu-calgon-4774-0-coil-gun")</f>
        <v>https://edmondsonsupply.com/products/nu-calgon-4774-0-coil-gun</v>
      </c>
      <c r="C1607" t="s">
        <v>3965</v>
      </c>
      <c r="D1607" t="s">
        <v>4324</v>
      </c>
      <c r="E1607" s="3" t="str">
        <f>HYPERLINK("https://www.amazon.com/Nucalgon-4774-1-Coil-Gun-Probe/dp/B01M0S74LG/ref=sr_1_3?keywords=Nu-Calgon+4774-0+Coil+Gun&amp;qid=1695173335&amp;sr=8-3", "https://www.amazon.com/Nucalgon-4774-1-Coil-Gun-Probe/dp/B01M0S74LG/ref=sr_1_3?keywords=Nu-Calgon+4774-0+Coil+Gun&amp;qid=1695173335&amp;sr=8-3")</f>
        <v>https://www.amazon.com/Nucalgon-4774-1-Coil-Gun-Probe/dp/B01M0S74LG/ref=sr_1_3?keywords=Nu-Calgon+4774-0+Coil+Gun&amp;qid=1695173335&amp;sr=8-3</v>
      </c>
      <c r="F1607" t="s">
        <v>4325</v>
      </c>
      <c r="G1607" t="e">
        <f ca="1">_xludf.IMAGE("https://edmondsonsupply.com/cdn/shop/products/4774-0.jpg?v=1660159773")</f>
        <v>#NAME?</v>
      </c>
      <c r="H1607" t="e">
        <f ca="1">_xludf.IMAGE("https://m.media-amazon.com/images/I/41LxKFxOSfL._AC_UL320_.jpg")</f>
        <v>#NAME?</v>
      </c>
      <c r="I1607" t="s">
        <v>3968</v>
      </c>
      <c r="J1607">
        <v>91.25</v>
      </c>
      <c r="K1607" s="4">
        <v>3.6999999999999998E-2</v>
      </c>
      <c r="L1607">
        <v>4.3</v>
      </c>
      <c r="M1607">
        <v>11</v>
      </c>
      <c r="O1607" t="s">
        <v>25</v>
      </c>
      <c r="P1607" t="s">
        <v>3969</v>
      </c>
      <c r="Q1607" t="s">
        <v>3970</v>
      </c>
    </row>
    <row r="1608" spans="1:17" ht="15.5" x14ac:dyDescent="0.35">
      <c r="A1608" s="3" t="str">
        <f>HYPERLINK("https://edmondsonsupply.com/collections/hvac/products/testo-0638-1557-external-vacuum-probe-for-testo-557", "https://edmondsonsupply.com/collections/hvac/products/testo-0638-1557-external-vacuum-probe-for-testo-557")</f>
        <v>https://edmondsonsupply.com/collections/hvac/products/testo-0638-1557-external-vacuum-probe-for-testo-557</v>
      </c>
      <c r="B1608" s="3" t="str">
        <f>HYPERLINK("https://edmondsonsupply.com/products/testo-0638-1557-external-vacuum-probe-for-testo-557", "https://edmondsonsupply.com/products/testo-0638-1557-external-vacuum-probe-for-testo-557")</f>
        <v>https://edmondsonsupply.com/products/testo-0638-1557-external-vacuum-probe-for-testo-557</v>
      </c>
      <c r="C1608" t="s">
        <v>4326</v>
      </c>
      <c r="D1608" t="s">
        <v>4327</v>
      </c>
      <c r="E1608" s="3" t="str">
        <f>HYPERLINK("https://www.amazon.com/Testo-External-Vacuum-Digital-Manifold/dp/B074JHGHMN/ref=sr_1_1?keywords=Testo+0638+1557+External+Vacuum+Probe+for+Testo+557&amp;qid=1695173690&amp;sr=8-1", "https://www.amazon.com/Testo-External-Vacuum-Digital-Manifold/dp/B074JHGHMN/ref=sr_1_1?keywords=Testo+0638+1557+External+Vacuum+Probe+for+Testo+557&amp;qid=1695173690&amp;sr=8-1")</f>
        <v>https://www.amazon.com/Testo-External-Vacuum-Digital-Manifold/dp/B074JHGHMN/ref=sr_1_1?keywords=Testo+0638+1557+External+Vacuum+Probe+for+Testo+557&amp;qid=1695173690&amp;sr=8-1</v>
      </c>
      <c r="F1608" t="s">
        <v>4328</v>
      </c>
      <c r="G1608" t="e">
        <f ca="1">_xludf.IMAGE("https://edmondsonsupply.com/cdn/shop/products/0638-1557-image_master.jpg?v=1587151029")</f>
        <v>#NAME?</v>
      </c>
      <c r="H1608" t="e">
        <f ca="1">_xludf.IMAGE("https://m.media-amazon.com/images/I/31RsVYkCJQL._AC_UY218_.jpg")</f>
        <v>#NAME?</v>
      </c>
      <c r="I1608" t="s">
        <v>4329</v>
      </c>
      <c r="J1608">
        <v>199.99</v>
      </c>
      <c r="K1608" s="4">
        <v>3.6499999999999998E-2</v>
      </c>
      <c r="L1608">
        <v>4.5</v>
      </c>
      <c r="M1608">
        <v>20</v>
      </c>
      <c r="O1608" t="s">
        <v>171</v>
      </c>
      <c r="P1608" t="s">
        <v>4330</v>
      </c>
      <c r="Q1608" t="s">
        <v>4331</v>
      </c>
    </row>
    <row r="1609" spans="1:17" ht="15.5" x14ac:dyDescent="0.35">
      <c r="A1609" s="3" t="str">
        <f>HYPERLINK("https://edmondsonsupply.com/collections/hvac/products/hilmor-1839052-dbur-deburrer-1-4-to-1-5-8", "https://edmondsonsupply.com/collections/hvac/products/hilmor-1839052-dbur-deburrer-1-4-to-1-5-8")</f>
        <v>https://edmondsonsupply.com/collections/hvac/products/hilmor-1839052-dbur-deburrer-1-4-to-1-5-8</v>
      </c>
      <c r="B1609" s="3" t="str">
        <f>HYPERLINK("https://edmondsonsupply.com/products/hilmor-1839052-dbur-deburrer-1-4-to-1-5-8", "https://edmondsonsupply.com/products/hilmor-1839052-dbur-deburrer-1-4-to-1-5-8")</f>
        <v>https://edmondsonsupply.com/products/hilmor-1839052-dbur-deburrer-1-4-to-1-5-8</v>
      </c>
      <c r="C1609" t="s">
        <v>1880</v>
      </c>
      <c r="D1609" t="s">
        <v>4332</v>
      </c>
      <c r="E1609" s="3" t="str">
        <f>HYPERLINK("https://www.amazon.com/Hilmor-1839052-hilmor-Deburrer-1-5/dp/B00F8QLBA4/ref=sr_1_1?keywords=Hilmor+1839052+DBUR+Deburrer%2C+1%2F4+to+1-5%2F8&amp;qid=1695173403&amp;sr=8-1", "https://www.amazon.com/Hilmor-1839052-hilmor-Deburrer-1-5/dp/B00F8QLBA4/ref=sr_1_1?keywords=Hilmor+1839052+DBUR+Deburrer%2C+1%2F4+to+1-5%2F8&amp;qid=1695173403&amp;sr=8-1")</f>
        <v>https://www.amazon.com/Hilmor-1839052-hilmor-Deburrer-1-5/dp/B00F8QLBA4/ref=sr_1_1?keywords=Hilmor+1839052+DBUR+Deburrer%2C+1%2F4+to+1-5%2F8&amp;qid=1695173403&amp;sr=8-1</v>
      </c>
      <c r="F1609" t="s">
        <v>4333</v>
      </c>
      <c r="G1609" t="e">
        <f ca="1">_xludf.IMAGE("https://edmondsonsupply.com/cdn/shop/products/1839052-2.jpg?v=1587150270")</f>
        <v>#NAME?</v>
      </c>
      <c r="H1609" t="e">
        <f ca="1">_xludf.IMAGE("https://m.media-amazon.com/images/I/71NNv0nFGvL._AC_UY218_.jpg")</f>
        <v>#NAME?</v>
      </c>
      <c r="I1609" t="s">
        <v>1883</v>
      </c>
      <c r="J1609">
        <v>14.99</v>
      </c>
      <c r="K1609" s="4">
        <v>3.4500000000000003E-2</v>
      </c>
      <c r="L1609">
        <v>4</v>
      </c>
      <c r="M1609">
        <v>14</v>
      </c>
      <c r="O1609" t="s">
        <v>25</v>
      </c>
      <c r="P1609" t="s">
        <v>1884</v>
      </c>
      <c r="Q1609" t="s">
        <v>1885</v>
      </c>
    </row>
    <row r="1610" spans="1:17" ht="15.5" x14ac:dyDescent="0.35">
      <c r="A1610" s="3" t="str">
        <f>HYPERLINK("https://edmondsonsupply.com/collections/hvac/products/hilmor-1839054-3-quick-change-magnetic-nut-driver-1-4-5-16", "https://edmondsonsupply.com/collections/hvac/products/hilmor-1839054-3-quick-change-magnetic-nut-driver-1-4-5-16")</f>
        <v>https://edmondsonsupply.com/collections/hvac/products/hilmor-1839054-3-quick-change-magnetic-nut-driver-1-4-5-16</v>
      </c>
      <c r="B1610" s="3" t="str">
        <f>HYPERLINK("https://edmondsonsupply.com/products/hilmor-1839054-3-quick-change-magnetic-nut-driver-1-4-5-16", "https://edmondsonsupply.com/products/hilmor-1839054-3-quick-change-magnetic-nut-driver-1-4-5-16")</f>
        <v>https://edmondsonsupply.com/products/hilmor-1839054-3-quick-change-magnetic-nut-driver-1-4-5-16</v>
      </c>
      <c r="C1610" t="s">
        <v>3714</v>
      </c>
      <c r="D1610" t="s">
        <v>4334</v>
      </c>
      <c r="E1610" s="3" t="str">
        <f>HYPERLINK("https://www.amazon.com/hilmor-1839054-Change-Magnetic-Driver/dp/B00FFMMV78/ref=sr_1_1?keywords=Hilmor+1839054+3%22+Quick-Change+Magnetic+Nut+Driver%2C+1%2F4%22+%26+5%2F16%22&amp;qid=1695173683&amp;sr=8-1", "https://www.amazon.com/hilmor-1839054-Change-Magnetic-Driver/dp/B00FFMMV78/ref=sr_1_1?keywords=Hilmor+1839054+3%22+Quick-Change+Magnetic+Nut+Driver%2C+1%2F4%22+%26+5%2F16%22&amp;qid=1695173683&amp;sr=8-1")</f>
        <v>https://www.amazon.com/hilmor-1839054-Change-Magnetic-Driver/dp/B00FFMMV78/ref=sr_1_1?keywords=Hilmor+1839054+3%22+Quick-Change+Magnetic+Nut+Driver%2C+1%2F4%22+%26+5%2F16%22&amp;qid=1695173683&amp;sr=8-1</v>
      </c>
      <c r="F1610" t="s">
        <v>4335</v>
      </c>
      <c r="G1610" t="e">
        <f ca="1">_xludf.IMAGE("https://edmondsonsupply.com/cdn/shop/products/1839054-O1.jpg?v=1587145838")</f>
        <v>#NAME?</v>
      </c>
      <c r="H1610" t="e">
        <f ca="1">_xludf.IMAGE("https://m.media-amazon.com/images/I/61j5zGEcE7L._AC_UL320_.jpg")</f>
        <v>#NAME?</v>
      </c>
      <c r="I1610" t="s">
        <v>2197</v>
      </c>
      <c r="J1610">
        <v>22.99</v>
      </c>
      <c r="K1610" s="4">
        <v>3.3700000000000001E-2</v>
      </c>
      <c r="L1610">
        <v>4.5999999999999996</v>
      </c>
      <c r="M1610">
        <v>119</v>
      </c>
      <c r="O1610" t="s">
        <v>25</v>
      </c>
      <c r="P1610" t="s">
        <v>138</v>
      </c>
      <c r="Q1610" t="s">
        <v>3717</v>
      </c>
    </row>
    <row r="1611" spans="1:17" ht="15.5" x14ac:dyDescent="0.35">
      <c r="A1611" s="3" t="str">
        <f>HYPERLINK("https://edmondsonsupply.com/collections/hvac/products/robertshaw-700-506-millivolt-combination-gas-valve-3-4-x-3-4-300-000-btu", "https://edmondsonsupply.com/collections/hvac/products/robertshaw-700-506-millivolt-combination-gas-valve-3-4-x-3-4-300-000-btu")</f>
        <v>https://edmondsonsupply.com/collections/hvac/products/robertshaw-700-506-millivolt-combination-gas-valve-3-4-x-3-4-300-000-btu</v>
      </c>
      <c r="B1611" s="3" t="str">
        <f>HYPERLINK("https://edmondsonsupply.com/products/robertshaw-700-506-millivolt-combination-gas-valve-3-4-x-3-4-300-000-btu", "https://edmondsonsupply.com/products/robertshaw-700-506-millivolt-combination-gas-valve-3-4-x-3-4-300-000-btu")</f>
        <v>https://edmondsonsupply.com/products/robertshaw-700-506-millivolt-combination-gas-valve-3-4-x-3-4-300-000-btu</v>
      </c>
      <c r="C1611" t="s">
        <v>4336</v>
      </c>
      <c r="D1611" t="s">
        <v>4337</v>
      </c>
      <c r="E1611" s="3" t="str">
        <f>HYPERLINK("https://www.amazon.com/Supplying-Demand-Millivolt-Combination-Capacity/dp/B0BQ194KZS/ref=sr_1_1?keywords=Robertshaw+700-506+Millivolt+Combination+Gas+Valve%2C+3%2F4%22+x+3%2F4%22%2C+300%2C000+BTU&amp;qid=1695173369&amp;sr=8-1", "https://www.amazon.com/Supplying-Demand-Millivolt-Combination-Capacity/dp/B0BQ194KZS/ref=sr_1_1?keywords=Robertshaw+700-506+Millivolt+Combination+Gas+Valve%2C+3%2F4%22+x+3%2F4%22%2C+300%2C000+BTU&amp;qid=1695173369&amp;sr=8-1")</f>
        <v>https://www.amazon.com/Supplying-Demand-Millivolt-Combination-Capacity/dp/B0BQ194KZS/ref=sr_1_1?keywords=Robertshaw+700-506+Millivolt+Combination+Gas+Valve%2C+3%2F4%22+x+3%2F4%22%2C+300%2C000+BTU&amp;qid=1695173369&amp;sr=8-1</v>
      </c>
      <c r="F1611" t="s">
        <v>4338</v>
      </c>
      <c r="G1611" t="e">
        <f ca="1">_xludf.IMAGE("https://edmondsonsupply.com/cdn/shop/products/700-506.jpg?v=1633030879")</f>
        <v>#NAME?</v>
      </c>
      <c r="H1611" t="e">
        <f ca="1">_xludf.IMAGE("https://m.media-amazon.com/images/I/710aWgcwmeL._AC_UL320_.jpg")</f>
        <v>#NAME?</v>
      </c>
      <c r="I1611" t="s">
        <v>4339</v>
      </c>
      <c r="J1611">
        <v>109.99</v>
      </c>
      <c r="K1611" s="4">
        <v>3.2300000000000002E-2</v>
      </c>
      <c r="L1611">
        <v>5</v>
      </c>
      <c r="M1611">
        <v>5</v>
      </c>
      <c r="O1611" t="s">
        <v>25</v>
      </c>
      <c r="P1611" t="s">
        <v>4340</v>
      </c>
      <c r="Q1611" t="s">
        <v>4341</v>
      </c>
    </row>
    <row r="1612" spans="1:17" ht="15.5" x14ac:dyDescent="0.35">
      <c r="A1612" s="3" t="str">
        <f>HYPERLINK("https://edmondsonsupply.com/collections/hvac/products/refrigeration-technologies-rt300s-viper-foaming-sprayer-gun", "https://edmondsonsupply.com/collections/hvac/products/refrigeration-technologies-rt300s-viper-foaming-sprayer-gun")</f>
        <v>https://edmondsonsupply.com/collections/hvac/products/refrigeration-technologies-rt300s-viper-foaming-sprayer-gun</v>
      </c>
      <c r="B1612" s="3" t="str">
        <f>HYPERLINK("https://edmondsonsupply.com/products/refrigeration-technologies-rt300s-viper-foaming-sprayer-gun", "https://edmondsonsupply.com/products/refrigeration-technologies-rt300s-viper-foaming-sprayer-gun")</f>
        <v>https://edmondsonsupply.com/products/refrigeration-technologies-rt300s-viper-foaming-sprayer-gun</v>
      </c>
      <c r="C1612" t="s">
        <v>4342</v>
      </c>
      <c r="D1612" t="s">
        <v>4343</v>
      </c>
      <c r="E1612" s="3" t="str">
        <f>HYPERLINK("https://www.amazon.com/Refrigeration-Technologies-Cleaning-Chemical-RT300S/dp/B0BLTDRF15/ref=sr_1_1?keywords=Refrigeration+Technologies+RT300S+Viper+Foaming+Sprayer+Gun&amp;qid=1695173442&amp;sr=8-1", "https://www.amazon.com/Refrigeration-Technologies-Cleaning-Chemical-RT300S/dp/B0BLTDRF15/ref=sr_1_1?keywords=Refrigeration+Technologies+RT300S+Viper+Foaming+Sprayer+Gun&amp;qid=1695173442&amp;sr=8-1")</f>
        <v>https://www.amazon.com/Refrigeration-Technologies-Cleaning-Chemical-RT300S/dp/B0BLTDRF15/ref=sr_1_1?keywords=Refrigeration+Technologies+RT300S+Viper+Foaming+Sprayer+Gun&amp;qid=1695173442&amp;sr=8-1</v>
      </c>
      <c r="F1612" t="s">
        <v>4344</v>
      </c>
      <c r="G1612" t="e">
        <f ca="1">_xludf.IMAGE("https://edmondsonsupply.com/cdn/shop/products/Viper-Foam-Gun-RT300S.jpg?v=1633030976")</f>
        <v>#NAME?</v>
      </c>
      <c r="H1612" t="e">
        <f ca="1">_xludf.IMAGE("https://m.media-amazon.com/images/I/51bicnSXrYL._AC_UL320_.jpg")</f>
        <v>#NAME?</v>
      </c>
      <c r="I1612" t="s">
        <v>4345</v>
      </c>
      <c r="J1612">
        <v>89.99</v>
      </c>
      <c r="K1612" s="4">
        <v>3.0300000000000001E-2</v>
      </c>
      <c r="L1612">
        <v>5</v>
      </c>
      <c r="M1612">
        <v>1</v>
      </c>
      <c r="O1612" t="s">
        <v>25</v>
      </c>
      <c r="P1612" t="s">
        <v>4346</v>
      </c>
      <c r="Q1612" t="s">
        <v>4347</v>
      </c>
    </row>
    <row r="1613" spans="1:17" ht="15.5" x14ac:dyDescent="0.35">
      <c r="A1613" s="3" t="str">
        <f>HYPERLINK("https://edmondsonsupply.com/collections/hvac/products/robertshaw-rs10420t", "https://edmondsonsupply.com/collections/hvac/products/robertshaw-rs10420t")</f>
        <v>https://edmondsonsupply.com/collections/hvac/products/robertshaw-rs10420t</v>
      </c>
      <c r="B1613" s="3" t="str">
        <f>HYPERLINK("https://edmondsonsupply.com/products/robertshaw-rs10420t", "https://edmondsonsupply.com/products/robertshaw-rs10420t")</f>
        <v>https://edmondsonsupply.com/products/robertshaw-rs10420t</v>
      </c>
      <c r="C1613" t="s">
        <v>4348</v>
      </c>
      <c r="D1613" t="s">
        <v>2991</v>
      </c>
      <c r="E1613" s="3" t="str">
        <f>HYPERLINK("https://www.amazon.com/Robertshaw-RS10420T-Programmable-Multi-Stage-Conventional/dp/B00U5CBBJC/ref=sr_1_1?keywords=Robertshaw+RS10420T+WIFI+Programmable+Touchscreen+Wall+Thermostat%2C+Multi-Stage+-+4+Heat+%2F+2+Cool&amp;qid=1695173722&amp;sr=8-1", "https://www.amazon.com/Robertshaw-RS10420T-Programmable-Multi-Stage-Conventional/dp/B00U5CBBJC/ref=sr_1_1?keywords=Robertshaw+RS10420T+WIFI+Programmable+Touchscreen+Wall+Thermostat%2C+Multi-Stage+-+4+Heat+%2F+2+Cool&amp;qid=1695173722&amp;sr=8-1")</f>
        <v>https://www.amazon.com/Robertshaw-RS10420T-Programmable-Multi-Stage-Conventional/dp/B00U5CBBJC/ref=sr_1_1?keywords=Robertshaw+RS10420T+WIFI+Programmable+Touchscreen+Wall+Thermostat%2C+Multi-Stage+-+4+Heat+%2F+2+Cool&amp;qid=1695173722&amp;sr=8-1</v>
      </c>
      <c r="F1613" t="s">
        <v>2992</v>
      </c>
      <c r="G1613" t="e">
        <f ca="1">_xludf.IMAGE("https://edmondsonsupply.com/cdn/shop/files/bf4cbb96-100e-4c93-9520-73ef61e2b961.jpg?v=1692304879")</f>
        <v>#NAME?</v>
      </c>
      <c r="H1613" t="e">
        <f ca="1">_xludf.IMAGE("https://m.media-amazon.com/images/I/71tm1J0vjML._AC_UL320_.jpg")</f>
        <v>#NAME?</v>
      </c>
      <c r="I1613" t="s">
        <v>4349</v>
      </c>
      <c r="J1613">
        <v>74.95</v>
      </c>
      <c r="K1613" s="4">
        <v>2.9499999999999998E-2</v>
      </c>
      <c r="L1613">
        <v>3.1</v>
      </c>
      <c r="M1613">
        <v>24</v>
      </c>
      <c r="O1613" t="s">
        <v>25</v>
      </c>
      <c r="P1613" t="s">
        <v>138</v>
      </c>
      <c r="Q1613" t="s">
        <v>4350</v>
      </c>
    </row>
    <row r="1614" spans="1:17" ht="15.5" x14ac:dyDescent="0.35">
      <c r="A1614" s="3" t="str">
        <f>HYPERLINK("https://edmondsonsupply.com/collections/hvac/products/uei-dth35", "https://edmondsonsupply.com/collections/hvac/products/uei-dth35")</f>
        <v>https://edmondsonsupply.com/collections/hvac/products/uei-dth35</v>
      </c>
      <c r="B1614" s="3" t="str">
        <f>HYPERLINK("https://edmondsonsupply.com/products/uei-dth35", "https://edmondsonsupply.com/products/uei-dth35")</f>
        <v>https://edmondsonsupply.com/products/uei-dth35</v>
      </c>
      <c r="C1614" t="s">
        <v>4351</v>
      </c>
      <c r="D1614" t="s">
        <v>4352</v>
      </c>
      <c r="E1614" s="3" t="str">
        <f>HYPERLINK("https://www.amazon.com/UEi-Test-Instruments-DTH35-Psychrometer/dp/B00M0EU6H6/ref=sr_1_1?keywords=UEi+DTH35+Digital+Pocket+Psychrometer&amp;qid=1695173664&amp;sr=8-1", "https://www.amazon.com/UEi-Test-Instruments-DTH35-Psychrometer/dp/B00M0EU6H6/ref=sr_1_1?keywords=UEi+DTH35+Digital+Pocket+Psychrometer&amp;qid=1695173664&amp;sr=8-1")</f>
        <v>https://www.amazon.com/UEi-Test-Instruments-DTH35-Psychrometer/dp/B00M0EU6H6/ref=sr_1_1?keywords=UEi+DTH35+Digital+Pocket+Psychrometer&amp;qid=1695173664&amp;sr=8-1</v>
      </c>
      <c r="F1614" t="s">
        <v>4353</v>
      </c>
      <c r="G1614" t="e">
        <f ca="1">_xludf.IMAGE("https://edmondsonsupply.com/cdn/shop/products/DTH35-1.png?v=1588450662")</f>
        <v>#NAME?</v>
      </c>
      <c r="H1614" t="e">
        <f ca="1">_xludf.IMAGE("https://m.media-amazon.com/images/I/51q9I65y63L._AC_UY218_.jpg")</f>
        <v>#NAME?</v>
      </c>
      <c r="I1614" t="s">
        <v>4354</v>
      </c>
      <c r="J1614">
        <v>92.61</v>
      </c>
      <c r="K1614" s="4">
        <v>2.8299999999999999E-2</v>
      </c>
      <c r="L1614">
        <v>4.7</v>
      </c>
      <c r="M1614">
        <v>253</v>
      </c>
      <c r="O1614" t="s">
        <v>25</v>
      </c>
      <c r="P1614" t="s">
        <v>4355</v>
      </c>
      <c r="Q1614" t="s">
        <v>4356</v>
      </c>
    </row>
    <row r="1615" spans="1:17" ht="15.5" x14ac:dyDescent="0.35">
      <c r="A1615" s="3" t="str">
        <f>HYPERLINK("https://edmondsonsupply.com/collections/hvac/products/malco-tools-c5a2-turbocrimper-impact-power-crimper", "https://edmondsonsupply.com/collections/hvac/products/malco-tools-c5a2-turbocrimper-impact-power-crimper")</f>
        <v>https://edmondsonsupply.com/collections/hvac/products/malco-tools-c5a2-turbocrimper-impact-power-crimper</v>
      </c>
      <c r="B1615" s="3" t="str">
        <f>HYPERLINK("https://edmondsonsupply.com/products/malco-tools-c5a2-turbocrimper-impact-power-crimper", "https://edmondsonsupply.com/products/malco-tools-c5a2-turbocrimper-impact-power-crimper")</f>
        <v>https://edmondsonsupply.com/products/malco-tools-c5a2-turbocrimper-impact-power-crimper</v>
      </c>
      <c r="C1615" t="s">
        <v>4357</v>
      </c>
      <c r="D1615" t="s">
        <v>4358</v>
      </c>
      <c r="E1615" s="3" t="str">
        <f>HYPERLINK("https://www.amazon.com/PRODUCTS-C5A2-Impact-Assisted-Crimper/dp/B01H1N3AA0/ref=sr_1_1?keywords=Malco+Tools+C5A2+TurboCrimper%C2%AE+IMPACT+Power+Crimper&amp;qid=1695173683&amp;sr=8-1", "https://www.amazon.com/PRODUCTS-C5A2-Impact-Assisted-Crimper/dp/B01H1N3AA0/ref=sr_1_1?keywords=Malco+Tools+C5A2+TurboCrimper%C2%AE+IMPACT+Power+Crimper&amp;qid=1695173683&amp;sr=8-1")</f>
        <v>https://www.amazon.com/PRODUCTS-C5A2-Impact-Assisted-Crimper/dp/B01H1N3AA0/ref=sr_1_1?keywords=Malco+Tools+C5A2+TurboCrimper%C2%AE+IMPACT+Power+Crimper&amp;qid=1695173683&amp;sr=8-1</v>
      </c>
      <c r="F1615" t="s">
        <v>4359</v>
      </c>
      <c r="G1615" t="e">
        <f ca="1">_xludf.IMAGE("https://edmondsonsupply.com/cdn/shop/products/Sheet-Metal-Crimping-Tool-Attachment-e1529520236162.jpg?v=1587142660")</f>
        <v>#NAME?</v>
      </c>
      <c r="H1615" t="e">
        <f ca="1">_xludf.IMAGE("https://m.media-amazon.com/images/I/51-c15zdu9L._AC_UL320_.jpg")</f>
        <v>#NAME?</v>
      </c>
      <c r="I1615" t="s">
        <v>4360</v>
      </c>
      <c r="J1615">
        <v>146.99</v>
      </c>
      <c r="K1615" s="4">
        <v>2.8000000000000001E-2</v>
      </c>
      <c r="L1615">
        <v>4.4000000000000004</v>
      </c>
      <c r="M1615">
        <v>681</v>
      </c>
      <c r="O1615" t="s">
        <v>25</v>
      </c>
      <c r="P1615" t="s">
        <v>4361</v>
      </c>
      <c r="Q1615" t="s">
        <v>4362</v>
      </c>
    </row>
    <row r="1616" spans="1:17" ht="15.5" x14ac:dyDescent="0.35">
      <c r="A1616" s="3" t="str">
        <f>HYPERLINK("https://edmondsonsupply.com/collections/hvac/products/rectorseal-97795-mighty-pump-manual-a-c-condensate-pump", "https://edmondsonsupply.com/collections/hvac/products/rectorseal-97795-mighty-pump-manual-a-c-condensate-pump")</f>
        <v>https://edmondsonsupply.com/collections/hvac/products/rectorseal-97795-mighty-pump-manual-a-c-condensate-pump</v>
      </c>
      <c r="B1616" s="3" t="str">
        <f>HYPERLINK("https://edmondsonsupply.com/products/rectorseal-97795-mighty-pump-manual-a-c-condensate-pump", "https://edmondsonsupply.com/products/rectorseal-97795-mighty-pump-manual-a-c-condensate-pump")</f>
        <v>https://edmondsonsupply.com/products/rectorseal-97795-mighty-pump-manual-a-c-condensate-pump</v>
      </c>
      <c r="C1616" t="s">
        <v>4363</v>
      </c>
      <c r="D1616" t="s">
        <v>4364</v>
      </c>
      <c r="E1616" s="3" t="str">
        <f>HYPERLINK("https://www.amazon.com/Rectorseal-97795-Mighty-Condensate-Drain/dp/B003GC8NEE/ref=sr_1_2?keywords=Rectorseal+97795+Mighty+Pump+Manual+A%2FC+Condensate+Pump&amp;qid=1695173465&amp;sr=8-2", "https://www.amazon.com/Rectorseal-97795-Mighty-Condensate-Drain/dp/B003GC8NEE/ref=sr_1_2?keywords=Rectorseal+97795+Mighty+Pump+Manual+A%2FC+Condensate+Pump&amp;qid=1695173465&amp;sr=8-2")</f>
        <v>https://www.amazon.com/Rectorseal-97795-Mighty-Condensate-Drain/dp/B003GC8NEE/ref=sr_1_2?keywords=Rectorseal+97795+Mighty+Pump+Manual+A%2FC+Condensate+Pump&amp;qid=1695173465&amp;sr=8-2</v>
      </c>
      <c r="F1616" t="s">
        <v>4365</v>
      </c>
      <c r="G1616" t="e">
        <f ca="1">_xludf.IMAGE("https://edmondsonsupply.com/cdn/shop/products/97795.png?v=1647393974")</f>
        <v>#NAME?</v>
      </c>
      <c r="H1616" t="e">
        <f ca="1">_xludf.IMAGE("https://m.media-amazon.com/images/I/81iOBJpr8oS._AC_UL320_.jpg")</f>
        <v>#NAME?</v>
      </c>
      <c r="I1616" t="s">
        <v>4366</v>
      </c>
      <c r="J1616">
        <v>98.98</v>
      </c>
      <c r="K1616" s="4">
        <v>2.69E-2</v>
      </c>
      <c r="L1616">
        <v>4.5</v>
      </c>
      <c r="M1616">
        <v>676</v>
      </c>
      <c r="O1616" t="s">
        <v>25</v>
      </c>
      <c r="P1616" t="s">
        <v>138</v>
      </c>
      <c r="Q1616" t="s">
        <v>4367</v>
      </c>
    </row>
    <row r="1617" spans="1:17" ht="15.5" x14ac:dyDescent="0.35">
      <c r="A1617" s="3" t="str">
        <f>HYPERLINK("https://edmondsonsupply.com/collections/hvac/products/klein-tools-32535-10-in-1-10-fold-screwdriver-nut-driver", "https://edmondsonsupply.com/collections/hvac/products/klein-tools-32535-10-in-1-10-fold-screwdriver-nut-driver")</f>
        <v>https://edmondsonsupply.com/collections/hvac/products/klein-tools-32535-10-in-1-10-fold-screwdriver-nut-driver</v>
      </c>
      <c r="B1617" s="3" t="str">
        <f>HYPERLINK("https://edmondsonsupply.com/products/klein-tools-32535-10-in-1-10-fold-screwdriver-nut-driver", "https://edmondsonsupply.com/products/klein-tools-32535-10-in-1-10-fold-screwdriver-nut-driver")</f>
        <v>https://edmondsonsupply.com/products/klein-tools-32535-10-in-1-10-fold-screwdriver-nut-driver</v>
      </c>
      <c r="C1617" t="s">
        <v>4368</v>
      </c>
      <c r="D1617" t="s">
        <v>4369</v>
      </c>
      <c r="E1617" s="3" t="str">
        <f>HYPERLINK("https://www.amazon.com/Klein-Tools-10-Fold-Screwdriver-Schrader/dp/B007OX62QM/ref=sr_1_5?keywords=Klein+Tools+32535+10-in-1+10+Fold+Screwdriver+%2F+Nut+Driver&amp;qid=1695173630&amp;sr=8-5", "https://www.amazon.com/Klein-Tools-10-Fold-Screwdriver-Schrader/dp/B007OX62QM/ref=sr_1_5?keywords=Klein+Tools+32535+10-in-1+10+Fold+Screwdriver+%2F+Nut+Driver&amp;qid=1695173630&amp;sr=8-5")</f>
        <v>https://www.amazon.com/Klein-Tools-10-Fold-Screwdriver-Schrader/dp/B007OX62QM/ref=sr_1_5?keywords=Klein+Tools+32535+10-in-1+10+Fold+Screwdriver+%2F+Nut+Driver&amp;qid=1695173630&amp;sr=8-5</v>
      </c>
      <c r="F1617" t="s">
        <v>4370</v>
      </c>
      <c r="G1617" t="e">
        <f ca="1">_xludf.IMAGE("https://edmondsonsupply.com/cdn/shop/products/32535.jpg?v=1633030894")</f>
        <v>#NAME?</v>
      </c>
      <c r="H1617" t="e">
        <f ca="1">_xludf.IMAGE("https://m.media-amazon.com/images/I/51VSZEBhlgL._AC_UL320_.jpg")</f>
        <v>#NAME?</v>
      </c>
      <c r="I1617" t="s">
        <v>26</v>
      </c>
      <c r="J1617">
        <v>30.78</v>
      </c>
      <c r="K1617" s="4">
        <v>2.63E-2</v>
      </c>
      <c r="L1617">
        <v>4.5999999999999996</v>
      </c>
      <c r="M1617">
        <v>153</v>
      </c>
      <c r="O1617" t="s">
        <v>25</v>
      </c>
      <c r="P1617" t="s">
        <v>4371</v>
      </c>
      <c r="Q1617" t="s">
        <v>4372</v>
      </c>
    </row>
    <row r="1618" spans="1:17" ht="15.5" x14ac:dyDescent="0.35">
      <c r="A1618" s="3" t="str">
        <f>HYPERLINK("https://edmondsonsupply.com/collections/hvac/products/appion-mgabas-megaflow-basics-1-2in-hose-evacuation-kit-with-1-4in-valve-core-tool", "https://edmondsonsupply.com/collections/hvac/products/appion-mgabas-megaflow-basics-1-2in-hose-evacuation-kit-with-1-4in-valve-core-tool")</f>
        <v>https://edmondsonsupply.com/collections/hvac/products/appion-mgabas-megaflow-basics-1-2in-hose-evacuation-kit-with-1-4in-valve-core-tool</v>
      </c>
      <c r="B1618" s="3" t="str">
        <f>HYPERLINK("https://edmondsonsupply.com/products/appion-mgabas-megaflow-basics-1-2in-hose-evacuation-kit-with-1-4in-valve-core-tool", "https://edmondsonsupply.com/products/appion-mgabas-megaflow-basics-1-2in-hose-evacuation-kit-with-1-4in-valve-core-tool")</f>
        <v>https://edmondsonsupply.com/products/appion-mgabas-megaflow-basics-1-2in-hose-evacuation-kit-with-1-4in-valve-core-tool</v>
      </c>
      <c r="C1618" t="s">
        <v>4373</v>
      </c>
      <c r="D1618" t="s">
        <v>4374</v>
      </c>
      <c r="E1618" s="3" t="str">
        <f>HYPERLINK("https://www.amazon.com/Appion-MGABRO-MegaFlow-Basics-Evacuation/dp/B084CXC6Y3/ref=sr_1_2?keywords=Appion+MGABAS+MegaFlow+Basics+1%2F2in+Hose+Evacuation+Kit+with+1%2F4in+Valve+Core+Tool&amp;qid=1695173494&amp;sr=8-2", "https://www.amazon.com/Appion-MGABRO-MegaFlow-Basics-Evacuation/dp/B084CXC6Y3/ref=sr_1_2?keywords=Appion+MGABAS+MegaFlow+Basics+1%2F2in+Hose+Evacuation+Kit+with+1%2F4in+Valve+Core+Tool&amp;qid=1695173494&amp;sr=8-2")</f>
        <v>https://www.amazon.com/Appion-MGABRO-MegaFlow-Basics-Evacuation/dp/B084CXC6Y3/ref=sr_1_2?keywords=Appion+MGABAS+MegaFlow+Basics+1%2F2in+Hose+Evacuation+Kit+with+1%2F4in+Valve+Core+Tool&amp;qid=1695173494&amp;sr=8-2</v>
      </c>
      <c r="F1618" t="s">
        <v>4375</v>
      </c>
      <c r="G1618" t="e">
        <f ca="1">_xludf.IMAGE("https://edmondsonsupply.com/cdn/shop/products/MGABAS_MHH_1080.png?v=1678063276")</f>
        <v>#NAME?</v>
      </c>
      <c r="H1618" t="e">
        <f ca="1">_xludf.IMAGE("https://m.media-amazon.com/images/I/51E1HtyzKYL._AC_UL320_.jpg")</f>
        <v>#NAME?</v>
      </c>
      <c r="I1618" t="s">
        <v>3276</v>
      </c>
      <c r="J1618">
        <v>143.57</v>
      </c>
      <c r="K1618" s="4">
        <v>2.5600000000000001E-2</v>
      </c>
      <c r="L1618">
        <v>4</v>
      </c>
      <c r="M1618">
        <v>5</v>
      </c>
      <c r="O1618" t="s">
        <v>25</v>
      </c>
      <c r="P1618" t="s">
        <v>483</v>
      </c>
      <c r="Q1618" t="s">
        <v>4376</v>
      </c>
    </row>
    <row r="1619" spans="1:17" ht="15.5" x14ac:dyDescent="0.35">
      <c r="A1619" s="3" t="str">
        <f>HYPERLINK("https://edmondsonsupply.com/collections/hvac/products/speedclean-coiljet%C2%AE-cj-125-hvac-coil-cleaner-system", "https://edmondsonsupply.com/collections/hvac/products/speedclean-coiljet%C2%AE-cj-125-hvac-coil-cleaner-system")</f>
        <v>https://edmondsonsupply.com/collections/hvac/products/speedclean-coiljet%C2%AE-cj-125-hvac-coil-cleaner-system</v>
      </c>
      <c r="B1619" s="3" t="str">
        <f>HYPERLINK("https://edmondsonsupply.com/products/speedclean-coiljet%c2%ae-cj-125-hvac-coil-cleaner-system", "https://edmondsonsupply.com/products/speedclean-coiljet%c2%ae-cj-125-hvac-coil-cleaner-system")</f>
        <v>https://edmondsonsupply.com/products/speedclean-coiljet%c2%ae-cj-125-hvac-coil-cleaner-system</v>
      </c>
      <c r="C1619" t="s">
        <v>4271</v>
      </c>
      <c r="D1619" t="s">
        <v>4272</v>
      </c>
      <c r="E1619" s="3" t="str">
        <f>HYPERLINK("https://www.amazon.com/SpeedClean-CoilJet-Cleaning-System-CJ-125/dp/B00HQO4KOU/ref=sr_1_2?keywords=SpeedClean+CoilJet%C2%AE+CJ-125+HVAC+Coil+Cleaner+System&amp;qid=1695173393&amp;sr=8-2", "https://www.amazon.com/SpeedClean-CoilJet-Cleaning-System-CJ-125/dp/B00HQO4KOU/ref=sr_1_2?keywords=SpeedClean+CoilJet%C2%AE+CJ-125+HVAC+Coil+Cleaner+System&amp;qid=1695173393&amp;sr=8-2")</f>
        <v>https://www.amazon.com/SpeedClean-CoilJet-Cleaning-System-CJ-125/dp/B00HQO4KOU/ref=sr_1_2?keywords=SpeedClean+CoilJet%C2%AE+CJ-125+HVAC+Coil+Cleaner+System&amp;qid=1695173393&amp;sr=8-2</v>
      </c>
      <c r="F1619" t="s">
        <v>4377</v>
      </c>
      <c r="G1619" t="e">
        <f ca="1">_xludf.IMAGE("https://edmondsonsupply.com/cdn/shop/products/SpeedClean-CJ125_1.jpg?v=1633030984")</f>
        <v>#NAME?</v>
      </c>
      <c r="H1619" t="e">
        <f ca="1">_xludf.IMAGE("https://m.media-amazon.com/images/I/61BG79AMUWL._AC_UL320_.jpg")</f>
        <v>#NAME?</v>
      </c>
      <c r="I1619" t="s">
        <v>4274</v>
      </c>
      <c r="J1619">
        <v>739.99</v>
      </c>
      <c r="K1619" s="4">
        <v>2.5100000000000001E-2</v>
      </c>
      <c r="L1619">
        <v>3.8</v>
      </c>
      <c r="M1619">
        <v>14</v>
      </c>
      <c r="O1619" t="s">
        <v>25</v>
      </c>
      <c r="P1619" t="s">
        <v>138</v>
      </c>
      <c r="Q1619" t="s">
        <v>4275</v>
      </c>
    </row>
    <row r="1620" spans="1:17" ht="15.5" x14ac:dyDescent="0.35">
      <c r="A1620" s="3" t="str">
        <f>HYPERLINK("https://edmondsonsupply.com/collections/hvac/products/greenlee-gsb01-1-2-step-bit-1", "https://edmondsonsupply.com/collections/hvac/products/greenlee-gsb01-1-2-step-bit-1")</f>
        <v>https://edmondsonsupply.com/collections/hvac/products/greenlee-gsb01-1-2-step-bit-1</v>
      </c>
      <c r="B1620" s="3" t="str">
        <f>HYPERLINK("https://edmondsonsupply.com/products/greenlee-gsb01-1-2-step-bit-1", "https://edmondsonsupply.com/products/greenlee-gsb01-1-2-step-bit-1")</f>
        <v>https://edmondsonsupply.com/products/greenlee-gsb01-1-2-step-bit-1</v>
      </c>
      <c r="C1620" t="s">
        <v>2319</v>
      </c>
      <c r="D1620" t="s">
        <v>4378</v>
      </c>
      <c r="E1620" s="3" t="str">
        <f>HYPERLINK("https://www.amazon.com/Greenlee-GSB04-Step-Bit/dp/B08TVF22W4/ref=sr_1_1?keywords=Greenlee+GSB01+1%2F2%22+Step+Bit+%28%231%29&amp;qid=1695173747&amp;sr=8-1", "https://www.amazon.com/Greenlee-GSB04-Step-Bit/dp/B08TVF22W4/ref=sr_1_1?keywords=Greenlee+GSB01+1%2F2%22+Step+Bit+%28%231%29&amp;qid=1695173747&amp;sr=8-1")</f>
        <v>https://www.amazon.com/Greenlee-GSB04-Step-Bit/dp/B08TVF22W4/ref=sr_1_1?keywords=Greenlee+GSB01+1%2F2%22+Step+Bit+%28%231%29&amp;qid=1695173747&amp;sr=8-1</v>
      </c>
      <c r="F1620" t="s">
        <v>4379</v>
      </c>
      <c r="G1620" t="e">
        <f ca="1">_xludf.IMAGE("https://edmondsonsupply.com/cdn/shop/files/GSB01_CAT1_72dpi_1.jpg?v=1687790366")</f>
        <v>#NAME?</v>
      </c>
      <c r="H1620" t="e">
        <f ca="1">_xludf.IMAGE("https://m.media-amazon.com/images/I/41FX4czhS0L._AC_UY218_.jpg")</f>
        <v>#NAME?</v>
      </c>
      <c r="I1620" t="s">
        <v>2322</v>
      </c>
      <c r="J1620">
        <v>32</v>
      </c>
      <c r="K1620" s="4">
        <v>2.5000000000000001E-2</v>
      </c>
      <c r="L1620">
        <v>5</v>
      </c>
      <c r="M1620">
        <v>7</v>
      </c>
      <c r="O1620" t="s">
        <v>25</v>
      </c>
      <c r="P1620" t="s">
        <v>138</v>
      </c>
      <c r="Q1620" t="s">
        <v>2323</v>
      </c>
    </row>
    <row r="1621" spans="1:17" ht="15.5" x14ac:dyDescent="0.35">
      <c r="A1621" s="3" t="str">
        <f>HYPERLINK("https://edmondsonsupply.com/collections/hvac/products/malco-tools-m2007-max2000%C2%AE-offset-aviation-snip-right-cutting", "https://edmondsonsupply.com/collections/hvac/products/malco-tools-m2007-max2000%C2%AE-offset-aviation-snip-right-cutting")</f>
        <v>https://edmondsonsupply.com/collections/hvac/products/malco-tools-m2007-max2000%C2%AE-offset-aviation-snip-right-cutting</v>
      </c>
      <c r="B1621" s="3" t="str">
        <f>HYPERLINK("https://edmondsonsupply.com/products/malco-tools-m2007-max2000%c2%ae-offset-aviation-snip-right-cutting", "https://edmondsonsupply.com/products/malco-tools-m2007-max2000%c2%ae-offset-aviation-snip-right-cutting")</f>
        <v>https://edmondsonsupply.com/products/malco-tools-m2007-max2000%c2%ae-offset-aviation-snip-right-cutting</v>
      </c>
      <c r="C1621" t="s">
        <v>3493</v>
      </c>
      <c r="D1621" t="s">
        <v>4380</v>
      </c>
      <c r="E1621" s="3" t="str">
        <f>HYPERLINK("https://www.amazon.com/Malco-M2007-MAX2000-Capacity-Aviation/dp/B00004SUQO/ref=sr_1_1?keywords=Malco+Tools+M2007+Max2000%C2%AE+Offset+Aviation+Snip+-+Right+Cutting&amp;qid=1695173538&amp;sr=8-1", "https://www.amazon.com/Malco-M2007-MAX2000-Capacity-Aviation/dp/B00004SUQO/ref=sr_1_1?keywords=Malco+Tools+M2007+Max2000%C2%AE+Offset+Aviation+Snip+-+Right+Cutting&amp;qid=1695173538&amp;sr=8-1")</f>
        <v>https://www.amazon.com/Malco-M2007-MAX2000-Capacity-Aviation/dp/B00004SUQO/ref=sr_1_1?keywords=Malco+Tools+M2007+Max2000%C2%AE+Offset+Aviation+Snip+-+Right+Cutting&amp;qid=1695173538&amp;sr=8-1</v>
      </c>
      <c r="F1621" t="s">
        <v>4381</v>
      </c>
      <c r="G1621" t="e">
        <f ca="1">_xludf.IMAGE("https://edmondsonsupply.com/cdn/shop/products/m2007.jpg?v=1633030573")</f>
        <v>#NAME?</v>
      </c>
      <c r="H1621" t="e">
        <f ca="1">_xludf.IMAGE("https://m.media-amazon.com/images/I/51ydP7Orl6L._AC_UL320_.jpg")</f>
        <v>#NAME?</v>
      </c>
      <c r="I1621" t="s">
        <v>3496</v>
      </c>
      <c r="J1621">
        <v>43.99</v>
      </c>
      <c r="K1621" s="4">
        <v>2.3300000000000001E-2</v>
      </c>
      <c r="L1621">
        <v>4.7</v>
      </c>
      <c r="M1621">
        <v>657</v>
      </c>
      <c r="O1621" t="s">
        <v>25</v>
      </c>
      <c r="P1621" t="s">
        <v>3497</v>
      </c>
      <c r="Q1621" t="s">
        <v>3498</v>
      </c>
    </row>
    <row r="1622" spans="1:17" ht="15.5" x14ac:dyDescent="0.35">
      <c r="A1622" s="3" t="str">
        <f>HYPERLINK("https://edmondsonsupply.com/collections/hvac/products/reed-mfg-deb3-deburring-tool", "https://edmondsonsupply.com/collections/hvac/products/reed-mfg-deb3-deburring-tool")</f>
        <v>https://edmondsonsupply.com/collections/hvac/products/reed-mfg-deb3-deburring-tool</v>
      </c>
      <c r="B1622" s="3" t="str">
        <f>HYPERLINK("https://edmondsonsupply.com/products/reed-mfg-deb3-deburring-tool", "https://edmondsonsupply.com/products/reed-mfg-deb3-deburring-tool")</f>
        <v>https://edmondsonsupply.com/products/reed-mfg-deb3-deburring-tool</v>
      </c>
      <c r="C1622" t="s">
        <v>3787</v>
      </c>
      <c r="D1622" t="s">
        <v>4382</v>
      </c>
      <c r="E1622" s="3" t="str">
        <f>HYPERLINK("https://www.amazon.com/Reed-Tool-DEB3-Deburring/dp/B003NU3DSA/ref=sr_1_1?keywords=Reed+Mfg+DEB3+Deburring+Tool&amp;qid=1695173349&amp;sr=8-1", "https://www.amazon.com/Reed-Tool-DEB3-Deburring/dp/B003NU3DSA/ref=sr_1_1?keywords=Reed+Mfg+DEB3+Deburring+Tool&amp;qid=1695173349&amp;sr=8-1")</f>
        <v>https://www.amazon.com/Reed-Tool-DEB3-Deburring/dp/B003NU3DSA/ref=sr_1_1?keywords=Reed+Mfg+DEB3+Deburring+Tool&amp;qid=1695173349&amp;sr=8-1</v>
      </c>
      <c r="F1622" t="s">
        <v>4383</v>
      </c>
      <c r="G1622" t="e">
        <f ca="1">_xludf.IMAGE("https://edmondsonsupply.com/cdn/shop/products/DEB3-HighRes.jpg?v=1633030907")</f>
        <v>#NAME?</v>
      </c>
      <c r="H1622" t="e">
        <f ca="1">_xludf.IMAGE("https://m.media-amazon.com/images/I/61zcvyDyQNL._AC_UY218_.jpg")</f>
        <v>#NAME?</v>
      </c>
      <c r="I1622" t="s">
        <v>3790</v>
      </c>
      <c r="J1622">
        <v>14.99</v>
      </c>
      <c r="K1622" s="4">
        <v>2.3199999999999998E-2</v>
      </c>
      <c r="L1622">
        <v>4.5999999999999996</v>
      </c>
      <c r="M1622">
        <v>138</v>
      </c>
      <c r="O1622" t="s">
        <v>25</v>
      </c>
      <c r="P1622" t="s">
        <v>3791</v>
      </c>
      <c r="Q1622" t="s">
        <v>3792</v>
      </c>
    </row>
    <row r="1623" spans="1:17" ht="15.5" x14ac:dyDescent="0.35">
      <c r="A1623" s="3" t="str">
        <f>HYPERLINK("https://edmondsonsupply.com/collections/hvac/products/reed-mfg-dhr12-1-1-4npt-r12-drophead-1-1-4-npt", "https://edmondsonsupply.com/collections/hvac/products/reed-mfg-dhr12-1-1-4npt-r12-drophead-1-1-4-npt")</f>
        <v>https://edmondsonsupply.com/collections/hvac/products/reed-mfg-dhr12-1-1-4npt-r12-drophead-1-1-4-npt</v>
      </c>
      <c r="B1623" s="3" t="str">
        <f>HYPERLINK("https://edmondsonsupply.com/products/reed-mfg-dhr12-1-1-4npt-r12-drophead-1-1-4-npt", "https://edmondsonsupply.com/products/reed-mfg-dhr12-1-1-4npt-r12-drophead-1-1-4-npt")</f>
        <v>https://edmondsonsupply.com/products/reed-mfg-dhr12-1-1-4npt-r12-drophead-1-1-4-npt</v>
      </c>
      <c r="C1623" t="s">
        <v>4384</v>
      </c>
      <c r="D1623" t="s">
        <v>4385</v>
      </c>
      <c r="E1623" s="3" t="str">
        <f>HYPERLINK("https://www.amazon.com/Reed-Tool-DHR12-1NPT-Drophead/dp/B000ZGZ0PY/ref=sr_1_fkmr0_2?keywords=Reed+Mfg+DHR12+1+1%2F4NPT+R12%2B+Drophead%2C+1-1%2F4%22+NPT&amp;qid=1695173616&amp;sr=8-2-fkmr0", "https://www.amazon.com/Reed-Tool-DHR12-1NPT-Drophead/dp/B000ZGZ0PY/ref=sr_1_fkmr0_2?keywords=Reed+Mfg+DHR12+1+1%2F4NPT+R12%2B+Drophead%2C+1-1%2F4%22+NPT&amp;qid=1695173616&amp;sr=8-2-fkmr0")</f>
        <v>https://www.amazon.com/Reed-Tool-DHR12-1NPT-Drophead/dp/B000ZGZ0PY/ref=sr_1_fkmr0_2?keywords=Reed+Mfg+DHR12+1+1%2F4NPT+R12%2B+Drophead%2C+1-1%2F4%22+NPT&amp;qid=1695173616&amp;sr=8-2-fkmr0</v>
      </c>
      <c r="F1623" t="s">
        <v>4386</v>
      </c>
      <c r="G1623" t="e">
        <f ca="1">_xludf.IMAGE("https://edmondsonsupply.com/cdn/shop/products/05632-DHR121-1-4NPT-RGB.jpg?v=1633031013")</f>
        <v>#NAME?</v>
      </c>
      <c r="H1623" t="e">
        <f ca="1">_xludf.IMAGE("https://m.media-amazon.com/images/I/61ePWvUMWkL._AC_UY218_.jpg")</f>
        <v>#NAME?</v>
      </c>
      <c r="I1623" t="s">
        <v>4387</v>
      </c>
      <c r="J1623">
        <v>157.93</v>
      </c>
      <c r="K1623" s="4">
        <v>1.9800000000000002E-2</v>
      </c>
      <c r="L1623">
        <v>1</v>
      </c>
      <c r="M1623">
        <v>1</v>
      </c>
      <c r="O1623" t="s">
        <v>25</v>
      </c>
      <c r="P1623" t="s">
        <v>4388</v>
      </c>
      <c r="Q1623" t="s">
        <v>4389</v>
      </c>
    </row>
    <row r="1624" spans="1:17" ht="15.5" x14ac:dyDescent="0.35">
      <c r="A1624" s="3" t="str">
        <f>HYPERLINK("https://edmondsonsupply.com/collections/hvac/products/rectorseal-97705-mighty-bracket-mini-split-installation-support-tool", "https://edmondsonsupply.com/collections/hvac/products/rectorseal-97705-mighty-bracket-mini-split-installation-support-tool")</f>
        <v>https://edmondsonsupply.com/collections/hvac/products/rectorseal-97705-mighty-bracket-mini-split-installation-support-tool</v>
      </c>
      <c r="B1624" s="3" t="str">
        <f>HYPERLINK("https://edmondsonsupply.com/products/rectorseal-97705-mighty-bracket-mini-split-installation-support-tool", "https://edmondsonsupply.com/products/rectorseal-97705-mighty-bracket-mini-split-installation-support-tool")</f>
        <v>https://edmondsonsupply.com/products/rectorseal-97705-mighty-bracket-mini-split-installation-support-tool</v>
      </c>
      <c r="C1624" t="s">
        <v>4390</v>
      </c>
      <c r="D1624" t="s">
        <v>4391</v>
      </c>
      <c r="E1624" s="3" t="str">
        <f>HYPERLINK("https://www.amazon.com/Rectorseal-97705-Bracket-Mini-Split-Support/dp/B010M261GW/ref=sr_1_1?keywords=RectorSeal+97705+Mighty+Bracket+Mini-Split+Installation+Support+Tool&amp;qid=1695173448&amp;sr=8-1", "https://www.amazon.com/Rectorseal-97705-Bracket-Mini-Split-Support/dp/B010M261GW/ref=sr_1_1?keywords=RectorSeal+97705+Mighty+Bracket+Mini-Split+Installation+Support+Tool&amp;qid=1695173448&amp;sr=8-1")</f>
        <v>https://www.amazon.com/Rectorseal-97705-Bracket-Mini-Split-Support/dp/B010M261GW/ref=sr_1_1?keywords=RectorSeal+97705+Mighty+Bracket+Mini-Split+Installation+Support+Tool&amp;qid=1695173448&amp;sr=8-1</v>
      </c>
      <c r="F1624" t="s">
        <v>4392</v>
      </c>
      <c r="G1624" t="e">
        <f ca="1">_xludf.IMAGE("https://edmondsonsupply.com/cdn/shop/products/13771_94491864.png?v=1633031092")</f>
        <v>#NAME?</v>
      </c>
      <c r="H1624" t="e">
        <f ca="1">_xludf.IMAGE("https://m.media-amazon.com/images/I/51UJSHgdRSL._AC_UL320_.jpg")</f>
        <v>#NAME?</v>
      </c>
      <c r="I1624" t="s">
        <v>4393</v>
      </c>
      <c r="J1624">
        <v>154.86000000000001</v>
      </c>
      <c r="K1624" s="4">
        <v>1.95E-2</v>
      </c>
      <c r="L1624">
        <v>4.5</v>
      </c>
      <c r="M1624">
        <v>246</v>
      </c>
      <c r="O1624" t="s">
        <v>25</v>
      </c>
      <c r="P1624" t="s">
        <v>138</v>
      </c>
      <c r="Q1624" t="s">
        <v>4394</v>
      </c>
    </row>
    <row r="1625" spans="1:17" ht="15.5" x14ac:dyDescent="0.35">
      <c r="A1625" s="3" t="str">
        <f>HYPERLINK("https://edmondsonsupply.com/collections/hvac/products/wiha-tools-66990-9-piece-magicring-ball-end-long-arm-hex-l-key-set-metric", "https://edmondsonsupply.com/collections/hvac/products/wiha-tools-66990-9-piece-magicring-ball-end-long-arm-hex-l-key-set-metric")</f>
        <v>https://edmondsonsupply.com/collections/hvac/products/wiha-tools-66990-9-piece-magicring-ball-end-long-arm-hex-l-key-set-metric</v>
      </c>
      <c r="B1625"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1625" t="s">
        <v>4395</v>
      </c>
      <c r="D1625" t="s">
        <v>4396</v>
      </c>
      <c r="E1625" s="3" t="str">
        <f>HYPERLINK("https://www.amazon.com/Wiha-66991-MagicRing-Holder-Piece/dp/B000WTAK2C/ref=sr_1_6?keywords=Wiha+Tools+66990+9+Piece+MagicRing+Ball+End+Long+Arm+Hex+L-Key+Set+-+Metric&amp;qid=1695173733&amp;sr=8-6", "https://www.amazon.com/Wiha-66991-MagicRing-Holder-Piece/dp/B000WTAK2C/ref=sr_1_6?keywords=Wiha+Tools+66990+9+Piece+MagicRing+Ball+End+Long+Arm+Hex+L-Key+Set+-+Metric&amp;qid=1695173733&amp;sr=8-6")</f>
        <v>https://www.amazon.com/Wiha-66991-MagicRing-Holder-Piece/dp/B000WTAK2C/ref=sr_1_6?keywords=Wiha+Tools+66990+9+Piece+MagicRing+Ball+End+Long+Arm+Hex+L-Key+Set+-+Metric&amp;qid=1695173733&amp;sr=8-6</v>
      </c>
      <c r="F1625" t="s">
        <v>4397</v>
      </c>
      <c r="G1625" t="e">
        <f ca="1">_xludf.IMAGE("https://edmondsonsupply.com/cdn/shop/files/13e958aad91c16597a10bc35346fe94965ff7cc5_1000x_585c36ae-bd90-4c7e-95df-eb1519527f63.webp?v=1690841217")</f>
        <v>#NAME?</v>
      </c>
      <c r="H1625" t="e">
        <f ca="1">_xludf.IMAGE("https://m.media-amazon.com/images/I/61jqxmDwZLL._AC_UL320_.jpg")</f>
        <v>#NAME?</v>
      </c>
      <c r="I1625" t="s">
        <v>4398</v>
      </c>
      <c r="J1625">
        <v>39.99</v>
      </c>
      <c r="K1625" s="4">
        <v>1.8599999999999998E-2</v>
      </c>
      <c r="L1625">
        <v>4.8</v>
      </c>
      <c r="M1625">
        <v>17</v>
      </c>
      <c r="O1625" t="s">
        <v>25</v>
      </c>
      <c r="P1625" t="s">
        <v>4399</v>
      </c>
      <c r="Q1625" t="s">
        <v>4400</v>
      </c>
    </row>
    <row r="1626" spans="1:17" ht="15.5" x14ac:dyDescent="0.35">
      <c r="A1626" s="3" t="str">
        <f>HYPERLINK("https://edmondsonsupply.com/collections/hvac/products/milwaukee-2962p-22-m18-fuel%E2%84%A2-1-2-mid-torque-impact-wrench-w-pin-detent-kit", "https://edmondsonsupply.com/collections/hvac/products/milwaukee-2962p-22-m18-fuel%E2%84%A2-1-2-mid-torque-impact-wrench-w-pin-detent-kit")</f>
        <v>https://edmondsonsupply.com/collections/hvac/products/milwaukee-2962p-22-m18-fuel%E2%84%A2-1-2-mid-torque-impact-wrench-w-pin-detent-kit</v>
      </c>
      <c r="B1626" s="3" t="str">
        <f>HYPERLINK("https://edmondsonsupply.com/products/milwaukee-2962p-22-m18-fuel%e2%84%a2-1-2-mid-torque-impact-wrench-w-pin-detent-kit", "https://edmondsonsupply.com/products/milwaukee-2962p-22-m18-fuel%e2%84%a2-1-2-mid-torque-impact-wrench-w-pin-detent-kit")</f>
        <v>https://edmondsonsupply.com/products/milwaukee-2962p-22-m18-fuel%e2%84%a2-1-2-mid-torque-impact-wrench-w-pin-detent-kit</v>
      </c>
      <c r="C1626" t="s">
        <v>4401</v>
      </c>
      <c r="D1626" t="s">
        <v>4402</v>
      </c>
      <c r="E1626" s="3" t="str">
        <f>HYPERLINK("https://www.amazon.com/Milwaukee-276622-Torque-Impact-Wrench/dp/B076S2DV48/ref=sr_1_2?keywords=Milwaukee+2962P-22+M18+FUEL%E2%84%A2+1%2F2+%22+Mid-Torque+Impact+Wrench+w%2F+Pin+Detent+Kit&amp;qid=1695173733&amp;sr=8-2", "https://www.amazon.com/Milwaukee-276622-Torque-Impact-Wrench/dp/B076S2DV48/ref=sr_1_2?keywords=Milwaukee+2962P-22+M18+FUEL%E2%84%A2+1%2F2+%22+Mid-Torque+Impact+Wrench+w%2F+Pin+Detent+Kit&amp;qid=1695173733&amp;sr=8-2")</f>
        <v>https://www.amazon.com/Milwaukee-276622-Torque-Impact-Wrench/dp/B076S2DV48/ref=sr_1_2?keywords=Milwaukee+2962P-22+M18+FUEL%E2%84%A2+1%2F2+%22+Mid-Torque+Impact+Wrench+w%2F+Pin+Detent+Kit&amp;qid=1695173733&amp;sr=8-2</v>
      </c>
      <c r="F1626" t="s">
        <v>4403</v>
      </c>
      <c r="G1626" t="e">
        <f ca="1">_xludf.IMAGE("https://edmondsonsupply.com/cdn/shop/files/2962P-22_Kit_1.png?v=1690295413")</f>
        <v>#NAME?</v>
      </c>
      <c r="H1626" t="e">
        <f ca="1">_xludf.IMAGE("https://m.media-amazon.com/images/I/51nVC273wLL._AC_UL320_.jpg")</f>
        <v>#NAME?</v>
      </c>
      <c r="I1626" t="s">
        <v>4404</v>
      </c>
      <c r="J1626">
        <v>466.89</v>
      </c>
      <c r="K1626" s="4">
        <v>1.72E-2</v>
      </c>
      <c r="L1626">
        <v>4.5</v>
      </c>
      <c r="M1626">
        <v>51</v>
      </c>
      <c r="O1626" t="s">
        <v>25</v>
      </c>
      <c r="P1626" t="s">
        <v>4405</v>
      </c>
      <c r="Q1626" t="s">
        <v>4406</v>
      </c>
    </row>
    <row r="1627" spans="1:17" ht="15.5" x14ac:dyDescent="0.35">
      <c r="A1627" s="3" t="str">
        <f>HYPERLINK("https://edmondsonsupply.com/collections/hvac/products/channellock-8wcb", "https://edmondsonsupply.com/collections/hvac/products/channellock-8wcb")</f>
        <v>https://edmondsonsupply.com/collections/hvac/products/channellock-8wcb</v>
      </c>
      <c r="B1627" s="3" t="str">
        <f>HYPERLINK("https://edmondsonsupply.com/products/channellock-8wcb", "https://edmondsonsupply.com/products/channellock-8wcb")</f>
        <v>https://edmondsonsupply.com/products/channellock-8wcb</v>
      </c>
      <c r="C1627" t="s">
        <v>3038</v>
      </c>
      <c r="D1627" t="s">
        <v>2555</v>
      </c>
      <c r="E1627" s="3" t="str">
        <f>HYPERLINK("https://www.amazon.com/Channellock-808WCB-8-Inch-Chrome-Adjustable/dp/B00LFIEQ3S/ref=sr_1_3?keywords=Channellock+8WCB+8%22+Code+Blue+WIDEAZZ+Adjustable+Wrench&amp;qid=1695173646&amp;sr=8-3", "https://www.amazon.com/Channellock-808WCB-8-Inch-Chrome-Adjustable/dp/B00LFIEQ3S/ref=sr_1_3?keywords=Channellock+8WCB+8%22+Code+Blue+WIDEAZZ+Adjustable+Wrench&amp;qid=1695173646&amp;sr=8-3")</f>
        <v>https://www.amazon.com/Channellock-808WCB-8-Inch-Chrome-Adjustable/dp/B00LFIEQ3S/ref=sr_1_3?keywords=Channellock+8WCB+8%22+Code+Blue+WIDEAZZ+Adjustable+Wrench&amp;qid=1695173646&amp;sr=8-3</v>
      </c>
      <c r="F1627" t="s">
        <v>2556</v>
      </c>
      <c r="G1627" t="e">
        <f ca="1">_xludf.IMAGE("https://edmondsonsupply.com/cdn/shop/products/8WCB-683x1024.jpg?v=1633030324")</f>
        <v>#NAME?</v>
      </c>
      <c r="H1627" t="e">
        <f ca="1">_xludf.IMAGE("https://m.media-amazon.com/images/I/717njKwq-cL._AC_UL320_.jpg")</f>
        <v>#NAME?</v>
      </c>
      <c r="I1627" t="s">
        <v>3041</v>
      </c>
      <c r="J1627">
        <v>32.450000000000003</v>
      </c>
      <c r="K1627" s="4">
        <v>1.5599999999999999E-2</v>
      </c>
      <c r="L1627">
        <v>4.5999999999999996</v>
      </c>
      <c r="M1627">
        <v>89</v>
      </c>
      <c r="O1627" t="s">
        <v>25</v>
      </c>
      <c r="P1627" t="s">
        <v>3042</v>
      </c>
      <c r="Q1627" t="s">
        <v>3043</v>
      </c>
    </row>
    <row r="1628" spans="1:17" ht="15.5" x14ac:dyDescent="0.35">
      <c r="A1628" s="3" t="str">
        <f>HYPERLINK("https://edmondsonsupply.com/collections/hvac/products/fresh-aire-uv-blue-tube-uv-tuv-bter2-18-32-vac-2-year-uv-lamp", "https://edmondsonsupply.com/collections/hvac/products/fresh-aire-uv-blue-tube-uv-tuv-bter2-18-32-vac-2-year-uv-lamp")</f>
        <v>https://edmondsonsupply.com/collections/hvac/products/fresh-aire-uv-blue-tube-uv-tuv-bter2-18-32-vac-2-year-uv-lamp</v>
      </c>
      <c r="B1628" s="3" t="str">
        <f>HYPERLINK("https://edmondsonsupply.com/products/fresh-aire-uv-blue-tube-uv-tuv-bter2-18-32-vac-2-year-uv-lamp", "https://edmondsonsupply.com/products/fresh-aire-uv-blue-tube-uv-tuv-bter2-18-32-vac-2-year-uv-lamp")</f>
        <v>https://edmondsonsupply.com/products/fresh-aire-uv-blue-tube-uv-tuv-bter2-18-32-vac-2-year-uv-lamp</v>
      </c>
      <c r="C1628" t="s">
        <v>3153</v>
      </c>
      <c r="D1628" t="s">
        <v>4407</v>
      </c>
      <c r="E1628" s="3" t="str">
        <f>HYPERLINK("https://www.amazon.com/Fresh-Aire-Blue-Tube-TUV-BTER-Light/dp/B00D48XDO0/ref=sr_1_3?keywords=Fresh-Aire+UV+Blue-Tube+UV+TUV-BTER2+18-32+VAC%2C+2-Year+UV+Lamp&amp;qid=1695173329&amp;sr=8-3", "https://www.amazon.com/Fresh-Aire-Blue-Tube-TUV-BTER-Light/dp/B00D48XDO0/ref=sr_1_3?keywords=Fresh-Aire+UV+Blue-Tube+UV+TUV-BTER2+18-32+VAC%2C+2-Year+UV+Lamp&amp;qid=1695173329&amp;sr=8-3")</f>
        <v>https://www.amazon.com/Fresh-Aire-Blue-Tube-TUV-BTER-Light/dp/B00D48XDO0/ref=sr_1_3?keywords=Fresh-Aire+UV+Blue-Tube+UV+TUV-BTER2+18-32+VAC%2C+2-Year+UV+Lamp&amp;qid=1695173329&amp;sr=8-3</v>
      </c>
      <c r="F1628" t="s">
        <v>4408</v>
      </c>
      <c r="G1628" t="e">
        <f ca="1">_xludf.IMAGE("https://edmondsonsupply.com/cdn/shop/products/apco_tuv-bter2__lamp.jpg?v=1587145673")</f>
        <v>#NAME?</v>
      </c>
      <c r="H1628" t="e">
        <f ca="1">_xludf.IMAGE("https://m.media-amazon.com/images/I/61smPttWkRL._AC_UL320_.jpg")</f>
        <v>#NAME?</v>
      </c>
      <c r="I1628" t="s">
        <v>3154</v>
      </c>
      <c r="J1628">
        <v>197</v>
      </c>
      <c r="K1628" s="4">
        <v>1.55E-2</v>
      </c>
      <c r="L1628">
        <v>4.4000000000000004</v>
      </c>
      <c r="M1628">
        <v>49</v>
      </c>
      <c r="O1628" t="s">
        <v>25</v>
      </c>
      <c r="P1628" t="s">
        <v>138</v>
      </c>
      <c r="Q1628" t="s">
        <v>3155</v>
      </c>
    </row>
    <row r="1629" spans="1:17" ht="15.5" x14ac:dyDescent="0.35">
      <c r="A1629" s="3" t="str">
        <f>HYPERLINK("https://edmondsonsupply.com/collections/hvac/products/testo-0590-7552-755-2-current-voltage-meter-with-200-a-ac-1000-v-ac-dc-continuity-and-phase-rotation-tester", "https://edmondsonsupply.com/collections/hvac/products/testo-0590-7552-755-2-current-voltage-meter-with-200-a-ac-1000-v-ac-dc-continuity-and-phase-rotation-tester")</f>
        <v>https://edmondsonsupply.com/collections/hvac/products/testo-0590-7552-755-2-current-voltage-meter-with-200-a-ac-1000-v-ac-dc-continuity-and-phase-rotation-tester</v>
      </c>
      <c r="B1629" s="3" t="str">
        <f>HYPERLINK("https://edmondsonsupply.com/products/testo-0590-7552-755-2-current-voltage-meter-with-200-a-ac-1000-v-ac-dc-continuity-and-phase-rotation-tester", "https://edmondsonsupply.com/products/testo-0590-7552-755-2-current-voltage-meter-with-200-a-ac-1000-v-ac-dc-continuity-and-phase-rotation-tester")</f>
        <v>https://edmondsonsupply.com/products/testo-0590-7552-755-2-current-voltage-meter-with-200-a-ac-1000-v-ac-dc-continuity-and-phase-rotation-tester</v>
      </c>
      <c r="C1629" t="s">
        <v>4409</v>
      </c>
      <c r="D1629" t="s">
        <v>3817</v>
      </c>
      <c r="E1629" s="3" t="str">
        <f>HYPERLINK("https://www.amazon.com/Testo-755-2-Current-Continuity-Rotation/dp/B01F3MPHQG/ref=sr_1_1?keywords=Testo+0590+7552+755-2+-+Current+%2F+Voltage+Meter+with+200+A+AC%2C+1000+V+AC%2FDC%2C+Continuity%2C+and+Phase+Rotation+Tester&amp;qid=1695173745&amp;sr=8-1", "https://www.amazon.com/Testo-755-2-Current-Continuity-Rotation/dp/B01F3MPHQG/ref=sr_1_1?keywords=Testo+0590+7552+755-2+-+Current+%2F+Voltage+Meter+with+200+A+AC%2C+1000+V+AC%2FDC%2C+Continuity%2C+and+Phase+Rotation+Tester&amp;qid=1695173745&amp;sr=8-1")</f>
        <v>https://www.amazon.com/Testo-755-2-Current-Continuity-Rotation/dp/B01F3MPHQG/ref=sr_1_1?keywords=Testo+0590+7552+755-2+-+Current+%2F+Voltage+Meter+with+200+A+AC%2C+1000+V+AC%2FDC%2C+Continuity%2C+and+Phase+Rotation+Tester&amp;qid=1695173745&amp;sr=8-1</v>
      </c>
      <c r="F1629" t="s">
        <v>3818</v>
      </c>
      <c r="G1629" t="e">
        <f ca="1">_xludf.IMAGE("https://edmondsonsupply.com/cdn/shop/files/testo-755-2_front_master.jpg?v=1688227541")</f>
        <v>#NAME?</v>
      </c>
      <c r="H1629" t="e">
        <f ca="1">_xludf.IMAGE("https://m.media-amazon.com/images/I/617sSpgpYbL._AC_UY218_.jpg")</f>
        <v>#NAME?</v>
      </c>
      <c r="I1629" t="s">
        <v>4410</v>
      </c>
      <c r="J1629">
        <v>216.53</v>
      </c>
      <c r="K1629" s="4">
        <v>1.49E-2</v>
      </c>
      <c r="L1629">
        <v>4.2</v>
      </c>
      <c r="M1629">
        <v>7</v>
      </c>
      <c r="O1629" t="s">
        <v>25</v>
      </c>
      <c r="P1629" t="s">
        <v>4411</v>
      </c>
      <c r="Q1629" t="s">
        <v>4412</v>
      </c>
    </row>
    <row r="1630" spans="1:17" ht="15.5" x14ac:dyDescent="0.35">
      <c r="A1630" s="3" t="str">
        <f>HYPERLINK("https://edmondsonsupply.com/collections/hvac/products/inficon-whisper%C2%AE-ultrasonic-leak-detector-with-accessory-kit", "https://edmondsonsupply.com/collections/hvac/products/inficon-whisper%C2%AE-ultrasonic-leak-detector-with-accessory-kit")</f>
        <v>https://edmondsonsupply.com/collections/hvac/products/inficon-whisper%C2%AE-ultrasonic-leak-detector-with-accessory-kit</v>
      </c>
      <c r="B1630" s="3" t="str">
        <f>HYPERLINK("https://edmondsonsupply.com/products/inficon-whisper%c2%ae-ultrasonic-leak-detector-with-accessory-kit", "https://edmondsonsupply.com/products/inficon-whisper%c2%ae-ultrasonic-leak-detector-with-accessory-kit")</f>
        <v>https://edmondsonsupply.com/products/inficon-whisper%c2%ae-ultrasonic-leak-detector-with-accessory-kit</v>
      </c>
      <c r="C1630" t="s">
        <v>4413</v>
      </c>
      <c r="D1630" t="s">
        <v>4414</v>
      </c>
      <c r="E1630" s="3" t="str">
        <f>HYPERLINK("https://www.amazon.com/711-203-G1-Enhanced-Ultrasonic-Detector-Accessory/dp/B00DAOI5EQ/ref=sr_1_1?keywords=Inficon+Whisper%C2%AE+Ultrasonic+Leak+Detector+with+Accessory+Kit&amp;qid=1695173527&amp;sr=8-1", "https://www.amazon.com/711-203-G1-Enhanced-Ultrasonic-Detector-Accessory/dp/B00DAOI5EQ/ref=sr_1_1?keywords=Inficon+Whisper%C2%AE+Ultrasonic+Leak+Detector+with+Accessory+Kit&amp;qid=1695173527&amp;sr=8-1")</f>
        <v>https://www.amazon.com/711-203-G1-Enhanced-Ultrasonic-Detector-Accessory/dp/B00DAOI5EQ/ref=sr_1_1?keywords=Inficon+Whisper%C2%AE+Ultrasonic+Leak+Detector+with+Accessory+Kit&amp;qid=1695173527&amp;sr=8-1</v>
      </c>
      <c r="F1630" t="s">
        <v>4415</v>
      </c>
      <c r="G1630" t="e">
        <f ca="1">_xludf.IMAGE("https://edmondsonsupply.com/cdn/shop/products/t5rPU4FQ.png?v=1633030885")</f>
        <v>#NAME?</v>
      </c>
      <c r="H1630" t="e">
        <f ca="1">_xludf.IMAGE("https://m.media-amazon.com/images/I/41v0d5VMaxL._AC_UY218_.jpg")</f>
        <v>#NAME?</v>
      </c>
      <c r="I1630" t="s">
        <v>4416</v>
      </c>
      <c r="J1630">
        <v>415</v>
      </c>
      <c r="K1630" s="4">
        <v>1.47E-2</v>
      </c>
      <c r="L1630">
        <v>4</v>
      </c>
      <c r="M1630">
        <v>40</v>
      </c>
      <c r="O1630" t="s">
        <v>25</v>
      </c>
      <c r="P1630" t="s">
        <v>4417</v>
      </c>
      <c r="Q1630" t="s">
        <v>4418</v>
      </c>
    </row>
    <row r="1631" spans="1:17" ht="15.5" x14ac:dyDescent="0.35">
      <c r="A1631" s="3" t="str">
        <f>HYPERLINK("https://edmondsonsupply.com/collections/hvac/products/yellow-jacket-60625-adjustable-torque-wrench-head-10-41-mm", "https://edmondsonsupply.com/collections/hvac/products/yellow-jacket-60625-adjustable-torque-wrench-head-10-41-mm")</f>
        <v>https://edmondsonsupply.com/collections/hvac/products/yellow-jacket-60625-adjustable-torque-wrench-head-10-41-mm</v>
      </c>
      <c r="B1631" s="3" t="str">
        <f>HYPERLINK("https://edmondsonsupply.com/products/yellow-jacket-60625-adjustable-torque-wrench-head-10-41-mm", "https://edmondsonsupply.com/products/yellow-jacket-60625-adjustable-torque-wrench-head-10-41-mm")</f>
        <v>https://edmondsonsupply.com/products/yellow-jacket-60625-adjustable-torque-wrench-head-10-41-mm</v>
      </c>
      <c r="C1631" t="s">
        <v>4419</v>
      </c>
      <c r="D1631" t="s">
        <v>4420</v>
      </c>
      <c r="E1631" s="3" t="str">
        <f>HYPERLINK("https://www.amazon.com/Yellow-Jacket-60625-Adjustable-Wrench/dp/B09X1YWQQP/ref=sr_1_1?keywords=Yellow+Jacket+60625+Adjustable+Torque+Wrench+Head+10-41+mm&amp;qid=1695173431&amp;sr=8-1", "https://www.amazon.com/Yellow-Jacket-60625-Adjustable-Wrench/dp/B09X1YWQQP/ref=sr_1_1?keywords=Yellow+Jacket+60625+Adjustable+Torque+Wrench+Head+10-41+mm&amp;qid=1695173431&amp;sr=8-1")</f>
        <v>https://www.amazon.com/Yellow-Jacket-60625-Adjustable-Wrench/dp/B09X1YWQQP/ref=sr_1_1?keywords=Yellow+Jacket+60625+Adjustable+Torque+Wrench+Head+10-41+mm&amp;qid=1695173431&amp;sr=8-1</v>
      </c>
      <c r="F1631" t="s">
        <v>4421</v>
      </c>
      <c r="G1631" t="e">
        <f ca="1">_xludf.IMAGE("https://edmondsonsupply.com/cdn/shop/products/shopping.webp?v=1661517579")</f>
        <v>#NAME?</v>
      </c>
      <c r="H1631" t="e">
        <f ca="1">_xludf.IMAGE("https://m.media-amazon.com/images/I/21pSJSTReYL._AC_UL320_.jpg")</f>
        <v>#NAME?</v>
      </c>
      <c r="I1631" t="s">
        <v>4422</v>
      </c>
      <c r="J1631">
        <v>52</v>
      </c>
      <c r="K1631" s="4">
        <v>1.1900000000000001E-2</v>
      </c>
      <c r="L1631">
        <v>2.5</v>
      </c>
      <c r="M1631">
        <v>2</v>
      </c>
      <c r="O1631" t="s">
        <v>25</v>
      </c>
      <c r="P1631" t="s">
        <v>138</v>
      </c>
      <c r="Q1631" t="s">
        <v>4423</v>
      </c>
    </row>
    <row r="1632" spans="1:17" ht="15.5" x14ac:dyDescent="0.35">
      <c r="A1632" s="3" t="str">
        <f>HYPERLINK("https://edmondsonsupply.com/collections/hvac/products/sensible-products-up-1-ultimate-puller-fan-blade-and-blower-wheel-puller", "https://edmondsonsupply.com/collections/hvac/products/sensible-products-up-1-ultimate-puller-fan-blade-and-blower-wheel-puller")</f>
        <v>https://edmondsonsupply.com/collections/hvac/products/sensible-products-up-1-ultimate-puller-fan-blade-and-blower-wheel-puller</v>
      </c>
      <c r="B1632" s="3" t="str">
        <f>HYPERLINK("https://edmondsonsupply.com/products/sensible-products-up-1-ultimate-puller-fan-blade-and-blower-wheel-puller", "https://edmondsonsupply.com/products/sensible-products-up-1-ultimate-puller-fan-blade-and-blower-wheel-puller")</f>
        <v>https://edmondsonsupply.com/products/sensible-products-up-1-ultimate-puller-fan-blade-and-blower-wheel-puller</v>
      </c>
      <c r="C1632" t="s">
        <v>4045</v>
      </c>
      <c r="D1632" t="s">
        <v>4424</v>
      </c>
      <c r="E1632" s="3" t="str">
        <f>HYPERLINK("https://www.amazon.com/Ultimate-Blower-Puller-Perfect-Direct/dp/B0BNHFVTF4/ref=sr_1_4?keywords=Sensible+Products+UP-1+Ultimate+Puller+-+Fan+Blade+and+Blower+Wheel+Puller&amp;qid=1695173340&amp;sr=8-4", "https://www.amazon.com/Ultimate-Blower-Puller-Perfect-Direct/dp/B0BNHFVTF4/ref=sr_1_4?keywords=Sensible+Products+UP-1+Ultimate+Puller+-+Fan+Blade+and+Blower+Wheel+Puller&amp;qid=1695173340&amp;sr=8-4")</f>
        <v>https://www.amazon.com/Ultimate-Blower-Puller-Perfect-Direct/dp/B0BNHFVTF4/ref=sr_1_4?keywords=Sensible+Products+UP-1+Ultimate+Puller+-+Fan+Blade+and+Blower+Wheel+Puller&amp;qid=1695173340&amp;sr=8-4</v>
      </c>
      <c r="F1632" t="s">
        <v>4425</v>
      </c>
      <c r="G1632" t="e">
        <f ca="1">_xludf.IMAGE("https://edmondsonsupply.com/cdn/shop/products/UPAsset-2_3x_28364a83-d5d7-4a51-b059-b5bf0887b56e.png?v=1638146548")</f>
        <v>#NAME?</v>
      </c>
      <c r="H1632" t="e">
        <f ca="1">_xludf.IMAGE("https://m.media-amazon.com/images/I/51G3fOcLtmL._AC_UL320_.jpg")</f>
        <v>#NAME?</v>
      </c>
      <c r="I1632" t="s">
        <v>4048</v>
      </c>
      <c r="J1632">
        <v>48.15</v>
      </c>
      <c r="K1632" s="4">
        <v>1.1599999999999999E-2</v>
      </c>
      <c r="L1632">
        <v>4.2</v>
      </c>
      <c r="M1632">
        <v>43</v>
      </c>
      <c r="O1632" t="s">
        <v>25</v>
      </c>
      <c r="P1632" t="s">
        <v>138</v>
      </c>
      <c r="Q1632" t="s">
        <v>4049</v>
      </c>
    </row>
    <row r="1633" spans="1:17" ht="15.5" x14ac:dyDescent="0.35">
      <c r="A1633" s="3" t="str">
        <f>HYPERLINK("https://edmondsonsupply.com/collections/hvac/products/white-rodgers-50m56x-843-integrated-furnace-control-board-universal-replacement", "https://edmondsonsupply.com/collections/hvac/products/white-rodgers-50m56x-843-integrated-furnace-control-board-universal-replacement")</f>
        <v>https://edmondsonsupply.com/collections/hvac/products/white-rodgers-50m56x-843-integrated-furnace-control-board-universal-replacement</v>
      </c>
      <c r="B1633" s="3" t="str">
        <f>HYPERLINK("https://edmondsonsupply.com/products/white-rodgers-50m56x-843-integrated-furnace-control-board-universal-replacement", "https://edmondsonsupply.com/products/white-rodgers-50m56x-843-integrated-furnace-control-board-universal-replacement")</f>
        <v>https://edmondsonsupply.com/products/white-rodgers-50m56x-843-integrated-furnace-control-board-universal-replacement</v>
      </c>
      <c r="C1633" t="s">
        <v>3569</v>
      </c>
      <c r="D1633" t="s">
        <v>3387</v>
      </c>
      <c r="E1633" s="3" t="str">
        <f>HYPERLINK("https://www.amazon.com/White-rodgers-Universal-Integrated-Furnace-50m56u-843/dp/B082J512XT/ref=sr_1_1?keywords=White-Rodgers+50M56X-843+Integrated+Furnace+Control+Board%2C+Universal+Replacement&amp;qid=1695173585&amp;sr=8-1", "https://www.amazon.com/White-rodgers-Universal-Integrated-Furnace-50m56u-843/dp/B082J512XT/ref=sr_1_1?keywords=White-Rodgers+50M56X-843+Integrated+Furnace+Control+Board%2C+Universal+Replacement&amp;qid=1695173585&amp;sr=8-1")</f>
        <v>https://www.amazon.com/White-rodgers-Universal-Integrated-Furnace-50m56u-843/dp/B082J512XT/ref=sr_1_1?keywords=White-Rodgers+50M56X-843+Integrated+Furnace+Control+Board%2C+Universal+Replacement&amp;qid=1695173585&amp;sr=8-1</v>
      </c>
      <c r="F1633" t="s">
        <v>3388</v>
      </c>
      <c r="G1633" t="e">
        <f ca="1">_xludf.IMAGE("https://edmondsonsupply.com/cdn/shop/products/50m56x-843.png?v=1674841489")</f>
        <v>#NAME?</v>
      </c>
      <c r="H1633" t="e">
        <f ca="1">_xludf.IMAGE("https://m.media-amazon.com/images/I/51hdpsDr8TL._AC_UL320_.jpg")</f>
        <v>#NAME?</v>
      </c>
      <c r="I1633" t="s">
        <v>3570</v>
      </c>
      <c r="J1633">
        <v>187.83</v>
      </c>
      <c r="K1633" s="4">
        <v>9.1000000000000004E-3</v>
      </c>
      <c r="L1633">
        <v>2.8</v>
      </c>
      <c r="M1633">
        <v>4</v>
      </c>
      <c r="O1633" t="s">
        <v>25</v>
      </c>
      <c r="P1633" t="s">
        <v>3571</v>
      </c>
      <c r="Q1633" t="s">
        <v>3572</v>
      </c>
    </row>
    <row r="1634" spans="1:17" ht="15.5" x14ac:dyDescent="0.35">
      <c r="A1634" s="3" t="str">
        <f>HYPERLINK("https://edmondsonsupply.com/collections/hvac/products/sensible-products-up-1-ultimate-puller-fan-blade-and-blower-wheel-puller", "https://edmondsonsupply.com/collections/hvac/products/sensible-products-up-1-ultimate-puller-fan-blade-and-blower-wheel-puller")</f>
        <v>https://edmondsonsupply.com/collections/hvac/products/sensible-products-up-1-ultimate-puller-fan-blade-and-blower-wheel-puller</v>
      </c>
      <c r="B1634" s="3" t="str">
        <f>HYPERLINK("https://edmondsonsupply.com/products/sensible-products-up-1-ultimate-puller-fan-blade-and-blower-wheel-puller", "https://edmondsonsupply.com/products/sensible-products-up-1-ultimate-puller-fan-blade-and-blower-wheel-puller")</f>
        <v>https://edmondsonsupply.com/products/sensible-products-up-1-ultimate-puller-fan-blade-and-blower-wheel-puller</v>
      </c>
      <c r="C1634" t="s">
        <v>4045</v>
      </c>
      <c r="D1634" t="s">
        <v>4426</v>
      </c>
      <c r="E1634" s="3" t="str">
        <f>HYPERLINK("https://www.amazon.com/MARKETTY-Ultimate-Hub-Puller-Perfect/dp/B0C6T3YQNC/ref=sr_1_3?keywords=Sensible+Products+UP-1+Ultimate+Puller+-+Fan+Blade+and+Blower+Wheel+Puller&amp;qid=1695173340&amp;sr=8-3", "https://www.amazon.com/MARKETTY-Ultimate-Hub-Puller-Perfect/dp/B0C6T3YQNC/ref=sr_1_3?keywords=Sensible+Products+UP-1+Ultimate+Puller+-+Fan+Blade+and+Blower+Wheel+Puller&amp;qid=1695173340&amp;sr=8-3")</f>
        <v>https://www.amazon.com/MARKETTY-Ultimate-Hub-Puller-Perfect/dp/B0C6T3YQNC/ref=sr_1_3?keywords=Sensible+Products+UP-1+Ultimate+Puller+-+Fan+Blade+and+Blower+Wheel+Puller&amp;qid=1695173340&amp;sr=8-3</v>
      </c>
      <c r="F1634" t="s">
        <v>4427</v>
      </c>
      <c r="G1634" t="e">
        <f ca="1">_xludf.IMAGE("https://edmondsonsupply.com/cdn/shop/products/UPAsset-2_3x_28364a83-d5d7-4a51-b059-b5bf0887b56e.png?v=1638146548")</f>
        <v>#NAME?</v>
      </c>
      <c r="H1634" t="e">
        <f ca="1">_xludf.IMAGE("https://m.media-amazon.com/images/I/51VxkG8fG2L._AC_UL320_.jpg")</f>
        <v>#NAME?</v>
      </c>
      <c r="I1634" t="s">
        <v>4048</v>
      </c>
      <c r="J1634">
        <v>47.99</v>
      </c>
      <c r="K1634" s="4">
        <v>8.2000000000000007E-3</v>
      </c>
      <c r="L1634">
        <v>4.9000000000000004</v>
      </c>
      <c r="M1634">
        <v>13</v>
      </c>
      <c r="O1634" t="s">
        <v>25</v>
      </c>
      <c r="P1634" t="s">
        <v>138</v>
      </c>
      <c r="Q1634" t="s">
        <v>4049</v>
      </c>
    </row>
    <row r="1635" spans="1:17" ht="15.5" x14ac:dyDescent="0.35">
      <c r="A1635" s="3" t="str">
        <f>HYPERLINK("https://edmondsonsupply.com/collections/hvac/products/us-motors-5464-rescue-5-6-condenser-fan-motor-208-230v-1-3-1-6-hp-825-rpm", "https://edmondsonsupply.com/collections/hvac/products/us-motors-5464-rescue-5-6-condenser-fan-motor-208-230v-1-3-1-6-hp-825-rpm")</f>
        <v>https://edmondsonsupply.com/collections/hvac/products/us-motors-5464-rescue-5-6-condenser-fan-motor-208-230v-1-3-1-6-hp-825-rpm</v>
      </c>
      <c r="B1635" s="3" t="str">
        <f>HYPERLINK("https://edmondsonsupply.com/products/us-motors-5464-rescue-5-6-condenser-fan-motor-208-230v-1-3-1-6-hp-825-rpm", "https://edmondsonsupply.com/products/us-motors-5464-rescue-5-6-condenser-fan-motor-208-230v-1-3-1-6-hp-825-rpm")</f>
        <v>https://edmondsonsupply.com/products/us-motors-5464-rescue-5-6-condenser-fan-motor-208-230v-1-3-1-6-hp-825-rpm</v>
      </c>
      <c r="C1635" t="s">
        <v>4428</v>
      </c>
      <c r="D1635" t="s">
        <v>4429</v>
      </c>
      <c r="E1635" s="3" t="str">
        <f>HYPERLINK("https://www.amazon.com/Condenser-208-230V-1-Phase-Rheem-5464/dp/B009AXINPW/ref=sr_1_1?keywords=US+Motors+5464+Rescue+5.6%22+Condenser+Fan+Motor%2C+208-230V%2C+1%2F3-1%2F6+HP%2C+825+RPM&amp;qid=1695173408&amp;sr=8-1", "https://www.amazon.com/Condenser-208-230V-1-Phase-Rheem-5464/dp/B009AXINPW/ref=sr_1_1?keywords=US+Motors+5464+Rescue+5.6%22+Condenser+Fan+Motor%2C+208-230V%2C+1%2F3-1%2F6+HP%2C+825+RPM&amp;qid=1695173408&amp;sr=8-1")</f>
        <v>https://www.amazon.com/Condenser-208-230V-1-Phase-Rheem-5464/dp/B009AXINPW/ref=sr_1_1?keywords=US+Motors+5464+Rescue+5.6%22+Condenser+Fan+Motor%2C+208-230V%2C+1%2F3-1%2F6+HP%2C+825+RPM&amp;qid=1695173408&amp;sr=8-1</v>
      </c>
      <c r="F1635" t="s">
        <v>4430</v>
      </c>
      <c r="G1635" t="e">
        <f ca="1">_xludf.IMAGE("https://edmondsonsupply.com/cdn/shop/products/5464-2.jpg?v=1587142075")</f>
        <v>#NAME?</v>
      </c>
      <c r="H1635" t="e">
        <f ca="1">_xludf.IMAGE("https://m.media-amazon.com/images/I/81KtKKXB3zL._AC_UY218_.jpg")</f>
        <v>#NAME?</v>
      </c>
      <c r="I1635" t="s">
        <v>4431</v>
      </c>
      <c r="J1635">
        <v>178.75</v>
      </c>
      <c r="K1635" s="4">
        <v>7.7999999999999996E-3</v>
      </c>
      <c r="L1635">
        <v>4.7</v>
      </c>
      <c r="M1635">
        <v>39</v>
      </c>
      <c r="O1635" t="s">
        <v>25</v>
      </c>
      <c r="P1635" t="s">
        <v>4432</v>
      </c>
      <c r="Q1635" t="s">
        <v>4433</v>
      </c>
    </row>
    <row r="1636" spans="1:17" ht="15.5" x14ac:dyDescent="0.35">
      <c r="A1636"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636" s="3" t="str">
        <f>HYPERLINK("https://edmondsonsupply.com/products/klein-tools-s8m-1-4-inch-magnetic-nut-driver-3-inch-shank", "https://edmondsonsupply.com/products/klein-tools-s8m-1-4-inch-magnetic-nut-driver-3-inch-shank")</f>
        <v>https://edmondsonsupply.com/products/klein-tools-s8m-1-4-inch-magnetic-nut-driver-3-inch-shank</v>
      </c>
      <c r="C1636" t="s">
        <v>3809</v>
      </c>
      <c r="D1636" t="s">
        <v>4434</v>
      </c>
      <c r="E1636" s="3" t="str">
        <f>HYPERLINK("https://www.amazon.com/Magnetic-Comfordome-Klein-Tools-S10M/dp/B000936PCU/ref=sr_1_7?keywords=Klein+Tools+S8M+1%2F4-Inch+Magnetic+Nut+Driver+3-Inch+Shank&amp;qid=1695173652&amp;sr=8-7", "https://www.amazon.com/Magnetic-Comfordome-Klein-Tools-S10M/dp/B000936PCU/ref=sr_1_7?keywords=Klein+Tools+S8M+1%2F4-Inch+Magnetic+Nut+Driver+3-Inch+Shank&amp;qid=1695173652&amp;sr=8-7")</f>
        <v>https://www.amazon.com/Magnetic-Comfordome-Klein-Tools-S10M/dp/B000936PCU/ref=sr_1_7?keywords=Klein+Tools+S8M+1%2F4-Inch+Magnetic+Nut+Driver+3-Inch+Shank&amp;qid=1695173652&amp;sr=8-7</v>
      </c>
      <c r="F1636" t="s">
        <v>4435</v>
      </c>
      <c r="G1636" t="e">
        <f ca="1">_xludf.IMAGE("https://edmondsonsupply.com/cdn/shop/products/s8m.jpg?v=1633030818")</f>
        <v>#NAME?</v>
      </c>
      <c r="H1636" t="e">
        <f ca="1">_xludf.IMAGE("https://m.media-amazon.com/images/I/51wT5Rnu5GL._AC_UL320_.jpg")</f>
        <v>#NAME?</v>
      </c>
      <c r="I1636" t="s">
        <v>924</v>
      </c>
      <c r="J1636">
        <v>9.0500000000000007</v>
      </c>
      <c r="K1636" s="4">
        <v>6.7000000000000002E-3</v>
      </c>
      <c r="L1636">
        <v>4.5999999999999996</v>
      </c>
      <c r="M1636">
        <v>231</v>
      </c>
      <c r="O1636" t="s">
        <v>25</v>
      </c>
      <c r="P1636" t="s">
        <v>3812</v>
      </c>
      <c r="Q1636" t="s">
        <v>3813</v>
      </c>
    </row>
    <row r="1637" spans="1:17" ht="15.5" x14ac:dyDescent="0.35">
      <c r="A1637" s="3" t="str">
        <f>HYPERLINK("https://edmondsonsupply.com/collections/hvac/products/fresh-aire-uv-blue-tube-uv-tuv-bter2-18-32-vac-2-year-uv-lamp", "https://edmondsonsupply.com/collections/hvac/products/fresh-aire-uv-blue-tube-uv-tuv-bter2-18-32-vac-2-year-uv-lamp")</f>
        <v>https://edmondsonsupply.com/collections/hvac/products/fresh-aire-uv-blue-tube-uv-tuv-bter2-18-32-vac-2-year-uv-lamp</v>
      </c>
      <c r="B1637" s="3" t="str">
        <f>HYPERLINK("https://edmondsonsupply.com/products/fresh-aire-uv-blue-tube-uv-tuv-bter2-18-32-vac-2-year-uv-lamp", "https://edmondsonsupply.com/products/fresh-aire-uv-blue-tube-uv-tuv-bter2-18-32-vac-2-year-uv-lamp")</f>
        <v>https://edmondsonsupply.com/products/fresh-aire-uv-blue-tube-uv-tuv-bter2-18-32-vac-2-year-uv-lamp</v>
      </c>
      <c r="C1637" t="s">
        <v>3153</v>
      </c>
      <c r="D1637" t="s">
        <v>4436</v>
      </c>
      <c r="E1637" s="3" t="str">
        <f>HYPERLINK("https://www.amazon.com/Fresh-Aire-Blue-Light-TUV-BTER-18-32/dp/B08QDQHKP3/ref=sr_1_4?keywords=Fresh-Aire+UV+Blue-Tube+UV+TUV-BTER2+18-32+VAC%2C+2-Year+UV+Lamp&amp;qid=1695173329&amp;sr=8-4", "https://www.amazon.com/Fresh-Aire-Blue-Light-TUV-BTER-18-32/dp/B08QDQHKP3/ref=sr_1_4?keywords=Fresh-Aire+UV+Blue-Tube+UV+TUV-BTER2+18-32+VAC%2C+2-Year+UV+Lamp&amp;qid=1695173329&amp;sr=8-4")</f>
        <v>https://www.amazon.com/Fresh-Aire-Blue-Light-TUV-BTER-18-32/dp/B08QDQHKP3/ref=sr_1_4?keywords=Fresh-Aire+UV+Blue-Tube+UV+TUV-BTER2+18-32+VAC%2C+2-Year+UV+Lamp&amp;qid=1695173329&amp;sr=8-4</v>
      </c>
      <c r="F1637" t="s">
        <v>4437</v>
      </c>
      <c r="G1637" t="e">
        <f ca="1">_xludf.IMAGE("https://edmondsonsupply.com/cdn/shop/products/apco_tuv-bter2__lamp.jpg?v=1587145673")</f>
        <v>#NAME?</v>
      </c>
      <c r="H1637" t="e">
        <f ca="1">_xludf.IMAGE("https://m.media-amazon.com/images/I/41m35CrFGsL._AC_UL320_.jpg")</f>
        <v>#NAME?</v>
      </c>
      <c r="I1637" t="s">
        <v>3154</v>
      </c>
      <c r="J1637">
        <v>195</v>
      </c>
      <c r="K1637" s="4">
        <v>5.1999999999999998E-3</v>
      </c>
      <c r="L1637">
        <v>5</v>
      </c>
      <c r="M1637">
        <v>1</v>
      </c>
      <c r="O1637" t="s">
        <v>25</v>
      </c>
      <c r="P1637" t="s">
        <v>138</v>
      </c>
      <c r="Q1637" t="s">
        <v>3155</v>
      </c>
    </row>
    <row r="1638" spans="1:17" ht="15.5" x14ac:dyDescent="0.35">
      <c r="A1638" s="3" t="str">
        <f>HYPERLINK("https://edmondsonsupply.com/collections/hvac/products/fluke-378-fc-non-contact-voltage-true-rms-ac-dc-clamp-meter-with-iflex", "https://edmondsonsupply.com/collections/hvac/products/fluke-378-fc-non-contact-voltage-true-rms-ac-dc-clamp-meter-with-iflex")</f>
        <v>https://edmondsonsupply.com/collections/hvac/products/fluke-378-fc-non-contact-voltage-true-rms-ac-dc-clamp-meter-with-iflex</v>
      </c>
      <c r="B1638" s="3" t="str">
        <f>HYPERLINK("https://edmondsonsupply.com/products/fluke-378-fc-non-contact-voltage-true-rms-ac-dc-clamp-meter-with-iflex", "https://edmondsonsupply.com/products/fluke-378-fc-non-contact-voltage-true-rms-ac-dc-clamp-meter-with-iflex")</f>
        <v>https://edmondsonsupply.com/products/fluke-378-fc-non-contact-voltage-true-rms-ac-dc-clamp-meter-with-iflex</v>
      </c>
      <c r="C1638" t="s">
        <v>4438</v>
      </c>
      <c r="D1638" t="s">
        <v>4439</v>
      </c>
      <c r="E1638" s="3" t="str">
        <f>HYPERLINK("https://www.amazon.com/Fluke-Non-Contact-Voltage-Wireless-Indicator/dp/B0916K6JZF/ref=sr_1_1?keywords=Fluke+378+FC+Non-Contact+Voltage+True-RMS+AC%2FDC+Clamp+Meter+with+iFlex&amp;qid=1695173415&amp;sr=8-1", "https://www.amazon.com/Fluke-Non-Contact-Voltage-Wireless-Indicator/dp/B0916K6JZF/ref=sr_1_1?keywords=Fluke+378+FC+Non-Contact+Voltage+True-RMS+AC%2FDC+Clamp+Meter+with+iFlex&amp;qid=1695173415&amp;sr=8-1")</f>
        <v>https://www.amazon.com/Fluke-Non-Contact-Voltage-Wireless-Indicator/dp/B0916K6JZF/ref=sr_1_1?keywords=Fluke+378+FC+Non-Contact+Voltage+True-RMS+AC%2FDC+Clamp+Meter+with+iFlex&amp;qid=1695173415&amp;sr=8-1</v>
      </c>
      <c r="F1638" t="s">
        <v>4440</v>
      </c>
      <c r="G1638" t="e">
        <f ca="1">_xludf.IMAGE("https://edmondsonsupply.com/cdn/shop/products/378_FC_72dpi_499x1024px_E_NR-27689.jpg?v=1633031120")</f>
        <v>#NAME?</v>
      </c>
      <c r="H1638" t="e">
        <f ca="1">_xludf.IMAGE("https://m.media-amazon.com/images/I/813NB9dMeUL._AC_UY218_.jpg")</f>
        <v>#NAME?</v>
      </c>
      <c r="I1638" t="s">
        <v>4441</v>
      </c>
      <c r="J1638">
        <v>779.89</v>
      </c>
      <c r="K1638" s="4">
        <v>4.1000000000000003E-3</v>
      </c>
      <c r="L1638">
        <v>4.5999999999999996</v>
      </c>
      <c r="M1638">
        <v>97</v>
      </c>
      <c r="O1638" t="s">
        <v>171</v>
      </c>
      <c r="P1638" t="s">
        <v>4442</v>
      </c>
      <c r="Q1638" t="s">
        <v>4443</v>
      </c>
    </row>
    <row r="1639" spans="1:17" ht="15.5" x14ac:dyDescent="0.35">
      <c r="A1639" s="3" t="str">
        <f>HYPERLINK("https://edmondsonsupply.com/collections/hvac/products/nu-calgon-4057-56-a-c-re-new-connect-inject", "https://edmondsonsupply.com/collections/hvac/products/nu-calgon-4057-56-a-c-re-new-connect-inject")</f>
        <v>https://edmondsonsupply.com/collections/hvac/products/nu-calgon-4057-56-a-c-re-new-connect-inject</v>
      </c>
      <c r="B1639" s="3" t="str">
        <f>HYPERLINK("https://edmondsonsupply.com/products/nu-calgon-4057-56-a-c-re-new-connect-inject", "https://edmondsonsupply.com/products/nu-calgon-4057-56-a-c-re-new-connect-inject")</f>
        <v>https://edmondsonsupply.com/products/nu-calgon-4057-56-a-c-re-new-connect-inject</v>
      </c>
      <c r="C1639" t="s">
        <v>3083</v>
      </c>
      <c r="D1639" t="s">
        <v>4444</v>
      </c>
      <c r="E1639" s="3" t="str">
        <f>HYPERLINK("https://www.amazon.com/Nu-Calgon-4057-55-Unpressurized-Injector-INCLUDED/dp/B00ULIQ8XE/ref=sr_1_3?keywords=Nu-Calgon+4057-56+A%2FC+Re-New+Connect+Inject&amp;qid=1695173397&amp;sr=8-3", "https://www.amazon.com/Nu-Calgon-4057-55-Unpressurized-Injector-INCLUDED/dp/B00ULIQ8XE/ref=sr_1_3?keywords=Nu-Calgon+4057-56+A%2FC+Re-New+Connect+Inject&amp;qid=1695173397&amp;sr=8-3")</f>
        <v>https://www.amazon.com/Nu-Calgon-4057-55-Unpressurized-Injector-INCLUDED/dp/B00ULIQ8XE/ref=sr_1_3?keywords=Nu-Calgon+4057-56+A%2FC+Re-New+Connect+Inject&amp;qid=1695173397&amp;sr=8-3</v>
      </c>
      <c r="F1639" t="s">
        <v>4445</v>
      </c>
      <c r="G1639" t="e">
        <f ca="1">_xludf.IMAGE("https://edmondsonsupply.com/cdn/shop/products/4057-56.jpg?v=1659034051")</f>
        <v>#NAME?</v>
      </c>
      <c r="H1639" t="e">
        <f ca="1">_xludf.IMAGE("https://m.media-amazon.com/images/I/419Ss5cwa1L._AC_UL320_.jpg")</f>
        <v>#NAME?</v>
      </c>
      <c r="I1639" t="s">
        <v>3086</v>
      </c>
      <c r="J1639">
        <v>91.01</v>
      </c>
      <c r="K1639" s="4">
        <v>4.0000000000000001E-3</v>
      </c>
      <c r="L1639">
        <v>4.4000000000000004</v>
      </c>
      <c r="M1639">
        <v>33</v>
      </c>
      <c r="O1639" t="s">
        <v>25</v>
      </c>
      <c r="P1639" t="s">
        <v>3087</v>
      </c>
      <c r="Q1639" t="s">
        <v>3088</v>
      </c>
    </row>
    <row r="1640" spans="1:17" ht="15.5" x14ac:dyDescent="0.35">
      <c r="A1640" s="3" t="str">
        <f>HYPERLINK("https://edmondsonsupply.com/collections/hvac/products/supco-fsc10-flame-sensor-cleaner", "https://edmondsonsupply.com/collections/hvac/products/supco-fsc10-flame-sensor-cleaner")</f>
        <v>https://edmondsonsupply.com/collections/hvac/products/supco-fsc10-flame-sensor-cleaner</v>
      </c>
      <c r="B1640" s="3" t="str">
        <f>HYPERLINK("https://edmondsonsupply.com/products/supco-fsc10-flame-sensor-cleaner", "https://edmondsonsupply.com/products/supco-fsc10-flame-sensor-cleaner")</f>
        <v>https://edmondsonsupply.com/products/supco-fsc10-flame-sensor-cleaner</v>
      </c>
      <c r="C1640" t="s">
        <v>2438</v>
      </c>
      <c r="D1640" t="s">
        <v>2438</v>
      </c>
      <c r="E1640" s="3" t="str">
        <f>HYPERLINK("https://www.amazon.com/Supco-FSC10-Orginal-Replacement-Parts/dp/B07B5CVTCT/ref=sr_1_1?keywords=Supco+FSC10+Flame+Sensor+Cleaner&amp;qid=1695173524&amp;sr=8-1", "https://www.amazon.com/Supco-FSC10-Orginal-Replacement-Parts/dp/B07B5CVTCT/ref=sr_1_1?keywords=Supco+FSC10+Flame+Sensor+Cleaner&amp;qid=1695173524&amp;sr=8-1")</f>
        <v>https://www.amazon.com/Supco-FSC10-Orginal-Replacement-Parts/dp/B07B5CVTCT/ref=sr_1_1?keywords=Supco+FSC10+Flame+Sensor+Cleaner&amp;qid=1695173524&amp;sr=8-1</v>
      </c>
      <c r="F1640" t="s">
        <v>4446</v>
      </c>
      <c r="G1640" t="e">
        <f ca="1">_xludf.IMAGE("https://edmondsonsupply.com/cdn/shop/products/FSC10_L.png?v=1633031127")</f>
        <v>#NAME?</v>
      </c>
      <c r="H1640" t="e">
        <f ca="1">_xludf.IMAGE("https://m.media-amazon.com/images/I/81mhPQuN5VL._AC_UL320_.jpg")</f>
        <v>#NAME?</v>
      </c>
      <c r="I1640" t="s">
        <v>2441</v>
      </c>
      <c r="J1640">
        <v>7.15</v>
      </c>
      <c r="K1640" s="4">
        <v>2.8E-3</v>
      </c>
      <c r="L1640">
        <v>4.3</v>
      </c>
      <c r="M1640">
        <v>905</v>
      </c>
      <c r="O1640" t="s">
        <v>25</v>
      </c>
      <c r="P1640" t="s">
        <v>138</v>
      </c>
      <c r="Q1640" t="s">
        <v>2442</v>
      </c>
    </row>
    <row r="1641" spans="1:17" ht="15.5" x14ac:dyDescent="0.35">
      <c r="A1641" s="3" t="str">
        <f>HYPERLINK("https://edmondsonsupply.com/collections/hvac/products/channellock-431", "https://edmondsonsupply.com/collections/hvac/products/channellock-431")</f>
        <v>https://edmondsonsupply.com/collections/hvac/products/channellock-431</v>
      </c>
      <c r="B1641" s="3" t="str">
        <f>HYPERLINK("https://edmondsonsupply.com/products/channellock-431", "https://edmondsonsupply.com/products/channellock-431")</f>
        <v>https://edmondsonsupply.com/products/channellock-431</v>
      </c>
      <c r="C1641" t="s">
        <v>3341</v>
      </c>
      <c r="D1641" t="s">
        <v>4447</v>
      </c>
      <c r="E1641" s="3" t="str">
        <f>HYPERLINK("https://www.amazon.com/MAXPOWER-Groove-Pliers-Adjustable-Serrtated/dp/B0BBMQZ28N/ref=sr_1_6?keywords=Channellock+432+10-Inch+V-Jaw+Tongue+%26+Groove+Pliers&amp;qid=1695173686&amp;sr=8-6", "https://www.amazon.com/MAXPOWER-Groove-Pliers-Adjustable-Serrtated/dp/B0BBMQZ28N/ref=sr_1_6?keywords=Channellock+432+10-Inch+V-Jaw+Tongue+%26+Groove+Pliers&amp;qid=1695173686&amp;sr=8-6")</f>
        <v>https://www.amazon.com/MAXPOWER-Groove-Pliers-Adjustable-Serrtated/dp/B0BBMQZ28N/ref=sr_1_6?keywords=Channellock+432+10-Inch+V-Jaw+Tongue+%26+Groove+Pliers&amp;qid=1695173686&amp;sr=8-6</v>
      </c>
      <c r="F1641" t="s">
        <v>4448</v>
      </c>
      <c r="G1641" t="e">
        <f ca="1">_xludf.IMAGE("https://edmondsonsupply.com/cdn/shop/products/432-683x1024.jpg?v=1587147134")</f>
        <v>#NAME?</v>
      </c>
      <c r="H1641" t="e">
        <f ca="1">_xludf.IMAGE("https://m.media-amazon.com/images/I/6184vDVNMFL._AC_UL320_.jpg")</f>
        <v>#NAME?</v>
      </c>
      <c r="I1641" t="s">
        <v>488</v>
      </c>
      <c r="J1641">
        <v>19.989999999999998</v>
      </c>
      <c r="K1641" s="4">
        <v>2E-3</v>
      </c>
      <c r="L1641">
        <v>4.5</v>
      </c>
      <c r="M1641">
        <v>19</v>
      </c>
      <c r="O1641" t="s">
        <v>25</v>
      </c>
      <c r="P1641" t="s">
        <v>3344</v>
      </c>
      <c r="Q1641" t="s">
        <v>3345</v>
      </c>
    </row>
    <row r="1642" spans="1:17" ht="15.5" x14ac:dyDescent="0.35">
      <c r="A1642" s="3" t="str">
        <f>HYPERLINK("https://edmondsonsupply.com/collections/hvac/products/icm-controls-icm282b-furnace-control-board-replacement-for-carrier", "https://edmondsonsupply.com/collections/hvac/products/icm-controls-icm282b-furnace-control-board-replacement-for-carrier")</f>
        <v>https://edmondsonsupply.com/collections/hvac/products/icm-controls-icm282b-furnace-control-board-replacement-for-carrier</v>
      </c>
      <c r="B1642" s="3" t="str">
        <f>HYPERLINK("https://edmondsonsupply.com/products/icm-controls-icm282b-furnace-control-board-replacement-for-carrier", "https://edmondsonsupply.com/products/icm-controls-icm282b-furnace-control-board-replacement-for-carrier")</f>
        <v>https://edmondsonsupply.com/products/icm-controls-icm282b-furnace-control-board-replacement-for-carrier</v>
      </c>
      <c r="C1642" t="s">
        <v>4449</v>
      </c>
      <c r="D1642" t="s">
        <v>4450</v>
      </c>
      <c r="E1642" s="3" t="str">
        <f>HYPERLINK("https://www.amazon.com/ICM-Controls-ICM291-Replacement-LH33WP003/dp/B0046V6VF2/ref=sr_1_4?keywords=ICM+Controls+ICM282B+Furnace+Control+Board+-+Replacement+for+Carrier&amp;qid=1695173504&amp;sr=8-4", "https://www.amazon.com/ICM-Controls-ICM291-Replacement-LH33WP003/dp/B0046V6VF2/ref=sr_1_4?keywords=ICM+Controls+ICM282B+Furnace+Control+Board+-+Replacement+for+Carrier&amp;qid=1695173504&amp;sr=8-4")</f>
        <v>https://www.amazon.com/ICM-Controls-ICM291-Replacement-LH33WP003/dp/B0046V6VF2/ref=sr_1_4?keywords=ICM+Controls+ICM282B+Furnace+Control+Board+-+Replacement+for+Carrier&amp;qid=1695173504&amp;sr=8-4</v>
      </c>
      <c r="F1642" t="s">
        <v>4451</v>
      </c>
      <c r="G1642" t="e">
        <f ca="1">_xludf.IMAGE("https://edmondsonsupply.com/cdn/shop/products/57_5_96e476f9-dc43-4075-94fb-2c5efeccce22.jpg?v=1659481947")</f>
        <v>#NAME?</v>
      </c>
      <c r="H1642" t="e">
        <f ca="1">_xludf.IMAGE("https://m.media-amazon.com/images/I/71uUnepi38L._AC_UL320_.jpg")</f>
        <v>#NAME?</v>
      </c>
      <c r="I1642" t="s">
        <v>4452</v>
      </c>
      <c r="J1642">
        <v>196.26</v>
      </c>
      <c r="K1642" s="4">
        <v>1.4E-3</v>
      </c>
      <c r="L1642">
        <v>4.2</v>
      </c>
      <c r="M1642">
        <v>74</v>
      </c>
      <c r="O1642" t="s">
        <v>25</v>
      </c>
      <c r="P1642" t="s">
        <v>4453</v>
      </c>
      <c r="Q1642" t="s">
        <v>4454</v>
      </c>
    </row>
    <row r="1643" spans="1:17" ht="15.5" x14ac:dyDescent="0.35">
      <c r="A1643" s="3" t="str">
        <f>HYPERLINK("https://edmondsonsupply.com/collections/hvac/products/hilmor-1839032-cbk-compact-bender-kit-1-4-to-7-8", "https://edmondsonsupply.com/collections/hvac/products/hilmor-1839032-cbk-compact-bender-kit-1-4-to-7-8")</f>
        <v>https://edmondsonsupply.com/collections/hvac/products/hilmor-1839032-cbk-compact-bender-kit-1-4-to-7-8</v>
      </c>
      <c r="B1643" s="3" t="str">
        <f>HYPERLINK("https://edmondsonsupply.com/products/hilmor-1839032-cbk-compact-bender-kit-1-4-to-7-8", "https://edmondsonsupply.com/products/hilmor-1839032-cbk-compact-bender-kit-1-4-to-7-8")</f>
        <v>https://edmondsonsupply.com/products/hilmor-1839032-cbk-compact-bender-kit-1-4-to-7-8</v>
      </c>
      <c r="C1643" t="s">
        <v>3147</v>
      </c>
      <c r="D1643" t="s">
        <v>4455</v>
      </c>
      <c r="E1643" s="3" t="str">
        <f>HYPERLINK("https://www.amazon.com/hilmor-1839032-CBK-Compact-Bender/dp/B00FPPDK70/ref=sr_1_1?keywords=Hilmor+1839032+CBK+Compact+Bender+Kit+-+1%2F4%22+to+7%2F8%22&amp;qid=1695173356&amp;sr=8-1", "https://www.amazon.com/hilmor-1839032-CBK-Compact-Bender/dp/B00FPPDK70/ref=sr_1_1?keywords=Hilmor+1839032+CBK+Compact+Bender+Kit+-+1%2F4%22+to+7%2F8%22&amp;qid=1695173356&amp;sr=8-1")</f>
        <v>https://www.amazon.com/hilmor-1839032-CBK-Compact-Bender/dp/B00FPPDK70/ref=sr_1_1?keywords=Hilmor+1839032+CBK+Compact+Bender+Kit+-+1%2F4%22+to+7%2F8%22&amp;qid=1695173356&amp;sr=8-1</v>
      </c>
      <c r="F1643" t="s">
        <v>4456</v>
      </c>
      <c r="G1643" t="e">
        <f ca="1">_xludf.IMAGE("https://edmondsonsupply.com/cdn/shop/products/Compact_Bender_Detail_5_724px_Compact_Bender_Kit-600x400_3831f819-be7d-4c1e-971e-3b6358aeff8e.jpg?v=1620520717")</f>
        <v>#NAME?</v>
      </c>
      <c r="H1643" t="e">
        <f ca="1">_xludf.IMAGE("https://m.media-amazon.com/images/I/71zS+KGqLoL._AC_UL320_.jpg")</f>
        <v>#NAME?</v>
      </c>
      <c r="I1643" t="s">
        <v>3150</v>
      </c>
      <c r="J1643">
        <v>191.99</v>
      </c>
      <c r="K1643" s="4">
        <v>1E-3</v>
      </c>
      <c r="L1643">
        <v>4.7</v>
      </c>
      <c r="M1643">
        <v>1385</v>
      </c>
      <c r="O1643" t="s">
        <v>25</v>
      </c>
      <c r="P1643" t="s">
        <v>3151</v>
      </c>
      <c r="Q1643" t="s">
        <v>3152</v>
      </c>
    </row>
    <row r="1644" spans="1:17" ht="15.5" x14ac:dyDescent="0.35">
      <c r="A1644" s="3" t="str">
        <f>HYPERLINK("https://edmondsonsupply.com/collections/hvac/products/klein-tools-89552-hole-cutter-for-duct-and-sheet-metal-2-to-12-inch", "https://edmondsonsupply.com/collections/hvac/products/klein-tools-89552-hole-cutter-for-duct-and-sheet-metal-2-to-12-inch")</f>
        <v>https://edmondsonsupply.com/collections/hvac/products/klein-tools-89552-hole-cutter-for-duct-and-sheet-metal-2-to-12-inch</v>
      </c>
      <c r="B1644" s="3" t="str">
        <f>HYPERLINK("https://edmondsonsupply.com/products/klein-tools-89552-hole-cutter-for-duct-and-sheet-metal-2-to-12-inch", "https://edmondsonsupply.com/products/klein-tools-89552-hole-cutter-for-duct-and-sheet-metal-2-to-12-inch")</f>
        <v>https://edmondsonsupply.com/products/klein-tools-89552-hole-cutter-for-duct-and-sheet-metal-2-to-12-inch</v>
      </c>
      <c r="C1644" t="s">
        <v>1762</v>
      </c>
      <c r="D1644" t="s">
        <v>4457</v>
      </c>
      <c r="E1644" s="3" t="str">
        <f>HYPERLINK("https://www.amazon.com/Adjustable-Stainless-Klein-Tools-89552/dp/B07DLT79N8/ref=sr_1_1?keywords=Klein+Tools+89552+Hole+Cutter+for+Duct+and+Sheet+Metal%2C+2+to+12-Inch&amp;qid=1695173674&amp;sr=8-1", "https://www.amazon.com/Adjustable-Stainless-Klein-Tools-89552/dp/B07DLT79N8/ref=sr_1_1?keywords=Klein+Tools+89552+Hole+Cutter+for+Duct+and+Sheet+Metal%2C+2+to+12-Inch&amp;qid=1695173674&amp;sr=8-1")</f>
        <v>https://www.amazon.com/Adjustable-Stainless-Klein-Tools-89552/dp/B07DLT79N8/ref=sr_1_1?keywords=Klein+Tools+89552+Hole+Cutter+for+Duct+and+Sheet+Metal%2C+2+to+12-Inch&amp;qid=1695173674&amp;sr=8-1</v>
      </c>
      <c r="F1644" t="s">
        <v>4458</v>
      </c>
      <c r="G1644" t="e">
        <f ca="1">_xludf.IMAGE("https://edmondsonsupply.com/cdn/shop/products/89552.jpg?v=1587143132")</f>
        <v>#NAME?</v>
      </c>
      <c r="H1644" t="e">
        <f ca="1">_xludf.IMAGE("https://m.media-amazon.com/images/I/41anKoMOthL._AC_UL320_.jpg")</f>
        <v>#NAME?</v>
      </c>
      <c r="I1644" t="s">
        <v>1765</v>
      </c>
      <c r="J1644">
        <v>56.99</v>
      </c>
      <c r="K1644" s="4">
        <v>0</v>
      </c>
      <c r="L1644">
        <v>4.3</v>
      </c>
      <c r="M1644">
        <v>792</v>
      </c>
      <c r="O1644" t="s">
        <v>25</v>
      </c>
      <c r="P1644" t="s">
        <v>1766</v>
      </c>
      <c r="Q1644" t="s">
        <v>1767</v>
      </c>
    </row>
    <row r="1645" spans="1:17" ht="15.5" x14ac:dyDescent="0.35">
      <c r="A1645" s="3" t="str">
        <f>HYPERLINK("https://edmondsonsupply.com/collections/hvac/products/channellock-431", "https://edmondsonsupply.com/collections/hvac/products/channellock-431")</f>
        <v>https://edmondsonsupply.com/collections/hvac/products/channellock-431</v>
      </c>
      <c r="B1645" s="3" t="str">
        <f>HYPERLINK("https://edmondsonsupply.com/products/channellock-431", "https://edmondsonsupply.com/products/channellock-431")</f>
        <v>https://edmondsonsupply.com/products/channellock-431</v>
      </c>
      <c r="C1645" t="s">
        <v>3341</v>
      </c>
      <c r="D1645" t="s">
        <v>4459</v>
      </c>
      <c r="E1645" s="3" t="str">
        <f>HYPERLINK("https://www.amazon.com/Channellock-432-2-Inch-Capacity-10-Inch/dp/B000189GRY/ref=sr_1_2?keywords=Channellock+432+10-Inch+V-Jaw+Tongue+%26+Groove+Pliers&amp;qid=1695173686&amp;sr=8-2", "https://www.amazon.com/Channellock-432-2-Inch-Capacity-10-Inch/dp/B000189GRY/ref=sr_1_2?keywords=Channellock+432+10-Inch+V-Jaw+Tongue+%26+Groove+Pliers&amp;qid=1695173686&amp;sr=8-2")</f>
        <v>https://www.amazon.com/Channellock-432-2-Inch-Capacity-10-Inch/dp/B000189GRY/ref=sr_1_2?keywords=Channellock+432+10-Inch+V-Jaw+Tongue+%26+Groove+Pliers&amp;qid=1695173686&amp;sr=8-2</v>
      </c>
      <c r="F1645" t="s">
        <v>4460</v>
      </c>
      <c r="G1645" t="e">
        <f ca="1">_xludf.IMAGE("https://edmondsonsupply.com/cdn/shop/products/432-683x1024.jpg?v=1587147134")</f>
        <v>#NAME?</v>
      </c>
      <c r="H1645" t="e">
        <f ca="1">_xludf.IMAGE("https://m.media-amazon.com/images/I/71ZFfDuDhxL._AC_UL320_.jpg")</f>
        <v>#NAME?</v>
      </c>
      <c r="I1645" t="s">
        <v>488</v>
      </c>
      <c r="J1645">
        <v>19.95</v>
      </c>
      <c r="K1645" s="4">
        <v>0</v>
      </c>
      <c r="L1645">
        <v>4.7</v>
      </c>
      <c r="M1645">
        <v>2314</v>
      </c>
      <c r="O1645" t="s">
        <v>25</v>
      </c>
      <c r="P1645" t="s">
        <v>3344</v>
      </c>
      <c r="Q1645" t="s">
        <v>3345</v>
      </c>
    </row>
    <row r="1646" spans="1:17" ht="15.5" x14ac:dyDescent="0.35">
      <c r="A1646" s="3" t="str">
        <f>HYPERLINK("https://edmondsonsupply.com/collections/hvac/products/tajima-dfc670n-r1-rock-hard-fin%E2%84%A2-utility-knife-auto-lock", "https://edmondsonsupply.com/collections/hvac/products/tajima-dfc670n-r1-rock-hard-fin%E2%84%A2-utility-knife-auto-lock")</f>
        <v>https://edmondsonsupply.com/collections/hvac/products/tajima-dfc670n-r1-rock-hard-fin%E2%84%A2-utility-knife-auto-lock</v>
      </c>
      <c r="B1646" s="3" t="str">
        <f>HYPERLINK("https://edmondsonsupply.com/products/tajima-dfc670n-r1-rock-hard-fin%e2%84%a2-utility-knife-auto-lock", "https://edmondsonsupply.com/products/tajima-dfc670n-r1-rock-hard-fin%e2%84%a2-utility-knife-auto-lock")</f>
        <v>https://edmondsonsupply.com/products/tajima-dfc670n-r1-rock-hard-fin%e2%84%a2-utility-knife-auto-lock</v>
      </c>
      <c r="C1646" t="s">
        <v>4461</v>
      </c>
      <c r="D1646" t="s">
        <v>4462</v>
      </c>
      <c r="E1646" s="3" t="str">
        <f>HYPERLINK("https://www.amazon.com/TAJIMA-Utility-Knife-DFC670N-R1-Auto-Lock/dp/B07W8SQ6NW/ref=sr_1_1?keywords=Tajima+DFC670N-R1+Rock+Hard+FIN%E2%84%A2+Utility+Knife%2C+Auto+Lock&amp;qid=1695173690&amp;sr=8-1", "https://www.amazon.com/TAJIMA-Utility-Knife-DFC670N-R1-Auto-Lock/dp/B07W8SQ6NW/ref=sr_1_1?keywords=Tajima+DFC670N-R1+Rock+Hard+FIN%E2%84%A2+Utility+Knife%2C+Auto+Lock&amp;qid=1695173690&amp;sr=8-1")</f>
        <v>https://www.amazon.com/TAJIMA-Utility-Knife-DFC670N-R1-Auto-Lock/dp/B07W8SQ6NW/ref=sr_1_1?keywords=Tajima+DFC670N-R1+Rock+Hard+FIN%E2%84%A2+Utility+Knife%2C+Auto+Lock&amp;qid=1695173690&amp;sr=8-1</v>
      </c>
      <c r="F1646" t="s">
        <v>4463</v>
      </c>
      <c r="G1646" t="e">
        <f ca="1">_xludf.IMAGE("https://edmondsonsupply.com/cdn/shop/files/DFC670N-R1-2.jpg?v=1693509419")</f>
        <v>#NAME?</v>
      </c>
      <c r="H1646" t="e">
        <f ca="1">_xludf.IMAGE("https://m.media-amazon.com/images/I/51udy51xLdL._AC_UL320_.jpg")</f>
        <v>#NAME?</v>
      </c>
      <c r="I1646" t="s">
        <v>3591</v>
      </c>
      <c r="J1646">
        <v>15.28</v>
      </c>
      <c r="K1646" s="4">
        <v>0</v>
      </c>
      <c r="L1646">
        <v>4.5999999999999996</v>
      </c>
      <c r="M1646">
        <v>29</v>
      </c>
      <c r="O1646" t="s">
        <v>25</v>
      </c>
      <c r="P1646" t="s">
        <v>138</v>
      </c>
      <c r="Q1646" t="s">
        <v>4464</v>
      </c>
    </row>
    <row r="1647" spans="1:17" ht="15.5" x14ac:dyDescent="0.35">
      <c r="A1647" s="3" t="str">
        <f>HYPERLINK("https://edmondsonsupply.com/collections/hvac/products/channellock-428", "https://edmondsonsupply.com/collections/hvac/products/channellock-428")</f>
        <v>https://edmondsonsupply.com/collections/hvac/products/channellock-428</v>
      </c>
      <c r="B1647" s="3" t="str">
        <f>HYPERLINK("https://edmondsonsupply.com/products/channellock-428", "https://edmondsonsupply.com/products/channellock-428")</f>
        <v>https://edmondsonsupply.com/products/channellock-428</v>
      </c>
      <c r="C1647" t="s">
        <v>1791</v>
      </c>
      <c r="D1647" t="s">
        <v>4465</v>
      </c>
      <c r="E1647" s="3" t="str">
        <f>HYPERLINK("https://www.amazon.com/CHANNELLOCK-428-Adjustments-SAFE-T-STOP-High-Carbon/dp/B00004SBCT/ref=sr_1_1?keywords=Channellock+428+8-Inch+Straight+Jaw+Tongue+%26+Groove+Pliers&amp;qid=1695173687&amp;sr=8-1", "https://www.amazon.com/CHANNELLOCK-428-Adjustments-SAFE-T-STOP-High-Carbon/dp/B00004SBCT/ref=sr_1_1?keywords=Channellock+428+8-Inch+Straight+Jaw+Tongue+%26+Groove+Pliers&amp;qid=1695173687&amp;sr=8-1")</f>
        <v>https://www.amazon.com/CHANNELLOCK-428-Adjustments-SAFE-T-STOP-High-Carbon/dp/B00004SBCT/ref=sr_1_1?keywords=Channellock+428+8-Inch+Straight+Jaw+Tongue+%26+Groove+Pliers&amp;qid=1695173687&amp;sr=8-1</v>
      </c>
      <c r="F1647" t="s">
        <v>4466</v>
      </c>
      <c r="G1647" t="e">
        <f ca="1">_xludf.IMAGE("https://edmondsonsupply.com/cdn/shop/products/428-683x1024.jpg?v=1587145854")</f>
        <v>#NAME?</v>
      </c>
      <c r="H1647" t="e">
        <f ca="1">_xludf.IMAGE("https://m.media-amazon.com/images/I/71PJMchXHJL._AC_UL320_.jpg")</f>
        <v>#NAME?</v>
      </c>
      <c r="I1647" t="s">
        <v>1554</v>
      </c>
      <c r="J1647">
        <v>16.95</v>
      </c>
      <c r="K1647" s="4">
        <v>0</v>
      </c>
      <c r="L1647">
        <v>4.7</v>
      </c>
      <c r="M1647">
        <v>239</v>
      </c>
      <c r="O1647" t="s">
        <v>25</v>
      </c>
      <c r="P1647" t="s">
        <v>1794</v>
      </c>
      <c r="Q1647" t="s">
        <v>1795</v>
      </c>
    </row>
    <row r="1648" spans="1:17" ht="15.5" x14ac:dyDescent="0.35">
      <c r="A1648" s="3" t="str">
        <f>HYPERLINK("https://edmondsonsupply.com/collections/hvac/products/ritchie-yellow-jacket-93850-superevac%E2%84%A2-evacuation-manifold", "https://edmondsonsupply.com/collections/hvac/products/ritchie-yellow-jacket-93850-superevac%E2%84%A2-evacuation-manifold")</f>
        <v>https://edmondsonsupply.com/collections/hvac/products/ritchie-yellow-jacket-93850-superevac%E2%84%A2-evacuation-manifold</v>
      </c>
      <c r="B1648" s="3" t="str">
        <f>HYPERLINK("https://edmondsonsupply.com/products/ritchie-yellow-jacket-93850-superevac%e2%84%a2-evacuation-manifold", "https://edmondsonsupply.com/products/ritchie-yellow-jacket-93850-superevac%e2%84%a2-evacuation-manifold")</f>
        <v>https://edmondsonsupply.com/products/ritchie-yellow-jacket-93850-superevac%e2%84%a2-evacuation-manifold</v>
      </c>
      <c r="C1648" t="s">
        <v>4467</v>
      </c>
      <c r="D1648" t="s">
        <v>4468</v>
      </c>
      <c r="E1648" s="3" t="str">
        <f>HYPERLINK("https://www.amazon.com/Yellow-Jacket-93850-Evacuation-Manifold/dp/B009AX63JA/ref=sr_1_1?keywords=Yellow+Jacket+93850+SuperEvac%E2%84%A2+Evacuation+Manifold&amp;qid=1695173683&amp;sr=8-1", "https://www.amazon.com/Yellow-Jacket-93850-Evacuation-Manifold/dp/B009AX63JA/ref=sr_1_1?keywords=Yellow+Jacket+93850+SuperEvac%E2%84%A2+Evacuation+Manifold&amp;qid=1695173683&amp;sr=8-1")</f>
        <v>https://www.amazon.com/Yellow-Jacket-93850-Evacuation-Manifold/dp/B009AX63JA/ref=sr_1_1?keywords=Yellow+Jacket+93850+SuperEvac%E2%84%A2+Evacuation+Manifold&amp;qid=1695173683&amp;sr=8-1</v>
      </c>
      <c r="F1648" t="s">
        <v>4469</v>
      </c>
      <c r="G1648" t="e">
        <f ca="1">_xludf.IMAGE("https://edmondsonsupply.com/cdn/shop/products/YJ_93850.jpg?v=1587142452")</f>
        <v>#NAME?</v>
      </c>
      <c r="H1648" t="e">
        <f ca="1">_xludf.IMAGE("https://m.media-amazon.com/images/I/716qn3QqtWL._AC_UL320_.jpg")</f>
        <v>#NAME?</v>
      </c>
      <c r="I1648" t="s">
        <v>4470</v>
      </c>
      <c r="J1648">
        <v>112.31</v>
      </c>
      <c r="K1648" s="4">
        <v>0</v>
      </c>
      <c r="L1648">
        <v>4.5999999999999996</v>
      </c>
      <c r="M1648">
        <v>149</v>
      </c>
      <c r="O1648" t="s">
        <v>25</v>
      </c>
      <c r="P1648" t="s">
        <v>138</v>
      </c>
      <c r="Q1648" t="s">
        <v>4471</v>
      </c>
    </row>
    <row r="1649" spans="1:17" ht="15.5" x14ac:dyDescent="0.35">
      <c r="A1649" s="3" t="str">
        <f>HYPERLINK("https://edmondsonsupply.com/collections/hvac/products/klein-tools-56026-inspection-penlight-with-laser-led-flashlight", "https://edmondsonsupply.com/collections/hvac/products/klein-tools-56026-inspection-penlight-with-laser-led-flashlight")</f>
        <v>https://edmondsonsupply.com/collections/hvac/products/klein-tools-56026-inspection-penlight-with-laser-led-flashlight</v>
      </c>
      <c r="B1649" s="3" t="str">
        <f>HYPERLINK("https://edmondsonsupply.com/products/klein-tools-56026-inspection-penlight-with-laser-led-flashlight", "https://edmondsonsupply.com/products/klein-tools-56026-inspection-penlight-with-laser-led-flashlight")</f>
        <v>https://edmondsonsupply.com/products/klein-tools-56026-inspection-penlight-with-laser-led-flashlight</v>
      </c>
      <c r="C1649" t="s">
        <v>4472</v>
      </c>
      <c r="D1649" t="s">
        <v>4473</v>
      </c>
      <c r="E1649" s="3" t="str">
        <f>HYPERLINK("https://www.amazon.com/Klein-Tools-56026-Inspection-Penlight/dp/B01N9RGQQP/ref=sr_1_2?keywords=Klein+Tools+56026+Inspection+Penlight+with+Class+3R+Red+Laser+Pointer&amp;qid=1695173662&amp;sr=8-2", "https://www.amazon.com/Klein-Tools-56026-Inspection-Penlight/dp/B01N9RGQQP/ref=sr_1_2?keywords=Klein+Tools+56026+Inspection+Penlight+with+Class+3R+Red+Laser+Pointer&amp;qid=1695173662&amp;sr=8-2")</f>
        <v>https://www.amazon.com/Klein-Tools-56026-Inspection-Penlight/dp/B01N9RGQQP/ref=sr_1_2?keywords=Klein+Tools+56026+Inspection+Penlight+with+Class+3R+Red+Laser+Pointer&amp;qid=1695173662&amp;sr=8-2</v>
      </c>
      <c r="F1649" t="s">
        <v>4474</v>
      </c>
      <c r="G1649" t="e">
        <f ca="1">_xludf.IMAGE("https://edmondsonsupply.com/cdn/shop/products/56026_c.jpg?v=1664897604")</f>
        <v>#NAME?</v>
      </c>
      <c r="H1649" t="e">
        <f ca="1">_xludf.IMAGE("https://m.media-amazon.com/images/I/51ZiHpGyQNL._AC_UL320_.jpg")</f>
        <v>#NAME?</v>
      </c>
      <c r="I1649" t="s">
        <v>893</v>
      </c>
      <c r="J1649">
        <v>19.97</v>
      </c>
      <c r="K1649" s="4">
        <v>0</v>
      </c>
      <c r="L1649">
        <v>4.4000000000000004</v>
      </c>
      <c r="M1649">
        <v>2929</v>
      </c>
      <c r="O1649" t="s">
        <v>25</v>
      </c>
      <c r="P1649" t="s">
        <v>4475</v>
      </c>
      <c r="Q1649" t="s">
        <v>4476</v>
      </c>
    </row>
    <row r="1650" spans="1:17" ht="15.5" x14ac:dyDescent="0.35">
      <c r="A1650" s="3" t="str">
        <f>HYPERLINK("https://edmondsonsupply.com/collections/hvac/products/klein-tools-demolition-scratch-awl", "https://edmondsonsupply.com/collections/hvac/products/klein-tools-demolition-scratch-awl")</f>
        <v>https://edmondsonsupply.com/collections/hvac/products/klein-tools-demolition-scratch-awl</v>
      </c>
      <c r="B1650" s="3" t="str">
        <f>HYPERLINK("https://edmondsonsupply.com/products/klein-tools-demolition-scratch-awl", "https://edmondsonsupply.com/products/klein-tools-demolition-scratch-awl")</f>
        <v>https://edmondsonsupply.com/products/klein-tools-demolition-scratch-awl</v>
      </c>
      <c r="C1650" t="s">
        <v>4477</v>
      </c>
      <c r="D1650" t="s">
        <v>4477</v>
      </c>
      <c r="E1650" s="3" t="str">
        <f>HYPERLINK("https://www.amazon.com/Demolition-Scratch-Klein-Tools-650DD/dp/B00LUBVL9C/ref=sr_1_1?keywords=Klein+Tools+650DD+Demolition+Scratch+Awl&amp;qid=1695173724&amp;sr=8-1", "https://www.amazon.com/Demolition-Scratch-Klein-Tools-650DD/dp/B00LUBVL9C/ref=sr_1_1?keywords=Klein+Tools+650DD+Demolition+Scratch+Awl&amp;qid=1695173724&amp;sr=8-1")</f>
        <v>https://www.amazon.com/Demolition-Scratch-Klein-Tools-650DD/dp/B00LUBVL9C/ref=sr_1_1?keywords=Klein+Tools+650DD+Demolition+Scratch+Awl&amp;qid=1695173724&amp;sr=8-1</v>
      </c>
      <c r="F1650" t="s">
        <v>4478</v>
      </c>
      <c r="G1650" t="e">
        <f ca="1">_xludf.IMAGE("https://edmondsonsupply.com/cdn/shop/products/650-dd.jpg?v=1587150658")</f>
        <v>#NAME?</v>
      </c>
      <c r="H1650" t="e">
        <f ca="1">_xludf.IMAGE("https://m.media-amazon.com/images/I/41Rko-I--ML._AC_UL320_.jpg")</f>
        <v>#NAME?</v>
      </c>
      <c r="I1650" t="s">
        <v>79</v>
      </c>
      <c r="J1650">
        <v>17.989999999999998</v>
      </c>
      <c r="K1650" s="4">
        <v>0</v>
      </c>
      <c r="L1650">
        <v>4.7</v>
      </c>
      <c r="M1650">
        <v>362</v>
      </c>
      <c r="O1650" t="s">
        <v>25</v>
      </c>
      <c r="P1650" t="s">
        <v>4479</v>
      </c>
      <c r="Q1650" t="s">
        <v>4480</v>
      </c>
    </row>
    <row r="1651" spans="1:17" ht="15.5" x14ac:dyDescent="0.35">
      <c r="A1651" s="3" t="str">
        <f>HYPERLINK("https://edmondsonsupply.com/collections/hvac/products/fieldpiece-hs33-1", "https://edmondsonsupply.com/collections/hvac/products/fieldpiece-hs33-1")</f>
        <v>https://edmondsonsupply.com/collections/hvac/products/fieldpiece-hs33-1</v>
      </c>
      <c r="B1651" s="3" t="str">
        <f>HYPERLINK("https://edmondsonsupply.com/products/fieldpiece-hs33-1", "https://edmondsonsupply.com/products/fieldpiece-hs33-1")</f>
        <v>https://edmondsonsupply.com/products/fieldpiece-hs33-1</v>
      </c>
      <c r="C1651" t="s">
        <v>4481</v>
      </c>
      <c r="D1651" t="s">
        <v>4482</v>
      </c>
      <c r="E1651" s="3" t="str">
        <f>HYPERLINK("https://www.amazon.com/Fieldpiece-HS36-Expandable-Autoranging-Multimeter/dp/B000OMJJ7Y/ref=sr_1_1?keywords=Fieldpiece+HS36+Expandable+True+RMS+Stick+Meter+with+Backlight&amp;qid=1695173677&amp;sr=8-1", "https://www.amazon.com/Fieldpiece-HS36-Expandable-Autoranging-Multimeter/dp/B000OMJJ7Y/ref=sr_1_1?keywords=Fieldpiece+HS36+Expandable+True+RMS+Stick+Meter+with+Backlight&amp;qid=1695173677&amp;sr=8-1")</f>
        <v>https://www.amazon.com/Fieldpiece-HS36-Expandable-Autoranging-Multimeter/dp/B000OMJJ7Y/ref=sr_1_1?keywords=Fieldpiece+HS36+Expandable+True+RMS+Stick+Meter+with+Backlight&amp;qid=1695173677&amp;sr=8-1</v>
      </c>
      <c r="F1651" t="s">
        <v>4483</v>
      </c>
      <c r="G1651" t="e">
        <f ca="1">_xludf.IMAGE("https://edmondsonsupply.com/cdn/shop/products/HS36-470x470-04.jpg?v=1633030108")</f>
        <v>#NAME?</v>
      </c>
      <c r="H1651" t="e">
        <f ca="1">_xludf.IMAGE("https://m.media-amazon.com/images/I/61OPMK7yKoL._AC_UL320_.jpg")</f>
        <v>#NAME?</v>
      </c>
      <c r="I1651" t="s">
        <v>4484</v>
      </c>
      <c r="J1651">
        <v>298.35000000000002</v>
      </c>
      <c r="K1651" s="4">
        <v>0</v>
      </c>
      <c r="L1651">
        <v>4.5999999999999996</v>
      </c>
      <c r="M1651">
        <v>289</v>
      </c>
      <c r="O1651" t="s">
        <v>25</v>
      </c>
      <c r="P1651" t="s">
        <v>4485</v>
      </c>
      <c r="Q1651" t="s">
        <v>4486</v>
      </c>
    </row>
    <row r="1652" spans="1:17" ht="15.5" x14ac:dyDescent="0.35">
      <c r="A1652" s="3" t="str">
        <f>HYPERLINK("https://edmondsonsupply.com/collections/hvac/products/klein-tools-11046-wire-stripper-cutter-16-26-awg-stranded", "https://edmondsonsupply.com/collections/hvac/products/klein-tools-11046-wire-stripper-cutter-16-26-awg-stranded")</f>
        <v>https://edmondsonsupply.com/collections/hvac/products/klein-tools-11046-wire-stripper-cutter-16-26-awg-stranded</v>
      </c>
      <c r="B1652" s="3" t="str">
        <f>HYPERLINK("https://edmondsonsupply.com/products/klein-tools-11046-wire-stripper-cutter-16-26-awg-stranded", "https://edmondsonsupply.com/products/klein-tools-11046-wire-stripper-cutter-16-26-awg-stranded")</f>
        <v>https://edmondsonsupply.com/products/klein-tools-11046-wire-stripper-cutter-16-26-awg-stranded</v>
      </c>
      <c r="C1652" t="s">
        <v>2278</v>
      </c>
      <c r="D1652" t="s">
        <v>4487</v>
      </c>
      <c r="E1652" s="3" t="str">
        <f>HYPERLINK("https://www.amazon.com/Stripper-Stranded-Klein-Tools-11046/dp/B0000302WS/ref=sr_1_3?keywords=Klein+Tools+11046+Wire+Stripper%2FCutter+16-26+AWG+Stranded&amp;qid=1695173662&amp;sr=8-3", "https://www.amazon.com/Stripper-Stranded-Klein-Tools-11046/dp/B0000302WS/ref=sr_1_3?keywords=Klein+Tools+11046+Wire+Stripper%2FCutter+16-26+AWG+Stranded&amp;qid=1695173662&amp;sr=8-3")</f>
        <v>https://www.amazon.com/Stripper-Stranded-Klein-Tools-11046/dp/B0000302WS/ref=sr_1_3?keywords=Klein+Tools+11046+Wire+Stripper%2FCutter+16-26+AWG+Stranded&amp;qid=1695173662&amp;sr=8-3</v>
      </c>
      <c r="F1652" t="s">
        <v>4488</v>
      </c>
      <c r="G1652" t="e">
        <f ca="1">_xludf.IMAGE("https://edmondsonsupply.com/cdn/shop/products/11046.jpg?v=1587147965")</f>
        <v>#NAME?</v>
      </c>
      <c r="H1652" t="e">
        <f ca="1">_xludf.IMAGE("https://m.media-amazon.com/images/I/510IQiIFnZL._AC_UL320_.jpg")</f>
        <v>#NAME?</v>
      </c>
      <c r="I1652" t="s">
        <v>143</v>
      </c>
      <c r="J1652">
        <v>15.97</v>
      </c>
      <c r="K1652" s="4">
        <v>0</v>
      </c>
      <c r="L1652">
        <v>4.7</v>
      </c>
      <c r="M1652">
        <v>3111</v>
      </c>
      <c r="O1652" t="s">
        <v>25</v>
      </c>
      <c r="P1652" t="s">
        <v>2281</v>
      </c>
      <c r="Q1652" t="s">
        <v>2282</v>
      </c>
    </row>
    <row r="1653" spans="1:17" ht="15.5" x14ac:dyDescent="0.35">
      <c r="A1653" s="3" t="str">
        <f>HYPERLINK("https://edmondsonsupply.com/collections/hvac/products/tajima-azs-rop-safety-rope%E2%84%A2", "https://edmondsonsupply.com/collections/hvac/products/tajima-azs-rop-safety-rope%E2%84%A2")</f>
        <v>https://edmondsonsupply.com/collections/hvac/products/tajima-azs-rop-safety-rope%E2%84%A2</v>
      </c>
      <c r="B1653" s="3" t="str">
        <f>HYPERLINK("https://edmondsonsupply.com/products/tajima-azs-rop-safety-rope%e2%84%a2", "https://edmondsonsupply.com/products/tajima-azs-rop-safety-rope%e2%84%a2")</f>
        <v>https://edmondsonsupply.com/products/tajima-azs-rop-safety-rope%e2%84%a2</v>
      </c>
      <c r="C1653" t="s">
        <v>1150</v>
      </c>
      <c r="D1653" t="s">
        <v>1151</v>
      </c>
      <c r="E1653" s="3" t="str">
        <f>HYPERLINK("https://www.amazon.com/TAJIMA-AZS-ROP-Safety-Rope-Measuring/dp/B07JZNFX1D/ref=sr_1_1?keywords=Tajima+AZS-ROP+SAFETY+ROPE%E2%84%A2+for+Tape+Measure&amp;qid=1695173697&amp;sr=8-1", "https://www.amazon.com/TAJIMA-AZS-ROP-Safety-Rope-Measuring/dp/B07JZNFX1D/ref=sr_1_1?keywords=Tajima+AZS-ROP+SAFETY+ROPE%E2%84%A2+for+Tape+Measure&amp;qid=1695173697&amp;sr=8-1")</f>
        <v>https://www.amazon.com/TAJIMA-AZS-ROP-Safety-Rope-Measuring/dp/B07JZNFX1D/ref=sr_1_1?keywords=Tajima+AZS-ROP+SAFETY+ROPE%E2%84%A2+for+Tape+Measure&amp;qid=1695173697&amp;sr=8-1</v>
      </c>
      <c r="F1653" t="s">
        <v>1152</v>
      </c>
      <c r="G1653" t="e">
        <f ca="1">_xludf.IMAGE("https://edmondsonsupply.com/cdn/shop/files/AZS-ROP.jpg?v=1693506139")</f>
        <v>#NAME?</v>
      </c>
      <c r="H1653" t="e">
        <f ca="1">_xludf.IMAGE("https://m.media-amazon.com/images/I/31lq7AazHdL._AC_UL320_.jpg")</f>
        <v>#NAME?</v>
      </c>
      <c r="I1653" t="s">
        <v>1153</v>
      </c>
      <c r="J1653">
        <v>16.43</v>
      </c>
      <c r="K1653" s="4">
        <v>0</v>
      </c>
      <c r="L1653">
        <v>4.9000000000000004</v>
      </c>
      <c r="M1653">
        <v>9</v>
      </c>
      <c r="O1653" t="s">
        <v>25</v>
      </c>
      <c r="P1653" t="s">
        <v>138</v>
      </c>
      <c r="Q1653" t="s">
        <v>1154</v>
      </c>
    </row>
    <row r="1654" spans="1:17" ht="15.5" x14ac:dyDescent="0.35">
      <c r="A1654" s="3" t="str">
        <f>HYPERLINK("https://edmondsonsupply.com/collections/hvac/products/klein-tools-5539lcblu-canvas-bag-with-zipper-large-blue", "https://edmondsonsupply.com/collections/hvac/products/klein-tools-5539lcblu-canvas-bag-with-zipper-large-blue")</f>
        <v>https://edmondsonsupply.com/collections/hvac/products/klein-tools-5539lcblu-canvas-bag-with-zipper-large-blue</v>
      </c>
      <c r="B1654" s="3" t="str">
        <f>HYPERLINK("https://edmondsonsupply.com/products/klein-tools-5539lcblu-canvas-bag-with-zipper-large-blue", "https://edmondsonsupply.com/products/klein-tools-5539lcblu-canvas-bag-with-zipper-large-blue")</f>
        <v>https://edmondsonsupply.com/products/klein-tools-5539lcblu-canvas-bag-with-zipper-large-blue</v>
      </c>
      <c r="C1654" t="s">
        <v>593</v>
      </c>
      <c r="D1654" t="s">
        <v>594</v>
      </c>
      <c r="E1654" s="3" t="str">
        <f>HYPERLINK("https://www.amazon.com/Klein-Tools-5539LBLU-16-Inch-Organizer/dp/B07R95F119/ref=sr_1_1?keywords=Klein+Tools+5539LBLU+Zipper+Bag%2C+Large+Canvas+Tool+Pouch%2C+18-Inch%2C+Blue&amp;qid=1695173665&amp;sr=8-1", "https://www.amazon.com/Klein-Tools-5539LBLU-16-Inch-Organizer/dp/B07R95F119/ref=sr_1_1?keywords=Klein+Tools+5539LBLU+Zipper+Bag%2C+Large+Canvas+Tool+Pouch%2C+18-Inch%2C+Blue&amp;qid=1695173665&amp;sr=8-1")</f>
        <v>https://www.amazon.com/Klein-Tools-5539LBLU-16-Inch-Organizer/dp/B07R95F119/ref=sr_1_1?keywords=Klein+Tools+5539LBLU+Zipper+Bag%2C+Large+Canvas+Tool+Pouch%2C+18-Inch%2C+Blue&amp;qid=1695173665&amp;sr=8-1</v>
      </c>
      <c r="F1654" t="s">
        <v>595</v>
      </c>
      <c r="G1654" t="e">
        <f ca="1">_xludf.IMAGE("https://edmondsonsupply.com/cdn/shop/products/5539lblu.jpg?v=1587150873")</f>
        <v>#NAME?</v>
      </c>
      <c r="H1654" t="e">
        <f ca="1">_xludf.IMAGE("https://m.media-amazon.com/images/I/51VTqMM6V5L._AC_UL320_.jpg")</f>
        <v>#NAME?</v>
      </c>
      <c r="I1654" t="s">
        <v>577</v>
      </c>
      <c r="J1654">
        <v>19.989999999999998</v>
      </c>
      <c r="K1654" s="4">
        <v>0</v>
      </c>
      <c r="L1654">
        <v>4.7</v>
      </c>
      <c r="M1654">
        <v>597</v>
      </c>
      <c r="O1654" t="s">
        <v>25</v>
      </c>
      <c r="P1654" t="s">
        <v>578</v>
      </c>
      <c r="Q1654" t="s">
        <v>596</v>
      </c>
    </row>
    <row r="1655" spans="1:17" ht="15.5" x14ac:dyDescent="0.35">
      <c r="A1655" s="3" t="str">
        <f>HYPERLINK("https://edmondsonsupply.com/collections/hvac/products/klein-tools-d504-7-classic-klaw%E2%84%A2-pump-pliers-7-inch", "https://edmondsonsupply.com/collections/hvac/products/klein-tools-d504-7-classic-klaw%E2%84%A2-pump-pliers-7-inch")</f>
        <v>https://edmondsonsupply.com/collections/hvac/products/klein-tools-d504-7-classic-klaw%E2%84%A2-pump-pliers-7-inch</v>
      </c>
      <c r="B1655" s="3" t="str">
        <f>HYPERLINK("https://edmondsonsupply.com/products/klein-tools-d504-7-classic-klaw%e2%84%a2-pump-pliers-7-inch", "https://edmondsonsupply.com/products/klein-tools-d504-7-classic-klaw%e2%84%a2-pump-pliers-7-inch")</f>
        <v>https://edmondsonsupply.com/products/klein-tools-d504-7-classic-klaw%e2%84%a2-pump-pliers-7-inch</v>
      </c>
      <c r="C1655" t="s">
        <v>4489</v>
      </c>
      <c r="D1655" t="s">
        <v>4490</v>
      </c>
      <c r="E1655" s="3" t="str">
        <f>HYPERLINK("https://www.amazon.com/Classic-Pliers-Klein-Tools-D504-7/dp/B00BJ4OSTA/ref=sr_1_1?keywords=Klein+Tools+D504-7+Classic+Klaw%E2%84%A2+Pump+Pliers%2C+7-Inch&amp;qid=1695173653&amp;sr=8-1", "https://www.amazon.com/Classic-Pliers-Klein-Tools-D504-7/dp/B00BJ4OSTA/ref=sr_1_1?keywords=Klein+Tools+D504-7+Classic+Klaw%E2%84%A2+Pump+Pliers%2C+7-Inch&amp;qid=1695173653&amp;sr=8-1")</f>
        <v>https://www.amazon.com/Classic-Pliers-Klein-Tools-D504-7/dp/B00BJ4OSTA/ref=sr_1_1?keywords=Klein+Tools+D504-7+Classic+Klaw%E2%84%A2+Pump+Pliers%2C+7-Inch&amp;qid=1695173653&amp;sr=8-1</v>
      </c>
      <c r="F1655" t="s">
        <v>4491</v>
      </c>
      <c r="G1655" t="e">
        <f ca="1">_xludf.IMAGE("https://edmondsonsupply.com/cdn/shop/products/d504-7.jpg?v=1633030267")</f>
        <v>#NAME?</v>
      </c>
      <c r="H1655" t="e">
        <f ca="1">_xludf.IMAGE("https://m.media-amazon.com/images/I/51kiGD+1-6L._AC_UL320_.jpg")</f>
        <v>#NAME?</v>
      </c>
      <c r="I1655" t="s">
        <v>26</v>
      </c>
      <c r="J1655">
        <v>29.99</v>
      </c>
      <c r="K1655" s="4">
        <v>0</v>
      </c>
      <c r="L1655">
        <v>4.5999999999999996</v>
      </c>
      <c r="M1655">
        <v>391</v>
      </c>
      <c r="O1655" t="s">
        <v>25</v>
      </c>
      <c r="P1655" t="s">
        <v>4492</v>
      </c>
      <c r="Q1655" t="s">
        <v>4493</v>
      </c>
    </row>
    <row r="1656" spans="1:17" ht="15.5" x14ac:dyDescent="0.35">
      <c r="A1656" s="3" t="str">
        <f>HYPERLINK("https://edmondsonsupply.com/collections/hvac/products/channellock-431", "https://edmondsonsupply.com/collections/hvac/products/channellock-431")</f>
        <v>https://edmondsonsupply.com/collections/hvac/products/channellock-431</v>
      </c>
      <c r="B1656" s="3" t="str">
        <f>HYPERLINK("https://edmondsonsupply.com/products/channellock-431", "https://edmondsonsupply.com/products/channellock-431")</f>
        <v>https://edmondsonsupply.com/products/channellock-431</v>
      </c>
      <c r="C1656" t="s">
        <v>3341</v>
      </c>
      <c r="D1656" t="s">
        <v>3909</v>
      </c>
      <c r="E1656" s="3" t="str">
        <f>HYPERLINK("https://www.amazon.com/Channellock-430-Straight-Heat-Treated-Reinforcing/dp/B00002N5JF/ref=sr_1_4?keywords=Channellock+432+10-Inch+V-Jaw+Tongue+%26+Groove+Pliers&amp;qid=1695173686&amp;sr=8-4", "https://www.amazon.com/Channellock-430-Straight-Heat-Treated-Reinforcing/dp/B00002N5JF/ref=sr_1_4?keywords=Channellock+432+10-Inch+V-Jaw+Tongue+%26+Groove+Pliers&amp;qid=1695173686&amp;sr=8-4")</f>
        <v>https://www.amazon.com/Channellock-430-Straight-Heat-Treated-Reinforcing/dp/B00002N5JF/ref=sr_1_4?keywords=Channellock+432+10-Inch+V-Jaw+Tongue+%26+Groove+Pliers&amp;qid=1695173686&amp;sr=8-4</v>
      </c>
      <c r="F1656" t="s">
        <v>3910</v>
      </c>
      <c r="G1656" t="e">
        <f ca="1">_xludf.IMAGE("https://edmondsonsupply.com/cdn/shop/products/432-683x1024.jpg?v=1587147134")</f>
        <v>#NAME?</v>
      </c>
      <c r="H1656" t="e">
        <f ca="1">_xludf.IMAGE("https://m.media-amazon.com/images/I/71JqgqffnnL._AC_UL320_.jpg")</f>
        <v>#NAME?</v>
      </c>
      <c r="I1656" t="s">
        <v>488</v>
      </c>
      <c r="J1656">
        <v>19.95</v>
      </c>
      <c r="K1656" s="4">
        <v>0</v>
      </c>
      <c r="L1656">
        <v>4.8</v>
      </c>
      <c r="M1656">
        <v>2191</v>
      </c>
      <c r="O1656" t="s">
        <v>25</v>
      </c>
      <c r="P1656" t="s">
        <v>3344</v>
      </c>
      <c r="Q1656" t="s">
        <v>3345</v>
      </c>
    </row>
    <row r="1657" spans="1:17" ht="15.5" x14ac:dyDescent="0.35">
      <c r="A1657" s="3" t="str">
        <f>HYPERLINK("https://edmondsonsupply.com/collections/hvac/products/klein-tools-56048-rechargeable-headlamp-with-strap-400-lumen-all-day-runtime-auto-off", "https://edmondsonsupply.com/collections/hvac/products/klein-tools-56048-rechargeable-headlamp-with-strap-400-lumen-all-day-runtime-auto-off")</f>
        <v>https://edmondsonsupply.com/collections/hvac/products/klein-tools-56048-rechargeable-headlamp-with-strap-400-lumen-all-day-runtime-auto-off</v>
      </c>
      <c r="B1657"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1657" t="s">
        <v>1034</v>
      </c>
      <c r="D1657" t="s">
        <v>1216</v>
      </c>
      <c r="E1657" s="3" t="str">
        <f>HYPERLINK("https://www.amazon.com/Klein-Tools-56048-Rechargeable-Adjustable/dp/B08J4H5LCV/ref=sr_1_1?keywords=Klein+Tools+56048+Rechargeable+Headlamp+with+Fabric+Strap%2C+400+Lumens%2C+All-Day+Runtime&amp;qid=1695173659&amp;sr=8-1", "https://www.amazon.com/Klein-Tools-56048-Rechargeable-Adjustable/dp/B08J4H5LCV/ref=sr_1_1?keywords=Klein+Tools+56048+Rechargeable+Headlamp+with+Fabric+Strap%2C+400+Lumens%2C+All-Day+Runtime&amp;qid=1695173659&amp;sr=8-1")</f>
        <v>https://www.amazon.com/Klein-Tools-56048-Rechargeable-Adjustable/dp/B08J4H5LCV/ref=sr_1_1?keywords=Klein+Tools+56048+Rechargeable+Headlamp+with+Fabric+Strap%2C+400+Lumens%2C+All-Day+Runtime&amp;qid=1695173659&amp;sr=8-1</v>
      </c>
      <c r="F1657" t="s">
        <v>1217</v>
      </c>
      <c r="G1657" t="e">
        <f ca="1">_xludf.IMAGE("https://edmondsonsupply.com/cdn/shop/products/56048.jpg?v=1633030457")</f>
        <v>#NAME?</v>
      </c>
      <c r="H1657" t="e">
        <f ca="1">_xludf.IMAGE("https://m.media-amazon.com/images/I/61MIndiWy-L._AC_UL320_.jpg")</f>
        <v>#NAME?</v>
      </c>
      <c r="I1657" t="s">
        <v>246</v>
      </c>
      <c r="J1657">
        <v>39.97</v>
      </c>
      <c r="K1657" s="4">
        <v>0</v>
      </c>
      <c r="L1657">
        <v>4.5999999999999996</v>
      </c>
      <c r="M1657">
        <v>845</v>
      </c>
      <c r="O1657" t="s">
        <v>25</v>
      </c>
      <c r="P1657" t="s">
        <v>1032</v>
      </c>
      <c r="Q1657" t="s">
        <v>1035</v>
      </c>
    </row>
    <row r="1658" spans="1:17" ht="15.5" x14ac:dyDescent="0.35">
      <c r="A1658" s="3" t="str">
        <f>HYPERLINK("https://edmondsonsupply.com/collections/hvac/products/yellow-jacket-21985-plus-ii%E2%84%A2-60-charging-hose-ryb-3-pack-standard-1-4", "https://edmondsonsupply.com/collections/hvac/products/yellow-jacket-21985-plus-ii%E2%84%A2-60-charging-hose-ryb-3-pack-standard-1-4")</f>
        <v>https://edmondsonsupply.com/collections/hvac/products/yellow-jacket-21985-plus-ii%E2%84%A2-60-charging-hose-ryb-3-pack-standard-1-4</v>
      </c>
      <c r="B1658" s="3" t="str">
        <f>HYPERLINK("https://edmondsonsupply.com/products/yellow-jacket-21985-plus-ii%e2%84%a2-60-charging-hose-ryb-3-pack-standard-1-4", "https://edmondsonsupply.com/products/yellow-jacket-21985-plus-ii%e2%84%a2-60-charging-hose-ryb-3-pack-standard-1-4")</f>
        <v>https://edmondsonsupply.com/products/yellow-jacket-21985-plus-ii%e2%84%a2-60-charging-hose-ryb-3-pack-standard-1-4</v>
      </c>
      <c r="C1658" t="s">
        <v>4494</v>
      </c>
      <c r="D1658" t="s">
        <v>4495</v>
      </c>
      <c r="E1658" s="3" t="str">
        <f>HYPERLINK("https://www.amazon.com/Yellow-Jacket-21985-Standard-Fittings/dp/B000R8LM0M/ref=sr_1_2?keywords=Yellow+Jacket+21985+PLUS+II%E2%84%A2+60%22+Charging+Hose+%28RYB%29+3-Pack+-+Standard+1%2F4%22&amp;qid=1695173687&amp;sr=8-2", "https://www.amazon.com/Yellow-Jacket-21985-Standard-Fittings/dp/B000R8LM0M/ref=sr_1_2?keywords=Yellow+Jacket+21985+PLUS+II%E2%84%A2+60%22+Charging+Hose+%28RYB%29+3-Pack+-+Standard+1%2F4%22&amp;qid=1695173687&amp;sr=8-2")</f>
        <v>https://www.amazon.com/Yellow-Jacket-21985-Standard-Fittings/dp/B000R8LM0M/ref=sr_1_2?keywords=Yellow+Jacket+21985+PLUS+II%E2%84%A2+60%22+Charging+Hose+%28RYB%29+3-Pack+-+Standard+1%2F4%22&amp;qid=1695173687&amp;sr=8-2</v>
      </c>
      <c r="F1658" t="s">
        <v>4496</v>
      </c>
      <c r="G1658" t="e">
        <f ca="1">_xludf.IMAGE("https://edmondsonsupply.com/cdn/shop/products/plus-ii-14-charging-hoses-with-double-barrier-protection.jpg?v=1656684986")</f>
        <v>#NAME?</v>
      </c>
      <c r="H1658" t="e">
        <f ca="1">_xludf.IMAGE("https://m.media-amazon.com/images/I/81IR2oiEzUL._AC_UL320_.jpg")</f>
        <v>#NAME?</v>
      </c>
      <c r="I1658" t="s">
        <v>4497</v>
      </c>
      <c r="J1658">
        <v>86.62</v>
      </c>
      <c r="K1658" s="4">
        <v>0</v>
      </c>
      <c r="L1658">
        <v>4.5999999999999996</v>
      </c>
      <c r="M1658">
        <v>288</v>
      </c>
      <c r="O1658" t="s">
        <v>25</v>
      </c>
      <c r="P1658" t="s">
        <v>138</v>
      </c>
      <c r="Q1658" t="s">
        <v>4498</v>
      </c>
    </row>
    <row r="1659" spans="1:17" ht="15.5" x14ac:dyDescent="0.35">
      <c r="A1659" s="3" t="str">
        <f>HYPERLINK("https://edmondsonsupply.com/collections/hvac/products/klein-tools-70550-pro-folding-hex-key-set-11-fractional-inch-sized-keys", "https://edmondsonsupply.com/collections/hvac/products/klein-tools-70550-pro-folding-hex-key-set-11-fractional-inch-sized-keys")</f>
        <v>https://edmondsonsupply.com/collections/hvac/products/klein-tools-70550-pro-folding-hex-key-set-11-fractional-inch-sized-keys</v>
      </c>
      <c r="B1659"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1659" t="s">
        <v>2659</v>
      </c>
      <c r="D1659" t="s">
        <v>4499</v>
      </c>
      <c r="E1659" s="3" t="str">
        <f>HYPERLINK("https://www.amazon.com/Klein-Tools-70550-Folding-Wrench/dp/B07SR11TC4/ref=sr_1_1?keywords=Klein+Tools+70550+Pro+Folding+Hex+Key+Set%2C+11-Key%2C+SAE+Sizes&amp;qid=1695173667&amp;sr=8-1", "https://www.amazon.com/Klein-Tools-70550-Folding-Wrench/dp/B07SR11TC4/ref=sr_1_1?keywords=Klein+Tools+70550+Pro+Folding+Hex+Key+Set%2C+11-Key%2C+SAE+Sizes&amp;qid=1695173667&amp;sr=8-1")</f>
        <v>https://www.amazon.com/Klein-Tools-70550-Folding-Wrench/dp/B07SR11TC4/ref=sr_1_1?keywords=Klein+Tools+70550+Pro+Folding+Hex+Key+Set%2C+11-Key%2C+SAE+Sizes&amp;qid=1695173667&amp;sr=8-1</v>
      </c>
      <c r="F1659" t="s">
        <v>4500</v>
      </c>
      <c r="G1659" t="e">
        <f ca="1">_xludf.IMAGE("https://edmondsonsupply.com/cdn/shop/products/70550.jpg?v=1587145237")</f>
        <v>#NAME?</v>
      </c>
      <c r="H1659" t="e">
        <f ca="1">_xludf.IMAGE("https://m.media-amazon.com/images/I/51WajHtjW+L._AC_UL320_.jpg")</f>
        <v>#NAME?</v>
      </c>
      <c r="I1659" t="s">
        <v>893</v>
      </c>
      <c r="J1659">
        <v>19.97</v>
      </c>
      <c r="K1659" s="4">
        <v>0</v>
      </c>
      <c r="L1659">
        <v>4.8</v>
      </c>
      <c r="M1659">
        <v>5755</v>
      </c>
      <c r="O1659" t="s">
        <v>25</v>
      </c>
      <c r="P1659" t="s">
        <v>2662</v>
      </c>
      <c r="Q1659" t="s">
        <v>2663</v>
      </c>
    </row>
    <row r="1660" spans="1:17" ht="15.5" x14ac:dyDescent="0.35">
      <c r="A1660" s="3" t="str">
        <f>HYPERLINK("https://edmondsonsupply.com/collections/hvac/products/ritchie-yellow-jacket-60667-refrigerant-recovery-pliers", "https://edmondsonsupply.com/collections/hvac/products/ritchie-yellow-jacket-60667-refrigerant-recovery-pliers")</f>
        <v>https://edmondsonsupply.com/collections/hvac/products/ritchie-yellow-jacket-60667-refrigerant-recovery-pliers</v>
      </c>
      <c r="B1660" s="3" t="str">
        <f>HYPERLINK("https://edmondsonsupply.com/products/ritchie-yellow-jacket-60667-refrigerant-recovery-pliers", "https://edmondsonsupply.com/products/ritchie-yellow-jacket-60667-refrigerant-recovery-pliers")</f>
        <v>https://edmondsonsupply.com/products/ritchie-yellow-jacket-60667-refrigerant-recovery-pliers</v>
      </c>
      <c r="C1660" t="s">
        <v>4501</v>
      </c>
      <c r="D1660" t="s">
        <v>4502</v>
      </c>
      <c r="E1660" s="3" t="str">
        <f>HYPERLINK("https://www.amazon.com/YELLOW-JACKET-60667-Refrigerant-Recovery/dp/B008FMBA90/ref=sr_1_1?keywords=Yellow+Jacket+60667+Refrigerant+Recovery+Pliers&amp;qid=1695173686&amp;sr=8-1", "https://www.amazon.com/YELLOW-JACKET-60667-Refrigerant-Recovery/dp/B008FMBA90/ref=sr_1_1?keywords=Yellow+Jacket+60667+Refrigerant+Recovery+Pliers&amp;qid=1695173686&amp;sr=8-1")</f>
        <v>https://www.amazon.com/YELLOW-JACKET-60667-Refrigerant-Recovery/dp/B008FMBA90/ref=sr_1_1?keywords=Yellow+Jacket+60667+Refrigerant+Recovery+Pliers&amp;qid=1695173686&amp;sr=8-1</v>
      </c>
      <c r="F1660" t="s">
        <v>4503</v>
      </c>
      <c r="G1660" t="e">
        <f ca="1">_xludf.IMAGE("https://edmondsonsupply.com/cdn/shop/products/60667.jpg?v=1616109772")</f>
        <v>#NAME?</v>
      </c>
      <c r="H1660" t="e">
        <f ca="1">_xludf.IMAGE("https://m.media-amazon.com/images/I/81Ve6uGsbvL._AC_UL320_.jpg")</f>
        <v>#NAME?</v>
      </c>
      <c r="I1660" t="s">
        <v>4504</v>
      </c>
      <c r="J1660">
        <v>60.87</v>
      </c>
      <c r="K1660" s="4">
        <v>0</v>
      </c>
      <c r="L1660">
        <v>4.5999999999999996</v>
      </c>
      <c r="M1660">
        <v>78</v>
      </c>
      <c r="O1660" t="s">
        <v>25</v>
      </c>
      <c r="P1660" t="s">
        <v>138</v>
      </c>
      <c r="Q1660" t="s">
        <v>4505</v>
      </c>
    </row>
    <row r="1661" spans="1:17" ht="15.5" x14ac:dyDescent="0.35">
      <c r="A1661" s="3" t="str">
        <f>HYPERLINK("https://edmondsonsupply.com/collections/hvac/products/klein-tools-55917-tradesman-pro%E2%84%A2-modular-drill-pouch-with-belt-clip", "https://edmondsonsupply.com/collections/hvac/products/klein-tools-55917-tradesman-pro%E2%84%A2-modular-drill-pouch-with-belt-clip")</f>
        <v>https://edmondsonsupply.com/collections/hvac/products/klein-tools-55917-tradesman-pro%E2%84%A2-modular-drill-pouch-with-belt-clip</v>
      </c>
      <c r="B1661" s="3" t="str">
        <f>HYPERLINK("https://edmondsonsupply.com/products/klein-tools-55917-tradesman-pro%e2%84%a2-modular-drill-pouch-with-belt-clip", "https://edmondsonsupply.com/products/klein-tools-55917-tradesman-pro%e2%84%a2-modular-drill-pouch-with-belt-clip")</f>
        <v>https://edmondsonsupply.com/products/klein-tools-55917-tradesman-pro%e2%84%a2-modular-drill-pouch-with-belt-clip</v>
      </c>
      <c r="C1661" t="s">
        <v>568</v>
      </c>
      <c r="D1661" t="s">
        <v>569</v>
      </c>
      <c r="E1661" s="3" t="str">
        <f>HYPERLINK("https://www.amazon.com/Klein-Tools-55917-Tradesman-Modular/dp/B084X5633G/ref=sr_1_1?keywords=Klein+Tools+55917+Tradesman+Pro%E2%84%A2+Modular+Drill+Pouch+with+Belt+Clip&amp;qid=1695173662&amp;sr=8-1", "https://www.amazon.com/Klein-Tools-55917-Tradesman-Modular/dp/B084X5633G/ref=sr_1_1?keywords=Klein+Tools+55917+Tradesman+Pro%E2%84%A2+Modular+Drill+Pouch+with+Belt+Clip&amp;qid=1695173662&amp;sr=8-1")</f>
        <v>https://www.amazon.com/Klein-Tools-55917-Tradesman-Modular/dp/B084X5633G/ref=sr_1_1?keywords=Klein+Tools+55917+Tradesman+Pro%E2%84%A2+Modular+Drill+Pouch+with+Belt+Clip&amp;qid=1695173662&amp;sr=8-1</v>
      </c>
      <c r="F1661" t="s">
        <v>570</v>
      </c>
      <c r="G1661" t="e">
        <f ca="1">_xludf.IMAGE("https://edmondsonsupply.com/cdn/shop/products/55917.jpg?v=1587143420")</f>
        <v>#NAME?</v>
      </c>
      <c r="H1661" t="e">
        <f ca="1">_xludf.IMAGE("https://m.media-amazon.com/images/I/61kAia47weL._AC_UL320_.jpg")</f>
        <v>#NAME?</v>
      </c>
      <c r="I1661" t="s">
        <v>571</v>
      </c>
      <c r="J1661">
        <v>34.99</v>
      </c>
      <c r="K1661" s="4">
        <v>0</v>
      </c>
      <c r="L1661">
        <v>4.4000000000000004</v>
      </c>
      <c r="M1661">
        <v>636</v>
      </c>
      <c r="O1661" t="s">
        <v>25</v>
      </c>
      <c r="P1661" t="s">
        <v>572</v>
      </c>
      <c r="Q1661" t="s">
        <v>573</v>
      </c>
    </row>
    <row r="1662" spans="1:17" ht="15.5" x14ac:dyDescent="0.35">
      <c r="A1662" s="3" t="str">
        <f>HYPERLINK("https://edmondsonsupply.com/collections/hvac/products/klein-tools-32217-drill-tap-tool-kit-8-piece", "https://edmondsonsupply.com/collections/hvac/products/klein-tools-32217-drill-tap-tool-kit-8-piece")</f>
        <v>https://edmondsonsupply.com/collections/hvac/products/klein-tools-32217-drill-tap-tool-kit-8-piece</v>
      </c>
      <c r="B1662" s="3" t="str">
        <f>HYPERLINK("https://edmondsonsupply.com/products/klein-tools-32217-drill-tap-tool-kit-8-piece", "https://edmondsonsupply.com/products/klein-tools-32217-drill-tap-tool-kit-8-piece")</f>
        <v>https://edmondsonsupply.com/products/klein-tools-32217-drill-tap-tool-kit-8-piece</v>
      </c>
      <c r="C1662" t="s">
        <v>4506</v>
      </c>
      <c r="D1662" t="s">
        <v>4507</v>
      </c>
      <c r="E1662" s="3" t="str">
        <f>HYPERLINK("https://www.amazon.com/Tapping-Connect-Tools-Klein-32217/dp/B00SGMHU7U/ref=sr_1_1?keywords=Klein+Tools+32217+Drill+Tap+Tool+Kit%2C+8-Piece&amp;qid=1695173669&amp;sr=8-1", "https://www.amazon.com/Tapping-Connect-Tools-Klein-32217/dp/B00SGMHU7U/ref=sr_1_1?keywords=Klein+Tools+32217+Drill+Tap+Tool+Kit%2C+8-Piece&amp;qid=1695173669&amp;sr=8-1")</f>
        <v>https://www.amazon.com/Tapping-Connect-Tools-Klein-32217/dp/B00SGMHU7U/ref=sr_1_1?keywords=Klein+Tools+32217+Drill+Tap+Tool+Kit%2C+8-Piece&amp;qid=1695173669&amp;sr=8-1</v>
      </c>
      <c r="F1662" t="s">
        <v>4508</v>
      </c>
      <c r="G1662" t="e">
        <f ca="1">_xludf.IMAGE("https://edmondsonsupply.com/cdn/shop/products/32217.jpg?v=1587150239")</f>
        <v>#NAME?</v>
      </c>
      <c r="H1662" t="e">
        <f ca="1">_xludf.IMAGE("https://m.media-amazon.com/images/I/51y50+-mANL._AC_UL320_.jpg")</f>
        <v>#NAME?</v>
      </c>
      <c r="I1662" t="s">
        <v>1931</v>
      </c>
      <c r="J1662">
        <v>49.99</v>
      </c>
      <c r="K1662" s="4">
        <v>0</v>
      </c>
      <c r="L1662">
        <v>4.5999999999999996</v>
      </c>
      <c r="M1662">
        <v>321</v>
      </c>
      <c r="O1662" t="s">
        <v>25</v>
      </c>
      <c r="P1662" t="s">
        <v>4509</v>
      </c>
      <c r="Q1662" t="s">
        <v>4510</v>
      </c>
    </row>
    <row r="1663" spans="1:17" ht="15.5" x14ac:dyDescent="0.35">
      <c r="A1663" s="3" t="str">
        <f>HYPERLINK("https://edmondsonsupply.com/collections/hvac/products/klein-tools-56380-multi-groove-fiberglass-fish-tape-with-spiral-steel-leader-100-foot", "https://edmondsonsupply.com/collections/hvac/products/klein-tools-56380-multi-groove-fiberglass-fish-tape-with-spiral-steel-leader-100-foot")</f>
        <v>https://edmondsonsupply.com/collections/hvac/products/klein-tools-56380-multi-groove-fiberglass-fish-tape-with-spiral-steel-leader-100-foot</v>
      </c>
      <c r="B1663"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1663" t="s">
        <v>3273</v>
      </c>
      <c r="D1663" t="s">
        <v>4511</v>
      </c>
      <c r="E1663" s="3" t="str">
        <f>HYPERLINK("https://www.amazon.com/Klein-Tools-56380-Multi-Groove-Fiberglass/dp/B0822229DW/ref=sr_1_1?keywords=Klein+Tools+56380+Multi-Groove+Fiberglass+Fish+Tape+with+Spiral+Steel+Leader%2C+100-Foot&amp;qid=1695173661&amp;sr=8-1", "https://www.amazon.com/Klein-Tools-56380-Multi-Groove-Fiberglass/dp/B0822229DW/ref=sr_1_1?keywords=Klein+Tools+56380+Multi-Groove+Fiberglass+Fish+Tape+with+Spiral+Steel+Leader%2C+100-Foot&amp;qid=1695173661&amp;sr=8-1")</f>
        <v>https://www.amazon.com/Klein-Tools-56380-Multi-Groove-Fiberglass/dp/B0822229DW/ref=sr_1_1?keywords=Klein+Tools+56380+Multi-Groove+Fiberglass+Fish+Tape+with+Spiral+Steel+Leader%2C+100-Foot&amp;qid=1695173661&amp;sr=8-1</v>
      </c>
      <c r="F1663" t="s">
        <v>4512</v>
      </c>
      <c r="G1663" t="e">
        <f ca="1">_xludf.IMAGE("https://edmondsonsupply.com/cdn/shop/products/56380.jpg?v=1587147762")</f>
        <v>#NAME?</v>
      </c>
      <c r="H1663" t="e">
        <f ca="1">_xludf.IMAGE("https://m.media-amazon.com/images/I/51m05Po5U+L._AC_UL320_.jpg")</f>
        <v>#NAME?</v>
      </c>
      <c r="I1663" t="s">
        <v>3276</v>
      </c>
      <c r="J1663">
        <v>139.99</v>
      </c>
      <c r="K1663" s="4">
        <v>0</v>
      </c>
      <c r="L1663">
        <v>4.7</v>
      </c>
      <c r="M1663">
        <v>87</v>
      </c>
      <c r="O1663" t="s">
        <v>25</v>
      </c>
      <c r="P1663" t="s">
        <v>3277</v>
      </c>
      <c r="Q1663" t="s">
        <v>3278</v>
      </c>
    </row>
    <row r="1664" spans="1:17" ht="15.5" x14ac:dyDescent="0.35">
      <c r="A1664" s="3" t="str">
        <f>HYPERLINK("https://edmondsonsupply.com/collections/hvac/products/dewalt-dgl573-41-pocket-lighted-technician-s-tool-bag", "https://edmondsonsupply.com/collections/hvac/products/dewalt-dgl573-41-pocket-lighted-technician-s-tool-bag")</f>
        <v>https://edmondsonsupply.com/collections/hvac/products/dewalt-dgl573-41-pocket-lighted-technician-s-tool-bag</v>
      </c>
      <c r="B1664" s="3" t="str">
        <f>HYPERLINK("https://edmondsonsupply.com/products/dewalt-dgl573-41-pocket-lighted-technician-s-tool-bag", "https://edmondsonsupply.com/products/dewalt-dgl573-41-pocket-lighted-technician-s-tool-bag")</f>
        <v>https://edmondsonsupply.com/products/dewalt-dgl573-41-pocket-lighted-technician-s-tool-bag</v>
      </c>
      <c r="C1664" t="s">
        <v>548</v>
      </c>
      <c r="D1664" t="s">
        <v>549</v>
      </c>
      <c r="E1664" s="3" t="str">
        <f>HYPERLINK("https://www.amazon.com/DEWALT-DGL573-Lighted-Technicians-Tool/dp/B00QNTVV6Y/ref=sr_1_1?keywords=CLC+DeWALT+DGL573+41-Pocket+Lighted+Technician%E2%80%99s+Tool+Bag&amp;qid=1695173647&amp;sr=8-1", "https://www.amazon.com/DEWALT-DGL573-Lighted-Technicians-Tool/dp/B00QNTVV6Y/ref=sr_1_1?keywords=CLC+DeWALT+DGL573+41-Pocket+Lighted+Technician%E2%80%99s+Tool+Bag&amp;qid=1695173647&amp;sr=8-1")</f>
        <v>https://www.amazon.com/DEWALT-DGL573-Lighted-Technicians-Tool/dp/B00QNTVV6Y/ref=sr_1_1?keywords=CLC+DeWALT+DGL573+41-Pocket+Lighted+Technician%E2%80%99s+Tool+Bag&amp;qid=1695173647&amp;sr=8-1</v>
      </c>
      <c r="F1664" t="s">
        <v>550</v>
      </c>
      <c r="G1664" t="e">
        <f ca="1">_xludf.IMAGE("https://edmondsonsupply.com/cdn/shop/products/DGL573-1.png?v=1609787804")</f>
        <v>#NAME?</v>
      </c>
      <c r="H1664" t="e">
        <f ca="1">_xludf.IMAGE("https://m.media-amazon.com/images/I/A1ffPzA9uNL._AC_UL320_.jpg")</f>
        <v>#NAME?</v>
      </c>
      <c r="I1664" t="s">
        <v>551</v>
      </c>
      <c r="J1664">
        <v>84.95</v>
      </c>
      <c r="K1664" s="4">
        <v>0</v>
      </c>
      <c r="L1664">
        <v>4.7</v>
      </c>
      <c r="M1664">
        <v>2827</v>
      </c>
      <c r="O1664" t="s">
        <v>25</v>
      </c>
      <c r="P1664" t="s">
        <v>369</v>
      </c>
      <c r="Q1664" t="s">
        <v>552</v>
      </c>
    </row>
    <row r="1665" spans="1:17" ht="15.5" x14ac:dyDescent="0.35">
      <c r="A1665" s="3" t="str">
        <f>HYPERLINK("https://edmondsonsupply.com/collections/hvac/products/yellow-jacket-60475-punch-type-swaging-tool", "https://edmondsonsupply.com/collections/hvac/products/yellow-jacket-60475-punch-type-swaging-tool")</f>
        <v>https://edmondsonsupply.com/collections/hvac/products/yellow-jacket-60475-punch-type-swaging-tool</v>
      </c>
      <c r="B1665" s="3" t="str">
        <f>HYPERLINK("https://edmondsonsupply.com/products/yellow-jacket-60475-punch-type-swaging-tool", "https://edmondsonsupply.com/products/yellow-jacket-60475-punch-type-swaging-tool")</f>
        <v>https://edmondsonsupply.com/products/yellow-jacket-60475-punch-type-swaging-tool</v>
      </c>
      <c r="C1665" t="s">
        <v>4513</v>
      </c>
      <c r="D1665" t="s">
        <v>4514</v>
      </c>
      <c r="E1665" s="3" t="str">
        <f>HYPERLINK("https://www.amazon.com/Yellow-Jacket-60475-swaging-punch/dp/B003ANV9PO/ref=sr_1_1?keywords=Yellow+Jacket+60475+PUNCH-TYPE+SWAGING+TOOL&amp;qid=1695173717&amp;sr=8-1", "https://www.amazon.com/Yellow-Jacket-60475-swaging-punch/dp/B003ANV9PO/ref=sr_1_1?keywords=Yellow+Jacket+60475+PUNCH-TYPE+SWAGING+TOOL&amp;qid=1695173717&amp;sr=8-1")</f>
        <v>https://www.amazon.com/Yellow-Jacket-60475-swaging-punch/dp/B003ANV9PO/ref=sr_1_1?keywords=Yellow+Jacket+60475+PUNCH-TYPE+SWAGING+TOOL&amp;qid=1695173717&amp;sr=8-1</v>
      </c>
      <c r="F1665" t="s">
        <v>4515</v>
      </c>
      <c r="G1665" t="e">
        <f ca="1">_xludf.IMAGE("https://edmondsonsupply.com/cdn/shop/files/punch-type-swaging-tool.jpg?v=1691499219")</f>
        <v>#NAME?</v>
      </c>
      <c r="H1665" t="e">
        <f ca="1">_xludf.IMAGE("https://m.media-amazon.com/images/I/61Fh428aunL._AC_UL320_.jpg")</f>
        <v>#NAME?</v>
      </c>
      <c r="I1665" t="s">
        <v>4516</v>
      </c>
      <c r="J1665">
        <v>47.67</v>
      </c>
      <c r="K1665" s="4">
        <v>0</v>
      </c>
      <c r="L1665">
        <v>4.7</v>
      </c>
      <c r="M1665">
        <v>6</v>
      </c>
      <c r="O1665" t="s">
        <v>25</v>
      </c>
      <c r="P1665" t="s">
        <v>138</v>
      </c>
      <c r="Q1665" t="s">
        <v>4517</v>
      </c>
    </row>
    <row r="1666" spans="1:17" ht="15.5" x14ac:dyDescent="0.35">
      <c r="A1666" s="3" t="str">
        <f>HYPERLINK("https://edmondsonsupply.com/collections/hvac/products/klein-tools-5183-tradesman-pro%E2%84%A2-drill-pouch", "https://edmondsonsupply.com/collections/hvac/products/klein-tools-5183-tradesman-pro%E2%84%A2-drill-pouch")</f>
        <v>https://edmondsonsupply.com/collections/hvac/products/klein-tools-5183-tradesman-pro%E2%84%A2-drill-pouch</v>
      </c>
      <c r="B1666" s="3" t="str">
        <f>HYPERLINK("https://edmondsonsupply.com/products/klein-tools-5183-tradesman-pro%e2%84%a2-drill-pouch", "https://edmondsonsupply.com/products/klein-tools-5183-tradesman-pro%e2%84%a2-drill-pouch")</f>
        <v>https://edmondsonsupply.com/products/klein-tools-5183-tradesman-pro%e2%84%a2-drill-pouch</v>
      </c>
      <c r="C1666" t="s">
        <v>359</v>
      </c>
      <c r="D1666" t="s">
        <v>597</v>
      </c>
      <c r="E1666" s="3" t="str">
        <f>HYPERLINK("https://www.amazon.com/Tradesman-Drill-Klein-Tools-5183/dp/B00MJNFYRU/ref=sr_1_1?keywords=Klein+Tools+5183+Tool+Bag%2C+Tradesman+Pro%E2%84%A2+Drill+Pouch&amp;qid=1695173662&amp;sr=8-1", "https://www.amazon.com/Tradesman-Drill-Klein-Tools-5183/dp/B00MJNFYRU/ref=sr_1_1?keywords=Klein+Tools+5183+Tool+Bag%2C+Tradesman+Pro%E2%84%A2+Drill+Pouch&amp;qid=1695173662&amp;sr=8-1")</f>
        <v>https://www.amazon.com/Tradesman-Drill-Klein-Tools-5183/dp/B00MJNFYRU/ref=sr_1_1?keywords=Klein+Tools+5183+Tool+Bag%2C+Tradesman+Pro%E2%84%A2+Drill+Pouch&amp;qid=1695173662&amp;sr=8-1</v>
      </c>
      <c r="F1666" t="s">
        <v>598</v>
      </c>
      <c r="G1666" t="e">
        <f ca="1">_xludf.IMAGE("https://edmondsonsupply.com/cdn/shop/products/5183.jpg?v=1587145505")</f>
        <v>#NAME?</v>
      </c>
      <c r="H1666" t="e">
        <f ca="1">_xludf.IMAGE("https://m.media-amazon.com/images/I/519CZFYpgDL._AC_UL320_.jpg")</f>
        <v>#NAME?</v>
      </c>
      <c r="I1666" t="s">
        <v>362</v>
      </c>
      <c r="J1666">
        <v>25.99</v>
      </c>
      <c r="K1666" s="4">
        <v>0</v>
      </c>
      <c r="L1666">
        <v>4.5999999999999996</v>
      </c>
      <c r="M1666">
        <v>831</v>
      </c>
      <c r="O1666" t="s">
        <v>25</v>
      </c>
      <c r="P1666" t="s">
        <v>363</v>
      </c>
      <c r="Q1666" t="s">
        <v>364</v>
      </c>
    </row>
    <row r="1667" spans="1:17" ht="15.5" x14ac:dyDescent="0.35">
      <c r="A1667" s="3" t="str">
        <f>HYPERLINK("https://edmondsonsupply.com/collections/hvac/products/channellock-432", "https://edmondsonsupply.com/collections/hvac/products/channellock-432")</f>
        <v>https://edmondsonsupply.com/collections/hvac/products/channellock-432</v>
      </c>
      <c r="B1667" s="3" t="str">
        <f>HYPERLINK("https://edmondsonsupply.com/products/channellock-432", "https://edmondsonsupply.com/products/channellock-432")</f>
        <v>https://edmondsonsupply.com/products/channellock-432</v>
      </c>
      <c r="C1667" t="s">
        <v>2472</v>
      </c>
      <c r="D1667" t="s">
        <v>3573</v>
      </c>
      <c r="E1667" s="3" t="str">
        <f>HYPERLINK("https://www.amazon.com/Channellock-440-12-Inch-Tongue-Groove/dp/B00004SBCU/ref=sr_1_1?keywords=Channellock+440+12%22+Straight+Jaw+Tongue+%26+Groove+Pliers&amp;qid=1695173686&amp;sr=8-1", "https://www.amazon.com/Channellock-440-12-Inch-Tongue-Groove/dp/B00004SBCU/ref=sr_1_1?keywords=Channellock+440+12%22+Straight+Jaw+Tongue+%26+Groove+Pliers&amp;qid=1695173686&amp;sr=8-1")</f>
        <v>https://www.amazon.com/Channellock-440-12-Inch-Tongue-Groove/dp/B00004SBCU/ref=sr_1_1?keywords=Channellock+440+12%22+Straight+Jaw+Tongue+%26+Groove+Pliers&amp;qid=1695173686&amp;sr=8-1</v>
      </c>
      <c r="F1667" t="s">
        <v>3574</v>
      </c>
      <c r="G1667" t="e">
        <f ca="1">_xludf.IMAGE("https://edmondsonsupply.com/cdn/shop/products/440-546x1024.jpg?v=1587148892")</f>
        <v>#NAME?</v>
      </c>
      <c r="H1667" t="e">
        <f ca="1">_xludf.IMAGE("https://m.media-amazon.com/images/I/71FM1bkavsL._AC_UL320_.jpg")</f>
        <v>#NAME?</v>
      </c>
      <c r="I1667" t="s">
        <v>2475</v>
      </c>
      <c r="J1667">
        <v>21.95</v>
      </c>
      <c r="K1667" s="4">
        <v>0</v>
      </c>
      <c r="L1667">
        <v>4.8</v>
      </c>
      <c r="M1667">
        <v>3565</v>
      </c>
      <c r="O1667" t="s">
        <v>25</v>
      </c>
      <c r="P1667" t="s">
        <v>2476</v>
      </c>
      <c r="Q1667" t="s">
        <v>2477</v>
      </c>
    </row>
    <row r="1668" spans="1:17" ht="15.5" x14ac:dyDescent="0.35">
      <c r="A1668" s="3" t="str">
        <f>HYPERLINK("https://edmondsonsupply.com/collections/hvac/products/channellock-8wcb", "https://edmondsonsupply.com/collections/hvac/products/channellock-8wcb")</f>
        <v>https://edmondsonsupply.com/collections/hvac/products/channellock-8wcb</v>
      </c>
      <c r="B1668" s="3" t="str">
        <f>HYPERLINK("https://edmondsonsupply.com/products/channellock-8wcb", "https://edmondsonsupply.com/products/channellock-8wcb")</f>
        <v>https://edmondsonsupply.com/products/channellock-8wcb</v>
      </c>
      <c r="C1668" t="s">
        <v>3038</v>
      </c>
      <c r="D1668" t="s">
        <v>4518</v>
      </c>
      <c r="E1668" s="3" t="str">
        <f>HYPERLINK("https://www.amazon.com/Channellock-8WCB-WideAzz-Adjustable-Opening/dp/B001I70C34/ref=sr_1_1?keywords=Channellock+8WCB+8%22+Code+Blue+WIDEAZZ+Adjustable+Wrench&amp;qid=1695173646&amp;sr=8-1", "https://www.amazon.com/Channellock-8WCB-WideAzz-Adjustable-Opening/dp/B001I70C34/ref=sr_1_1?keywords=Channellock+8WCB+8%22+Code+Blue+WIDEAZZ+Adjustable+Wrench&amp;qid=1695173646&amp;sr=8-1")</f>
        <v>https://www.amazon.com/Channellock-8WCB-WideAzz-Adjustable-Opening/dp/B001I70C34/ref=sr_1_1?keywords=Channellock+8WCB+8%22+Code+Blue+WIDEAZZ+Adjustable+Wrench&amp;qid=1695173646&amp;sr=8-1</v>
      </c>
      <c r="F1668" t="s">
        <v>4519</v>
      </c>
      <c r="G1668" t="e">
        <f ca="1">_xludf.IMAGE("https://edmondsonsupply.com/cdn/shop/products/8WCB-683x1024.jpg?v=1633030324")</f>
        <v>#NAME?</v>
      </c>
      <c r="H1668" t="e">
        <f ca="1">_xludf.IMAGE("https://m.media-amazon.com/images/I/71nT0F6xLwL._AC_UL320_.jpg")</f>
        <v>#NAME?</v>
      </c>
      <c r="I1668" t="s">
        <v>3041</v>
      </c>
      <c r="J1668">
        <v>31.95</v>
      </c>
      <c r="K1668" s="4">
        <v>0</v>
      </c>
      <c r="L1668">
        <v>4.8</v>
      </c>
      <c r="M1668">
        <v>4417</v>
      </c>
      <c r="O1668" t="s">
        <v>25</v>
      </c>
      <c r="P1668" t="s">
        <v>3042</v>
      </c>
      <c r="Q1668" t="s">
        <v>3043</v>
      </c>
    </row>
    <row r="1669" spans="1:17" ht="15.5" x14ac:dyDescent="0.35">
      <c r="A1669" s="3" t="str">
        <f>HYPERLINK("https://edmondsonsupply.com/collections/hvac/products/klein-tools-60185-work-gloves-cut-level-2-touchscreen-large-2-pair", "https://edmondsonsupply.com/collections/hvac/products/klein-tools-60185-work-gloves-cut-level-2-touchscreen-large-2-pair")</f>
        <v>https://edmondsonsupply.com/collections/hvac/products/klein-tools-60185-work-gloves-cut-level-2-touchscreen-large-2-pair</v>
      </c>
      <c r="B1669" s="3" t="str">
        <f>HYPERLINK("https://edmondsonsupply.com/products/klein-tools-60185-work-gloves-cut-level-2-touchscreen-large-2-pair", "https://edmondsonsupply.com/products/klein-tools-60185-work-gloves-cut-level-2-touchscreen-large-2-pair")</f>
        <v>https://edmondsonsupply.com/products/klein-tools-60185-work-gloves-cut-level-2-touchscreen-large-2-pair</v>
      </c>
      <c r="C1669" t="s">
        <v>1208</v>
      </c>
      <c r="D1669" t="s">
        <v>1209</v>
      </c>
      <c r="E1669" s="3" t="str">
        <f>HYPERLINK("https://www.amazon.com/Klein-Gloves-Cut-Resistant-Touchscreen-2-Pair/dp/B088NBRY3M/ref=sr_1_1?keywords=Klein+Tools+60185+Work+Gloves%2C+Cut+Level+2%2C+Touchscreen%2C+Large%2C+2-Pair&amp;qid=1695173649&amp;sr=8-1", "https://www.amazon.com/Klein-Gloves-Cut-Resistant-Touchscreen-2-Pair/dp/B088NBRY3M/ref=sr_1_1?keywords=Klein+Tools+60185+Work+Gloves%2C+Cut+Level+2%2C+Touchscreen%2C+Large%2C+2-Pair&amp;qid=1695173649&amp;sr=8-1")</f>
        <v>https://www.amazon.com/Klein-Gloves-Cut-Resistant-Touchscreen-2-Pair/dp/B088NBRY3M/ref=sr_1_1?keywords=Klein+Tools+60185+Work+Gloves%2C+Cut+Level+2%2C+Touchscreen%2C+Large%2C+2-Pair&amp;qid=1695173649&amp;sr=8-1</v>
      </c>
      <c r="F1669" t="s">
        <v>1210</v>
      </c>
      <c r="G1669" t="e">
        <f ca="1">_xludf.IMAGE("https://edmondsonsupply.com/cdn/shop/products/60185.jpg?v=1633030300")</f>
        <v>#NAME?</v>
      </c>
      <c r="H1669" t="e">
        <f ca="1">_xludf.IMAGE("https://m.media-amazon.com/images/I/71GlG2Zt5fL._AC_UL320_.jpg")</f>
        <v>#NAME?</v>
      </c>
      <c r="I1669" t="s">
        <v>1211</v>
      </c>
      <c r="J1669">
        <v>12.97</v>
      </c>
      <c r="K1669" s="4">
        <v>0</v>
      </c>
      <c r="L1669">
        <v>4.5999999999999996</v>
      </c>
      <c r="M1669">
        <v>135</v>
      </c>
      <c r="O1669" t="s">
        <v>25</v>
      </c>
      <c r="P1669" t="s">
        <v>1212</v>
      </c>
      <c r="Q1669" t="s">
        <v>1213</v>
      </c>
    </row>
    <row r="1670" spans="1:17" ht="15.5" x14ac:dyDescent="0.35">
      <c r="A1670" s="3" t="str">
        <f>HYPERLINK("https://edmondsonsupply.com/collections/hvac/products/klein-tools-55914-tradesman-pro%E2%84%A2-modular-trimming-pouch-with-belt-clip", "https://edmondsonsupply.com/collections/hvac/products/klein-tools-55914-tradesman-pro%E2%84%A2-modular-trimming-pouch-with-belt-clip")</f>
        <v>https://edmondsonsupply.com/collections/hvac/products/klein-tools-55914-tradesman-pro%E2%84%A2-modular-trimming-pouch-with-belt-clip</v>
      </c>
      <c r="B1670" s="3" t="str">
        <f>HYPERLINK("https://edmondsonsupply.com/products/klein-tools-55914-tradesman-pro%e2%84%a2-modular-trimming-pouch-with-belt-clip", "https://edmondsonsupply.com/products/klein-tools-55914-tradesman-pro%e2%84%a2-modular-trimming-pouch-with-belt-clip")</f>
        <v>https://edmondsonsupply.com/products/klein-tools-55914-tradesman-pro%e2%84%a2-modular-trimming-pouch-with-belt-clip</v>
      </c>
      <c r="C1670" t="s">
        <v>559</v>
      </c>
      <c r="D1670" t="s">
        <v>560</v>
      </c>
      <c r="E1670" s="3" t="str">
        <f>HYPERLINK("https://www.amazon.com/Klein-Tools-55914-Tradesman-Trimming/dp/B084WXF7WF/ref=sr_1_1?keywords=Klein+Tools+55914+Tradesman+Pro%E2%84%A2+Modular+Trimming+Pouch+with+Belt+Clip&amp;qid=1695173659&amp;sr=8-1", "https://www.amazon.com/Klein-Tools-55914-Tradesman-Trimming/dp/B084WXF7WF/ref=sr_1_1?keywords=Klein+Tools+55914+Tradesman+Pro%E2%84%A2+Modular+Trimming+Pouch+with+Belt+Clip&amp;qid=1695173659&amp;sr=8-1")</f>
        <v>https://www.amazon.com/Klein-Tools-55914-Tradesman-Trimming/dp/B084WXF7WF/ref=sr_1_1?keywords=Klein+Tools+55914+Tradesman+Pro%E2%84%A2+Modular+Trimming+Pouch+with+Belt+Clip&amp;qid=1695173659&amp;sr=8-1</v>
      </c>
      <c r="F1670" t="s">
        <v>561</v>
      </c>
      <c r="G1670" t="e">
        <f ca="1">_xludf.IMAGE("https://edmondsonsupply.com/cdn/shop/products/55914.jpg?v=1587145266")</f>
        <v>#NAME?</v>
      </c>
      <c r="H1670" t="e">
        <f ca="1">_xludf.IMAGE("https://m.media-amazon.com/images/I/61gt9rhfciL._AC_UL320_.jpg")</f>
        <v>#NAME?</v>
      </c>
      <c r="I1670" t="s">
        <v>26</v>
      </c>
      <c r="J1670">
        <v>29.99</v>
      </c>
      <c r="K1670" s="4">
        <v>0</v>
      </c>
      <c r="L1670">
        <v>4.4000000000000004</v>
      </c>
      <c r="M1670">
        <v>636</v>
      </c>
      <c r="O1670" t="s">
        <v>25</v>
      </c>
      <c r="P1670" t="s">
        <v>562</v>
      </c>
      <c r="Q1670" t="s">
        <v>563</v>
      </c>
    </row>
    <row r="1671" spans="1:17" ht="15.5" x14ac:dyDescent="0.35">
      <c r="A1671" s="3" t="str">
        <f>HYPERLINK("https://edmondsonsupply.com/collections/hvac/products/klein-tools-630m-magnetic-nut-driver-set-3-inch-shafts-2-piece", "https://edmondsonsupply.com/collections/hvac/products/klein-tools-630m-magnetic-nut-driver-set-3-inch-shafts-2-piece")</f>
        <v>https://edmondsonsupply.com/collections/hvac/products/klein-tools-630m-magnetic-nut-driver-set-3-inch-shafts-2-piece</v>
      </c>
      <c r="B1671" s="3" t="str">
        <f>HYPERLINK("https://edmondsonsupply.com/products/klein-tools-630m-magnetic-nut-driver-set-3-inch-shafts-2-piece", "https://edmondsonsupply.com/products/klein-tools-630m-magnetic-nut-driver-set-3-inch-shafts-2-piece")</f>
        <v>https://edmondsonsupply.com/products/klein-tools-630m-magnetic-nut-driver-set-3-inch-shafts-2-piece</v>
      </c>
      <c r="C1671" t="s">
        <v>1690</v>
      </c>
      <c r="D1671" t="s">
        <v>4520</v>
      </c>
      <c r="E1671" s="3" t="str">
        <f>HYPERLINK("https://www.amazon.com/Klein-Tools-Hollow-Magnetic-Driver/dp/B00080FO5I/ref=sr_1_1?keywords=Klein+Tools+630M+Magnetic+Nut+Driver+Set%2C+3-Inch+Shafts%2C+2-Piece&amp;qid=1695173650&amp;sr=8-1", "https://www.amazon.com/Klein-Tools-Hollow-Magnetic-Driver/dp/B00080FO5I/ref=sr_1_1?keywords=Klein+Tools+630M+Magnetic+Nut+Driver+Set%2C+3-Inch+Shafts%2C+2-Piece&amp;qid=1695173650&amp;sr=8-1")</f>
        <v>https://www.amazon.com/Klein-Tools-Hollow-Magnetic-Driver/dp/B00080FO5I/ref=sr_1_1?keywords=Klein+Tools+630M+Magnetic+Nut+Driver+Set%2C+3-Inch+Shafts%2C+2-Piece&amp;qid=1695173650&amp;sr=8-1</v>
      </c>
      <c r="F1671" t="s">
        <v>4521</v>
      </c>
      <c r="G1671" t="e">
        <f ca="1">_xludf.IMAGE("https://edmondsonsupply.com/cdn/shop/products/630m.jpg?v=1587143237")</f>
        <v>#NAME?</v>
      </c>
      <c r="H1671" t="e">
        <f ca="1">_xludf.IMAGE("https://m.media-amazon.com/images/I/41lx1kHoCZL._AC_UL320_.jpg")</f>
        <v>#NAME?</v>
      </c>
      <c r="I1671" t="s">
        <v>1687</v>
      </c>
      <c r="J1671">
        <v>18.989999999999998</v>
      </c>
      <c r="K1671" s="4">
        <v>0</v>
      </c>
      <c r="L1671">
        <v>4.5999999999999996</v>
      </c>
      <c r="M1671">
        <v>451</v>
      </c>
      <c r="O1671" t="s">
        <v>25</v>
      </c>
      <c r="P1671" t="s">
        <v>1693</v>
      </c>
      <c r="Q1671" t="s">
        <v>1694</v>
      </c>
    </row>
    <row r="1672" spans="1:17" ht="15.5" x14ac:dyDescent="0.35">
      <c r="A1672" s="3" t="str">
        <f>HYPERLINK("https://edmondsonsupply.com/collections/hvac/products/copy-of-klein-tools-55918-tradesman-pro%E2%84%A2-modular-tool-belt", "https://edmondsonsupply.com/collections/hvac/products/copy-of-klein-tools-55918-tradesman-pro%E2%84%A2-modular-tool-belt")</f>
        <v>https://edmondsonsupply.com/collections/hvac/products/copy-of-klein-tools-55918-tradesman-pro%E2%84%A2-modular-tool-belt</v>
      </c>
      <c r="B1672"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1672" t="s">
        <v>1873</v>
      </c>
      <c r="D1672" t="s">
        <v>4522</v>
      </c>
      <c r="E1672" s="3" t="str">
        <f>HYPERLINK("https://www.amazon.com/Klein-Tools-55919-Electrician-Modular/dp/B085LPTTKL/ref=sr_1_1?keywords=Klein+Tools+55919+Tradesman+Pro%E2%84%A2+Modular+Tool+Belt+-+L&amp;qid=1695173658&amp;sr=8-1", "https://www.amazon.com/Klein-Tools-55919-Electrician-Modular/dp/B085LPTTKL/ref=sr_1_1?keywords=Klein+Tools+55919+Tradesman+Pro%E2%84%A2+Modular+Tool+Belt+-+L&amp;qid=1695173658&amp;sr=8-1")</f>
        <v>https://www.amazon.com/Klein-Tools-55919-Electrician-Modular/dp/B085LPTTKL/ref=sr_1_1?keywords=Klein+Tools+55919+Tradesman+Pro%E2%84%A2+Modular+Tool+Belt+-+L&amp;qid=1695173658&amp;sr=8-1</v>
      </c>
      <c r="F1672" t="s">
        <v>4523</v>
      </c>
      <c r="G1672" t="e">
        <f ca="1">_xludf.IMAGE("https://edmondsonsupply.com/cdn/shop/products/55919_6b1c1646-91d8-4915-b7bf-b52c8c6994c7.jpg?v=1587143413")</f>
        <v>#NAME?</v>
      </c>
      <c r="H1672" t="e">
        <f ca="1">_xludf.IMAGE("https://m.media-amazon.com/images/I/71Bym1tjK6L._AC_UL320_.jpg")</f>
        <v>#NAME?</v>
      </c>
      <c r="I1672" t="s">
        <v>261</v>
      </c>
      <c r="J1672">
        <v>35.99</v>
      </c>
      <c r="K1672" s="4">
        <v>0</v>
      </c>
      <c r="L1672">
        <v>4.4000000000000004</v>
      </c>
      <c r="M1672">
        <v>636</v>
      </c>
      <c r="O1672" t="s">
        <v>25</v>
      </c>
      <c r="P1672" t="s">
        <v>1876</v>
      </c>
      <c r="Q1672" t="s">
        <v>1877</v>
      </c>
    </row>
    <row r="1673" spans="1:17" ht="15.5" x14ac:dyDescent="0.35">
      <c r="A1673" s="3" t="str">
        <f>HYPERLINK("https://edmondsonsupply.com/collections/hvac/products/klein-tools-et20-wifi-borescope-inspection-camera", "https://edmondsonsupply.com/collections/hvac/products/klein-tools-et20-wifi-borescope-inspection-camera")</f>
        <v>https://edmondsonsupply.com/collections/hvac/products/klein-tools-et20-wifi-borescope-inspection-camera</v>
      </c>
      <c r="B1673" s="3" t="str">
        <f>HYPERLINK("https://edmondsonsupply.com/products/klein-tools-et20-wifi-borescope-inspection-camera", "https://edmondsonsupply.com/products/klein-tools-et20-wifi-borescope-inspection-camera")</f>
        <v>https://edmondsonsupply.com/products/klein-tools-et20-wifi-borescope-inspection-camera</v>
      </c>
      <c r="C1673" t="s">
        <v>3049</v>
      </c>
      <c r="D1673" t="s">
        <v>4524</v>
      </c>
      <c r="E1673" s="3" t="str">
        <f>HYPERLINK("https://www.amazon.com/Klein-Tools-ET20-Rechargeable-Lithium-Ion/dp/B07Q78WXFP/ref=sr_1_1?keywords=Klein+Tools+ET20+WiFi+Borescope+Inspection+Camera&amp;qid=1695173685&amp;sr=8-1", "https://www.amazon.com/Klein-Tools-ET20-Rechargeable-Lithium-Ion/dp/B07Q78WXFP/ref=sr_1_1?keywords=Klein+Tools+ET20+WiFi+Borescope+Inspection+Camera&amp;qid=1695173685&amp;sr=8-1")</f>
        <v>https://www.amazon.com/Klein-Tools-ET20-Rechargeable-Lithium-Ion/dp/B07Q78WXFP/ref=sr_1_1?keywords=Klein+Tools+ET20+WiFi+Borescope+Inspection+Camera&amp;qid=1695173685&amp;sr=8-1</v>
      </c>
      <c r="F1673" t="s">
        <v>4525</v>
      </c>
      <c r="G1673" t="e">
        <f ca="1">_xludf.IMAGE("https://edmondsonsupply.com/cdn/shop/products/et20.jpg?v=1587143169")</f>
        <v>#NAME?</v>
      </c>
      <c r="H1673" t="e">
        <f ca="1">_xludf.IMAGE("https://m.media-amazon.com/images/I/61o+L41lX0L._AC_UY218_.jpg")</f>
        <v>#NAME?</v>
      </c>
      <c r="I1673" t="s">
        <v>2224</v>
      </c>
      <c r="J1673">
        <v>99.99</v>
      </c>
      <c r="K1673" s="4">
        <v>0</v>
      </c>
      <c r="L1673">
        <v>4.3</v>
      </c>
      <c r="M1673">
        <v>365</v>
      </c>
      <c r="O1673" t="s">
        <v>25</v>
      </c>
      <c r="P1673" t="s">
        <v>3052</v>
      </c>
      <c r="Q1673" t="s">
        <v>3053</v>
      </c>
    </row>
    <row r="1674" spans="1:17" ht="15.5" x14ac:dyDescent="0.35">
      <c r="A1674" s="3" t="str">
        <f>HYPERLINK("https://edmondsonsupply.com/collections/hvac/products/klein-tools-60401-hard-hat-vented-full-brim-style", "https://edmondsonsupply.com/collections/hvac/products/klein-tools-60401-hard-hat-vented-full-brim-style")</f>
        <v>https://edmondsonsupply.com/collections/hvac/products/klein-tools-60401-hard-hat-vented-full-brim-style</v>
      </c>
      <c r="B1674" s="3" t="str">
        <f>HYPERLINK("https://edmondsonsupply.com/products/klein-tools-60401-hard-hat-vented-full-brim-style", "https://edmondsonsupply.com/products/klein-tools-60401-hard-hat-vented-full-brim-style")</f>
        <v>https://edmondsonsupply.com/products/klein-tools-60401-hard-hat-vented-full-brim-style</v>
      </c>
      <c r="C1674" t="s">
        <v>943</v>
      </c>
      <c r="D1674" t="s">
        <v>991</v>
      </c>
      <c r="E1674" s="3" t="str">
        <f>HYPERLINK("https://www.amazon.com/Klein-Tools-Hard-Non-vented-Style/dp/B07TQNTCKL/ref=sr_1_1?keywords=Klein+Tools+60401+Hard+Hat%2C+Vented%2C+Full+Brim+Style&amp;qid=1695173675&amp;sr=8-1", "https://www.amazon.com/Klein-Tools-Hard-Non-vented-Style/dp/B07TQNTCKL/ref=sr_1_1?keywords=Klein+Tools+60401+Hard+Hat%2C+Vented%2C+Full+Brim+Style&amp;qid=1695173675&amp;sr=8-1")</f>
        <v>https://www.amazon.com/Klein-Tools-Hard-Non-vented-Style/dp/B07TQNTCKL/ref=sr_1_1?keywords=Klein+Tools+60401+Hard+Hat%2C+Vented%2C+Full+Brim+Style&amp;qid=1695173675&amp;sr=8-1</v>
      </c>
      <c r="F1674" t="s">
        <v>992</v>
      </c>
      <c r="G1674" t="e">
        <f ca="1">_xludf.IMAGE("https://edmondsonsupply.com/cdn/shop/products/60401.jpg?v=1587143271")</f>
        <v>#NAME?</v>
      </c>
      <c r="H1674" t="e">
        <f ca="1">_xludf.IMAGE("https://m.media-amazon.com/images/I/61IcdM8MBnL._AC_UL320_.jpg")</f>
        <v>#NAME?</v>
      </c>
      <c r="I1674" t="s">
        <v>946</v>
      </c>
      <c r="J1674">
        <v>44.99</v>
      </c>
      <c r="K1674" s="4">
        <v>0</v>
      </c>
      <c r="L1674">
        <v>4.7</v>
      </c>
      <c r="M1674">
        <v>358</v>
      </c>
      <c r="O1674" t="s">
        <v>25</v>
      </c>
      <c r="P1674" t="s">
        <v>947</v>
      </c>
      <c r="Q1674" t="s">
        <v>948</v>
      </c>
    </row>
    <row r="1675" spans="1:17" ht="15.5" x14ac:dyDescent="0.35">
      <c r="A1675" s="3" t="str">
        <f>HYPERLINK("https://edmondsonsupply.com/collections/hvac/products/klein-tools-69417-rare-earth-magnetic-meter-hanger", "https://edmondsonsupply.com/collections/hvac/products/klein-tools-69417-rare-earth-magnetic-meter-hanger")</f>
        <v>https://edmondsonsupply.com/collections/hvac/products/klein-tools-69417-rare-earth-magnetic-meter-hanger</v>
      </c>
      <c r="B1675" s="3" t="str">
        <f>HYPERLINK("https://edmondsonsupply.com/products/klein-tools-69417-rare-earth-magnetic-meter-hanger", "https://edmondsonsupply.com/products/klein-tools-69417-rare-earth-magnetic-meter-hanger")</f>
        <v>https://edmondsonsupply.com/products/klein-tools-69417-rare-earth-magnetic-meter-hanger</v>
      </c>
      <c r="C1675" t="s">
        <v>1413</v>
      </c>
      <c r="D1675" t="s">
        <v>4526</v>
      </c>
      <c r="E1675" s="3" t="str">
        <f>HYPERLINK("https://www.amazon.com/Magnetic-Hanger-Klein-Tools-69417/dp/B01B7RBXZ0/ref=sr_1_1?keywords=Klein+Tools+69417+Rare+Earth+Magnetic+Meter+Hanger%2C+with+Strap&amp;qid=1695173681&amp;sr=8-1", "https://www.amazon.com/Magnetic-Hanger-Klein-Tools-69417/dp/B01B7RBXZ0/ref=sr_1_1?keywords=Klein+Tools+69417+Rare+Earth+Magnetic+Meter+Hanger%2C+with+Strap&amp;qid=1695173681&amp;sr=8-1")</f>
        <v>https://www.amazon.com/Magnetic-Hanger-Klein-Tools-69417/dp/B01B7RBXZ0/ref=sr_1_1?keywords=Klein+Tools+69417+Rare+Earth+Magnetic+Meter+Hanger%2C+with+Strap&amp;qid=1695173681&amp;sr=8-1</v>
      </c>
      <c r="F1675" t="s">
        <v>4527</v>
      </c>
      <c r="G1675" t="e">
        <f ca="1">_xludf.IMAGE("https://edmondsonsupply.com/cdn/shop/products/69417.jpg?v=1587150163")</f>
        <v>#NAME?</v>
      </c>
      <c r="H1675" t="e">
        <f ca="1">_xludf.IMAGE("https://m.media-amazon.com/images/I/51yfJbP4XCL._AC_UL320_.jpg")</f>
        <v>#NAME?</v>
      </c>
      <c r="I1675" t="s">
        <v>288</v>
      </c>
      <c r="J1675">
        <v>13.99</v>
      </c>
      <c r="K1675" s="4">
        <v>0</v>
      </c>
      <c r="L1675">
        <v>4.8</v>
      </c>
      <c r="M1675">
        <v>3757</v>
      </c>
      <c r="O1675" t="s">
        <v>25</v>
      </c>
      <c r="P1675" t="s">
        <v>845</v>
      </c>
      <c r="Q1675" t="s">
        <v>1416</v>
      </c>
    </row>
    <row r="1676" spans="1:17" ht="15.5" x14ac:dyDescent="0.35">
      <c r="A1676" s="3" t="str">
        <f>HYPERLINK("https://edmondsonsupply.com/collections/hvac/products/klein-tools-llk12-l-style-hex-key-caddy-set-12-piece-inch", "https://edmondsonsupply.com/collections/hvac/products/klein-tools-llk12-l-style-hex-key-caddy-set-12-piece-inch")</f>
        <v>https://edmondsonsupply.com/collections/hvac/products/klein-tools-llk12-l-style-hex-key-caddy-set-12-piece-inch</v>
      </c>
      <c r="B1676" s="3" t="str">
        <f>HYPERLINK("https://edmondsonsupply.com/products/klein-tools-llk12-l-style-hex-key-caddy-set-12-piece-inch", "https://edmondsonsupply.com/products/klein-tools-llk12-l-style-hex-key-caddy-set-12-piece-inch")</f>
        <v>https://edmondsonsupply.com/products/klein-tools-llk12-l-style-hex-key-caddy-set-12-piece-inch</v>
      </c>
      <c r="C1676" t="s">
        <v>4528</v>
      </c>
      <c r="D1676" t="s">
        <v>4529</v>
      </c>
      <c r="E1676" s="3" t="str">
        <f>HYPERLINK("https://www.amazon.com/L-Style-12-Piece-Klein-Tools-LLK12/dp/B0002RIA0I/ref=sr_1_1?keywords=Klein+Tools+LLK12+L-Style+Hex+Key+Caddy+Set+12-Piece%2C+Inch&amp;qid=1695173643&amp;sr=8-1", "https://www.amazon.com/L-Style-12-Piece-Klein-Tools-LLK12/dp/B0002RIA0I/ref=sr_1_1?keywords=Klein+Tools+LLK12+L-Style+Hex+Key+Caddy+Set+12-Piece%2C+Inch&amp;qid=1695173643&amp;sr=8-1")</f>
        <v>https://www.amazon.com/L-Style-12-Piece-Klein-Tools-LLK12/dp/B0002RIA0I/ref=sr_1_1?keywords=Klein+Tools+LLK12+L-Style+Hex+Key+Caddy+Set+12-Piece%2C+Inch&amp;qid=1695173643&amp;sr=8-1</v>
      </c>
      <c r="F1676" t="s">
        <v>4530</v>
      </c>
      <c r="G1676" t="e">
        <f ca="1">_xludf.IMAGE("https://edmondsonsupply.com/cdn/shop/products/llk12.jpg?v=1633030476")</f>
        <v>#NAME?</v>
      </c>
      <c r="H1676" t="e">
        <f ca="1">_xludf.IMAGE("https://m.media-amazon.com/images/I/612CxDeGVTL._AC_UL320_.jpg")</f>
        <v>#NAME?</v>
      </c>
      <c r="I1676" t="s">
        <v>2337</v>
      </c>
      <c r="J1676">
        <v>11.99</v>
      </c>
      <c r="K1676" s="4">
        <v>0</v>
      </c>
      <c r="L1676">
        <v>4.8</v>
      </c>
      <c r="M1676">
        <v>601</v>
      </c>
      <c r="O1676" t="s">
        <v>25</v>
      </c>
      <c r="P1676" t="s">
        <v>4531</v>
      </c>
      <c r="Q1676" t="s">
        <v>4532</v>
      </c>
    </row>
    <row r="1677" spans="1:17" ht="15.5" x14ac:dyDescent="0.35">
      <c r="A1677" s="3" t="str">
        <f>HYPERLINK("https://edmondsonsupply.com/collections/hvac/products/klein-tools-602-4dd-4-demolition-driver-1-4-keystone", "https://edmondsonsupply.com/collections/hvac/products/klein-tools-602-4dd-4-demolition-driver-1-4-keystone")</f>
        <v>https://edmondsonsupply.com/collections/hvac/products/klein-tools-602-4dd-4-demolition-driver-1-4-keystone</v>
      </c>
      <c r="B1677" s="3" t="str">
        <f>HYPERLINK("https://edmondsonsupply.com/products/klein-tools-602-4dd-4-demolition-driver-1-4-keystone", "https://edmondsonsupply.com/products/klein-tools-602-4dd-4-demolition-driver-1-4-keystone")</f>
        <v>https://edmondsonsupply.com/products/klein-tools-602-4dd-4-demolition-driver-1-4-keystone</v>
      </c>
      <c r="C1677" t="s">
        <v>3736</v>
      </c>
      <c r="D1677" t="s">
        <v>4533</v>
      </c>
      <c r="E1677" s="3" t="str">
        <f>HYPERLINK("https://www.amazon.com/Keystone-Demolition-Klein-Tools-602-4DD/dp/B00B9HIC12/ref=sr_1_1?keywords=Klein+Tools+602-4DD+1%2F4-Inch+Keystone+Demolition+Driver%2C+4-Inch+Shank&amp;qid=1695173678&amp;sr=8-1", "https://www.amazon.com/Keystone-Demolition-Klein-Tools-602-4DD/dp/B00B9HIC12/ref=sr_1_1?keywords=Klein+Tools+602-4DD+1%2F4-Inch+Keystone+Demolition+Driver%2C+4-Inch+Shank&amp;qid=1695173678&amp;sr=8-1")</f>
        <v>https://www.amazon.com/Keystone-Demolition-Klein-Tools-602-4DD/dp/B00B9HIC12/ref=sr_1_1?keywords=Klein+Tools+602-4DD+1%2F4-Inch+Keystone+Demolition+Driver%2C+4-Inch+Shank&amp;qid=1695173678&amp;sr=8-1</v>
      </c>
      <c r="F1677" t="s">
        <v>4534</v>
      </c>
      <c r="G1677" t="e">
        <f ca="1">_xludf.IMAGE("https://edmondsonsupply.com/cdn/shop/products/602-4dd.jpg?v=1587143287")</f>
        <v>#NAME?</v>
      </c>
      <c r="H1677" t="e">
        <f ca="1">_xludf.IMAGE("https://m.media-amazon.com/images/I/41LGnPo9m-L._AC_UL320_.jpg")</f>
        <v>#NAME?</v>
      </c>
      <c r="I1677" t="s">
        <v>252</v>
      </c>
      <c r="J1677">
        <v>15.99</v>
      </c>
      <c r="K1677" s="4">
        <v>0</v>
      </c>
      <c r="L1677">
        <v>4.8</v>
      </c>
      <c r="M1677">
        <v>996</v>
      </c>
      <c r="O1677" t="s">
        <v>25</v>
      </c>
      <c r="P1677" t="s">
        <v>3739</v>
      </c>
      <c r="Q1677" t="s">
        <v>3740</v>
      </c>
    </row>
    <row r="1678" spans="1:17" ht="15.5" x14ac:dyDescent="0.35">
      <c r="A1678" s="3" t="str">
        <f>HYPERLINK("https://edmondsonsupply.com/collections/hvac/products/fieldpiece-vp67-6-cfm-vacuum-pump", "https://edmondsonsupply.com/collections/hvac/products/fieldpiece-vp67-6-cfm-vacuum-pump")</f>
        <v>https://edmondsonsupply.com/collections/hvac/products/fieldpiece-vp67-6-cfm-vacuum-pump</v>
      </c>
      <c r="B1678" s="3" t="str">
        <f>HYPERLINK("https://edmondsonsupply.com/products/fieldpiece-vp67-6-cfm-vacuum-pump", "https://edmondsonsupply.com/products/fieldpiece-vp67-6-cfm-vacuum-pump")</f>
        <v>https://edmondsonsupply.com/products/fieldpiece-vp67-6-cfm-vacuum-pump</v>
      </c>
      <c r="C1678" t="s">
        <v>4535</v>
      </c>
      <c r="D1678" t="s">
        <v>4536</v>
      </c>
      <c r="E1678" s="3" t="str">
        <f>HYPERLINK("https://www.amazon.com/Fieldpiece-VP67-Dual-Stage-Vacuum/dp/B099JKH31V/ref=sr_1_1?keywords=Fieldpiece+VP67+%E2%80%93+6+CFM+Vacuum+Pump&amp;qid=1695173526&amp;sr=8-1", "https://www.amazon.com/Fieldpiece-VP67-Dual-Stage-Vacuum/dp/B099JKH31V/ref=sr_1_1?keywords=Fieldpiece+VP67+%E2%80%93+6+CFM+Vacuum+Pump&amp;qid=1695173526&amp;sr=8-1")</f>
        <v>https://www.amazon.com/Fieldpiece-VP67-Dual-Stage-Vacuum/dp/B099JKH31V/ref=sr_1_1?keywords=Fieldpiece+VP67+%E2%80%93+6+CFM+Vacuum+Pump&amp;qid=1695173526&amp;sr=8-1</v>
      </c>
      <c r="F1678" t="s">
        <v>4537</v>
      </c>
      <c r="G1678" t="e">
        <f ca="1">_xludf.IMAGE("https://edmondsonsupply.com/cdn/shop/products/VP67-02-300dpi-scaled.jpg?v=1633031057")</f>
        <v>#NAME?</v>
      </c>
      <c r="H1678" t="e">
        <f ca="1">_xludf.IMAGE("https://m.media-amazon.com/images/I/51HCAHIjFDL._AC_UL320_.jpg")</f>
        <v>#NAME?</v>
      </c>
      <c r="I1678" t="s">
        <v>4538</v>
      </c>
      <c r="J1678">
        <v>453.9</v>
      </c>
      <c r="K1678" s="4">
        <v>0</v>
      </c>
      <c r="L1678">
        <v>4.8</v>
      </c>
      <c r="M1678">
        <v>165</v>
      </c>
      <c r="O1678" t="s">
        <v>25</v>
      </c>
      <c r="P1678" t="s">
        <v>4539</v>
      </c>
      <c r="Q1678" t="s">
        <v>4540</v>
      </c>
    </row>
    <row r="1679" spans="1:17" ht="15.5" x14ac:dyDescent="0.35">
      <c r="A1679" s="3" t="str">
        <f>HYPERLINK("https://edmondsonsupply.com/collections/hvac/products/klein-tools-et450-advanced-circuit-tracer-kit", "https://edmondsonsupply.com/collections/hvac/products/klein-tools-et450-advanced-circuit-tracer-kit")</f>
        <v>https://edmondsonsupply.com/collections/hvac/products/klein-tools-et450-advanced-circuit-tracer-kit</v>
      </c>
      <c r="B1679" s="3" t="str">
        <f>HYPERLINK("https://edmondsonsupply.com/products/klein-tools-et450-advanced-circuit-tracer-kit", "https://edmondsonsupply.com/products/klein-tools-et450-advanced-circuit-tracer-kit")</f>
        <v>https://edmondsonsupply.com/products/klein-tools-et450-advanced-circuit-tracer-kit</v>
      </c>
      <c r="C1679" t="s">
        <v>2849</v>
      </c>
      <c r="D1679" t="s">
        <v>4541</v>
      </c>
      <c r="E1679" s="3" t="str">
        <f>HYPERLINK("https://www.amazon.com/Klein-Tools-ET450-Energized-Non-Energized/dp/B09XG38XLP/ref=sr_1_1?keywords=Klein+Tools+ET450+Advanced+Circuit+Tracer+Kit&amp;qid=1695173503&amp;sr=8-1", "https://www.amazon.com/Klein-Tools-ET450-Energized-Non-Energized/dp/B09XG38XLP/ref=sr_1_1?keywords=Klein+Tools+ET450+Advanced+Circuit+Tracer+Kit&amp;qid=1695173503&amp;sr=8-1")</f>
        <v>https://www.amazon.com/Klein-Tools-ET450-Energized-Non-Energized/dp/B09XG38XLP/ref=sr_1_1?keywords=Klein+Tools+ET450+Advanced+Circuit+Tracer+Kit&amp;qid=1695173503&amp;sr=8-1</v>
      </c>
      <c r="F1679" t="s">
        <v>4542</v>
      </c>
      <c r="G1679" t="e">
        <f ca="1">_xludf.IMAGE("https://edmondsonsupply.com/cdn/shop/products/et450.jpg?v=1660165248")</f>
        <v>#NAME?</v>
      </c>
      <c r="H1679" t="e">
        <f ca="1">_xludf.IMAGE("https://m.media-amazon.com/images/I/71DaXgIbaFL._AC_UL320_.jpg")</f>
        <v>#NAME?</v>
      </c>
      <c r="I1679" t="s">
        <v>759</v>
      </c>
      <c r="J1679">
        <v>239.99</v>
      </c>
      <c r="K1679" s="4">
        <v>0</v>
      </c>
      <c r="L1679">
        <v>4.7</v>
      </c>
      <c r="M1679">
        <v>484</v>
      </c>
      <c r="O1679" t="s">
        <v>25</v>
      </c>
      <c r="P1679" t="s">
        <v>2852</v>
      </c>
      <c r="Q1679" t="s">
        <v>2853</v>
      </c>
    </row>
    <row r="1680" spans="1:17" ht="15.5" x14ac:dyDescent="0.35">
      <c r="A1680" s="3" t="str">
        <f>HYPERLINK("https://edmondsonsupply.com/collections/hvac/products/klein-tools-44218-cable-skinning-utility-knife-w-replaceable-blade", "https://edmondsonsupply.com/collections/hvac/products/klein-tools-44218-cable-skinning-utility-knife-w-replaceable-blade")</f>
        <v>https://edmondsonsupply.com/collections/hvac/products/klein-tools-44218-cable-skinning-utility-knife-w-replaceable-blade</v>
      </c>
      <c r="B1680" s="3" t="str">
        <f>HYPERLINK("https://edmondsonsupply.com/products/klein-tools-44218-cable-skinning-utility-knife-w-replaceable-blade", "https://edmondsonsupply.com/products/klein-tools-44218-cable-skinning-utility-knife-w-replaceable-blade")</f>
        <v>https://edmondsonsupply.com/products/klein-tools-44218-cable-skinning-utility-knife-w-replaceable-blade</v>
      </c>
      <c r="C1680" t="s">
        <v>4543</v>
      </c>
      <c r="D1680" t="s">
        <v>4139</v>
      </c>
      <c r="E1680" s="3" t="str">
        <f>HYPERLINK("https://www.amazon.com/Replaceable-Mechanism-Klein-Tools-44218/dp/B071YR1Q2L/ref=sr_1_1?keywords=Klein+Tools+44218+Cable+Skinning+Utility+Knife+w%2FReplaceable+Blade&amp;qid=1695173479&amp;sr=8-1", "https://www.amazon.com/Replaceable-Mechanism-Klein-Tools-44218/dp/B071YR1Q2L/ref=sr_1_1?keywords=Klein+Tools+44218+Cable+Skinning+Utility+Knife+w%2FReplaceable+Blade&amp;qid=1695173479&amp;sr=8-1")</f>
        <v>https://www.amazon.com/Replaceable-Mechanism-Klein-Tools-44218/dp/B071YR1Q2L/ref=sr_1_1?keywords=Klein+Tools+44218+Cable+Skinning+Utility+Knife+w%2FReplaceable+Blade&amp;qid=1695173479&amp;sr=8-1</v>
      </c>
      <c r="F1680" t="s">
        <v>4140</v>
      </c>
      <c r="G1680" t="e">
        <f ca="1">_xludf.IMAGE("https://edmondsonsupply.com/cdn/shop/products/44218.jpg?v=1587145352")</f>
        <v>#NAME?</v>
      </c>
      <c r="H1680" t="e">
        <f ca="1">_xludf.IMAGE("https://m.media-amazon.com/images/I/41ToQfPYPnL._AC_UL320_.jpg")</f>
        <v>#NAME?</v>
      </c>
      <c r="I1680" t="s">
        <v>2247</v>
      </c>
      <c r="J1680">
        <v>21.97</v>
      </c>
      <c r="K1680" s="4">
        <v>0</v>
      </c>
      <c r="L1680">
        <v>4.8</v>
      </c>
      <c r="M1680">
        <v>3348</v>
      </c>
      <c r="O1680" t="s">
        <v>25</v>
      </c>
      <c r="P1680" t="s">
        <v>4544</v>
      </c>
      <c r="Q1680" t="s">
        <v>4545</v>
      </c>
    </row>
    <row r="1681" spans="1:17" ht="15.5" x14ac:dyDescent="0.35">
      <c r="A1681"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1681"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1681" t="s">
        <v>2546</v>
      </c>
      <c r="D1681" t="s">
        <v>4546</v>
      </c>
      <c r="E1681" s="3" t="str">
        <f>HYPERLINK("https://www.amazon.com/Yellow-Jacket-42005-Color-Coded-Clamshell/dp/B0039KNRF8/ref=sr_1_9?keywords=Yellow+Jacket+42001+Series+41+Manifold+Only%2C+3-1%2F8%22+Gauges+-+R-22+%2F+404A+%2F+410A&amp;qid=1695173491&amp;sr=8-9", "https://www.amazon.com/Yellow-Jacket-42005-Color-Coded-Clamshell/dp/B0039KNRF8/ref=sr_1_9?keywords=Yellow+Jacket+42001+Series+41+Manifold+Only%2C+3-1%2F8%22+Gauges+-+R-22+%2F+404A+%2F+410A&amp;qid=1695173491&amp;sr=8-9")</f>
        <v>https://www.amazon.com/Yellow-Jacket-42005-Color-Coded-Clamshell/dp/B0039KNRF8/ref=sr_1_9?keywords=Yellow+Jacket+42001+Series+41+Manifold+Only%2C+3-1%2F8%22+Gauges+-+R-22+%2F+404A+%2F+410A&amp;qid=1695173491&amp;sr=8-9</v>
      </c>
      <c r="F1681" t="s">
        <v>4547</v>
      </c>
      <c r="G1681" t="e">
        <f ca="1">_xludf.IMAGE("https://edmondsonsupply.com/cdn/shop/products/series-41-manifolds-with-318-gauges.jpg?v=1633030025")</f>
        <v>#NAME?</v>
      </c>
      <c r="H1681" t="e">
        <f ca="1">_xludf.IMAGE("https://m.media-amazon.com/images/I/910tT+sL1gL._AC_UL320_.jpg")</f>
        <v>#NAME?</v>
      </c>
      <c r="I1681" t="s">
        <v>2549</v>
      </c>
      <c r="J1681">
        <v>97.77</v>
      </c>
      <c r="K1681" s="4">
        <v>0</v>
      </c>
      <c r="L1681">
        <v>4.5999999999999996</v>
      </c>
      <c r="M1681">
        <v>71</v>
      </c>
      <c r="O1681" t="s">
        <v>25</v>
      </c>
      <c r="P1681" t="s">
        <v>138</v>
      </c>
      <c r="Q1681" t="s">
        <v>2550</v>
      </c>
    </row>
    <row r="1682" spans="1:17" ht="15.5" x14ac:dyDescent="0.35">
      <c r="A1682"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1682" s="3" t="str">
        <f>HYPERLINK("https://edmondsonsupply.com/products/klein-tools-935dag-digital-angle-gauge-and-level", "https://edmondsonsupply.com/products/klein-tools-935dag-digital-angle-gauge-and-level")</f>
        <v>https://edmondsonsupply.com/products/klein-tools-935dag-digital-angle-gauge-and-level</v>
      </c>
      <c r="C1682" t="s">
        <v>1924</v>
      </c>
      <c r="D1682" t="s">
        <v>4548</v>
      </c>
      <c r="E1682" s="3" t="str">
        <f>HYPERLINK("https://www.amazon.com/Klein-Tools-935DAG-Electronic-Measures/dp/B07ZWW3BW5/ref=sr_1_1?keywords=Klein+Tools+935DAG+Digital+Angle+Gauge+and+Level&amp;qid=1695173564&amp;sr=8-1", "https://www.amazon.com/Klein-Tools-935DAG-Electronic-Measures/dp/B07ZWW3BW5/ref=sr_1_1?keywords=Klein+Tools+935DAG+Digital+Angle+Gauge+and+Level&amp;qid=1695173564&amp;sr=8-1")</f>
        <v>https://www.amazon.com/Klein-Tools-935DAG-Electronic-Measures/dp/B07ZWW3BW5/ref=sr_1_1?keywords=Klein+Tools+935DAG+Digital+Angle+Gauge+and+Level&amp;qid=1695173564&amp;sr=8-1</v>
      </c>
      <c r="F1682" t="s">
        <v>4549</v>
      </c>
      <c r="G1682" t="e">
        <f ca="1">_xludf.IMAGE("https://edmondsonsupply.com/cdn/shop/products/935dag.jpg?v=1587145032")</f>
        <v>#NAME?</v>
      </c>
      <c r="H1682" t="e">
        <f ca="1">_xludf.IMAGE("https://m.media-amazon.com/images/I/61Dwz1IuUgL._AC_UL320_.jpg")</f>
        <v>#NAME?</v>
      </c>
      <c r="I1682" t="s">
        <v>824</v>
      </c>
      <c r="J1682">
        <v>29.97</v>
      </c>
      <c r="K1682" s="4">
        <v>0</v>
      </c>
      <c r="L1682">
        <v>4.8</v>
      </c>
      <c r="M1682">
        <v>13054</v>
      </c>
      <c r="O1682" t="s">
        <v>25</v>
      </c>
      <c r="P1682" t="s">
        <v>73</v>
      </c>
      <c r="Q1682" t="s">
        <v>1927</v>
      </c>
    </row>
    <row r="1683" spans="1:17" ht="15.5" x14ac:dyDescent="0.35">
      <c r="A1683"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1683"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1683" t="s">
        <v>2546</v>
      </c>
      <c r="D1683" t="s">
        <v>4550</v>
      </c>
      <c r="E1683" s="3" t="str">
        <f>HYPERLINK("https://www.amazon.com/Yellow-Jacket-42021-Color-Coded-Clamshell/dp/B0039L0LGU/ref=sr_1_6?keywords=Yellow+Jacket+42001+Series+41+Manifold+Only%2C+3-1%2F8%22+Gauges+-+R-22+%2F+404A+%2F+410A&amp;qid=1695173491&amp;sr=8-6", "https://www.amazon.com/Yellow-Jacket-42021-Color-Coded-Clamshell/dp/B0039L0LGU/ref=sr_1_6?keywords=Yellow+Jacket+42001+Series+41+Manifold+Only%2C+3-1%2F8%22+Gauges+-+R-22+%2F+404A+%2F+410A&amp;qid=1695173491&amp;sr=8-6")</f>
        <v>https://www.amazon.com/Yellow-Jacket-42021-Color-Coded-Clamshell/dp/B0039L0LGU/ref=sr_1_6?keywords=Yellow+Jacket+42001+Series+41+Manifold+Only%2C+3-1%2F8%22+Gauges+-+R-22+%2F+404A+%2F+410A&amp;qid=1695173491&amp;sr=8-6</v>
      </c>
      <c r="F1683" t="s">
        <v>4551</v>
      </c>
      <c r="G1683" t="e">
        <f ca="1">_xludf.IMAGE("https://edmondsonsupply.com/cdn/shop/products/series-41-manifolds-with-318-gauges.jpg?v=1633030025")</f>
        <v>#NAME?</v>
      </c>
      <c r="H1683" t="e">
        <f ca="1">_xludf.IMAGE("https://m.media-amazon.com/images/I/81DHnljZasL._AC_UL320_.jpg")</f>
        <v>#NAME?</v>
      </c>
      <c r="I1683" t="s">
        <v>2549</v>
      </c>
      <c r="J1683">
        <v>97.77</v>
      </c>
      <c r="K1683" s="4">
        <v>0</v>
      </c>
      <c r="L1683">
        <v>4.4000000000000004</v>
      </c>
      <c r="M1683">
        <v>14</v>
      </c>
      <c r="O1683" t="s">
        <v>25</v>
      </c>
      <c r="P1683" t="s">
        <v>138</v>
      </c>
      <c r="Q1683" t="s">
        <v>2550</v>
      </c>
    </row>
    <row r="1684" spans="1:17" ht="15.5" x14ac:dyDescent="0.35">
      <c r="A1684" s="3" t="str">
        <f>HYPERLINK("https://edmondsonsupply.com/collections/hvac/products/wiha-tools-70486-6-piece-color-coded-magnetic-nut-setter-sae-set", "https://edmondsonsupply.com/collections/hvac/products/wiha-tools-70486-6-piece-color-coded-magnetic-nut-setter-sae-set")</f>
        <v>https://edmondsonsupply.com/collections/hvac/products/wiha-tools-70486-6-piece-color-coded-magnetic-nut-setter-sae-set</v>
      </c>
      <c r="B1684"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1684" t="s">
        <v>1625</v>
      </c>
      <c r="D1684" t="s">
        <v>4552</v>
      </c>
      <c r="E1684" s="3" t="str">
        <f>HYPERLINK("https://www.amazon.com/Wiha-70487-Magnetic-Setter-Metric/dp/B0BJYV5CKN/ref=sr_1_3?keywords=Wiha+Tools+70486+6+Piece+Color+Coded+Magnetic+Nut+Setter+SAE+Set&amp;qid=1695173732&amp;sr=8-3", "https://www.amazon.com/Wiha-70487-Magnetic-Setter-Metric/dp/B0BJYV5CKN/ref=sr_1_3?keywords=Wiha+Tools+70486+6+Piece+Color+Coded+Magnetic+Nut+Setter+SAE+Set&amp;qid=1695173732&amp;sr=8-3")</f>
        <v>https://www.amazon.com/Wiha-70487-Magnetic-Setter-Metric/dp/B0BJYV5CKN/ref=sr_1_3?keywords=Wiha+Tools+70486+6+Piece+Color+Coded+Magnetic+Nut+Setter+SAE+Set&amp;qid=1695173732&amp;sr=8-3</v>
      </c>
      <c r="F1684" t="s">
        <v>4553</v>
      </c>
      <c r="G1684" t="e">
        <f ca="1">_xludf.IMAGE("https://edmondsonsupply.com/cdn/shop/files/yd5nbnqyuwli1mnwhztl_1000x_327efac2-5e06-44b8-a018-f96fc21e85ad.webp?v=1690908507")</f>
        <v>#NAME?</v>
      </c>
      <c r="H1684" t="e">
        <f ca="1">_xludf.IMAGE("https://m.media-amazon.com/images/I/71ukMY3HPtL._AC_UL320_.jpg")</f>
        <v>#NAME?</v>
      </c>
      <c r="I1684" t="s">
        <v>1628</v>
      </c>
      <c r="J1684">
        <v>39.979999999999997</v>
      </c>
      <c r="K1684" s="4">
        <v>0</v>
      </c>
      <c r="L1684">
        <v>4.5999999999999996</v>
      </c>
      <c r="M1684">
        <v>143</v>
      </c>
      <c r="O1684" t="s">
        <v>25</v>
      </c>
      <c r="P1684" t="s">
        <v>1629</v>
      </c>
      <c r="Q1684" t="s">
        <v>1630</v>
      </c>
    </row>
    <row r="1685" spans="1:17" ht="15.5" x14ac:dyDescent="0.35">
      <c r="A1685" s="3" t="str">
        <f>HYPERLINK("https://edmondsonsupply.com/collections/hvac/products/klein-tools-jth6e11-3-16-inch-hex-key-journeyman-t-handle-6-inch", "https://edmondsonsupply.com/collections/hvac/products/klein-tools-jth6e11-3-16-inch-hex-key-journeyman-t-handle-6-inch")</f>
        <v>https://edmondsonsupply.com/collections/hvac/products/klein-tools-jth6e11-3-16-inch-hex-key-journeyman-t-handle-6-inch</v>
      </c>
      <c r="B1685"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1685" t="s">
        <v>2391</v>
      </c>
      <c r="D1685" t="s">
        <v>4554</v>
      </c>
      <c r="E1685" s="3" t="str">
        <f>HYPERLINK("https://www.amazon.com/Journeyman-T-Handle-Klein-Tools-JTH6E11/dp/B004N5WF56/ref=sr_1_1?keywords=Klein+Tools+JTH6E11+3%2F16-Inch+Hex+Key%2C+Journeyman+T-Handle%2C+6-Inch&amp;qid=1695173553&amp;sr=8-1", "https://www.amazon.com/Journeyman-T-Handle-Klein-Tools-JTH6E11/dp/B004N5WF56/ref=sr_1_1?keywords=Klein+Tools+JTH6E11+3%2F16-Inch+Hex+Key%2C+Journeyman+T-Handle%2C+6-Inch&amp;qid=1695173553&amp;sr=8-1")</f>
        <v>https://www.amazon.com/Journeyman-T-Handle-Klein-Tools-JTH6E11/dp/B004N5WF56/ref=sr_1_1?keywords=Klein+Tools+JTH6E11+3%2F16-Inch+Hex+Key%2C+Journeyman+T-Handle%2C+6-Inch&amp;qid=1695173553&amp;sr=8-1</v>
      </c>
      <c r="F1685" t="s">
        <v>4555</v>
      </c>
      <c r="G1685" t="e">
        <f ca="1">_xludf.IMAGE("https://edmondsonsupply.com/cdn/shop/products/jth6e15_0266106d-0a3b-44ba-997b-66db7749d83f.jpg?v=1587144829")</f>
        <v>#NAME?</v>
      </c>
      <c r="H1685" t="e">
        <f ca="1">_xludf.IMAGE("https://m.media-amazon.com/images/I/51Yb8h41vLL._AC_UL320_.jpg")</f>
        <v>#NAME?</v>
      </c>
      <c r="I1685" t="s">
        <v>2388</v>
      </c>
      <c r="J1685">
        <v>4.99</v>
      </c>
      <c r="K1685" s="4">
        <v>0</v>
      </c>
      <c r="L1685">
        <v>4.8</v>
      </c>
      <c r="M1685">
        <v>2479</v>
      </c>
      <c r="O1685" t="s">
        <v>25</v>
      </c>
      <c r="P1685" t="s">
        <v>2392</v>
      </c>
      <c r="Q1685" t="s">
        <v>2393</v>
      </c>
    </row>
    <row r="1686" spans="1:17" ht="15.5" x14ac:dyDescent="0.35">
      <c r="A1686" s="3" t="str">
        <f>HYPERLINK("https://edmondsonsupply.com/collections/hvac/products/wiha-tools-70486-6-piece-color-coded-magnetic-nut-setter-sae-set", "https://edmondsonsupply.com/collections/hvac/products/wiha-tools-70486-6-piece-color-coded-magnetic-nut-setter-sae-set")</f>
        <v>https://edmondsonsupply.com/collections/hvac/products/wiha-tools-70486-6-piece-color-coded-magnetic-nut-setter-sae-set</v>
      </c>
      <c r="B1686"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1686" t="s">
        <v>1625</v>
      </c>
      <c r="D1686" t="s">
        <v>4556</v>
      </c>
      <c r="E1686" s="3" t="str">
        <f>HYPERLINK("https://www.amazon.com/Wiha-70486-Color-Coded-Setter/dp/B07MPK4Z4X/ref=sr_1_1?keywords=Wiha+Tools+70486+6+Piece+Color+Coded+Magnetic+Nut+Setter+SAE+Set&amp;qid=1695173732&amp;sr=8-1", "https://www.amazon.com/Wiha-70486-Color-Coded-Setter/dp/B07MPK4Z4X/ref=sr_1_1?keywords=Wiha+Tools+70486+6+Piece+Color+Coded+Magnetic+Nut+Setter+SAE+Set&amp;qid=1695173732&amp;sr=8-1")</f>
        <v>https://www.amazon.com/Wiha-70486-Color-Coded-Setter/dp/B07MPK4Z4X/ref=sr_1_1?keywords=Wiha+Tools+70486+6+Piece+Color+Coded+Magnetic+Nut+Setter+SAE+Set&amp;qid=1695173732&amp;sr=8-1</v>
      </c>
      <c r="F1686" t="s">
        <v>4557</v>
      </c>
      <c r="G1686" t="e">
        <f ca="1">_xludf.IMAGE("https://edmondsonsupply.com/cdn/shop/files/yd5nbnqyuwli1mnwhztl_1000x_327efac2-5e06-44b8-a018-f96fc21e85ad.webp?v=1690908507")</f>
        <v>#NAME?</v>
      </c>
      <c r="H1686" t="e">
        <f ca="1">_xludf.IMAGE("https://m.media-amazon.com/images/I/61s54c6bMYL._AC_UL320_.jpg")</f>
        <v>#NAME?</v>
      </c>
      <c r="I1686" t="s">
        <v>1628</v>
      </c>
      <c r="J1686">
        <v>39.979999999999997</v>
      </c>
      <c r="K1686" s="4">
        <v>0</v>
      </c>
      <c r="L1686">
        <v>4.7</v>
      </c>
      <c r="M1686">
        <v>2073</v>
      </c>
      <c r="O1686" t="s">
        <v>25</v>
      </c>
      <c r="P1686" t="s">
        <v>1629</v>
      </c>
      <c r="Q1686" t="s">
        <v>1630</v>
      </c>
    </row>
    <row r="1687" spans="1:17" ht="15.5" x14ac:dyDescent="0.35">
      <c r="A1687" s="3" t="str">
        <f>HYPERLINK("https://edmondsonsupply.com/collections/hvac/products/ritchie-yellow-jacket-93600-bullet%E2%84%A2-7-cfm-vacuum-pump", "https://edmondsonsupply.com/collections/hvac/products/ritchie-yellow-jacket-93600-bullet%E2%84%A2-7-cfm-vacuum-pump")</f>
        <v>https://edmondsonsupply.com/collections/hvac/products/ritchie-yellow-jacket-93600-bullet%E2%84%A2-7-cfm-vacuum-pump</v>
      </c>
      <c r="B1687" s="3" t="str">
        <f>HYPERLINK("https://edmondsonsupply.com/products/ritchie-yellow-jacket-93600-bullet%e2%84%a2-7-cfm-vacuum-pump", "https://edmondsonsupply.com/products/ritchie-yellow-jacket-93600-bullet%e2%84%a2-7-cfm-vacuum-pump")</f>
        <v>https://edmondsonsupply.com/products/ritchie-yellow-jacket-93600-bullet%e2%84%a2-7-cfm-vacuum-pump</v>
      </c>
      <c r="C1687" t="s">
        <v>4558</v>
      </c>
      <c r="D1687" t="s">
        <v>2909</v>
      </c>
      <c r="E1687" s="3" t="str">
        <f>HYPERLINK("https://www.amazon.com/YELLOW-JACKET-93600-Bullet-Single/dp/B007ID2BKE/ref=sr_1_1?keywords=Yellow+Jacket+93600+BULLET%C2%AEX+7+CFM+Vacuum+Pump&amp;qid=1695173569&amp;sr=8-1", "https://www.amazon.com/YELLOW-JACKET-93600-Bullet-Single/dp/B007ID2BKE/ref=sr_1_1?keywords=Yellow+Jacket+93600+BULLET%C2%AEX+7+CFM+Vacuum+Pump&amp;qid=1695173569&amp;sr=8-1")</f>
        <v>https://www.amazon.com/YELLOW-JACKET-93600-Bullet-Single/dp/B007ID2BKE/ref=sr_1_1?keywords=Yellow+Jacket+93600+BULLET%C2%AEX+7+CFM+Vacuum+Pump&amp;qid=1695173569&amp;sr=8-1</v>
      </c>
      <c r="F1687" t="s">
        <v>2910</v>
      </c>
      <c r="G1687" t="e">
        <f ca="1">_xludf.IMAGE("https://edmondsonsupply.com/cdn/shop/products/93600-Bullet-Vacuum-Pump-ANGLE-RGB-5x5-1.jpg?v=1633030034")</f>
        <v>#NAME?</v>
      </c>
      <c r="H1687" t="e">
        <f ca="1">_xludf.IMAGE("https://m.media-amazon.com/images/I/615RV1bqJ5S._AC_UL320_.jpg")</f>
        <v>#NAME?</v>
      </c>
      <c r="I1687" t="s">
        <v>4559</v>
      </c>
      <c r="J1687">
        <v>533.94000000000005</v>
      </c>
      <c r="K1687" s="4">
        <v>0</v>
      </c>
      <c r="L1687">
        <v>4.3</v>
      </c>
      <c r="M1687">
        <v>34</v>
      </c>
      <c r="O1687" t="s">
        <v>25</v>
      </c>
      <c r="P1687" t="s">
        <v>138</v>
      </c>
      <c r="Q1687" t="s">
        <v>4560</v>
      </c>
    </row>
    <row r="1688" spans="1:17" ht="15.5" x14ac:dyDescent="0.35">
      <c r="A1688" s="3" t="str">
        <f>HYPERLINK("https://edmondsonsupply.com/collections/hvac/products/fieldpiece-jl3pc", "https://edmondsonsupply.com/collections/hvac/products/fieldpiece-jl3pc")</f>
        <v>https://edmondsonsupply.com/collections/hvac/products/fieldpiece-jl3pc</v>
      </c>
      <c r="B1688" s="3" t="str">
        <f>HYPERLINK("https://edmondsonsupply.com/products/fieldpiece-jl3pc", "https://edmondsonsupply.com/products/fieldpiece-jl3pc")</f>
        <v>https://edmondsonsupply.com/products/fieldpiece-jl3pc</v>
      </c>
      <c r="C1688" t="s">
        <v>4561</v>
      </c>
      <c r="D1688" t="s">
        <v>4562</v>
      </c>
      <c r="E1688" s="3" t="str">
        <f>HYPERLINK("https://www.amazon.com/Fieldpiece-JL3PC-Premium-Clamp-Probe/dp/B07DNKNFB2/ref=sr_1_1?keywords=Fieldpiece+JL3PC+Job+Link%C2%AE+System+Premium+Pipe+Clamp+Probe&amp;qid=1695173571&amp;sr=8-1", "https://www.amazon.com/Fieldpiece-JL3PC-Premium-Clamp-Probe/dp/B07DNKNFB2/ref=sr_1_1?keywords=Fieldpiece+JL3PC+Job+Link%C2%AE+System+Premium+Pipe+Clamp+Probe&amp;qid=1695173571&amp;sr=8-1")</f>
        <v>https://www.amazon.com/Fieldpiece-JL3PC-Premium-Clamp-Probe/dp/B07DNKNFB2/ref=sr_1_1?keywords=Fieldpiece+JL3PC+Job+Link%C2%AE+System+Premium+Pipe+Clamp+Probe&amp;qid=1695173571&amp;sr=8-1</v>
      </c>
      <c r="F1688" t="s">
        <v>4563</v>
      </c>
      <c r="G1688" t="e">
        <f ca="1">_xludf.IMAGE("https://edmondsonsupply.com/cdn/shop/products/JL3PC-SRC-Product-300dpi.jpg?v=1633030078")</f>
        <v>#NAME?</v>
      </c>
      <c r="H1688" t="e">
        <f ca="1">_xludf.IMAGE("https://m.media-amazon.com/images/I/31SmfIrf99L._AC_UY218_.jpg")</f>
        <v>#NAME?</v>
      </c>
      <c r="I1688" t="s">
        <v>2269</v>
      </c>
      <c r="J1688">
        <v>121.55</v>
      </c>
      <c r="K1688" s="4">
        <v>0</v>
      </c>
      <c r="L1688">
        <v>4.5999999999999996</v>
      </c>
      <c r="M1688">
        <v>159</v>
      </c>
      <c r="O1688" t="s">
        <v>25</v>
      </c>
      <c r="P1688" t="s">
        <v>2270</v>
      </c>
      <c r="Q1688" t="s">
        <v>4564</v>
      </c>
    </row>
    <row r="1689" spans="1:17" ht="15.5" x14ac:dyDescent="0.35">
      <c r="A1689" s="3" t="str">
        <f>HYPERLINK("https://edmondsonsupply.com/collections/hvac/products/ritchie-yellow-jacket-68802-digital-electronic-charging-scale-110-lb", "https://edmondsonsupply.com/collections/hvac/products/ritchie-yellow-jacket-68802-digital-electronic-charging-scale-110-lb")</f>
        <v>https://edmondsonsupply.com/collections/hvac/products/ritchie-yellow-jacket-68802-digital-electronic-charging-scale-110-lb</v>
      </c>
      <c r="B1689" s="3" t="str">
        <f>HYPERLINK("https://edmondsonsupply.com/products/ritchie-yellow-jacket-68802-digital-electronic-charging-scale-110-lb", "https://edmondsonsupply.com/products/ritchie-yellow-jacket-68802-digital-electronic-charging-scale-110-lb")</f>
        <v>https://edmondsonsupply.com/products/ritchie-yellow-jacket-68802-digital-electronic-charging-scale-110-lb</v>
      </c>
      <c r="C1689" t="s">
        <v>4565</v>
      </c>
      <c r="D1689" t="s">
        <v>4566</v>
      </c>
      <c r="E1689" s="3" t="str">
        <f>HYPERLINK("https://www.amazon.com/YELLOW-68802-Digital-Electronic-Charging/dp/B008FMBOM8/ref=sr_1_1?keywords=Yellow+Jacket+68802+Digital+Electronic+Charging+Scales%2C+110+lb&amp;qid=1695173488&amp;sr=8-1", "https://www.amazon.com/YELLOW-68802-Digital-Electronic-Charging/dp/B008FMBOM8/ref=sr_1_1?keywords=Yellow+Jacket+68802+Digital+Electronic+Charging+Scales%2C+110+lb&amp;qid=1695173488&amp;sr=8-1")</f>
        <v>https://www.amazon.com/YELLOW-68802-Digital-Electronic-Charging/dp/B008FMBOM8/ref=sr_1_1?keywords=Yellow+Jacket+68802+Digital+Electronic+Charging+Scales%2C+110+lb&amp;qid=1695173488&amp;sr=8-1</v>
      </c>
      <c r="F1689" t="s">
        <v>4567</v>
      </c>
      <c r="G1689" t="e">
        <f ca="1">_xludf.IMAGE("https://edmondsonsupply.com/cdn/shop/products/digital-electronic-charging-scales.jpg?v=1633030035")</f>
        <v>#NAME?</v>
      </c>
      <c r="H1689" t="e">
        <f ca="1">_xludf.IMAGE("https://m.media-amazon.com/images/I/41AItNaQ8BL._AC_UY218_.jpg")</f>
        <v>#NAME?</v>
      </c>
      <c r="I1689" t="s">
        <v>4568</v>
      </c>
      <c r="J1689">
        <v>388.88</v>
      </c>
      <c r="K1689" s="4">
        <v>0</v>
      </c>
      <c r="L1689">
        <v>1</v>
      </c>
      <c r="M1689">
        <v>1</v>
      </c>
      <c r="O1689" t="s">
        <v>25</v>
      </c>
      <c r="P1689" t="s">
        <v>138</v>
      </c>
      <c r="Q1689" t="s">
        <v>4569</v>
      </c>
    </row>
    <row r="1690" spans="1:17" ht="15.5" x14ac:dyDescent="0.35">
      <c r="A1690" s="3" t="str">
        <f>HYPERLINK("https://edmondsonsupply.com/collections/hvac/products/fieldpiece-jl3pr", "https://edmondsonsupply.com/collections/hvac/products/fieldpiece-jl3pr")</f>
        <v>https://edmondsonsupply.com/collections/hvac/products/fieldpiece-jl3pr</v>
      </c>
      <c r="B1690" s="3" t="str">
        <f>HYPERLINK("https://edmondsonsupply.com/products/fieldpiece-jl3pr", "https://edmondsonsupply.com/products/fieldpiece-jl3pr")</f>
        <v>https://edmondsonsupply.com/products/fieldpiece-jl3pr</v>
      </c>
      <c r="C1690" t="s">
        <v>2266</v>
      </c>
      <c r="D1690" t="s">
        <v>4570</v>
      </c>
      <c r="E1690" s="3" t="str">
        <f>HYPERLINK("https://www.amazon.com/Fieldpiece-JL3PR-Pressure-Remote-Logging/dp/B07DNK7Q3J/ref=sr_1_1?keywords=Fieldpiece+JL3PR+Job+Link%C2%AE+System+Pressure+Probe&amp;qid=1695173486&amp;sr=8-1", "https://www.amazon.com/Fieldpiece-JL3PR-Pressure-Remote-Logging/dp/B07DNK7Q3J/ref=sr_1_1?keywords=Fieldpiece+JL3PR+Job+Link%C2%AE+System+Pressure+Probe&amp;qid=1695173486&amp;sr=8-1")</f>
        <v>https://www.amazon.com/Fieldpiece-JL3PR-Pressure-Remote-Logging/dp/B07DNK7Q3J/ref=sr_1_1?keywords=Fieldpiece+JL3PR+Job+Link%C2%AE+System+Pressure+Probe&amp;qid=1695173486&amp;sr=8-1</v>
      </c>
      <c r="F1690" t="s">
        <v>4571</v>
      </c>
      <c r="G1690" t="e">
        <f ca="1">_xludf.IMAGE("https://edmondsonsupply.com/cdn/shop/products/JL3PR-SCR-Product.jpg?v=1633030078")</f>
        <v>#NAME?</v>
      </c>
      <c r="H1690" t="e">
        <f ca="1">_xludf.IMAGE("https://m.media-amazon.com/images/I/319+Dh8fBFL._AC_UY218_.jpg")</f>
        <v>#NAME?</v>
      </c>
      <c r="I1690" t="s">
        <v>2269</v>
      </c>
      <c r="J1690">
        <v>121.55</v>
      </c>
      <c r="K1690" s="4">
        <v>0</v>
      </c>
      <c r="L1690">
        <v>4.8</v>
      </c>
      <c r="M1690">
        <v>119</v>
      </c>
      <c r="O1690" t="s">
        <v>25</v>
      </c>
      <c r="P1690" t="s">
        <v>2270</v>
      </c>
      <c r="Q1690" t="s">
        <v>2271</v>
      </c>
    </row>
    <row r="1691" spans="1:17" ht="15.5" x14ac:dyDescent="0.35">
      <c r="A1691"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691" s="3" t="str">
        <f>HYPERLINK("https://edmondsonsupply.com/products/klein-tools-11053-klein-kurve%c2%ae-wire-stripper-cutter", "https://edmondsonsupply.com/products/klein-tools-11053-klein-kurve%c2%ae-wire-stripper-cutter")</f>
        <v>https://edmondsonsupply.com/products/klein-tools-11053-klein-kurve%c2%ae-wire-stripper-cutter</v>
      </c>
      <c r="C1691" t="s">
        <v>2285</v>
      </c>
      <c r="D1691" t="s">
        <v>4572</v>
      </c>
      <c r="E1691" s="3" t="str">
        <f>HYPERLINK("https://www.amazon.com/Klein-Tools-1019-Connectors-Terminals/dp/B07GFYBW4V/ref=sr_1_8?keywords=Klein+Tools+11053+Klein-Kurve%C2%AE+Wire+Stripper%2FCutter&amp;qid=1695173476&amp;sr=8-8", "https://www.amazon.com/Klein-Tools-1019-Connectors-Terminals/dp/B07GFYBW4V/ref=sr_1_8?keywords=Klein+Tools+11053+Klein-Kurve%C2%AE+Wire+Stripper%2FCutter&amp;qid=1695173476&amp;sr=8-8")</f>
        <v>https://www.amazon.com/Klein-Tools-1019-Connectors-Terminals/dp/B07GFYBW4V/ref=sr_1_8?keywords=Klein+Tools+11053+Klein-Kurve%C2%AE+Wire+Stripper%2FCutter&amp;qid=1695173476&amp;sr=8-8</v>
      </c>
      <c r="F1691" t="s">
        <v>4573</v>
      </c>
      <c r="G1691" t="e">
        <f ca="1">_xludf.IMAGE("https://edmondsonsupply.com/cdn/shop/products/11053.jpg?v=1633030511")</f>
        <v>#NAME?</v>
      </c>
      <c r="H1691" t="e">
        <f ca="1">_xludf.IMAGE("https://m.media-amazon.com/images/I/41CdFsk2lFL._AC_UL320_.jpg")</f>
        <v>#NAME?</v>
      </c>
      <c r="I1691" t="s">
        <v>2288</v>
      </c>
      <c r="J1691">
        <v>20.97</v>
      </c>
      <c r="K1691" s="4">
        <v>0</v>
      </c>
      <c r="L1691">
        <v>4.7</v>
      </c>
      <c r="M1691">
        <v>1802</v>
      </c>
      <c r="O1691" t="s">
        <v>25</v>
      </c>
      <c r="P1691" t="s">
        <v>2289</v>
      </c>
      <c r="Q1691" t="s">
        <v>2290</v>
      </c>
    </row>
    <row r="1692" spans="1:17" ht="15.5" x14ac:dyDescent="0.35">
      <c r="A1692" s="3" t="str">
        <f>HYPERLINK("https://edmondsonsupply.com/collections/hvac/products/inficon-d-tek-3", "https://edmondsonsupply.com/collections/hvac/products/inficon-d-tek-3")</f>
        <v>https://edmondsonsupply.com/collections/hvac/products/inficon-d-tek-3</v>
      </c>
      <c r="B1692" s="3" t="str">
        <f>HYPERLINK("https://edmondsonsupply.com/products/inficon-d-tek-3", "https://edmondsonsupply.com/products/inficon-d-tek-3")</f>
        <v>https://edmondsonsupply.com/products/inficon-d-tek-3</v>
      </c>
      <c r="C1692" t="s">
        <v>2260</v>
      </c>
      <c r="D1692" t="s">
        <v>4574</v>
      </c>
      <c r="E1692" s="3" t="str">
        <f>HYPERLINK("https://www.amazon.com/Inficon-D-TEK-Refrigerant-Leak-Detector/dp/B08XLCV4W3/ref=sr_1_1?keywords=Inficon+D-TEK%C2%AE+3+Refrigerant+Leak+Detector&amp;qid=1695173442&amp;sr=8-1", "https://www.amazon.com/Inficon-D-TEK-Refrigerant-Leak-Detector/dp/B08XLCV4W3/ref=sr_1_1?keywords=Inficon+D-TEK%C2%AE+3+Refrigerant+Leak+Detector&amp;qid=1695173442&amp;sr=8-1")</f>
        <v>https://www.amazon.com/Inficon-D-TEK-Refrigerant-Leak-Detector/dp/B08XLCV4W3/ref=sr_1_1?keywords=Inficon+D-TEK%C2%AE+3+Refrigerant+Leak+Detector&amp;qid=1695173442&amp;sr=8-1</v>
      </c>
      <c r="F1692" t="s">
        <v>4575</v>
      </c>
      <c r="G1692" t="e">
        <f ca="1">_xludf.IMAGE("https://edmondsonsupply.com/cdn/shop/products/dtek3.png?v=1633030772")</f>
        <v>#NAME?</v>
      </c>
      <c r="H1692" t="e">
        <f ca="1">_xludf.IMAGE("https://m.media-amazon.com/images/I/61a4oqJbxGL._AC_UL320_.jpg")</f>
        <v>#NAME?</v>
      </c>
      <c r="I1692" t="s">
        <v>2263</v>
      </c>
      <c r="J1692">
        <v>516.99</v>
      </c>
      <c r="K1692" s="4">
        <v>0</v>
      </c>
      <c r="L1692">
        <v>4.4000000000000004</v>
      </c>
      <c r="M1692">
        <v>10</v>
      </c>
      <c r="O1692" t="s">
        <v>25</v>
      </c>
      <c r="P1692" t="s">
        <v>2264</v>
      </c>
      <c r="Q1692" t="s">
        <v>2265</v>
      </c>
    </row>
    <row r="1693" spans="1:17" ht="15.5" x14ac:dyDescent="0.35">
      <c r="A1693"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693" s="3" t="str">
        <f>HYPERLINK("https://edmondsonsupply.com/products/klein-tools-11053-klein-kurve%c2%ae-wire-stripper-cutter", "https://edmondsonsupply.com/products/klein-tools-11053-klein-kurve%c2%ae-wire-stripper-cutter")</f>
        <v>https://edmondsonsupply.com/products/klein-tools-11053-klein-kurve%c2%ae-wire-stripper-cutter</v>
      </c>
      <c r="C1693" t="s">
        <v>2285</v>
      </c>
      <c r="D1693" t="s">
        <v>4576</v>
      </c>
      <c r="E1693" s="3" t="str">
        <f>HYPERLINK("https://www.amazon.com/Klein-Kurve-Stripper-Klein-Tools-11053/dp/B000MKH0YC/ref=sr_1_1?keywords=Klein+Tools+11053+Klein-Kurve%C2%AE+Wire+Stripper%2FCutter&amp;qid=1695173476&amp;sr=8-1", "https://www.amazon.com/Klein-Kurve-Stripper-Klein-Tools-11053/dp/B000MKH0YC/ref=sr_1_1?keywords=Klein+Tools+11053+Klein-Kurve%C2%AE+Wire+Stripper%2FCutter&amp;qid=1695173476&amp;sr=8-1")</f>
        <v>https://www.amazon.com/Klein-Kurve-Stripper-Klein-Tools-11053/dp/B000MKH0YC/ref=sr_1_1?keywords=Klein+Tools+11053+Klein-Kurve%C2%AE+Wire+Stripper%2FCutter&amp;qid=1695173476&amp;sr=8-1</v>
      </c>
      <c r="F1693" t="s">
        <v>4577</v>
      </c>
      <c r="G1693" t="e">
        <f ca="1">_xludf.IMAGE("https://edmondsonsupply.com/cdn/shop/products/11053.jpg?v=1633030511")</f>
        <v>#NAME?</v>
      </c>
      <c r="H1693" t="e">
        <f ca="1">_xludf.IMAGE("https://m.media-amazon.com/images/I/51eHDSucYhL._AC_UL320_.jpg")</f>
        <v>#NAME?</v>
      </c>
      <c r="I1693" t="s">
        <v>2288</v>
      </c>
      <c r="J1693">
        <v>20.97</v>
      </c>
      <c r="K1693" s="4">
        <v>0</v>
      </c>
      <c r="L1693">
        <v>4.8</v>
      </c>
      <c r="M1693">
        <v>2989</v>
      </c>
      <c r="O1693" t="s">
        <v>25</v>
      </c>
      <c r="P1693" t="s">
        <v>2289</v>
      </c>
      <c r="Q1693" t="s">
        <v>2290</v>
      </c>
    </row>
    <row r="1694" spans="1:17" ht="15.5" x14ac:dyDescent="0.35">
      <c r="A1694" s="3" t="str">
        <f>HYPERLINK("https://edmondsonsupply.com/collections/hvac/products/yellow-jacket-40860-p51-860-titan-digital-manifold", "https://edmondsonsupply.com/collections/hvac/products/yellow-jacket-40860-p51-860-titan-digital-manifold")</f>
        <v>https://edmondsonsupply.com/collections/hvac/products/yellow-jacket-40860-p51-860-titan-digital-manifold</v>
      </c>
      <c r="B1694" s="3" t="str">
        <f>HYPERLINK("https://edmondsonsupply.com/products/yellow-jacket-40860-p51-860-titan-digital-manifold", "https://edmondsonsupply.com/products/yellow-jacket-40860-p51-860-titan-digital-manifold")</f>
        <v>https://edmondsonsupply.com/products/yellow-jacket-40860-p51-860-titan-digital-manifold</v>
      </c>
      <c r="C1694" t="s">
        <v>2778</v>
      </c>
      <c r="D1694" t="s">
        <v>4578</v>
      </c>
      <c r="E1694" s="3" t="str">
        <f>HYPERLINK("https://www.amazon.com/Yellow-Jacket-P51-860-Digital-Manifold/dp/B07DPSLBYQ/ref=sr_1_1?keywords=Yellow+Jacket+40860+P51-860+Titan+Digital+Manifold&amp;qid=1695173577&amp;sr=8-1", "https://www.amazon.com/Yellow-Jacket-P51-860-Digital-Manifold/dp/B07DPSLBYQ/ref=sr_1_1?keywords=Yellow+Jacket+40860+P51-860+Titan+Digital+Manifold&amp;qid=1695173577&amp;sr=8-1")</f>
        <v>https://www.amazon.com/Yellow-Jacket-P51-860-Digital-Manifold/dp/B07DPSLBYQ/ref=sr_1_1?keywords=Yellow+Jacket+40860+P51-860+Titan+Digital+Manifold&amp;qid=1695173577&amp;sr=8-1</v>
      </c>
      <c r="F1694" t="s">
        <v>4579</v>
      </c>
      <c r="G1694" t="e">
        <f ca="1">_xludf.IMAGE("https://edmondsonsupply.com/cdn/shop/products/40860_1200x1200_9028ad62-78fb-466e-98e0-f5ac110d1c57.jpg?v=1587150764")</f>
        <v>#NAME?</v>
      </c>
      <c r="H1694" t="e">
        <f ca="1">_xludf.IMAGE("https://m.media-amazon.com/images/I/61BGfweBAvL._AC_UY218_.jpg")</f>
        <v>#NAME?</v>
      </c>
      <c r="I1694" t="s">
        <v>2781</v>
      </c>
      <c r="J1694">
        <v>508.65</v>
      </c>
      <c r="K1694" s="4">
        <v>0</v>
      </c>
      <c r="L1694">
        <v>4</v>
      </c>
      <c r="M1694">
        <v>24</v>
      </c>
      <c r="O1694" t="s">
        <v>25</v>
      </c>
      <c r="P1694" t="s">
        <v>138</v>
      </c>
      <c r="Q1694" t="s">
        <v>2782</v>
      </c>
    </row>
    <row r="1695" spans="1:17" ht="15.5" x14ac:dyDescent="0.35">
      <c r="A1695" s="3" t="str">
        <f>HYPERLINK("https://edmondsonsupply.com/collections/hvac/products/klein-tools-k12065cr-klein-kurve%C2%AE-heavy-duty-wire-stripper-crimper-8-20-awg", "https://edmondsonsupply.com/collections/hvac/products/klein-tools-k12065cr-klein-kurve%C2%AE-heavy-duty-wire-stripper-crimper-8-20-awg")</f>
        <v>https://edmondsonsupply.com/collections/hvac/products/klein-tools-k12065cr-klein-kurve%C2%AE-heavy-duty-wire-stripper-crimper-8-20-awg</v>
      </c>
      <c r="B1695"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1695" t="s">
        <v>3174</v>
      </c>
      <c r="D1695" t="s">
        <v>4580</v>
      </c>
      <c r="E1695" s="3" t="str">
        <f>HYPERLINK("https://www.amazon.com/Heavy-Stripper-Cutter-Crimper-Multi/dp/B08BX9RTPX/ref=sr_1_2?keywords=Klein+Tools+K12065CR+Klein-Kurve%C2%AE+Heavy-Duty+Wire+Stripper+%2F+Cutter+%2F+Crimper+Multi+Tool%2C+8-20+AWG&amp;qid=1695173475&amp;sr=8-2", "https://www.amazon.com/Heavy-Stripper-Cutter-Crimper-Multi/dp/B08BX9RTPX/ref=sr_1_2?keywords=Klein+Tools+K12065CR+Klein-Kurve%C2%AE+Heavy-Duty+Wire+Stripper+%2F+Cutter+%2F+Crimper+Multi+Tool%2C+8-20+AWG&amp;qid=1695173475&amp;sr=8-2")</f>
        <v>https://www.amazon.com/Heavy-Stripper-Cutter-Crimper-Multi/dp/B08BX9RTPX/ref=sr_1_2?keywords=Klein+Tools+K12065CR+Klein-Kurve%C2%AE+Heavy-Duty+Wire+Stripper+%2F+Cutter+%2F+Crimper+Multi+Tool%2C+8-20+AWG&amp;qid=1695173475&amp;sr=8-2</v>
      </c>
      <c r="F1695" t="s">
        <v>4581</v>
      </c>
      <c r="G1695" t="e">
        <f ca="1">_xludf.IMAGE("https://edmondsonsupply.com/cdn/shop/products/k12065cr_b.jpg?v=1650066835")</f>
        <v>#NAME?</v>
      </c>
      <c r="H1695" t="e">
        <f ca="1">_xludf.IMAGE("https://m.media-amazon.com/images/I/51Oylu1vHoL._AC_UL320_.jpg")</f>
        <v>#NAME?</v>
      </c>
      <c r="I1695" t="s">
        <v>246</v>
      </c>
      <c r="J1695">
        <v>39.97</v>
      </c>
      <c r="K1695" s="4">
        <v>0</v>
      </c>
      <c r="L1695">
        <v>4.7</v>
      </c>
      <c r="M1695">
        <v>726</v>
      </c>
      <c r="O1695" t="s">
        <v>25</v>
      </c>
      <c r="P1695" t="s">
        <v>3177</v>
      </c>
      <c r="Q1695" t="s">
        <v>3178</v>
      </c>
    </row>
    <row r="1696" spans="1:17" ht="15.5" x14ac:dyDescent="0.35">
      <c r="A1696" s="3" t="str">
        <f>HYPERLINK("https://edmondsonsupply.com/collections/hvac/products/klein-tools-s6hb-grip-it%E2%84%A2-strap-wrench-1-1-2-to-4-inch-6-inch-handle", "https://edmondsonsupply.com/collections/hvac/products/klein-tools-s6hb-grip-it%E2%84%A2-strap-wrench-1-1-2-to-4-inch-6-inch-handle")</f>
        <v>https://edmondsonsupply.com/collections/hvac/products/klein-tools-s6hb-grip-it%E2%84%A2-strap-wrench-1-1-2-to-4-inch-6-inch-handle</v>
      </c>
      <c r="B1696" s="3" t="str">
        <f>HYPERLINK("https://edmondsonsupply.com/products/klein-tools-s6hb-grip-it%e2%84%a2-strap-wrench-1-1-2-to-4-inch-6-inch-handle", "https://edmondsonsupply.com/products/klein-tools-s6hb-grip-it%e2%84%a2-strap-wrench-1-1-2-to-4-inch-6-inch-handle")</f>
        <v>https://edmondsonsupply.com/products/klein-tools-s6hb-grip-it%e2%84%a2-strap-wrench-1-1-2-to-4-inch-6-inch-handle</v>
      </c>
      <c r="C1696" t="s">
        <v>4582</v>
      </c>
      <c r="D1696" t="s">
        <v>4583</v>
      </c>
      <c r="E1696" s="3" t="str">
        <f>HYPERLINK("https://www.amazon.com/Klein-Tools-S6HB-Adjustable-Adjusts/dp/B0BN4K6NJ3/ref=sr_1_1?keywords=Klein+Tools+S6HB+Grip-It%E2%84%A2+Strap+Wrench%2C+1-1%2F2+to+4-Inch%2C+6-Inch+Handle&amp;qid=1695173748&amp;sr=8-1", "https://www.amazon.com/Klein-Tools-S6HB-Adjustable-Adjusts/dp/B0BN4K6NJ3/ref=sr_1_1?keywords=Klein+Tools+S6HB+Grip-It%E2%84%A2+Strap+Wrench%2C+1-1%2F2+to+4-Inch%2C+6-Inch+Handle&amp;qid=1695173748&amp;sr=8-1")</f>
        <v>https://www.amazon.com/Klein-Tools-S6HB-Adjustable-Adjusts/dp/B0BN4K6NJ3/ref=sr_1_1?keywords=Klein+Tools+S6HB+Grip-It%E2%84%A2+Strap+Wrench%2C+1-1%2F2+to+4-Inch%2C+6-Inch+Handle&amp;qid=1695173748&amp;sr=8-1</v>
      </c>
      <c r="F1696" t="s">
        <v>4584</v>
      </c>
      <c r="G1696" t="e">
        <f ca="1">_xludf.IMAGE("https://edmondsonsupply.com/cdn/shop/files/s6hb_b.jpg?v=1689787234")</f>
        <v>#NAME?</v>
      </c>
      <c r="H1696" t="e">
        <f ca="1">_xludf.IMAGE("https://m.media-amazon.com/images/I/51B-bCYdl9L._AC_UL320_.jpg")</f>
        <v>#NAME?</v>
      </c>
      <c r="I1696" t="s">
        <v>276</v>
      </c>
      <c r="J1696">
        <v>14.99</v>
      </c>
      <c r="K1696" s="4">
        <v>0</v>
      </c>
      <c r="L1696">
        <v>4.2</v>
      </c>
      <c r="M1696">
        <v>9</v>
      </c>
      <c r="O1696" t="s">
        <v>25</v>
      </c>
      <c r="P1696" t="s">
        <v>277</v>
      </c>
      <c r="Q1696" t="s">
        <v>4585</v>
      </c>
    </row>
    <row r="1697" spans="1:17" ht="15.5" x14ac:dyDescent="0.35">
      <c r="A1697" s="3" t="str">
        <f>HYPERLINK("https://edmondsonsupply.com/collections/hvac/products/klein-tools-pjsfm2-rechargeable-clamping-fan", "https://edmondsonsupply.com/collections/hvac/products/klein-tools-pjsfm2-rechargeable-clamping-fan")</f>
        <v>https://edmondsonsupply.com/collections/hvac/products/klein-tools-pjsfm2-rechargeable-clamping-fan</v>
      </c>
      <c r="B1697" s="3" t="str">
        <f>HYPERLINK("https://edmondsonsupply.com/products/klein-tools-pjsfm2-rechargeable-clamping-fan", "https://edmondsonsupply.com/products/klein-tools-pjsfm2-rechargeable-clamping-fan")</f>
        <v>https://edmondsonsupply.com/products/klein-tools-pjsfm2-rechargeable-clamping-fan</v>
      </c>
      <c r="C1697" t="s">
        <v>4586</v>
      </c>
      <c r="D1697" t="s">
        <v>4587</v>
      </c>
      <c r="E1697" s="3" t="str">
        <f>HYPERLINK("https://www.amazon.com/Klein-Tools-PJSFM2-Operated-Rechargeable/dp/B0BWGQVPSC/ref=sr_1_1?keywords=Klein+Tools+PJSFM2+Rechargeable+Clamping+Fan&amp;qid=1695173588&amp;sr=8-1", "https://www.amazon.com/Klein-Tools-PJSFM2-Operated-Rechargeable/dp/B0BWGQVPSC/ref=sr_1_1?keywords=Klein+Tools+PJSFM2+Rechargeable+Clamping+Fan&amp;qid=1695173588&amp;sr=8-1")</f>
        <v>https://www.amazon.com/Klein-Tools-PJSFM2-Operated-Rechargeable/dp/B0BWGQVPSC/ref=sr_1_1?keywords=Klein+Tools+PJSFM2+Rechargeable+Clamping+Fan&amp;qid=1695173588&amp;sr=8-1</v>
      </c>
      <c r="F1697" t="s">
        <v>4588</v>
      </c>
      <c r="G1697" t="e">
        <f ca="1">_xludf.IMAGE("https://edmondsonsupply.com/cdn/shop/products/pjsfm2.jpg?v=1681741049")</f>
        <v>#NAME?</v>
      </c>
      <c r="H1697" t="e">
        <f ca="1">_xludf.IMAGE("https://m.media-amazon.com/images/I/61s9r8X1JSL._AC_UL320_.jpg")</f>
        <v>#NAME?</v>
      </c>
      <c r="I1697" t="s">
        <v>2224</v>
      </c>
      <c r="J1697">
        <v>99.99</v>
      </c>
      <c r="K1697" s="4">
        <v>0</v>
      </c>
      <c r="L1697">
        <v>4.9000000000000004</v>
      </c>
      <c r="M1697">
        <v>15</v>
      </c>
      <c r="O1697" t="s">
        <v>25</v>
      </c>
      <c r="P1697" t="s">
        <v>2225</v>
      </c>
      <c r="Q1697" t="s">
        <v>4589</v>
      </c>
    </row>
    <row r="1698" spans="1:17" ht="15.5" x14ac:dyDescent="0.35">
      <c r="A1698" s="3" t="str">
        <f>HYPERLINK("https://edmondsonsupply.com/collections/hvac/products/klein-tools-93ldm100c-compact-laser-distance-measure", "https://edmondsonsupply.com/collections/hvac/products/klein-tools-93ldm100c-compact-laser-distance-measure")</f>
        <v>https://edmondsonsupply.com/collections/hvac/products/klein-tools-93ldm100c-compact-laser-distance-measure</v>
      </c>
      <c r="B1698" s="3" t="str">
        <f>HYPERLINK("https://edmondsonsupply.com/products/klein-tools-93ldm100c-compact-laser-distance-measure", "https://edmondsonsupply.com/products/klein-tools-93ldm100c-compact-laser-distance-measure")</f>
        <v>https://edmondsonsupply.com/products/klein-tools-93ldm100c-compact-laser-distance-measure</v>
      </c>
      <c r="C1698" t="s">
        <v>4590</v>
      </c>
      <c r="D1698" t="s">
        <v>4591</v>
      </c>
      <c r="E1698" s="3" t="str">
        <f>HYPERLINK("https://www.amazon.com/Klein-Tools-93LDM100C-Compact-Distance/dp/B09VJS94G3/ref=sr_1_5?keywords=Klein+Tools+93LDM100C+Compact+Laser+Distance+Measure&amp;qid=1695173591&amp;sr=8-5", "https://www.amazon.com/Klein-Tools-93LDM100C-Compact-Distance/dp/B09VJS94G3/ref=sr_1_5?keywords=Klein+Tools+93LDM100C+Compact+Laser+Distance+Measure&amp;qid=1695173591&amp;sr=8-5")</f>
        <v>https://www.amazon.com/Klein-Tools-93LDM100C-Compact-Distance/dp/B09VJS94G3/ref=sr_1_5?keywords=Klein+Tools+93LDM100C+Compact+Laser+Distance+Measure&amp;qid=1695173591&amp;sr=8-5</v>
      </c>
      <c r="F1698" t="s">
        <v>4592</v>
      </c>
      <c r="G1698" t="e">
        <f ca="1">_xludf.IMAGE("https://edmondsonsupply.com/cdn/shop/products/93ldm100c.jpg?v=1666806501")</f>
        <v>#NAME?</v>
      </c>
      <c r="H1698" t="e">
        <f ca="1">_xludf.IMAGE("https://m.media-amazon.com/images/I/41mpZjYwkfL._AC_UL320_.jpg")</f>
        <v>#NAME?</v>
      </c>
      <c r="I1698" t="s">
        <v>340</v>
      </c>
      <c r="J1698">
        <v>34.97</v>
      </c>
      <c r="K1698" s="4">
        <v>0</v>
      </c>
      <c r="L1698">
        <v>4.5</v>
      </c>
      <c r="M1698">
        <v>259</v>
      </c>
      <c r="O1698" t="s">
        <v>25</v>
      </c>
      <c r="P1698" t="s">
        <v>4593</v>
      </c>
      <c r="Q1698" t="s">
        <v>4594</v>
      </c>
    </row>
    <row r="1699" spans="1:17" ht="15.5" x14ac:dyDescent="0.35">
      <c r="A1699" s="3" t="str">
        <f>HYPERLINK("https://edmondsonsupply.com/collections/hvac/products/klein-tools-mag2-magnetizer-demagnetizer", "https://edmondsonsupply.com/collections/hvac/products/klein-tools-mag2-magnetizer-demagnetizer")</f>
        <v>https://edmondsonsupply.com/collections/hvac/products/klein-tools-mag2-magnetizer-demagnetizer</v>
      </c>
      <c r="B1699" s="3" t="str">
        <f>HYPERLINK("https://edmondsonsupply.com/products/klein-tools-mag2-magnetizer-demagnetizer", "https://edmondsonsupply.com/products/klein-tools-mag2-magnetizer-demagnetizer")</f>
        <v>https://edmondsonsupply.com/products/klein-tools-mag2-magnetizer-demagnetizer</v>
      </c>
      <c r="C1699" t="s">
        <v>1520</v>
      </c>
      <c r="D1699" t="s">
        <v>4595</v>
      </c>
      <c r="E1699" s="3" t="str">
        <f>HYPERLINK("https://www.amazon.com/Demagnetizer-Screwdriver-Klein-Tools-MAG2/dp/B074RMH9VL/ref=sr_1_1?keywords=Klein+Tools+MAG2+Magnetizer+%2F+Demagnetizer&amp;qid=1695173451&amp;sr=8-1", "https://www.amazon.com/Demagnetizer-Screwdriver-Klein-Tools-MAG2/dp/B074RMH9VL/ref=sr_1_1?keywords=Klein+Tools+MAG2+Magnetizer+%2F+Demagnetizer&amp;qid=1695173451&amp;sr=8-1")</f>
        <v>https://www.amazon.com/Demagnetizer-Screwdriver-Klein-Tools-MAG2/dp/B074RMH9VL/ref=sr_1_1?keywords=Klein+Tools+MAG2+Magnetizer+%2F+Demagnetizer&amp;qid=1695173451&amp;sr=8-1</v>
      </c>
      <c r="F1699" t="s">
        <v>4596</v>
      </c>
      <c r="G1699" t="e">
        <f ca="1">_xludf.IMAGE("https://edmondsonsupply.com/cdn/shop/products/mag2.jpg?v=1587145008")</f>
        <v>#NAME?</v>
      </c>
      <c r="H1699" t="e">
        <f ca="1">_xludf.IMAGE("https://m.media-amazon.com/images/I/51CaSCI4PCL._AC_UL320_.jpg")</f>
        <v>#NAME?</v>
      </c>
      <c r="I1699" t="s">
        <v>1427</v>
      </c>
      <c r="J1699">
        <v>9.9700000000000006</v>
      </c>
      <c r="K1699" s="4">
        <v>0</v>
      </c>
      <c r="L1699">
        <v>4.7</v>
      </c>
      <c r="M1699">
        <v>7454</v>
      </c>
      <c r="O1699" t="s">
        <v>25</v>
      </c>
      <c r="P1699" t="s">
        <v>1523</v>
      </c>
      <c r="Q1699" t="s">
        <v>1524</v>
      </c>
    </row>
    <row r="1700" spans="1:17" ht="15.5" x14ac:dyDescent="0.35">
      <c r="A1700" s="3" t="str">
        <f>HYPERLINK("https://edmondsonsupply.com/collections/hvac/products/fieldpiece-dr58-heated-diode-refrigerant-leak-detector", "https://edmondsonsupply.com/collections/hvac/products/fieldpiece-dr58-heated-diode-refrigerant-leak-detector")</f>
        <v>https://edmondsonsupply.com/collections/hvac/products/fieldpiece-dr58-heated-diode-refrigerant-leak-detector</v>
      </c>
      <c r="B1700" s="3" t="str">
        <f>HYPERLINK("https://edmondsonsupply.com/products/fieldpiece-dr58-heated-diode-refrigerant-leak-detector", "https://edmondsonsupply.com/products/fieldpiece-dr58-heated-diode-refrigerant-leak-detector")</f>
        <v>https://edmondsonsupply.com/products/fieldpiece-dr58-heated-diode-refrigerant-leak-detector</v>
      </c>
      <c r="C1700" t="s">
        <v>4597</v>
      </c>
      <c r="D1700" t="s">
        <v>4598</v>
      </c>
      <c r="E1700" s="3" t="str">
        <f>HYPERLINK("https://www.amazon.com/Fieldpiece-DR58-Heated-Refrigerant-Detector/dp/B097SW9VJS/ref=sr_1_1?keywords=Fieldpiece+DR58+Heated+Diode+Refrigerant+Leak+Detector&amp;qid=1695173453&amp;sr=8-1", "https://www.amazon.com/Fieldpiece-DR58-Heated-Refrigerant-Detector/dp/B097SW9VJS/ref=sr_1_1?keywords=Fieldpiece+DR58+Heated+Diode+Refrigerant+Leak+Detector&amp;qid=1695173453&amp;sr=8-1")</f>
        <v>https://www.amazon.com/Fieldpiece-DR58-Heated-Refrigerant-Detector/dp/B097SW9VJS/ref=sr_1_1?keywords=Fieldpiece+DR58+Heated+Diode+Refrigerant+Leak+Detector&amp;qid=1695173453&amp;sr=8-1</v>
      </c>
      <c r="F1700" t="s">
        <v>4599</v>
      </c>
      <c r="G1700" t="e">
        <f ca="1">_xludf.IMAGE("https://edmondsonsupply.com/cdn/shop/products/DR58-Product-01-300dpi-scaled.jpg?v=1633031059")</f>
        <v>#NAME?</v>
      </c>
      <c r="H1700" t="e">
        <f ca="1">_xludf.IMAGE("https://m.media-amazon.com/images/I/41FBmhCVDiL._AC_UL320_.jpg")</f>
        <v>#NAME?</v>
      </c>
      <c r="I1700" t="s">
        <v>4600</v>
      </c>
      <c r="J1700">
        <v>332.35</v>
      </c>
      <c r="K1700" s="4">
        <v>0</v>
      </c>
      <c r="L1700">
        <v>4.7</v>
      </c>
      <c r="M1700">
        <v>110</v>
      </c>
      <c r="O1700" t="s">
        <v>25</v>
      </c>
      <c r="P1700" t="s">
        <v>3327</v>
      </c>
      <c r="Q1700" t="s">
        <v>4601</v>
      </c>
    </row>
    <row r="1701" spans="1:17" ht="15.5" x14ac:dyDescent="0.35">
      <c r="A1701" s="3" t="str">
        <f>HYPERLINK("https://edmondsonsupply.com/collections/hvac/products/klein-tools-33736ins", "https://edmondsonsupply.com/collections/hvac/products/klein-tools-33736ins")</f>
        <v>https://edmondsonsupply.com/collections/hvac/products/klein-tools-33736ins</v>
      </c>
      <c r="B1701" s="3" t="str">
        <f>HYPERLINK("https://edmondsonsupply.com/products/klein-tools-33736ins", "https://edmondsonsupply.com/products/klein-tools-33736ins")</f>
        <v>https://edmondsonsupply.com/products/klein-tools-33736ins</v>
      </c>
      <c r="C1701" t="s">
        <v>1928</v>
      </c>
      <c r="D1701" t="s">
        <v>2245</v>
      </c>
      <c r="E1701" s="3" t="str">
        <f>HYPERLINK("https://www.amazon.com/Klein-Tools-33736INS-Screwdriver-Magnetizer/dp/B09GPZPMTD/ref=sr_1_1?keywords=Klein+Tools+33736INS+Screwdriver+Set%2C+1000V+Slim-Tip+Insulated+and+Magnetizer%2C+6-Piece&amp;qid=1695173604&amp;sr=8-1", "https://www.amazon.com/Klein-Tools-33736INS-Screwdriver-Magnetizer/dp/B09GPZPMTD/ref=sr_1_1?keywords=Klein+Tools+33736INS+Screwdriver+Set%2C+1000V+Slim-Tip+Insulated+and+Magnetizer%2C+6-Piece&amp;qid=1695173604&amp;sr=8-1")</f>
        <v>https://www.amazon.com/Klein-Tools-33736INS-Screwdriver-Magnetizer/dp/B09GPZPMTD/ref=sr_1_1?keywords=Klein+Tools+33736INS+Screwdriver+Set%2C+1000V+Slim-Tip+Insulated+and+Magnetizer%2C+6-Piece&amp;qid=1695173604&amp;sr=8-1</v>
      </c>
      <c r="F1701" t="s">
        <v>2246</v>
      </c>
      <c r="G1701" t="e">
        <f ca="1">_xludf.IMAGE("https://edmondsonsupply.com/cdn/shop/products/33736ins.jpg?v=1664807705")</f>
        <v>#NAME?</v>
      </c>
      <c r="H1701" t="e">
        <f ca="1">_xludf.IMAGE("https://m.media-amazon.com/images/I/51W2DUA3c7L._AC_UL320_.jpg")</f>
        <v>#NAME?</v>
      </c>
      <c r="I1701" t="s">
        <v>1931</v>
      </c>
      <c r="J1701">
        <v>49.99</v>
      </c>
      <c r="K1701" s="4">
        <v>0</v>
      </c>
      <c r="L1701">
        <v>4.8</v>
      </c>
      <c r="M1701">
        <v>419</v>
      </c>
      <c r="O1701" t="s">
        <v>25</v>
      </c>
      <c r="P1701" t="s">
        <v>1932</v>
      </c>
      <c r="Q1701" t="s">
        <v>1933</v>
      </c>
    </row>
    <row r="1702" spans="1:17" ht="15.5" x14ac:dyDescent="0.35">
      <c r="A1702" s="3" t="str">
        <f>HYPERLINK("https://edmondsonsupply.com/collections/hvac/products/fieldpiece-dr82-infrared-refrigerant-leak-detector", "https://edmondsonsupply.com/collections/hvac/products/fieldpiece-dr82-infrared-refrigerant-leak-detector")</f>
        <v>https://edmondsonsupply.com/collections/hvac/products/fieldpiece-dr82-infrared-refrigerant-leak-detector</v>
      </c>
      <c r="B1702" s="3" t="str">
        <f>HYPERLINK("https://edmondsonsupply.com/products/fieldpiece-dr82-infrared-refrigerant-leak-detector", "https://edmondsonsupply.com/products/fieldpiece-dr82-infrared-refrigerant-leak-detector")</f>
        <v>https://edmondsonsupply.com/products/fieldpiece-dr82-infrared-refrigerant-leak-detector</v>
      </c>
      <c r="C1702" t="s">
        <v>4602</v>
      </c>
      <c r="D1702" t="s">
        <v>4603</v>
      </c>
      <c r="E1702" s="3" t="str">
        <f>HYPERLINK("https://www.amazon.com/Fieldpiece-DR82-Infrared-Refrigerant-Detector/dp/B09G963HQ6/ref=sr_1_1?keywords=Fieldpiece+DR82+Infrared+Refrigerant+Leak+Detector&amp;qid=1695173454&amp;sr=8-1", "https://www.amazon.com/Fieldpiece-DR82-Infrared-Refrigerant-Detector/dp/B09G963HQ6/ref=sr_1_1?keywords=Fieldpiece+DR82+Infrared+Refrigerant+Leak+Detector&amp;qid=1695173454&amp;sr=8-1")</f>
        <v>https://www.amazon.com/Fieldpiece-DR82-Infrared-Refrigerant-Detector/dp/B09G963HQ6/ref=sr_1_1?keywords=Fieldpiece+DR82+Infrared+Refrigerant+Leak+Detector&amp;qid=1695173454&amp;sr=8-1</v>
      </c>
      <c r="F1702" t="s">
        <v>4604</v>
      </c>
      <c r="G1702" t="e">
        <f ca="1">_xludf.IMAGE("https://edmondsonsupply.com/cdn/shop/products/DR82-Product-01-300dpi-scaled.jpg?v=1633031061")</f>
        <v>#NAME?</v>
      </c>
      <c r="H1702" t="e">
        <f ca="1">_xludf.IMAGE("https://m.media-amazon.com/images/I/41qDPe6seAL._AC_UL320_.jpg")</f>
        <v>#NAME?</v>
      </c>
      <c r="I1702" t="s">
        <v>4605</v>
      </c>
      <c r="J1702">
        <v>476.85</v>
      </c>
      <c r="K1702" s="4">
        <v>0</v>
      </c>
      <c r="L1702">
        <v>4.7</v>
      </c>
      <c r="M1702">
        <v>85</v>
      </c>
      <c r="O1702" t="s">
        <v>25</v>
      </c>
      <c r="P1702" t="s">
        <v>4606</v>
      </c>
      <c r="Q1702" t="s">
        <v>4607</v>
      </c>
    </row>
    <row r="1703" spans="1:17" ht="15.5" x14ac:dyDescent="0.35">
      <c r="A1703" s="3" t="str">
        <f>HYPERLINK("https://edmondsonsupply.com/collections/hvac/products/fieldpiece-sc640", "https://edmondsonsupply.com/collections/hvac/products/fieldpiece-sc640")</f>
        <v>https://edmondsonsupply.com/collections/hvac/products/fieldpiece-sc640</v>
      </c>
      <c r="B1703" s="3" t="str">
        <f>HYPERLINK("https://edmondsonsupply.com/products/fieldpiece-sc640", "https://edmondsonsupply.com/products/fieldpiece-sc640")</f>
        <v>https://edmondsonsupply.com/products/fieldpiece-sc640</v>
      </c>
      <c r="C1703" t="s">
        <v>4608</v>
      </c>
      <c r="D1703" t="s">
        <v>4609</v>
      </c>
      <c r="E1703" s="3" t="str">
        <f>HYPERLINK("https://www.amazon.com/Fieldpiece-SC640-Loaded-Multimeter-Flashlight/dp/B00KLYJGJQ/ref=sr_1_1?keywords=Fieldpiece+SC640+Loaded+Clamp+Meter&amp;qid=1695173491&amp;sr=8-1", "https://www.amazon.com/Fieldpiece-SC640-Loaded-Multimeter-Flashlight/dp/B00KLYJGJQ/ref=sr_1_1?keywords=Fieldpiece+SC640+Loaded+Clamp+Meter&amp;qid=1695173491&amp;sr=8-1")</f>
        <v>https://www.amazon.com/Fieldpiece-SC640-Loaded-Multimeter-Flashlight/dp/B00KLYJGJQ/ref=sr_1_1?keywords=Fieldpiece+SC640+Loaded+Clamp+Meter&amp;qid=1695173491&amp;sr=8-1</v>
      </c>
      <c r="F1703" t="s">
        <v>4610</v>
      </c>
      <c r="G1703" t="e">
        <f ca="1">_xludf.IMAGE("https://edmondsonsupply.com/cdn/shop/products/SC640-SRC-product.jpg?v=1633030198")</f>
        <v>#NAME?</v>
      </c>
      <c r="H1703" t="e">
        <f ca="1">_xludf.IMAGE("https://m.media-amazon.com/images/I/61RFJYVGaCL._AC_UY218_.jpg")</f>
        <v>#NAME?</v>
      </c>
      <c r="I1703" t="s">
        <v>4611</v>
      </c>
      <c r="J1703">
        <v>249.9</v>
      </c>
      <c r="K1703" s="4">
        <v>0</v>
      </c>
      <c r="L1703">
        <v>4.8</v>
      </c>
      <c r="M1703">
        <v>244</v>
      </c>
      <c r="O1703" t="s">
        <v>25</v>
      </c>
      <c r="P1703" t="s">
        <v>4612</v>
      </c>
      <c r="Q1703" t="s">
        <v>4613</v>
      </c>
    </row>
    <row r="1704" spans="1:17" ht="15.5" x14ac:dyDescent="0.35">
      <c r="A1704" s="3" t="str">
        <f>HYPERLINK("https://edmondsonsupply.com/collections/hvac/products/klein-tools-13231-replacement-bit-1-8-slotted-and-schrader%C2%AE", "https://edmondsonsupply.com/collections/hvac/products/klein-tools-13231-replacement-bit-1-8-slotted-and-schrader%C2%AE")</f>
        <v>https://edmondsonsupply.com/collections/hvac/products/klein-tools-13231-replacement-bit-1-8-slotted-and-schrader%C2%AE</v>
      </c>
      <c r="B1704" s="3" t="str">
        <f>HYPERLINK("https://edmondsonsupply.com/products/klein-tools-13231-replacement-bit-1-8-slotted-and-schrader%c2%ae", "https://edmondsonsupply.com/products/klein-tools-13231-replacement-bit-1-8-slotted-and-schrader%c2%ae")</f>
        <v>https://edmondsonsupply.com/products/klein-tools-13231-replacement-bit-1-8-slotted-and-schrader%c2%ae</v>
      </c>
      <c r="C1704" t="s">
        <v>4614</v>
      </c>
      <c r="D1704" t="s">
        <v>4615</v>
      </c>
      <c r="E1704" s="3" t="str">
        <f>HYPERLINK("https://www.amazon.com/Replacement-Schrader-Klein-Tools-13231/dp/B0791D1VPP/ref=sr_1_1?keywords=Klein+Tools+13231+Replacement+Bits%2C+1%2F8-Inch+Slotted+and+Schrader%C2%AE&amp;qid=1695173501&amp;sr=8-1", "https://www.amazon.com/Replacement-Schrader-Klein-Tools-13231/dp/B0791D1VPP/ref=sr_1_1?keywords=Klein+Tools+13231+Replacement+Bits%2C+1%2F8-Inch+Slotted+and+Schrader%C2%AE&amp;qid=1695173501&amp;sr=8-1")</f>
        <v>https://www.amazon.com/Replacement-Schrader-Klein-Tools-13231/dp/B0791D1VPP/ref=sr_1_1?keywords=Klein+Tools+13231+Replacement+Bits%2C+1%2F8-Inch+Slotted+and+Schrader%C2%AE&amp;qid=1695173501&amp;sr=8-1</v>
      </c>
      <c r="F1704" t="s">
        <v>4616</v>
      </c>
      <c r="G1704" t="e">
        <f ca="1">_xludf.IMAGE("https://edmondsonsupply.com/cdn/shop/products/13231.jpg?v=1587143809")</f>
        <v>#NAME?</v>
      </c>
      <c r="H1704" t="e">
        <f ca="1">_xludf.IMAGE("https://m.media-amazon.com/images/I/51Ap07mXRLL._AC_UL320_.jpg")</f>
        <v>#NAME?</v>
      </c>
      <c r="I1704" t="s">
        <v>4617</v>
      </c>
      <c r="J1704">
        <v>6.49</v>
      </c>
      <c r="K1704" s="4">
        <v>0</v>
      </c>
      <c r="L1704">
        <v>4.7</v>
      </c>
      <c r="M1704">
        <v>448</v>
      </c>
      <c r="O1704" t="s">
        <v>25</v>
      </c>
      <c r="P1704" t="s">
        <v>4618</v>
      </c>
      <c r="Q1704" t="s">
        <v>4619</v>
      </c>
    </row>
    <row r="1705" spans="1:17" ht="15.5" x14ac:dyDescent="0.35">
      <c r="A1705" s="3" t="str">
        <f>HYPERLINK("https://edmondsonsupply.com/collections/hvac/products/klein-tools-mm720-digital-multimeter-trms-auto-ranging-1000v-temp-low-impedance", "https://edmondsonsupply.com/collections/hvac/products/klein-tools-mm720-digital-multimeter-trms-auto-ranging-1000v-temp-low-impedance")</f>
        <v>https://edmondsonsupply.com/collections/hvac/products/klein-tools-mm720-digital-multimeter-trms-auto-ranging-1000v-temp-low-impedance</v>
      </c>
      <c r="B1705" s="3" t="str">
        <f>HYPERLINK("https://edmondsonsupply.com/products/klein-tools-mm720-digital-multimeter-trms-auto-ranging-1000v-temp-low-impedance", "https://edmondsonsupply.com/products/klein-tools-mm720-digital-multimeter-trms-auto-ranging-1000v-temp-low-impedance")</f>
        <v>https://edmondsonsupply.com/products/klein-tools-mm720-digital-multimeter-trms-auto-ranging-1000v-temp-low-impedance</v>
      </c>
      <c r="C1705" t="s">
        <v>3861</v>
      </c>
      <c r="D1705" t="s">
        <v>4620</v>
      </c>
      <c r="E1705" s="3" t="str">
        <f>HYPERLINK("https://www.amazon.com/Multimeter-Auto-Ranging-Resistance-Klein-Tools/dp/B0B57PDQJC/ref=sr_1_1?keywords=Klein+Tools+MM720+Digital+Multimeter%2C+TRMS+Auto-Ranging%2C+1000V%2C+Temp%2C+Low+Impedance&amp;qid=1695173500&amp;sr=8-1", "https://www.amazon.com/Multimeter-Auto-Ranging-Resistance-Klein-Tools/dp/B0B57PDQJC/ref=sr_1_1?keywords=Klein+Tools+MM720+Digital+Multimeter%2C+TRMS+Auto-Ranging%2C+1000V%2C+Temp%2C+Low+Impedance&amp;qid=1695173500&amp;sr=8-1")</f>
        <v>https://www.amazon.com/Multimeter-Auto-Ranging-Resistance-Klein-Tools/dp/B0B57PDQJC/ref=sr_1_1?keywords=Klein+Tools+MM720+Digital+Multimeter%2C+TRMS+Auto-Ranging%2C+1000V%2C+Temp%2C+Low+Impedance&amp;qid=1695173500&amp;sr=8-1</v>
      </c>
      <c r="F1705" t="s">
        <v>4621</v>
      </c>
      <c r="G1705" t="e">
        <f ca="1">_xludf.IMAGE("https://edmondsonsupply.com/cdn/shop/products/mm720.jpg?v=1663609402")</f>
        <v>#NAME?</v>
      </c>
      <c r="H1705" t="e">
        <f ca="1">_xludf.IMAGE("https://m.media-amazon.com/images/I/61-a2-b+n7L._AC_UL320_.jpg")</f>
        <v>#NAME?</v>
      </c>
      <c r="I1705" t="s">
        <v>545</v>
      </c>
      <c r="J1705">
        <v>99.97</v>
      </c>
      <c r="K1705" s="4">
        <v>0</v>
      </c>
      <c r="L1705">
        <v>4.5999999999999996</v>
      </c>
      <c r="M1705">
        <v>878</v>
      </c>
      <c r="O1705" t="s">
        <v>25</v>
      </c>
      <c r="P1705" t="s">
        <v>3862</v>
      </c>
      <c r="Q1705" t="s">
        <v>3863</v>
      </c>
    </row>
    <row r="1706" spans="1:17" ht="15.5" x14ac:dyDescent="0.35">
      <c r="A1706" s="3" t="str">
        <f>HYPERLINK("https://edmondsonsupply.com/collections/hvac/products/klein-tools-ti220-thermal-imager-for-android%C2%AE-devices", "https://edmondsonsupply.com/collections/hvac/products/klein-tools-ti220-thermal-imager-for-android%C2%AE-devices")</f>
        <v>https://edmondsonsupply.com/collections/hvac/products/klein-tools-ti220-thermal-imager-for-android%C2%AE-devices</v>
      </c>
      <c r="B1706" s="3" t="str">
        <f>HYPERLINK("https://edmondsonsupply.com/products/klein-tools-ti220-thermal-imager-for-android%c2%ae-devices", "https://edmondsonsupply.com/products/klein-tools-ti220-thermal-imager-for-android%c2%ae-devices")</f>
        <v>https://edmondsonsupply.com/products/klein-tools-ti220-thermal-imager-for-android%c2%ae-devices</v>
      </c>
      <c r="C1706" t="s">
        <v>4622</v>
      </c>
      <c r="D1706" t="s">
        <v>4623</v>
      </c>
      <c r="E1706" s="3" t="str">
        <f>HYPERLINK("https://www.amazon.com/Klein-Tools-TI220-Thermal-Imager-Temperatures/dp/B0B356X9ZD/ref=sr_1_1?keywords=Klein+Tools+TI220+Thermal+Imager+for+Android%C2%AE+Devices&amp;qid=1695173503&amp;sr=8-1", "https://www.amazon.com/Klein-Tools-TI220-Thermal-Imager-Temperatures/dp/B0B356X9ZD/ref=sr_1_1?keywords=Klein+Tools+TI220+Thermal+Imager+for+Android%C2%AE+Devices&amp;qid=1695173503&amp;sr=8-1")</f>
        <v>https://www.amazon.com/Klein-Tools-TI220-Thermal-Imager-Temperatures/dp/B0B356X9ZD/ref=sr_1_1?keywords=Klein+Tools+TI220+Thermal+Imager+for+Android%C2%AE+Devices&amp;qid=1695173503&amp;sr=8-1</v>
      </c>
      <c r="F1706" t="s">
        <v>4624</v>
      </c>
      <c r="G1706" t="e">
        <f ca="1">_xludf.IMAGE("https://edmondsonsupply.com/cdn/shop/products/ti220.jpg?v=1663594817")</f>
        <v>#NAME?</v>
      </c>
      <c r="H1706" t="e">
        <f ca="1">_xludf.IMAGE("https://m.media-amazon.com/images/I/71DqBIDjgfL._AC_UY218_.jpg")</f>
        <v>#NAME?</v>
      </c>
      <c r="I1706" t="s">
        <v>4625</v>
      </c>
      <c r="J1706">
        <v>249.99</v>
      </c>
      <c r="K1706" s="4">
        <v>0</v>
      </c>
      <c r="L1706">
        <v>4.5</v>
      </c>
      <c r="M1706">
        <v>91</v>
      </c>
      <c r="O1706" t="s">
        <v>25</v>
      </c>
      <c r="P1706" t="s">
        <v>4626</v>
      </c>
      <c r="Q1706" t="s">
        <v>4627</v>
      </c>
    </row>
    <row r="1707" spans="1:17" ht="15.5" x14ac:dyDescent="0.35">
      <c r="A1707" s="3" t="str">
        <f>HYPERLINK("https://edmondsonsupply.com/collections/hvac/products/klein-tools-2400l-offset-left-cutting-aviation-snips", "https://edmondsonsupply.com/collections/hvac/products/klein-tools-2400l-offset-left-cutting-aviation-snips")</f>
        <v>https://edmondsonsupply.com/collections/hvac/products/klein-tools-2400l-offset-left-cutting-aviation-snips</v>
      </c>
      <c r="B1707" s="3" t="str">
        <f>HYPERLINK("https://edmondsonsupply.com/products/klein-tools-2400l-offset-left-cutting-aviation-snips", "https://edmondsonsupply.com/products/klein-tools-2400l-offset-left-cutting-aviation-snips")</f>
        <v>https://edmondsonsupply.com/products/klein-tools-2400l-offset-left-cutting-aviation-snips</v>
      </c>
      <c r="C1707" t="s">
        <v>4628</v>
      </c>
      <c r="D1707" t="s">
        <v>4629</v>
      </c>
      <c r="E1707" s="3" t="str">
        <f>HYPERLINK("https://www.amazon.com/Klein-Tools-2400L-Left-Cutting-Precision/dp/B0C4C13S3C/ref=sr_1_1?keywords=Klein+Tools+2400L+Offset+Left-Cutting+Aviation+Snips&amp;qid=1695173738&amp;sr=8-1", "https://www.amazon.com/Klein-Tools-2400L-Left-Cutting-Precision/dp/B0C4C13S3C/ref=sr_1_1?keywords=Klein+Tools+2400L+Offset+Left-Cutting+Aviation+Snips&amp;qid=1695173738&amp;sr=8-1")</f>
        <v>https://www.amazon.com/Klein-Tools-2400L-Left-Cutting-Precision/dp/B0C4C13S3C/ref=sr_1_1?keywords=Klein+Tools+2400L+Offset+Left-Cutting+Aviation+Snips&amp;qid=1695173738&amp;sr=8-1</v>
      </c>
      <c r="F1707" t="s">
        <v>4630</v>
      </c>
      <c r="G1707" t="e">
        <f ca="1">_xludf.IMAGE("https://edmondsonsupply.com/cdn/shop/files/2400l.jpg?v=1689776251")</f>
        <v>#NAME?</v>
      </c>
      <c r="H1707" t="e">
        <f ca="1">_xludf.IMAGE("https://m.media-amazon.com/images/I/41Sk47EKT5L._AC_UL320_.jpg")</f>
        <v>#NAME?</v>
      </c>
      <c r="I1707" t="s">
        <v>471</v>
      </c>
      <c r="J1707">
        <v>24.99</v>
      </c>
      <c r="K1707" s="4">
        <v>0</v>
      </c>
      <c r="L1707">
        <v>4.2</v>
      </c>
      <c r="M1707">
        <v>11</v>
      </c>
      <c r="O1707" t="s">
        <v>25</v>
      </c>
      <c r="P1707" t="s">
        <v>602</v>
      </c>
      <c r="Q1707" t="s">
        <v>4631</v>
      </c>
    </row>
    <row r="1708" spans="1:17" ht="15.5" x14ac:dyDescent="0.35">
      <c r="A1708" s="3" t="str">
        <f>HYPERLINK("https://edmondsonsupply.com/collections/hvac/products/klein-tools-ti270-rechargeable-thermal-imager-with-wi-fi", "https://edmondsonsupply.com/collections/hvac/products/klein-tools-ti270-rechargeable-thermal-imager-with-wi-fi")</f>
        <v>https://edmondsonsupply.com/collections/hvac/products/klein-tools-ti270-rechargeable-thermal-imager-with-wi-fi</v>
      </c>
      <c r="B1708" s="3" t="str">
        <f>HYPERLINK("https://edmondsonsupply.com/products/klein-tools-ti270-rechargeable-thermal-imager-with-wi-fi", "https://edmondsonsupply.com/products/klein-tools-ti270-rechargeable-thermal-imager-with-wi-fi")</f>
        <v>https://edmondsonsupply.com/products/klein-tools-ti270-rechargeable-thermal-imager-with-wi-fi</v>
      </c>
      <c r="C1708" t="s">
        <v>4632</v>
      </c>
      <c r="D1708" t="s">
        <v>4633</v>
      </c>
      <c r="E1708" s="3" t="str">
        <f>HYPERLINK("https://www.amazon.com/Klein-Tools-Rechargeable-Transfer-Temperature/dp/B0C6J4B145/ref=sr_1_1?keywords=Klein+Tools+TI270+Rechargeable+Thermal+Imager+with+Wi-Fi&amp;qid=1695173739&amp;sr=8-1", "https://www.amazon.com/Klein-Tools-Rechargeable-Transfer-Temperature/dp/B0C6J4B145/ref=sr_1_1?keywords=Klein+Tools+TI270+Rechargeable+Thermal+Imager+with+Wi-Fi&amp;qid=1695173739&amp;sr=8-1")</f>
        <v>https://www.amazon.com/Klein-Tools-Rechargeable-Transfer-Temperature/dp/B0C6J4B145/ref=sr_1_1?keywords=Klein+Tools+TI270+Rechargeable+Thermal+Imager+with+Wi-Fi&amp;qid=1695173739&amp;sr=8-1</v>
      </c>
      <c r="F1708" t="s">
        <v>4634</v>
      </c>
      <c r="G1708" t="e">
        <f ca="1">_xludf.IMAGE("https://edmondsonsupply.com/cdn/shop/files/ti270.jpg?v=1689789798")</f>
        <v>#NAME?</v>
      </c>
      <c r="H1708" t="e">
        <f ca="1">_xludf.IMAGE("https://m.media-amazon.com/images/I/61Pcwgb0gDL._AC_UY218_.jpg")</f>
        <v>#NAME?</v>
      </c>
      <c r="I1708" t="s">
        <v>42</v>
      </c>
      <c r="J1708">
        <v>399.99</v>
      </c>
      <c r="K1708" s="4">
        <v>0</v>
      </c>
      <c r="L1708">
        <v>4.5</v>
      </c>
      <c r="M1708">
        <v>778</v>
      </c>
      <c r="O1708" t="s">
        <v>25</v>
      </c>
      <c r="P1708" t="s">
        <v>4635</v>
      </c>
      <c r="Q1708" t="s">
        <v>4636</v>
      </c>
    </row>
    <row r="1709" spans="1:17" ht="15.5" x14ac:dyDescent="0.35">
      <c r="A1709"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709" s="3" t="str">
        <f>HYPERLINK("https://edmondsonsupply.com/products/klein-tools-646-1-4-1-4-inch-nut-driver-with-6-inch-hollow-shaft", "https://edmondsonsupply.com/products/klein-tools-646-1-4-1-4-inch-nut-driver-with-6-inch-hollow-shaft")</f>
        <v>https://edmondsonsupply.com/products/klein-tools-646-1-4-1-4-inch-nut-driver-with-6-inch-hollow-shaft</v>
      </c>
      <c r="C1709" t="s">
        <v>1478</v>
      </c>
      <c r="D1709" t="s">
        <v>4637</v>
      </c>
      <c r="E1709" s="3" t="str">
        <f>HYPERLINK("https://www.amazon.com/4-Inch-Comfordome-Klein-Tools-S86/dp/B00093GCWS/ref=sr_1_3?keywords=Klein+Tools+646-1%2F4+1%2F4-Inch+Nut+Driver+with+6-Inch+Hollow+Shaft&amp;qid=1695173548&amp;sr=8-3", "https://www.amazon.com/4-Inch-Comfordome-Klein-Tools-S86/dp/B00093GCWS/ref=sr_1_3?keywords=Klein+Tools+646-1%2F4+1%2F4-Inch+Nut+Driver+with+6-Inch+Hollow+Shaft&amp;qid=1695173548&amp;sr=8-3")</f>
        <v>https://www.amazon.com/4-Inch-Comfordome-Klein-Tools-S86/dp/B00093GCWS/ref=sr_1_3?keywords=Klein+Tools+646-1%2F4+1%2F4-Inch+Nut+Driver+with+6-Inch+Hollow+Shaft&amp;qid=1695173548&amp;sr=8-3</v>
      </c>
      <c r="F1709" t="s">
        <v>4638</v>
      </c>
      <c r="G1709" t="e">
        <f ca="1">_xludf.IMAGE("https://edmondsonsupply.com/cdn/shop/products/646-1-2_08d87fa9-eac4-4869-8d3b-bb680d4b1d53.jpg?v=1587150676")</f>
        <v>#NAME?</v>
      </c>
      <c r="H1709" t="e">
        <f ca="1">_xludf.IMAGE("https://m.media-amazon.com/images/I/41UucnuSAmL._AC_UL320_.jpg")</f>
        <v>#NAME?</v>
      </c>
      <c r="I1709" t="s">
        <v>1003</v>
      </c>
      <c r="J1709">
        <v>7.99</v>
      </c>
      <c r="K1709" s="4">
        <v>0</v>
      </c>
      <c r="L1709">
        <v>4.5</v>
      </c>
      <c r="M1709">
        <v>151</v>
      </c>
      <c r="O1709" t="s">
        <v>25</v>
      </c>
      <c r="P1709" t="s">
        <v>1481</v>
      </c>
      <c r="Q1709" t="s">
        <v>1482</v>
      </c>
    </row>
    <row r="1710" spans="1:17" ht="15.5" x14ac:dyDescent="0.35">
      <c r="A1710" s="3" t="str">
        <f>HYPERLINK("https://edmondsonsupply.com/collections/hvac/products/klein-tools-2401r-offset-right-cutting-aviation-snips", "https://edmondsonsupply.com/collections/hvac/products/klein-tools-2401r-offset-right-cutting-aviation-snips")</f>
        <v>https://edmondsonsupply.com/collections/hvac/products/klein-tools-2401r-offset-right-cutting-aviation-snips</v>
      </c>
      <c r="B1710" s="3" t="str">
        <f>HYPERLINK("https://edmondsonsupply.com/products/klein-tools-2401r-offset-right-cutting-aviation-snips", "https://edmondsonsupply.com/products/klein-tools-2401r-offset-right-cutting-aviation-snips")</f>
        <v>https://edmondsonsupply.com/products/klein-tools-2401r-offset-right-cutting-aviation-snips</v>
      </c>
      <c r="C1710" t="s">
        <v>4639</v>
      </c>
      <c r="D1710" t="s">
        <v>4640</v>
      </c>
      <c r="E1710" s="3" t="str">
        <f>HYPERLINK("https://www.amazon.com/Klein-Tools-2401R-Right-Cutting-Precision/dp/B0C4BTTVPC/ref=sr_1_1?keywords=Klein+Tools+2401R+Offset+Right-Cutting+Aviation+Snips&amp;qid=1695173737&amp;sr=8-1", "https://www.amazon.com/Klein-Tools-2401R-Right-Cutting-Precision/dp/B0C4BTTVPC/ref=sr_1_1?keywords=Klein+Tools+2401R+Offset+Right-Cutting+Aviation+Snips&amp;qid=1695173737&amp;sr=8-1")</f>
        <v>https://www.amazon.com/Klein-Tools-2401R-Right-Cutting-Precision/dp/B0C4BTTVPC/ref=sr_1_1?keywords=Klein+Tools+2401R+Offset+Right-Cutting+Aviation+Snips&amp;qid=1695173737&amp;sr=8-1</v>
      </c>
      <c r="F1710" t="s">
        <v>4641</v>
      </c>
      <c r="G1710" t="e">
        <f ca="1">_xludf.IMAGE("https://edmondsonsupply.com/cdn/shop/files/2401r.jpg?v=1689776657")</f>
        <v>#NAME?</v>
      </c>
      <c r="H1710" t="e">
        <f ca="1">_xludf.IMAGE("https://m.media-amazon.com/images/I/41JZrgGB5HL._AC_UL320_.jpg")</f>
        <v>#NAME?</v>
      </c>
      <c r="I1710" t="s">
        <v>471</v>
      </c>
      <c r="J1710">
        <v>24.99</v>
      </c>
      <c r="K1710" s="4">
        <v>0</v>
      </c>
      <c r="L1710">
        <v>4.2</v>
      </c>
      <c r="M1710">
        <v>11</v>
      </c>
      <c r="O1710" t="s">
        <v>25</v>
      </c>
      <c r="P1710" t="s">
        <v>602</v>
      </c>
      <c r="Q1710" t="s">
        <v>4642</v>
      </c>
    </row>
    <row r="1711" spans="1:17" ht="15.5" x14ac:dyDescent="0.35">
      <c r="A1711" s="3" t="str">
        <f>HYPERLINK("https://edmondsonsupply.com/collections/hvac/products/klein-tools-62811-reusable-cooler-ice-packs-2-pack", "https://edmondsonsupply.com/collections/hvac/products/klein-tools-62811-reusable-cooler-ice-packs-2-pack")</f>
        <v>https://edmondsonsupply.com/collections/hvac/products/klein-tools-62811-reusable-cooler-ice-packs-2-pack</v>
      </c>
      <c r="B1711" s="3" t="str">
        <f>HYPERLINK("https://edmondsonsupply.com/products/klein-tools-62811-reusable-cooler-ice-packs-2-pack", "https://edmondsonsupply.com/products/klein-tools-62811-reusable-cooler-ice-packs-2-pack")</f>
        <v>https://edmondsonsupply.com/products/klein-tools-62811-reusable-cooler-ice-packs-2-pack</v>
      </c>
      <c r="C1711" t="s">
        <v>4643</v>
      </c>
      <c r="D1711" t="s">
        <v>4644</v>
      </c>
      <c r="E1711" s="3" t="str">
        <f>HYPERLINK("https://www.amazon.com/Klein-Tools-62811-Reusable-Interlocking/dp/B0C4RK78PC/ref=sr_1_1?keywords=Klein+Tools+62811+Reusable+Cooler+Ice+Packs%2C+2-Pack&amp;qid=1695173738&amp;sr=8-1", "https://www.amazon.com/Klein-Tools-62811-Reusable-Interlocking/dp/B0C4RK78PC/ref=sr_1_1?keywords=Klein+Tools+62811+Reusable+Cooler+Ice+Packs%2C+2-Pack&amp;qid=1695173738&amp;sr=8-1")</f>
        <v>https://www.amazon.com/Klein-Tools-62811-Reusable-Interlocking/dp/B0C4RK78PC/ref=sr_1_1?keywords=Klein+Tools+62811+Reusable+Cooler+Ice+Packs%2C+2-Pack&amp;qid=1695173738&amp;sr=8-1</v>
      </c>
      <c r="F1711" t="s">
        <v>4645</v>
      </c>
      <c r="G1711" t="e">
        <f ca="1">_xludf.IMAGE("https://edmondsonsupply.com/cdn/shop/files/62811.jpg?v=1689856974")</f>
        <v>#NAME?</v>
      </c>
      <c r="H1711" t="e">
        <f ca="1">_xludf.IMAGE("https://m.media-amazon.com/images/I/618hzjOT44L._AC_UL320_.jpg")</f>
        <v>#NAME?</v>
      </c>
      <c r="I1711" t="s">
        <v>577</v>
      </c>
      <c r="J1711">
        <v>19.989999999999998</v>
      </c>
      <c r="K1711" s="4">
        <v>0</v>
      </c>
      <c r="L1711">
        <v>4.5999999999999996</v>
      </c>
      <c r="M1711">
        <v>10</v>
      </c>
      <c r="O1711" t="s">
        <v>25</v>
      </c>
      <c r="P1711" t="s">
        <v>894</v>
      </c>
      <c r="Q1711" t="s">
        <v>4646</v>
      </c>
    </row>
    <row r="1712" spans="1:17" ht="15.5" x14ac:dyDescent="0.35">
      <c r="A1712" s="3" t="str">
        <f>HYPERLINK("https://edmondsonsupply.com/collections/hvac/products/klein-tools-shbkit-grip-it%E2%84%A2-strap-wrench-kit-6-inch-and-12-inch-handles-2-piece", "https://edmondsonsupply.com/collections/hvac/products/klein-tools-shbkit-grip-it%E2%84%A2-strap-wrench-kit-6-inch-and-12-inch-handles-2-piece")</f>
        <v>https://edmondsonsupply.com/collections/hvac/products/klein-tools-shbkit-grip-it%E2%84%A2-strap-wrench-kit-6-inch-and-12-inch-handles-2-piece</v>
      </c>
      <c r="B1712" s="3" t="str">
        <f>HYPERLINK("https://edmondsonsupply.com/products/klein-tools-shbkit-grip-it%e2%84%a2-strap-wrench-kit-6-inch-and-12-inch-handles-2-piece", "https://edmondsonsupply.com/products/klein-tools-shbkit-grip-it%e2%84%a2-strap-wrench-kit-6-inch-and-12-inch-handles-2-piece")</f>
        <v>https://edmondsonsupply.com/products/klein-tools-shbkit-grip-it%e2%84%a2-strap-wrench-kit-6-inch-and-12-inch-handles-2-piece</v>
      </c>
      <c r="C1712" t="s">
        <v>4647</v>
      </c>
      <c r="D1712" t="s">
        <v>4648</v>
      </c>
      <c r="E1712" s="3" t="str">
        <f>HYPERLINK("https://www.amazon.com/Klein-Tools-SHBKIT-Adjustable-Wrenches/dp/B0C1ZXXMN5/ref=sr_1_1?keywords=Klein+Tools+SHBKIT+Grip-It%E2%84%A2+Strap+Wrench+Kit%2C+6-Inch+and+12-Inch+Handles%2C+2-Piece&amp;qid=1695173737&amp;sr=8-1", "https://www.amazon.com/Klein-Tools-SHBKIT-Adjustable-Wrenches/dp/B0C1ZXXMN5/ref=sr_1_1?keywords=Klein+Tools+SHBKIT+Grip-It%E2%84%A2+Strap+Wrench+Kit%2C+6-Inch+and+12-Inch+Handles%2C+2-Piece&amp;qid=1695173737&amp;sr=8-1")</f>
        <v>https://www.amazon.com/Klein-Tools-SHBKIT-Adjustable-Wrenches/dp/B0C1ZXXMN5/ref=sr_1_1?keywords=Klein+Tools+SHBKIT+Grip-It%E2%84%A2+Strap+Wrench+Kit%2C+6-Inch+and+12-Inch+Handles%2C+2-Piece&amp;qid=1695173737&amp;sr=8-1</v>
      </c>
      <c r="F1712" t="s">
        <v>4649</v>
      </c>
      <c r="G1712" t="e">
        <f ca="1">_xludf.IMAGE("https://edmondsonsupply.com/cdn/shop/files/shbkit_b.jpg?v=1689782457")</f>
        <v>#NAME?</v>
      </c>
      <c r="H1712" t="e">
        <f ca="1">_xludf.IMAGE("https://m.media-amazon.com/images/I/51j2kkzuqAL._AC_UL320_.jpg")</f>
        <v>#NAME?</v>
      </c>
      <c r="I1712" t="s">
        <v>26</v>
      </c>
      <c r="J1712">
        <v>29.99</v>
      </c>
      <c r="K1712" s="4">
        <v>0</v>
      </c>
      <c r="L1712">
        <v>4.2</v>
      </c>
      <c r="M1712">
        <v>9</v>
      </c>
      <c r="O1712" t="s">
        <v>25</v>
      </c>
      <c r="P1712" t="s">
        <v>4650</v>
      </c>
      <c r="Q1712" t="s">
        <v>4651</v>
      </c>
    </row>
    <row r="1713" spans="1:17" ht="15.5" x14ac:dyDescent="0.35">
      <c r="A1713" s="3" t="str">
        <f>HYPERLINK("https://edmondsonsupply.com/collections/hvac/products/testo-0590-7501-750-1-digital-voltage-tester", "https://edmondsonsupply.com/collections/hvac/products/testo-0590-7501-750-1-digital-voltage-tester")</f>
        <v>https://edmondsonsupply.com/collections/hvac/products/testo-0590-7501-750-1-digital-voltage-tester</v>
      </c>
      <c r="B1713" s="3" t="str">
        <f>HYPERLINK("https://edmondsonsupply.com/products/testo-0590-7501-750-1-digital-voltage-tester", "https://edmondsonsupply.com/products/testo-0590-7501-750-1-digital-voltage-tester")</f>
        <v>https://edmondsonsupply.com/products/testo-0590-7501-750-1-digital-voltage-tester</v>
      </c>
      <c r="C1713" t="s">
        <v>4652</v>
      </c>
      <c r="D1713" t="s">
        <v>4653</v>
      </c>
      <c r="E1713" s="3" t="str">
        <f>HYPERLINK("https://www.amazon.com/Testo-750-1-Digital-Voltage-Rotation/dp/B01F3MPHKM/ref=sr_1_4?keywords=Testo+0590+7501+750-1+-+Digital+Voltage+Tester&amp;qid=1695173741&amp;sr=8-4", "https://www.amazon.com/Testo-750-1-Digital-Voltage-Rotation/dp/B01F3MPHKM/ref=sr_1_4?keywords=Testo+0590+7501+750-1+-+Digital+Voltage+Tester&amp;qid=1695173741&amp;sr=8-4")</f>
        <v>https://www.amazon.com/Testo-750-1-Digital-Voltage-Rotation/dp/B01F3MPHKM/ref=sr_1_4?keywords=Testo+0590+7501+750-1+-+Digital+Voltage+Tester&amp;qid=1695173741&amp;sr=8-4</v>
      </c>
      <c r="F1713" t="s">
        <v>4654</v>
      </c>
      <c r="G1713" t="e">
        <f ca="1">_xludf.IMAGE("https://edmondsonsupply.com/cdn/shop/files/testo-750-1-voltage-tester-free-front_master.jpg?v=1688221652")</f>
        <v>#NAME?</v>
      </c>
      <c r="H1713" t="e">
        <f ca="1">_xludf.IMAGE("https://m.media-amazon.com/images/I/81QThICNtIL._AC_UY218_.jpg")</f>
        <v>#NAME?</v>
      </c>
      <c r="I1713" t="s">
        <v>4655</v>
      </c>
      <c r="J1713">
        <v>62.05</v>
      </c>
      <c r="K1713" s="4">
        <v>0</v>
      </c>
      <c r="L1713">
        <v>4.8</v>
      </c>
      <c r="M1713">
        <v>50</v>
      </c>
      <c r="O1713" t="s">
        <v>25</v>
      </c>
      <c r="P1713" t="s">
        <v>4656</v>
      </c>
      <c r="Q1713" t="s">
        <v>4657</v>
      </c>
    </row>
    <row r="1714" spans="1:17" ht="15.5" x14ac:dyDescent="0.35">
      <c r="A1714" s="3" t="str">
        <f>HYPERLINK("https://edmondsonsupply.com/collections/hvac/products/klein-tools-2402s-offset-straight-cutting-aviation-snips", "https://edmondsonsupply.com/collections/hvac/products/klein-tools-2402s-offset-straight-cutting-aviation-snips")</f>
        <v>https://edmondsonsupply.com/collections/hvac/products/klein-tools-2402s-offset-straight-cutting-aviation-snips</v>
      </c>
      <c r="B1714" s="3" t="str">
        <f>HYPERLINK("https://edmondsonsupply.com/products/klein-tools-2402s-offset-straight-cutting-aviation-snips", "https://edmondsonsupply.com/products/klein-tools-2402s-offset-straight-cutting-aviation-snips")</f>
        <v>https://edmondsonsupply.com/products/klein-tools-2402s-offset-straight-cutting-aviation-snips</v>
      </c>
      <c r="C1714" t="s">
        <v>4658</v>
      </c>
      <c r="D1714" t="s">
        <v>4659</v>
      </c>
      <c r="E1714" s="3" t="str">
        <f>HYPERLINK("https://www.amazon.com/Klein-Tools-2402S-Straight-Cutting-Precision/dp/B0C4C4SLCZ/ref=sr_1_1?keywords=Klein+Tools+2402S+Offset+Straight-Cutting+Aviation+Snips&amp;qid=1695173738&amp;sr=8-1", "https://www.amazon.com/Klein-Tools-2402S-Straight-Cutting-Precision/dp/B0C4C4SLCZ/ref=sr_1_1?keywords=Klein+Tools+2402S+Offset+Straight-Cutting+Aviation+Snips&amp;qid=1695173738&amp;sr=8-1")</f>
        <v>https://www.amazon.com/Klein-Tools-2402S-Straight-Cutting-Precision/dp/B0C4C4SLCZ/ref=sr_1_1?keywords=Klein+Tools+2402S+Offset+Straight-Cutting+Aviation+Snips&amp;qid=1695173738&amp;sr=8-1</v>
      </c>
      <c r="F1714" t="s">
        <v>4660</v>
      </c>
      <c r="G1714" t="e">
        <f ca="1">_xludf.IMAGE("https://edmondsonsupply.com/cdn/shop/files/2402s.jpg?v=1689777219")</f>
        <v>#NAME?</v>
      </c>
      <c r="H1714" t="e">
        <f ca="1">_xludf.IMAGE("https://m.media-amazon.com/images/I/41qine7ziOL._AC_UL320_.jpg")</f>
        <v>#NAME?</v>
      </c>
      <c r="I1714" t="s">
        <v>471</v>
      </c>
      <c r="J1714">
        <v>24.99</v>
      </c>
      <c r="K1714" s="4">
        <v>0</v>
      </c>
      <c r="L1714">
        <v>4.2</v>
      </c>
      <c r="M1714">
        <v>11</v>
      </c>
      <c r="O1714" t="s">
        <v>25</v>
      </c>
      <c r="P1714" t="s">
        <v>602</v>
      </c>
      <c r="Q1714" t="s">
        <v>4661</v>
      </c>
    </row>
    <row r="1715" spans="1:17" ht="15.5" x14ac:dyDescent="0.35">
      <c r="A1715" s="3" t="str">
        <f>HYPERLINK("https://edmondsonsupply.com/collections/hvac/products/klein-tools-pnd-12-5-1-2-inch-power-nut-driver-5-inch-length", "https://edmondsonsupply.com/collections/hvac/products/klein-tools-pnd-12-5-1-2-inch-power-nut-driver-5-inch-length")</f>
        <v>https://edmondsonsupply.com/collections/hvac/products/klein-tools-pnd-12-5-1-2-inch-power-nut-driver-5-inch-length</v>
      </c>
      <c r="B1715" s="3" t="str">
        <f>HYPERLINK("https://edmondsonsupply.com/products/klein-tools-pnd-12-5-1-2-inch-power-nut-driver-5-inch-length", "https://edmondsonsupply.com/products/klein-tools-pnd-12-5-1-2-inch-power-nut-driver-5-inch-length")</f>
        <v>https://edmondsonsupply.com/products/klein-tools-pnd-12-5-1-2-inch-power-nut-driver-5-inch-length</v>
      </c>
      <c r="C1715" t="s">
        <v>1684</v>
      </c>
      <c r="D1715" t="s">
        <v>4662</v>
      </c>
      <c r="E1715" s="3" t="str">
        <f>HYPERLINK("https://www.amazon.com/2-Inch-Driver-Klein-Tools-PND125/dp/B00ELGQJT0/ref=sr_1_1?keywords=Klein+Tools+PND-12-5+1%2F2-Inch+Power+Nut+Driver+5-Inch+Length&amp;qid=1695173525&amp;sr=8-1", "https://www.amazon.com/2-Inch-Driver-Klein-Tools-PND125/dp/B00ELGQJT0/ref=sr_1_1?keywords=Klein+Tools+PND-12-5+1%2F2-Inch+Power+Nut+Driver+5-Inch+Length&amp;qid=1695173525&amp;sr=8-1")</f>
        <v>https://www.amazon.com/2-Inch-Driver-Klein-Tools-PND125/dp/B00ELGQJT0/ref=sr_1_1?keywords=Klein+Tools+PND-12-5+1%2F2-Inch+Power+Nut+Driver+5-Inch+Length&amp;qid=1695173525&amp;sr=8-1</v>
      </c>
      <c r="F1715" t="s">
        <v>4663</v>
      </c>
      <c r="G1715" t="e">
        <f ca="1">_xludf.IMAGE("https://edmondsonsupply.com/cdn/shop/products/pnd125.jpg?v=1633031028")</f>
        <v>#NAME?</v>
      </c>
      <c r="H1715" t="e">
        <f ca="1">_xludf.IMAGE("https://m.media-amazon.com/images/I/41vRVkuMIDL._AC_UL320_.jpg")</f>
        <v>#NAME?</v>
      </c>
      <c r="I1715" t="s">
        <v>1687</v>
      </c>
      <c r="J1715">
        <v>18.989999999999998</v>
      </c>
      <c r="K1715" s="4">
        <v>0</v>
      </c>
      <c r="L1715">
        <v>4.5999999999999996</v>
      </c>
      <c r="M1715">
        <v>1108</v>
      </c>
      <c r="O1715" t="s">
        <v>25</v>
      </c>
      <c r="P1715" t="s">
        <v>1688</v>
      </c>
      <c r="Q1715" t="s">
        <v>1689</v>
      </c>
    </row>
    <row r="1716" spans="1:17" ht="15.5" x14ac:dyDescent="0.35">
      <c r="A1716" s="3" t="str">
        <f>HYPERLINK("https://edmondsonsupply.com/collections/hvac/products/fieldpiece-mg44-wireless-vacuum-gauge", "https://edmondsonsupply.com/collections/hvac/products/fieldpiece-mg44-wireless-vacuum-gauge")</f>
        <v>https://edmondsonsupply.com/collections/hvac/products/fieldpiece-mg44-wireless-vacuum-gauge</v>
      </c>
      <c r="B1716" s="3" t="str">
        <f>HYPERLINK("https://edmondsonsupply.com/products/fieldpiece-mg44-wireless-vacuum-gauge", "https://edmondsonsupply.com/products/fieldpiece-mg44-wireless-vacuum-gauge")</f>
        <v>https://edmondsonsupply.com/products/fieldpiece-mg44-wireless-vacuum-gauge</v>
      </c>
      <c r="C1716" t="s">
        <v>4664</v>
      </c>
      <c r="D1716" t="s">
        <v>4665</v>
      </c>
      <c r="E1716" s="3" t="str">
        <f>HYPERLINK("https://www.amazon.com/Fieldpiece-MG44-Wireless-Vacuum-Gauge/dp/B099F3CNQW/ref=sr_1_1?keywords=Fieldpiece+MG44+Wireless+Vacuum+Gauge&amp;qid=1695173515&amp;sr=8-1", "https://www.amazon.com/Fieldpiece-MG44-Wireless-Vacuum-Gauge/dp/B099F3CNQW/ref=sr_1_1?keywords=Fieldpiece+MG44+Wireless+Vacuum+Gauge&amp;qid=1695173515&amp;sr=8-1")</f>
        <v>https://www.amazon.com/Fieldpiece-MG44-Wireless-Vacuum-Gauge/dp/B099F3CNQW/ref=sr_1_1?keywords=Fieldpiece+MG44+Wireless+Vacuum+Gauge&amp;qid=1695173515&amp;sr=8-1</v>
      </c>
      <c r="F1716" t="s">
        <v>4666</v>
      </c>
      <c r="G1716" t="e">
        <f ca="1">_xludf.IMAGE("https://edmondsonsupply.com/cdn/shop/products/MG44.png?v=1633031114")</f>
        <v>#NAME?</v>
      </c>
      <c r="H1716" t="e">
        <f ca="1">_xludf.IMAGE("https://m.media-amazon.com/images/I/31fW9GwriUL._AC_UL320_.jpg")</f>
        <v>#NAME?</v>
      </c>
      <c r="I1716" t="s">
        <v>4667</v>
      </c>
      <c r="J1716">
        <v>231.2</v>
      </c>
      <c r="K1716" s="4">
        <v>0</v>
      </c>
      <c r="L1716">
        <v>4.5999999999999996</v>
      </c>
      <c r="M1716">
        <v>246</v>
      </c>
      <c r="O1716" t="s">
        <v>25</v>
      </c>
      <c r="P1716" t="s">
        <v>4668</v>
      </c>
      <c r="Q1716" t="s">
        <v>4669</v>
      </c>
    </row>
    <row r="1717" spans="1:17" ht="15.5" x14ac:dyDescent="0.35">
      <c r="A1717" s="3" t="str">
        <f>HYPERLINK("https://edmondsonsupply.com/collections/hvac/products/fieldpiece-sdmn5", "https://edmondsonsupply.com/collections/hvac/products/fieldpiece-sdmn5")</f>
        <v>https://edmondsonsupply.com/collections/hvac/products/fieldpiece-sdmn5</v>
      </c>
      <c r="B1717" s="3" t="str">
        <f>HYPERLINK("https://edmondsonsupply.com/products/fieldpiece-sdmn5", "https://edmondsonsupply.com/products/fieldpiece-sdmn5")</f>
        <v>https://edmondsonsupply.com/products/fieldpiece-sdmn5</v>
      </c>
      <c r="C1717" t="s">
        <v>4670</v>
      </c>
      <c r="D1717" t="s">
        <v>4671</v>
      </c>
      <c r="E1717" s="3" t="str">
        <f>HYPERLINK("https://www.amazon.com/Fieldpiece-SDMN5-Dual-Port-Manometer/dp/B000UV0F9U/ref=sr_1_1?keywords=Fieldpiece+SDMN5+Dual+Port+Manometer&amp;qid=1695173551&amp;sr=8-1", "https://www.amazon.com/Fieldpiece-SDMN5-Dual-Port-Manometer/dp/B000UV0F9U/ref=sr_1_1?keywords=Fieldpiece+SDMN5+Dual+Port+Manometer&amp;qid=1695173551&amp;sr=8-1")</f>
        <v>https://www.amazon.com/Fieldpiece-SDMN5-Dual-Port-Manometer/dp/B000UV0F9U/ref=sr_1_1?keywords=Fieldpiece+SDMN5+Dual+Port+Manometer&amp;qid=1695173551&amp;sr=8-1</v>
      </c>
      <c r="F1717" t="s">
        <v>4672</v>
      </c>
      <c r="G1717" t="e">
        <f ca="1">_xludf.IMAGE("https://edmondsonsupply.com/cdn/shop/products/SDMN5-SRC-product-KIT.jpg?v=1633030149")</f>
        <v>#NAME?</v>
      </c>
      <c r="H1717" t="e">
        <f ca="1">_xludf.IMAGE("https://m.media-amazon.com/images/I/51Z2hbLZvaL._AC_UY218_.jpg")</f>
        <v>#NAME?</v>
      </c>
      <c r="I1717" t="s">
        <v>4673</v>
      </c>
      <c r="J1717">
        <v>164.05</v>
      </c>
      <c r="K1717" s="4">
        <v>0</v>
      </c>
      <c r="L1717">
        <v>4.7</v>
      </c>
      <c r="M1717">
        <v>574</v>
      </c>
      <c r="O1717" t="s">
        <v>25</v>
      </c>
      <c r="P1717" t="s">
        <v>4674</v>
      </c>
      <c r="Q1717" t="s">
        <v>4675</v>
      </c>
    </row>
    <row r="1718" spans="1:17" ht="15.5" x14ac:dyDescent="0.35">
      <c r="A1718" s="3" t="str">
        <f>HYPERLINK("https://edmondsonsupply.com/collections/hvac/products/klein-tools-55421bp-14-tradesman-pro%E2%84%A2-tool-bag-backpack-39-pockets-black-14-inch", "https://edmondsonsupply.com/collections/hvac/products/klein-tools-55421bp-14-tradesman-pro%E2%84%A2-tool-bag-backpack-39-pockets-black-14-inch")</f>
        <v>https://edmondsonsupply.com/collections/hvac/products/klein-tools-55421bp-14-tradesman-pro%E2%84%A2-tool-bag-backpack-39-pockets-black-14-inch</v>
      </c>
      <c r="B1718"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1718" t="s">
        <v>542</v>
      </c>
      <c r="D1718" t="s">
        <v>543</v>
      </c>
      <c r="E1718" s="3" t="str">
        <f>HYPERLINK("https://www.amazon.com/Electrician-Tradesman-Klein-Tools-55421BP-14/dp/B00MK9UY0A/ref=sr_1_1?keywords=Klein+Tools+55421BP-14+Tradesman+Pro%E2%84%A2+Tool+Bag+Backpack%2C+39+Pockets%2C+Black%2C+14-Inch&amp;qid=1695173508&amp;sr=8-1", "https://www.amazon.com/Electrician-Tradesman-Klein-Tools-55421BP-14/dp/B00MK9UY0A/ref=sr_1_1?keywords=Klein+Tools+55421BP-14+Tradesman+Pro%E2%84%A2+Tool+Bag+Backpack%2C+39+Pockets%2C+Black%2C+14-Inch&amp;qid=1695173508&amp;sr=8-1")</f>
        <v>https://www.amazon.com/Electrician-Tradesman-Klein-Tools-55421BP-14/dp/B00MK9UY0A/ref=sr_1_1?keywords=Klein+Tools+55421BP-14+Tradesman+Pro%E2%84%A2+Tool+Bag+Backpack%2C+39+Pockets%2C+Black%2C+14-Inch&amp;qid=1695173508&amp;sr=8-1</v>
      </c>
      <c r="F1718" t="s">
        <v>544</v>
      </c>
      <c r="G1718" t="e">
        <f ca="1">_xludf.IMAGE("https://edmondsonsupply.com/cdn/shop/products/55421bp-14_photo.jpg?v=1660827337")</f>
        <v>#NAME?</v>
      </c>
      <c r="H1718" t="e">
        <f ca="1">_xludf.IMAGE("https://m.media-amazon.com/images/I/611s5jIgqGL._AC_UL320_.jpg")</f>
        <v>#NAME?</v>
      </c>
      <c r="I1718" t="s">
        <v>545</v>
      </c>
      <c r="J1718">
        <v>99.97</v>
      </c>
      <c r="K1718" s="4">
        <v>0</v>
      </c>
      <c r="L1718">
        <v>4.7</v>
      </c>
      <c r="M1718">
        <v>4986</v>
      </c>
      <c r="O1718" t="s">
        <v>25</v>
      </c>
      <c r="P1718" t="s">
        <v>546</v>
      </c>
      <c r="Q1718" t="s">
        <v>547</v>
      </c>
    </row>
    <row r="1719" spans="1:17" ht="15.5" x14ac:dyDescent="0.35">
      <c r="A1719"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719" s="3" t="str">
        <f>HYPERLINK("https://edmondsonsupply.com/products/klein-tools-646-5-16-5-16-inch-nut-driver-6-inch-hollow-shaft", "https://edmondsonsupply.com/products/klein-tools-646-5-16-5-16-inch-nut-driver-6-inch-hollow-shaft")</f>
        <v>https://edmondsonsupply.com/products/klein-tools-646-5-16-5-16-inch-nut-driver-6-inch-hollow-shaft</v>
      </c>
      <c r="C1719" t="s">
        <v>1893</v>
      </c>
      <c r="D1719" t="s">
        <v>4676</v>
      </c>
      <c r="E1719" s="3" t="str">
        <f>HYPERLINK("https://www.amazon.com/16-Inch-Driver-Cushion-Klein-Tools/dp/B000LEZVWM/ref=sr_1_1?keywords=Klein+Tools+646-5%2F16+5%2F16-Inch+Nut+Driver%2C+6-Inch+Hollow+Shaft&amp;qid=1695173549&amp;sr=8-1", "https://www.amazon.com/16-Inch-Driver-Cushion-Klein-Tools/dp/B000LEZVWM/ref=sr_1_1?keywords=Klein+Tools+646-5%2F16+5%2F16-Inch+Nut+Driver%2C+6-Inch+Hollow+Shaft&amp;qid=1695173549&amp;sr=8-1")</f>
        <v>https://www.amazon.com/16-Inch-Driver-Cushion-Klein-Tools/dp/B000LEZVWM/ref=sr_1_1?keywords=Klein+Tools+646-5%2F16+5%2F16-Inch+Nut+Driver%2C+6-Inch+Hollow+Shaft&amp;qid=1695173549&amp;sr=8-1</v>
      </c>
      <c r="F1719" t="s">
        <v>4677</v>
      </c>
      <c r="G1719" t="e">
        <f ca="1">_xludf.IMAGE("https://edmondsonsupply.com/cdn/shop/products/646-1-2_e1540905-f750-4509-90c5-74ff653e4d83.jpg?v=1587145119")</f>
        <v>#NAME?</v>
      </c>
      <c r="H1719" t="e">
        <f ca="1">_xludf.IMAGE("https://m.media-amazon.com/images/I/31sSFYGqdfL._AC_UL320_.jpg")</f>
        <v>#NAME?</v>
      </c>
      <c r="I1719" t="s">
        <v>1003</v>
      </c>
      <c r="J1719">
        <v>7.99</v>
      </c>
      <c r="K1719" s="4">
        <v>0</v>
      </c>
      <c r="L1719">
        <v>4.8</v>
      </c>
      <c r="M1719">
        <v>2497</v>
      </c>
      <c r="O1719" t="s">
        <v>25</v>
      </c>
      <c r="P1719" t="s">
        <v>1481</v>
      </c>
      <c r="Q1719" t="s">
        <v>1896</v>
      </c>
    </row>
    <row r="1720" spans="1:17" ht="15.5" x14ac:dyDescent="0.35">
      <c r="A1720" s="3" t="str">
        <f>HYPERLINK("https://edmondsonsupply.com/collections/hvac/products/fieldpiece-cat85k2-combustion-analyzer-hc-with-printer", "https://edmondsonsupply.com/collections/hvac/products/fieldpiece-cat85k2-combustion-analyzer-hc-with-printer")</f>
        <v>https://edmondsonsupply.com/collections/hvac/products/fieldpiece-cat85k2-combustion-analyzer-hc-with-printer</v>
      </c>
      <c r="B1720" s="3" t="str">
        <f>HYPERLINK("https://edmondsonsupply.com/products/fieldpiece-cat85k2-combustion-analyzer-hc-with-printer", "https://edmondsonsupply.com/products/fieldpiece-cat85k2-combustion-analyzer-hc-with-printer")</f>
        <v>https://edmondsonsupply.com/products/fieldpiece-cat85k2-combustion-analyzer-hc-with-printer</v>
      </c>
      <c r="C1720" t="s">
        <v>4678</v>
      </c>
      <c r="D1720" t="s">
        <v>4679</v>
      </c>
      <c r="E1720" s="3" t="str">
        <f>HYPERLINK("https://www.amazon.com/Fieldpiece-CAT85K2-Combustion-Built-Manometer/dp/B0BL6M4WLL/ref=sr_1_1?keywords=Fieldpiece+CAT85K2+Combustion+Analyzer+HC+with+Printer&amp;qid=1695173507&amp;sr=8-1", "https://www.amazon.com/Fieldpiece-CAT85K2-Combustion-Built-Manometer/dp/B0BL6M4WLL/ref=sr_1_1?keywords=Fieldpiece+CAT85K2+Combustion+Analyzer+HC+with+Printer&amp;qid=1695173507&amp;sr=8-1")</f>
        <v>https://www.amazon.com/Fieldpiece-CAT85K2-Combustion-Built-Manometer/dp/B0BL6M4WLL/ref=sr_1_1?keywords=Fieldpiece+CAT85K2+Combustion+Analyzer+HC+with+Printer&amp;qid=1695173507&amp;sr=8-1</v>
      </c>
      <c r="F1720" t="s">
        <v>4680</v>
      </c>
      <c r="G1720" t="e">
        <f ca="1">_xludf.IMAGE("https://edmondsonsupply.com/cdn/shop/products/85_3e330996-d498-4c0e-a042-f1fa53ea7231.png?v=1669936449")</f>
        <v>#NAME?</v>
      </c>
      <c r="H1720" t="e">
        <f ca="1">_xludf.IMAGE("https://m.media-amazon.com/images/I/51DqJhxnVGL._AC_UY218_.jpg")</f>
        <v>#NAME?</v>
      </c>
      <c r="I1720" t="s">
        <v>4681</v>
      </c>
      <c r="J1720">
        <v>1897.2</v>
      </c>
      <c r="K1720" s="4">
        <v>0</v>
      </c>
      <c r="L1720">
        <v>4.5999999999999996</v>
      </c>
      <c r="M1720">
        <v>3</v>
      </c>
      <c r="O1720" t="s">
        <v>171</v>
      </c>
      <c r="P1720" t="s">
        <v>4682</v>
      </c>
      <c r="Q1720" t="s">
        <v>4683</v>
      </c>
    </row>
    <row r="1721" spans="1:17" ht="15.5" x14ac:dyDescent="0.35">
      <c r="A1721" s="3" t="str">
        <f>HYPERLINK("https://edmondsonsupply.com/collections/hvac/products/klein-tools-646-5-16-5-16-inch-nut-driver-6-inch-hollow-shaft", "https://edmondsonsupply.com/collections/hvac/products/klein-tools-646-5-16-5-16-inch-nut-driver-6-inch-hollow-shaft")</f>
        <v>https://edmondsonsupply.com/collections/hvac/products/klein-tools-646-5-16-5-16-inch-nut-driver-6-inch-hollow-shaft</v>
      </c>
      <c r="B1721" s="3" t="str">
        <f>HYPERLINK("https://edmondsonsupply.com/products/klein-tools-646-5-16-5-16-inch-nut-driver-6-inch-hollow-shaft", "https://edmondsonsupply.com/products/klein-tools-646-5-16-5-16-inch-nut-driver-6-inch-hollow-shaft")</f>
        <v>https://edmondsonsupply.com/products/klein-tools-646-5-16-5-16-inch-nut-driver-6-inch-hollow-shaft</v>
      </c>
      <c r="C1721" t="s">
        <v>1893</v>
      </c>
      <c r="D1721" t="s">
        <v>4684</v>
      </c>
      <c r="E1721" s="3" t="str">
        <f>HYPERLINK("https://www.amazon.com/Klein-Tools-S106-16-Inch-Driver/dp/B000936PDO/ref=sr_1_2?keywords=Klein+Tools+646-5%2F16+5%2F16-Inch+Nut+Driver%2C+6-Inch+Hollow+Shaft&amp;qid=1695173549&amp;sr=8-2", "https://www.amazon.com/Klein-Tools-S106-16-Inch-Driver/dp/B000936PDO/ref=sr_1_2?keywords=Klein+Tools+646-5%2F16+5%2F16-Inch+Nut+Driver%2C+6-Inch+Hollow+Shaft&amp;qid=1695173549&amp;sr=8-2")</f>
        <v>https://www.amazon.com/Klein-Tools-S106-16-Inch-Driver/dp/B000936PDO/ref=sr_1_2?keywords=Klein+Tools+646-5%2F16+5%2F16-Inch+Nut+Driver%2C+6-Inch+Hollow+Shaft&amp;qid=1695173549&amp;sr=8-2</v>
      </c>
      <c r="F1721" t="s">
        <v>4685</v>
      </c>
      <c r="G1721" t="e">
        <f ca="1">_xludf.IMAGE("https://edmondsonsupply.com/cdn/shop/products/646-1-2_e1540905-f750-4509-90c5-74ff653e4d83.jpg?v=1587145119")</f>
        <v>#NAME?</v>
      </c>
      <c r="H1721" t="e">
        <f ca="1">_xludf.IMAGE("https://m.media-amazon.com/images/I/41MR57vMQTL._AC_UL320_.jpg")</f>
        <v>#NAME?</v>
      </c>
      <c r="I1721" t="s">
        <v>1003</v>
      </c>
      <c r="J1721">
        <v>7.99</v>
      </c>
      <c r="K1721" s="4">
        <v>0</v>
      </c>
      <c r="L1721">
        <v>4.5</v>
      </c>
      <c r="M1721">
        <v>151</v>
      </c>
      <c r="O1721" t="s">
        <v>25</v>
      </c>
      <c r="P1721" t="s">
        <v>1481</v>
      </c>
      <c r="Q1721" t="s">
        <v>1896</v>
      </c>
    </row>
    <row r="1722" spans="1:17" ht="15.5" x14ac:dyDescent="0.35">
      <c r="A1722" s="3" t="str">
        <f>HYPERLINK("https://edmondsonsupply.com/collections/hvac/products/klein-tools-60439-neck-and-face-cooling-band", "https://edmondsonsupply.com/collections/hvac/products/klein-tools-60439-neck-and-face-cooling-band")</f>
        <v>https://edmondsonsupply.com/collections/hvac/products/klein-tools-60439-neck-and-face-cooling-band</v>
      </c>
      <c r="B1722" s="3" t="str">
        <f>HYPERLINK("https://edmondsonsupply.com/products/klein-tools-60439-neck-and-face-cooling-band", "https://edmondsonsupply.com/products/klein-tools-60439-neck-and-face-cooling-band")</f>
        <v>https://edmondsonsupply.com/products/klein-tools-60439-neck-and-face-cooling-band</v>
      </c>
      <c r="C1722" t="s">
        <v>3346</v>
      </c>
      <c r="D1722" t="s">
        <v>4686</v>
      </c>
      <c r="E1722" s="3" t="str">
        <f>HYPERLINK("https://www.amazon.com/Klein-60465-Evaporative-Performance-Protection/dp/B08L5LWPH3/ref=sr_1_2?keywords=Klein+Tools+60439+Neck+and+Face+Cooling+Band&amp;qid=1695173556&amp;sr=8-2", "https://www.amazon.com/Klein-60465-Evaporative-Performance-Protection/dp/B08L5LWPH3/ref=sr_1_2?keywords=Klein+Tools+60439+Neck+and+Face+Cooling+Band&amp;qid=1695173556&amp;sr=8-2")</f>
        <v>https://www.amazon.com/Klein-60465-Evaporative-Performance-Protection/dp/B08L5LWPH3/ref=sr_1_2?keywords=Klein+Tools+60439+Neck+and+Face+Cooling+Band&amp;qid=1695173556&amp;sr=8-2</v>
      </c>
      <c r="F1722" t="s">
        <v>4687</v>
      </c>
      <c r="G1722" t="e">
        <f ca="1">_xludf.IMAGE("https://edmondsonsupply.com/cdn/shop/products/60439.jpg?v=1633030400")</f>
        <v>#NAME?</v>
      </c>
      <c r="H1722" t="e">
        <f ca="1">_xludf.IMAGE("https://m.media-amazon.com/images/I/61XfIfPNM0L._AC_UL320_.jpg")</f>
        <v>#NAME?</v>
      </c>
      <c r="I1722" t="s">
        <v>2577</v>
      </c>
      <c r="J1722">
        <v>9.99</v>
      </c>
      <c r="K1722" s="4">
        <v>0</v>
      </c>
      <c r="L1722">
        <v>4.4000000000000004</v>
      </c>
      <c r="M1722">
        <v>67</v>
      </c>
      <c r="O1722" t="s">
        <v>25</v>
      </c>
      <c r="P1722" t="s">
        <v>1271</v>
      </c>
      <c r="Q1722" t="s">
        <v>3349</v>
      </c>
    </row>
    <row r="1723" spans="1:17" ht="15.5" x14ac:dyDescent="0.35">
      <c r="A1723" s="3" t="str">
        <f>HYPERLINK("https://edmondsonsupply.com/collections/hvac/products/klein-tools-s12hb-grip-it%E2%84%A2-strap-wrench-1-1-2-to-5-inch-12-inch-handle", "https://edmondsonsupply.com/collections/hvac/products/klein-tools-s12hb-grip-it%E2%84%A2-strap-wrench-1-1-2-to-5-inch-12-inch-handle")</f>
        <v>https://edmondsonsupply.com/collections/hvac/products/klein-tools-s12hb-grip-it%E2%84%A2-strap-wrench-1-1-2-to-5-inch-12-inch-handle</v>
      </c>
      <c r="B1723" s="3" t="str">
        <f>HYPERLINK("https://edmondsonsupply.com/products/klein-tools-s12hb-grip-it%e2%84%a2-strap-wrench-1-1-2-to-5-inch-12-inch-handle", "https://edmondsonsupply.com/products/klein-tools-s12hb-grip-it%e2%84%a2-strap-wrench-1-1-2-to-5-inch-12-inch-handle")</f>
        <v>https://edmondsonsupply.com/products/klein-tools-s12hb-grip-it%e2%84%a2-strap-wrench-1-1-2-to-5-inch-12-inch-handle</v>
      </c>
      <c r="C1723" t="s">
        <v>3065</v>
      </c>
      <c r="D1723" t="s">
        <v>4688</v>
      </c>
      <c r="E1723" s="3" t="str">
        <f>HYPERLINK("https://www.amazon.com/Klein-Tools-S12HB-Adjustable-Adjusts/dp/B0BN4LK3NS/ref=sr_1_1?keywords=Klein+Tools+S12HB+Grip-It%E2%84%A2+Strap+Wrench%2C+1-1%2F2+to+5-Inch%2C+12-Inch+Handle&amp;qid=1695173740&amp;sr=8-1", "https://www.amazon.com/Klein-Tools-S12HB-Adjustable-Adjusts/dp/B0BN4LK3NS/ref=sr_1_1?keywords=Klein+Tools+S12HB+Grip-It%E2%84%A2+Strap+Wrench%2C+1-1%2F2+to+5-Inch%2C+12-Inch+Handle&amp;qid=1695173740&amp;sr=8-1")</f>
        <v>https://www.amazon.com/Klein-Tools-S12HB-Adjustable-Adjusts/dp/B0BN4LK3NS/ref=sr_1_1?keywords=Klein+Tools+S12HB+Grip-It%E2%84%A2+Strap+Wrench%2C+1-1%2F2+to+5-Inch%2C+12-Inch+Handle&amp;qid=1695173740&amp;sr=8-1</v>
      </c>
      <c r="F1723" t="s">
        <v>4689</v>
      </c>
      <c r="G1723" t="e">
        <f ca="1">_xludf.IMAGE("https://edmondsonsupply.com/cdn/shop/files/s12hb_b.jpg?v=1689783564")</f>
        <v>#NAME?</v>
      </c>
      <c r="H1723" t="e">
        <f ca="1">_xludf.IMAGE("https://m.media-amazon.com/images/I/51-eUuVyB-L._AC_UL320_.jpg")</f>
        <v>#NAME?</v>
      </c>
      <c r="I1723" t="s">
        <v>577</v>
      </c>
      <c r="J1723">
        <v>19.989999999999998</v>
      </c>
      <c r="K1723" s="4">
        <v>0</v>
      </c>
      <c r="L1723">
        <v>4.2</v>
      </c>
      <c r="M1723">
        <v>9</v>
      </c>
      <c r="O1723" t="s">
        <v>25</v>
      </c>
      <c r="P1723" t="s">
        <v>3068</v>
      </c>
      <c r="Q1723" t="s">
        <v>3069</v>
      </c>
    </row>
    <row r="1724" spans="1:17" ht="15.5" x14ac:dyDescent="0.35">
      <c r="A1724" s="3" t="str">
        <f>HYPERLINK("https://edmondsonsupply.com/collections/hvac/products/klein-tools-44131-folding-utility-knife", "https://edmondsonsupply.com/collections/hvac/products/klein-tools-44131-folding-utility-knife")</f>
        <v>https://edmondsonsupply.com/collections/hvac/products/klein-tools-44131-folding-utility-knife</v>
      </c>
      <c r="B1724" s="3" t="str">
        <f>HYPERLINK("https://edmondsonsupply.com/products/klein-tools-44131-folding-utility-knife", "https://edmondsonsupply.com/products/klein-tools-44131-folding-utility-knife")</f>
        <v>https://edmondsonsupply.com/products/klein-tools-44131-folding-utility-knife</v>
      </c>
      <c r="C1724" t="s">
        <v>4138</v>
      </c>
      <c r="D1724" t="s">
        <v>4690</v>
      </c>
      <c r="E1724" s="3" t="str">
        <f>HYPERLINK("https://www.amazon.com/Folding-Utility-Klein-Tools-44131/dp/B00A9GGGYY/ref=sr_1_1?keywords=Klein+Tools+44131+Folding+Utility+Knife&amp;qid=1695173558&amp;sr=8-1", "https://www.amazon.com/Folding-Utility-Klein-Tools-44131/dp/B00A9GGGYY/ref=sr_1_1?keywords=Klein+Tools+44131+Folding+Utility+Knife&amp;qid=1695173558&amp;sr=8-1")</f>
        <v>https://www.amazon.com/Folding-Utility-Klein-Tools-44131/dp/B00A9GGGYY/ref=sr_1_1?keywords=Klein+Tools+44131+Folding+Utility+Knife&amp;qid=1695173558&amp;sr=8-1</v>
      </c>
      <c r="F1724" t="s">
        <v>4691</v>
      </c>
      <c r="G1724" t="e">
        <f ca="1">_xludf.IMAGE("https://edmondsonsupply.com/cdn/shop/files/44131.jpg?v=1685458449")</f>
        <v>#NAME?</v>
      </c>
      <c r="H1724" t="e">
        <f ca="1">_xludf.IMAGE("https://m.media-amazon.com/images/I/51bXPE+KhIL._AC_UL320_.jpg")</f>
        <v>#NAME?</v>
      </c>
      <c r="I1724" t="s">
        <v>893</v>
      </c>
      <c r="J1724">
        <v>19.97</v>
      </c>
      <c r="K1724" s="4">
        <v>0</v>
      </c>
      <c r="L1724">
        <v>4.5999999999999996</v>
      </c>
      <c r="M1724">
        <v>3083</v>
      </c>
      <c r="O1724" t="s">
        <v>25</v>
      </c>
      <c r="P1724" t="s">
        <v>4141</v>
      </c>
      <c r="Q1724" t="s">
        <v>4142</v>
      </c>
    </row>
    <row r="1725" spans="1:17" ht="15.5" x14ac:dyDescent="0.35">
      <c r="A1725" s="3" t="str">
        <f>HYPERLINK("https://edmondsonsupply.com/collections/hvac/products/fieldpiece-tc24-pipe-clamp-thermocouple-3-8-to-1-3-8-for-air-conditioning", "https://edmondsonsupply.com/collections/hvac/products/fieldpiece-tc24-pipe-clamp-thermocouple-3-8-to-1-3-8-for-air-conditioning")</f>
        <v>https://edmondsonsupply.com/collections/hvac/products/fieldpiece-tc24-pipe-clamp-thermocouple-3-8-to-1-3-8-for-air-conditioning</v>
      </c>
      <c r="B1725" s="3" t="str">
        <f>HYPERLINK("https://edmondsonsupply.com/products/fieldpiece-tc24-pipe-clamp-thermocouple-3-8-to-1-3-8-for-air-conditioning", "https://edmondsonsupply.com/products/fieldpiece-tc24-pipe-clamp-thermocouple-3-8-to-1-3-8-for-air-conditioning")</f>
        <v>https://edmondsonsupply.com/products/fieldpiece-tc24-pipe-clamp-thermocouple-3-8-to-1-3-8-for-air-conditioning</v>
      </c>
      <c r="C1725" t="s">
        <v>4692</v>
      </c>
      <c r="D1725" t="s">
        <v>4693</v>
      </c>
      <c r="E1725" s="3" t="str">
        <f>HYPERLINK("https://www.amazon.com/Fieldpiece-TC24-Refrigerator-Replacement-Parts/dp/B06XXNTVMM/ref=sr_1_1?keywords=Fieldpiece+TC24+Pipe+Clamp+Thermocouple&amp;qid=1695173561&amp;sr=8-1", "https://www.amazon.com/Fieldpiece-TC24-Refrigerator-Replacement-Parts/dp/B06XXNTVMM/ref=sr_1_1?keywords=Fieldpiece+TC24+Pipe+Clamp+Thermocouple&amp;qid=1695173561&amp;sr=8-1")</f>
        <v>https://www.amazon.com/Fieldpiece-TC24-Refrigerator-Replacement-Parts/dp/B06XXNTVMM/ref=sr_1_1?keywords=Fieldpiece+TC24+Pipe+Clamp+Thermocouple&amp;qid=1695173561&amp;sr=8-1</v>
      </c>
      <c r="F1725" t="s">
        <v>4694</v>
      </c>
      <c r="G1725" t="e">
        <f ca="1">_xludf.IMAGE("https://edmondsonsupply.com/cdn/shop/products/TC24-SRC-Product-300dpi.jpg?v=1633030118")</f>
        <v>#NAME?</v>
      </c>
      <c r="H1725" t="e">
        <f ca="1">_xludf.IMAGE("https://m.media-amazon.com/images/I/51IJYT+2jKL._AC_UY218_.jpg")</f>
        <v>#NAME?</v>
      </c>
      <c r="I1725" t="s">
        <v>4695</v>
      </c>
      <c r="J1725">
        <v>73.099999999999994</v>
      </c>
      <c r="K1725" s="4">
        <v>0</v>
      </c>
      <c r="L1725">
        <v>4.7</v>
      </c>
      <c r="M1725">
        <v>393</v>
      </c>
      <c r="O1725" t="s">
        <v>25</v>
      </c>
      <c r="P1725" t="s">
        <v>4696</v>
      </c>
      <c r="Q1725" t="s">
        <v>4697</v>
      </c>
    </row>
    <row r="1726" spans="1:17" ht="15.5" x14ac:dyDescent="0.35">
      <c r="A1726" s="3" t="str">
        <f>HYPERLINK("https://edmondsonsupply.com/collections/hvac/products/klein-tools-85616-precision-screwdriver-set-torx%C2%AE-4-piece", "https://edmondsonsupply.com/collections/hvac/products/klein-tools-85616-precision-screwdriver-set-torx%C2%AE-4-piece")</f>
        <v>https://edmondsonsupply.com/collections/hvac/products/klein-tools-85616-precision-screwdriver-set-torx%C2%AE-4-piece</v>
      </c>
      <c r="B1726" s="3" t="str">
        <f>HYPERLINK("https://edmondsonsupply.com/products/klein-tools-85616-precision-screwdriver-set-torx%c2%ae-4-piece", "https://edmondsonsupply.com/products/klein-tools-85616-precision-screwdriver-set-torx%c2%ae-4-piece")</f>
        <v>https://edmondsonsupply.com/products/klein-tools-85616-precision-screwdriver-set-torx%c2%ae-4-piece</v>
      </c>
      <c r="C1726" t="s">
        <v>2012</v>
      </c>
      <c r="D1726" t="s">
        <v>4698</v>
      </c>
      <c r="E1726" s="3" t="str">
        <f>HYPERLINK("https://www.amazon.com/Klein-Tools-85615-Screwdriver-Electronics/dp/B0C1QBJGVD/ref=sr_1_2?keywords=Klein+Tools+85616+Precision+Screwdriver+Set%2C+TORX%C2%AE+4-Piece&amp;qid=1695173734&amp;sr=8-2", "https://www.amazon.com/Klein-Tools-85615-Screwdriver-Electronics/dp/B0C1QBJGVD/ref=sr_1_2?keywords=Klein+Tools+85616+Precision+Screwdriver+Set%2C+TORX%C2%AE+4-Piece&amp;qid=1695173734&amp;sr=8-2")</f>
        <v>https://www.amazon.com/Klein-Tools-85615-Screwdriver-Electronics/dp/B0C1QBJGVD/ref=sr_1_2?keywords=Klein+Tools+85616+Precision+Screwdriver+Set%2C+TORX%C2%AE+4-Piece&amp;qid=1695173734&amp;sr=8-2</v>
      </c>
      <c r="F1726" t="s">
        <v>4699</v>
      </c>
      <c r="G1726" t="e">
        <f ca="1">_xludf.IMAGE("https://edmondsonsupply.com/cdn/shop/files/85616_kit.jpg?v=1689873488")</f>
        <v>#NAME?</v>
      </c>
      <c r="H1726" t="e">
        <f ca="1">_xludf.IMAGE("https://m.media-amazon.com/images/I/51YOOIPbR9L._AC_UL320_.jpg")</f>
        <v>#NAME?</v>
      </c>
      <c r="I1726" t="s">
        <v>893</v>
      </c>
      <c r="J1726">
        <v>19.97</v>
      </c>
      <c r="K1726" s="4">
        <v>0</v>
      </c>
      <c r="L1726">
        <v>4.5999999999999996</v>
      </c>
      <c r="M1726">
        <v>13</v>
      </c>
      <c r="O1726" t="s">
        <v>25</v>
      </c>
      <c r="P1726" t="s">
        <v>894</v>
      </c>
      <c r="Q1726" t="s">
        <v>2015</v>
      </c>
    </row>
    <row r="1727" spans="1:17" ht="15.5" x14ac:dyDescent="0.35">
      <c r="A1727" s="3" t="str">
        <f>HYPERLINK("https://edmondsonsupply.com/collections/hvac/products/channellock-804", "https://edmondsonsupply.com/collections/hvac/products/channellock-804")</f>
        <v>https://edmondsonsupply.com/collections/hvac/products/channellock-804</v>
      </c>
      <c r="B1727" s="3" t="str">
        <f>HYPERLINK("https://edmondsonsupply.com/products/channellock-804", "https://edmondsonsupply.com/products/channellock-804")</f>
        <v>https://edmondsonsupply.com/products/channellock-804</v>
      </c>
      <c r="C1727" t="s">
        <v>1551</v>
      </c>
      <c r="D1727" t="s">
        <v>4700</v>
      </c>
      <c r="E1727" s="3" t="str">
        <f>HYPERLINK("https://www.amazon.com/Channellock-804-4-5-Inch-Adjustable-Wrench/dp/B00004SBDK/ref=sr_1_3?keywords=Channellock+804+4-Inch+Chrome+Adjustable+Wrench&amp;qid=1695173641&amp;sr=8-3", "https://www.amazon.com/Channellock-804-4-5-Inch-Adjustable-Wrench/dp/B00004SBDK/ref=sr_1_3?keywords=Channellock+804+4-Inch+Chrome+Adjustable+Wrench&amp;qid=1695173641&amp;sr=8-3")</f>
        <v>https://www.amazon.com/Channellock-804-4-5-Inch-Adjustable-Wrench/dp/B00004SBDK/ref=sr_1_3?keywords=Channellock+804+4-Inch+Chrome+Adjustable+Wrench&amp;qid=1695173641&amp;sr=8-3</v>
      </c>
      <c r="F1727" t="s">
        <v>4701</v>
      </c>
      <c r="G1727" t="e">
        <f ca="1">_xludf.IMAGE("https://edmondsonsupply.com/cdn/shop/products/804-683x1024.jpg?v=1587145853")</f>
        <v>#NAME?</v>
      </c>
      <c r="H1727" t="e">
        <f ca="1">_xludf.IMAGE("https://m.media-amazon.com/images/I/71DERbexqEL._AC_UL320_.jpg")</f>
        <v>#NAME?</v>
      </c>
      <c r="I1727" t="s">
        <v>1554</v>
      </c>
      <c r="J1727">
        <v>16.95</v>
      </c>
      <c r="K1727" s="4">
        <v>0</v>
      </c>
      <c r="L1727">
        <v>4.7</v>
      </c>
      <c r="M1727">
        <v>571</v>
      </c>
      <c r="O1727" t="s">
        <v>25</v>
      </c>
      <c r="P1727" t="s">
        <v>1555</v>
      </c>
      <c r="Q1727" t="s">
        <v>1556</v>
      </c>
    </row>
    <row r="1728" spans="1:17" ht="15.5" x14ac:dyDescent="0.35">
      <c r="A1728" s="3" t="str">
        <f>HYPERLINK("https://edmondsonsupply.com/collections/hvac/products/fieldpiece-sc680", "https://edmondsonsupply.com/collections/hvac/products/fieldpiece-sc680")</f>
        <v>https://edmondsonsupply.com/collections/hvac/products/fieldpiece-sc680</v>
      </c>
      <c r="B1728" s="3" t="str">
        <f>HYPERLINK("https://edmondsonsupply.com/products/fieldpiece-sc680", "https://edmondsonsupply.com/products/fieldpiece-sc680")</f>
        <v>https://edmondsonsupply.com/products/fieldpiece-sc680</v>
      </c>
      <c r="C1728" t="s">
        <v>4702</v>
      </c>
      <c r="D1728" t="s">
        <v>4703</v>
      </c>
      <c r="E1728" s="3" t="str">
        <f>HYPERLINK("https://www.amazon.com/Fieldpiece-SC680-Wireless-Power-Clamp/dp/B0839M1W9X/ref=sr_1_3?keywords=Fieldpiece+SC680+Wireless+Power+Clamp+Meter&amp;qid=1695173447&amp;sr=8-3", "https://www.amazon.com/Fieldpiece-SC680-Wireless-Power-Clamp/dp/B0839M1W9X/ref=sr_1_3?keywords=Fieldpiece+SC680+Wireless+Power+Clamp+Meter&amp;qid=1695173447&amp;sr=8-3")</f>
        <v>https://www.amazon.com/Fieldpiece-SC680-Wireless-Power-Clamp/dp/B0839M1W9X/ref=sr_1_3?keywords=Fieldpiece+SC680+Wireless+Power+Clamp+Meter&amp;qid=1695173447&amp;sr=8-3</v>
      </c>
      <c r="F1728" t="s">
        <v>4704</v>
      </c>
      <c r="G1728" t="e">
        <f ca="1">_xludf.IMAGE("https://edmondsonsupply.com/cdn/shop/products/SC680-SRC-Product.jpg?v=1633030204")</f>
        <v>#NAME?</v>
      </c>
      <c r="H1728" t="e">
        <f ca="1">_xludf.IMAGE("https://m.media-amazon.com/images/I/41OLjC+UioL._AC_UY218_.jpg")</f>
        <v>#NAME?</v>
      </c>
      <c r="I1728" t="s">
        <v>4705</v>
      </c>
      <c r="J1728">
        <v>385.9</v>
      </c>
      <c r="K1728" s="4">
        <v>0</v>
      </c>
      <c r="L1728">
        <v>4.7</v>
      </c>
      <c r="M1728">
        <v>202</v>
      </c>
      <c r="O1728" t="s">
        <v>25</v>
      </c>
      <c r="P1728" t="s">
        <v>4706</v>
      </c>
      <c r="Q1728" t="s">
        <v>4707</v>
      </c>
    </row>
    <row r="1729" spans="1:17" ht="15.5" x14ac:dyDescent="0.35">
      <c r="A1729" s="3" t="str">
        <f>HYPERLINK("https://edmondsonsupply.com/collections/hvac/products/fieldpiece-vp87-8-cfm-vacuum-pump", "https://edmondsonsupply.com/collections/hvac/products/fieldpiece-vp87-8-cfm-vacuum-pump")</f>
        <v>https://edmondsonsupply.com/collections/hvac/products/fieldpiece-vp87-8-cfm-vacuum-pump</v>
      </c>
      <c r="B1729" s="3" t="str">
        <f>HYPERLINK("https://edmondsonsupply.com/products/fieldpiece-vp87-8-cfm-vacuum-pump", "https://edmondsonsupply.com/products/fieldpiece-vp87-8-cfm-vacuum-pump")</f>
        <v>https://edmondsonsupply.com/products/fieldpiece-vp87-8-cfm-vacuum-pump</v>
      </c>
      <c r="C1729" t="s">
        <v>4708</v>
      </c>
      <c r="D1729" t="s">
        <v>4709</v>
      </c>
      <c r="E1729" s="3" t="str">
        <f>HYPERLINK("https://www.amazon.com/Fieldpiece-VP87-Dual-Stage-Vacuum/dp/B096ZF285M/ref=sr_1_1?keywords=Fieldpiece+VP87+%E2%80%93+8+CFM+Vacuum+Pump&amp;qid=1695173533&amp;sr=8-1", "https://www.amazon.com/Fieldpiece-VP87-Dual-Stage-Vacuum/dp/B096ZF285M/ref=sr_1_1?keywords=Fieldpiece+VP87+%E2%80%93+8+CFM+Vacuum+Pump&amp;qid=1695173533&amp;sr=8-1")</f>
        <v>https://www.amazon.com/Fieldpiece-VP87-Dual-Stage-Vacuum/dp/B096ZF285M/ref=sr_1_1?keywords=Fieldpiece+VP87+%E2%80%93+8+CFM+Vacuum+Pump&amp;qid=1695173533&amp;sr=8-1</v>
      </c>
      <c r="F1729" t="s">
        <v>4710</v>
      </c>
      <c r="G1729" t="e">
        <f ca="1">_xludf.IMAGE("https://edmondsonsupply.com/cdn/shop/products/VP87-02-300dpi-scaled.jpg?v=1633031057")</f>
        <v>#NAME?</v>
      </c>
      <c r="H1729" t="e">
        <f ca="1">_xludf.IMAGE("https://m.media-amazon.com/images/I/514A-EXpMnL._AC_UL320_.jpg")</f>
        <v>#NAME?</v>
      </c>
      <c r="I1729" t="s">
        <v>4711</v>
      </c>
      <c r="J1729">
        <v>710.6</v>
      </c>
      <c r="K1729" s="4">
        <v>0</v>
      </c>
      <c r="L1729">
        <v>4.7</v>
      </c>
      <c r="M1729">
        <v>70</v>
      </c>
      <c r="O1729" t="s">
        <v>25</v>
      </c>
      <c r="P1729" t="s">
        <v>4712</v>
      </c>
      <c r="Q1729" t="s">
        <v>4713</v>
      </c>
    </row>
    <row r="1730" spans="1:17" ht="15.5" x14ac:dyDescent="0.35">
      <c r="A1730"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1730"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1730" t="s">
        <v>1848</v>
      </c>
      <c r="D1730" t="s">
        <v>958</v>
      </c>
      <c r="E1730" s="3" t="str">
        <f>HYPERLINK("https://www.amazon.com/Klein-60164-Professional-Protective-Resistant/dp/B08B4BNSHM/ref=sr_1_1?keywords=Klein+Tools+60164+Professional+Safety+Glasses%2C+Full+Frame%2C+Gray+Lens&amp;qid=1695173626&amp;sr=8-1", "https://www.amazon.com/Klein-60164-Professional-Protective-Resistant/dp/B08B4BNSHM/ref=sr_1_1?keywords=Klein+Tools+60164+Professional+Safety+Glasses%2C+Full+Frame%2C+Gray+Lens&amp;qid=1695173626&amp;sr=8-1")</f>
        <v>https://www.amazon.com/Klein-60164-Professional-Protective-Resistant/dp/B08B4BNSHM/ref=sr_1_1?keywords=Klein+Tools+60164+Professional+Safety+Glasses%2C+Full+Frame%2C+Gray+Lens&amp;qid=1695173626&amp;sr=8-1</v>
      </c>
      <c r="F1730" t="s">
        <v>959</v>
      </c>
      <c r="G1730" t="e">
        <f ca="1">_xludf.IMAGE("https://edmondsonsupply.com/cdn/shop/products/60164.jpg?v=1633030851")</f>
        <v>#NAME?</v>
      </c>
      <c r="H1730" t="e">
        <f ca="1">_xludf.IMAGE("https://m.media-amazon.com/images/I/41bNrH9NnFL._AC_UL320_.jpg")</f>
        <v>#NAME?</v>
      </c>
      <c r="I1730" t="s">
        <v>276</v>
      </c>
      <c r="J1730">
        <v>14.99</v>
      </c>
      <c r="K1730" s="4">
        <v>0</v>
      </c>
      <c r="L1730">
        <v>4.4000000000000004</v>
      </c>
      <c r="M1730">
        <v>463</v>
      </c>
      <c r="O1730" t="s">
        <v>25</v>
      </c>
      <c r="P1730" t="s">
        <v>277</v>
      </c>
      <c r="Q1730" t="s">
        <v>1849</v>
      </c>
    </row>
    <row r="1731" spans="1:17" ht="15.5" x14ac:dyDescent="0.35">
      <c r="A1731" s="3" t="str">
        <f>HYPERLINK("https://edmondsonsupply.com/collections/hvac/products/klein-tools-32527-11-in-1-screwdriver-nut-driver-with-schrader%C2%AE-bit", "https://edmondsonsupply.com/collections/hvac/products/klein-tools-32527-11-in-1-screwdriver-nut-driver-with-schrader%C2%AE-bit")</f>
        <v>https://edmondsonsupply.com/collections/hvac/products/klein-tools-32527-11-in-1-screwdriver-nut-driver-with-schrader%C2%AE-bit</v>
      </c>
      <c r="B1731" s="3" t="str">
        <f>HYPERLINK("https://edmondsonsupply.com/products/klein-tools-32527-11-in-1-screwdriver-nut-driver-with-schrader%c2%ae-bit", "https://edmondsonsupply.com/products/klein-tools-32527-11-in-1-screwdriver-nut-driver-with-schrader%c2%ae-bit")</f>
        <v>https://edmondsonsupply.com/products/klein-tools-32527-11-in-1-screwdriver-nut-driver-with-schrader%c2%ae-bit</v>
      </c>
      <c r="C1731" t="s">
        <v>4714</v>
      </c>
      <c r="D1731" t="s">
        <v>4715</v>
      </c>
      <c r="E1731" s="3" t="str">
        <f>HYPERLINK("https://www.amazon.com/Screwdriver-Phillips-Klein-Tools-32527/dp/B004RIDKHQ/ref=sr_1_1?keywords=Klein+Tools+32527+Multi-Bit+Screwdriver+%2F+Nut+Driver%2C+11-in-1%2C+Ph%2C+Sl%2C+Sq%2C+Schrader+Bits&amp;qid=1695173633&amp;sr=8-1", "https://www.amazon.com/Screwdriver-Phillips-Klein-Tools-32527/dp/B004RIDKHQ/ref=sr_1_1?keywords=Klein+Tools+32527+Multi-Bit+Screwdriver+%2F+Nut+Driver%2C+11-in-1%2C+Ph%2C+Sl%2C+Sq%2C+Schrader+Bits&amp;qid=1695173633&amp;sr=8-1")</f>
        <v>https://www.amazon.com/Screwdriver-Phillips-Klein-Tools-32527/dp/B004RIDKHQ/ref=sr_1_1?keywords=Klein+Tools+32527+Multi-Bit+Screwdriver+%2F+Nut+Driver%2C+11-in-1%2C+Ph%2C+Sl%2C+Sq%2C+Schrader+Bits&amp;qid=1695173633&amp;sr=8-1</v>
      </c>
      <c r="F1731" t="s">
        <v>4716</v>
      </c>
      <c r="G1731" t="e">
        <f ca="1">_xludf.IMAGE("https://edmondsonsupply.com/cdn/shop/products/32527.jpg?v=1587146830")</f>
        <v>#NAME?</v>
      </c>
      <c r="H1731" t="e">
        <f ca="1">_xludf.IMAGE("https://m.media-amazon.com/images/I/41cLxI0Af5L._AC_UL320_.jpg")</f>
        <v>#NAME?</v>
      </c>
      <c r="I1731" t="s">
        <v>143</v>
      </c>
      <c r="J1731">
        <v>15.97</v>
      </c>
      <c r="K1731" s="4">
        <v>0</v>
      </c>
      <c r="L1731">
        <v>4.8</v>
      </c>
      <c r="M1731">
        <v>4204</v>
      </c>
      <c r="O1731" t="s">
        <v>25</v>
      </c>
      <c r="P1731" t="s">
        <v>4717</v>
      </c>
      <c r="Q1731" t="s">
        <v>4718</v>
      </c>
    </row>
    <row r="1732" spans="1:17" ht="15.5" x14ac:dyDescent="0.35">
      <c r="A1732" s="3" t="str">
        <f>HYPERLINK("https://edmondsonsupply.com/collections/hvac/products/fieldpiece-st4-dual-temperature-meter", "https://edmondsonsupply.com/collections/hvac/products/fieldpiece-st4-dual-temperature-meter")</f>
        <v>https://edmondsonsupply.com/collections/hvac/products/fieldpiece-st4-dual-temperature-meter</v>
      </c>
      <c r="B1732" s="3" t="str">
        <f>HYPERLINK("https://edmondsonsupply.com/products/fieldpiece-st4-dual-temperature-meter", "https://edmondsonsupply.com/products/fieldpiece-st4-dual-temperature-meter")</f>
        <v>https://edmondsonsupply.com/products/fieldpiece-st4-dual-temperature-meter</v>
      </c>
      <c r="C1732" t="s">
        <v>4719</v>
      </c>
      <c r="D1732" t="s">
        <v>4720</v>
      </c>
      <c r="E1732" s="3" t="str">
        <f>HYPERLINK("https://www.amazon.com/Fieldpiece-ST4-Temperature-Meter-2000F/dp/B000OLCD9Q/ref=sr_1_1?keywords=Fieldpiece+ST4+Dual+Temperature+Meter&amp;qid=1695173432&amp;sr=8-1", "https://www.amazon.com/Fieldpiece-ST4-Temperature-Meter-2000F/dp/B000OLCD9Q/ref=sr_1_1?keywords=Fieldpiece+ST4+Dual+Temperature+Meter&amp;qid=1695173432&amp;sr=8-1")</f>
        <v>https://www.amazon.com/Fieldpiece-ST4-Temperature-Meter-2000F/dp/B000OLCD9Q/ref=sr_1_1?keywords=Fieldpiece+ST4+Dual+Temperature+Meter&amp;qid=1695173432&amp;sr=8-1</v>
      </c>
      <c r="F1732" t="s">
        <v>4721</v>
      </c>
      <c r="G1732" t="e">
        <f ca="1">_xludf.IMAGE("https://edmondsonsupply.com/cdn/shop/products/st4.jpg?v=1587148809")</f>
        <v>#NAME?</v>
      </c>
      <c r="H1732" t="e">
        <f ca="1">_xludf.IMAGE("https://m.media-amazon.com/images/I/51nsov20AnL._AC_UY218_.jpg")</f>
        <v>#NAME?</v>
      </c>
      <c r="I1732" t="s">
        <v>2907</v>
      </c>
      <c r="J1732">
        <v>105.4</v>
      </c>
      <c r="K1732" s="4">
        <v>0</v>
      </c>
      <c r="L1732">
        <v>4.7</v>
      </c>
      <c r="M1732">
        <v>851</v>
      </c>
      <c r="O1732" t="s">
        <v>25</v>
      </c>
      <c r="P1732" t="s">
        <v>4722</v>
      </c>
      <c r="Q1732" t="s">
        <v>4723</v>
      </c>
    </row>
    <row r="1733" spans="1:17" ht="15.5" x14ac:dyDescent="0.35">
      <c r="A1733" s="3" t="str">
        <f>HYPERLINK("https://edmondsonsupply.com/collections/hvac/products/klein-tools-s18hb", "https://edmondsonsupply.com/collections/hvac/products/klein-tools-s18hb")</f>
        <v>https://edmondsonsupply.com/collections/hvac/products/klein-tools-s18hb</v>
      </c>
      <c r="B1733" s="3" t="str">
        <f>HYPERLINK("https://edmondsonsupply.com/products/klein-tools-s18hb", "https://edmondsonsupply.com/products/klein-tools-s18hb")</f>
        <v>https://edmondsonsupply.com/products/klein-tools-s18hb</v>
      </c>
      <c r="C1733" t="s">
        <v>4724</v>
      </c>
      <c r="D1733" t="s">
        <v>4725</v>
      </c>
      <c r="E1733" s="3" t="str">
        <f>HYPERLINK("https://www.amazon.com/Klein-Tools-S18HB-Adjustable-Adjusts/dp/B0BN4LGV19/ref=sr_1_1?keywords=Klein+Tools+S18HB+Grip-It%E2%84%A2+Strap+Wrench%2C+1-1%2F8+to+8-Inch%2C+18-Inch+Handle&amp;qid=1695173758&amp;sr=8-1", "https://www.amazon.com/Klein-Tools-S18HB-Adjustable-Adjusts/dp/B0BN4LGV19/ref=sr_1_1?keywords=Klein+Tools+S18HB+Grip-It%E2%84%A2+Strap+Wrench%2C+1-1%2F8+to+8-Inch%2C+18-Inch+Handle&amp;qid=1695173758&amp;sr=8-1")</f>
        <v>https://www.amazon.com/Klein-Tools-S18HB-Adjustable-Adjusts/dp/B0BN4LGV19/ref=sr_1_1?keywords=Klein+Tools+S18HB+Grip-It%E2%84%A2+Strap+Wrench%2C+1-1%2F8+to+8-Inch%2C+18-Inch+Handle&amp;qid=1695173758&amp;sr=8-1</v>
      </c>
      <c r="F1733" t="s">
        <v>4726</v>
      </c>
      <c r="G1733" t="e">
        <f ca="1">_xludf.IMAGE("https://edmondsonsupply.com/cdn/shop/files/s18hb_b.jpg?v=1689785962")</f>
        <v>#NAME?</v>
      </c>
      <c r="H1733" t="e">
        <f ca="1">_xludf.IMAGE("https://m.media-amazon.com/images/I/51WZHZOQNPL._AC_UL320_.jpg")</f>
        <v>#NAME?</v>
      </c>
      <c r="I1733" t="s">
        <v>905</v>
      </c>
      <c r="J1733">
        <v>59.99</v>
      </c>
      <c r="K1733" s="4">
        <v>0</v>
      </c>
      <c r="L1733">
        <v>4.2</v>
      </c>
      <c r="M1733">
        <v>9</v>
      </c>
      <c r="O1733" t="s">
        <v>25</v>
      </c>
      <c r="P1733" t="s">
        <v>4727</v>
      </c>
      <c r="Q1733" t="s">
        <v>4728</v>
      </c>
    </row>
    <row r="1734" spans="1:17" ht="15.5" x14ac:dyDescent="0.35">
      <c r="A1734" s="3" t="str">
        <f>HYPERLINK("https://edmondsonsupply.com/collections/hvac/products/io-hvac-controls-io-wrp-wireless-relay-plus", "https://edmondsonsupply.com/collections/hvac/products/io-hvac-controls-io-wrp-wireless-relay-plus")</f>
        <v>https://edmondsonsupply.com/collections/hvac/products/io-hvac-controls-io-wrp-wireless-relay-plus</v>
      </c>
      <c r="B1734" s="3" t="str">
        <f>HYPERLINK("https://edmondsonsupply.com/products/io-hvac-controls-io-wrp-wireless-relay-plus", "https://edmondsonsupply.com/products/io-hvac-controls-io-wrp-wireless-relay-plus")</f>
        <v>https://edmondsonsupply.com/products/io-hvac-controls-io-wrp-wireless-relay-plus</v>
      </c>
      <c r="C1734" t="s">
        <v>4729</v>
      </c>
      <c r="D1734" t="s">
        <v>4730</v>
      </c>
      <c r="E1734" s="3" t="str">
        <f>HYPERLINK("https://www.amazon.com/IO-WRP-Wireless-Relay-Plus-Controls/dp/B0BCTKBVBV/ref=sr_1_1?keywords=iO+HVAC+Controls+iO-WRP+Wireless+Relay+Plus&amp;qid=1695173394&amp;sr=8-1", "https://www.amazon.com/IO-WRP-Wireless-Relay-Plus-Controls/dp/B0BCTKBVBV/ref=sr_1_1?keywords=iO+HVAC+Controls+iO-WRP+Wireless+Relay+Plus&amp;qid=1695173394&amp;sr=8-1")</f>
        <v>https://www.amazon.com/IO-WRP-Wireless-Relay-Plus-Controls/dp/B0BCTKBVBV/ref=sr_1_1?keywords=iO+HVAC+Controls+iO-WRP+Wireless+Relay+Plus&amp;qid=1695173394&amp;sr=8-1</v>
      </c>
      <c r="F1734" t="s">
        <v>4731</v>
      </c>
      <c r="G1734" t="e">
        <f ca="1">_xludf.IMAGE("https://edmondsonsupply.com/cdn/shop/products/IOWRP.png?v=1655748532")</f>
        <v>#NAME?</v>
      </c>
      <c r="H1734" t="e">
        <f ca="1">_xludf.IMAGE("https://m.media-amazon.com/images/I/310-nqKk2xL._AC_UL320_.jpg")</f>
        <v>#NAME?</v>
      </c>
      <c r="I1734" t="s">
        <v>4732</v>
      </c>
      <c r="J1734">
        <v>412.71</v>
      </c>
      <c r="K1734" s="4">
        <v>0</v>
      </c>
      <c r="L1734">
        <v>5</v>
      </c>
      <c r="M1734">
        <v>2</v>
      </c>
      <c r="O1734" t="s">
        <v>25</v>
      </c>
      <c r="P1734" t="s">
        <v>4733</v>
      </c>
      <c r="Q1734" t="s">
        <v>4734</v>
      </c>
    </row>
    <row r="1735" spans="1:17" ht="15.5" x14ac:dyDescent="0.35">
      <c r="A1735" s="3" t="str">
        <f>HYPERLINK("https://edmondsonsupply.com/collections/hvac/products/klein-tools-60164-professional-safety-glasses-full-frame-gray-lens", "https://edmondsonsupply.com/collections/hvac/products/klein-tools-60164-professional-safety-glasses-full-frame-gray-lens")</f>
        <v>https://edmondsonsupply.com/collections/hvac/products/klein-tools-60164-professional-safety-glasses-full-frame-gray-lens</v>
      </c>
      <c r="B1735"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1735" t="s">
        <v>1848</v>
      </c>
      <c r="D1735" t="s">
        <v>956</v>
      </c>
      <c r="E1735" s="3" t="str">
        <f>HYPERLINK("https://www.amazon.com/Klein-60163-Professional-Protective-Resistant/dp/B08B48CZ5V/ref=sr_1_5?keywords=Klein+Tools+60164+Professional+Safety+Glasses%2C+Full+Frame%2C+Gray+Lens&amp;qid=1695173626&amp;sr=8-5", "https://www.amazon.com/Klein-60163-Professional-Protective-Resistant/dp/B08B48CZ5V/ref=sr_1_5?keywords=Klein+Tools+60164+Professional+Safety+Glasses%2C+Full+Frame%2C+Gray+Lens&amp;qid=1695173626&amp;sr=8-5")</f>
        <v>https://www.amazon.com/Klein-60163-Professional-Protective-Resistant/dp/B08B48CZ5V/ref=sr_1_5?keywords=Klein+Tools+60164+Professional+Safety+Glasses%2C+Full+Frame%2C+Gray+Lens&amp;qid=1695173626&amp;sr=8-5</v>
      </c>
      <c r="F1735" t="s">
        <v>957</v>
      </c>
      <c r="G1735" t="e">
        <f ca="1">_xludf.IMAGE("https://edmondsonsupply.com/cdn/shop/products/60164.jpg?v=1633030851")</f>
        <v>#NAME?</v>
      </c>
      <c r="H1735" t="e">
        <f ca="1">_xludf.IMAGE("https://m.media-amazon.com/images/I/41IY8K6EFLL._AC_UL320_.jpg")</f>
        <v>#NAME?</v>
      </c>
      <c r="I1735" t="s">
        <v>276</v>
      </c>
      <c r="J1735">
        <v>14.99</v>
      </c>
      <c r="K1735" s="4">
        <v>0</v>
      </c>
      <c r="L1735">
        <v>4.4000000000000004</v>
      </c>
      <c r="M1735">
        <v>198</v>
      </c>
      <c r="O1735" t="s">
        <v>25</v>
      </c>
      <c r="P1735" t="s">
        <v>277</v>
      </c>
      <c r="Q1735" t="s">
        <v>1849</v>
      </c>
    </row>
    <row r="1736" spans="1:17" ht="15.5" x14ac:dyDescent="0.35">
      <c r="A1736" s="3" t="str">
        <f>HYPERLINK("https://edmondsonsupply.com/collections/hvac/products/testo-0564-2552-01-552i-app-controlled-wireless-vacuum-probe", "https://edmondsonsupply.com/collections/hvac/products/testo-0564-2552-01-552i-app-controlled-wireless-vacuum-probe")</f>
        <v>https://edmondsonsupply.com/collections/hvac/products/testo-0564-2552-01-552i-app-controlled-wireless-vacuum-probe</v>
      </c>
      <c r="B1736" s="3" t="str">
        <f>HYPERLINK("https://edmondsonsupply.com/products/testo-0564-2552-01-552i-app-controlled-wireless-vacuum-probe", "https://edmondsonsupply.com/products/testo-0564-2552-01-552i-app-controlled-wireless-vacuum-probe")</f>
        <v>https://edmondsonsupply.com/products/testo-0564-2552-01-552i-app-controlled-wireless-vacuum-probe</v>
      </c>
      <c r="C1736" t="s">
        <v>1899</v>
      </c>
      <c r="D1736" t="s">
        <v>4735</v>
      </c>
      <c r="E1736" s="3" t="str">
        <f>HYPERLINK("https://www.amazon.com/Testo-552i-App-Controlled-Wireless-Systems/dp/B08TZ3Z1S3/ref=sr_1_2?keywords=Testo+0564+2552+01+552i+App-Controlled+Wireless+Vacuum+Probe&amp;qid=1695173617&amp;sr=8-2", "https://www.amazon.com/Testo-552i-App-Controlled-Wireless-Systems/dp/B08TZ3Z1S3/ref=sr_1_2?keywords=Testo+0564+2552+01+552i+App-Controlled+Wireless+Vacuum+Probe&amp;qid=1695173617&amp;sr=8-2")</f>
        <v>https://www.amazon.com/Testo-552i-App-Controlled-Wireless-Systems/dp/B08TZ3Z1S3/ref=sr_1_2?keywords=Testo+0564+2552+01+552i+App-Controlled+Wireless+Vacuum+Probe&amp;qid=1695173617&amp;sr=8-2</v>
      </c>
      <c r="F1736" t="s">
        <v>4736</v>
      </c>
      <c r="G1736" t="e">
        <f ca="1">_xludf.IMAGE("https://edmondsonsupply.com/cdn/shop/products/testo-552i-front_master.jpg?v=1633031193")</f>
        <v>#NAME?</v>
      </c>
      <c r="H1736" t="e">
        <f ca="1">_xludf.IMAGE("https://m.media-amazon.com/images/I/81ek9QwPMyL._AC_UY218_.jpg")</f>
        <v>#NAME?</v>
      </c>
      <c r="I1736" t="s">
        <v>1902</v>
      </c>
      <c r="J1736">
        <v>177.65</v>
      </c>
      <c r="K1736" s="4">
        <v>0</v>
      </c>
      <c r="L1736">
        <v>4.5999999999999996</v>
      </c>
      <c r="M1736">
        <v>272</v>
      </c>
      <c r="O1736" t="s">
        <v>25</v>
      </c>
      <c r="P1736" t="s">
        <v>697</v>
      </c>
      <c r="Q1736" t="s">
        <v>1903</v>
      </c>
    </row>
    <row r="1737" spans="1:17" ht="15.5" x14ac:dyDescent="0.35">
      <c r="A1737" s="3" t="str">
        <f>HYPERLINK("https://edmondsonsupply.com/collections/hvac/products/navac-nhb2-high-flow-evacuation-hose-6-1-2-to-1-4", "https://edmondsonsupply.com/collections/hvac/products/navac-nhb2-high-flow-evacuation-hose-6-1-2-to-1-4")</f>
        <v>https://edmondsonsupply.com/collections/hvac/products/navac-nhb2-high-flow-evacuation-hose-6-1-2-to-1-4</v>
      </c>
      <c r="B1737" s="3" t="str">
        <f>HYPERLINK("https://edmondsonsupply.com/products/navac-nhb2-high-flow-evacuation-hose-6-1-2-to-1-4", "https://edmondsonsupply.com/products/navac-nhb2-high-flow-evacuation-hose-6-1-2-to-1-4")</f>
        <v>https://edmondsonsupply.com/products/navac-nhb2-high-flow-evacuation-hose-6-1-2-to-1-4</v>
      </c>
      <c r="C1737" t="s">
        <v>4737</v>
      </c>
      <c r="D1737" t="s">
        <v>4738</v>
      </c>
      <c r="E1737" s="3" t="str">
        <f>HYPERLINK("https://www.amazon.com/Navac-High-Flow-Refrigerant-Diameter-Fitting/dp/B07VTQXG2W/ref=sr_1_1?keywords=NAVAC+NHB2+High-Flow+Evacuation+Hose%2C+6%27%2C+1%2F2+to+1%2F4&amp;qid=1695173631&amp;sr=8-1", "https://www.amazon.com/Navac-High-Flow-Refrigerant-Diameter-Fitting/dp/B07VTQXG2W/ref=sr_1_1?keywords=NAVAC+NHB2+High-Flow+Evacuation+Hose%2C+6%27%2C+1%2F2+to+1%2F4&amp;qid=1695173631&amp;sr=8-1")</f>
        <v>https://www.amazon.com/Navac-High-Flow-Refrigerant-Diameter-Fitting/dp/B07VTQXG2W/ref=sr_1_1?keywords=NAVAC+NHB2+High-Flow+Evacuation+Hose%2C+6%27%2C+1%2F2+to+1%2F4&amp;qid=1695173631&amp;sr=8-1</v>
      </c>
      <c r="F1737" t="s">
        <v>4739</v>
      </c>
      <c r="G1737" t="e">
        <f ca="1">_xludf.IMAGE("https://edmondsonsupply.com/cdn/shop/products/NHB2-1.png?v=1633030656")</f>
        <v>#NAME?</v>
      </c>
      <c r="H1737" t="e">
        <f ca="1">_xludf.IMAGE("https://m.media-amazon.com/images/I/418uCdX1z9L._AC_UL320_.jpg")</f>
        <v>#NAME?</v>
      </c>
      <c r="I1737" t="s">
        <v>4740</v>
      </c>
      <c r="J1737">
        <v>57</v>
      </c>
      <c r="K1737" s="4">
        <v>0</v>
      </c>
      <c r="L1737">
        <v>4.7</v>
      </c>
      <c r="M1737">
        <v>20</v>
      </c>
      <c r="O1737" t="s">
        <v>25</v>
      </c>
      <c r="P1737" t="s">
        <v>4741</v>
      </c>
      <c r="Q1737" t="s">
        <v>4742</v>
      </c>
    </row>
    <row r="1738" spans="1:17" ht="15.5" x14ac:dyDescent="0.35">
      <c r="A1738" s="3" t="str">
        <f>HYPERLINK("https://edmondsonsupply.com/collections/hvac/products/navac-nhb2-high-flow-evacuation-hose-6-1-2-to-1-4", "https://edmondsonsupply.com/collections/hvac/products/navac-nhb2-high-flow-evacuation-hose-6-1-2-to-1-4")</f>
        <v>https://edmondsonsupply.com/collections/hvac/products/navac-nhb2-high-flow-evacuation-hose-6-1-2-to-1-4</v>
      </c>
      <c r="B1738" s="3" t="str">
        <f>HYPERLINK("https://edmondsonsupply.com/products/navac-nhb2-high-flow-evacuation-hose-6-1-2-to-1-4", "https://edmondsonsupply.com/products/navac-nhb2-high-flow-evacuation-hose-6-1-2-to-1-4")</f>
        <v>https://edmondsonsupply.com/products/navac-nhb2-high-flow-evacuation-hose-6-1-2-to-1-4</v>
      </c>
      <c r="C1738" t="s">
        <v>4737</v>
      </c>
      <c r="D1738" t="s">
        <v>4743</v>
      </c>
      <c r="E1738" s="3" t="str">
        <f>HYPERLINK("https://www.amazon.com/Navac-High-Flow-Refrigerant-Diameter-Fitting/dp/B07VY9TBBJ/ref=sr_1_2?keywords=NAVAC+NHB2+High-Flow+Evacuation+Hose%2C+6%27%2C+1%2F2+to+1%2F4&amp;qid=1695173631&amp;sr=8-2", "https://www.amazon.com/Navac-High-Flow-Refrigerant-Diameter-Fitting/dp/B07VY9TBBJ/ref=sr_1_2?keywords=NAVAC+NHB2+High-Flow+Evacuation+Hose%2C+6%27%2C+1%2F2+to+1%2F4&amp;qid=1695173631&amp;sr=8-2")</f>
        <v>https://www.amazon.com/Navac-High-Flow-Refrigerant-Diameter-Fitting/dp/B07VY9TBBJ/ref=sr_1_2?keywords=NAVAC+NHB2+High-Flow+Evacuation+Hose%2C+6%27%2C+1%2F2+to+1%2F4&amp;qid=1695173631&amp;sr=8-2</v>
      </c>
      <c r="F1738" t="s">
        <v>4744</v>
      </c>
      <c r="G1738" t="e">
        <f ca="1">_xludf.IMAGE("https://edmondsonsupply.com/cdn/shop/products/NHB2-1.png?v=1633030656")</f>
        <v>#NAME?</v>
      </c>
      <c r="H1738" t="e">
        <f ca="1">_xludf.IMAGE("https://m.media-amazon.com/images/I/41mRmoe+-+L._AC_UL320_.jpg")</f>
        <v>#NAME?</v>
      </c>
      <c r="I1738" t="s">
        <v>4740</v>
      </c>
      <c r="J1738">
        <v>57</v>
      </c>
      <c r="K1738" s="4">
        <v>0</v>
      </c>
      <c r="L1738">
        <v>4.7</v>
      </c>
      <c r="M1738">
        <v>54</v>
      </c>
      <c r="O1738" t="s">
        <v>25</v>
      </c>
      <c r="P1738" t="s">
        <v>4741</v>
      </c>
      <c r="Q1738" t="s">
        <v>4742</v>
      </c>
    </row>
    <row r="1739" spans="1:17" ht="15.5" x14ac:dyDescent="0.35">
      <c r="A1739" s="3" t="str">
        <f>HYPERLINK("https://edmondsonsupply.com/collections/hvac/products/klein-tools-5539lyel-canvas-bag-with-zipper-large-yellow", "https://edmondsonsupply.com/collections/hvac/products/klein-tools-5539lyel-canvas-bag-with-zipper-large-yellow")</f>
        <v>https://edmondsonsupply.com/collections/hvac/products/klein-tools-5539lyel-canvas-bag-with-zipper-large-yellow</v>
      </c>
      <c r="B1739" s="3" t="str">
        <f>HYPERLINK("https://edmondsonsupply.com/products/klein-tools-5539lyel-canvas-bag-with-zipper-large-yellow", "https://edmondsonsupply.com/products/klein-tools-5539lyel-canvas-bag-with-zipper-large-yellow")</f>
        <v>https://edmondsonsupply.com/products/klein-tools-5539lyel-canvas-bag-with-zipper-large-yellow</v>
      </c>
      <c r="C1739" t="s">
        <v>574</v>
      </c>
      <c r="D1739" t="s">
        <v>575</v>
      </c>
      <c r="E1739" s="3" t="str">
        <f>HYPERLINK("https://www.amazon.com/Klein-Tools-5539LYEL-16-Inch-Organizer/dp/B07RDSFV7H/ref=sr_1_1?keywords=Klein+Tools+5539LYEL+Zipper+Bag%2C+Large+Canvas+Tool+Pouch%2C+18-Inch%2C+Yellow&amp;qid=1695173617&amp;sr=8-1", "https://www.amazon.com/Klein-Tools-5539LYEL-16-Inch-Organizer/dp/B07RDSFV7H/ref=sr_1_1?keywords=Klein+Tools+5539LYEL+Zipper+Bag%2C+Large+Canvas+Tool+Pouch%2C+18-Inch%2C+Yellow&amp;qid=1695173617&amp;sr=8-1")</f>
        <v>https://www.amazon.com/Klein-Tools-5539LYEL-16-Inch-Organizer/dp/B07RDSFV7H/ref=sr_1_1?keywords=Klein+Tools+5539LYEL+Zipper+Bag%2C+Large+Canvas+Tool+Pouch%2C+18-Inch%2C+Yellow&amp;qid=1695173617&amp;sr=8-1</v>
      </c>
      <c r="F1739" t="s">
        <v>576</v>
      </c>
      <c r="G1739" t="e">
        <f ca="1">_xludf.IMAGE("https://edmondsonsupply.com/cdn/shop/products/5539lyel.jpg?v=1587143705")</f>
        <v>#NAME?</v>
      </c>
      <c r="H1739" t="e">
        <f ca="1">_xludf.IMAGE("https://m.media-amazon.com/images/I/51WhSCLJ4EL._AC_UL320_.jpg")</f>
        <v>#NAME?</v>
      </c>
      <c r="I1739" t="s">
        <v>577</v>
      </c>
      <c r="J1739">
        <v>19.989999999999998</v>
      </c>
      <c r="K1739" s="4">
        <v>0</v>
      </c>
      <c r="L1739">
        <v>4.7</v>
      </c>
      <c r="M1739">
        <v>597</v>
      </c>
      <c r="O1739" t="s">
        <v>25</v>
      </c>
      <c r="P1739" t="s">
        <v>578</v>
      </c>
      <c r="Q1739" t="s">
        <v>579</v>
      </c>
    </row>
    <row r="1740" spans="1:17" ht="15.5" x14ac:dyDescent="0.35">
      <c r="A1740" s="3" t="str">
        <f>HYPERLINK("https://edmondsonsupply.com/collections/hvac/products/yellow-jacket-yjii-vacuum-pump-5-cfm-93266", "https://edmondsonsupply.com/collections/hvac/products/yellow-jacket-yjii-vacuum-pump-5-cfm-93266")</f>
        <v>https://edmondsonsupply.com/collections/hvac/products/yellow-jacket-yjii-vacuum-pump-5-cfm-93266</v>
      </c>
      <c r="B1740" s="3" t="str">
        <f>HYPERLINK("https://edmondsonsupply.com/products/yellow-jacket-yjii-vacuum-pump-5-cfm-93266", "https://edmondsonsupply.com/products/yellow-jacket-yjii-vacuum-pump-5-cfm-93266")</f>
        <v>https://edmondsonsupply.com/products/yellow-jacket-yjii-vacuum-pump-5-cfm-93266</v>
      </c>
      <c r="C1740" t="s">
        <v>2075</v>
      </c>
      <c r="D1740" t="s">
        <v>4745</v>
      </c>
      <c r="E1740" s="3" t="str">
        <f>HYPERLINK("https://www.amazon.com/Yellow-Jacket-YJII-Vacuum-Pump/dp/B07VNP6BFW/ref=sr_1_1?keywords=Yellow+Jacket+93266+YJII%E2%84%A2+5+CFM+Vacuum+Pump&amp;qid=1695173391&amp;sr=8-1", "https://www.amazon.com/Yellow-Jacket-YJII-Vacuum-Pump/dp/B07VNP6BFW/ref=sr_1_1?keywords=Yellow+Jacket+93266+YJII%E2%84%A2+5+CFM+Vacuum+Pump&amp;qid=1695173391&amp;sr=8-1")</f>
        <v>https://www.amazon.com/Yellow-Jacket-YJII-Vacuum-Pump/dp/B07VNP6BFW/ref=sr_1_1?keywords=Yellow+Jacket+93266+YJII%E2%84%A2+5+CFM+Vacuum+Pump&amp;qid=1695173391&amp;sr=8-1</v>
      </c>
      <c r="F1740" t="s">
        <v>4746</v>
      </c>
      <c r="G1740" t="e">
        <f ca="1">_xludf.IMAGE("https://edmondsonsupply.com/cdn/shop/products/93266-YJII-Vacuum-Pump-484x416.jpg?v=1605058989")</f>
        <v>#NAME?</v>
      </c>
      <c r="H1740" t="e">
        <f ca="1">_xludf.IMAGE("https://m.media-amazon.com/images/I/41TxzZqPqgL._AC_UL320_.jpg")</f>
        <v>#NAME?</v>
      </c>
      <c r="I1740" t="s">
        <v>2078</v>
      </c>
      <c r="J1740">
        <v>322.56</v>
      </c>
      <c r="K1740" s="4">
        <v>0</v>
      </c>
      <c r="L1740">
        <v>4.5999999999999996</v>
      </c>
      <c r="M1740">
        <v>87</v>
      </c>
      <c r="O1740" t="s">
        <v>25</v>
      </c>
      <c r="P1740" t="s">
        <v>138</v>
      </c>
      <c r="Q1740" t="s">
        <v>2079</v>
      </c>
    </row>
    <row r="1741" spans="1:17" ht="15.5" x14ac:dyDescent="0.35">
      <c r="A1741" s="3" t="str">
        <f>HYPERLINK("https://edmondsonsupply.com/collections/hvac/products/wiha-tools-66981-13-piece-ball-end-color-coded-hex-l-key-set-inch", "https://edmondsonsupply.com/collections/hvac/products/wiha-tools-66981-13-piece-ball-end-color-coded-hex-l-key-set-inch")</f>
        <v>https://edmondsonsupply.com/collections/hvac/products/wiha-tools-66981-13-piece-ball-end-color-coded-hex-l-key-set-inch</v>
      </c>
      <c r="B1741"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1741" t="s">
        <v>4747</v>
      </c>
      <c r="D1741" t="s">
        <v>4748</v>
      </c>
      <c r="E1741" s="3" t="str">
        <f>HYPERLINK("https://www.amazon.com/Wiha-66981-Color-Coded-Pieces/dp/B085G4FPTW/ref=sr_1_2?keywords=Wiha+Tools+66981+13+Piece+Ball+End+Color+Coded+Hex+L-Key+Set+-+Inch&amp;qid=1695173728&amp;sr=8-2", "https://www.amazon.com/Wiha-66981-Color-Coded-Pieces/dp/B085G4FPTW/ref=sr_1_2?keywords=Wiha+Tools+66981+13+Piece+Ball+End+Color+Coded+Hex+L-Key+Set+-+Inch&amp;qid=1695173728&amp;sr=8-2")</f>
        <v>https://www.amazon.com/Wiha-66981-Color-Coded-Pieces/dp/B085G4FPTW/ref=sr_1_2?keywords=Wiha+Tools+66981+13+Piece+Ball+End+Color+Coded+Hex+L-Key+Set+-+Inch&amp;qid=1695173728&amp;sr=8-2</v>
      </c>
      <c r="F1741" t="s">
        <v>4749</v>
      </c>
      <c r="G1741" t="e">
        <f ca="1">_xludf.IMAGE("https://edmondsonsupply.com/cdn/shop/files/d46e6f2ecefba25ae78922fd12be8f1dc56b6ee6_1000x_1d9d5bc7-c590-4e82-817a-f70a00b88949.webp?v=1690834995")</f>
        <v>#NAME?</v>
      </c>
      <c r="H1741" t="e">
        <f ca="1">_xludf.IMAGE("https://m.media-amazon.com/images/I/71+g9-ZpGVL._AC_UL320_.jpg")</f>
        <v>#NAME?</v>
      </c>
      <c r="I1741" t="s">
        <v>4750</v>
      </c>
      <c r="J1741">
        <v>53.42</v>
      </c>
      <c r="K1741" s="4">
        <v>0</v>
      </c>
      <c r="L1741">
        <v>4.8</v>
      </c>
      <c r="M1741">
        <v>346</v>
      </c>
      <c r="O1741" t="s">
        <v>25</v>
      </c>
      <c r="P1741" t="s">
        <v>4751</v>
      </c>
      <c r="Q1741" t="s">
        <v>4752</v>
      </c>
    </row>
    <row r="1742" spans="1:17" ht="15.5" x14ac:dyDescent="0.35">
      <c r="A1742" s="3" t="str">
        <f>HYPERLINK("https://edmondsonsupply.com/collections/hvac/products/fieldpiece-jl3rh", "https://edmondsonsupply.com/collections/hvac/products/fieldpiece-jl3rh")</f>
        <v>https://edmondsonsupply.com/collections/hvac/products/fieldpiece-jl3rh</v>
      </c>
      <c r="B1742" s="3" t="str">
        <f>HYPERLINK("https://edmondsonsupply.com/products/fieldpiece-jl3rh", "https://edmondsonsupply.com/products/fieldpiece-jl3rh")</f>
        <v>https://edmondsonsupply.com/products/fieldpiece-jl3rh</v>
      </c>
      <c r="C1742" t="s">
        <v>4753</v>
      </c>
      <c r="D1742" t="s">
        <v>4754</v>
      </c>
      <c r="E1742" s="3" t="str">
        <f>HYPERLINK("https://www.amazon.com/Fieldpiece-Psychrometer-Logging-Frequency-Measurement/dp/B07DNJ1YFJ/ref=sr_1_1?keywords=Fieldpiece+JL3RH+Job+Link%C2%AE+System+Flex+Psychrometer+Probe&amp;qid=1695173408&amp;sr=8-1", "https://www.amazon.com/Fieldpiece-Psychrometer-Logging-Frequency-Measurement/dp/B07DNJ1YFJ/ref=sr_1_1?keywords=Fieldpiece+JL3RH+Job+Link%C2%AE+System+Flex+Psychrometer+Probe&amp;qid=1695173408&amp;sr=8-1")</f>
        <v>https://www.amazon.com/Fieldpiece-Psychrometer-Logging-Frequency-Measurement/dp/B07DNJ1YFJ/ref=sr_1_1?keywords=Fieldpiece+JL3RH+Job+Link%C2%AE+System+Flex+Psychrometer+Probe&amp;qid=1695173408&amp;sr=8-1</v>
      </c>
      <c r="F1742" t="s">
        <v>4755</v>
      </c>
      <c r="G1742" t="e">
        <f ca="1">_xludf.IMAGE("https://edmondsonsupply.com/cdn/shop/products/JL3RH-SRC-Product.jpg?v=1633030110")</f>
        <v>#NAME?</v>
      </c>
      <c r="H1742" t="e">
        <f ca="1">_xludf.IMAGE("https://m.media-amazon.com/images/I/51qzFlinAmL._AC_UY218_.jpg")</f>
        <v>#NAME?</v>
      </c>
      <c r="I1742" t="s">
        <v>4262</v>
      </c>
      <c r="J1742">
        <v>131.75</v>
      </c>
      <c r="K1742" s="4">
        <v>0</v>
      </c>
      <c r="L1742">
        <v>4.8</v>
      </c>
      <c r="M1742">
        <v>603</v>
      </c>
      <c r="O1742" t="s">
        <v>25</v>
      </c>
      <c r="P1742" t="s">
        <v>4263</v>
      </c>
      <c r="Q1742" t="s">
        <v>4756</v>
      </c>
    </row>
    <row r="1743" spans="1:17" ht="15.5" x14ac:dyDescent="0.35">
      <c r="A1743" s="3" t="str">
        <f>HYPERLINK("https://edmondsonsupply.com/collections/hvac/products/fieldpiece-st4-dual-temperature-meter", "https://edmondsonsupply.com/collections/hvac/products/fieldpiece-st4-dual-temperature-meter")</f>
        <v>https://edmondsonsupply.com/collections/hvac/products/fieldpiece-st4-dual-temperature-meter</v>
      </c>
      <c r="B1743" s="3" t="str">
        <f>HYPERLINK("https://edmondsonsupply.com/products/fieldpiece-st4-dual-temperature-meter", "https://edmondsonsupply.com/products/fieldpiece-st4-dual-temperature-meter")</f>
        <v>https://edmondsonsupply.com/products/fieldpiece-st4-dual-temperature-meter</v>
      </c>
      <c r="C1743" t="s">
        <v>4719</v>
      </c>
      <c r="D1743" t="s">
        <v>4757</v>
      </c>
      <c r="E1743" s="3" t="str">
        <f>HYPERLINK("https://www.amazon.com/Fieldpiece-SPK3-Folding-Temperature-Thermometer/dp/B00GFVO9DC/ref=sr_1_7?keywords=Fieldpiece+ST4+Dual+Temperature+Meter&amp;qid=1695173432&amp;sr=8-7", "https://www.amazon.com/Fieldpiece-SPK3-Folding-Temperature-Thermometer/dp/B00GFVO9DC/ref=sr_1_7?keywords=Fieldpiece+ST4+Dual+Temperature+Meter&amp;qid=1695173432&amp;sr=8-7")</f>
        <v>https://www.amazon.com/Fieldpiece-SPK3-Folding-Temperature-Thermometer/dp/B00GFVO9DC/ref=sr_1_7?keywords=Fieldpiece+ST4+Dual+Temperature+Meter&amp;qid=1695173432&amp;sr=8-7</v>
      </c>
      <c r="F1743" t="s">
        <v>4758</v>
      </c>
      <c r="G1743" t="e">
        <f ca="1">_xludf.IMAGE("https://edmondsonsupply.com/cdn/shop/products/st4.jpg?v=1587148809")</f>
        <v>#NAME?</v>
      </c>
      <c r="H1743" t="e">
        <f ca="1">_xludf.IMAGE("https://m.media-amazon.com/images/I/51n+mPX2ufL._AC_UY218_.jpg")</f>
        <v>#NAME?</v>
      </c>
      <c r="I1743" t="s">
        <v>2907</v>
      </c>
      <c r="J1743">
        <v>105.4</v>
      </c>
      <c r="K1743" s="4">
        <v>0</v>
      </c>
      <c r="L1743">
        <v>4.4000000000000004</v>
      </c>
      <c r="M1743">
        <v>130</v>
      </c>
      <c r="O1743" t="s">
        <v>25</v>
      </c>
      <c r="P1743" t="s">
        <v>4722</v>
      </c>
      <c r="Q1743" t="s">
        <v>4723</v>
      </c>
    </row>
    <row r="1744" spans="1:17" ht="15.5" x14ac:dyDescent="0.35">
      <c r="A1744" s="3" t="str">
        <f>HYPERLINK("https://edmondsonsupply.com/collections/hvac/products/cps-vg200", "https://edmondsonsupply.com/collections/hvac/products/cps-vg200")</f>
        <v>https://edmondsonsupply.com/collections/hvac/products/cps-vg200</v>
      </c>
      <c r="B1744" s="3" t="str">
        <f>HYPERLINK("https://edmondsonsupply.com/products/cps-vg200", "https://edmondsonsupply.com/products/cps-vg200")</f>
        <v>https://edmondsonsupply.com/products/cps-vg200</v>
      </c>
      <c r="C1744" t="s">
        <v>4759</v>
      </c>
      <c r="D1744" t="s">
        <v>4760</v>
      </c>
      <c r="E1744" s="3" t="str">
        <f>HYPERLINK("https://www.amazon.com/CPS-Products-Portable-Digital-Atmospheric/dp/B00DDDA12I/ref=sr_1_3?keywords=CPS%C2%AE+VG200+Vacrometer%C2%AE+Digital+Micron+Vacuum+Gauge&amp;qid=1695173410&amp;sr=8-3", "https://www.amazon.com/CPS-Products-Portable-Digital-Atmospheric/dp/B00DDDA12I/ref=sr_1_3?keywords=CPS%C2%AE+VG200+Vacrometer%C2%AE+Digital+Micron+Vacuum+Gauge&amp;qid=1695173410&amp;sr=8-3")</f>
        <v>https://www.amazon.com/CPS-Products-Portable-Digital-Atmospheric/dp/B00DDDA12I/ref=sr_1_3?keywords=CPS%C2%AE+VG200+Vacrometer%C2%AE+Digital+Micron+Vacuum+Gauge&amp;qid=1695173410&amp;sr=8-3</v>
      </c>
      <c r="F1744" t="s">
        <v>4761</v>
      </c>
      <c r="G1744" t="e">
        <f ca="1">_xludf.IMAGE("https://edmondsonsupply.com/cdn/shop/products/VG200-1.jpg?v=1633030050")</f>
        <v>#NAME?</v>
      </c>
      <c r="H1744" t="e">
        <f ca="1">_xludf.IMAGE("https://m.media-amazon.com/images/I/71hx1l9CBJL._AC_UY218_.jpg")</f>
        <v>#NAME?</v>
      </c>
      <c r="I1744" t="s">
        <v>4762</v>
      </c>
      <c r="J1744">
        <v>179.84</v>
      </c>
      <c r="K1744" s="4">
        <v>0</v>
      </c>
      <c r="L1744">
        <v>4.4000000000000004</v>
      </c>
      <c r="M1744">
        <v>38</v>
      </c>
      <c r="O1744" t="s">
        <v>25</v>
      </c>
      <c r="P1744" t="s">
        <v>4763</v>
      </c>
      <c r="Q1744" t="s">
        <v>4764</v>
      </c>
    </row>
    <row r="1745" spans="1:17" ht="15.5" x14ac:dyDescent="0.35">
      <c r="A1745" s="3" t="str">
        <f>HYPERLINK("https://edmondsonsupply.com/collections/hvac/products/appion-cct14-1-4in-core-control-tool", "https://edmondsonsupply.com/collections/hvac/products/appion-cct14-1-4in-core-control-tool")</f>
        <v>https://edmondsonsupply.com/collections/hvac/products/appion-cct14-1-4in-core-control-tool</v>
      </c>
      <c r="B1745" s="3" t="str">
        <f>HYPERLINK("https://edmondsonsupply.com/products/appion-cct14-1-4in-core-control-tool", "https://edmondsonsupply.com/products/appion-cct14-1-4in-core-control-tool")</f>
        <v>https://edmondsonsupply.com/products/appion-cct14-1-4in-core-control-tool</v>
      </c>
      <c r="C1745" t="s">
        <v>4765</v>
      </c>
      <c r="D1745" t="s">
        <v>4766</v>
      </c>
      <c r="E1745" s="3" t="str">
        <f>HYPERLINK("https://www.amazon.com/Appion-CCT14-1-4-inch-Core-Control/dp/B0C4SX4RVY/ref=sr_1_1?keywords=Appion+CCT14+1%2F4in+Core+Control+Tool&amp;qid=1695173332&amp;sr=8-1", "https://www.amazon.com/Appion-CCT14-1-4-inch-Core-Control/dp/B0C4SX4RVY/ref=sr_1_1?keywords=Appion+CCT14+1%2F4in+Core+Control+Tool&amp;qid=1695173332&amp;sr=8-1")</f>
        <v>https://www.amazon.com/Appion-CCT14-1-4-inch-Core-Control/dp/B0C4SX4RVY/ref=sr_1_1?keywords=Appion+CCT14+1%2F4in+Core+Control+Tool&amp;qid=1695173332&amp;sr=8-1</v>
      </c>
      <c r="F1745" t="s">
        <v>4767</v>
      </c>
      <c r="G1745" t="e">
        <f ca="1">_xludf.IMAGE("https://edmondsonsupply.com/cdn/shop/products/CCT14_1080.png?v=1678495729")</f>
        <v>#NAME?</v>
      </c>
      <c r="H1745" t="e">
        <f ca="1">_xludf.IMAGE("https://m.media-amazon.com/images/I/41ecoOxnBhL._AC_UL320_.jpg")</f>
        <v>#NAME?</v>
      </c>
      <c r="I1745" t="s">
        <v>905</v>
      </c>
      <c r="J1745">
        <v>59.99</v>
      </c>
      <c r="K1745" s="4">
        <v>0</v>
      </c>
      <c r="L1745">
        <v>5</v>
      </c>
      <c r="M1745">
        <v>4</v>
      </c>
      <c r="O1745" t="s">
        <v>25</v>
      </c>
      <c r="P1745" t="s">
        <v>300</v>
      </c>
      <c r="Q1745" t="s">
        <v>4768</v>
      </c>
    </row>
    <row r="1746" spans="1:17" ht="15.5" x14ac:dyDescent="0.35">
      <c r="A1746" s="3" t="str">
        <f>HYPERLINK("https://edmondsonsupply.com/collections/hvac/products/supco-spp6e-super-boost-e-series-electronic-potential-relay-hard-start-capacitor", "https://edmondsonsupply.com/collections/hvac/products/supco-spp6e-super-boost-e-series-electronic-potential-relay-hard-start-capacitor")</f>
        <v>https://edmondsonsupply.com/collections/hvac/products/supco-spp6e-super-boost-e-series-electronic-potential-relay-hard-start-capacitor</v>
      </c>
      <c r="B1746" s="3" t="str">
        <f>HYPERLINK("https://edmondsonsupply.com/products/supco-spp6e-super-boost-e-series-electronic-potential-relay-hard-start-capacitor", "https://edmondsonsupply.com/products/supco-spp6e-super-boost-e-series-electronic-potential-relay-hard-start-capacitor")</f>
        <v>https://edmondsonsupply.com/products/supco-spp6e-super-boost-e-series-electronic-potential-relay-hard-start-capacitor</v>
      </c>
      <c r="C1746" t="s">
        <v>4769</v>
      </c>
      <c r="D1746" t="s">
        <v>4770</v>
      </c>
      <c r="E1746" s="3" t="str">
        <f>HYPERLINK("https://www.amazon.com/Supco-SPP6E-Electronic-Potential-Relay/dp/B002JP3MEK/ref=sr_1_1?keywords=Supco+SPP6E+Super+Boost+E+Series+Electronic+Potential+Relay%2FHard+Start+Capacitor&amp;qid=1695173438&amp;sr=8-1", "https://www.amazon.com/Supco-SPP6E-Electronic-Potential-Relay/dp/B002JP3MEK/ref=sr_1_1?keywords=Supco+SPP6E+Super+Boost+E+Series+Electronic+Potential+Relay%2FHard+Start+Capacitor&amp;qid=1695173438&amp;sr=8-1")</f>
        <v>https://www.amazon.com/Supco-SPP6E-Electronic-Potential-Relay/dp/B002JP3MEK/ref=sr_1_1?keywords=Supco+SPP6E+Super+Boost+E+Series+Electronic+Potential+Relay%2FHard+Start+Capacitor&amp;qid=1695173438&amp;sr=8-1</v>
      </c>
      <c r="F1746" t="s">
        <v>4771</v>
      </c>
      <c r="G1746" t="e">
        <f ca="1">_xludf.IMAGE("https://edmondsonsupply.com/cdn/shop/products/57_2_e5a6f6c4-64ac-4a3f-a1cc-c6509993a3e9.jpg?v=1654215635")</f>
        <v>#NAME?</v>
      </c>
      <c r="H1746" t="e">
        <f ca="1">_xludf.IMAGE("https://m.media-amazon.com/images/I/814y4Zo9Y0L._AC_UY218_.jpg")</f>
        <v>#NAME?</v>
      </c>
      <c r="I1746" t="s">
        <v>4772</v>
      </c>
      <c r="J1746">
        <v>22.5</v>
      </c>
      <c r="K1746" s="4">
        <v>0</v>
      </c>
      <c r="L1746">
        <v>4.5999999999999996</v>
      </c>
      <c r="M1746">
        <v>366</v>
      </c>
      <c r="O1746" t="s">
        <v>25</v>
      </c>
      <c r="P1746" t="s">
        <v>138</v>
      </c>
      <c r="Q1746" t="s">
        <v>4773</v>
      </c>
    </row>
    <row r="1747" spans="1:17" ht="15.5" x14ac:dyDescent="0.35">
      <c r="A1747" s="3" t="str">
        <f>HYPERLINK("https://edmondsonsupply.com/collections/hvac/products/klein-tools-725-jab-saw", "https://edmondsonsupply.com/collections/hvac/products/klein-tools-725-jab-saw")</f>
        <v>https://edmondsonsupply.com/collections/hvac/products/klein-tools-725-jab-saw</v>
      </c>
      <c r="B1747" s="3" t="str">
        <f>HYPERLINK("https://edmondsonsupply.com/products/klein-tools-725-jab-saw", "https://edmondsonsupply.com/products/klein-tools-725-jab-saw")</f>
        <v>https://edmondsonsupply.com/products/klein-tools-725-jab-saw</v>
      </c>
      <c r="C1747" t="s">
        <v>3337</v>
      </c>
      <c r="D1747" t="s">
        <v>4774</v>
      </c>
      <c r="E1747" s="3" t="str">
        <f>HYPERLINK("https://www.amazon.com/Wallboard-Applications-Klein-Tools-725/dp/B0014KQGHG/ref=sr_1_1?keywords=Klein+Tools+725+Jab+Saw&amp;qid=1695173639&amp;sr=8-1", "https://www.amazon.com/Wallboard-Applications-Klein-Tools-725/dp/B0014KQGHG/ref=sr_1_1?keywords=Klein+Tools+725+Jab+Saw&amp;qid=1695173639&amp;sr=8-1")</f>
        <v>https://www.amazon.com/Wallboard-Applications-Klein-Tools-725/dp/B0014KQGHG/ref=sr_1_1?keywords=Klein+Tools+725+Jab+Saw&amp;qid=1695173639&amp;sr=8-1</v>
      </c>
      <c r="F1747" t="s">
        <v>4775</v>
      </c>
      <c r="G1747" t="e">
        <f ca="1">_xludf.IMAGE("https://edmondsonsupply.com/cdn/shop/products/725.jpg?v=1633030531")</f>
        <v>#NAME?</v>
      </c>
      <c r="H1747" t="e">
        <f ca="1">_xludf.IMAGE("https://m.media-amazon.com/images/I/5146hv5ZO3L._AC_UL320_.jpg")</f>
        <v>#NAME?</v>
      </c>
      <c r="I1747" t="s">
        <v>2784</v>
      </c>
      <c r="J1747">
        <v>14.97</v>
      </c>
      <c r="K1747" s="4">
        <v>0</v>
      </c>
      <c r="L1747">
        <v>4.8</v>
      </c>
      <c r="M1747">
        <v>465</v>
      </c>
      <c r="O1747" t="s">
        <v>25</v>
      </c>
      <c r="P1747" t="s">
        <v>332</v>
      </c>
      <c r="Q1747" t="s">
        <v>3340</v>
      </c>
    </row>
    <row r="1748" spans="1:17" ht="15.5" x14ac:dyDescent="0.35">
      <c r="A1748" s="3" t="str">
        <f>HYPERLINK("https://edmondsonsupply.com/collections/hvac/products/ritchie-yellow-jacket-60430-lightweight-swaging-flaring-tool", "https://edmondsonsupply.com/collections/hvac/products/ritchie-yellow-jacket-60430-lightweight-swaging-flaring-tool")</f>
        <v>https://edmondsonsupply.com/collections/hvac/products/ritchie-yellow-jacket-60430-lightweight-swaging-flaring-tool</v>
      </c>
      <c r="B1748" s="3" t="str">
        <f>HYPERLINK("https://edmondsonsupply.com/products/ritchie-yellow-jacket-60430-lightweight-swaging-flaring-tool", "https://edmondsonsupply.com/products/ritchie-yellow-jacket-60430-lightweight-swaging-flaring-tool")</f>
        <v>https://edmondsonsupply.com/products/ritchie-yellow-jacket-60430-lightweight-swaging-flaring-tool</v>
      </c>
      <c r="C1748" t="s">
        <v>3016</v>
      </c>
      <c r="D1748" t="s">
        <v>4776</v>
      </c>
      <c r="E1748" s="3" t="str">
        <f>HYPERLINK("https://www.amazon.com/60430-Lightweight-Swaging-Flaring-Positions/dp/B071X9F1T1/ref=sr_1_1?keywords=Yellow+Jacket+60430+Lightweight+Swaging%2FFlaring+Tool&amp;qid=1695173442&amp;sr=8-1", "https://www.amazon.com/60430-Lightweight-Swaging-Flaring-Positions/dp/B071X9F1T1/ref=sr_1_1?keywords=Yellow+Jacket+60430+Lightweight+Swaging%2FFlaring+Tool&amp;qid=1695173442&amp;sr=8-1")</f>
        <v>https://www.amazon.com/60430-Lightweight-Swaging-Flaring-Positions/dp/B071X9F1T1/ref=sr_1_1?keywords=Yellow+Jacket+60430+Lightweight+Swaging%2FFlaring+Tool&amp;qid=1695173442&amp;sr=8-1</v>
      </c>
      <c r="F1748" t="s">
        <v>4777</v>
      </c>
      <c r="G1748" t="e">
        <f ca="1">_xludf.IMAGE("https://edmondsonsupply.com/cdn/shop/products/s-l1600_97b6f076-8c6a-4e71-922a-495c14cf32c8.jpg?v=1638145595")</f>
        <v>#NAME?</v>
      </c>
      <c r="H1748" t="e">
        <f ca="1">_xludf.IMAGE("https://m.media-amazon.com/images/I/61amLeatx6L._AC_UL320_.jpg")</f>
        <v>#NAME?</v>
      </c>
      <c r="I1748" t="s">
        <v>3017</v>
      </c>
      <c r="J1748">
        <v>220.45</v>
      </c>
      <c r="K1748" s="4">
        <v>0</v>
      </c>
      <c r="L1748">
        <v>4.7</v>
      </c>
      <c r="M1748">
        <v>28</v>
      </c>
      <c r="O1748" t="s">
        <v>25</v>
      </c>
      <c r="P1748" t="s">
        <v>138</v>
      </c>
      <c r="Q1748" t="s">
        <v>3018</v>
      </c>
    </row>
    <row r="1749" spans="1:17" ht="15.5" x14ac:dyDescent="0.35">
      <c r="A1749" s="3" t="str">
        <f>HYPERLINK("https://edmondsonsupply.com/collections/hvac/products/hilmor-1838952-fto-orbital-flare-tool", "https://edmondsonsupply.com/collections/hvac/products/hilmor-1838952-fto-orbital-flare-tool")</f>
        <v>https://edmondsonsupply.com/collections/hvac/products/hilmor-1838952-fto-orbital-flare-tool</v>
      </c>
      <c r="B1749" s="3" t="str">
        <f>HYPERLINK("https://edmondsonsupply.com/products/hilmor-1838952-fto-orbital-flare-tool", "https://edmondsonsupply.com/products/hilmor-1838952-fto-orbital-flare-tool")</f>
        <v>https://edmondsonsupply.com/products/hilmor-1838952-fto-orbital-flare-tool</v>
      </c>
      <c r="C1749" t="s">
        <v>2531</v>
      </c>
      <c r="D1749" t="s">
        <v>4778</v>
      </c>
      <c r="E1749" s="3" t="str">
        <f>HYPERLINK("https://www.amazon.com/hilmor-Orbital-Flare-16-1838952/dp/B00FPO3YWC/ref=sr_1_1?keywords=Hilmor+1838952+FTO+Orbital+Flare+Tool&amp;qid=1695173377&amp;sr=8-1", "https://www.amazon.com/hilmor-Orbital-Flare-16-1838952/dp/B00FPO3YWC/ref=sr_1_1?keywords=Hilmor+1838952+FTO+Orbital+Flare+Tool&amp;qid=1695173377&amp;sr=8-1")</f>
        <v>https://www.amazon.com/hilmor-Orbital-Flare-16-1838952/dp/B00FPO3YWC/ref=sr_1_1?keywords=Hilmor+1838952+FTO+Orbital+Flare+Tool&amp;qid=1695173377&amp;sr=8-1</v>
      </c>
      <c r="F1749" t="s">
        <v>4779</v>
      </c>
      <c r="G1749" t="e">
        <f ca="1">_xludf.IMAGE("https://edmondsonsupply.com/cdn/shop/products/HIL_1838952-3_a8d26a39-b53d-4589-9ffd-4c8fe3d86c67.jpg?v=1587143882")</f>
        <v>#NAME?</v>
      </c>
      <c r="H1749" t="e">
        <f ca="1">_xludf.IMAGE("https://m.media-amazon.com/images/I/71ISOSczx1L._AC_UL320_.jpg")</f>
        <v>#NAME?</v>
      </c>
      <c r="I1749" t="s">
        <v>2534</v>
      </c>
      <c r="J1749">
        <v>136.27000000000001</v>
      </c>
      <c r="K1749" s="4">
        <v>0</v>
      </c>
      <c r="L1749">
        <v>4.5999999999999996</v>
      </c>
      <c r="M1749">
        <v>93</v>
      </c>
      <c r="O1749" t="s">
        <v>25</v>
      </c>
      <c r="P1749" t="s">
        <v>2535</v>
      </c>
      <c r="Q1749" t="s">
        <v>2536</v>
      </c>
    </row>
    <row r="1750" spans="1:17" ht="15.5" x14ac:dyDescent="0.35">
      <c r="A1750" s="3" t="str">
        <f>HYPERLINK("https://edmondsonsupply.com/collections/hvac/products/klein-tools-32535-10-in-1-10-fold-screwdriver-nut-driver", "https://edmondsonsupply.com/collections/hvac/products/klein-tools-32535-10-in-1-10-fold-screwdriver-nut-driver")</f>
        <v>https://edmondsonsupply.com/collections/hvac/products/klein-tools-32535-10-in-1-10-fold-screwdriver-nut-driver</v>
      </c>
      <c r="B1750" s="3" t="str">
        <f>HYPERLINK("https://edmondsonsupply.com/products/klein-tools-32535-10-in-1-10-fold-screwdriver-nut-driver", "https://edmondsonsupply.com/products/klein-tools-32535-10-in-1-10-fold-screwdriver-nut-driver")</f>
        <v>https://edmondsonsupply.com/products/klein-tools-32535-10-in-1-10-fold-screwdriver-nut-driver</v>
      </c>
      <c r="C1750" t="s">
        <v>4368</v>
      </c>
      <c r="D1750" t="s">
        <v>4368</v>
      </c>
      <c r="E1750" s="3" t="str">
        <f>HYPERLINK("https://www.amazon.com/Klein-Tools-32535-10-Fold-Screwdriver/dp/B0031BX54I/ref=sr_1_1?keywords=Klein+Tools+32535+10-in-1+10+Fold+Screwdriver+%2F+Nut+Driver&amp;qid=1695173630&amp;sr=8-1", "https://www.amazon.com/Klein-Tools-32535-10-Fold-Screwdriver/dp/B0031BX54I/ref=sr_1_1?keywords=Klein+Tools+32535+10-in-1+10+Fold+Screwdriver+%2F+Nut+Driver&amp;qid=1695173630&amp;sr=8-1")</f>
        <v>https://www.amazon.com/Klein-Tools-32535-10-Fold-Screwdriver/dp/B0031BX54I/ref=sr_1_1?keywords=Klein+Tools+32535+10-in-1+10+Fold+Screwdriver+%2F+Nut+Driver&amp;qid=1695173630&amp;sr=8-1</v>
      </c>
      <c r="F1750" t="s">
        <v>4780</v>
      </c>
      <c r="G1750" t="e">
        <f ca="1">_xludf.IMAGE("https://edmondsonsupply.com/cdn/shop/products/32535.jpg?v=1633030894")</f>
        <v>#NAME?</v>
      </c>
      <c r="H1750" t="e">
        <f ca="1">_xludf.IMAGE("https://m.media-amazon.com/images/I/51e7QvMcFLL._AC_UL320_.jpg")</f>
        <v>#NAME?</v>
      </c>
      <c r="I1750" t="s">
        <v>26</v>
      </c>
      <c r="J1750">
        <v>29.99</v>
      </c>
      <c r="K1750" s="4">
        <v>0</v>
      </c>
      <c r="L1750">
        <v>4.5999999999999996</v>
      </c>
      <c r="M1750">
        <v>872</v>
      </c>
      <c r="O1750" t="s">
        <v>25</v>
      </c>
      <c r="P1750" t="s">
        <v>4371</v>
      </c>
      <c r="Q1750" t="s">
        <v>4372</v>
      </c>
    </row>
    <row r="1751" spans="1:17" ht="15.5" x14ac:dyDescent="0.35">
      <c r="A1751" s="3" t="str">
        <f>HYPERLINK("https://edmondsonsupply.com/collections/hvac/products/appion-mgavct-1-4in-valve-core-removal-tool", "https://edmondsonsupply.com/collections/hvac/products/appion-mgavct-1-4in-valve-core-removal-tool")</f>
        <v>https://edmondsonsupply.com/collections/hvac/products/appion-mgavct-1-4in-valve-core-removal-tool</v>
      </c>
      <c r="B1751" s="3" t="str">
        <f>HYPERLINK("https://edmondsonsupply.com/products/appion-mgavct-1-4in-valve-core-removal-tool", "https://edmondsonsupply.com/products/appion-mgavct-1-4in-valve-core-removal-tool")</f>
        <v>https://edmondsonsupply.com/products/appion-mgavct-1-4in-valve-core-removal-tool</v>
      </c>
      <c r="C1751" t="s">
        <v>2272</v>
      </c>
      <c r="D1751" t="s">
        <v>4781</v>
      </c>
      <c r="E1751" s="3" t="str">
        <f>HYPERLINK("https://www.amazon.com/Appion-MGAVCT-MegaFlow-Vacuum-Rated-Removal/dp/B01M7SQGTR/ref=sr_1_1?keywords=Appion+MGAVCT+1%2F4in+Valve+Core+Removal+Tool&amp;qid=1695173344&amp;sr=8-1", "https://www.amazon.com/Appion-MGAVCT-MegaFlow-Vacuum-Rated-Removal/dp/B01M7SQGTR/ref=sr_1_1?keywords=Appion+MGAVCT+1%2F4in+Valve+Core+Removal+Tool&amp;qid=1695173344&amp;sr=8-1")</f>
        <v>https://www.amazon.com/Appion-MGAVCT-MegaFlow-Vacuum-Rated-Removal/dp/B01M7SQGTR/ref=sr_1_1?keywords=Appion+MGAVCT+1%2F4in+Valve+Core+Removal+Tool&amp;qid=1695173344&amp;sr=8-1</v>
      </c>
      <c r="F1751" t="s">
        <v>4782</v>
      </c>
      <c r="G1751" t="e">
        <f ca="1">_xludf.IMAGE("https://edmondsonsupply.com/cdn/shop/products/MGAVCT_1080.png?v=1678240814")</f>
        <v>#NAME?</v>
      </c>
      <c r="H1751" t="e">
        <f ca="1">_xludf.IMAGE("https://m.media-amazon.com/images/I/51er8S19ytL._AC_UL320_.jpg")</f>
        <v>#NAME?</v>
      </c>
      <c r="I1751" t="s">
        <v>588</v>
      </c>
      <c r="J1751">
        <v>69.98</v>
      </c>
      <c r="K1751" s="4">
        <v>-1E-4</v>
      </c>
      <c r="L1751">
        <v>4.8</v>
      </c>
      <c r="M1751">
        <v>2176</v>
      </c>
      <c r="O1751" t="s">
        <v>25</v>
      </c>
      <c r="P1751" t="s">
        <v>315</v>
      </c>
      <c r="Q1751" t="s">
        <v>2275</v>
      </c>
    </row>
    <row r="1752" spans="1:17" ht="15.5" x14ac:dyDescent="0.35">
      <c r="A1752" s="3" t="str">
        <f>HYPERLINK("https://edmondsonsupply.com/collections/hvac/products/veto-pro-pac-tp-xxl-tool-pouch", "https://edmondsonsupply.com/collections/hvac/products/veto-pro-pac-tp-xxl-tool-pouch")</f>
        <v>https://edmondsonsupply.com/collections/hvac/products/veto-pro-pac-tp-xxl-tool-pouch</v>
      </c>
      <c r="B1752" s="3" t="str">
        <f>HYPERLINK("https://edmondsonsupply.com/products/veto-pro-pac-tp-xxl-tool-pouch", "https://edmondsonsupply.com/products/veto-pro-pac-tp-xxl-tool-pouch")</f>
        <v>https://edmondsonsupply.com/products/veto-pro-pac-tp-xxl-tool-pouch</v>
      </c>
      <c r="C1752" t="s">
        <v>451</v>
      </c>
      <c r="D1752" t="s">
        <v>621</v>
      </c>
      <c r="E1752" s="3" t="str">
        <f>HYPERLINK("https://www.amazon.com/Veto-Pro-Pac-TP-XXL-Zippered/dp/B09Q4YNX94/ref=sr_1_1?keywords=Veto+Pro+Pac+TP-XXL+Tool+Pouch&amp;qid=1695173439&amp;sr=8-1", "https://www.amazon.com/Veto-Pro-Pac-TP-XXL-Zippered/dp/B09Q4YNX94/ref=sr_1_1?keywords=Veto+Pro+Pac+TP-XXL+Tool+Pouch&amp;qid=1695173439&amp;sr=8-1")</f>
        <v>https://www.amazon.com/Veto-Pro-Pac-TP-XXL-Zippered/dp/B09Q4YNX94/ref=sr_1_1?keywords=Veto+Pro+Pac+TP-XXL+Tool+Pouch&amp;qid=1695173439&amp;sr=8-1</v>
      </c>
      <c r="F1752" t="s">
        <v>622</v>
      </c>
      <c r="G1752" t="e">
        <f ca="1">_xludf.IMAGE("https://edmondsonsupply.com/cdn/shop/products/01_TP-XXL.jpg?v=1633031173")</f>
        <v>#NAME?</v>
      </c>
      <c r="H1752" t="e">
        <f ca="1">_xludf.IMAGE("https://m.media-amazon.com/images/I/61c5N3ud9xL._AC_UL320_.jpg")</f>
        <v>#NAME?</v>
      </c>
      <c r="I1752" t="s">
        <v>454</v>
      </c>
      <c r="J1752">
        <v>209.95</v>
      </c>
      <c r="K1752" s="4">
        <v>-2.0000000000000001E-4</v>
      </c>
      <c r="L1752">
        <v>4.8</v>
      </c>
      <c r="M1752">
        <v>478</v>
      </c>
      <c r="O1752" t="s">
        <v>25</v>
      </c>
      <c r="P1752" t="s">
        <v>138</v>
      </c>
      <c r="Q1752" t="s">
        <v>455</v>
      </c>
    </row>
    <row r="1753" spans="1:17" ht="15.5" x14ac:dyDescent="0.35">
      <c r="A1753" s="3" t="str">
        <f>HYPERLINK("https://edmondsonsupply.com/collections/hvac/products/wiha-tools-28345-6-piece-insulated-slimline-pocketmax-multi-driver", "https://edmondsonsupply.com/collections/hvac/products/wiha-tools-28345-6-piece-insulated-slimline-pocketmax-multi-driver")</f>
        <v>https://edmondsonsupply.com/collections/hvac/products/wiha-tools-28345-6-piece-insulated-slimline-pocketmax-multi-driver</v>
      </c>
      <c r="B1753" s="3" t="str">
        <f>HYPERLINK("https://edmondsonsupply.com/products/wiha-tools-28345-6-piece-insulated-slimline-pocketmax-multi-driver", "https://edmondsonsupply.com/products/wiha-tools-28345-6-piece-insulated-slimline-pocketmax-multi-driver")</f>
        <v>https://edmondsonsupply.com/products/wiha-tools-28345-6-piece-insulated-slimline-pocketmax-multi-driver</v>
      </c>
      <c r="C1753" t="s">
        <v>4783</v>
      </c>
      <c r="D1753" t="s">
        <v>4784</v>
      </c>
      <c r="E1753" s="3" t="str">
        <f>HYPERLINK("https://www.amazon.com/Wiha-28345-Insulated-PocketMax-Multi-Driver/dp/B0C41RKZDW/ref=sr_1_1?keywords=Wiha+Tools+28345+6+Piece+Insulated+SlimLine+PocketMax+Multi-Driver&amp;qid=1695173733&amp;sr=8-1", "https://www.amazon.com/Wiha-28345-Insulated-PocketMax-Multi-Driver/dp/B0C41RKZDW/ref=sr_1_1?keywords=Wiha+Tools+28345+6+Piece+Insulated+SlimLine+PocketMax+Multi-Driver&amp;qid=1695173733&amp;sr=8-1")</f>
        <v>https://www.amazon.com/Wiha-28345-Insulated-PocketMax-Multi-Driver/dp/B0C41RKZDW/ref=sr_1_1?keywords=Wiha+Tools+28345+6+Piece+Insulated+SlimLine+PocketMax+Multi-Driver&amp;qid=1695173733&amp;sr=8-1</v>
      </c>
      <c r="F1753" t="s">
        <v>4785</v>
      </c>
      <c r="G1753" t="e">
        <f ca="1">_xludf.IMAGE("https://edmondsonsupply.com/cdn/shop/files/wjbse4q1tjopoh3gedft_1000x_df232d6d-d37e-435d-a299-d53bfa0c3016.webp?v=1690833368")</f>
        <v>#NAME?</v>
      </c>
      <c r="H1753" t="e">
        <f ca="1">_xludf.IMAGE("https://m.media-amazon.com/images/I/51xgjec5cDL._AC_UL320_.jpg")</f>
        <v>#NAME?</v>
      </c>
      <c r="I1753" t="s">
        <v>946</v>
      </c>
      <c r="J1753">
        <v>44.98</v>
      </c>
      <c r="K1753" s="4">
        <v>-2.0000000000000001E-4</v>
      </c>
      <c r="L1753">
        <v>4.8</v>
      </c>
      <c r="M1753">
        <v>48</v>
      </c>
      <c r="O1753" t="s">
        <v>25</v>
      </c>
      <c r="P1753" t="s">
        <v>199</v>
      </c>
      <c r="Q1753" t="s">
        <v>4786</v>
      </c>
    </row>
    <row r="1754" spans="1:17" ht="15.5" x14ac:dyDescent="0.35">
      <c r="A1754" s="3" t="str">
        <f>HYPERLINK("https://edmondsonsupply.com/collections/hvac/products/klein-tools-32286-2-in-1-insulated-flip-blade-screwdriver-1-ph-3-16-inch-sl", "https://edmondsonsupply.com/collections/hvac/products/klein-tools-32286-2-in-1-insulated-flip-blade-screwdriver-1-ph-3-16-inch-sl")</f>
        <v>https://edmondsonsupply.com/collections/hvac/products/klein-tools-32286-2-in-1-insulated-flip-blade-screwdriver-1-ph-3-16-inch-sl</v>
      </c>
      <c r="B1754" s="3" t="str">
        <f>HYPERLINK("https://edmondsonsupply.com/products/klein-tools-32286-2-in-1-insulated-flip-blade-screwdriver-1-ph-3-16-inch-sl", "https://edmondsonsupply.com/products/klein-tools-32286-2-in-1-insulated-flip-blade-screwdriver-1-ph-3-16-inch-sl")</f>
        <v>https://edmondsonsupply.com/products/klein-tools-32286-2-in-1-insulated-flip-blade-screwdriver-1-ph-3-16-inch-sl</v>
      </c>
      <c r="C1754" t="s">
        <v>4787</v>
      </c>
      <c r="D1754" t="s">
        <v>4788</v>
      </c>
      <c r="E1754" s="3" t="str">
        <f>HYPERLINK("https://www.amazon.com/Klein-Tools-32286-Screwdriver-Double-Ended/dp/B07XQBZXL2/ref=sr_1_1?keywords=Klein+Tools+32286+Flip-Blade+Insulated+Screwdriver%2C+2-in1%2C+Ph+Bit+%231%2C+Sl+Bit+3%2F16-Inch&amp;qid=1695173678&amp;sr=8-1", "https://www.amazon.com/Klein-Tools-32286-Screwdriver-Double-Ended/dp/B07XQBZXL2/ref=sr_1_1?keywords=Klein+Tools+32286+Flip-Blade+Insulated+Screwdriver%2C+2-in1%2C+Ph+Bit+%231%2C+Sl+Bit+3%2F16-Inch&amp;qid=1695173678&amp;sr=8-1")</f>
        <v>https://www.amazon.com/Klein-Tools-32286-Screwdriver-Double-Ended/dp/B07XQBZXL2/ref=sr_1_1?keywords=Klein+Tools+32286+Flip-Blade+Insulated+Screwdriver%2C+2-in1%2C+Ph+Bit+%231%2C+Sl+Bit+3%2F16-Inch&amp;qid=1695173678&amp;sr=8-1</v>
      </c>
      <c r="F1754" t="s">
        <v>4789</v>
      </c>
      <c r="G1754" t="e">
        <f ca="1">_xludf.IMAGE("https://edmondsonsupply.com/cdn/shop/products/32286.jpg?v=1587145513")</f>
        <v>#NAME?</v>
      </c>
      <c r="H1754" t="e">
        <f ca="1">_xludf.IMAGE("https://m.media-amazon.com/images/I/41ujHk4Dg2L._AC_UL320_.jpg")</f>
        <v>#NAME?</v>
      </c>
      <c r="I1754" t="s">
        <v>577</v>
      </c>
      <c r="J1754">
        <v>19.98</v>
      </c>
      <c r="K1754" s="4">
        <v>-5.0000000000000001E-4</v>
      </c>
      <c r="L1754">
        <v>4.7</v>
      </c>
      <c r="M1754">
        <v>622</v>
      </c>
      <c r="O1754" t="s">
        <v>25</v>
      </c>
      <c r="P1754" t="s">
        <v>894</v>
      </c>
      <c r="Q1754" t="s">
        <v>4790</v>
      </c>
    </row>
    <row r="1755" spans="1:17" ht="15.5" x14ac:dyDescent="0.35">
      <c r="A1755" s="3" t="str">
        <f>HYPERLINK("https://edmondsonsupply.com/collections/hvac/products/klein-tools-65200-electricians-mini-ratchet-set-5-piece", "https://edmondsonsupply.com/collections/hvac/products/klein-tools-65200-electricians-mini-ratchet-set-5-piece")</f>
        <v>https://edmondsonsupply.com/collections/hvac/products/klein-tools-65200-electricians-mini-ratchet-set-5-piece</v>
      </c>
      <c r="B1755" s="3" t="str">
        <f>HYPERLINK("https://edmondsonsupply.com/products/klein-tools-65200-electricians-mini-ratchet-set-5-piece", "https://edmondsonsupply.com/products/klein-tools-65200-electricians-mini-ratchet-set-5-piece")</f>
        <v>https://edmondsonsupply.com/products/klein-tools-65200-electricians-mini-ratchet-set-5-piece</v>
      </c>
      <c r="C1755" t="s">
        <v>140</v>
      </c>
      <c r="D1755" t="s">
        <v>221</v>
      </c>
      <c r="E1755" s="3" t="str">
        <f>HYPERLINK("https://www.amazon.com/Klein-Tools-65200-Ratchet-Phillips/dp/B08D6YDQNH/ref=sr_1_1?keywords=Klein+Tools+65200+Slim-Profile+Mini+Ratchet+Set%2C+5-Piece&amp;qid=1695173348&amp;sr=8-1", "https://www.amazon.com/Klein-Tools-65200-Ratchet-Phillips/dp/B08D6YDQNH/ref=sr_1_1?keywords=Klein+Tools+65200+Slim-Profile+Mini+Ratchet+Set%2C+5-Piece&amp;qid=1695173348&amp;sr=8-1")</f>
        <v>https://www.amazon.com/Klein-Tools-65200-Ratchet-Phillips/dp/B08D6YDQNH/ref=sr_1_1?keywords=Klein+Tools+65200+Slim-Profile+Mini+Ratchet+Set%2C+5-Piece&amp;qid=1695173348&amp;sr=8-1</v>
      </c>
      <c r="F1755" t="s">
        <v>222</v>
      </c>
      <c r="G1755" t="e">
        <f ca="1">_xludf.IMAGE("https://edmondsonsupply.com/cdn/shop/products/65200.jpg?v=1633030630")</f>
        <v>#NAME?</v>
      </c>
      <c r="H1755" t="e">
        <f ca="1">_xludf.IMAGE("https://m.media-amazon.com/images/I/61p7iM+Yn8L._AC_UL320_.jpg")</f>
        <v>#NAME?</v>
      </c>
      <c r="I1755" t="s">
        <v>143</v>
      </c>
      <c r="J1755">
        <v>15.96</v>
      </c>
      <c r="K1755" s="4">
        <v>-5.9999999999999995E-4</v>
      </c>
      <c r="L1755">
        <v>4.7</v>
      </c>
      <c r="M1755">
        <v>3970</v>
      </c>
      <c r="O1755" t="s">
        <v>25</v>
      </c>
      <c r="P1755" t="s">
        <v>144</v>
      </c>
      <c r="Q1755" t="s">
        <v>145</v>
      </c>
    </row>
    <row r="1756" spans="1:17" ht="15.5" x14ac:dyDescent="0.35">
      <c r="A1756"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756"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756" t="s">
        <v>2155</v>
      </c>
      <c r="D1756" t="s">
        <v>4791</v>
      </c>
      <c r="E1756" s="3" t="str">
        <f>HYPERLINK("https://www.amazon.com/Klein-Tools-NCVT1PKIT-Electrical-Non-Contact/dp/B0BS5SCNJ1/ref=sr_1_2?keywords=Klein+Tools+NCVT1XTKIT+Non-Contact+Voltage+and+GFCI+Receptacle+Premium+Test+Kit&amp;qid=1695173496&amp;sr=8-2", "https://www.amazon.com/Klein-Tools-NCVT1PKIT-Electrical-Non-Contact/dp/B0BS5SCNJ1/ref=sr_1_2?keywords=Klein+Tools+NCVT1XTKIT+Non-Contact+Voltage+and+GFCI+Receptacle+Premium+Test+Kit&amp;qid=1695173496&amp;sr=8-2")</f>
        <v>https://www.amazon.com/Klein-Tools-NCVT1PKIT-Electrical-Non-Contact/dp/B0BS5SCNJ1/ref=sr_1_2?keywords=Klein+Tools+NCVT1XTKIT+Non-Contact+Voltage+and+GFCI+Receptacle+Premium+Test+Kit&amp;qid=1695173496&amp;sr=8-2</v>
      </c>
      <c r="F1756" t="s">
        <v>4792</v>
      </c>
      <c r="G1756" t="e">
        <f ca="1">_xludf.IMAGE("https://edmondsonsupply.com/cdn/shop/products/ncvt1xtkit.jpg?v=1674497102")</f>
        <v>#NAME?</v>
      </c>
      <c r="H1756" t="e">
        <f ca="1">_xludf.IMAGE("https://m.media-amazon.com/images/I/51CD2DGal7L._AC_UL320_.jpg")</f>
        <v>#NAME?</v>
      </c>
      <c r="I1756" t="s">
        <v>471</v>
      </c>
      <c r="J1756">
        <v>24.97</v>
      </c>
      <c r="K1756" s="4">
        <v>-8.0000000000000004E-4</v>
      </c>
      <c r="L1756">
        <v>4.5</v>
      </c>
      <c r="M1756">
        <v>33</v>
      </c>
      <c r="O1756" t="s">
        <v>25</v>
      </c>
      <c r="P1756" t="s">
        <v>2158</v>
      </c>
      <c r="Q1756" t="s">
        <v>2159</v>
      </c>
    </row>
    <row r="1757" spans="1:17" ht="15.5" x14ac:dyDescent="0.35">
      <c r="A1757" s="3" t="str">
        <f>HYPERLINK("https://edmondsonsupply.com/collections/hvac/products/navac-np7dp-7-cfm-dual-stage-dual-voltage-vacuum-pump-pro-series", "https://edmondsonsupply.com/collections/hvac/products/navac-np7dp-7-cfm-dual-stage-dual-voltage-vacuum-pump-pro-series")</f>
        <v>https://edmondsonsupply.com/collections/hvac/products/navac-np7dp-7-cfm-dual-stage-dual-voltage-vacuum-pump-pro-series</v>
      </c>
      <c r="B1757" s="3" t="str">
        <f>HYPERLINK("https://edmondsonsupply.com/products/navac-np7dp-7-cfm-dual-stage-dual-voltage-vacuum-pump-pro-series", "https://edmondsonsupply.com/products/navac-np7dp-7-cfm-dual-stage-dual-voltage-vacuum-pump-pro-series")</f>
        <v>https://edmondsonsupply.com/products/navac-np7dp-7-cfm-dual-stage-dual-voltage-vacuum-pump-pro-series</v>
      </c>
      <c r="C1757" t="s">
        <v>4793</v>
      </c>
      <c r="D1757" t="s">
        <v>4794</v>
      </c>
      <c r="E1757" s="3" t="str">
        <f>HYPERLINK("https://www.amazon.com/Navac-NP7DP-Vacuum-Voltage-Motor/dp/B07VN6C622/ref=sr_1_1?keywords=NAVAC+NP7DP+7+CFM+Dual+Stage%2FDual-Voltage+Vacuum+Pump%2C+PRO+Series&amp;qid=1695173390&amp;sr=8-1", "https://www.amazon.com/Navac-NP7DP-Vacuum-Voltage-Motor/dp/B07VN6C622/ref=sr_1_1?keywords=NAVAC+NP7DP+7+CFM+Dual+Stage%2FDual-Voltage+Vacuum+Pump%2C+PRO+Series&amp;qid=1695173390&amp;sr=8-1")</f>
        <v>https://www.amazon.com/Navac-NP7DP-Vacuum-Voltage-Motor/dp/B07VN6C622/ref=sr_1_1?keywords=NAVAC+NP7DP+7+CFM+Dual+Stage%2FDual-Voltage+Vacuum+Pump%2C+PRO+Series&amp;qid=1695173390&amp;sr=8-1</v>
      </c>
      <c r="F1757" t="s">
        <v>4795</v>
      </c>
      <c r="G1757" t="e">
        <f ca="1">_xludf.IMAGE("https://edmondsonsupply.com/cdn/shop/products/NP7DP.png?v=1633030645")</f>
        <v>#NAME?</v>
      </c>
      <c r="H1757" t="e">
        <f ca="1">_xludf.IMAGE("https://m.media-amazon.com/images/I/71jiToQNVAL._AC_UL320_.jpg")</f>
        <v>#NAME?</v>
      </c>
      <c r="I1757" t="s">
        <v>4796</v>
      </c>
      <c r="J1757">
        <v>359</v>
      </c>
      <c r="K1757" s="4">
        <v>-1.2999999999999999E-3</v>
      </c>
      <c r="L1757">
        <v>4.2</v>
      </c>
      <c r="M1757">
        <v>29</v>
      </c>
      <c r="O1757" t="s">
        <v>25</v>
      </c>
      <c r="P1757" t="s">
        <v>138</v>
      </c>
      <c r="Q1757" t="s">
        <v>4797</v>
      </c>
    </row>
    <row r="1758" spans="1:17" ht="15.5" x14ac:dyDescent="0.35">
      <c r="A1758" s="3" t="str">
        <f>HYPERLINK("https://edmondsonsupply.com/collections/hvac/products/rectorseal-83809-aspen-mini-aqua-pump-kit-100-250v", "https://edmondsonsupply.com/collections/hvac/products/rectorseal-83809-aspen-mini-aqua-pump-kit-100-250v")</f>
        <v>https://edmondsonsupply.com/collections/hvac/products/rectorseal-83809-aspen-mini-aqua-pump-kit-100-250v</v>
      </c>
      <c r="B1758" s="3" t="str">
        <f>HYPERLINK("https://edmondsonsupply.com/products/rectorseal-83809-aspen-mini-aqua-pump-kit-100-250v", "https://edmondsonsupply.com/products/rectorseal-83809-aspen-mini-aqua-pump-kit-100-250v")</f>
        <v>https://edmondsonsupply.com/products/rectorseal-83809-aspen-mini-aqua-pump-kit-100-250v</v>
      </c>
      <c r="C1758" t="s">
        <v>4798</v>
      </c>
      <c r="D1758" t="s">
        <v>4799</v>
      </c>
      <c r="E1758" s="3" t="str">
        <f>HYPERLINK("https://www.amazon.com/Rectorseal-83809-Aspen-Conditioner-Condensate/dp/B00GZYR09E/ref=sr_1_1?keywords=Rectorseal+83809+Aspen+Mini+Aqua+Pump+Kit+100-250V&amp;qid=1695173722&amp;sr=8-1", "https://www.amazon.com/Rectorseal-83809-Aspen-Conditioner-Condensate/dp/B00GZYR09E/ref=sr_1_1?keywords=Rectorseal+83809+Aspen+Mini+Aqua+Pump+Kit+100-250V&amp;qid=1695173722&amp;sr=8-1")</f>
        <v>https://www.amazon.com/Rectorseal-83809-Aspen-Conditioner-Condensate/dp/B00GZYR09E/ref=sr_1_1?keywords=Rectorseal+83809+Aspen+Mini+Aqua+Pump+Kit+100-250V&amp;qid=1695173722&amp;sr=8-1</v>
      </c>
      <c r="F1758" t="s">
        <v>4800</v>
      </c>
      <c r="G1758" t="e">
        <f ca="1">_xludf.IMAGE("https://edmondsonsupply.com/cdn/shop/files/83809.png?v=1690982586")</f>
        <v>#NAME?</v>
      </c>
      <c r="H1758" t="e">
        <f ca="1">_xludf.IMAGE("https://m.media-amazon.com/images/I/81ETqOJsgqL._AC_UL320_.jpg")</f>
        <v>#NAME?</v>
      </c>
      <c r="I1758" t="s">
        <v>4801</v>
      </c>
      <c r="J1758">
        <v>309</v>
      </c>
      <c r="K1758" s="4">
        <v>-1.5E-3</v>
      </c>
      <c r="L1758">
        <v>3</v>
      </c>
      <c r="M1758">
        <v>10</v>
      </c>
      <c r="O1758" t="s">
        <v>25</v>
      </c>
      <c r="P1758" t="s">
        <v>138</v>
      </c>
      <c r="Q1758" t="s">
        <v>4802</v>
      </c>
    </row>
    <row r="1759" spans="1:17" ht="15.5" x14ac:dyDescent="0.35">
      <c r="A1759" s="3" t="str">
        <f>HYPERLINK("https://edmondsonsupply.com/collections/hvac/products/malco-tools-av9-vertical-upright-aviation-snip-right-cutting", "https://edmondsonsupply.com/collections/hvac/products/malco-tools-av9-vertical-upright-aviation-snip-right-cutting")</f>
        <v>https://edmondsonsupply.com/collections/hvac/products/malco-tools-av9-vertical-upright-aviation-snip-right-cutting</v>
      </c>
      <c r="B1759" s="3" t="str">
        <f>HYPERLINK("https://edmondsonsupply.com/products/malco-tools-av9-vertical-upright-aviation-snip-right-cutting", "https://edmondsonsupply.com/products/malco-tools-av9-vertical-upright-aviation-snip-right-cutting")</f>
        <v>https://edmondsonsupply.com/products/malco-tools-av9-vertical-upright-aviation-snip-right-cutting</v>
      </c>
      <c r="C1759" t="s">
        <v>4803</v>
      </c>
      <c r="D1759" t="s">
        <v>4804</v>
      </c>
      <c r="E1759" s="3" t="str">
        <f>HYPERLINK("https://www.amazon.com/Malco-AV9-Cutting-Vertical-Aviation/dp/B009FAZNPI/ref=sr_1_1?keywords=Malco+Tools+AV9+Vertical%2FUpright+Aviation+Snip+-+Right+Cutting&amp;qid=1695173649&amp;sr=8-1", "https://www.amazon.com/Malco-AV9-Cutting-Vertical-Aviation/dp/B009FAZNPI/ref=sr_1_1?keywords=Malco+Tools+AV9+Vertical%2FUpright+Aviation+Snip+-+Right+Cutting&amp;qid=1695173649&amp;sr=8-1")</f>
        <v>https://www.amazon.com/Malco-AV9-Cutting-Vertical-Aviation/dp/B009FAZNPI/ref=sr_1_1?keywords=Malco+Tools+AV9+Vertical%2FUpright+Aviation+Snip+-+Right+Cutting&amp;qid=1695173649&amp;sr=8-1</v>
      </c>
      <c r="F1759" t="s">
        <v>4805</v>
      </c>
      <c r="G1759" t="e">
        <f ca="1">_xludf.IMAGE("https://edmondsonsupply.com/cdn/shop/products/av9-big.jpg?v=1587142663")</f>
        <v>#NAME?</v>
      </c>
      <c r="H1759" t="e">
        <f ca="1">_xludf.IMAGE("https://m.media-amazon.com/images/I/61Qmp0HFIqL._AC_UL320_.jpg")</f>
        <v>#NAME?</v>
      </c>
      <c r="I1759" t="s">
        <v>4475</v>
      </c>
      <c r="J1759">
        <v>31.95</v>
      </c>
      <c r="K1759" s="4">
        <v>-1.6000000000000001E-3</v>
      </c>
      <c r="L1759">
        <v>4.7</v>
      </c>
      <c r="M1759">
        <v>262</v>
      </c>
      <c r="O1759" t="s">
        <v>25</v>
      </c>
      <c r="P1759" t="s">
        <v>138</v>
      </c>
      <c r="Q1759" t="s">
        <v>4806</v>
      </c>
    </row>
    <row r="1760" spans="1:17" ht="15.5" x14ac:dyDescent="0.35">
      <c r="A1760" s="3" t="str">
        <f>HYPERLINK("https://edmondsonsupply.com/collections/hvac/products/rectorseal-97087-safe-t-switch-ss2-gen-3", "https://edmondsonsupply.com/collections/hvac/products/rectorseal-97087-safe-t-switch-ss2-gen-3")</f>
        <v>https://edmondsonsupply.com/collections/hvac/products/rectorseal-97087-safe-t-switch-ss2-gen-3</v>
      </c>
      <c r="B1760" s="3" t="str">
        <f>HYPERLINK("https://edmondsonsupply.com/products/rectorseal-97087-safe-t-switch-ss2-gen-3", "https://edmondsonsupply.com/products/rectorseal-97087-safe-t-switch-ss2-gen-3")</f>
        <v>https://edmondsonsupply.com/products/rectorseal-97087-safe-t-switch-ss2-gen-3</v>
      </c>
      <c r="C1760" t="s">
        <v>2519</v>
      </c>
      <c r="D1760" t="s">
        <v>4807</v>
      </c>
      <c r="E1760" s="3" t="str">
        <f>HYPERLINK("https://www.amazon.com/Rectorseal-97087-Ss2-Generation-Safe-T-Switch/dp/B09QQQ9J9S/ref=sr_1_1?keywords=RectorSeal+97087+Safe-T-Switch+SS2%2C+Gen+3&amp;qid=1695173506&amp;sr=8-1", "https://www.amazon.com/Rectorseal-97087-Ss2-Generation-Safe-T-Switch/dp/B09QQQ9J9S/ref=sr_1_1?keywords=RectorSeal+97087+Safe-T-Switch+SS2%2C+Gen+3&amp;qid=1695173506&amp;sr=8-1")</f>
        <v>https://www.amazon.com/Rectorseal-97087-Ss2-Generation-Safe-T-Switch/dp/B09QQQ9J9S/ref=sr_1_1?keywords=RectorSeal+97087+Safe-T-Switch+SS2%2C+Gen+3&amp;qid=1695173506&amp;sr=8-1</v>
      </c>
      <c r="F1760" t="s">
        <v>4808</v>
      </c>
      <c r="G1760" t="e">
        <f ca="1">_xludf.IMAGE("https://edmondsonsupply.com/cdn/shop/products/97087-ss2-safe-t-switch-image-img.webp?v=1662053885")</f>
        <v>#NAME?</v>
      </c>
      <c r="H1760" t="e">
        <f ca="1">_xludf.IMAGE("https://m.media-amazon.com/images/I/31Vm-8kRflL._AC_UL320_.jpg")</f>
        <v>#NAME?</v>
      </c>
      <c r="I1760" t="s">
        <v>1158</v>
      </c>
      <c r="J1760">
        <v>21.93</v>
      </c>
      <c r="K1760" s="4">
        <v>-2.7000000000000001E-3</v>
      </c>
      <c r="L1760">
        <v>5</v>
      </c>
      <c r="M1760">
        <v>2</v>
      </c>
      <c r="O1760" t="s">
        <v>25</v>
      </c>
      <c r="P1760" t="s">
        <v>2522</v>
      </c>
      <c r="Q1760" t="s">
        <v>2523</v>
      </c>
    </row>
    <row r="1761" spans="1:17" ht="15.5" x14ac:dyDescent="0.35">
      <c r="A1761" s="3" t="str">
        <f>HYPERLINK("https://edmondsonsupply.com/collections/hvac/products/ritchie-yellow-jacket-78060-gas-pressure-test-kit-0-35-w-c", "https://edmondsonsupply.com/collections/hvac/products/ritchie-yellow-jacket-78060-gas-pressure-test-kit-0-35-w-c")</f>
        <v>https://edmondsonsupply.com/collections/hvac/products/ritchie-yellow-jacket-78060-gas-pressure-test-kit-0-35-w-c</v>
      </c>
      <c r="B1761" s="3" t="str">
        <f>HYPERLINK("https://edmondsonsupply.com/products/ritchie-yellow-jacket-78060-gas-pressure-test-kit-0-35-w-c", "https://edmondsonsupply.com/products/ritchie-yellow-jacket-78060-gas-pressure-test-kit-0-35-w-c")</f>
        <v>https://edmondsonsupply.com/products/ritchie-yellow-jacket-78060-gas-pressure-test-kit-0-35-w-c</v>
      </c>
      <c r="C1761" t="s">
        <v>3440</v>
      </c>
      <c r="D1761" t="s">
        <v>4809</v>
      </c>
      <c r="E1761" s="3" t="str">
        <f>HYPERLINK("https://www.amazon.com/Yellow-Jacket-78060-Complete-Test/dp/B0016H12KS/ref=sr_1_1?keywords=Yellow+Jacket+78060+Gas+Pressure+Test+Kit+-+0-35%22+W.C.&amp;qid=1695173392&amp;sr=8-1", "https://www.amazon.com/Yellow-Jacket-78060-Complete-Test/dp/B0016H12KS/ref=sr_1_1?keywords=Yellow+Jacket+78060+Gas+Pressure+Test+Kit+-+0-35%22+W.C.&amp;qid=1695173392&amp;sr=8-1")</f>
        <v>https://www.amazon.com/Yellow-Jacket-78060-Complete-Test/dp/B0016H12KS/ref=sr_1_1?keywords=Yellow+Jacket+78060+Gas+Pressure+Test+Kit+-+0-35%22+W.C.&amp;qid=1695173392&amp;sr=8-1</v>
      </c>
      <c r="F1761" t="s">
        <v>4810</v>
      </c>
      <c r="G1761" t="e">
        <f ca="1">_xludf.IMAGE("https://edmondsonsupply.com/cdn/shop/products/gas-pressure-test-kit.jpg?v=1633030027")</f>
        <v>#NAME?</v>
      </c>
      <c r="H1761" t="e">
        <f ca="1">_xludf.IMAGE("https://m.media-amazon.com/images/I/81iCDGVbmUL._AC_UY218_.jpg")</f>
        <v>#NAME?</v>
      </c>
      <c r="I1761" t="s">
        <v>3443</v>
      </c>
      <c r="J1761">
        <v>72.150000000000006</v>
      </c>
      <c r="K1761" s="4">
        <v>-2.8E-3</v>
      </c>
      <c r="L1761">
        <v>4.7</v>
      </c>
      <c r="M1761">
        <v>1070</v>
      </c>
      <c r="O1761" t="s">
        <v>25</v>
      </c>
      <c r="P1761" t="s">
        <v>138</v>
      </c>
      <c r="Q1761" t="s">
        <v>3444</v>
      </c>
    </row>
    <row r="1762" spans="1:17" ht="15.5" x14ac:dyDescent="0.35">
      <c r="A1762" s="3" t="str">
        <f>HYPERLINK("https://edmondsonsupply.com/collections/hvac/products/inficon-d-tek-stratus", "https://edmondsonsupply.com/collections/hvac/products/inficon-d-tek-stratus")</f>
        <v>https://edmondsonsupply.com/collections/hvac/products/inficon-d-tek-stratus</v>
      </c>
      <c r="B1762" s="3" t="str">
        <f>HYPERLINK("https://edmondsonsupply.com/products/inficon-d-tek-stratus", "https://edmondsonsupply.com/products/inficon-d-tek-stratus")</f>
        <v>https://edmondsonsupply.com/products/inficon-d-tek-stratus</v>
      </c>
      <c r="C1762" t="s">
        <v>4811</v>
      </c>
      <c r="D1762" t="s">
        <v>2494</v>
      </c>
      <c r="E1762" s="3" t="str">
        <f>HYPERLINK("https://www.amazon.com/Inficon-D-TEK-Stratus-Refrigerant-Detector/dp/B07ZWGM6GR/ref=sr_1_1?keywords=Inficon+D-TEK+Stratus%C2%AE+Refrigerant+Leak+Detector+and+Portable+Monitor&amp;qid=1695173412&amp;sr=8-1", "https://www.amazon.com/Inficon-D-TEK-Stratus-Refrigerant-Detector/dp/B07ZWGM6GR/ref=sr_1_1?keywords=Inficon+D-TEK+Stratus%C2%AE+Refrigerant+Leak+Detector+and+Portable+Monitor&amp;qid=1695173412&amp;sr=8-1")</f>
        <v>https://www.amazon.com/Inficon-D-TEK-Stratus-Refrigerant-Detector/dp/B07ZWGM6GR/ref=sr_1_1?keywords=Inficon+D-TEK+Stratus%C2%AE+Refrigerant+Leak+Detector+and+Portable+Monitor&amp;qid=1695173412&amp;sr=8-1</v>
      </c>
      <c r="F1762" t="s">
        <v>2495</v>
      </c>
      <c r="G1762" t="e">
        <f ca="1">_xludf.IMAGE("https://edmondsonsupply.com/cdn/shop/products/stratus.png?v=1633030783")</f>
        <v>#NAME?</v>
      </c>
      <c r="H1762" t="e">
        <f ca="1">_xludf.IMAGE("https://m.media-amazon.com/images/I/61a5yae6mKL._AC_UL320_.jpg")</f>
        <v>#NAME?</v>
      </c>
      <c r="I1762" t="s">
        <v>4812</v>
      </c>
      <c r="J1762">
        <v>1021.96</v>
      </c>
      <c r="K1762" s="4">
        <v>-3.0000000000000001E-3</v>
      </c>
      <c r="L1762">
        <v>4.5999999999999996</v>
      </c>
      <c r="M1762">
        <v>43</v>
      </c>
      <c r="O1762" t="s">
        <v>25</v>
      </c>
      <c r="P1762" t="s">
        <v>4813</v>
      </c>
      <c r="Q1762" t="s">
        <v>4814</v>
      </c>
    </row>
    <row r="1763" spans="1:17" ht="15.5" x14ac:dyDescent="0.35">
      <c r="A1763" s="3" t="str">
        <f>HYPERLINK("https://edmondsonsupply.com/collections/hvac/products/navac-nhb1-big-boy-high-flow-evacuation-hose-6-3-8-to-1-4", "https://edmondsonsupply.com/collections/hvac/products/navac-nhb1-big-boy-high-flow-evacuation-hose-6-3-8-to-1-4")</f>
        <v>https://edmondsonsupply.com/collections/hvac/products/navac-nhb1-big-boy-high-flow-evacuation-hose-6-3-8-to-1-4</v>
      </c>
      <c r="B1763" s="3" t="str">
        <f>HYPERLINK("https://edmondsonsupply.com/products/navac-nhb1-big-boy-high-flow-evacuation-hose-6-3-8-to-1-4", "https://edmondsonsupply.com/products/navac-nhb1-big-boy-high-flow-evacuation-hose-6-3-8-to-1-4")</f>
        <v>https://edmondsonsupply.com/products/navac-nhb1-big-boy-high-flow-evacuation-hose-6-3-8-to-1-4</v>
      </c>
      <c r="C1763" t="s">
        <v>4815</v>
      </c>
      <c r="D1763" t="s">
        <v>4743</v>
      </c>
      <c r="E1763" s="3" t="str">
        <f>HYPERLINK("https://www.amazon.com/Navac-High-Flow-Refrigerant-Diameter-Fitting/dp/B07VY9TBBJ/ref=sr_1_1?keywords=NAVAC+NHB1+High-Flow+Evacuation+Hose%2C+6%27%2C+3%2F8+to+1%2F4&amp;qid=1695173634&amp;sr=8-1", "https://www.amazon.com/Navac-High-Flow-Refrigerant-Diameter-Fitting/dp/B07VY9TBBJ/ref=sr_1_1?keywords=NAVAC+NHB1+High-Flow+Evacuation+Hose%2C+6%27%2C+3%2F8+to+1%2F4&amp;qid=1695173634&amp;sr=8-1")</f>
        <v>https://www.amazon.com/Navac-High-Flow-Refrigerant-Diameter-Fitting/dp/B07VY9TBBJ/ref=sr_1_1?keywords=NAVAC+NHB1+High-Flow+Evacuation+Hose%2C+6%27%2C+3%2F8+to+1%2F4&amp;qid=1695173634&amp;sr=8-1</v>
      </c>
      <c r="F1763" t="s">
        <v>4744</v>
      </c>
      <c r="G1763" t="e">
        <f ca="1">_xludf.IMAGE("https://edmondsonsupply.com/cdn/shop/products/NHB1-1.png?v=1633030655")</f>
        <v>#NAME?</v>
      </c>
      <c r="H1763" t="e">
        <f ca="1">_xludf.IMAGE("https://m.media-amazon.com/images/I/41mRmoe+-+L._AC_UL320_.jpg")</f>
        <v>#NAME?</v>
      </c>
      <c r="I1763" t="s">
        <v>4816</v>
      </c>
      <c r="J1763">
        <v>57</v>
      </c>
      <c r="K1763" s="4">
        <v>-3.0000000000000001E-3</v>
      </c>
      <c r="L1763">
        <v>4.7</v>
      </c>
      <c r="M1763">
        <v>54</v>
      </c>
      <c r="O1763" t="s">
        <v>25</v>
      </c>
      <c r="P1763" t="s">
        <v>4817</v>
      </c>
      <c r="Q1763" t="s">
        <v>4818</v>
      </c>
    </row>
    <row r="1764" spans="1:17" ht="15.5" x14ac:dyDescent="0.35">
      <c r="A1764" s="3" t="str">
        <f>HYPERLINK("https://edmondsonsupply.com/collections/hvac/products/klein-tools-3005cr-ratcheting-crimper-10-22-awg", "https://edmondsonsupply.com/collections/hvac/products/klein-tools-3005cr-ratcheting-crimper-10-22-awg")</f>
        <v>https://edmondsonsupply.com/collections/hvac/products/klein-tools-3005cr-ratcheting-crimper-10-22-awg</v>
      </c>
      <c r="B1764" s="3" t="str">
        <f>HYPERLINK("https://edmondsonsupply.com/products/klein-tools-3005cr-ratcheting-crimper-10-22-awg", "https://edmondsonsupply.com/products/klein-tools-3005cr-ratcheting-crimper-10-22-awg")</f>
        <v>https://edmondsonsupply.com/products/klein-tools-3005cr-ratcheting-crimper-10-22-awg</v>
      </c>
      <c r="C1764" t="s">
        <v>1987</v>
      </c>
      <c r="D1764" t="s">
        <v>4819</v>
      </c>
      <c r="E1764" s="3" t="str">
        <f>HYPERLINK("https://www.amazon.com/Klein-Tools-1005-Connectors-Non-Insulated/dp/B0006M6Y5M/ref=sr_1_7?keywords=Klein+Tools+3005CR+Ratcheting+Crimper%2C+10-22+AWG+-+Insulated+Terminals&amp;qid=1695173487&amp;sr=8-7", "https://www.amazon.com/Klein-Tools-1005-Connectors-Non-Insulated/dp/B0006M6Y5M/ref=sr_1_7?keywords=Klein+Tools+3005CR+Ratcheting+Crimper%2C+10-22+AWG+-+Insulated+Terminals&amp;qid=1695173487&amp;sr=8-7")</f>
        <v>https://www.amazon.com/Klein-Tools-1005-Connectors-Non-Insulated/dp/B0006M6Y5M/ref=sr_1_7?keywords=Klein+Tools+3005CR+Ratcheting+Crimper%2C+10-22+AWG+-+Insulated+Terminals&amp;qid=1695173487&amp;sr=8-7</v>
      </c>
      <c r="F1764" t="s">
        <v>4820</v>
      </c>
      <c r="G1764" t="e">
        <f ca="1">_xludf.IMAGE("https://edmondsonsupply.com/cdn/shop/products/3005cr.jpg?v=1587146892")</f>
        <v>#NAME?</v>
      </c>
      <c r="H1764" t="e">
        <f ca="1">_xludf.IMAGE("https://m.media-amazon.com/images/I/41JVR3OpiRL._AC_UL320_.jpg")</f>
        <v>#NAME?</v>
      </c>
      <c r="I1764" t="s">
        <v>824</v>
      </c>
      <c r="J1764">
        <v>29.85</v>
      </c>
      <c r="K1764" s="4">
        <v>-4.0000000000000001E-3</v>
      </c>
      <c r="L1764">
        <v>4.9000000000000004</v>
      </c>
      <c r="M1764">
        <v>3908</v>
      </c>
      <c r="O1764" t="s">
        <v>25</v>
      </c>
      <c r="P1764" t="s">
        <v>1990</v>
      </c>
      <c r="Q1764" t="s">
        <v>1991</v>
      </c>
    </row>
    <row r="1765" spans="1:17" ht="15.5" x14ac:dyDescent="0.35">
      <c r="A1765" s="3" t="str">
        <f>HYPERLINK("https://edmondsonsupply.com/collections/hvac/products/robertshaw-rs10420t", "https://edmondsonsupply.com/collections/hvac/products/robertshaw-rs10420t")</f>
        <v>https://edmondsonsupply.com/collections/hvac/products/robertshaw-rs10420t</v>
      </c>
      <c r="B1765" s="3" t="str">
        <f>HYPERLINK("https://edmondsonsupply.com/products/robertshaw-rs10420t", "https://edmondsonsupply.com/products/robertshaw-rs10420t")</f>
        <v>https://edmondsonsupply.com/products/robertshaw-rs10420t</v>
      </c>
      <c r="C1765" t="s">
        <v>4348</v>
      </c>
      <c r="D1765" t="s">
        <v>3054</v>
      </c>
      <c r="E1765" s="3" t="str">
        <f>HYPERLINK("https://www.amazon.com/Robertshaw-Programmable-Touchscreen-Multi-Stage-Conventional/dp/B00U5CB7TG/ref=sr_1_2?keywords=Robertshaw+RS10420T+WIFI+Programmable+Touchscreen+Wall+Thermostat%2C+Multi-Stage+-+4+Heat+%2F+2+Cool&amp;qid=1695173722&amp;sr=8-2", "https://www.amazon.com/Robertshaw-Programmable-Touchscreen-Multi-Stage-Conventional/dp/B00U5CB7TG/ref=sr_1_2?keywords=Robertshaw+RS10420T+WIFI+Programmable+Touchscreen+Wall+Thermostat%2C+Multi-Stage+-+4+Heat+%2F+2+Cool&amp;qid=1695173722&amp;sr=8-2")</f>
        <v>https://www.amazon.com/Robertshaw-Programmable-Touchscreen-Multi-Stage-Conventional/dp/B00U5CB7TG/ref=sr_1_2?keywords=Robertshaw+RS10420T+WIFI+Programmable+Touchscreen+Wall+Thermostat%2C+Multi-Stage+-+4+Heat+%2F+2+Cool&amp;qid=1695173722&amp;sr=8-2</v>
      </c>
      <c r="F1765" t="s">
        <v>3055</v>
      </c>
      <c r="G1765" t="e">
        <f ca="1">_xludf.IMAGE("https://edmondsonsupply.com/cdn/shop/files/bf4cbb96-100e-4c93-9520-73ef61e2b961.jpg?v=1692304879")</f>
        <v>#NAME?</v>
      </c>
      <c r="H1765" t="e">
        <f ca="1">_xludf.IMAGE("https://m.media-amazon.com/images/I/71J5tZZs0hL._AC_UL320_.jpg")</f>
        <v>#NAME?</v>
      </c>
      <c r="I1765" t="s">
        <v>4349</v>
      </c>
      <c r="J1765">
        <v>72.5</v>
      </c>
      <c r="K1765" s="4">
        <v>-4.1000000000000003E-3</v>
      </c>
      <c r="L1765">
        <v>3.8</v>
      </c>
      <c r="M1765">
        <v>8</v>
      </c>
      <c r="O1765" t="s">
        <v>25</v>
      </c>
      <c r="P1765" t="s">
        <v>138</v>
      </c>
      <c r="Q1765" t="s">
        <v>4350</v>
      </c>
    </row>
    <row r="1766" spans="1:17" ht="15.5" x14ac:dyDescent="0.35">
      <c r="A1766" s="3" t="str">
        <f>HYPERLINK("https://edmondsonsupply.com/collections/hvac/products/rectorseal-83114-ez-trap-113b-3-4-crs-trap-kit-w-brush", "https://edmondsonsupply.com/collections/hvac/products/rectorseal-83114-ez-trap-113b-3-4-crs-trap-kit-w-brush")</f>
        <v>https://edmondsonsupply.com/collections/hvac/products/rectorseal-83114-ez-trap-113b-3-4-crs-trap-kit-w-brush</v>
      </c>
      <c r="B1766" s="3" t="str">
        <f>HYPERLINK("https://edmondsonsupply.com/products/rectorseal-83114-ez-trap-113b-3-4-crs-trap-kit-w-brush", "https://edmondsonsupply.com/products/rectorseal-83114-ez-trap-113b-3-4-crs-trap-kit-w-brush")</f>
        <v>https://edmondsonsupply.com/products/rectorseal-83114-ez-trap-113b-3-4-crs-trap-kit-w-brush</v>
      </c>
      <c r="C1766" t="s">
        <v>3417</v>
      </c>
      <c r="D1766" t="s">
        <v>4821</v>
      </c>
      <c r="E1766" s="3" t="str">
        <f>HYPERLINK("https://www.amazon.com/Rectorseal-83114-113B-Trap-Brush/dp/B00BMUFSGI/ref=sr_1_1?keywords=Rectorseal+83114+EZ+Trap+113B+3%2F4%22+CRS+Trap+Kit+W%2FBrush&amp;qid=1695173727&amp;sr=8-1", "https://www.amazon.com/Rectorseal-83114-113B-Trap-Brush/dp/B00BMUFSGI/ref=sr_1_1?keywords=Rectorseal+83114+EZ+Trap+113B+3%2F4%22+CRS+Trap+Kit+W%2FBrush&amp;qid=1695173727&amp;sr=8-1")</f>
        <v>https://www.amazon.com/Rectorseal-83114-113B-Trap-Brush/dp/B00BMUFSGI/ref=sr_1_1?keywords=Rectorseal+83114+EZ+Trap+113B+3%2F4%22+CRS+Trap+Kit+W%2FBrush&amp;qid=1695173727&amp;sr=8-1</v>
      </c>
      <c r="F1766" t="s">
        <v>4822</v>
      </c>
      <c r="G1766" t="e">
        <f ca="1">_xludf.IMAGE("https://edmondsonsupply.com/cdn/shop/files/83114.png?v=1690565153")</f>
        <v>#NAME?</v>
      </c>
      <c r="H1766" t="e">
        <f ca="1">_xludf.IMAGE("https://m.media-amazon.com/images/I/51zrSprHHZL._AC_UL320_.jpg")</f>
        <v>#NAME?</v>
      </c>
      <c r="I1766" t="s">
        <v>332</v>
      </c>
      <c r="J1766">
        <v>21.9</v>
      </c>
      <c r="K1766" s="4">
        <v>-5.4000000000000003E-3</v>
      </c>
      <c r="L1766">
        <v>4.8</v>
      </c>
      <c r="M1766">
        <v>523</v>
      </c>
      <c r="O1766" t="s">
        <v>25</v>
      </c>
      <c r="P1766" t="s">
        <v>138</v>
      </c>
      <c r="Q1766" t="s">
        <v>3420</v>
      </c>
    </row>
    <row r="1767" spans="1:17" ht="15.5" x14ac:dyDescent="0.35">
      <c r="A1767" s="3" t="str">
        <f>HYPERLINK("https://edmondsonsupply.com/collections/hvac/products/hilmor-1950536-lightweight-brushless-dc-refrigerant-recovery-machine", "https://edmondsonsupply.com/collections/hvac/products/hilmor-1950536-lightweight-brushless-dc-refrigerant-recovery-machine")</f>
        <v>https://edmondsonsupply.com/collections/hvac/products/hilmor-1950536-lightweight-brushless-dc-refrigerant-recovery-machine</v>
      </c>
      <c r="B1767" s="3" t="str">
        <f>HYPERLINK("https://edmondsonsupply.com/products/hilmor-1950536-lightweight-brushless-dc-refrigerant-recovery-machine", "https://edmondsonsupply.com/products/hilmor-1950536-lightweight-brushless-dc-refrigerant-recovery-machine")</f>
        <v>https://edmondsonsupply.com/products/hilmor-1950536-lightweight-brushless-dc-refrigerant-recovery-machine</v>
      </c>
      <c r="C1767" t="s">
        <v>4823</v>
      </c>
      <c r="D1767" t="s">
        <v>4824</v>
      </c>
      <c r="E1767" s="3" t="str">
        <f>HYPERLINK("https://www.amazon.com/Hilmor-Brushless-Refrigerant-Recovery-1950536/dp/B0872D9DH8/ref=sr_1_1?keywords=Hilmor+1950536+Lightweight+Brushless+DC+Refrigerant+Recovery+Machine&amp;qid=1695173565&amp;sr=8-1", "https://www.amazon.com/Hilmor-Brushless-Refrigerant-Recovery-1950536/dp/B0872D9DH8/ref=sr_1_1?keywords=Hilmor+1950536+Lightweight+Brushless+DC+Refrigerant+Recovery+Machine&amp;qid=1695173565&amp;sr=8-1")</f>
        <v>https://www.amazon.com/Hilmor-Brushless-Refrigerant-Recovery-1950536/dp/B0872D9DH8/ref=sr_1_1?keywords=Hilmor+1950536+Lightweight+Brushless+DC+Refrigerant+Recovery+Machine&amp;qid=1695173565&amp;sr=8-1</v>
      </c>
      <c r="F1767" t="s">
        <v>4825</v>
      </c>
      <c r="G1767" t="e">
        <f ca="1">_xludf.IMAGE("https://edmondsonsupply.com/cdn/shop/products/1950536-1.jpg?v=1587148105")</f>
        <v>#NAME?</v>
      </c>
      <c r="H1767" t="e">
        <f ca="1">_xludf.IMAGE("https://m.media-amazon.com/images/I/71egN-pGu5L._AC_UL320_.jpg")</f>
        <v>#NAME?</v>
      </c>
      <c r="I1767" t="s">
        <v>4826</v>
      </c>
      <c r="J1767">
        <v>639.95000000000005</v>
      </c>
      <c r="K1767" s="4">
        <v>-5.4999999999999997E-3</v>
      </c>
      <c r="L1767">
        <v>5</v>
      </c>
      <c r="M1767">
        <v>4</v>
      </c>
      <c r="O1767" t="s">
        <v>25</v>
      </c>
      <c r="P1767" t="s">
        <v>138</v>
      </c>
      <c r="Q1767" t="s">
        <v>4827</v>
      </c>
    </row>
    <row r="1768" spans="1:17" ht="15.5" x14ac:dyDescent="0.35">
      <c r="A1768" s="3" t="str">
        <f>HYPERLINK("https://edmondsonsupply.com/collections/hvac/products/refrigeration-technologies-rt400p-wetrag-reusable-heat-blocking-putty", "https://edmondsonsupply.com/collections/hvac/products/refrigeration-technologies-rt400p-wetrag-reusable-heat-blocking-putty")</f>
        <v>https://edmondsonsupply.com/collections/hvac/products/refrigeration-technologies-rt400p-wetrag-reusable-heat-blocking-putty</v>
      </c>
      <c r="B1768" s="3" t="str">
        <f>HYPERLINK("https://edmondsonsupply.com/products/refrigeration-technologies-rt400p-wetrag-reusable-heat-blocking-putty", "https://edmondsonsupply.com/products/refrigeration-technologies-rt400p-wetrag-reusable-heat-blocking-putty")</f>
        <v>https://edmondsonsupply.com/products/refrigeration-technologies-rt400p-wetrag-reusable-heat-blocking-putty</v>
      </c>
      <c r="C1768" t="s">
        <v>4828</v>
      </c>
      <c r="D1768" t="s">
        <v>4829</v>
      </c>
      <c r="E1768" s="3" t="str">
        <f>HYPERLINK("https://www.amazon.com/Refrigeration-Technologies-RT400P-Wetrag-Blocking/dp/B017T23T18/ref=sr_1_1?keywords=Refrigeration+Technologies+RT400P+Viper+WetRag+-+Reusable+Heat+Blocking+Putty&amp;qid=1695173385&amp;sr=8-1", "https://www.amazon.com/Refrigeration-Technologies-RT400P-Wetrag-Blocking/dp/B017T23T18/ref=sr_1_1?keywords=Refrigeration+Technologies+RT400P+Viper+WetRag+-+Reusable+Heat+Blocking+Putty&amp;qid=1695173385&amp;sr=8-1")</f>
        <v>https://www.amazon.com/Refrigeration-Technologies-RT400P-Wetrag-Blocking/dp/B017T23T18/ref=sr_1_1?keywords=Refrigeration+Technologies+RT400P+Viper+WetRag+-+Reusable+Heat+Blocking+Putty&amp;qid=1695173385&amp;sr=8-1</v>
      </c>
      <c r="F1768" t="s">
        <v>4830</v>
      </c>
      <c r="G1768" t="e">
        <f ca="1">_xludf.IMAGE("https://edmondsonsupply.com/cdn/shop/products/RT400P.gif?v=1608570325")</f>
        <v>#NAME?</v>
      </c>
      <c r="H1768" t="e">
        <f ca="1">_xludf.IMAGE("https://m.media-amazon.com/images/I/61SVbN76qCL._AC_UY218_.jpg")</f>
        <v>#NAME?</v>
      </c>
      <c r="I1768" t="s">
        <v>4831</v>
      </c>
      <c r="J1768">
        <v>23.49</v>
      </c>
      <c r="K1768" s="4">
        <v>-6.3E-3</v>
      </c>
      <c r="L1768">
        <v>4.5</v>
      </c>
      <c r="M1768">
        <v>416</v>
      </c>
      <c r="O1768" t="s">
        <v>25</v>
      </c>
      <c r="P1768" t="s">
        <v>911</v>
      </c>
      <c r="Q1768" t="s">
        <v>4832</v>
      </c>
    </row>
    <row r="1769" spans="1:17" ht="15.5" x14ac:dyDescent="0.35">
      <c r="A1769" s="3" t="str">
        <f>HYPERLINK("https://edmondsonsupply.com/collections/hvac/products/yellow-jacket-63331-alloy-ratchet-tube-bender-kit", "https://edmondsonsupply.com/collections/hvac/products/yellow-jacket-63331-alloy-ratchet-tube-bender-kit")</f>
        <v>https://edmondsonsupply.com/collections/hvac/products/yellow-jacket-63331-alloy-ratchet-tube-bender-kit</v>
      </c>
      <c r="B1769" s="3" t="str">
        <f>HYPERLINK("https://edmondsonsupply.com/products/yellow-jacket-63331-alloy-ratchet-tube-bender-kit", "https://edmondsonsupply.com/products/yellow-jacket-63331-alloy-ratchet-tube-bender-kit")</f>
        <v>https://edmondsonsupply.com/products/yellow-jacket-63331-alloy-ratchet-tube-bender-kit</v>
      </c>
      <c r="C1769" t="s">
        <v>3165</v>
      </c>
      <c r="D1769" t="s">
        <v>4833</v>
      </c>
      <c r="E1769" s="3" t="str">
        <f>HYPERLINK("https://www.amazon.com/Yellow-Jacket-63331-Ratchet-Bender/dp/B08SG6D18Y/ref=sr_1_1?keywords=Yellow+Jacket+63331+Alloy+Ratchet+Tube+Bender+Kit&amp;qid=1695173610&amp;sr=8-1", "https://www.amazon.com/Yellow-Jacket-63331-Ratchet-Bender/dp/B08SG6D18Y/ref=sr_1_1?keywords=Yellow+Jacket+63331+Alloy+Ratchet+Tube+Bender+Kit&amp;qid=1695173610&amp;sr=8-1")</f>
        <v>https://www.amazon.com/Yellow-Jacket-63331-Ratchet-Bender/dp/B08SG6D18Y/ref=sr_1_1?keywords=Yellow+Jacket+63331+Alloy+Ratchet+Tube+Bender+Kit&amp;qid=1695173610&amp;sr=8-1</v>
      </c>
      <c r="F1769" t="s">
        <v>4834</v>
      </c>
      <c r="G1769" t="e">
        <f ca="1">_xludf.IMAGE("https://edmondsonsupply.com/cdn/shop/products/63331_3.jpg?v=1651518442")</f>
        <v>#NAME?</v>
      </c>
      <c r="H1769" t="e">
        <f ca="1">_xludf.IMAGE("https://m.media-amazon.com/images/I/61Z4-vhPgGL._AC_UL320_.jpg")</f>
        <v>#NAME?</v>
      </c>
      <c r="I1769" t="s">
        <v>3168</v>
      </c>
      <c r="J1769">
        <v>240</v>
      </c>
      <c r="K1769" s="4">
        <v>-7.6E-3</v>
      </c>
      <c r="L1769">
        <v>4.7</v>
      </c>
      <c r="M1769">
        <v>104</v>
      </c>
      <c r="O1769" t="s">
        <v>25</v>
      </c>
      <c r="P1769" t="s">
        <v>138</v>
      </c>
      <c r="Q1769" t="s">
        <v>3169</v>
      </c>
    </row>
    <row r="1770" spans="1:17" ht="15.5" x14ac:dyDescent="0.35">
      <c r="A1770" s="3" t="str">
        <f>HYPERLINK("https://edmondsonsupply.com/collections/hvac/products/klein-tools-56040-rechargeable-focus-flashlight-with-laser", "https://edmondsonsupply.com/collections/hvac/products/klein-tools-56040-rechargeable-focus-flashlight-with-laser")</f>
        <v>https://edmondsonsupply.com/collections/hvac/products/klein-tools-56040-rechargeable-focus-flashlight-with-laser</v>
      </c>
      <c r="B1770" s="3" t="str">
        <f>HYPERLINK("https://edmondsonsupply.com/products/klein-tools-56040-rechargeable-focus-flashlight-with-laser", "https://edmondsonsupply.com/products/klein-tools-56040-rechargeable-focus-flashlight-with-laser")</f>
        <v>https://edmondsonsupply.com/products/klein-tools-56040-rechargeable-focus-flashlight-with-laser</v>
      </c>
      <c r="C1770" t="s">
        <v>4835</v>
      </c>
      <c r="D1770" t="s">
        <v>4836</v>
      </c>
      <c r="E1770" s="3" t="str">
        <f>HYPERLINK("https://www.amazon.com/Klein-56040-Rechargeable-Focus-Flashlight/dp/B0828NGD4V/ref=sr_1_1?keywords=Klein+Tools+56040+Rechargeable+Focus+Flashlight+with+Laser&amp;qid=1695173661&amp;sr=8-1", "https://www.amazon.com/Klein-56040-Rechargeable-Focus-Flashlight/dp/B0828NGD4V/ref=sr_1_1?keywords=Klein+Tools+56040+Rechargeable+Focus+Flashlight+with+Laser&amp;qid=1695173661&amp;sr=8-1")</f>
        <v>https://www.amazon.com/Klein-56040-Rechargeable-Focus-Flashlight/dp/B0828NGD4V/ref=sr_1_1?keywords=Klein+Tools+56040+Rechargeable+Focus+Flashlight+with+Laser&amp;qid=1695173661&amp;sr=8-1</v>
      </c>
      <c r="F1770" t="s">
        <v>4837</v>
      </c>
      <c r="G1770" t="e">
        <f ca="1">_xludf.IMAGE("https://edmondsonsupply.com/cdn/shop/products/56040.jpg?v=1587143371")</f>
        <v>#NAME?</v>
      </c>
      <c r="H1770" t="e">
        <f ca="1">_xludf.IMAGE("https://m.media-amazon.com/images/I/51XNgm063EL._AC_UL320_.jpg")</f>
        <v>#NAME?</v>
      </c>
      <c r="I1770" t="s">
        <v>246</v>
      </c>
      <c r="J1770">
        <v>39.659999999999997</v>
      </c>
      <c r="K1770" s="4">
        <v>-7.7999999999999996E-3</v>
      </c>
      <c r="L1770">
        <v>4.5999999999999996</v>
      </c>
      <c r="M1770">
        <v>476</v>
      </c>
      <c r="O1770" t="s">
        <v>25</v>
      </c>
      <c r="P1770" t="s">
        <v>4838</v>
      </c>
      <c r="Q1770" t="s">
        <v>4839</v>
      </c>
    </row>
    <row r="1771" spans="1:17" ht="15.5" x14ac:dyDescent="0.35">
      <c r="A1771" s="3" t="str">
        <f>HYPERLINK("https://edmondsonsupply.com/collections/hvac/products/klein-tools-32304-14-in-1-hvac-adjustable-length-impact-screwdriver-with-flip-socket", "https://edmondsonsupply.com/collections/hvac/products/klein-tools-32304-14-in-1-hvac-adjustable-length-impact-screwdriver-with-flip-socket")</f>
        <v>https://edmondsonsupply.com/collections/hvac/products/klein-tools-32304-14-in-1-hvac-adjustable-length-impact-screwdriver-with-flip-socket</v>
      </c>
      <c r="B1771"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1771" t="s">
        <v>2115</v>
      </c>
      <c r="D1771" t="s">
        <v>4840</v>
      </c>
      <c r="E1771" s="3" t="str">
        <f>HYPERLINK("https://www.amazon.com/Screwdriver-Adjustable-Klein-Tools-32304/dp/B09Q4H5STD/ref=sr_1_1?keywords=Klein+Tools+32304+14-in-1+HVAC+Adjustable-Length+Impact+Screwdriver+with+Flip+Socket&amp;qid=1695173459&amp;sr=8-1", "https://www.amazon.com/Screwdriver-Adjustable-Klein-Tools-32304/dp/B09Q4H5STD/ref=sr_1_1?keywords=Klein+Tools+32304+14-in-1+HVAC+Adjustable-Length+Impact+Screwdriver+with+Flip+Socket&amp;qid=1695173459&amp;sr=8-1")</f>
        <v>https://www.amazon.com/Screwdriver-Adjustable-Klein-Tools-32304/dp/B09Q4H5STD/ref=sr_1_1?keywords=Klein+Tools+32304+14-in-1+HVAC+Adjustable-Length+Impact+Screwdriver+with+Flip+Socket&amp;qid=1695173459&amp;sr=8-1</v>
      </c>
      <c r="F1771" t="s">
        <v>4841</v>
      </c>
      <c r="G1771" t="e">
        <f ca="1">_xludf.IMAGE("https://edmondsonsupply.com/cdn/shop/products/32304.jpg?v=1666019479")</f>
        <v>#NAME?</v>
      </c>
      <c r="H1771" t="e">
        <f ca="1">_xludf.IMAGE("https://m.media-amazon.com/images/I/51OyfXQXJkL._AC_UL320_.jpg")</f>
        <v>#NAME?</v>
      </c>
      <c r="I1771" t="s">
        <v>859</v>
      </c>
      <c r="J1771">
        <v>24.77</v>
      </c>
      <c r="K1771" s="4">
        <v>-8.0000000000000002E-3</v>
      </c>
      <c r="L1771">
        <v>4.5999999999999996</v>
      </c>
      <c r="M1771">
        <v>2640</v>
      </c>
      <c r="O1771" t="s">
        <v>25</v>
      </c>
      <c r="P1771" t="s">
        <v>602</v>
      </c>
      <c r="Q1771" t="s">
        <v>2118</v>
      </c>
    </row>
    <row r="1772" spans="1:17" ht="15.5" x14ac:dyDescent="0.35">
      <c r="A1772"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1772"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1772" t="s">
        <v>2430</v>
      </c>
      <c r="D1772" t="s">
        <v>2430</v>
      </c>
      <c r="E1772" s="3" t="str">
        <f>HYPERLINK("https://www.amazon.com/Klein-Tools-4-Inch-Cabinet-Screwdriver/dp/B000BQT6GC/ref=sr_1_1?keywords=Klein+Tools+605-6+1%2F4-Inch+Cabinet+Tip+Screwdriver%2C+Heavy+Duty%2C+6-Inch&amp;qid=1695173547&amp;sr=8-1", "https://www.amazon.com/Klein-Tools-4-Inch-Cabinet-Screwdriver/dp/B000BQT6GC/ref=sr_1_1?keywords=Klein+Tools+605-6+1%2F4-Inch+Cabinet+Tip+Screwdriver%2C+Heavy+Duty%2C+6-Inch&amp;qid=1695173547&amp;sr=8-1")</f>
        <v>https://www.amazon.com/Klein-Tools-4-Inch-Cabinet-Screwdriver/dp/B000BQT6GC/ref=sr_1_1?keywords=Klein+Tools+605-6+1%2F4-Inch+Cabinet+Tip+Screwdriver%2C+Heavy+Duty%2C+6-Inch&amp;qid=1695173547&amp;sr=8-1</v>
      </c>
      <c r="F1772" t="s">
        <v>4842</v>
      </c>
      <c r="G1772" t="e">
        <f ca="1">_xludf.IMAGE("https://edmondsonsupply.com/cdn/shop/products/605-6.jpg?v=1587149759")</f>
        <v>#NAME?</v>
      </c>
      <c r="H1772" t="e">
        <f ca="1">_xludf.IMAGE("https://m.media-amazon.com/images/I/41WLDr2SP+L._AC_UL320_.jpg")</f>
        <v>#NAME?</v>
      </c>
      <c r="I1772" t="s">
        <v>2433</v>
      </c>
      <c r="J1772">
        <v>9.39</v>
      </c>
      <c r="K1772" s="4">
        <v>-1.0500000000000001E-2</v>
      </c>
      <c r="L1772">
        <v>4.8</v>
      </c>
      <c r="M1772">
        <v>1227</v>
      </c>
      <c r="O1772" t="s">
        <v>25</v>
      </c>
      <c r="P1772" t="s">
        <v>2434</v>
      </c>
      <c r="Q1772" t="s">
        <v>2435</v>
      </c>
    </row>
    <row r="1773" spans="1:17" ht="15.5" x14ac:dyDescent="0.35">
      <c r="A1773" s="3" t="str">
        <f>HYPERLINK("https://edmondsonsupply.com/collections/hvac/products/icm-controls-icm325a-low-ambient-head-pressure-control", "https://edmondsonsupply.com/collections/hvac/products/icm-controls-icm325a-low-ambient-head-pressure-control")</f>
        <v>https://edmondsonsupply.com/collections/hvac/products/icm-controls-icm325a-low-ambient-head-pressure-control</v>
      </c>
      <c r="B1773" s="3" t="str">
        <f>HYPERLINK("https://edmondsonsupply.com/products/icm-controls-icm325a-low-ambient-head-pressure-control", "https://edmondsonsupply.com/products/icm-controls-icm325a-low-ambient-head-pressure-control")</f>
        <v>https://edmondsonsupply.com/products/icm-controls-icm325a-low-ambient-head-pressure-control</v>
      </c>
      <c r="C1773" t="s">
        <v>3255</v>
      </c>
      <c r="D1773" t="s">
        <v>4843</v>
      </c>
      <c r="E1773" s="3" t="str">
        <f>HYPERLINK("https://www.amazon.com/ICM-Controls-ICM325HN-Pressure-Temperature/dp/B003U4JG5I/ref=sr_1_5?keywords=ICM+Controls+ICM325A+Low+Ambient+Head+Pressure+Control&amp;qid=1695173588&amp;sr=8-5", "https://www.amazon.com/ICM-Controls-ICM325HN-Pressure-Temperature/dp/B003U4JG5I/ref=sr_1_5?keywords=ICM+Controls+ICM325A+Low+Ambient+Head+Pressure+Control&amp;qid=1695173588&amp;sr=8-5")</f>
        <v>https://www.amazon.com/ICM-Controls-ICM325HN-Pressure-Temperature/dp/B003U4JG5I/ref=sr_1_5?keywords=ICM+Controls+ICM325A+Low+Ambient+Head+Pressure+Control&amp;qid=1695173588&amp;sr=8-5</v>
      </c>
      <c r="F1773" t="s">
        <v>4844</v>
      </c>
      <c r="G1773" t="e">
        <f ca="1">_xludf.IMAGE("https://edmondsonsupply.com/cdn/shop/files/icm325.png?v=1684274593")</f>
        <v>#NAME?</v>
      </c>
      <c r="H1773" t="e">
        <f ca="1">_xludf.IMAGE("https://m.media-amazon.com/images/I/61hN8SbAvCL._AC_UL320_.jpg")</f>
        <v>#NAME?</v>
      </c>
      <c r="I1773" t="s">
        <v>3258</v>
      </c>
      <c r="J1773">
        <v>151.5</v>
      </c>
      <c r="K1773" s="4">
        <v>-1.0999999999999999E-2</v>
      </c>
      <c r="L1773">
        <v>4.4000000000000004</v>
      </c>
      <c r="M1773">
        <v>14</v>
      </c>
      <c r="O1773" t="s">
        <v>25</v>
      </c>
      <c r="P1773" t="s">
        <v>138</v>
      </c>
      <c r="Q1773" t="s">
        <v>3259</v>
      </c>
    </row>
    <row r="1774" spans="1:17" ht="15.5" x14ac:dyDescent="0.35">
      <c r="A1774" s="3" t="str">
        <f>HYPERLINK("https://edmondsonsupply.com/collections/hvac/products/navac-nrp8di-8-cfm-smart-vacuum-pump-1", "https://edmondsonsupply.com/collections/hvac/products/navac-nrp8di-8-cfm-smart-vacuum-pump-1")</f>
        <v>https://edmondsonsupply.com/collections/hvac/products/navac-nrp8di-8-cfm-smart-vacuum-pump-1</v>
      </c>
      <c r="B1774" s="3" t="str">
        <f>HYPERLINK("https://edmondsonsupply.com/products/navac-nrp8di-8-cfm-smart-vacuum-pump-1", "https://edmondsonsupply.com/products/navac-nrp8di-8-cfm-smart-vacuum-pump-1")</f>
        <v>https://edmondsonsupply.com/products/navac-nrp8di-8-cfm-smart-vacuum-pump-1</v>
      </c>
      <c r="C1774" t="s">
        <v>4845</v>
      </c>
      <c r="D1774" t="s">
        <v>4846</v>
      </c>
      <c r="E1774" s="3" t="str">
        <f>HYPERLINK("https://www.amazon.com/NAVAC-NRP8Di-Smart-Vacuum-Pump/dp/B07L76RBNK/ref=sr_1_1?keywords=NAVAC+NRP8Di+8+CFM+Smart+Vacuum+Pump&amp;qid=1695173580&amp;sr=8-1", "https://www.amazon.com/NAVAC-NRP8Di-Smart-Vacuum-Pump/dp/B07L76RBNK/ref=sr_1_1?keywords=NAVAC+NRP8Di+8+CFM+Smart+Vacuum+Pump&amp;qid=1695173580&amp;sr=8-1")</f>
        <v>https://www.amazon.com/NAVAC-NRP8Di-Smart-Vacuum-Pump/dp/B07L76RBNK/ref=sr_1_1?keywords=NAVAC+NRP8Di+8+CFM+Smart+Vacuum+Pump&amp;qid=1695173580&amp;sr=8-1</v>
      </c>
      <c r="F1774" t="s">
        <v>4847</v>
      </c>
      <c r="G1774" t="e">
        <f ca="1">_xludf.IMAGE("https://edmondsonsupply.com/cdn/shop/products/nrp8di_7fd11a27-ba42-4ccd-8e80-a2fac309d7ac.png?v=1633030643")</f>
        <v>#NAME?</v>
      </c>
      <c r="H1774" t="e">
        <f ca="1">_xludf.IMAGE("https://m.media-amazon.com/images/I/61+BrvHCSdL._AC_UL320_.jpg")</f>
        <v>#NAME?</v>
      </c>
      <c r="I1774" t="s">
        <v>4848</v>
      </c>
      <c r="J1774">
        <v>659</v>
      </c>
      <c r="K1774" s="4">
        <v>-1.1599999999999999E-2</v>
      </c>
      <c r="L1774">
        <v>4.4000000000000004</v>
      </c>
      <c r="M1774">
        <v>29</v>
      </c>
      <c r="O1774" t="s">
        <v>25</v>
      </c>
      <c r="P1774" t="s">
        <v>4849</v>
      </c>
      <c r="Q1774" t="s">
        <v>4850</v>
      </c>
    </row>
    <row r="1775" spans="1:17" ht="15.5" x14ac:dyDescent="0.35">
      <c r="A1775" s="3" t="str">
        <f>HYPERLINK("https://edmondsonsupply.com/collections/hvac/products/packard-prmj216-motor-start-capacitor-216-259-mfd-330-vac", "https://edmondsonsupply.com/collections/hvac/products/packard-prmj216-motor-start-capacitor-216-259-mfd-330-vac")</f>
        <v>https://edmondsonsupply.com/collections/hvac/products/packard-prmj216-motor-start-capacitor-216-259-mfd-330-vac</v>
      </c>
      <c r="B1775" s="3" t="str">
        <f>HYPERLINK("https://edmondsonsupply.com/products/packard-prmj216-motor-start-capacitor-216-259-mfd-330-vac", "https://edmondsonsupply.com/products/packard-prmj216-motor-start-capacitor-216-259-mfd-330-vac")</f>
        <v>https://edmondsonsupply.com/products/packard-prmj216-motor-start-capacitor-216-259-mfd-330-vac</v>
      </c>
      <c r="C1775" t="s">
        <v>2370</v>
      </c>
      <c r="D1775" t="s">
        <v>2135</v>
      </c>
      <c r="E1775" s="3" t="str">
        <f>HYPERLINK("https://www.amazon.com/PMJ216-Packard-Upgraded-Replacement-Capacitor/dp/B0773XR2MH/ref=sr_1_10?keywords=Packard+PRMJ216+Motor+Start+Capacitor+216-259+MFD+330+VAC&amp;qid=1695173694&amp;sr=8-10", "https://www.amazon.com/PMJ216-Packard-Upgraded-Replacement-Capacitor/dp/B0773XR2MH/ref=sr_1_10?keywords=Packard+PRMJ216+Motor+Start+Capacitor+216-259+MFD+330+VAC&amp;qid=1695173694&amp;sr=8-10")</f>
        <v>https://www.amazon.com/PMJ216-Packard-Upgraded-Replacement-Capacitor/dp/B0773XR2MH/ref=sr_1_10?keywords=Packard+PRMJ216+Motor+Start+Capacitor+216-259+MFD+330+VAC&amp;qid=1695173694&amp;sr=8-10</v>
      </c>
      <c r="F1775" t="s">
        <v>2136</v>
      </c>
      <c r="G1775" t="e">
        <f ca="1">_xludf.IMAGE("https://edmondsonsupply.com/cdn/shop/products/PRMJ216-2.jpg?v=1633030106")</f>
        <v>#NAME?</v>
      </c>
      <c r="H1775" t="e">
        <f ca="1">_xludf.IMAGE("https://m.media-amazon.com/images/I/41fqQrQgJaL._AC_UY218_.jpg")</f>
        <v>#NAME?</v>
      </c>
      <c r="I1775" t="s">
        <v>2371</v>
      </c>
      <c r="J1775">
        <v>8.82</v>
      </c>
      <c r="K1775" s="4">
        <v>-1.34E-2</v>
      </c>
      <c r="L1775">
        <v>4</v>
      </c>
      <c r="M1775">
        <v>10</v>
      </c>
      <c r="O1775" t="s">
        <v>25</v>
      </c>
      <c r="P1775" t="s">
        <v>138</v>
      </c>
      <c r="Q1775" t="s">
        <v>2372</v>
      </c>
    </row>
    <row r="1776" spans="1:17" ht="15.5" x14ac:dyDescent="0.35">
      <c r="A1776" s="3" t="str">
        <f>HYPERLINK("https://edmondsonsupply.com/collections/hvac/products/klein-tools-85076ins-screwdriver-set-1000v-insulated-6-piece", "https://edmondsonsupply.com/collections/hvac/products/klein-tools-85076ins-screwdriver-set-1000v-insulated-6-piece")</f>
        <v>https://edmondsonsupply.com/collections/hvac/products/klein-tools-85076ins-screwdriver-set-1000v-insulated-6-piece</v>
      </c>
      <c r="B1776" s="3" t="str">
        <f>HYPERLINK("https://edmondsonsupply.com/products/klein-tools-85076ins-screwdriver-set-1000v-insulated-6-piece", "https://edmondsonsupply.com/products/klein-tools-85076ins-screwdriver-set-1000v-insulated-6-piece")</f>
        <v>https://edmondsonsupply.com/products/klein-tools-85076ins-screwdriver-set-1000v-insulated-6-piece</v>
      </c>
      <c r="C1776" t="s">
        <v>3730</v>
      </c>
      <c r="D1776" t="s">
        <v>4851</v>
      </c>
      <c r="E1776" s="3" t="str">
        <f>HYPERLINK("https://www.amazon.com/Klein-Tools-85076INS-Screwdriver-Screwdrivers/dp/B0BF76JDCC/ref=sr_1_1?keywords=Klein+Tools+85076INS+Screwdriver+Set%2C+1000V+Insulated%2C+6-Piece&amp;qid=1695173499&amp;sr=8-1", "https://www.amazon.com/Klein-Tools-85076INS-Screwdriver-Screwdrivers/dp/B0BF76JDCC/ref=sr_1_1?keywords=Klein+Tools+85076INS+Screwdriver+Set%2C+1000V+Insulated%2C+6-Piece&amp;qid=1695173499&amp;sr=8-1")</f>
        <v>https://www.amazon.com/Klein-Tools-85076INS-Screwdriver-Screwdrivers/dp/B0BF76JDCC/ref=sr_1_1?keywords=Klein+Tools+85076INS+Screwdriver+Set%2C+1000V+Insulated%2C+6-Piece&amp;qid=1695173499&amp;sr=8-1</v>
      </c>
      <c r="F1776" t="s">
        <v>4852</v>
      </c>
      <c r="G1776" t="e">
        <f ca="1">_xludf.IMAGE("https://edmondsonsupply.com/cdn/shop/products/85076ins.jpg?v=1664891110")</f>
        <v>#NAME?</v>
      </c>
      <c r="H1776" t="e">
        <f ca="1">_xludf.IMAGE("https://m.media-amazon.com/images/I/51wtKAQ0TLL._AC_UL320_.jpg")</f>
        <v>#NAME?</v>
      </c>
      <c r="I1776" t="s">
        <v>246</v>
      </c>
      <c r="J1776">
        <v>39.43</v>
      </c>
      <c r="K1776" s="4">
        <v>-1.35E-2</v>
      </c>
      <c r="L1776">
        <v>4.8</v>
      </c>
      <c r="M1776">
        <v>207</v>
      </c>
      <c r="O1776" t="s">
        <v>25</v>
      </c>
      <c r="P1776" t="s">
        <v>199</v>
      </c>
      <c r="Q1776" t="s">
        <v>3731</v>
      </c>
    </row>
    <row r="1777" spans="1:17" ht="15.5" x14ac:dyDescent="0.35">
      <c r="A1777" s="3" t="str">
        <f>HYPERLINK("https://edmondsonsupply.com/collections/hvac/products/klein-tools-55600-tradesman-pro%E2%84%A2-tough-box-17-quart-cooler", "https://edmondsonsupply.com/collections/hvac/products/klein-tools-55600-tradesman-pro%E2%84%A2-tough-box-17-quart-cooler")</f>
        <v>https://edmondsonsupply.com/collections/hvac/products/klein-tools-55600-tradesman-pro%E2%84%A2-tough-box-17-quart-cooler</v>
      </c>
      <c r="B1777"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1777" t="s">
        <v>3583</v>
      </c>
      <c r="D1777" t="s">
        <v>4853</v>
      </c>
      <c r="E1777" s="3" t="str">
        <f>HYPERLINK("https://www.amazon.com/17-Quart-Tradesman-Klein-Tools-55600/dp/B06XGJTTRY/ref=sr_1_1?keywords=Klein+Tools+55600+Tradesman+Pro%E2%84%A2+Tough+Box+Cooler%2C+17-Quart&amp;qid=1695173675&amp;sr=8-1", "https://www.amazon.com/17-Quart-Tradesman-Klein-Tools-55600/dp/B06XGJTTRY/ref=sr_1_1?keywords=Klein+Tools+55600+Tradesman+Pro%E2%84%A2+Tough+Box+Cooler%2C+17-Quart&amp;qid=1695173675&amp;sr=8-1")</f>
        <v>https://www.amazon.com/17-Quart-Tradesman-Klein-Tools-55600/dp/B06XGJTTRY/ref=sr_1_1?keywords=Klein+Tools+55600+Tradesman+Pro%E2%84%A2+Tough+Box+Cooler%2C+17-Quart&amp;qid=1695173675&amp;sr=8-1</v>
      </c>
      <c r="F1777" t="s">
        <v>4854</v>
      </c>
      <c r="G1777" t="e">
        <f ca="1">_xludf.IMAGE("https://edmondsonsupply.com/cdn/shop/products/55600.jpg?v=1587145287")</f>
        <v>#NAME?</v>
      </c>
      <c r="H1777" t="e">
        <f ca="1">_xludf.IMAGE("https://m.media-amazon.com/images/I/61pNFKsetIL._AC_UL320_.jpg")</f>
        <v>#NAME?</v>
      </c>
      <c r="I1777" t="s">
        <v>305</v>
      </c>
      <c r="J1777">
        <v>64</v>
      </c>
      <c r="K1777" s="4">
        <v>-1.49E-2</v>
      </c>
      <c r="L1777">
        <v>4.7</v>
      </c>
      <c r="M1777">
        <v>9939</v>
      </c>
      <c r="O1777" t="s">
        <v>25</v>
      </c>
      <c r="P1777" t="s">
        <v>3586</v>
      </c>
      <c r="Q1777" t="s">
        <v>3587</v>
      </c>
    </row>
    <row r="1778" spans="1:17" ht="15.5" x14ac:dyDescent="0.35">
      <c r="A1778" s="3" t="str">
        <f>HYPERLINK("https://edmondsonsupply.com/collections/hvac/products/jb-industries-dv-200n-platinum-7-cfm-vacuum-pump", "https://edmondsonsupply.com/collections/hvac/products/jb-industries-dv-200n-platinum-7-cfm-vacuum-pump")</f>
        <v>https://edmondsonsupply.com/collections/hvac/products/jb-industries-dv-200n-platinum-7-cfm-vacuum-pump</v>
      </c>
      <c r="B1778" s="3" t="str">
        <f>HYPERLINK("https://edmondsonsupply.com/products/jb-industries-dv-200n-platinum-7-cfm-vacuum-pump", "https://edmondsonsupply.com/products/jb-industries-dv-200n-platinum-7-cfm-vacuum-pump")</f>
        <v>https://edmondsonsupply.com/products/jb-industries-dv-200n-platinum-7-cfm-vacuum-pump</v>
      </c>
      <c r="C1778" t="s">
        <v>2843</v>
      </c>
      <c r="D1778" t="s">
        <v>4855</v>
      </c>
      <c r="E1778" s="3" t="str">
        <f>HYPERLINK("https://www.amazon.com/JB-Industries-DV-200N-Platinum-Vacuum/dp/B003M5NCKU/ref=sr_1_1?keywords=JB+Industries+DV-200N+Platinum+7+CFM+Vacuum+Pump&amp;qid=1695173576&amp;sr=8-1", "https://www.amazon.com/JB-Industries-DV-200N-Platinum-Vacuum/dp/B003M5NCKU/ref=sr_1_1?keywords=JB+Industries+DV-200N+Platinum+7+CFM+Vacuum+Pump&amp;qid=1695173576&amp;sr=8-1")</f>
        <v>https://www.amazon.com/JB-Industries-DV-200N-Platinum-Vacuum/dp/B003M5NCKU/ref=sr_1_1?keywords=JB+Industries+DV-200N+Platinum+7+CFM+Vacuum+Pump&amp;qid=1695173576&amp;sr=8-1</v>
      </c>
      <c r="F1778" t="s">
        <v>4856</v>
      </c>
      <c r="G1778" t="e">
        <f ca="1">_xludf.IMAGE("https://edmondsonsupply.com/cdn/shop/products/dv-200n.jpg?v=1587145620")</f>
        <v>#NAME?</v>
      </c>
      <c r="H1778" t="e">
        <f ca="1">_xludf.IMAGE("https://m.media-amazon.com/images/I/81GyGaUTzaL._AC_UY218_.jpg")</f>
        <v>#NAME?</v>
      </c>
      <c r="I1778" t="s">
        <v>2846</v>
      </c>
      <c r="J1778">
        <v>602.02</v>
      </c>
      <c r="K1778" s="4">
        <v>-1.4999999999999999E-2</v>
      </c>
      <c r="L1778">
        <v>4.5999999999999996</v>
      </c>
      <c r="M1778">
        <v>52</v>
      </c>
      <c r="O1778" t="s">
        <v>25</v>
      </c>
      <c r="P1778" t="s">
        <v>2847</v>
      </c>
      <c r="Q1778" t="s">
        <v>2848</v>
      </c>
    </row>
    <row r="1779" spans="1:17" ht="15.5" x14ac:dyDescent="0.35">
      <c r="A1779" s="3" t="str">
        <f>HYPERLINK("https://edmondsonsupply.com/collections/hvac/products/klein-tools-3005cr-ratcheting-crimper-10-22-awg", "https://edmondsonsupply.com/collections/hvac/products/klein-tools-3005cr-ratcheting-crimper-10-22-awg")</f>
        <v>https://edmondsonsupply.com/collections/hvac/products/klein-tools-3005cr-ratcheting-crimper-10-22-awg</v>
      </c>
      <c r="B1779" s="3" t="str">
        <f>HYPERLINK("https://edmondsonsupply.com/products/klein-tools-3005cr-ratcheting-crimper-10-22-awg", "https://edmondsonsupply.com/products/klein-tools-3005cr-ratcheting-crimper-10-22-awg")</f>
        <v>https://edmondsonsupply.com/products/klein-tools-3005cr-ratcheting-crimper-10-22-awg</v>
      </c>
      <c r="C1779" t="s">
        <v>1987</v>
      </c>
      <c r="D1779" t="s">
        <v>4857</v>
      </c>
      <c r="E1779" s="3" t="str">
        <f>HYPERLINK("https://www.amazon.com/Klein-Tools-Ratcheting-Crimper-10-22/dp/B07WMB61J5/ref=sr_1_1?keywords=Klein+Tools+3005CR+Ratcheting+Crimper%2C+10-22+AWG+-+Insulated+Terminals&amp;qid=1695173487&amp;sr=8-1", "https://www.amazon.com/Klein-Tools-Ratcheting-Crimper-10-22/dp/B07WMB61J5/ref=sr_1_1?keywords=Klein+Tools+3005CR+Ratcheting+Crimper%2C+10-22+AWG+-+Insulated+Terminals&amp;qid=1695173487&amp;sr=8-1")</f>
        <v>https://www.amazon.com/Klein-Tools-Ratcheting-Crimper-10-22/dp/B07WMB61J5/ref=sr_1_1?keywords=Klein+Tools+3005CR+Ratcheting+Crimper%2C+10-22+AWG+-+Insulated+Terminals&amp;qid=1695173487&amp;sr=8-1</v>
      </c>
      <c r="F1779" t="s">
        <v>4858</v>
      </c>
      <c r="G1779" t="e">
        <f ca="1">_xludf.IMAGE("https://edmondsonsupply.com/cdn/shop/products/3005cr.jpg?v=1587146892")</f>
        <v>#NAME?</v>
      </c>
      <c r="H1779" t="e">
        <f ca="1">_xludf.IMAGE("https://m.media-amazon.com/images/I/412xzN1PKSL._AC_UL320_.jpg")</f>
        <v>#NAME?</v>
      </c>
      <c r="I1779" t="s">
        <v>824</v>
      </c>
      <c r="J1779">
        <v>29.48</v>
      </c>
      <c r="K1779" s="4">
        <v>-1.6299999999999999E-2</v>
      </c>
      <c r="L1779">
        <v>4.8</v>
      </c>
      <c r="M1779">
        <v>7013</v>
      </c>
      <c r="O1779" t="s">
        <v>25</v>
      </c>
      <c r="P1779" t="s">
        <v>1990</v>
      </c>
      <c r="Q1779" t="s">
        <v>1991</v>
      </c>
    </row>
    <row r="1780" spans="1:17" ht="15.5" x14ac:dyDescent="0.35">
      <c r="A1780"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780" s="3" t="str">
        <f>HYPERLINK("https://edmondsonsupply.com/products/klein-tools-646-1-4-1-4-inch-nut-driver-with-6-inch-hollow-shaft", "https://edmondsonsupply.com/products/klein-tools-646-1-4-1-4-inch-nut-driver-with-6-inch-hollow-shaft")</f>
        <v>https://edmondsonsupply.com/products/klein-tools-646-1-4-1-4-inch-nut-driver-with-6-inch-hollow-shaft</v>
      </c>
      <c r="C1780" t="s">
        <v>1478</v>
      </c>
      <c r="D1780" t="s">
        <v>4859</v>
      </c>
      <c r="E1780" s="3" t="str">
        <f>HYPERLINK("https://www.amazon.com/4-Inch-Driver-Cushion-Klein-Tools/dp/B000LEBON2/ref=sr_1_1?keywords=Klein+Tools+646-1%2F4+1%2F4-Inch+Nut+Driver+with+6-Inch+Hollow+Shaft&amp;qid=1695173548&amp;sr=8-1", "https://www.amazon.com/4-Inch-Driver-Cushion-Klein-Tools/dp/B000LEBON2/ref=sr_1_1?keywords=Klein+Tools+646-1%2F4+1%2F4-Inch+Nut+Driver+with+6-Inch+Hollow+Shaft&amp;qid=1695173548&amp;sr=8-1")</f>
        <v>https://www.amazon.com/4-Inch-Driver-Cushion-Klein-Tools/dp/B000LEBON2/ref=sr_1_1?keywords=Klein+Tools+646-1%2F4+1%2F4-Inch+Nut+Driver+with+6-Inch+Hollow+Shaft&amp;qid=1695173548&amp;sr=8-1</v>
      </c>
      <c r="F1780" t="s">
        <v>4860</v>
      </c>
      <c r="G1780" t="e">
        <f ca="1">_xludf.IMAGE("https://edmondsonsupply.com/cdn/shop/products/646-1-2_08d87fa9-eac4-4869-8d3b-bb680d4b1d53.jpg?v=1587150676")</f>
        <v>#NAME?</v>
      </c>
      <c r="H1780" t="e">
        <f ca="1">_xludf.IMAGE("https://m.media-amazon.com/images/I/31sSFYGqdfL._AC_UL320_.jpg")</f>
        <v>#NAME?</v>
      </c>
      <c r="I1780" t="s">
        <v>1003</v>
      </c>
      <c r="J1780">
        <v>7.84</v>
      </c>
      <c r="K1780" s="4">
        <v>-1.8800000000000001E-2</v>
      </c>
      <c r="L1780">
        <v>4.8</v>
      </c>
      <c r="M1780">
        <v>2497</v>
      </c>
      <c r="O1780" t="s">
        <v>25</v>
      </c>
      <c r="P1780" t="s">
        <v>1481</v>
      </c>
      <c r="Q1780" t="s">
        <v>1482</v>
      </c>
    </row>
    <row r="1781" spans="1:17" ht="15.5" x14ac:dyDescent="0.35">
      <c r="A1781" s="3" t="str">
        <f>HYPERLINK("https://edmondsonsupply.com/collections/hvac/products/klein-tools-mm300kit-digital-multimeter-electrical-test-kit", "https://edmondsonsupply.com/collections/hvac/products/klein-tools-mm300kit-digital-multimeter-electrical-test-kit")</f>
        <v>https://edmondsonsupply.com/collections/hvac/products/klein-tools-mm300kit-digital-multimeter-electrical-test-kit</v>
      </c>
      <c r="B1781"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1781" t="s">
        <v>3227</v>
      </c>
      <c r="D1781" t="s">
        <v>4861</v>
      </c>
      <c r="E1781" s="3" t="str">
        <f>HYPERLINK("https://www.amazon.com/Klein-Tools-69355-Electrical-Test/dp/B09SVQQFZX/ref=sr_1_4?keywords=Klein+Tools+MM320KIT+Digital+Multimeter+Electrical+Test+Kit&amp;qid=1695173460&amp;sr=8-4", "https://www.amazon.com/Klein-Tools-69355-Electrical-Test/dp/B09SVQQFZX/ref=sr_1_4?keywords=Klein+Tools+MM320KIT+Digital+Multimeter+Electrical+Test+Kit&amp;qid=1695173460&amp;sr=8-4")</f>
        <v>https://www.amazon.com/Klein-Tools-69355-Electrical-Test/dp/B09SVQQFZX/ref=sr_1_4?keywords=Klein+Tools+MM320KIT+Digital+Multimeter+Electrical+Test+Kit&amp;qid=1695173460&amp;sr=8-4</v>
      </c>
      <c r="F1781" t="s">
        <v>4862</v>
      </c>
      <c r="G1781" t="e">
        <f ca="1">_xludf.IMAGE("https://edmondsonsupply.com/cdn/shop/products/mm320kit_photo.jpg?v=1660756496")</f>
        <v>#NAME?</v>
      </c>
      <c r="H1781" t="e">
        <f ca="1">_xludf.IMAGE("https://m.media-amazon.com/images/I/51heXSegywL._AC_UL320_.jpg")</f>
        <v>#NAME?</v>
      </c>
      <c r="I1781" t="s">
        <v>380</v>
      </c>
      <c r="J1781">
        <v>48.99</v>
      </c>
      <c r="K1781" s="4">
        <v>-1.9599999999999999E-2</v>
      </c>
      <c r="L1781">
        <v>4.7</v>
      </c>
      <c r="M1781">
        <v>406</v>
      </c>
      <c r="O1781" t="s">
        <v>25</v>
      </c>
      <c r="P1781" t="s">
        <v>3230</v>
      </c>
      <c r="Q1781" t="s">
        <v>3231</v>
      </c>
    </row>
    <row r="1782" spans="1:17" ht="15.5" x14ac:dyDescent="0.35">
      <c r="A1782" s="3" t="str">
        <f>HYPERLINK("https://edmondsonsupply.com/collections/hvac/products/uniweld-40061-sludge-blaster%C2%AE", "https://edmondsonsupply.com/collections/hvac/products/uniweld-40061-sludge-blaster%C2%AE")</f>
        <v>https://edmondsonsupply.com/collections/hvac/products/uniweld-40061-sludge-blaster%C2%AE</v>
      </c>
      <c r="B1782" s="3" t="str">
        <f>HYPERLINK("https://edmondsonsupply.com/products/uniweld-40061-sludge-blaster%c2%ae", "https://edmondsonsupply.com/products/uniweld-40061-sludge-blaster%c2%ae")</f>
        <v>https://edmondsonsupply.com/products/uniweld-40061-sludge-blaster%c2%ae</v>
      </c>
      <c r="C1782" t="s">
        <v>4863</v>
      </c>
      <c r="D1782" t="s">
        <v>4864</v>
      </c>
      <c r="E1782" s="3" t="str">
        <f>HYPERLINK("https://www.amazon.com/Uniweld-40061-Sludge-Blaster/dp/B00CIRZ936/ref=sr_1_1?keywords=Uniweld+40061+Sludge+Blaster%C2%AE&amp;qid=1695173463&amp;sr=8-1", "https://www.amazon.com/Uniweld-40061-Sludge-Blaster/dp/B00CIRZ936/ref=sr_1_1?keywords=Uniweld+40061+Sludge+Blaster%C2%AE&amp;qid=1695173463&amp;sr=8-1")</f>
        <v>https://www.amazon.com/Uniweld-40061-Sludge-Blaster/dp/B00CIRZ936/ref=sr_1_1?keywords=Uniweld+40061+Sludge+Blaster%C2%AE&amp;qid=1695173463&amp;sr=8-1</v>
      </c>
      <c r="F1782" t="s">
        <v>4865</v>
      </c>
      <c r="G1782" t="e">
        <f ca="1">_xludf.IMAGE("https://edmondsonsupply.com/cdn/shop/products/40061_pkg.jpg?v=1656353031")</f>
        <v>#NAME?</v>
      </c>
      <c r="H1782" t="e">
        <f ca="1">_xludf.IMAGE("https://m.media-amazon.com/images/I/61PURvecGcL._AC_UL320_.jpg")</f>
        <v>#NAME?</v>
      </c>
      <c r="I1782" t="s">
        <v>3472</v>
      </c>
      <c r="J1782">
        <v>23.49</v>
      </c>
      <c r="K1782" s="4">
        <v>-2.0799999999999999E-2</v>
      </c>
      <c r="L1782">
        <v>4.4000000000000004</v>
      </c>
      <c r="M1782">
        <v>318</v>
      </c>
      <c r="O1782" t="s">
        <v>25</v>
      </c>
      <c r="P1782" t="s">
        <v>4866</v>
      </c>
      <c r="Q1782" t="s">
        <v>4867</v>
      </c>
    </row>
    <row r="1783" spans="1:17" ht="15.5" x14ac:dyDescent="0.35">
      <c r="A1783"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1783" s="3" t="str">
        <f>HYPERLINK("https://edmondsonsupply.com/products/klein-tools-et120-combustible-gas-leak-detector", "https://edmondsonsupply.com/products/klein-tools-et120-combustible-gas-leak-detector")</f>
        <v>https://edmondsonsupply.com/products/klein-tools-et120-combustible-gas-leak-detector</v>
      </c>
      <c r="C1783" t="s">
        <v>1529</v>
      </c>
      <c r="D1783" t="s">
        <v>4868</v>
      </c>
      <c r="E1783" s="3" t="str">
        <f>HYPERLINK("https://www.amazon.com/Combustible-Detector-Klein-Tools-ET120/dp/B074NBJ8XP/ref=sr_1_1?keywords=Klein+Tools+ET120+Combustible+Gas+Leak+Detector&amp;qid=1695173669&amp;sr=8-1", "https://www.amazon.com/Combustible-Detector-Klein-Tools-ET120/dp/B074NBJ8XP/ref=sr_1_1?keywords=Klein+Tools+ET120+Combustible+Gas+Leak+Detector&amp;qid=1695173669&amp;sr=8-1")</f>
        <v>https://www.amazon.com/Combustible-Detector-Klein-Tools-ET120/dp/B074NBJ8XP/ref=sr_1_1?keywords=Klein+Tools+ET120+Combustible+Gas+Leak+Detector&amp;qid=1695173669&amp;sr=8-1</v>
      </c>
      <c r="F1783" t="s">
        <v>4869</v>
      </c>
      <c r="G1783" t="e">
        <f ca="1">_xludf.IMAGE("https://edmondsonsupply.com/cdn/shop/products/et120.jpg?v=1587149243")</f>
        <v>#NAME?</v>
      </c>
      <c r="H1783" t="e">
        <f ca="1">_xludf.IMAGE("https://m.media-amazon.com/images/I/51204dgX5uL._AC_UL320_.jpg")</f>
        <v>#NAME?</v>
      </c>
      <c r="I1783" t="s">
        <v>74</v>
      </c>
      <c r="J1783">
        <v>117.44</v>
      </c>
      <c r="K1783" s="4">
        <v>-2.1299999999999999E-2</v>
      </c>
      <c r="L1783">
        <v>4.5999999999999996</v>
      </c>
      <c r="M1783">
        <v>1604</v>
      </c>
      <c r="O1783" t="s">
        <v>25</v>
      </c>
      <c r="P1783" t="s">
        <v>1532</v>
      </c>
      <c r="Q1783" t="s">
        <v>1533</v>
      </c>
    </row>
    <row r="1784" spans="1:17" ht="15.5" x14ac:dyDescent="0.35">
      <c r="A1784" s="3" t="str">
        <f>HYPERLINK("https://edmondsonsupply.com/collections/hvac/products/diablo-tools-dag1130-1-in-x-7-1-2-in-auger-bit", "https://edmondsonsupply.com/collections/hvac/products/diablo-tools-dag1130-1-in-x-7-1-2-in-auger-bit")</f>
        <v>https://edmondsonsupply.com/collections/hvac/products/diablo-tools-dag1130-1-in-x-7-1-2-in-auger-bit</v>
      </c>
      <c r="B1784" s="3" t="str">
        <f>HYPERLINK("https://edmondsonsupply.com/products/diablo-tools-dag1130-1-in-x-7-1-2-in-auger-bit", "https://edmondsonsupply.com/products/diablo-tools-dag1130-1-in-x-7-1-2-in-auger-bit")</f>
        <v>https://edmondsonsupply.com/products/diablo-tools-dag1130-1-in-x-7-1-2-in-auger-bit</v>
      </c>
      <c r="C1784" t="s">
        <v>3530</v>
      </c>
      <c r="D1784" t="s">
        <v>4870</v>
      </c>
      <c r="E1784" s="3" t="str">
        <f>HYPERLINK("https://www.amazon.com/Diablo-Freud-DAG1090-7-1-Auger/dp/B089KW4S6Y/ref=sr_1_5?keywords=Diablo+Tools+DAG1130+1+in.+x+7-1%2F2+in.+Auger+Bit&amp;qid=1695173621&amp;sr=8-5", "https://www.amazon.com/Diablo-Freud-DAG1090-7-1-Auger/dp/B089KW4S6Y/ref=sr_1_5?keywords=Diablo+Tools+DAG1130+1+in.+x+7-1%2F2+in.+Auger+Bit&amp;qid=1695173621&amp;sr=8-5")</f>
        <v>https://www.amazon.com/Diablo-Freud-DAG1090-7-1-Auger/dp/B089KW4S6Y/ref=sr_1_5?keywords=Diablo+Tools+DAG1130+1+in.+x+7-1%2F2+in.+Auger+Bit&amp;qid=1695173621&amp;sr=8-5</v>
      </c>
      <c r="F1784" t="s">
        <v>4871</v>
      </c>
      <c r="G1784" t="e">
        <f ca="1">_xludf.IMAGE("https://edmondsonsupply.com/cdn/shop/products/DAG1130_Main-Image20200712.png?v=1633031124")</f>
        <v>#NAME?</v>
      </c>
      <c r="H1784" t="e">
        <f ca="1">_xludf.IMAGE("https://m.media-amazon.com/images/I/61wiLPAG21L._AC_UL320_.jpg")</f>
        <v>#NAME?</v>
      </c>
      <c r="I1784" t="s">
        <v>3533</v>
      </c>
      <c r="J1784">
        <v>16</v>
      </c>
      <c r="K1784" s="4">
        <v>-2.2599999999999999E-2</v>
      </c>
      <c r="L1784">
        <v>4.4000000000000004</v>
      </c>
      <c r="M1784">
        <v>35</v>
      </c>
      <c r="O1784" t="s">
        <v>25</v>
      </c>
      <c r="P1784" t="s">
        <v>3534</v>
      </c>
      <c r="Q1784" t="s">
        <v>3535</v>
      </c>
    </row>
    <row r="1785" spans="1:17" ht="15.5" x14ac:dyDescent="0.35">
      <c r="A1785"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1785" s="3" t="str">
        <f>HYPERLINK("https://edmondsonsupply.com/products/klein-tools-5141-canvas-bag-4-pk-brown-black-gray-red", "https://edmondsonsupply.com/products/klein-tools-5141-canvas-bag-4-pk-brown-black-gray-red")</f>
        <v>https://edmondsonsupply.com/products/klein-tools-5141-canvas-bag-4-pk-brown-black-gray-red</v>
      </c>
      <c r="C1785" t="s">
        <v>243</v>
      </c>
      <c r="D1785" t="s">
        <v>294</v>
      </c>
      <c r="E1785" s="3" t="str">
        <f>HYPERLINK("https://www.amazon.com/Utility-Zipper-12-5-Inch-Klein-Tools/dp/B007V8RXVI/ref=sr_1_1?keywords=Klein+Tools+5141+Zipper+Bags%2C+Canvas+Tool+Pouches+Brown%2FBlack%2FGray%2FRed%2C+4-Pack&amp;qid=1695173635&amp;sr=8-1", "https://www.amazon.com/Utility-Zipper-12-5-Inch-Klein-Tools/dp/B007V8RXVI/ref=sr_1_1?keywords=Klein+Tools+5141+Zipper+Bags%2C+Canvas+Tool+Pouches+Brown%2FBlack%2FGray%2FRed%2C+4-Pack&amp;qid=1695173635&amp;sr=8-1")</f>
        <v>https://www.amazon.com/Utility-Zipper-12-5-Inch-Klein-Tools/dp/B007V8RXVI/ref=sr_1_1?keywords=Klein+Tools+5141+Zipper+Bags%2C+Canvas+Tool+Pouches+Brown%2FBlack%2FGray%2FRed%2C+4-Pack&amp;qid=1695173635&amp;sr=8-1</v>
      </c>
      <c r="F1785" t="s">
        <v>295</v>
      </c>
      <c r="G1785" t="e">
        <f ca="1">_xludf.IMAGE("https://edmondsonsupply.com/cdn/shop/products/5141.jpg?v=1633030517")</f>
        <v>#NAME?</v>
      </c>
      <c r="H1785" t="e">
        <f ca="1">_xludf.IMAGE("https://m.media-amazon.com/images/I/61K2xaMr+oL._AC_UL320_.jpg")</f>
        <v>#NAME?</v>
      </c>
      <c r="I1785" t="s">
        <v>246</v>
      </c>
      <c r="J1785">
        <v>39</v>
      </c>
      <c r="K1785" s="4">
        <v>-2.4299999999999999E-2</v>
      </c>
      <c r="L1785">
        <v>4.8</v>
      </c>
      <c r="M1785">
        <v>4463</v>
      </c>
      <c r="O1785" t="s">
        <v>25</v>
      </c>
      <c r="P1785" t="s">
        <v>247</v>
      </c>
      <c r="Q1785" t="s">
        <v>248</v>
      </c>
    </row>
    <row r="1786" spans="1:17" ht="15.5" x14ac:dyDescent="0.35">
      <c r="A1786" s="3" t="str">
        <f>HYPERLINK("https://edmondsonsupply.com/collections/hvac/products/klein-tools-5141-canvas-bag-4-pk-brown-black-gray-red", "https://edmondsonsupply.com/collections/hvac/products/klein-tools-5141-canvas-bag-4-pk-brown-black-gray-red")</f>
        <v>https://edmondsonsupply.com/collections/hvac/products/klein-tools-5141-canvas-bag-4-pk-brown-black-gray-red</v>
      </c>
      <c r="B1786" s="3" t="str">
        <f>HYPERLINK("https://edmondsonsupply.com/products/klein-tools-5141-canvas-bag-4-pk-brown-black-gray-red", "https://edmondsonsupply.com/products/klein-tools-5141-canvas-bag-4-pk-brown-black-gray-red")</f>
        <v>https://edmondsonsupply.com/products/klein-tools-5141-canvas-bag-4-pk-brown-black-gray-red</v>
      </c>
      <c r="C1786" t="s">
        <v>243</v>
      </c>
      <c r="D1786" t="s">
        <v>654</v>
      </c>
      <c r="E1786" s="3" t="str">
        <f>HYPERLINK("https://www.amazon.com/Klein-Tools-Canvas-Zipper-4-25-Inch/dp/B09Z91GLFK/ref=sr_1_2?keywords=Klein+Tools+5141+Zipper+Bags%2C+Canvas+Tool+Pouches+Brown%2FBlack%2FGray%2FRed%2C+4-Pack&amp;qid=1695173635&amp;sr=8-2", "https://www.amazon.com/Klein-Tools-Canvas-Zipper-4-25-Inch/dp/B09Z91GLFK/ref=sr_1_2?keywords=Klein+Tools+5141+Zipper+Bags%2C+Canvas+Tool+Pouches+Brown%2FBlack%2FGray%2FRed%2C+4-Pack&amp;qid=1695173635&amp;sr=8-2")</f>
        <v>https://www.amazon.com/Klein-Tools-Canvas-Zipper-4-25-Inch/dp/B09Z91GLFK/ref=sr_1_2?keywords=Klein+Tools+5141+Zipper+Bags%2C+Canvas+Tool+Pouches+Brown%2FBlack%2FGray%2FRed%2C+4-Pack&amp;qid=1695173635&amp;sr=8-2</v>
      </c>
      <c r="F1786" t="s">
        <v>655</v>
      </c>
      <c r="G1786" t="e">
        <f ca="1">_xludf.IMAGE("https://edmondsonsupply.com/cdn/shop/products/5141.jpg?v=1633030517")</f>
        <v>#NAME?</v>
      </c>
      <c r="H1786" t="e">
        <f ca="1">_xludf.IMAGE("https://m.media-amazon.com/images/I/51OmVOlxWvL._AC_UL320_.jpg")</f>
        <v>#NAME?</v>
      </c>
      <c r="I1786" t="s">
        <v>246</v>
      </c>
      <c r="J1786">
        <v>39</v>
      </c>
      <c r="K1786" s="4">
        <v>-2.4299999999999999E-2</v>
      </c>
      <c r="L1786">
        <v>4.9000000000000004</v>
      </c>
      <c r="M1786">
        <v>15</v>
      </c>
      <c r="O1786" t="s">
        <v>25</v>
      </c>
      <c r="P1786" t="s">
        <v>247</v>
      </c>
      <c r="Q1786" t="s">
        <v>248</v>
      </c>
    </row>
    <row r="1787" spans="1:17" ht="15.5" x14ac:dyDescent="0.35">
      <c r="A1787" s="3" t="str">
        <f>HYPERLINK("https://edmondsonsupply.com/collections/hvac/products/wiha-tools-32088-8-piece-insulated-picofinish-precision-screwdriver-set", "https://edmondsonsupply.com/collections/hvac/products/wiha-tools-32088-8-piece-insulated-picofinish-precision-screwdriver-set")</f>
        <v>https://edmondsonsupply.com/collections/hvac/products/wiha-tools-32088-8-piece-insulated-picofinish-precision-screwdriver-set</v>
      </c>
      <c r="B1787"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1787" t="s">
        <v>2568</v>
      </c>
      <c r="D1787" t="s">
        <v>4872</v>
      </c>
      <c r="E1787" s="3" t="str">
        <f>HYPERLINK("https://www.amazon.com/Wiha-WIHAA-32088-Insulated-Picofinish/dp/B00SZ6LZMS/ref=sr_1_1?keywords=Wiha+Tools+32088+8+Piece+Insulated+PicoFinish+Precision+Screwdriver+Set&amp;qid=1695173729&amp;sr=8-1", "https://www.amazon.com/Wiha-WIHAA-32088-Insulated-Picofinish/dp/B00SZ6LZMS/ref=sr_1_1?keywords=Wiha+Tools+32088+8+Piece+Insulated+PicoFinish+Precision+Screwdriver+Set&amp;qid=1695173729&amp;sr=8-1")</f>
        <v>https://www.amazon.com/Wiha-WIHAA-32088-Insulated-Picofinish/dp/B00SZ6LZMS/ref=sr_1_1?keywords=Wiha+Tools+32088+8+Piece+Insulated+PicoFinish+Precision+Screwdriver+Set&amp;qid=1695173729&amp;sr=8-1</v>
      </c>
      <c r="F1787" t="s">
        <v>4873</v>
      </c>
      <c r="G1787" t="e">
        <f ca="1">_xludf.IMAGE("https://edmondsonsupply.com/cdn/shop/files/ah1u5hviqxts6itxix4k_1000x_5285634c-51ad-48c4-987e-f1113aaa9ab9.webp?v=1690905519")</f>
        <v>#NAME?</v>
      </c>
      <c r="H1787" t="e">
        <f ca="1">_xludf.IMAGE("https://m.media-amazon.com/images/I/71AgXWTs5SS._AC_UL320_.jpg")</f>
        <v>#NAME?</v>
      </c>
      <c r="I1787" t="s">
        <v>2571</v>
      </c>
      <c r="J1787">
        <v>62.98</v>
      </c>
      <c r="K1787" s="4">
        <v>-2.4299999999999999E-2</v>
      </c>
      <c r="L1787">
        <v>4.8</v>
      </c>
      <c r="M1787">
        <v>174</v>
      </c>
      <c r="O1787" t="s">
        <v>25</v>
      </c>
      <c r="P1787" t="s">
        <v>2572</v>
      </c>
      <c r="Q1787" t="s">
        <v>2573</v>
      </c>
    </row>
    <row r="1788" spans="1:17" ht="15.5" x14ac:dyDescent="0.35">
      <c r="A1788" s="3" t="str">
        <f>HYPERLINK("https://edmondsonsupply.com/collections/hvac/products/klein-tools-69445-rare-earth-magnetic-hanger-no-strap", "https://edmondsonsupply.com/collections/hvac/products/klein-tools-69445-rare-earth-magnetic-hanger-no-strap")</f>
        <v>https://edmondsonsupply.com/collections/hvac/products/klein-tools-69445-rare-earth-magnetic-hanger-no-strap</v>
      </c>
      <c r="B1788" s="3" t="str">
        <f>HYPERLINK("https://edmondsonsupply.com/products/klein-tools-69445-rare-earth-magnetic-hanger-no-strap", "https://edmondsonsupply.com/products/klein-tools-69445-rare-earth-magnetic-hanger-no-strap")</f>
        <v>https://edmondsonsupply.com/products/klein-tools-69445-rare-earth-magnetic-hanger-no-strap</v>
      </c>
      <c r="C1788" t="s">
        <v>1408</v>
      </c>
      <c r="D1788" t="s">
        <v>4874</v>
      </c>
      <c r="E1788" s="3" t="str">
        <f>HYPERLINK("https://www.amazon.com/Klein-Tools-69445-Magnetic-Multimeters/dp/B08CP568HY/ref=sr_1_1?keywords=Klein+Tools+69445+Rare+Earth+Magnetic+Hanger%2C+no+Strap&amp;qid=1695173527&amp;sr=8-1", "https://www.amazon.com/Klein-Tools-69445-Magnetic-Multimeters/dp/B08CP568HY/ref=sr_1_1?keywords=Klein+Tools+69445+Rare+Earth+Magnetic+Hanger%2C+no+Strap&amp;qid=1695173527&amp;sr=8-1")</f>
        <v>https://www.amazon.com/Klein-Tools-69445-Magnetic-Multimeters/dp/B08CP568HY/ref=sr_1_1?keywords=Klein+Tools+69445+Rare+Earth+Magnetic+Hanger%2C+no+Strap&amp;qid=1695173527&amp;sr=8-1</v>
      </c>
      <c r="F1788" t="s">
        <v>4875</v>
      </c>
      <c r="G1788" t="e">
        <f ca="1">_xludf.IMAGE("https://edmondsonsupply.com/cdn/shop/products/69445.jpg?v=1633030859")</f>
        <v>#NAME?</v>
      </c>
      <c r="H1788" t="e">
        <f ca="1">_xludf.IMAGE("https://m.media-amazon.com/images/I/61xhBmfQ1SL._AC_UL320_.jpg")</f>
        <v>#NAME?</v>
      </c>
      <c r="I1788" t="s">
        <v>252</v>
      </c>
      <c r="J1788">
        <v>15.59</v>
      </c>
      <c r="K1788" s="4">
        <v>-2.5000000000000001E-2</v>
      </c>
      <c r="L1788">
        <v>4.8</v>
      </c>
      <c r="M1788">
        <v>403</v>
      </c>
      <c r="O1788" t="s">
        <v>25</v>
      </c>
      <c r="P1788" t="s">
        <v>1411</v>
      </c>
      <c r="Q1788" t="s">
        <v>1412</v>
      </c>
    </row>
    <row r="1789" spans="1:17" ht="15.5" x14ac:dyDescent="0.35">
      <c r="A1789" s="3" t="str">
        <f>HYPERLINK("https://edmondsonsupply.com/collections/hvac/products/white-rodgers-24a34-6-24v-electric-heat-sequencer-2-dpst", "https://edmondsonsupply.com/collections/hvac/products/white-rodgers-24a34-6-24v-electric-heat-sequencer-2-dpst")</f>
        <v>https://edmondsonsupply.com/collections/hvac/products/white-rodgers-24a34-6-24v-electric-heat-sequencer-2-dpst</v>
      </c>
      <c r="B1789" s="3" t="str">
        <f>HYPERLINK("https://edmondsonsupply.com/products/white-rodgers-24a34-6-24v-electric-heat-sequencer-2-dpst", "https://edmondsonsupply.com/products/white-rodgers-24a34-6-24v-electric-heat-sequencer-2-dpst")</f>
        <v>https://edmondsonsupply.com/products/white-rodgers-24a34-6-24v-electric-heat-sequencer-2-dpst</v>
      </c>
      <c r="C1789" t="s">
        <v>4876</v>
      </c>
      <c r="D1789" t="s">
        <v>2562</v>
      </c>
      <c r="E1789" s="3" t="str">
        <f>HYPERLINK("https://www.amazon.com/HVAC-Parts-White-Rodgers-Electric-Sequencer/dp/B09N9VYKL1/ref=sr_1_6?keywords=White-Rodgers+24A34-6+24V+Electric+Heat+Sequencer%2C+2+DPST&amp;qid=1695173395&amp;sr=8-6", "https://www.amazon.com/HVAC-Parts-White-Rodgers-Electric-Sequencer/dp/B09N9VYKL1/ref=sr_1_6?keywords=White-Rodgers+24A34-6+24V+Electric+Heat+Sequencer%2C+2+DPST&amp;qid=1695173395&amp;sr=8-6")</f>
        <v>https://www.amazon.com/HVAC-Parts-White-Rodgers-Electric-Sequencer/dp/B09N9VYKL1/ref=sr_1_6?keywords=White-Rodgers+24A34-6+24V+Electric+Heat+Sequencer%2C+2+DPST&amp;qid=1695173395&amp;sr=8-6</v>
      </c>
      <c r="F1789" t="s">
        <v>2563</v>
      </c>
      <c r="G1789" t="e">
        <f ca="1">_xludf.IMAGE("https://edmondsonsupply.com/cdn/shop/products/24A34-6.jpg?v=1633030752")</f>
        <v>#NAME?</v>
      </c>
      <c r="H1789" t="e">
        <f ca="1">_xludf.IMAGE("https://m.media-amazon.com/images/I/71IXexQVGwL._AC_UY218_.jpg")</f>
        <v>#NAME?</v>
      </c>
      <c r="I1789" t="s">
        <v>4877</v>
      </c>
      <c r="J1789">
        <v>22.91</v>
      </c>
      <c r="K1789" s="4">
        <v>-2.5100000000000001E-2</v>
      </c>
      <c r="L1789">
        <v>5</v>
      </c>
      <c r="M1789">
        <v>1</v>
      </c>
      <c r="O1789" t="s">
        <v>25</v>
      </c>
      <c r="P1789" t="s">
        <v>4878</v>
      </c>
      <c r="Q1789" t="s">
        <v>4879</v>
      </c>
    </row>
    <row r="1790" spans="1:17" ht="15.5" x14ac:dyDescent="0.35">
      <c r="A1790" s="3" t="str">
        <f>HYPERLINK("https://edmondsonsupply.com/collections/hvac/products/fieldpiece-sc260", "https://edmondsonsupply.com/collections/hvac/products/fieldpiece-sc260")</f>
        <v>https://edmondsonsupply.com/collections/hvac/products/fieldpiece-sc260</v>
      </c>
      <c r="B1790" s="3" t="str">
        <f>HYPERLINK("https://edmondsonsupply.com/products/fieldpiece-sc260", "https://edmondsonsupply.com/products/fieldpiece-sc260")</f>
        <v>https://edmondsonsupply.com/products/fieldpiece-sc260</v>
      </c>
      <c r="C1790" t="s">
        <v>3222</v>
      </c>
      <c r="D1790" t="s">
        <v>4880</v>
      </c>
      <c r="E1790" s="3" t="str">
        <f>HYPERLINK("https://www.amazon.com/Fieldpiece-SC260-Compact-Clamp-Multimeter/dp/B00KLYJG78/ref=sr_1_1?keywords=Fieldpiece+SC260+Compact+Clamp+Meter+with+True+RMS&amp;qid=1695173695&amp;sr=8-1", "https://www.amazon.com/Fieldpiece-SC260-Compact-Clamp-Multimeter/dp/B00KLYJG78/ref=sr_1_1?keywords=Fieldpiece+SC260+Compact+Clamp+Meter+with+True+RMS&amp;qid=1695173695&amp;sr=8-1")</f>
        <v>https://www.amazon.com/Fieldpiece-SC260-Compact-Clamp-Multimeter/dp/B00KLYJG78/ref=sr_1_1?keywords=Fieldpiece+SC260+Compact+Clamp+Meter+with+True+RMS&amp;qid=1695173695&amp;sr=8-1</v>
      </c>
      <c r="F1790" t="s">
        <v>4881</v>
      </c>
      <c r="G1790" t="e">
        <f ca="1">_xludf.IMAGE("https://edmondsonsupply.com/cdn/shop/products/SC260-SRC-product.jpg?v=1633030161")</f>
        <v>#NAME?</v>
      </c>
      <c r="H1790" t="e">
        <f ca="1">_xludf.IMAGE("https://m.media-amazon.com/images/I/71b7m0X1ZcL._AC_UY218_.jpg")</f>
        <v>#NAME?</v>
      </c>
      <c r="I1790" t="s">
        <v>3225</v>
      </c>
      <c r="J1790">
        <v>134.94999999999999</v>
      </c>
      <c r="K1790" s="4">
        <v>-2.5999999999999999E-2</v>
      </c>
      <c r="L1790">
        <v>4.7</v>
      </c>
      <c r="M1790">
        <v>1249</v>
      </c>
      <c r="O1790" t="s">
        <v>25</v>
      </c>
      <c r="P1790" t="s">
        <v>1508</v>
      </c>
      <c r="Q1790" t="s">
        <v>3226</v>
      </c>
    </row>
    <row r="1791" spans="1:17" ht="15.5" x14ac:dyDescent="0.35">
      <c r="A1791" s="3" t="str">
        <f>HYPERLINK("https://edmondsonsupply.com/collections/hvac/products/milwaukee-0970-20-m18-fuel%E2%84%A2-packout%E2%84%A2-2-5-gallon-wet-dry-vacuum", "https://edmondsonsupply.com/collections/hvac/products/milwaukee-0970-20-m18-fuel%E2%84%A2-packout%E2%84%A2-2-5-gallon-wet-dry-vacuum")</f>
        <v>https://edmondsonsupply.com/collections/hvac/products/milwaukee-0970-20-m18-fuel%E2%84%A2-packout%E2%84%A2-2-5-gallon-wet-dry-vacuum</v>
      </c>
      <c r="B1791"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1791" t="s">
        <v>4882</v>
      </c>
      <c r="D1791" t="s">
        <v>4883</v>
      </c>
      <c r="E1791" s="3" t="str">
        <f>HYPERLINK("https://www.amazon.com/Milwaukee-0970-20-PACKOUT-Gallon-Vacuum/dp/B09RQ6WNZ8/ref=sr_1_1?keywords=Milwaukee+0970-20+M18+FUEL%E2%84%A2+PACKOUT%E2%84%A2+2.5+Gallon+Wet%2FDry+Vacuum&amp;qid=1695173611&amp;sr=8-1", "https://www.amazon.com/Milwaukee-0970-20-PACKOUT-Gallon-Vacuum/dp/B09RQ6WNZ8/ref=sr_1_1?keywords=Milwaukee+0970-20+M18+FUEL%E2%84%A2+PACKOUT%E2%84%A2+2.5+Gallon+Wet%2FDry+Vacuum&amp;qid=1695173611&amp;sr=8-1")</f>
        <v>https://www.amazon.com/Milwaukee-0970-20-PACKOUT-Gallon-Vacuum/dp/B09RQ6WNZ8/ref=sr_1_1?keywords=Milwaukee+0970-20+M18+FUEL%E2%84%A2+PACKOUT%E2%84%A2+2.5+Gallon+Wet%2FDry+Vacuum&amp;qid=1695173611&amp;sr=8-1</v>
      </c>
      <c r="F1791" t="s">
        <v>4884</v>
      </c>
      <c r="G1791" t="e">
        <f ca="1">_xludf.IMAGE("https://edmondsonsupply.com/cdn/shop/products/0970-20_3webp.webp?v=1668442362")</f>
        <v>#NAME?</v>
      </c>
      <c r="H1791" t="e">
        <f ca="1">_xludf.IMAGE("https://m.media-amazon.com/images/I/71yMHJwu0eL._AC_UL320_.jpg")</f>
        <v>#NAME?</v>
      </c>
      <c r="I1791" t="s">
        <v>715</v>
      </c>
      <c r="J1791">
        <v>193.69</v>
      </c>
      <c r="K1791" s="4">
        <v>-2.6700000000000002E-2</v>
      </c>
      <c r="L1791">
        <v>4.5999999999999996</v>
      </c>
      <c r="M1791">
        <v>76</v>
      </c>
      <c r="O1791" t="s">
        <v>171</v>
      </c>
      <c r="P1791" t="s">
        <v>4885</v>
      </c>
      <c r="Q1791" t="s">
        <v>4886</v>
      </c>
    </row>
    <row r="1792" spans="1:17" ht="15.5" x14ac:dyDescent="0.35">
      <c r="A1792" s="3" t="str">
        <f>HYPERLINK("https://edmondsonsupply.com/collections/hvac/products/greenlee-gsb06-1-2-step-bit-6", "https://edmondsonsupply.com/collections/hvac/products/greenlee-gsb06-1-2-step-bit-6")</f>
        <v>https://edmondsonsupply.com/collections/hvac/products/greenlee-gsb06-1-2-step-bit-6</v>
      </c>
      <c r="B1792" s="3" t="str">
        <f>HYPERLINK("https://edmondsonsupply.com/products/greenlee-gsb06-1-2-step-bit-6", "https://edmondsonsupply.com/products/greenlee-gsb06-1-2-step-bit-6")</f>
        <v>https://edmondsonsupply.com/products/greenlee-gsb06-1-2-step-bit-6</v>
      </c>
      <c r="C1792" t="s">
        <v>2409</v>
      </c>
      <c r="D1792" t="s">
        <v>4378</v>
      </c>
      <c r="E1792" s="3" t="str">
        <f>HYPERLINK("https://www.amazon.com/Greenlee-GSB04-Step-Bit/dp/B08TVF22W4/ref=sr_1_3?keywords=Greenlee+GSB06+1%2F2%22+Step+Bit+%28%236%29&amp;qid=1695173600&amp;sr=8-3", "https://www.amazon.com/Greenlee-GSB04-Step-Bit/dp/B08TVF22W4/ref=sr_1_3?keywords=Greenlee+GSB06+1%2F2%22+Step+Bit+%28%236%29&amp;qid=1695173600&amp;sr=8-3")</f>
        <v>https://www.amazon.com/Greenlee-GSB04-Step-Bit/dp/B08TVF22W4/ref=sr_1_3?keywords=Greenlee+GSB06+1%2F2%22+Step+Bit+%28%236%29&amp;qid=1695173600&amp;sr=8-3</v>
      </c>
      <c r="F1792" t="s">
        <v>4379</v>
      </c>
      <c r="G1792" t="e">
        <f ca="1">_xludf.IMAGE("https://edmondsonsupply.com/cdn/shop/files/GSB06_CAT1_72dpi.jpg?v=1687788659")</f>
        <v>#NAME?</v>
      </c>
      <c r="H1792" t="e">
        <f ca="1">_xludf.IMAGE("https://m.media-amazon.com/images/I/41FX4czhS0L._AC_UY218_.jpg")</f>
        <v>#NAME?</v>
      </c>
      <c r="I1792" t="s">
        <v>2410</v>
      </c>
      <c r="J1792">
        <v>32</v>
      </c>
      <c r="K1792" s="4">
        <v>-2.7099999999999999E-2</v>
      </c>
      <c r="L1792">
        <v>5</v>
      </c>
      <c r="M1792">
        <v>7</v>
      </c>
      <c r="O1792" t="s">
        <v>25</v>
      </c>
      <c r="P1792" t="s">
        <v>2411</v>
      </c>
      <c r="Q1792" t="s">
        <v>2412</v>
      </c>
    </row>
    <row r="1793" spans="1:17" ht="15.5" x14ac:dyDescent="0.35">
      <c r="A1793" s="3" t="str">
        <f>HYPERLINK("https://edmondsonsupply.com/collections/hvac/products/klein-tools-ktsb03-step-drill-bit-double-fluted-3-1-4-to-3-4-inch", "https://edmondsonsupply.com/collections/hvac/products/klein-tools-ktsb03-step-drill-bit-double-fluted-3-1-4-to-3-4-inch")</f>
        <v>https://edmondsonsupply.com/collections/hvac/products/klein-tools-ktsb03-step-drill-bit-double-fluted-3-1-4-to-3-4-inch</v>
      </c>
      <c r="B1793" s="3" t="str">
        <f>HYPERLINK("https://edmondsonsupply.com/products/klein-tools-ktsb03-step-drill-bit-double-fluted-3-1-4-to-3-4-inch", "https://edmondsonsupply.com/products/klein-tools-ktsb03-step-drill-bit-double-fluted-3-1-4-to-3-4-inch")</f>
        <v>https://edmondsonsupply.com/products/klein-tools-ktsb03-step-drill-bit-double-fluted-3-1-4-to-3-4-inch</v>
      </c>
      <c r="C1793" t="s">
        <v>1978</v>
      </c>
      <c r="D1793" t="s">
        <v>4887</v>
      </c>
      <c r="E1793" s="3" t="str">
        <f>HYPERLINK("https://www.amazon.com/Double-Fluted-Klein-Tools-KTSB03/dp/B0171X0MRO/ref=sr_1_1?keywords=Klein+Tools+KTSB03+Step+Drill+Bit+Double+Fluted&amp;qid=1695173677&amp;sr=8-1", "https://www.amazon.com/Double-Fluted-Klein-Tools-KTSB03/dp/B0171X0MRO/ref=sr_1_1?keywords=Klein+Tools+KTSB03+Step+Drill+Bit+Double+Fluted&amp;qid=1695173677&amp;sr=8-1")</f>
        <v>https://www.amazon.com/Double-Fluted-Klein-Tools-KTSB03/dp/B0171X0MRO/ref=sr_1_1?keywords=Klein+Tools+KTSB03+Step+Drill+Bit+Double+Fluted&amp;qid=1695173677&amp;sr=8-1</v>
      </c>
      <c r="F1793" t="s">
        <v>4888</v>
      </c>
      <c r="G1793" t="e">
        <f ca="1">_xludf.IMAGE("https://edmondsonsupply.com/cdn/shop/products/ktsb03.jpg?v=1666012212")</f>
        <v>#NAME?</v>
      </c>
      <c r="H1793" t="e">
        <f ca="1">_xludf.IMAGE("https://m.media-amazon.com/images/I/51clfGV7U4L._AC_UY218_.jpg")</f>
        <v>#NAME?</v>
      </c>
      <c r="I1793" t="s">
        <v>571</v>
      </c>
      <c r="J1793">
        <v>33.99</v>
      </c>
      <c r="K1793" s="4">
        <v>-2.86E-2</v>
      </c>
      <c r="L1793">
        <v>4.7</v>
      </c>
      <c r="M1793">
        <v>1773</v>
      </c>
      <c r="O1793" t="s">
        <v>25</v>
      </c>
      <c r="P1793" t="s">
        <v>1981</v>
      </c>
      <c r="Q1793" t="s">
        <v>1982</v>
      </c>
    </row>
    <row r="1794" spans="1:17" ht="15.5" x14ac:dyDescent="0.35">
      <c r="A1794"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1794"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1794" t="s">
        <v>1540</v>
      </c>
      <c r="D1794" t="s">
        <v>4889</v>
      </c>
      <c r="E1794" s="3" t="str">
        <f>HYPERLINK("https://www.amazon.com/ICM-Controls-ICM-2810-PCBBF136-PCBBF140/dp/B078KMX2V9/ref=sr_1_6?keywords=ICM+Controls+ICM2811+Furnace+Control+Board+-+Replacement+for+Goodman&amp;qid=1695173453&amp;sr=8-6", "https://www.amazon.com/ICM-Controls-ICM-2810-PCBBF136-PCBBF140/dp/B078KMX2V9/ref=sr_1_6?keywords=ICM+Controls+ICM2811+Furnace+Control+Board+-+Replacement+for+Goodman&amp;qid=1695173453&amp;sr=8-6")</f>
        <v>https://www.amazon.com/ICM-Controls-ICM-2810-PCBBF136-PCBBF140/dp/B078KMX2V9/ref=sr_1_6?keywords=ICM+Controls+ICM2811+Furnace+Control+Board+-+Replacement+for+Goodman&amp;qid=1695173453&amp;sr=8-6</v>
      </c>
      <c r="F1794" t="s">
        <v>4890</v>
      </c>
      <c r="G1794" t="e">
        <f ca="1">_xludf.IMAGE("https://edmondsonsupply.com/cdn/shop/products/photo_3800_medium_86f45e25-a764-4839-bc84-759a6ce1c7bd.jpg?v=1659910436")</f>
        <v>#NAME?</v>
      </c>
      <c r="H1794" t="e">
        <f ca="1">_xludf.IMAGE("https://m.media-amazon.com/images/I/51UFjRz3HyL._AC_UL320_.jpg")</f>
        <v>#NAME?</v>
      </c>
      <c r="I1794" t="s">
        <v>1543</v>
      </c>
      <c r="J1794">
        <v>66.989999999999995</v>
      </c>
      <c r="K1794" s="4">
        <v>-2.9000000000000001E-2</v>
      </c>
      <c r="L1794">
        <v>4</v>
      </c>
      <c r="M1794">
        <v>18</v>
      </c>
      <c r="O1794" t="s">
        <v>25</v>
      </c>
      <c r="P1794" t="s">
        <v>1544</v>
      </c>
      <c r="Q1794" t="s">
        <v>1545</v>
      </c>
    </row>
    <row r="1795" spans="1:17" ht="15.5" x14ac:dyDescent="0.35">
      <c r="A1795" s="3" t="str">
        <f>HYPERLINK("https://edmondsonsupply.com/collections/hvac/products/klein-tools-69140-k-type-temperature-pipe-clamp", "https://edmondsonsupply.com/collections/hvac/products/klein-tools-69140-k-type-temperature-pipe-clamp")</f>
        <v>https://edmondsonsupply.com/collections/hvac/products/klein-tools-69140-k-type-temperature-pipe-clamp</v>
      </c>
      <c r="B1795" s="3" t="str">
        <f>HYPERLINK("https://edmondsonsupply.com/products/klein-tools-69140-k-type-temperature-pipe-clamp", "https://edmondsonsupply.com/products/klein-tools-69140-k-type-temperature-pipe-clamp")</f>
        <v>https://edmondsonsupply.com/products/klein-tools-69140-k-type-temperature-pipe-clamp</v>
      </c>
      <c r="C1795" t="s">
        <v>4891</v>
      </c>
      <c r="D1795" t="s">
        <v>4892</v>
      </c>
      <c r="E1795" s="3" t="str">
        <f>HYPERLINK("https://www.amazon.com/Thermometer-Temperature-Klein-Tools-69140/dp/B07B2PPBRB/ref=sr_1_1?keywords=Klein+Tools+69140+K-Type+Temperature+Pipe+Clamp&amp;qid=1695173682&amp;sr=8-1", "https://www.amazon.com/Thermometer-Temperature-Klein-Tools-69140/dp/B07B2PPBRB/ref=sr_1_1?keywords=Klein+Tools+69140+K-Type+Temperature+Pipe+Clamp&amp;qid=1695173682&amp;sr=8-1")</f>
        <v>https://www.amazon.com/Thermometer-Temperature-Klein-Tools-69140/dp/B07B2PPBRB/ref=sr_1_1?keywords=Klein+Tools+69140+K-Type+Temperature+Pipe+Clamp&amp;qid=1695173682&amp;sr=8-1</v>
      </c>
      <c r="F1795" t="s">
        <v>4893</v>
      </c>
      <c r="G1795" t="e">
        <f ca="1">_xludf.IMAGE("https://edmondsonsupply.com/cdn/shop/products/69140.jpg?v=1587146691")</f>
        <v>#NAME?</v>
      </c>
      <c r="H1795" t="e">
        <f ca="1">_xludf.IMAGE("https://m.media-amazon.com/images/I/51Tu19Ia2YL._AC_UY218_.jpg")</f>
        <v>#NAME?</v>
      </c>
      <c r="I1795" t="s">
        <v>967</v>
      </c>
      <c r="J1795">
        <v>26.18</v>
      </c>
      <c r="K1795" s="4">
        <v>-0.03</v>
      </c>
      <c r="L1795">
        <v>4.3</v>
      </c>
      <c r="M1795">
        <v>1692</v>
      </c>
      <c r="O1795" t="s">
        <v>25</v>
      </c>
      <c r="P1795" t="s">
        <v>4894</v>
      </c>
      <c r="Q1795" t="s">
        <v>4895</v>
      </c>
    </row>
    <row r="1796" spans="1:17" ht="15.5" x14ac:dyDescent="0.35">
      <c r="A1796" s="3" t="str">
        <f>HYPERLINK("https://edmondsonsupply.com/collections/hvac/products/klein-tools-32562-6-in-1-multi-bit-screwdriver-nut-driver-stubby", "https://edmondsonsupply.com/collections/hvac/products/klein-tools-32562-6-in-1-multi-bit-screwdriver-nut-driver-stubby")</f>
        <v>https://edmondsonsupply.com/collections/hvac/products/klein-tools-32562-6-in-1-multi-bit-screwdriver-nut-driver-stubby</v>
      </c>
      <c r="B1796"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1796" t="s">
        <v>3544</v>
      </c>
      <c r="D1796" t="s">
        <v>4896</v>
      </c>
      <c r="E1796" s="3" t="str">
        <f>HYPERLINK("https://www.amazon.com/Multi-Bit-Screwdriver-Klein-Tools-32562/dp/B007SF5DNE/ref=sr_1_1?keywords=Klein+Tools+32562+Multi-Bit+Screwdriver+%2F+Nut+Driver%2C+6-in-1%2C+Stubby%2C+Ph%2C+Sl%2C+Sq+Bits&amp;qid=1695173663&amp;sr=8-1", "https://www.amazon.com/Multi-Bit-Screwdriver-Klein-Tools-32562/dp/B007SF5DNE/ref=sr_1_1?keywords=Klein+Tools+32562+Multi-Bit+Screwdriver+%2F+Nut+Driver%2C+6-in-1%2C+Stubby%2C+Ph%2C+Sl%2C+Sq+Bits&amp;qid=1695173663&amp;sr=8-1")</f>
        <v>https://www.amazon.com/Multi-Bit-Screwdriver-Klein-Tools-32562/dp/B007SF5DNE/ref=sr_1_1?keywords=Klein+Tools+32562+Multi-Bit+Screwdriver+%2F+Nut+Driver%2C+6-in-1%2C+Stubby%2C+Ph%2C+Sl%2C+Sq+Bits&amp;qid=1695173663&amp;sr=8-1</v>
      </c>
      <c r="F1796" t="s">
        <v>4897</v>
      </c>
      <c r="G1796" t="e">
        <f ca="1">_xludf.IMAGE("https://edmondsonsupply.com/cdn/shop/products/32562.jpg?v=1587145424")</f>
        <v>#NAME?</v>
      </c>
      <c r="H1796" t="e">
        <f ca="1">_xludf.IMAGE("https://m.media-amazon.com/images/I/515fclR4vsL._AC_UL320_.jpg")</f>
        <v>#NAME?</v>
      </c>
      <c r="I1796" t="s">
        <v>834</v>
      </c>
      <c r="J1796">
        <v>12.6</v>
      </c>
      <c r="K1796" s="4">
        <v>-0.03</v>
      </c>
      <c r="L1796">
        <v>4.7</v>
      </c>
      <c r="M1796">
        <v>481</v>
      </c>
      <c r="O1796" t="s">
        <v>25</v>
      </c>
      <c r="P1796" t="s">
        <v>3547</v>
      </c>
      <c r="Q1796" t="s">
        <v>3548</v>
      </c>
    </row>
    <row r="1797" spans="1:17" ht="15.5" x14ac:dyDescent="0.35">
      <c r="A1797" s="3" t="str">
        <f>HYPERLINK("https://edmondsonsupply.com/collections/hvac/products/klein-tools-d502-6-pump-pliers-6-inch", "https://edmondsonsupply.com/collections/hvac/products/klein-tools-d502-6-pump-pliers-6-inch")</f>
        <v>https://edmondsonsupply.com/collections/hvac/products/klein-tools-d502-6-pump-pliers-6-inch</v>
      </c>
      <c r="B1797" s="3" t="str">
        <f>HYPERLINK("https://edmondsonsupply.com/products/klein-tools-d502-6-pump-pliers-6-inch", "https://edmondsonsupply.com/products/klein-tools-d502-6-pump-pliers-6-inch")</f>
        <v>https://edmondsonsupply.com/products/klein-tools-d502-6-pump-pliers-6-inch</v>
      </c>
      <c r="C1797" t="s">
        <v>3182</v>
      </c>
      <c r="D1797" t="s">
        <v>4898</v>
      </c>
      <c r="E1797" s="3" t="str">
        <f>HYPERLINK("https://www.amazon.com/Pliers-6-Inch-Klein-Tools-D502-6/dp/B0002RI9UY/ref=sr_1_1?keywords=Klein+Tools+D502-6+Pump+Pliers%2C+6-Inch&amp;qid=1695173615&amp;sr=8-1", "https://www.amazon.com/Pliers-6-Inch-Klein-Tools-D502-6/dp/B0002RI9UY/ref=sr_1_1?keywords=Klein+Tools+D502-6+Pump+Pliers%2C+6-Inch&amp;qid=1695173615&amp;sr=8-1")</f>
        <v>https://www.amazon.com/Pliers-6-Inch-Klein-Tools-D502-6/dp/B0002RI9UY/ref=sr_1_1?keywords=Klein+Tools+D502-6+Pump+Pliers%2C+6-Inch&amp;qid=1695173615&amp;sr=8-1</v>
      </c>
      <c r="F1797" t="s">
        <v>4899</v>
      </c>
      <c r="G1797" t="e">
        <f ca="1">_xludf.IMAGE("https://edmondsonsupply.com/cdn/shop/products/d5026.jpg?v=1587150839")</f>
        <v>#NAME?</v>
      </c>
      <c r="H1797" t="e">
        <f ca="1">_xludf.IMAGE("https://m.media-amazon.com/images/I/41XntVeFqRL._AC_UL320_.jpg")</f>
        <v>#NAME?</v>
      </c>
      <c r="I1797" t="s">
        <v>3185</v>
      </c>
      <c r="J1797">
        <v>20.34</v>
      </c>
      <c r="K1797" s="4">
        <v>-3.1E-2</v>
      </c>
      <c r="L1797">
        <v>4.7</v>
      </c>
      <c r="M1797">
        <v>170</v>
      </c>
      <c r="O1797" t="s">
        <v>25</v>
      </c>
      <c r="P1797" t="s">
        <v>3186</v>
      </c>
      <c r="Q1797" t="s">
        <v>3187</v>
      </c>
    </row>
    <row r="1798" spans="1:17" ht="15.5" x14ac:dyDescent="0.35">
      <c r="A1798" s="3" t="str">
        <f>HYPERLINK("https://edmondsonsupply.com/collections/hvac/products/robertshaw-rs9220", "https://edmondsonsupply.com/collections/hvac/products/robertshaw-rs9220")</f>
        <v>https://edmondsonsupply.com/collections/hvac/products/robertshaw-rs9220</v>
      </c>
      <c r="B1798" s="3" t="str">
        <f>HYPERLINK("https://edmondsonsupply.com/products/robertshaw-rs9220", "https://edmondsonsupply.com/products/robertshaw-rs9220")</f>
        <v>https://edmondsonsupply.com/products/robertshaw-rs9220</v>
      </c>
      <c r="C1798" t="s">
        <v>2990</v>
      </c>
      <c r="D1798" t="s">
        <v>3403</v>
      </c>
      <c r="E1798" s="3" t="str">
        <f>HYPERLINK("https://www.amazon.com/Robertshaw-Non-Programmable-Thermostat-Multi-Stage-Conventional/dp/B00U5CAN6O/ref=sr_1_3?keywords=Robertshaw+RS9220+Programmable+Wall+Thermostat%2C+Multi-Stage+-+2+Heat+%2F+2+Cool&amp;qid=1695173696&amp;sr=8-3", "https://www.amazon.com/Robertshaw-Non-Programmable-Thermostat-Multi-Stage-Conventional/dp/B00U5CAN6O/ref=sr_1_3?keywords=Robertshaw+RS9220+Programmable+Wall+Thermostat%2C+Multi-Stage+-+2+Heat+%2F+2+Cool&amp;qid=1695173696&amp;sr=8-3")</f>
        <v>https://www.amazon.com/Robertshaw-Non-Programmable-Thermostat-Multi-Stage-Conventional/dp/B00U5CAN6O/ref=sr_1_3?keywords=Robertshaw+RS9220+Programmable+Wall+Thermostat%2C+Multi-Stage+-+2+Heat+%2F+2+Cool&amp;qid=1695173696&amp;sr=8-3</v>
      </c>
      <c r="F1798" t="s">
        <v>3404</v>
      </c>
      <c r="G1798" t="e">
        <f ca="1">_xludf.IMAGE("https://edmondsonsupply.com/cdn/shop/files/67652dc9-4ca4-4b9c-987a-a2c62c95b630.jpg?v=1693935585")</f>
        <v>#NAME?</v>
      </c>
      <c r="H1798" t="e">
        <f ca="1">_xludf.IMAGE("https://m.media-amazon.com/images/I/715RZLigtNL._AC_UL320_.jpg")</f>
        <v>#NAME?</v>
      </c>
      <c r="I1798" t="s">
        <v>2993</v>
      </c>
      <c r="J1798">
        <v>45.58</v>
      </c>
      <c r="K1798" s="4">
        <v>-3.1E-2</v>
      </c>
      <c r="L1798">
        <v>4.0999999999999996</v>
      </c>
      <c r="M1798">
        <v>20</v>
      </c>
      <c r="O1798" t="s">
        <v>25</v>
      </c>
      <c r="P1798" t="s">
        <v>138</v>
      </c>
      <c r="Q1798" t="s">
        <v>2994</v>
      </c>
    </row>
    <row r="1799" spans="1:17" ht="15.5" x14ac:dyDescent="0.35">
      <c r="A1799" s="3" t="str">
        <f>HYPERLINK("https://edmondsonsupply.com/collections/hvac/products/robertshaw-710-205-hydraulic-snap-action-low-capacity-gas-valve", "https://edmondsonsupply.com/collections/hvac/products/robertshaw-710-205-hydraulic-snap-action-low-capacity-gas-valve")</f>
        <v>https://edmondsonsupply.com/collections/hvac/products/robertshaw-710-205-hydraulic-snap-action-low-capacity-gas-valve</v>
      </c>
      <c r="B1799" s="3" t="str">
        <f>HYPERLINK("https://edmondsonsupply.com/products/robertshaw-710-205-hydraulic-snap-action-low-capacity-gas-valve", "https://edmondsonsupply.com/products/robertshaw-710-205-hydraulic-snap-action-low-capacity-gas-valve")</f>
        <v>https://edmondsonsupply.com/products/robertshaw-710-205-hydraulic-snap-action-low-capacity-gas-valve</v>
      </c>
      <c r="C1799" t="s">
        <v>4900</v>
      </c>
      <c r="D1799" t="s">
        <v>4901</v>
      </c>
      <c r="E1799" s="3" t="str">
        <f>HYPERLINK("https://www.amazon.com/Robertshaw-710-205-Low-Profile-Hydraulic-Action/dp/B00VWGYSVS/ref=sr_1_1?keywords=Robertshaw+710-205+Hydraulic+Snap-Action+Low+Capacity+Gas+Valve&amp;qid=1695173687&amp;sr=8-1", "https://www.amazon.com/Robertshaw-710-205-Low-Profile-Hydraulic-Action/dp/B00VWGYSVS/ref=sr_1_1?keywords=Robertshaw+710-205+Hydraulic+Snap-Action+Low+Capacity+Gas+Valve&amp;qid=1695173687&amp;sr=8-1")</f>
        <v>https://www.amazon.com/Robertshaw-710-205-Low-Profile-Hydraulic-Action/dp/B00VWGYSVS/ref=sr_1_1?keywords=Robertshaw+710-205+Hydraulic+Snap-Action+Low+Capacity+Gas+Valve&amp;qid=1695173687&amp;sr=8-1</v>
      </c>
      <c r="F1799" t="s">
        <v>4902</v>
      </c>
      <c r="G1799" t="e">
        <f ca="1">_xludf.IMAGE("https://edmondsonsupply.com/cdn/shop/files/710-205.jpg?v=1694621932")</f>
        <v>#NAME?</v>
      </c>
      <c r="H1799" t="e">
        <f ca="1">_xludf.IMAGE("https://m.media-amazon.com/images/I/8139453F-UL._AC_UY218_.jpg")</f>
        <v>#NAME?</v>
      </c>
      <c r="I1799" t="s">
        <v>4903</v>
      </c>
      <c r="J1799">
        <v>160</v>
      </c>
      <c r="K1799" s="4">
        <v>-3.1199999999999999E-2</v>
      </c>
      <c r="L1799">
        <v>4.5999999999999996</v>
      </c>
      <c r="M1799">
        <v>51</v>
      </c>
      <c r="O1799" t="s">
        <v>25</v>
      </c>
      <c r="P1799" t="s">
        <v>138</v>
      </c>
      <c r="Q1799" t="s">
        <v>4904</v>
      </c>
    </row>
    <row r="1800" spans="1:17" ht="15.5" x14ac:dyDescent="0.35">
      <c r="A1800" s="3" t="str">
        <f>HYPERLINK("https://edmondsonsupply.com/collections/hvac/products/klein-tools-44133-klein-kurve%C2%AE-retractable-utility-knife", "https://edmondsonsupply.com/collections/hvac/products/klein-tools-44133-klein-kurve%C2%AE-retractable-utility-knife")</f>
        <v>https://edmondsonsupply.com/collections/hvac/products/klein-tools-44133-klein-kurve%C2%AE-retractable-utility-knife</v>
      </c>
      <c r="B1800" s="3" t="str">
        <f>HYPERLINK("https://edmondsonsupply.com/products/klein-tools-44133-klein-kurve%c2%ae-retractable-utility-knife", "https://edmondsonsupply.com/products/klein-tools-44133-klein-kurve%c2%ae-retractable-utility-knife")</f>
        <v>https://edmondsonsupply.com/products/klein-tools-44133-klein-kurve%c2%ae-retractable-utility-knife</v>
      </c>
      <c r="C1800" t="s">
        <v>4905</v>
      </c>
      <c r="D1800" t="s">
        <v>4906</v>
      </c>
      <c r="E1800" s="3" t="str">
        <f>HYPERLINK("https://www.amazon.com/Retractable-Klein-Kurve-Klein-Tools-44133/dp/B00A9GGHHK/ref=sr_1_1?keywords=Klein+Tools+44133+Klein-Kurve%C2%AE+Retractable+Utility+Knife&amp;qid=1695173680&amp;sr=8-1", "https://www.amazon.com/Retractable-Klein-Kurve-Klein-Tools-44133/dp/B00A9GGHHK/ref=sr_1_1?keywords=Klein+Tools+44133+Klein-Kurve%C2%AE+Retractable+Utility+Knife&amp;qid=1695173680&amp;sr=8-1")</f>
        <v>https://www.amazon.com/Retractable-Klein-Kurve-Klein-Tools-44133/dp/B00A9GGHHK/ref=sr_1_1?keywords=Klein+Tools+44133+Klein-Kurve%C2%AE+Retractable+Utility+Knife&amp;qid=1695173680&amp;sr=8-1</v>
      </c>
      <c r="F1800" t="s">
        <v>4907</v>
      </c>
      <c r="G1800" t="e">
        <f ca="1">_xludf.IMAGE("https://edmondsonsupply.com/cdn/shop/products/44133.jpg?v=1665689658")</f>
        <v>#NAME?</v>
      </c>
      <c r="H1800" t="e">
        <f ca="1">_xludf.IMAGE("https://m.media-amazon.com/images/I/41d7hgswvEL._AC_UL320_.jpg")</f>
        <v>#NAME?</v>
      </c>
      <c r="I1800" t="s">
        <v>252</v>
      </c>
      <c r="J1800">
        <v>15.49</v>
      </c>
      <c r="K1800" s="4">
        <v>-3.1300000000000001E-2</v>
      </c>
      <c r="L1800">
        <v>4.5999999999999996</v>
      </c>
      <c r="M1800">
        <v>3083</v>
      </c>
      <c r="O1800" t="s">
        <v>25</v>
      </c>
      <c r="P1800" t="s">
        <v>4908</v>
      </c>
      <c r="Q1800" t="s">
        <v>4909</v>
      </c>
    </row>
    <row r="1801" spans="1:17" ht="15.5" x14ac:dyDescent="0.35">
      <c r="A1801" s="3" t="str">
        <f>HYPERLINK("https://edmondsonsupply.com/collections/hvac/products/milwaukee-2912-22-m18-fuel%E2%84%A2-1-sds-plus-rotary-hammer-kit", "https://edmondsonsupply.com/collections/hvac/products/milwaukee-2912-22-m18-fuel%E2%84%A2-1-sds-plus-rotary-hammer-kit")</f>
        <v>https://edmondsonsupply.com/collections/hvac/products/milwaukee-2912-22-m18-fuel%E2%84%A2-1-sds-plus-rotary-hammer-kit</v>
      </c>
      <c r="B1801" s="3" t="str">
        <f>HYPERLINK("https://edmondsonsupply.com/products/milwaukee-2912-22-m18-fuel%e2%84%a2-1-sds-plus-rotary-hammer-kit", "https://edmondsonsupply.com/products/milwaukee-2912-22-m18-fuel%e2%84%a2-1-sds-plus-rotary-hammer-kit")</f>
        <v>https://edmondsonsupply.com/products/milwaukee-2912-22-m18-fuel%e2%84%a2-1-sds-plus-rotary-hammer-kit</v>
      </c>
      <c r="C1801" t="s">
        <v>3848</v>
      </c>
      <c r="D1801" t="s">
        <v>4910</v>
      </c>
      <c r="E1801" s="3" t="str">
        <f>HYPERLINK("https://www.amazon.com/Milwaukee-2712-22-FUEL%C3%A2-Rotary-Hammer/dp/B0742N8XCD/ref=sr_1_5?keywords=Milwaukee+2912-22+M18+FUEL%E2%84%A2+1%22+SDS+Plus+Rotary+Hammer+Kit&amp;qid=1695173755&amp;sr=8-5", "https://www.amazon.com/Milwaukee-2712-22-FUEL%C3%A2-Rotary-Hammer/dp/B0742N8XCD/ref=sr_1_5?keywords=Milwaukee+2912-22+M18+FUEL%E2%84%A2+1%22+SDS+Plus+Rotary+Hammer+Kit&amp;qid=1695173755&amp;sr=8-5")</f>
        <v>https://www.amazon.com/Milwaukee-2712-22-FUEL%C3%A2-Rotary-Hammer/dp/B0742N8XCD/ref=sr_1_5?keywords=Milwaukee+2912-22+M18+FUEL%E2%84%A2+1%22+SDS+Plus+Rotary+Hammer+Kit&amp;qid=1695173755&amp;sr=8-5</v>
      </c>
      <c r="F1801" t="s">
        <v>4911</v>
      </c>
      <c r="G1801" t="e">
        <f ca="1">_xludf.IMAGE("https://edmondsonsupply.com/cdn/shop/files/2912-20_1.webp?v=1686934956")</f>
        <v>#NAME?</v>
      </c>
      <c r="H1801" t="e">
        <f ca="1">_xludf.IMAGE("https://m.media-amazon.com/images/I/51au+ZOY1OL._AC_UL320_.jpg")</f>
        <v>#NAME?</v>
      </c>
      <c r="I1801" t="s">
        <v>3851</v>
      </c>
      <c r="J1801">
        <v>579.9</v>
      </c>
      <c r="K1801" s="4">
        <v>-3.1899999999999998E-2</v>
      </c>
      <c r="L1801">
        <v>4.4000000000000004</v>
      </c>
      <c r="M1801">
        <v>8</v>
      </c>
      <c r="O1801" t="s">
        <v>25</v>
      </c>
      <c r="P1801" t="s">
        <v>3852</v>
      </c>
      <c r="Q1801" t="s">
        <v>3853</v>
      </c>
    </row>
    <row r="1802" spans="1:17" ht="15.5" x14ac:dyDescent="0.35">
      <c r="A1802" s="3" t="str">
        <f>HYPERLINK("https://edmondsonsupply.com/collections/hvac/products/klein-tools-ncvt-2pkit-dual-range-non-contact-voltage-tester-with-receptacle-tester", "https://edmondsonsupply.com/collections/hvac/products/klein-tools-ncvt-2pkit-dual-range-non-contact-voltage-tester-with-receptacle-tester")</f>
        <v>https://edmondsonsupply.com/collections/hvac/products/klein-tools-ncvt-2pkit-dual-range-non-contact-voltage-tester-with-receptacle-tester</v>
      </c>
      <c r="B1802"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1802" t="s">
        <v>1566</v>
      </c>
      <c r="D1802" t="s">
        <v>4912</v>
      </c>
      <c r="E1802" s="3" t="str">
        <f>HYPERLINK("https://www.amazon.com/Klein-Tools-NCVT2PKIT-Non-Contact-Application/dp/B08FPHS6HL/ref=sr_1_3?keywords=Klein+Tools+NCVT-2PKIT+Dual+Range+Non-Contact+Voltage+Tester+with+Receptacle+Tester&amp;qid=1695173669&amp;sr=8-3", "https://www.amazon.com/Klein-Tools-NCVT2PKIT-Non-Contact-Application/dp/B08FPHS6HL/ref=sr_1_3?keywords=Klein+Tools+NCVT-2PKIT+Dual+Range+Non-Contact+Voltage+Tester+with+Receptacle+Tester&amp;qid=1695173669&amp;sr=8-3")</f>
        <v>https://www.amazon.com/Klein-Tools-NCVT2PKIT-Non-Contact-Application/dp/B08FPHS6HL/ref=sr_1_3?keywords=Klein+Tools+NCVT-2PKIT+Dual+Range+Non-Contact+Voltage+Tester+with+Receptacle+Tester&amp;qid=1695173669&amp;sr=8-3</v>
      </c>
      <c r="F1802" t="s">
        <v>4913</v>
      </c>
      <c r="G1802" t="e">
        <f ca="1">_xludf.IMAGE("https://edmondsonsupply.com/cdn/shop/products/ncvt2pkit.jpg?v=1633030827")</f>
        <v>#NAME?</v>
      </c>
      <c r="H1802" t="e">
        <f ca="1">_xludf.IMAGE("https://m.media-amazon.com/images/I/511RscwJPxL._AC_UL320_.jpg")</f>
        <v>#NAME?</v>
      </c>
      <c r="I1802" t="s">
        <v>26</v>
      </c>
      <c r="J1802">
        <v>28.99</v>
      </c>
      <c r="K1802" s="4">
        <v>-3.3300000000000003E-2</v>
      </c>
      <c r="L1802">
        <v>4.8</v>
      </c>
      <c r="M1802">
        <v>3262</v>
      </c>
      <c r="O1802" t="s">
        <v>25</v>
      </c>
      <c r="P1802" t="s">
        <v>1569</v>
      </c>
      <c r="Q1802" t="s">
        <v>1570</v>
      </c>
    </row>
    <row r="1803" spans="1:17" ht="15.5" x14ac:dyDescent="0.35">
      <c r="A1803" s="3" t="str">
        <f>HYPERLINK("https://edmondsonsupply.com/collections/hvac/products/klein-tools-ncvt-2pkit-dual-range-non-contact-voltage-tester-with-receptacle-tester", "https://edmondsonsupply.com/collections/hvac/products/klein-tools-ncvt-2pkit-dual-range-non-contact-voltage-tester-with-receptacle-tester")</f>
        <v>https://edmondsonsupply.com/collections/hvac/products/klein-tools-ncvt-2pkit-dual-range-non-contact-voltage-tester-with-receptacle-tester</v>
      </c>
      <c r="B1803"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1803" t="s">
        <v>1566</v>
      </c>
      <c r="D1803" t="s">
        <v>4914</v>
      </c>
      <c r="E1803" s="3" t="str">
        <f>HYPERLINK("https://www.amazon.com/Klein-Tools-NCVT-2-Standard-Protection/dp/B004FXJOQO/ref=sr_1_2?keywords=Klein+Tools+NCVT-2PKIT+Dual+Range+Non-Contact+Voltage+Tester+with+Receptacle+Tester&amp;qid=1695173669&amp;sr=8-2", "https://www.amazon.com/Klein-Tools-NCVT-2-Standard-Protection/dp/B004FXJOQO/ref=sr_1_2?keywords=Klein+Tools+NCVT-2PKIT+Dual+Range+Non-Contact+Voltage+Tester+with+Receptacle+Tester&amp;qid=1695173669&amp;sr=8-2")</f>
        <v>https://www.amazon.com/Klein-Tools-NCVT-2-Standard-Protection/dp/B004FXJOQO/ref=sr_1_2?keywords=Klein+Tools+NCVT-2PKIT+Dual+Range+Non-Contact+Voltage+Tester+with+Receptacle+Tester&amp;qid=1695173669&amp;sr=8-2</v>
      </c>
      <c r="F1803" t="s">
        <v>4915</v>
      </c>
      <c r="G1803" t="e">
        <f ca="1">_xludf.IMAGE("https://edmondsonsupply.com/cdn/shop/products/ncvt2pkit.jpg?v=1633030827")</f>
        <v>#NAME?</v>
      </c>
      <c r="H1803" t="e">
        <f ca="1">_xludf.IMAGE("https://m.media-amazon.com/images/I/514tywDAdHL._AC_UL320_.jpg")</f>
        <v>#NAME?</v>
      </c>
      <c r="I1803" t="s">
        <v>26</v>
      </c>
      <c r="J1803">
        <v>28.95</v>
      </c>
      <c r="K1803" s="4">
        <v>-3.4700000000000002E-2</v>
      </c>
      <c r="L1803">
        <v>4.5999999999999996</v>
      </c>
      <c r="M1803">
        <v>5762</v>
      </c>
      <c r="O1803" t="s">
        <v>25</v>
      </c>
      <c r="P1803" t="s">
        <v>1569</v>
      </c>
      <c r="Q1803" t="s">
        <v>1570</v>
      </c>
    </row>
    <row r="1804" spans="1:17" ht="15.5" x14ac:dyDescent="0.35">
      <c r="A1804" s="3" t="str">
        <f>HYPERLINK("https://edmondsonsupply.com/collections/hvac/products/spin-tools-f6000-flaring-drill-bit-set-1-4-3-8-1-2-5-8-3-4-7-8", "https://edmondsonsupply.com/collections/hvac/products/spin-tools-f6000-flaring-drill-bit-set-1-4-3-8-1-2-5-8-3-4-7-8")</f>
        <v>https://edmondsonsupply.com/collections/hvac/products/spin-tools-f6000-flaring-drill-bit-set-1-4-3-8-1-2-5-8-3-4-7-8</v>
      </c>
      <c r="B1804" s="3" t="str">
        <f>HYPERLINK("https://edmondsonsupply.com/products/spin-tools-f6000-flaring-drill-bit-set-1-4-3-8-1-2-5-8-3-4-7-8", "https://edmondsonsupply.com/products/spin-tools-f6000-flaring-drill-bit-set-1-4-3-8-1-2-5-8-3-4-7-8")</f>
        <v>https://edmondsonsupply.com/products/spin-tools-f6000-flaring-drill-bit-set-1-4-3-8-1-2-5-8-3-4-7-8</v>
      </c>
      <c r="C1804" t="s">
        <v>4916</v>
      </c>
      <c r="D1804" t="s">
        <v>3250</v>
      </c>
      <c r="E1804" s="3" t="str">
        <f>HYPERLINK("https://www.amazon.com/F6000-Flaring-Tool-Drill-Bits/dp/B07L7C7DPT/ref=sr_1_1?keywords=SPIN+Tools+F6000+Flaring+Drill+Bit+Set%2C+1%2F4%22%2C+3%2F8%22%2C+1%2F2%22%2C+5%2F8%22%2C+3%2F4%22+%26+7%2F8%22&amp;qid=1695173342&amp;sr=8-1", "https://www.amazon.com/F6000-Flaring-Tool-Drill-Bits/dp/B07L7C7DPT/ref=sr_1_1?keywords=SPIN+Tools+F6000+Flaring+Drill+Bit+Set%2C+1%2F4%22%2C+3%2F8%22%2C+1%2F2%22%2C+5%2F8%22%2C+3%2F4%22+%26+7%2F8%22&amp;qid=1695173342&amp;sr=8-1")</f>
        <v>https://www.amazon.com/F6000-Flaring-Tool-Drill-Bits/dp/B07L7C7DPT/ref=sr_1_1?keywords=SPIN+Tools+F6000+Flaring+Drill+Bit+Set%2C+1%2F4%22%2C+3%2F8%22%2C+1%2F2%22%2C+5%2F8%22%2C+3%2F4%22+%26+7%2F8%22&amp;qid=1695173342&amp;sr=8-1</v>
      </c>
      <c r="F1804" t="s">
        <v>3251</v>
      </c>
      <c r="G1804" t="e">
        <f ca="1">_xludf.IMAGE("https://edmondsonsupply.com/cdn/shop/products/f6000-1.jpg?v=1587144671")</f>
        <v>#NAME?</v>
      </c>
      <c r="H1804" t="e">
        <f ca="1">_xludf.IMAGE("https://m.media-amazon.com/images/I/618+pdlmdeL._AC_UL320_.jpg")</f>
        <v>#NAME?</v>
      </c>
      <c r="I1804" t="s">
        <v>4917</v>
      </c>
      <c r="J1804">
        <v>90</v>
      </c>
      <c r="K1804" s="4">
        <v>-3.6200000000000003E-2</v>
      </c>
      <c r="L1804">
        <v>4.5</v>
      </c>
      <c r="M1804">
        <v>220</v>
      </c>
      <c r="O1804" t="s">
        <v>25</v>
      </c>
      <c r="P1804" t="s">
        <v>138</v>
      </c>
      <c r="Q1804" t="s">
        <v>4918</v>
      </c>
    </row>
    <row r="1805" spans="1:17" ht="15.5" x14ac:dyDescent="0.35">
      <c r="A1805" s="3" t="str">
        <f>HYPERLINK("https://edmondsonsupply.com/collections/hvac/products/wiha-tools-66992-22-piece-magicring-ball-end-hex-l-key-set-inch-metric", "https://edmondsonsupply.com/collections/hvac/products/wiha-tools-66992-22-piece-magicring-ball-end-hex-l-key-set-inch-metric")</f>
        <v>https://edmondsonsupply.com/collections/hvac/products/wiha-tools-66992-22-piece-magicring-ball-end-hex-l-key-set-inch-metric</v>
      </c>
      <c r="B1805"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1805" t="s">
        <v>4919</v>
      </c>
      <c r="D1805" t="s">
        <v>4920</v>
      </c>
      <c r="E1805" s="3" t="str">
        <f>HYPERLINK("https://www.amazon.com/Wiha-66992-MagicRing-L-Key-Holders/dp/B000LF2LJM/ref=sr_1_1?keywords=Wiha+Tools+66992+22+Piece+MagicRing+Ball+End+Hex+L-Key+Set+-+Inch+-+Metric&amp;qid=1695173729&amp;sr=8-1", "https://www.amazon.com/Wiha-66992-MagicRing-L-Key-Holders/dp/B000LF2LJM/ref=sr_1_1?keywords=Wiha+Tools+66992+22+Piece+MagicRing+Ball+End+Hex+L-Key+Set+-+Inch+-+Metric&amp;qid=1695173729&amp;sr=8-1")</f>
        <v>https://www.amazon.com/Wiha-66992-MagicRing-L-Key-Holders/dp/B000LF2LJM/ref=sr_1_1?keywords=Wiha+Tools+66992+22+Piece+MagicRing+Ball+End+Hex+L-Key+Set+-+Inch+-+Metric&amp;qid=1695173729&amp;sr=8-1</v>
      </c>
      <c r="F1805" t="s">
        <v>4921</v>
      </c>
      <c r="G1805" t="e">
        <f ca="1">_xludf.IMAGE("https://edmondsonsupply.com/cdn/shop/files/29417a271125353d697d01cfdfb24cc6e99901ce_1000x_6829985f-7f40-4410-b5be-ba7bc87b2a14.webp?v=1690840271")</f>
        <v>#NAME?</v>
      </c>
      <c r="H1805" t="e">
        <f ca="1">_xludf.IMAGE("https://m.media-amazon.com/images/I/71eB60IkANL._AC_UL320_.jpg")</f>
        <v>#NAME?</v>
      </c>
      <c r="I1805" t="s">
        <v>4922</v>
      </c>
      <c r="J1805">
        <v>81.03</v>
      </c>
      <c r="K1805" s="4">
        <v>-3.7499999999999999E-2</v>
      </c>
      <c r="L1805">
        <v>4.7</v>
      </c>
      <c r="M1805">
        <v>533</v>
      </c>
      <c r="O1805" t="s">
        <v>25</v>
      </c>
      <c r="P1805" t="s">
        <v>4923</v>
      </c>
      <c r="Q1805" t="s">
        <v>4924</v>
      </c>
    </row>
    <row r="1806" spans="1:17" ht="15.5" x14ac:dyDescent="0.35">
      <c r="A1806" s="3" t="str">
        <f>HYPERLINK("https://edmondsonsupply.com/collections/hvac/products/wiha-tools-32637-10-classic-auto-grip-v-jaw-tongue-and-groove-pliers", "https://edmondsonsupply.com/collections/hvac/products/wiha-tools-32637-10-classic-auto-grip-v-jaw-tongue-and-groove-pliers")</f>
        <v>https://edmondsonsupply.com/collections/hvac/products/wiha-tools-32637-10-classic-auto-grip-v-jaw-tongue-and-groove-pliers</v>
      </c>
      <c r="B1806" s="3" t="str">
        <f>HYPERLINK("https://edmondsonsupply.com/products/wiha-tools-32637-10-classic-auto-grip-v-jaw-tongue-and-groove-pliers", "https://edmondsonsupply.com/products/wiha-tools-32637-10-classic-auto-grip-v-jaw-tongue-and-groove-pliers")</f>
        <v>https://edmondsonsupply.com/products/wiha-tools-32637-10-classic-auto-grip-v-jaw-tongue-and-groove-pliers</v>
      </c>
      <c r="C1806" t="s">
        <v>4925</v>
      </c>
      <c r="D1806" t="s">
        <v>4926</v>
      </c>
      <c r="E1806" s="3" t="str">
        <f>HYPERLINK("https://www.amazon.com/Wiha-32637-Soft-Grip-Pliers/dp/B071RC1NQF/ref=sr_1_1?keywords=Wiha+Tools+32637+10%22+Classic+Auto+Grip+V-Jaw+Tongue+and+Groove+Pliers&amp;qid=1695173723&amp;sr=8-1", "https://www.amazon.com/Wiha-32637-Soft-Grip-Pliers/dp/B071RC1NQF/ref=sr_1_1?keywords=Wiha+Tools+32637+10%22+Classic+Auto+Grip+V-Jaw+Tongue+and+Groove+Pliers&amp;qid=1695173723&amp;sr=8-1")</f>
        <v>https://www.amazon.com/Wiha-32637-Soft-Grip-Pliers/dp/B071RC1NQF/ref=sr_1_1?keywords=Wiha+Tools+32637+10%22+Classic+Auto+Grip+V-Jaw+Tongue+and+Groove+Pliers&amp;qid=1695173723&amp;sr=8-1</v>
      </c>
      <c r="F1806" t="s">
        <v>4927</v>
      </c>
      <c r="G1806" t="e">
        <f ca="1">_xludf.IMAGE("https://edmondsonsupply.com/cdn/shop/files/krcvtyutfbaylpzaktgv_1000x_5f7ebac0-73d8-45ce-9b51-48320764c450.webp?v=1690927748")</f>
        <v>#NAME?</v>
      </c>
      <c r="H1806" t="e">
        <f ca="1">_xludf.IMAGE("https://m.media-amazon.com/images/I/51JOKeL4Q+L._AC_UL320_.jpg")</f>
        <v>#NAME?</v>
      </c>
      <c r="I1806" t="s">
        <v>4928</v>
      </c>
      <c r="J1806">
        <v>29.98</v>
      </c>
      <c r="K1806" s="4">
        <v>-3.7600000000000001E-2</v>
      </c>
      <c r="L1806">
        <v>4.4000000000000004</v>
      </c>
      <c r="M1806">
        <v>36</v>
      </c>
      <c r="O1806" t="s">
        <v>25</v>
      </c>
      <c r="P1806" t="s">
        <v>4929</v>
      </c>
      <c r="Q1806" t="s">
        <v>4930</v>
      </c>
    </row>
    <row r="1807" spans="1:17" ht="15.5" x14ac:dyDescent="0.35">
      <c r="A1807" s="3" t="str">
        <f>HYPERLINK("https://edmondsonsupply.com/collections/hvac/products/klein-tools-60184-lightweight-gel-knee-pads", "https://edmondsonsupply.com/collections/hvac/products/klein-tools-60184-lightweight-gel-knee-pads")</f>
        <v>https://edmondsonsupply.com/collections/hvac/products/klein-tools-60184-lightweight-gel-knee-pads</v>
      </c>
      <c r="B1807" s="3" t="str">
        <f>HYPERLINK("https://edmondsonsupply.com/products/klein-tools-60184-lightweight-gel-knee-pads", "https://edmondsonsupply.com/products/klein-tools-60184-lightweight-gel-knee-pads")</f>
        <v>https://edmondsonsupply.com/products/klein-tools-60184-lightweight-gel-knee-pads</v>
      </c>
      <c r="C1807" t="s">
        <v>908</v>
      </c>
      <c r="D1807" t="s">
        <v>1248</v>
      </c>
      <c r="E1807" s="3" t="str">
        <f>HYPERLINK("https://www.amazon.com/Klein-Tools-60184-Lightweight-Resistant/dp/B088N5Q59S/ref=sr_1_1?keywords=Klein+Tools+60184+Lightweight+Gel+Knee+Pads&amp;qid=1695173676&amp;sr=8-1", "https://www.amazon.com/Klein-Tools-60184-Lightweight-Resistant/dp/B088N5Q59S/ref=sr_1_1?keywords=Klein+Tools+60184+Lightweight+Gel+Knee+Pads&amp;qid=1695173676&amp;sr=8-1")</f>
        <v>https://www.amazon.com/Klein-Tools-60184-Lightweight-Resistant/dp/B088N5Q59S/ref=sr_1_1?keywords=Klein+Tools+60184+Lightweight+Gel+Knee+Pads&amp;qid=1695173676&amp;sr=8-1</v>
      </c>
      <c r="F1807" t="s">
        <v>1249</v>
      </c>
      <c r="G1807" t="e">
        <f ca="1">_xludf.IMAGE("https://edmondsonsupply.com/cdn/shop/products/60184.jpg?v=1633030246")</f>
        <v>#NAME?</v>
      </c>
      <c r="H1807" t="e">
        <f ca="1">_xludf.IMAGE("https://m.media-amazon.com/images/I/71vmG1tRBLL._AC_UL320_.jpg")</f>
        <v>#NAME?</v>
      </c>
      <c r="I1807" t="s">
        <v>911</v>
      </c>
      <c r="J1807">
        <v>24.97</v>
      </c>
      <c r="K1807" s="4">
        <v>-3.85E-2</v>
      </c>
      <c r="L1807">
        <v>4.2</v>
      </c>
      <c r="M1807">
        <v>156</v>
      </c>
      <c r="O1807" t="s">
        <v>25</v>
      </c>
      <c r="P1807" t="s">
        <v>912</v>
      </c>
      <c r="Q1807" t="s">
        <v>913</v>
      </c>
    </row>
    <row r="1808" spans="1:17" ht="15.5" x14ac:dyDescent="0.35">
      <c r="A1808" s="3" t="str">
        <f>HYPERLINK("https://edmondsonsupply.com/collections/hvac/products/hilmor-1839027-tb1412-tri-tube-benders-1-4-3-8-1-2", "https://edmondsonsupply.com/collections/hvac/products/hilmor-1839027-tb1412-tri-tube-benders-1-4-3-8-1-2")</f>
        <v>https://edmondsonsupply.com/collections/hvac/products/hilmor-1839027-tb1412-tri-tube-benders-1-4-3-8-1-2</v>
      </c>
      <c r="B1808" s="3" t="str">
        <f>HYPERLINK("https://edmondsonsupply.com/products/hilmor-1839027-tb1412-tri-tube-benders-1-4-3-8-1-2", "https://edmondsonsupply.com/products/hilmor-1839027-tb1412-tri-tube-benders-1-4-3-8-1-2")</f>
        <v>https://edmondsonsupply.com/products/hilmor-1839027-tb1412-tri-tube-benders-1-4-3-8-1-2</v>
      </c>
      <c r="C1808" t="s">
        <v>3984</v>
      </c>
      <c r="D1808" t="s">
        <v>4931</v>
      </c>
      <c r="E1808" s="3" t="str">
        <f>HYPERLINK("https://www.amazon.com/Super-Stars-Bender-Aluminum-Bending/dp/B0B8S9CYNX/ref=sr_1_9?keywords=Hilmor+1839027+Tri-Tube+Bender+-+1%2F4%22%2C+3%2F8%22%2C+1%2F2%22&amp;qid=1695173685&amp;sr=8-9", "https://www.amazon.com/Super-Stars-Bender-Aluminum-Bending/dp/B0B8S9CYNX/ref=sr_1_9?keywords=Hilmor+1839027+Tri-Tube+Bender+-+1%2F4%22%2C+3%2F8%22%2C+1%2F2%22&amp;qid=1695173685&amp;sr=8-9")</f>
        <v>https://www.amazon.com/Super-Stars-Bender-Aluminum-Bending/dp/B0B8S9CYNX/ref=sr_1_9?keywords=Hilmor+1839027+Tri-Tube+Bender+-+1%2F4%22%2C+3%2F8%22%2C+1%2F2%22&amp;qid=1695173685&amp;sr=8-9</v>
      </c>
      <c r="F1808" t="s">
        <v>4932</v>
      </c>
      <c r="G1808" t="e">
        <f ca="1">_xludf.IMAGE("https://edmondsonsupply.com/cdn/shop/products/Tri-Tube_Bender2-green_glow-735x480.png?v=1643678213")</f>
        <v>#NAME?</v>
      </c>
      <c r="H1808" t="e">
        <f ca="1">_xludf.IMAGE("https://m.media-amazon.com/images/I/81VaplGA8NL._AC_UL320_.jpg")</f>
        <v>#NAME?</v>
      </c>
      <c r="I1808" t="s">
        <v>1931</v>
      </c>
      <c r="J1808">
        <v>47.99</v>
      </c>
      <c r="K1808" s="4">
        <v>-0.04</v>
      </c>
      <c r="L1808">
        <v>4.2</v>
      </c>
      <c r="M1808">
        <v>37</v>
      </c>
      <c r="O1808" t="s">
        <v>25</v>
      </c>
      <c r="P1808" t="s">
        <v>3987</v>
      </c>
      <c r="Q1808" t="s">
        <v>3988</v>
      </c>
    </row>
    <row r="1809" spans="1:17" ht="15.5" x14ac:dyDescent="0.35">
      <c r="A1809" s="3" t="str">
        <f>HYPERLINK("https://edmondsonsupply.com/collections/hvac/products/milwaukee-2111-21-475-lumen-usb-rechargeable-hard-hat-headlamp", "https://edmondsonsupply.com/collections/hvac/products/milwaukee-2111-21-475-lumen-usb-rechargeable-hard-hat-headlamp")</f>
        <v>https://edmondsonsupply.com/collections/hvac/products/milwaukee-2111-21-475-lumen-usb-rechargeable-hard-hat-headlamp</v>
      </c>
      <c r="B1809" s="3" t="str">
        <f>HYPERLINK("https://edmondsonsupply.com/products/milwaukee-2111-21-475-lumen-usb-rechargeable-hard-hat-headlamp", "https://edmondsonsupply.com/products/milwaukee-2111-21-475-lumen-usb-rechargeable-hard-hat-headlamp")</f>
        <v>https://edmondsonsupply.com/products/milwaukee-2111-21-475-lumen-usb-rechargeable-hard-hat-headlamp</v>
      </c>
      <c r="C1809" t="s">
        <v>2863</v>
      </c>
      <c r="D1809" t="s">
        <v>4933</v>
      </c>
      <c r="E1809" s="3" t="str">
        <f>HYPERLINK("https://www.amazon.com/Milwaukee-Lumens-Rechargeable-Low-Profile-Headlamp/dp/B087QKMN4H/ref=sr_1_4?keywords=Milwaukee+2111-21+475-Lumen+USB+Rechargeable+Hard+Hat+Headlamp&amp;qid=1695173675&amp;sr=8-4", "https://www.amazon.com/Milwaukee-Lumens-Rechargeable-Low-Profile-Headlamp/dp/B087QKMN4H/ref=sr_1_4?keywords=Milwaukee+2111-21+475-Lumen+USB+Rechargeable+Hard+Hat+Headlamp&amp;qid=1695173675&amp;sr=8-4")</f>
        <v>https://www.amazon.com/Milwaukee-Lumens-Rechargeable-Low-Profile-Headlamp/dp/B087QKMN4H/ref=sr_1_4?keywords=Milwaukee+2111-21+475-Lumen+USB+Rechargeable+Hard+Hat+Headlamp&amp;qid=1695173675&amp;sr=8-4</v>
      </c>
      <c r="F1809" t="s">
        <v>4934</v>
      </c>
      <c r="G1809" t="e">
        <f ca="1">_xludf.IMAGE("https://edmondsonsupply.com/cdn/shop/products/2111-21_3_Overlay_1.png?v=1587142535")</f>
        <v>#NAME?</v>
      </c>
      <c r="H1809" t="e">
        <f ca="1">_xludf.IMAGE("https://m.media-amazon.com/images/I/41GUSVLEDLL._AC_UL320_.jpg")</f>
        <v>#NAME?</v>
      </c>
      <c r="I1809" t="s">
        <v>356</v>
      </c>
      <c r="J1809">
        <v>67</v>
      </c>
      <c r="K1809" s="4">
        <v>-4.24E-2</v>
      </c>
      <c r="L1809">
        <v>4.5</v>
      </c>
      <c r="M1809">
        <v>228</v>
      </c>
      <c r="O1809" t="s">
        <v>171</v>
      </c>
      <c r="P1809" t="s">
        <v>2866</v>
      </c>
      <c r="Q1809" t="s">
        <v>2867</v>
      </c>
    </row>
    <row r="1810" spans="1:17" ht="15.5" x14ac:dyDescent="0.35">
      <c r="A1810" s="3" t="str">
        <f>HYPERLINK("https://edmondsonsupply.com/collections/hvac/products/nu-calgon-4900-35-iwave-m-mini-flexible-air-ionization-system", "https://edmondsonsupply.com/collections/hvac/products/nu-calgon-4900-35-iwave-m-mini-flexible-air-ionization-system")</f>
        <v>https://edmondsonsupply.com/collections/hvac/products/nu-calgon-4900-35-iwave-m-mini-flexible-air-ionization-system</v>
      </c>
      <c r="B1810" s="3" t="str">
        <f>HYPERLINK("https://edmondsonsupply.com/products/nu-calgon-4900-35-iwave-m-mini-flexible-air-ionization-system", "https://edmondsonsupply.com/products/nu-calgon-4900-35-iwave-m-mini-flexible-air-ionization-system")</f>
        <v>https://edmondsonsupply.com/products/nu-calgon-4900-35-iwave-m-mini-flexible-air-ionization-system</v>
      </c>
      <c r="C1810" t="s">
        <v>4935</v>
      </c>
      <c r="D1810" t="s">
        <v>4936</v>
      </c>
      <c r="E1810" s="3" t="str">
        <f>HYPERLINK("https://www.amazon.com/Nu-Calgon-4900-35-Flexible-Purifier-Ductless/dp/B07QFSDS8T/ref=sr_1_1?keywords=Nu-Calgon+4900-35+iWave-M+Mini+Flexible+Air+Ionization+System&amp;qid=1695173755&amp;sr=8-1", "https://www.amazon.com/Nu-Calgon-4900-35-Flexible-Purifier-Ductless/dp/B07QFSDS8T/ref=sr_1_1?keywords=Nu-Calgon+4900-35+iWave-M+Mini+Flexible+Air+Ionization+System&amp;qid=1695173755&amp;sr=8-1")</f>
        <v>https://www.amazon.com/Nu-Calgon-4900-35-Flexible-Purifier-Ductless/dp/B07QFSDS8T/ref=sr_1_1?keywords=Nu-Calgon+4900-35+iWave-M+Mini+Flexible+Air+Ionization+System&amp;qid=1695173755&amp;sr=8-1</v>
      </c>
      <c r="F1810" t="s">
        <v>4937</v>
      </c>
      <c r="G1810" t="e">
        <f ca="1">_xludf.IMAGE("https://edmondsonsupply.com/cdn/shop/files/4900-35.jpg?v=1687445075")</f>
        <v>#NAME?</v>
      </c>
      <c r="H1810" t="e">
        <f ca="1">_xludf.IMAGE("https://m.media-amazon.com/images/I/41gTvurwdHL._AC_UL320_.jpg")</f>
        <v>#NAME?</v>
      </c>
      <c r="I1810" t="s">
        <v>4938</v>
      </c>
      <c r="J1810">
        <v>228.98</v>
      </c>
      <c r="K1810" s="4">
        <v>-4.2799999999999998E-2</v>
      </c>
      <c r="L1810">
        <v>4.3</v>
      </c>
      <c r="M1810">
        <v>18</v>
      </c>
      <c r="O1810" t="s">
        <v>25</v>
      </c>
      <c r="P1810" t="s">
        <v>4939</v>
      </c>
      <c r="Q1810" t="s">
        <v>4940</v>
      </c>
    </row>
    <row r="1811" spans="1:17" ht="15.5" x14ac:dyDescent="0.35">
      <c r="A1811" s="3" t="str">
        <f>HYPERLINK("https://edmondsonsupply.com/collections/hvac/products/klein-tools-11053-klein-kurve%C2%AE-wire-stripper-cutter", "https://edmondsonsupply.com/collections/hvac/products/klein-tools-11053-klein-kurve%C2%AE-wire-stripper-cutter")</f>
        <v>https://edmondsonsupply.com/collections/hvac/products/klein-tools-11053-klein-kurve%C2%AE-wire-stripper-cutter</v>
      </c>
      <c r="B1811" s="3" t="str">
        <f>HYPERLINK("https://edmondsonsupply.com/products/klein-tools-11053-klein-kurve%c2%ae-wire-stripper-cutter", "https://edmondsonsupply.com/products/klein-tools-11053-klein-kurve%c2%ae-wire-stripper-cutter")</f>
        <v>https://edmondsonsupply.com/products/klein-tools-11053-klein-kurve%c2%ae-wire-stripper-cutter</v>
      </c>
      <c r="C1811" t="s">
        <v>2285</v>
      </c>
      <c r="D1811" t="s">
        <v>4941</v>
      </c>
      <c r="E1811" s="3" t="str">
        <f>HYPERLINK("https://www.amazon.com/Klein-Tools-K11095-Klein-Kurve-Stripper/dp/B08TQ83P2C/ref=sr_1_7?keywords=Klein+Tools+11053+Klein-Kurve%C2%AE+Wire+Stripper%2FCutter&amp;qid=1695173476&amp;sr=8-7", "https://www.amazon.com/Klein-Tools-K11095-Klein-Kurve-Stripper/dp/B08TQ83P2C/ref=sr_1_7?keywords=Klein+Tools+11053+Klein-Kurve%C2%AE+Wire+Stripper%2FCutter&amp;qid=1695173476&amp;sr=8-7")</f>
        <v>https://www.amazon.com/Klein-Tools-K11095-Klein-Kurve-Stripper/dp/B08TQ83P2C/ref=sr_1_7?keywords=Klein+Tools+11053+Klein-Kurve%C2%AE+Wire+Stripper%2FCutter&amp;qid=1695173476&amp;sr=8-7</v>
      </c>
      <c r="F1811" t="s">
        <v>4942</v>
      </c>
      <c r="G1811" t="e">
        <f ca="1">_xludf.IMAGE("https://edmondsonsupply.com/cdn/shop/products/11053.jpg?v=1633030511")</f>
        <v>#NAME?</v>
      </c>
      <c r="H1811" t="e">
        <f ca="1">_xludf.IMAGE("https://m.media-amazon.com/images/I/5180XMjuiIL._AC_UL320_.jpg")</f>
        <v>#NAME?</v>
      </c>
      <c r="I1811" t="s">
        <v>2288</v>
      </c>
      <c r="J1811">
        <v>20.07</v>
      </c>
      <c r="K1811" s="4">
        <v>-4.2900000000000001E-2</v>
      </c>
      <c r="L1811">
        <v>4.8</v>
      </c>
      <c r="M1811">
        <v>439</v>
      </c>
      <c r="O1811" t="s">
        <v>25</v>
      </c>
      <c r="P1811" t="s">
        <v>2289</v>
      </c>
      <c r="Q1811" t="s">
        <v>2290</v>
      </c>
    </row>
    <row r="1812" spans="1:17" ht="15.5" x14ac:dyDescent="0.35">
      <c r="A1812" s="3" t="str">
        <f>HYPERLINK("https://edmondsonsupply.com/collections/hvac/products/white-rodgers-24a34-6-24v-electric-heat-sequencer-2-dpst", "https://edmondsonsupply.com/collections/hvac/products/white-rodgers-24a34-6-24v-electric-heat-sequencer-2-dpst")</f>
        <v>https://edmondsonsupply.com/collections/hvac/products/white-rodgers-24a34-6-24v-electric-heat-sequencer-2-dpst</v>
      </c>
      <c r="B1812" s="3" t="str">
        <f>HYPERLINK("https://edmondsonsupply.com/products/white-rodgers-24a34-6-24v-electric-heat-sequencer-2-dpst", "https://edmondsonsupply.com/products/white-rodgers-24a34-6-24v-electric-heat-sequencer-2-dpst")</f>
        <v>https://edmondsonsupply.com/products/white-rodgers-24a34-6-24v-electric-heat-sequencer-2-dpst</v>
      </c>
      <c r="C1812" t="s">
        <v>4876</v>
      </c>
      <c r="D1812" t="s">
        <v>4943</v>
      </c>
      <c r="E1812" s="3" t="str">
        <f>HYPERLINK("https://www.amazon.com/White-Rodgers-24A34-6-Electric-Relay-Switch/dp/B000CD8QC4/ref=sr_1_10?keywords=White-Rodgers+24A34-6+24V+Electric+Heat+Sequencer%2C+2+DPST&amp;qid=1695173395&amp;sr=8-10", "https://www.amazon.com/White-Rodgers-24A34-6-Electric-Relay-Switch/dp/B000CD8QC4/ref=sr_1_10?keywords=White-Rodgers+24A34-6+24V+Electric+Heat+Sequencer%2C+2+DPST&amp;qid=1695173395&amp;sr=8-10")</f>
        <v>https://www.amazon.com/White-Rodgers-24A34-6-Electric-Relay-Switch/dp/B000CD8QC4/ref=sr_1_10?keywords=White-Rodgers+24A34-6+24V+Electric+Heat+Sequencer%2C+2+DPST&amp;qid=1695173395&amp;sr=8-10</v>
      </c>
      <c r="F1812" t="s">
        <v>4944</v>
      </c>
      <c r="G1812" t="e">
        <f ca="1">_xludf.IMAGE("https://edmondsonsupply.com/cdn/shop/products/24A34-6.jpg?v=1633030752")</f>
        <v>#NAME?</v>
      </c>
      <c r="H1812" t="e">
        <f ca="1">_xludf.IMAGE("https://m.media-amazon.com/images/I/31wExGU7hDL._AC_UY218_.jpg")</f>
        <v>#NAME?</v>
      </c>
      <c r="I1812" t="s">
        <v>4877</v>
      </c>
      <c r="J1812">
        <v>22.49</v>
      </c>
      <c r="K1812" s="4">
        <v>-4.2999999999999997E-2</v>
      </c>
      <c r="L1812">
        <v>5</v>
      </c>
      <c r="M1812">
        <v>4</v>
      </c>
      <c r="O1812" t="s">
        <v>25</v>
      </c>
      <c r="P1812" t="s">
        <v>4878</v>
      </c>
      <c r="Q1812" t="s">
        <v>4879</v>
      </c>
    </row>
    <row r="1813" spans="1:17" ht="15.5" x14ac:dyDescent="0.35">
      <c r="A1813"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1813" s="3" t="str">
        <f>HYPERLINK("https://edmondsonsupply.com/products/klein-tools-65064-2-in-1-hex-head-screwdriver-1-4-5-16", "https://edmondsonsupply.com/products/klein-tools-65064-2-in-1-hex-head-screwdriver-1-4-5-16")</f>
        <v>https://edmondsonsupply.com/products/klein-tools-65064-2-in-1-hex-head-screwdriver-1-4-5-16</v>
      </c>
      <c r="C1813" t="s">
        <v>2093</v>
      </c>
      <c r="D1813" t="s">
        <v>4945</v>
      </c>
      <c r="E1813" s="3" t="str">
        <f>HYPERLINK("https://www.amazon.com/Driver-16-Inch-Klein-Tools-65064/dp/B01N2S3D09/ref=sr_1_1?keywords=Klein+Tools+65064+2-in-1+Nut+Driver%2C+Hex+Head%2C+1%2F4-Inch+and+5%2F16-Inch&amp;qid=1695173568&amp;sr=8-1", "https://www.amazon.com/Driver-16-Inch-Klein-Tools-65064/dp/B01N2S3D09/ref=sr_1_1?keywords=Klein+Tools+65064+2-in-1+Nut+Driver%2C+Hex+Head%2C+1%2F4-Inch+and+5%2F16-Inch&amp;qid=1695173568&amp;sr=8-1")</f>
        <v>https://www.amazon.com/Driver-16-Inch-Klein-Tools-65064/dp/B01N2S3D09/ref=sr_1_1?keywords=Klein+Tools+65064+2-in-1+Nut+Driver%2C+Hex+Head%2C+1%2F4-Inch+and+5%2F16-Inch&amp;qid=1695173568&amp;sr=8-1</v>
      </c>
      <c r="F1813" t="s">
        <v>4946</v>
      </c>
      <c r="G1813" t="e">
        <f ca="1">_xludf.IMAGE("https://edmondsonsupply.com/cdn/shop/products/65064.jpg?v=1587147719")</f>
        <v>#NAME?</v>
      </c>
      <c r="H1813" t="e">
        <f ca="1">_xludf.IMAGE("https://m.media-amazon.com/images/I/51WqGb8KzpL._AC_UL320_.jpg")</f>
        <v>#NAME?</v>
      </c>
      <c r="I1813" t="s">
        <v>143</v>
      </c>
      <c r="J1813">
        <v>15.27</v>
      </c>
      <c r="K1813" s="4">
        <v>-4.3799999999999999E-2</v>
      </c>
      <c r="L1813">
        <v>4.8</v>
      </c>
      <c r="M1813">
        <v>1412</v>
      </c>
      <c r="O1813" t="s">
        <v>25</v>
      </c>
      <c r="P1813" t="s">
        <v>2096</v>
      </c>
      <c r="Q1813" t="s">
        <v>2097</v>
      </c>
    </row>
    <row r="1814" spans="1:17" ht="15.5" x14ac:dyDescent="0.35">
      <c r="A1814" s="3" t="str">
        <f>HYPERLINK("https://edmondsonsupply.com/collections/hvac/products/packard-prmj216-motor-start-capacitor-216-259-mfd-330-vac", "https://edmondsonsupply.com/collections/hvac/products/packard-prmj216-motor-start-capacitor-216-259-mfd-330-vac")</f>
        <v>https://edmondsonsupply.com/collections/hvac/products/packard-prmj216-motor-start-capacitor-216-259-mfd-330-vac</v>
      </c>
      <c r="B1814" s="3" t="str">
        <f>HYPERLINK("https://edmondsonsupply.com/products/packard-prmj216-motor-start-capacitor-216-259-mfd-330-vac", "https://edmondsonsupply.com/products/packard-prmj216-motor-start-capacitor-216-259-mfd-330-vac")</f>
        <v>https://edmondsonsupply.com/products/packard-prmj216-motor-start-capacitor-216-259-mfd-330-vac</v>
      </c>
      <c r="C1814" t="s">
        <v>2370</v>
      </c>
      <c r="D1814" t="s">
        <v>2184</v>
      </c>
      <c r="E1814" s="3" t="str">
        <f>HYPERLINK("https://www.amazon.com/Packard-PMJ216-Capacitor-216-259-110-125v/dp/B0054JJ51C/ref=sr_1_6?keywords=Packard+PRMJ216+Motor+Start+Capacitor+216-259+MFD+330+VAC&amp;qid=1695173694&amp;sr=8-6", "https://www.amazon.com/Packard-PMJ216-Capacitor-216-259-110-125v/dp/B0054JJ51C/ref=sr_1_6?keywords=Packard+PRMJ216+Motor+Start+Capacitor+216-259+MFD+330+VAC&amp;qid=1695173694&amp;sr=8-6")</f>
        <v>https://www.amazon.com/Packard-PMJ216-Capacitor-216-259-110-125v/dp/B0054JJ51C/ref=sr_1_6?keywords=Packard+PRMJ216+Motor+Start+Capacitor+216-259+MFD+330+VAC&amp;qid=1695173694&amp;sr=8-6</v>
      </c>
      <c r="F1814" t="s">
        <v>2185</v>
      </c>
      <c r="G1814" t="e">
        <f ca="1">_xludf.IMAGE("https://edmondsonsupply.com/cdn/shop/products/PRMJ216-2.jpg?v=1633030106")</f>
        <v>#NAME?</v>
      </c>
      <c r="H1814" t="e">
        <f ca="1">_xludf.IMAGE("https://m.media-amazon.com/images/I/81AeXmtCESL._AC_UY218_.jpg")</f>
        <v>#NAME?</v>
      </c>
      <c r="I1814" t="s">
        <v>2371</v>
      </c>
      <c r="J1814">
        <v>8.5399999999999991</v>
      </c>
      <c r="K1814" s="4">
        <v>-4.4699999999999997E-2</v>
      </c>
      <c r="L1814">
        <v>4.4000000000000004</v>
      </c>
      <c r="M1814">
        <v>105</v>
      </c>
      <c r="O1814" t="s">
        <v>25</v>
      </c>
      <c r="P1814" t="s">
        <v>138</v>
      </c>
      <c r="Q1814" t="s">
        <v>2372</v>
      </c>
    </row>
    <row r="1815" spans="1:17" ht="15.5" x14ac:dyDescent="0.35">
      <c r="A1815" s="3" t="str">
        <f>HYPERLINK("https://edmondsonsupply.com/collections/hvac/products/tajima-vrb2-100b-v-rex%E2%84%A2-ii-premium-tempered-steel-utility-knife-blades-100-blade-safety-dispenser", "https://edmondsonsupply.com/collections/hvac/products/tajima-vrb2-100b-v-rex%E2%84%A2-ii-premium-tempered-steel-utility-knife-blades-100-blade-safety-dispenser")</f>
        <v>https://edmondsonsupply.com/collections/hvac/products/tajima-vrb2-100b-v-rex%E2%84%A2-ii-premium-tempered-steel-utility-knife-blades-100-blade-safety-dispenser</v>
      </c>
      <c r="B1815" s="3" t="str">
        <f>HYPERLINK("https://edmondsonsupply.com/products/tajima-vrb2-100b-v-rex%e2%84%a2-ii-premium-tempered-steel-utility-knife-blades-100-blade-safety-dispenser", "https://edmondsonsupply.com/products/tajima-vrb2-100b-v-rex%e2%84%a2-ii-premium-tempered-steel-utility-knife-blades-100-blade-safety-dispenser")</f>
        <v>https://edmondsonsupply.com/products/tajima-vrb2-100b-v-rex%e2%84%a2-ii-premium-tempered-steel-utility-knife-blades-100-blade-safety-dispenser</v>
      </c>
      <c r="C1815" t="s">
        <v>4947</v>
      </c>
      <c r="D1815" t="s">
        <v>4948</v>
      </c>
      <c r="E1815" s="3" t="str">
        <f>HYPERLINK("https://www.amazon.com/Tajima-VRB2-100B-Premium-Tempered-100-Pack/dp/B00NY8R9OU/ref=sr_1_1?keywords=Tajima+VRB2-100B+V-REX%E2%84%A2+II%2C+Premium+Tempered+Steel+Utility+Knife+Blades%2C+100-Blade+Safety+Dispenser&amp;qid=1695173518&amp;sr=8-1", "https://www.amazon.com/Tajima-VRB2-100B-Premium-Tempered-100-Pack/dp/B00NY8R9OU/ref=sr_1_1?keywords=Tajima+VRB2-100B+V-REX%E2%84%A2+II%2C+Premium+Tempered+Steel+Utility+Knife+Blades%2C+100-Blade+Safety+Dispenser&amp;qid=1695173518&amp;sr=8-1")</f>
        <v>https://www.amazon.com/Tajima-VRB2-100B-Premium-Tempered-100-Pack/dp/B00NY8R9OU/ref=sr_1_1?keywords=Tajima+VRB2-100B+V-REX%E2%84%A2+II%2C+Premium+Tempered+Steel+Utility+Knife+Blades%2C+100-Blade+Safety+Dispenser&amp;qid=1695173518&amp;sr=8-1</v>
      </c>
      <c r="F1815" t="s">
        <v>4949</v>
      </c>
      <c r="G1815" t="e">
        <f ca="1">_xludf.IMAGE("https://edmondsonsupply.com/cdn/shop/products/VRB2-100B.jpg?v=1633031166")</f>
        <v>#NAME?</v>
      </c>
      <c r="H1815" t="e">
        <f ca="1">_xludf.IMAGE("https://m.media-amazon.com/images/I/818qmSUapWL._AC_UL320_.jpg")</f>
        <v>#NAME?</v>
      </c>
      <c r="I1815" t="s">
        <v>4950</v>
      </c>
      <c r="J1815">
        <v>32.869999999999997</v>
      </c>
      <c r="K1815" s="4">
        <v>-4.9700000000000001E-2</v>
      </c>
      <c r="L1815">
        <v>4.8</v>
      </c>
      <c r="M1815">
        <v>236</v>
      </c>
      <c r="O1815" t="s">
        <v>25</v>
      </c>
      <c r="P1815" t="s">
        <v>138</v>
      </c>
      <c r="Q1815" t="s">
        <v>4951</v>
      </c>
    </row>
    <row r="1816" spans="1:17" ht="15.5" x14ac:dyDescent="0.35">
      <c r="A1816" s="3" t="str">
        <f>HYPERLINK("https://edmondsonsupply.com/collections/hvac/products/greenlee-gsb09-1-1-8-step-bit-9", "https://edmondsonsupply.com/collections/hvac/products/greenlee-gsb09-1-1-8-step-bit-9")</f>
        <v>https://edmondsonsupply.com/collections/hvac/products/greenlee-gsb09-1-1-8-step-bit-9</v>
      </c>
      <c r="B1816" s="3" t="str">
        <f>HYPERLINK("https://edmondsonsupply.com/products/greenlee-gsb09-1-1-8-step-bit-9", "https://edmondsonsupply.com/products/greenlee-gsb09-1-1-8-step-bit-9")</f>
        <v>https://edmondsonsupply.com/products/greenlee-gsb09-1-1-8-step-bit-9</v>
      </c>
      <c r="C1816" t="s">
        <v>4952</v>
      </c>
      <c r="D1816" t="s">
        <v>2320</v>
      </c>
      <c r="E1816" s="3" t="str">
        <f>HYPERLINK("https://www.amazon.com/Greenlee-Patented-Split-Step-Design-Cutting/dp/B08TVGF4MS/ref=sr_1_1?keywords=Greenlee+GSB09+1-1%2F8%22+Step+Bit+%28%239%29&amp;qid=1695173750&amp;sr=8-1", "https://www.amazon.com/Greenlee-Patented-Split-Step-Design-Cutting/dp/B08TVGF4MS/ref=sr_1_1?keywords=Greenlee+GSB09+1-1%2F8%22+Step+Bit+%28%239%29&amp;qid=1695173750&amp;sr=8-1")</f>
        <v>https://www.amazon.com/Greenlee-Patented-Split-Step-Design-Cutting/dp/B08TVGF4MS/ref=sr_1_1?keywords=Greenlee+GSB09+1-1%2F8%22+Step+Bit+%28%239%29&amp;qid=1695173750&amp;sr=8-1</v>
      </c>
      <c r="F1816" t="s">
        <v>2321</v>
      </c>
      <c r="G1816" t="e">
        <f ca="1">_xludf.IMAGE("https://edmondsonsupply.com/cdn/shop/files/GSB09_CAT1_72dpi.jpg?v=1687787938")</f>
        <v>#NAME?</v>
      </c>
      <c r="H1816" t="e">
        <f ca="1">_xludf.IMAGE("https://m.media-amazon.com/images/I/41J5YEXJLpL._AC_UY218_.jpg")</f>
        <v>#NAME?</v>
      </c>
      <c r="I1816" t="s">
        <v>4953</v>
      </c>
      <c r="J1816">
        <v>65.81</v>
      </c>
      <c r="K1816" s="4">
        <v>-4.9799999999999997E-2</v>
      </c>
      <c r="L1816">
        <v>3.8</v>
      </c>
      <c r="M1816">
        <v>5</v>
      </c>
      <c r="O1816" t="s">
        <v>25</v>
      </c>
      <c r="P1816" t="s">
        <v>4954</v>
      </c>
      <c r="Q1816" t="s">
        <v>4955</v>
      </c>
    </row>
    <row r="1817" spans="1:17" ht="15.5" x14ac:dyDescent="0.35">
      <c r="A1817" s="3" t="str">
        <f>HYPERLINK("https://edmondsonsupply.com/collections/hvac/products/klein-tools-56402-cap-visor-light-led", "https://edmondsonsupply.com/collections/hvac/products/klein-tools-56402-cap-visor-light-led")</f>
        <v>https://edmondsonsupply.com/collections/hvac/products/klein-tools-56402-cap-visor-light-led</v>
      </c>
      <c r="B1817" s="3" t="str">
        <f>HYPERLINK("https://edmondsonsupply.com/products/klein-tools-56402-cap-visor-light-led", "https://edmondsonsupply.com/products/klein-tools-56402-cap-visor-light-led")</f>
        <v>https://edmondsonsupply.com/products/klein-tools-56402-cap-visor-light-led</v>
      </c>
      <c r="C1817" t="s">
        <v>4956</v>
      </c>
      <c r="D1817" t="s">
        <v>4957</v>
      </c>
      <c r="E1817" s="3" t="str">
        <f>HYPERLINK("https://www.amazon.com/Klein-Tools-56402-Pivoting-Batteries/dp/B07PST59RV/ref=sr_1_1?keywords=Klein+Tools+56402+Cap+Visor+LED+Light&amp;qid=1695173681&amp;sr=8-1", "https://www.amazon.com/Klein-Tools-56402-Pivoting-Batteries/dp/B07PST59RV/ref=sr_1_1?keywords=Klein+Tools+56402+Cap+Visor+LED+Light&amp;qid=1695173681&amp;sr=8-1")</f>
        <v>https://www.amazon.com/Klein-Tools-56402-Pivoting-Batteries/dp/B07PST59RV/ref=sr_1_1?keywords=Klein+Tools+56402+Cap+Visor+LED+Light&amp;qid=1695173681&amp;sr=8-1</v>
      </c>
      <c r="F1817" t="s">
        <v>4958</v>
      </c>
      <c r="G1817" t="e">
        <f ca="1">_xludf.IMAGE("https://edmondsonsupply.com/cdn/shop/products/56402.jpg?v=1587143311")</f>
        <v>#NAME?</v>
      </c>
      <c r="H1817" t="e">
        <f ca="1">_xludf.IMAGE("https://m.media-amazon.com/images/I/51Wj09Yog+L._AC_UL320_.jpg")</f>
        <v>#NAME?</v>
      </c>
      <c r="I1817" t="s">
        <v>893</v>
      </c>
      <c r="J1817">
        <v>18.97</v>
      </c>
      <c r="K1817" s="4">
        <v>-5.0099999999999999E-2</v>
      </c>
      <c r="L1817">
        <v>4.4000000000000004</v>
      </c>
      <c r="M1817">
        <v>1202</v>
      </c>
      <c r="O1817" t="s">
        <v>25</v>
      </c>
      <c r="P1817" t="s">
        <v>4959</v>
      </c>
      <c r="Q1817" t="s">
        <v>4960</v>
      </c>
    </row>
    <row r="1818" spans="1:17" ht="15.5" x14ac:dyDescent="0.35">
      <c r="A1818" s="3" t="str">
        <f>HYPERLINK("https://edmondsonsupply.com/collections/hvac/products/fluke-62-max-mini-infrared-thermometer", "https://edmondsonsupply.com/collections/hvac/products/fluke-62-max-mini-infrared-thermometer")</f>
        <v>https://edmondsonsupply.com/collections/hvac/products/fluke-62-max-mini-infrared-thermometer</v>
      </c>
      <c r="B1818" s="3" t="str">
        <f>HYPERLINK("https://edmondsonsupply.com/products/fluke-62-max-mini-infrared-thermometer", "https://edmondsonsupply.com/products/fluke-62-max-mini-infrared-thermometer")</f>
        <v>https://edmondsonsupply.com/products/fluke-62-max-mini-infrared-thermometer</v>
      </c>
      <c r="C1818" t="s">
        <v>2312</v>
      </c>
      <c r="D1818" t="s">
        <v>4961</v>
      </c>
      <c r="E1818" s="3" t="str">
        <f>HYPERLINK("https://www.amazon.com/Fluke-MAX-Thermometer-Contact-Degree/dp/B008EW837S/ref=sr_1_1?keywords=Fluke+62+MAX+Mini+Infrared+Thermometer&amp;qid=1695173532&amp;sr=8-1", "https://www.amazon.com/Fluke-MAX-Thermometer-Contact-Degree/dp/B008EW837S/ref=sr_1_1?keywords=Fluke+62+MAX+Mini+Infrared+Thermometer&amp;qid=1695173532&amp;sr=8-1")</f>
        <v>https://www.amazon.com/Fluke-MAX-Thermometer-Contact-Degree/dp/B008EW837S/ref=sr_1_1?keywords=Fluke+62+MAX+Mini+Infrared+Thermometer&amp;qid=1695173532&amp;sr=8-1</v>
      </c>
      <c r="F1818" t="s">
        <v>4962</v>
      </c>
      <c r="G1818" t="e">
        <f ca="1">_xludf.IMAGE("https://edmondsonsupply.com/cdn/shop/products/62max.jpg?v=1633030769")</f>
        <v>#NAME?</v>
      </c>
      <c r="H1818" t="e">
        <f ca="1">_xludf.IMAGE("https://m.media-amazon.com/images/I/51QB7aenW8L._AC_UY218_.jpg")</f>
        <v>#NAME?</v>
      </c>
      <c r="I1818" t="s">
        <v>2315</v>
      </c>
      <c r="J1818">
        <v>116.8</v>
      </c>
      <c r="K1818" s="4">
        <v>-5.0299999999999997E-2</v>
      </c>
      <c r="L1818">
        <v>4.7</v>
      </c>
      <c r="M1818">
        <v>1713</v>
      </c>
      <c r="O1818" t="s">
        <v>171</v>
      </c>
      <c r="P1818" t="s">
        <v>460</v>
      </c>
      <c r="Q1818" t="s">
        <v>2316</v>
      </c>
    </row>
    <row r="1819" spans="1:17" ht="15.5" x14ac:dyDescent="0.35">
      <c r="A1819" s="3" t="str">
        <f>HYPERLINK("https://edmondsonsupply.com/collections/hvac/products/packard-c230a-contactor-2-pole-30-amps-24-coil-voltage", "https://edmondsonsupply.com/collections/hvac/products/packard-c230a-contactor-2-pole-30-amps-24-coil-voltage")</f>
        <v>https://edmondsonsupply.com/collections/hvac/products/packard-c230a-contactor-2-pole-30-amps-24-coil-voltage</v>
      </c>
      <c r="B1819" s="3" t="str">
        <f>HYPERLINK("https://edmondsonsupply.com/products/packard-c230a-contactor-2-pole-30-amps-24-coil-voltage", "https://edmondsonsupply.com/products/packard-c230a-contactor-2-pole-30-amps-24-coil-voltage")</f>
        <v>https://edmondsonsupply.com/products/packard-c230a-contactor-2-pole-30-amps-24-coil-voltage</v>
      </c>
      <c r="C1819" t="s">
        <v>2876</v>
      </c>
      <c r="D1819" t="s">
        <v>4963</v>
      </c>
      <c r="E1819" s="3" t="str">
        <f>HYPERLINK("https://www.amazon.com/Packard-C230A-Pole-Coil-Contactor/dp/B003U7W3SM/ref=sr_1_1?keywords=Packard+C230A+Contactor+2+Pole+30+Amps+24+Coil+Voltage&amp;qid=1695173405&amp;sr=8-1", "https://www.amazon.com/Packard-C230A-Pole-Coil-Contactor/dp/B003U7W3SM/ref=sr_1_1?keywords=Packard+C230A+Contactor+2+Pole+30+Amps+24+Coil+Voltage&amp;qid=1695173405&amp;sr=8-1")</f>
        <v>https://www.amazon.com/Packard-C230A-Pole-Coil-Contactor/dp/B003U7W3SM/ref=sr_1_1?keywords=Packard+C230A+Contactor+2+Pole+30+Amps+24+Coil+Voltage&amp;qid=1695173405&amp;sr=8-1</v>
      </c>
      <c r="F1819" t="s">
        <v>4964</v>
      </c>
      <c r="G1819" t="e">
        <f ca="1">_xludf.IMAGE("https://edmondsonsupply.com/cdn/shop/products/C230A-1.jpg?v=1633030392")</f>
        <v>#NAME?</v>
      </c>
      <c r="H1819" t="e">
        <f ca="1">_xludf.IMAGE("https://m.media-amazon.com/images/I/61-Htl5iYqL._AC_UY218_.jpg")</f>
        <v>#NAME?</v>
      </c>
      <c r="I1819" t="s">
        <v>2176</v>
      </c>
      <c r="J1819">
        <v>10.26</v>
      </c>
      <c r="K1819" s="4">
        <v>-5.1799999999999999E-2</v>
      </c>
      <c r="L1819">
        <v>4.7</v>
      </c>
      <c r="M1819">
        <v>512</v>
      </c>
      <c r="O1819" t="s">
        <v>25</v>
      </c>
      <c r="P1819" t="s">
        <v>138</v>
      </c>
      <c r="Q1819" t="s">
        <v>2879</v>
      </c>
    </row>
    <row r="1820" spans="1:17" ht="15.5" x14ac:dyDescent="0.35">
      <c r="A1820" s="3" t="str">
        <f>HYPERLINK("https://edmondsonsupply.com/collections/hvac/products/klein-tools-630m-magnetic-nut-driver-set-3-inch-shafts-2-piece", "https://edmondsonsupply.com/collections/hvac/products/klein-tools-630m-magnetic-nut-driver-set-3-inch-shafts-2-piece")</f>
        <v>https://edmondsonsupply.com/collections/hvac/products/klein-tools-630m-magnetic-nut-driver-set-3-inch-shafts-2-piece</v>
      </c>
      <c r="B1820" s="3" t="str">
        <f>HYPERLINK("https://edmondsonsupply.com/products/klein-tools-630m-magnetic-nut-driver-set-3-inch-shafts-2-piece", "https://edmondsonsupply.com/products/klein-tools-630m-magnetic-nut-driver-set-3-inch-shafts-2-piece")</f>
        <v>https://edmondsonsupply.com/products/klein-tools-630m-magnetic-nut-driver-set-3-inch-shafts-2-piece</v>
      </c>
      <c r="C1820" t="s">
        <v>1690</v>
      </c>
      <c r="D1820" t="s">
        <v>4058</v>
      </c>
      <c r="E1820" s="3" t="str">
        <f>HYPERLINK("https://www.amazon.com/Klein-Tools-610M-16-Inch-Magnetic/dp/B00093DZO6/ref=sr_1_4?keywords=Klein+Tools+630M+Magnetic+Nut+Driver+Set%2C+3-Inch+Shafts%2C+2-Piece&amp;qid=1695173650&amp;sr=8-4", "https://www.amazon.com/Klein-Tools-610M-16-Inch-Magnetic/dp/B00093DZO6/ref=sr_1_4?keywords=Klein+Tools+630M+Magnetic+Nut+Driver+Set%2C+3-Inch+Shafts%2C+2-Piece&amp;qid=1695173650&amp;sr=8-4")</f>
        <v>https://www.amazon.com/Klein-Tools-610M-16-Inch-Magnetic/dp/B00093DZO6/ref=sr_1_4?keywords=Klein+Tools+630M+Magnetic+Nut+Driver+Set%2C+3-Inch+Shafts%2C+2-Piece&amp;qid=1695173650&amp;sr=8-4</v>
      </c>
      <c r="F1820" t="s">
        <v>4059</v>
      </c>
      <c r="G1820" t="e">
        <f ca="1">_xludf.IMAGE("https://edmondsonsupply.com/cdn/shop/products/630m.jpg?v=1587143237")</f>
        <v>#NAME?</v>
      </c>
      <c r="H1820" t="e">
        <f ca="1">_xludf.IMAGE("https://m.media-amazon.com/images/I/51lgiheW64L._AC_UL320_.jpg")</f>
        <v>#NAME?</v>
      </c>
      <c r="I1820" t="s">
        <v>1687</v>
      </c>
      <c r="J1820">
        <v>17.989999999999998</v>
      </c>
      <c r="K1820" s="4">
        <v>-5.2699999999999997E-2</v>
      </c>
      <c r="L1820">
        <v>4.8</v>
      </c>
      <c r="M1820">
        <v>559</v>
      </c>
      <c r="O1820" t="s">
        <v>25</v>
      </c>
      <c r="P1820" t="s">
        <v>1693</v>
      </c>
      <c r="Q1820" t="s">
        <v>1694</v>
      </c>
    </row>
    <row r="1821" spans="1:17" ht="15.5" x14ac:dyDescent="0.35">
      <c r="A1821" s="3" t="str">
        <f>HYPERLINK("https://edmondsonsupply.com/collections/hvac/products/icm-controls-icm1503-intermittent-ignition-oil-burner-primary-control-45-second-safety-timing-honeywell-replacement", "https://edmondsonsupply.com/collections/hvac/products/icm-controls-icm1503-intermittent-ignition-oil-burner-primary-control-45-second-safety-timing-honeywell-replacement")</f>
        <v>https://edmondsonsupply.com/collections/hvac/products/icm-controls-icm1503-intermittent-ignition-oil-burner-primary-control-45-second-safety-timing-honeywell-replacement</v>
      </c>
      <c r="B1821" s="3" t="str">
        <f>HYPERLINK("https://edmondsonsupply.com/products/icm-controls-icm1503-intermittent-ignition-oil-burner-primary-control-45-second-safety-timing-honeywell-replacement", "https://edmondsonsupply.com/products/icm-controls-icm1503-intermittent-ignition-oil-burner-primary-control-45-second-safety-timing-honeywell-replacement")</f>
        <v>https://edmondsonsupply.com/products/icm-controls-icm1503-intermittent-ignition-oil-burner-primary-control-45-second-safety-timing-honeywell-replacement</v>
      </c>
      <c r="C1821" t="s">
        <v>4965</v>
      </c>
      <c r="D1821" t="s">
        <v>4966</v>
      </c>
      <c r="E1821" s="3" t="str">
        <f>HYPERLINK("https://www.amazon.com/ICM-Controls-ICM1501-Intermittent-Replacement/dp/B000U7SQ36/ref=sr_1_1?keywords=ICM+Controls+ICM1503+Intermittent+Ignition+Oil+Burner+Primary+Control%2C+45-Second+Safety+Timing%2C+Honeywell+Replacement&amp;qid=1695173365&amp;sr=8-1", "https://www.amazon.com/ICM-Controls-ICM1501-Intermittent-Replacement/dp/B000U7SQ36/ref=sr_1_1?keywords=ICM+Controls+ICM1503+Intermittent+Ignition+Oil+Burner+Primary+Control%2C+45-Second+Safety+Timing%2C+Honeywell+Replacement&amp;qid=1695173365&amp;sr=8-1")</f>
        <v>https://www.amazon.com/ICM-Controls-ICM1501-Intermittent-Replacement/dp/B000U7SQ36/ref=sr_1_1?keywords=ICM+Controls+ICM1503+Intermittent+Ignition+Oil+Burner+Primary+Control%2C+45-Second+Safety+Timing%2C+Honeywell+Replacement&amp;qid=1695173365&amp;sr=8-1</v>
      </c>
      <c r="F1821" t="s">
        <v>4967</v>
      </c>
      <c r="G1821" t="e">
        <f ca="1">_xludf.IMAGE("https://edmondsonsupply.com/cdn/shop/products/icm1503.jpg?v=1633031113")</f>
        <v>#NAME?</v>
      </c>
      <c r="H1821" t="e">
        <f ca="1">_xludf.IMAGE("https://m.media-amazon.com/images/I/71fTDWeYzZL._AC_UY218_.jpg")</f>
        <v>#NAME?</v>
      </c>
      <c r="I1821" t="s">
        <v>4968</v>
      </c>
      <c r="J1821">
        <v>72.92</v>
      </c>
      <c r="K1821" s="4">
        <v>-5.2900000000000003E-2</v>
      </c>
      <c r="L1821">
        <v>4.4000000000000004</v>
      </c>
      <c r="M1821">
        <v>86</v>
      </c>
      <c r="O1821" t="s">
        <v>25</v>
      </c>
      <c r="P1821" t="s">
        <v>2907</v>
      </c>
      <c r="Q1821" t="s">
        <v>4969</v>
      </c>
    </row>
    <row r="1822" spans="1:17" ht="15.5" x14ac:dyDescent="0.35">
      <c r="A1822" s="3" t="str">
        <f>HYPERLINK("https://edmondsonsupply.com/collections/hvac/products/icm-controls-icm1501-intermittent-ignition-oil-burner-primary-control-15-second-safety-timing", "https://edmondsonsupply.com/collections/hvac/products/icm-controls-icm1501-intermittent-ignition-oil-burner-primary-control-15-second-safety-timing")</f>
        <v>https://edmondsonsupply.com/collections/hvac/products/icm-controls-icm1501-intermittent-ignition-oil-burner-primary-control-15-second-safety-timing</v>
      </c>
      <c r="B1822" s="3" t="str">
        <f>HYPERLINK("https://edmondsonsupply.com/products/icm-controls-icm1501-intermittent-ignition-oil-burner-primary-control-15-second-safety-timing", "https://edmondsonsupply.com/products/icm-controls-icm1501-intermittent-ignition-oil-burner-primary-control-15-second-safety-timing")</f>
        <v>https://edmondsonsupply.com/products/icm-controls-icm1501-intermittent-ignition-oil-burner-primary-control-15-second-safety-timing</v>
      </c>
      <c r="C1822" t="s">
        <v>4970</v>
      </c>
      <c r="D1822" t="s">
        <v>4966</v>
      </c>
      <c r="E1822" s="3" t="str">
        <f>HYPERLINK("https://www.amazon.com/ICM-Controls-ICM1501-Intermittent-Replacement/dp/B000U7SQ36/ref=sr_1_1?keywords=ICM+Controls+ICM1501+Intermittent+Ignition+Oil+Burner+Primary+Control%2C+15-Second+Safety+Timing&amp;qid=1695173542&amp;sr=8-1", "https://www.amazon.com/ICM-Controls-ICM1501-Intermittent-Replacement/dp/B000U7SQ36/ref=sr_1_1?keywords=ICM+Controls+ICM1501+Intermittent+Ignition+Oil+Burner+Primary+Control%2C+15-Second+Safety+Timing&amp;qid=1695173542&amp;sr=8-1")</f>
        <v>https://www.amazon.com/ICM-Controls-ICM1501-Intermittent-Replacement/dp/B000U7SQ36/ref=sr_1_1?keywords=ICM+Controls+ICM1501+Intermittent+Ignition+Oil+Burner+Primary+Control%2C+15-Second+Safety+Timing&amp;qid=1695173542&amp;sr=8-1</v>
      </c>
      <c r="F1822" t="s">
        <v>4967</v>
      </c>
      <c r="G1822" t="e">
        <f ca="1">_xludf.IMAGE("https://edmondsonsupply.com/cdn/shop/products/icm1501.jpg?v=1633030564")</f>
        <v>#NAME?</v>
      </c>
      <c r="H1822" t="e">
        <f ca="1">_xludf.IMAGE("https://m.media-amazon.com/images/I/71fTDWeYzZL._AC_UY218_.jpg")</f>
        <v>#NAME?</v>
      </c>
      <c r="I1822" t="s">
        <v>4968</v>
      </c>
      <c r="J1822">
        <v>72.92</v>
      </c>
      <c r="K1822" s="4">
        <v>-5.2900000000000003E-2</v>
      </c>
      <c r="L1822">
        <v>4.4000000000000004</v>
      </c>
      <c r="M1822">
        <v>86</v>
      </c>
      <c r="O1822" t="s">
        <v>25</v>
      </c>
      <c r="P1822" t="s">
        <v>4971</v>
      </c>
      <c r="Q1822" t="s">
        <v>4972</v>
      </c>
    </row>
    <row r="1823" spans="1:17" ht="15.5" x14ac:dyDescent="0.35">
      <c r="A1823" s="3" t="str">
        <f>HYPERLINK("https://edmondsonsupply.com/collections/hvac/products/icm-controls-icm325a-low-ambient-head-pressure-control", "https://edmondsonsupply.com/collections/hvac/products/icm-controls-icm325a-low-ambient-head-pressure-control")</f>
        <v>https://edmondsonsupply.com/collections/hvac/products/icm-controls-icm325a-low-ambient-head-pressure-control</v>
      </c>
      <c r="B1823" s="3" t="str">
        <f>HYPERLINK("https://edmondsonsupply.com/products/icm-controls-icm325a-low-ambient-head-pressure-control", "https://edmondsonsupply.com/products/icm-controls-icm325a-low-ambient-head-pressure-control")</f>
        <v>https://edmondsonsupply.com/products/icm-controls-icm325a-low-ambient-head-pressure-control</v>
      </c>
      <c r="C1823" t="s">
        <v>3255</v>
      </c>
      <c r="D1823" t="s">
        <v>4973</v>
      </c>
      <c r="E1823" s="3" t="str">
        <f>HYPERLINK("https://www.amazon.com/ICM-Controls-ICM325H-Head-Pressure/dp/B008HOTESA/ref=sr_1_6?keywords=ICM+Controls+ICM325A+Low+Ambient+Head+Pressure+Control&amp;qid=1695173588&amp;sr=8-6", "https://www.amazon.com/ICM-Controls-ICM325H-Head-Pressure/dp/B008HOTESA/ref=sr_1_6?keywords=ICM+Controls+ICM325A+Low+Ambient+Head+Pressure+Control&amp;qid=1695173588&amp;sr=8-6")</f>
        <v>https://www.amazon.com/ICM-Controls-ICM325H-Head-Pressure/dp/B008HOTESA/ref=sr_1_6?keywords=ICM+Controls+ICM325A+Low+Ambient+Head+Pressure+Control&amp;qid=1695173588&amp;sr=8-6</v>
      </c>
      <c r="F1823" t="s">
        <v>4974</v>
      </c>
      <c r="G1823" t="e">
        <f ca="1">_xludf.IMAGE("https://edmondsonsupply.com/cdn/shop/files/icm325.png?v=1684274593")</f>
        <v>#NAME?</v>
      </c>
      <c r="H1823" t="e">
        <f ca="1">_xludf.IMAGE("https://m.media-amazon.com/images/I/51+SV3SY6mL._AC_UL320_.jpg")</f>
        <v>#NAME?</v>
      </c>
      <c r="I1823" t="s">
        <v>3258</v>
      </c>
      <c r="J1823">
        <v>144.99</v>
      </c>
      <c r="K1823" s="4">
        <v>-5.3499999999999999E-2</v>
      </c>
      <c r="L1823">
        <v>5</v>
      </c>
      <c r="M1823">
        <v>1</v>
      </c>
      <c r="O1823" t="s">
        <v>25</v>
      </c>
      <c r="P1823" t="s">
        <v>138</v>
      </c>
      <c r="Q1823" t="s">
        <v>3259</v>
      </c>
    </row>
    <row r="1824" spans="1:17" ht="15.5" x14ac:dyDescent="0.35">
      <c r="A1824" s="3" t="str">
        <f>HYPERLINK("https://edmondsonsupply.com/collections/hvac/products/icm-controls-icm288-furnace-control-board-replacement-for-rheem-62-24084-82", "https://edmondsonsupply.com/collections/hvac/products/icm-controls-icm288-furnace-control-board-replacement-for-rheem-62-24084-82")</f>
        <v>https://edmondsonsupply.com/collections/hvac/products/icm-controls-icm288-furnace-control-board-replacement-for-rheem-62-24084-82</v>
      </c>
      <c r="B1824" s="3" t="str">
        <f>HYPERLINK("https://edmondsonsupply.com/products/icm-controls-icm288-furnace-control-board-replacement-for-rheem-62-24084-82", "https://edmondsonsupply.com/products/icm-controls-icm288-furnace-control-board-replacement-for-rheem-62-24084-82")</f>
        <v>https://edmondsonsupply.com/products/icm-controls-icm288-furnace-control-board-replacement-for-rheem-62-24084-82</v>
      </c>
      <c r="C1824" t="s">
        <v>4975</v>
      </c>
      <c r="D1824" t="s">
        <v>4976</v>
      </c>
      <c r="E1824" s="3" t="str">
        <f>HYPERLINK("https://www.amazon.com/ICM-Controls-ICM288-Replacement-62-24084-82/dp/B00E3EM40S/ref=sr_1_1?keywords=ICM+Controls+ICM288+Furnace+Control+Board+-+Replacement+for+Rheem+62-24084-82&amp;qid=1695173450&amp;sr=8-1", "https://www.amazon.com/ICM-Controls-ICM288-Replacement-62-24084-82/dp/B00E3EM40S/ref=sr_1_1?keywords=ICM+Controls+ICM288+Furnace+Control+Board+-+Replacement+for+Rheem+62-24084-82&amp;qid=1695173450&amp;sr=8-1")</f>
        <v>https://www.amazon.com/ICM-Controls-ICM288-Replacement-62-24084-82/dp/B00E3EM40S/ref=sr_1_1?keywords=ICM+Controls+ICM288+Furnace+Control+Board+-+Replacement+for+Rheem+62-24084-82&amp;qid=1695173450&amp;sr=8-1</v>
      </c>
      <c r="F1824" t="s">
        <v>4977</v>
      </c>
      <c r="G1824" t="e">
        <f ca="1">_xludf.IMAGE("https://edmondsonsupply.com/cdn/shop/products/icm288.jpg?v=1633030523")</f>
        <v>#NAME?</v>
      </c>
      <c r="H1824" t="e">
        <f ca="1">_xludf.IMAGE("https://m.media-amazon.com/images/I/71eQ9kPuhAL._AC_UL320_.jpg")</f>
        <v>#NAME?</v>
      </c>
      <c r="I1824" t="s">
        <v>4360</v>
      </c>
      <c r="J1824">
        <v>135.18</v>
      </c>
      <c r="K1824" s="4">
        <v>-5.4600000000000003E-2</v>
      </c>
      <c r="L1824">
        <v>4.4000000000000004</v>
      </c>
      <c r="M1824">
        <v>216</v>
      </c>
      <c r="O1824" t="s">
        <v>25</v>
      </c>
      <c r="P1824" t="s">
        <v>4978</v>
      </c>
      <c r="Q1824" t="s">
        <v>4979</v>
      </c>
    </row>
    <row r="1825" spans="1:17" ht="15.5" x14ac:dyDescent="0.35">
      <c r="A1825" s="3" t="str">
        <f>HYPERLINK("https://edmondsonsupply.com/collections/hvac/products/5-2-1-compressor-saver-csru2", "https://edmondsonsupply.com/collections/hvac/products/5-2-1-compressor-saver-csru2")</f>
        <v>https://edmondsonsupply.com/collections/hvac/products/5-2-1-compressor-saver-csru2</v>
      </c>
      <c r="B1825" s="3" t="str">
        <f>HYPERLINK("https://edmondsonsupply.com/products/5-2-1-compressor-saver-csru2", "https://edmondsonsupply.com/products/5-2-1-compressor-saver-csru2")</f>
        <v>https://edmondsonsupply.com/products/5-2-1-compressor-saver-csru2</v>
      </c>
      <c r="C1825" t="s">
        <v>3959</v>
      </c>
      <c r="D1825" t="s">
        <v>3980</v>
      </c>
      <c r="E1825" s="3" t="str">
        <f>HYPERLINK("https://www.amazon.com/Upgraded-Durable-CSR-U2-Compressor-Capacitor/dp/B097947PG6/ref=sr_1_6?keywords=5-2-1+CSRU2+Compressor+Saver%2C+3-1%2F2+to+5+Tons&amp;qid=1695173684&amp;sr=8-6", "https://www.amazon.com/Upgraded-Durable-CSR-U2-Compressor-Capacitor/dp/B097947PG6/ref=sr_1_6?keywords=5-2-1+CSRU2+Compressor+Saver%2C+3-1%2F2+to+5+Tons&amp;qid=1695173684&amp;sr=8-6")</f>
        <v>https://www.amazon.com/Upgraded-Durable-CSR-U2-Compressor-Capacitor/dp/B097947PG6/ref=sr_1_6?keywords=5-2-1+CSRU2+Compressor+Saver%2C+3-1%2F2+to+5+Tons&amp;qid=1695173684&amp;sr=8-6</v>
      </c>
      <c r="F1825" t="s">
        <v>3981</v>
      </c>
      <c r="G1825" t="e">
        <f ca="1">_xludf.IMAGE("https://edmondsonsupply.com/cdn/shop/products/CSRU2.jpg?v=1633030087")</f>
        <v>#NAME?</v>
      </c>
      <c r="H1825" t="e">
        <f ca="1">_xludf.IMAGE("https://m.media-amazon.com/images/I/81D4yuVmb4S._AC_UL320_.jpg")</f>
        <v>#NAME?</v>
      </c>
      <c r="I1825" t="s">
        <v>3960</v>
      </c>
      <c r="J1825">
        <v>39.869999999999997</v>
      </c>
      <c r="K1825" s="4">
        <v>-5.6099999999999997E-2</v>
      </c>
      <c r="L1825">
        <v>4.2</v>
      </c>
      <c r="M1825">
        <v>35</v>
      </c>
      <c r="O1825" t="s">
        <v>25</v>
      </c>
      <c r="P1825" t="s">
        <v>3961</v>
      </c>
      <c r="Q1825" t="s">
        <v>3962</v>
      </c>
    </row>
    <row r="1826" spans="1:17" ht="15.5" x14ac:dyDescent="0.35">
      <c r="A1826" s="3" t="str">
        <f>HYPERLINK("https://edmondsonsupply.com/collections/hvac/products/midwest-mwt-6716b-bulldog-aviation-snip", "https://edmondsonsupply.com/collections/hvac/products/midwest-mwt-6716b-bulldog-aviation-snip")</f>
        <v>https://edmondsonsupply.com/collections/hvac/products/midwest-mwt-6716b-bulldog-aviation-snip</v>
      </c>
      <c r="B1826" s="3" t="str">
        <f>HYPERLINK("https://edmondsonsupply.com/products/midwest-mwt-6716b-bulldog-aviation-snip", "https://edmondsonsupply.com/products/midwest-mwt-6716b-bulldog-aviation-snip")</f>
        <v>https://edmondsonsupply.com/products/midwest-mwt-6716b-bulldog-aviation-snip</v>
      </c>
      <c r="C1826" t="s">
        <v>1719</v>
      </c>
      <c r="D1826" t="s">
        <v>4980</v>
      </c>
      <c r="E1826" s="3" t="str">
        <f>HYPERLINK("https://www.amazon.com/MIDWEST-Bulldog-Aviation-Tin-Snip/dp/B00OCGQJIA/ref=sr_1_1?keywords=Midwest+MWT-6716B+Bulldog+Aviation+Snip&amp;qid=1695173478&amp;sr=8-1", "https://www.amazon.com/MIDWEST-Bulldog-Aviation-Tin-Snip/dp/B00OCGQJIA/ref=sr_1_1?keywords=Midwest+MWT-6716B+Bulldog+Aviation+Snip&amp;qid=1695173478&amp;sr=8-1")</f>
        <v>https://www.amazon.com/MIDWEST-Bulldog-Aviation-Tin-Snip/dp/B00OCGQJIA/ref=sr_1_1?keywords=Midwest+MWT-6716B+Bulldog+Aviation+Snip&amp;qid=1695173478&amp;sr=8-1</v>
      </c>
      <c r="F1826" t="s">
        <v>4981</v>
      </c>
      <c r="G1826" t="e">
        <f ca="1">_xludf.IMAGE("https://edmondsonsupply.com/cdn/shop/products/mwt-6716b.png?v=1587151187")</f>
        <v>#NAME?</v>
      </c>
      <c r="H1826" t="e">
        <f ca="1">_xludf.IMAGE("https://m.media-amazon.com/images/I/619mQ19odyL._AC_UL320_.jpg")</f>
        <v>#NAME?</v>
      </c>
      <c r="I1826" t="s">
        <v>1722</v>
      </c>
      <c r="J1826">
        <v>19.98</v>
      </c>
      <c r="K1826" s="4">
        <v>-5.7500000000000002E-2</v>
      </c>
      <c r="L1826">
        <v>4.7</v>
      </c>
      <c r="M1826">
        <v>1627</v>
      </c>
      <c r="O1826" t="s">
        <v>25</v>
      </c>
      <c r="P1826" t="s">
        <v>1723</v>
      </c>
      <c r="Q1826" t="s">
        <v>1724</v>
      </c>
    </row>
    <row r="1827" spans="1:17" ht="15.5" x14ac:dyDescent="0.35">
      <c r="A1827" s="3" t="str">
        <f>HYPERLINK("https://edmondsonsupply.com/collections/hvac/products/klein-tools-dk06-serrated-duct-knife", "https://edmondsonsupply.com/collections/hvac/products/klein-tools-dk06-serrated-duct-knife")</f>
        <v>https://edmondsonsupply.com/collections/hvac/products/klein-tools-dk06-serrated-duct-knife</v>
      </c>
      <c r="B1827" s="3" t="str">
        <f>HYPERLINK("https://edmondsonsupply.com/products/klein-tools-dk06-serrated-duct-knife", "https://edmondsonsupply.com/products/klein-tools-dk06-serrated-duct-knife")</f>
        <v>https://edmondsonsupply.com/products/klein-tools-dk06-serrated-duct-knife</v>
      </c>
      <c r="C1827" t="s">
        <v>4982</v>
      </c>
      <c r="D1827" t="s">
        <v>4983</v>
      </c>
      <c r="E1827" s="3" t="str">
        <f>HYPERLINK("https://www.amazon.com/Serrated-Stainless-Klein-Tools-DK06/dp/B003OA69W6/ref=sr_1_1?keywords=Klein+Tools+DK06+Serrated+Duct+Knife&amp;qid=1695173675&amp;sr=8-1", "https://www.amazon.com/Serrated-Stainless-Klein-Tools-DK06/dp/B003OA69W6/ref=sr_1_1?keywords=Klein+Tools+DK06+Serrated+Duct+Knife&amp;qid=1695173675&amp;sr=8-1")</f>
        <v>https://www.amazon.com/Serrated-Stainless-Klein-Tools-DK06/dp/B003OA69W6/ref=sr_1_1?keywords=Klein+Tools+DK06+Serrated+Duct+Knife&amp;qid=1695173675&amp;sr=8-1</v>
      </c>
      <c r="F1827" t="s">
        <v>4984</v>
      </c>
      <c r="G1827" t="e">
        <f ca="1">_xludf.IMAGE("https://edmondsonsupply.com/cdn/shop/products/dk06.jpg?v=1587142919")</f>
        <v>#NAME?</v>
      </c>
      <c r="H1827" t="e">
        <f ca="1">_xludf.IMAGE("https://m.media-amazon.com/images/I/41ibpakkw-L._AC_UL320_.jpg")</f>
        <v>#NAME?</v>
      </c>
      <c r="I1827" t="s">
        <v>4985</v>
      </c>
      <c r="J1827">
        <v>15.97</v>
      </c>
      <c r="K1827" s="4">
        <v>-5.8900000000000001E-2</v>
      </c>
      <c r="L1827">
        <v>4.7</v>
      </c>
      <c r="M1827">
        <v>1518</v>
      </c>
      <c r="O1827" t="s">
        <v>25</v>
      </c>
      <c r="P1827" t="s">
        <v>4986</v>
      </c>
      <c r="Q1827" t="s">
        <v>4987</v>
      </c>
    </row>
    <row r="1828" spans="1:17" ht="15.5" x14ac:dyDescent="0.35">
      <c r="A1828" s="3" t="str">
        <f>HYPERLINK("https://edmondsonsupply.com/collections/hvac/products/channellock-428", "https://edmondsonsupply.com/collections/hvac/products/channellock-428")</f>
        <v>https://edmondsonsupply.com/collections/hvac/products/channellock-428</v>
      </c>
      <c r="B1828" s="3" t="str">
        <f>HYPERLINK("https://edmondsonsupply.com/products/channellock-428", "https://edmondsonsupply.com/products/channellock-428")</f>
        <v>https://edmondsonsupply.com/products/channellock-428</v>
      </c>
      <c r="C1828" t="s">
        <v>1791</v>
      </c>
      <c r="D1828" t="s">
        <v>4988</v>
      </c>
      <c r="E1828" s="3" t="str">
        <f>HYPERLINK("https://www.amazon.com/Channellock-426-8-Inch-Capacity-2-Inch/dp/B00004SBCS/ref=sr_1_3?keywords=Channellock+428+8-Inch+Straight+Jaw+Tongue+%26+Groove+Pliers&amp;qid=1695173687&amp;sr=8-3", "https://www.amazon.com/Channellock-426-8-Inch-Capacity-2-Inch/dp/B00004SBCS/ref=sr_1_3?keywords=Channellock+428+8-Inch+Straight+Jaw+Tongue+%26+Groove+Pliers&amp;qid=1695173687&amp;sr=8-3")</f>
        <v>https://www.amazon.com/Channellock-426-8-Inch-Capacity-2-Inch/dp/B00004SBCS/ref=sr_1_3?keywords=Channellock+428+8-Inch+Straight+Jaw+Tongue+%26+Groove+Pliers&amp;qid=1695173687&amp;sr=8-3</v>
      </c>
      <c r="F1828" t="s">
        <v>4989</v>
      </c>
      <c r="G1828" t="e">
        <f ca="1">_xludf.IMAGE("https://edmondsonsupply.com/cdn/shop/products/428-683x1024.jpg?v=1587145854")</f>
        <v>#NAME?</v>
      </c>
      <c r="H1828" t="e">
        <f ca="1">_xludf.IMAGE("https://m.media-amazon.com/images/I/713NYKlIyoL._AC_UL320_.jpg")</f>
        <v>#NAME?</v>
      </c>
      <c r="I1828" t="s">
        <v>1554</v>
      </c>
      <c r="J1828">
        <v>15.95</v>
      </c>
      <c r="K1828" s="4">
        <v>-5.8999999999999997E-2</v>
      </c>
      <c r="L1828">
        <v>4.7</v>
      </c>
      <c r="M1828">
        <v>1999</v>
      </c>
      <c r="O1828" t="s">
        <v>25</v>
      </c>
      <c r="P1828" t="s">
        <v>1794</v>
      </c>
      <c r="Q1828" t="s">
        <v>1795</v>
      </c>
    </row>
    <row r="1829" spans="1:17" ht="15.5" x14ac:dyDescent="0.35">
      <c r="A1829" s="3" t="str">
        <f>HYPERLINK("https://edmondsonsupply.com/collections/hvac/products/channellock-428", "https://edmondsonsupply.com/collections/hvac/products/channellock-428")</f>
        <v>https://edmondsonsupply.com/collections/hvac/products/channellock-428</v>
      </c>
      <c r="B1829" s="3" t="str">
        <f>HYPERLINK("https://edmondsonsupply.com/products/channellock-428", "https://edmondsonsupply.com/products/channellock-428")</f>
        <v>https://edmondsonsupply.com/products/channellock-428</v>
      </c>
      <c r="C1829" t="s">
        <v>1791</v>
      </c>
      <c r="D1829" t="s">
        <v>4990</v>
      </c>
      <c r="E1829" s="3" t="str">
        <f>HYPERLINK("https://www.amazon.com/CHANNELLOCK-424-Adjustments-High-Carbon-Directions/dp/B00004SBCR/ref=sr_1_4?keywords=Channellock+428+8-Inch+Straight+Jaw+Tongue+%26+Groove+Pliers&amp;qid=1695173687&amp;sr=8-4", "https://www.amazon.com/CHANNELLOCK-424-Adjustments-High-Carbon-Directions/dp/B00004SBCR/ref=sr_1_4?keywords=Channellock+428+8-Inch+Straight+Jaw+Tongue+%26+Groove+Pliers&amp;qid=1695173687&amp;sr=8-4")</f>
        <v>https://www.amazon.com/CHANNELLOCK-424-Adjustments-High-Carbon-Directions/dp/B00004SBCR/ref=sr_1_4?keywords=Channellock+428+8-Inch+Straight+Jaw+Tongue+%26+Groove+Pliers&amp;qid=1695173687&amp;sr=8-4</v>
      </c>
      <c r="F1829" t="s">
        <v>4991</v>
      </c>
      <c r="G1829" t="e">
        <f ca="1">_xludf.IMAGE("https://edmondsonsupply.com/cdn/shop/products/428-683x1024.jpg?v=1587145854")</f>
        <v>#NAME?</v>
      </c>
      <c r="H1829" t="e">
        <f ca="1">_xludf.IMAGE("https://m.media-amazon.com/images/I/71txViLKvZL._AC_UL320_.jpg")</f>
        <v>#NAME?</v>
      </c>
      <c r="I1829" t="s">
        <v>1554</v>
      </c>
      <c r="J1829">
        <v>15.95</v>
      </c>
      <c r="K1829" s="4">
        <v>-5.8999999999999997E-2</v>
      </c>
      <c r="L1829">
        <v>4.7</v>
      </c>
      <c r="M1829">
        <v>1649</v>
      </c>
      <c r="O1829" t="s">
        <v>25</v>
      </c>
      <c r="P1829" t="s">
        <v>1794</v>
      </c>
      <c r="Q1829" t="s">
        <v>1795</v>
      </c>
    </row>
    <row r="1830" spans="1:17" ht="15.5" x14ac:dyDescent="0.35">
      <c r="A1830" s="3" t="str">
        <f>HYPERLINK("https://edmondsonsupply.com/collections/hvac/products/milwaukee-2951-20-m12%E2%84%A2-radio-charger", "https://edmondsonsupply.com/collections/hvac/products/milwaukee-2951-20-m12%E2%84%A2-radio-charger")</f>
        <v>https://edmondsonsupply.com/collections/hvac/products/milwaukee-2951-20-m12%E2%84%A2-radio-charger</v>
      </c>
      <c r="B1830" s="3" t="str">
        <f>HYPERLINK("https://edmondsonsupply.com/products/milwaukee-2951-20-m12%e2%84%a2-radio-charger", "https://edmondsonsupply.com/products/milwaukee-2951-20-m12%e2%84%a2-radio-charger")</f>
        <v>https://edmondsonsupply.com/products/milwaukee-2951-20-m12%e2%84%a2-radio-charger</v>
      </c>
      <c r="C1830" t="s">
        <v>4992</v>
      </c>
      <c r="D1830" t="s">
        <v>4993</v>
      </c>
      <c r="E1830" s="3" t="str">
        <f>HYPERLINK("https://www.amazon.com/Milwaukee-2951-20-Lithium-Ion-Cordless-Bluetooth/dp/B08CL27W51/ref=sr_1_1?keywords=Milwaukee+2951-20+M12%E2%84%A2+Radio+%2B+Charger&amp;qid=1695173644&amp;sr=8-1", "https://www.amazon.com/Milwaukee-2951-20-Lithium-Ion-Cordless-Bluetooth/dp/B08CL27W51/ref=sr_1_1?keywords=Milwaukee+2951-20+M12%E2%84%A2+Radio+%2B+Charger&amp;qid=1695173644&amp;sr=8-1")</f>
        <v>https://www.amazon.com/Milwaukee-2951-20-Lithium-Ion-Cordless-Bluetooth/dp/B08CL27W51/ref=sr_1_1?keywords=Milwaukee+2951-20+M12%E2%84%A2+Radio+%2B+Charger&amp;qid=1695173644&amp;sr=8-1</v>
      </c>
      <c r="F1830" t="s">
        <v>4994</v>
      </c>
      <c r="G1830" t="e">
        <f ca="1">_xludf.IMAGE("https://edmondsonsupply.com/cdn/shop/products/images_2.png?v=1633030610")</f>
        <v>#NAME?</v>
      </c>
      <c r="H1830" t="e">
        <f ca="1">_xludf.IMAGE("https://m.media-amazon.com/images/I/61OrN0BXn+L._AC_UY218_.jpg")</f>
        <v>#NAME?</v>
      </c>
      <c r="I1830" t="s">
        <v>692</v>
      </c>
      <c r="J1830">
        <v>139.82</v>
      </c>
      <c r="K1830" s="4">
        <v>-6.1600000000000002E-2</v>
      </c>
      <c r="L1830">
        <v>4.7</v>
      </c>
      <c r="M1830">
        <v>913</v>
      </c>
      <c r="O1830" t="s">
        <v>25</v>
      </c>
      <c r="P1830" t="s">
        <v>710</v>
      </c>
      <c r="Q1830" t="s">
        <v>4995</v>
      </c>
    </row>
    <row r="1831" spans="1:17" ht="15.5" x14ac:dyDescent="0.35">
      <c r="A1831" s="3" t="str">
        <f>HYPERLINK("https://edmondsonsupply.com/collections/hvac/products/ritchie-yellow-jacket%C2%AE-69020-omni%E2%84%A2-digital-vacuum-gauge", "https://edmondsonsupply.com/collections/hvac/products/ritchie-yellow-jacket%C2%AE-69020-omni%E2%84%A2-digital-vacuum-gauge")</f>
        <v>https://edmondsonsupply.com/collections/hvac/products/ritchie-yellow-jacket%C2%AE-69020-omni%E2%84%A2-digital-vacuum-gauge</v>
      </c>
      <c r="B1831" s="3" t="str">
        <f>HYPERLINK("https://edmondsonsupply.com/products/ritchie-yellow-jacket%c2%ae-69020-omni%e2%84%a2-digital-vacuum-gauge", "https://edmondsonsupply.com/products/ritchie-yellow-jacket%c2%ae-69020-omni%e2%84%a2-digital-vacuum-gauge")</f>
        <v>https://edmondsonsupply.com/products/ritchie-yellow-jacket%c2%ae-69020-omni%e2%84%a2-digital-vacuum-gauge</v>
      </c>
      <c r="C1831" t="s">
        <v>4996</v>
      </c>
      <c r="D1831" t="s">
        <v>4997</v>
      </c>
      <c r="E1831" s="3" t="str">
        <f>HYPERLINK("https://www.amazon.com/YELLOW-JACKET-69020-Digital-Coupler/dp/B071X9DG33/ref=sr_1_1?keywords=Yellow+Jacket%C2%AE+69020+Omni%E2%84%A2+Digital+Vacuum+Gauge&amp;qid=1695173693&amp;sr=8-1", "https://www.amazon.com/YELLOW-JACKET-69020-Digital-Coupler/dp/B071X9DG33/ref=sr_1_1?keywords=Yellow+Jacket%C2%AE+69020+Omni%E2%84%A2+Digital+Vacuum+Gauge&amp;qid=1695173693&amp;sr=8-1")</f>
        <v>https://www.amazon.com/YELLOW-JACKET-69020-Digital-Coupler/dp/B071X9DG33/ref=sr_1_1?keywords=Yellow+Jacket%C2%AE+69020+Omni%E2%84%A2+Digital+Vacuum+Gauge&amp;qid=1695173693&amp;sr=8-1</v>
      </c>
      <c r="F1831" t="s">
        <v>4998</v>
      </c>
      <c r="G1831" t="e">
        <f ca="1">_xludf.IMAGE("https://edmondsonsupply.com/cdn/shop/products/s-l1600_f7bcf09b-7a9e-4347-bb97-7b5bae87ef1c.jpg?v=1605306126")</f>
        <v>#NAME?</v>
      </c>
      <c r="H1831" t="e">
        <f ca="1">_xludf.IMAGE("https://m.media-amazon.com/images/I/61LD0nbVGuL._AC_UY218_.jpg")</f>
        <v>#NAME?</v>
      </c>
      <c r="I1831" t="s">
        <v>4999</v>
      </c>
      <c r="J1831">
        <v>190.73</v>
      </c>
      <c r="K1831" s="4">
        <v>-6.1899999999999997E-2</v>
      </c>
      <c r="L1831">
        <v>3.8</v>
      </c>
      <c r="M1831">
        <v>263</v>
      </c>
      <c r="O1831" t="s">
        <v>25</v>
      </c>
      <c r="P1831" t="s">
        <v>138</v>
      </c>
      <c r="Q1831" t="s">
        <v>5000</v>
      </c>
    </row>
    <row r="1832" spans="1:17" ht="15.5" x14ac:dyDescent="0.35">
      <c r="A1832" s="3" t="str">
        <f>HYPERLINK("https://edmondsonsupply.com/collections/hvac/products/klein-tools-32527-11-in-1-screwdriver-nut-driver-with-schrader%C2%AE-bit", "https://edmondsonsupply.com/collections/hvac/products/klein-tools-32527-11-in-1-screwdriver-nut-driver-with-schrader%C2%AE-bit")</f>
        <v>https://edmondsonsupply.com/collections/hvac/products/klein-tools-32527-11-in-1-screwdriver-nut-driver-with-schrader%C2%AE-bit</v>
      </c>
      <c r="B1832" s="3" t="str">
        <f>HYPERLINK("https://edmondsonsupply.com/products/klein-tools-32527-11-in-1-screwdriver-nut-driver-with-schrader%c2%ae-bit", "https://edmondsonsupply.com/products/klein-tools-32527-11-in-1-screwdriver-nut-driver-with-schrader%c2%ae-bit")</f>
        <v>https://edmondsonsupply.com/products/klein-tools-32527-11-in-1-screwdriver-nut-driver-with-schrader%c2%ae-bit</v>
      </c>
      <c r="C1832" t="s">
        <v>4714</v>
      </c>
      <c r="D1832" t="s">
        <v>3976</v>
      </c>
      <c r="E1832" s="3" t="str">
        <f>HYPERLINK("https://www.amazon.com/Klein-Tools-32557-Multi-Bit-Screwdriver/dp/B005FQDH9A/ref=sr_1_2?keywords=Klein+Tools+32527+Multi-Bit+Screwdriver+%2F+Nut+Driver%2C+11-in-1%2C+Ph%2C+Sl%2C+Sq%2C+Schrader+Bits&amp;qid=1695173633&amp;sr=8-2", "https://www.amazon.com/Klein-Tools-32557-Multi-Bit-Screwdriver/dp/B005FQDH9A/ref=sr_1_2?keywords=Klein+Tools+32527+Multi-Bit+Screwdriver+%2F+Nut+Driver%2C+11-in-1%2C+Ph%2C+Sl%2C+Sq%2C+Schrader+Bits&amp;qid=1695173633&amp;sr=8-2")</f>
        <v>https://www.amazon.com/Klein-Tools-32557-Multi-Bit-Screwdriver/dp/B005FQDH9A/ref=sr_1_2?keywords=Klein+Tools+32527+Multi-Bit+Screwdriver+%2F+Nut+Driver%2C+11-in-1%2C+Ph%2C+Sl%2C+Sq%2C+Schrader+Bits&amp;qid=1695173633&amp;sr=8-2</v>
      </c>
      <c r="F1832" t="s">
        <v>3977</v>
      </c>
      <c r="G1832" t="e">
        <f ca="1">_xludf.IMAGE("https://edmondsonsupply.com/cdn/shop/products/32527.jpg?v=1587146830")</f>
        <v>#NAME?</v>
      </c>
      <c r="H1832" t="e">
        <f ca="1">_xludf.IMAGE("https://m.media-amazon.com/images/I/41vMDiO0rOL._AC_UL320_.jpg")</f>
        <v>#NAME?</v>
      </c>
      <c r="I1832" t="s">
        <v>143</v>
      </c>
      <c r="J1832">
        <v>14.98</v>
      </c>
      <c r="K1832" s="4">
        <v>-6.2E-2</v>
      </c>
      <c r="L1832">
        <v>4.8</v>
      </c>
      <c r="M1832">
        <v>921</v>
      </c>
      <c r="O1832" t="s">
        <v>25</v>
      </c>
      <c r="P1832" t="s">
        <v>4717</v>
      </c>
      <c r="Q1832" t="s">
        <v>4718</v>
      </c>
    </row>
    <row r="1833" spans="1:17" ht="15.5" x14ac:dyDescent="0.35">
      <c r="A1833" s="3" t="str">
        <f>HYPERLINK("https://edmondsonsupply.com/collections/hvac/products/klein-tools-32314-14-in-1-precision-screwdriver-nut-driver", "https://edmondsonsupply.com/collections/hvac/products/klein-tools-32314-14-in-1-precision-screwdriver-nut-driver")</f>
        <v>https://edmondsonsupply.com/collections/hvac/products/klein-tools-32314-14-in-1-precision-screwdriver-nut-driver</v>
      </c>
      <c r="B1833" s="3" t="str">
        <f>HYPERLINK("https://edmondsonsupply.com/products/klein-tools-32314-14-in-1-precision-screwdriver-nut-driver", "https://edmondsonsupply.com/products/klein-tools-32314-14-in-1-precision-screwdriver-nut-driver")</f>
        <v>https://edmondsonsupply.com/products/klein-tools-32314-14-in-1-precision-screwdriver-nut-driver</v>
      </c>
      <c r="C1833" t="s">
        <v>1999</v>
      </c>
      <c r="D1833" t="s">
        <v>5001</v>
      </c>
      <c r="E1833" s="3" t="str">
        <f>HYPERLINK("https://www.amazon.com/Klein-Tools-32314-Screwdriver-Tamperproof/dp/B08J8GGQBL/ref=sr_1_1?keywords=Klein+Tools+32314+14-in-1+Precision+Screwdriver%2F+Nut+Driver&amp;qid=1695173510&amp;sr=8-1", "https://www.amazon.com/Klein-Tools-32314-Screwdriver-Tamperproof/dp/B08J8GGQBL/ref=sr_1_1?keywords=Klein+Tools+32314+14-in-1+Precision+Screwdriver%2F+Nut+Driver&amp;qid=1695173510&amp;sr=8-1")</f>
        <v>https://www.amazon.com/Klein-Tools-32314-Screwdriver-Tamperproof/dp/B08J8GGQBL/ref=sr_1_1?keywords=Klein+Tools+32314+14-in-1+Precision+Screwdriver%2F+Nut+Driver&amp;qid=1695173510&amp;sr=8-1</v>
      </c>
      <c r="F1833" t="s">
        <v>5002</v>
      </c>
      <c r="G1833" t="e">
        <f ca="1">_xludf.IMAGE("https://edmondsonsupply.com/cdn/shop/products/32314.jpg?v=1646593726")</f>
        <v>#NAME?</v>
      </c>
      <c r="H1833" t="e">
        <f ca="1">_xludf.IMAGE("https://m.media-amazon.com/images/I/51r5V2PttIL._AC_UL320_.jpg")</f>
        <v>#NAME?</v>
      </c>
      <c r="I1833" t="s">
        <v>143</v>
      </c>
      <c r="J1833">
        <v>14.97</v>
      </c>
      <c r="K1833" s="4">
        <v>-6.2600000000000003E-2</v>
      </c>
      <c r="L1833">
        <v>4.7</v>
      </c>
      <c r="M1833">
        <v>2894</v>
      </c>
      <c r="O1833" t="s">
        <v>25</v>
      </c>
      <c r="P1833" t="s">
        <v>2002</v>
      </c>
      <c r="Q1833" t="s">
        <v>2003</v>
      </c>
    </row>
    <row r="1834" spans="1:17" ht="15.5" x14ac:dyDescent="0.35">
      <c r="A1834" s="3" t="str">
        <f>HYPERLINK("https://edmondsonsupply.com/collections/hvac/products/klein-tools-et05-digital-pocket-thermometer", "https://edmondsonsupply.com/collections/hvac/products/klein-tools-et05-digital-pocket-thermometer")</f>
        <v>https://edmondsonsupply.com/collections/hvac/products/klein-tools-et05-digital-pocket-thermometer</v>
      </c>
      <c r="B1834" s="3" t="str">
        <f>HYPERLINK("https://edmondsonsupply.com/products/klein-tools-et05-digital-pocket-thermometer", "https://edmondsonsupply.com/products/klein-tools-et05-digital-pocket-thermometer")</f>
        <v>https://edmondsonsupply.com/products/klein-tools-et05-digital-pocket-thermometer</v>
      </c>
      <c r="C1834" t="s">
        <v>1859</v>
      </c>
      <c r="D1834" t="s">
        <v>1859</v>
      </c>
      <c r="E1834" s="3" t="str">
        <f>HYPERLINK("https://www.amazon.com/Digital-Thermometer-Klein-Tools-ET05/dp/B071JRZB49/ref=sr_1_1?keywords=Klein+Tools+ET05+Digital+Pocket+Thermometer&amp;qid=1695173684&amp;sr=8-1", "https://www.amazon.com/Digital-Thermometer-Klein-Tools-ET05/dp/B071JRZB49/ref=sr_1_1?keywords=Klein+Tools+ET05+Digital+Pocket+Thermometer&amp;qid=1695173684&amp;sr=8-1")</f>
        <v>https://www.amazon.com/Digital-Thermometer-Klein-Tools-ET05/dp/B071JRZB49/ref=sr_1_1?keywords=Klein+Tools+ET05+Digital+Pocket+Thermometer&amp;qid=1695173684&amp;sr=8-1</v>
      </c>
      <c r="F1834" t="s">
        <v>5003</v>
      </c>
      <c r="G1834" t="e">
        <f ca="1">_xludf.IMAGE("https://edmondsonsupply.com/cdn/shop/products/et05.jpg?v=1587144900")</f>
        <v>#NAME?</v>
      </c>
      <c r="H1834" t="e">
        <f ca="1">_xludf.IMAGE("https://m.media-amazon.com/images/I/613qwkGW38L._AC_UY218_.jpg")</f>
        <v>#NAME?</v>
      </c>
      <c r="I1834" t="s">
        <v>143</v>
      </c>
      <c r="J1834">
        <v>14.97</v>
      </c>
      <c r="K1834" s="4">
        <v>-6.2600000000000003E-2</v>
      </c>
      <c r="L1834">
        <v>4.5</v>
      </c>
      <c r="M1834">
        <v>2668</v>
      </c>
      <c r="O1834" t="s">
        <v>25</v>
      </c>
      <c r="P1834" t="s">
        <v>1862</v>
      </c>
      <c r="Q1834" t="s">
        <v>1863</v>
      </c>
    </row>
    <row r="1835" spans="1:17" ht="15.5" x14ac:dyDescent="0.35">
      <c r="A1835" s="3" t="str">
        <f>HYPERLINK("https://edmondsonsupply.com/collections/hvac/products/klein-tools-2138neeins-insulated-pliers-slim-handle-side-cutters-8-inch", "https://edmondsonsupply.com/collections/hvac/products/klein-tools-2138neeins-insulated-pliers-slim-handle-side-cutters-8-inch")</f>
        <v>https://edmondsonsupply.com/collections/hvac/products/klein-tools-2138neeins-insulated-pliers-slim-handle-side-cutters-8-inch</v>
      </c>
      <c r="B1835"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1835" t="s">
        <v>5004</v>
      </c>
      <c r="D1835" t="s">
        <v>5005</v>
      </c>
      <c r="E1835" s="3" t="str">
        <f>HYPERLINK("https://www.amazon.com/Klein-Tools-2139NEEINS-Cutting-Pliers/dp/B00JGG5RNE/ref=sr_1_1?keywords=Klein+Tools+2138NEEINS+Insulated+Pliers%2C+Slim+Handle+Side+Cutters%2C+8-Inch&amp;qid=1695173693&amp;sr=8-1", "https://www.amazon.com/Klein-Tools-2139NEEINS-Cutting-Pliers/dp/B00JGG5RNE/ref=sr_1_1?keywords=Klein+Tools+2138NEEINS+Insulated+Pliers%2C+Slim+Handle+Side+Cutters%2C+8-Inch&amp;qid=1695173693&amp;sr=8-1")</f>
        <v>https://www.amazon.com/Klein-Tools-2139NEEINS-Cutting-Pliers/dp/B00JGG5RNE/ref=sr_1_1?keywords=Klein+Tools+2138NEEINS+Insulated+Pliers%2C+Slim+Handle+Side+Cutters%2C+8-Inch&amp;qid=1695173693&amp;sr=8-1</v>
      </c>
      <c r="F1835" t="s">
        <v>5006</v>
      </c>
      <c r="G1835" t="e">
        <f ca="1">_xludf.IMAGE("https://edmondsonsupply.com/cdn/shop/files/2138neeins.jpg?v=1694611719")</f>
        <v>#NAME?</v>
      </c>
      <c r="H1835" t="e">
        <f ca="1">_xludf.IMAGE("https://m.media-amazon.com/images/I/51eEwVZhacL._AC_UL320_.jpg")</f>
        <v>#NAME?</v>
      </c>
      <c r="I1835" t="s">
        <v>588</v>
      </c>
      <c r="J1835">
        <v>65.599999999999994</v>
      </c>
      <c r="K1835" s="4">
        <v>-6.2700000000000006E-2</v>
      </c>
      <c r="L1835">
        <v>4.7</v>
      </c>
      <c r="M1835">
        <v>242</v>
      </c>
      <c r="O1835" t="s">
        <v>25</v>
      </c>
      <c r="P1835" t="s">
        <v>5007</v>
      </c>
      <c r="Q1835" t="s">
        <v>5008</v>
      </c>
    </row>
    <row r="1836" spans="1:17" ht="15.5" x14ac:dyDescent="0.35">
      <c r="A1836" s="3" t="str">
        <f>HYPERLINK("https://edmondsonsupply.com/collections/hvac/products/milwaukee-2566-22-m12-fuel%E2%84%A2-1-4-high-speed-ratchet-kit", "https://edmondsonsupply.com/collections/hvac/products/milwaukee-2566-22-m12-fuel%E2%84%A2-1-4-high-speed-ratchet-kit")</f>
        <v>https://edmondsonsupply.com/collections/hvac/products/milwaukee-2566-22-m12-fuel%E2%84%A2-1-4-high-speed-ratchet-kit</v>
      </c>
      <c r="B1836" s="3" t="str">
        <f>HYPERLINK("https://edmondsonsupply.com/products/milwaukee-2566-22-m12-fuel%e2%84%a2-1-4-high-speed-ratchet-kit", "https://edmondsonsupply.com/products/milwaukee-2566-22-m12-fuel%e2%84%a2-1-4-high-speed-ratchet-kit")</f>
        <v>https://edmondsonsupply.com/products/milwaukee-2566-22-m12-fuel%e2%84%a2-1-4-high-speed-ratchet-kit</v>
      </c>
      <c r="C1836" t="s">
        <v>5009</v>
      </c>
      <c r="D1836" t="s">
        <v>5010</v>
      </c>
      <c r="E1836" s="3" t="str">
        <f>HYPERLINK("https://www.amazon.com/Milwaukee-FUEL-Speed-Cordless-Ratchet/dp/B08XB2SBDY/ref=sr_1_1?keywords=Milwaukee+2566-22+M12+FUEL%E2%84%A2+1%2F4%22+High+Speed+Ratchet+Kit&amp;qid=1695173755&amp;sr=8-1", "https://www.amazon.com/Milwaukee-FUEL-Speed-Cordless-Ratchet/dp/B08XB2SBDY/ref=sr_1_1?keywords=Milwaukee+2566-22+M12+FUEL%E2%84%A2+1%2F4%22+High+Speed+Ratchet+Kit&amp;qid=1695173755&amp;sr=8-1")</f>
        <v>https://www.amazon.com/Milwaukee-FUEL-Speed-Cordless-Ratchet/dp/B08XB2SBDY/ref=sr_1_1?keywords=Milwaukee+2566-22+M12+FUEL%E2%84%A2+1%2F4%22+High+Speed+Ratchet+Kit&amp;qid=1695173755&amp;sr=8-1</v>
      </c>
      <c r="F1836" t="s">
        <v>5011</v>
      </c>
      <c r="G1836" t="e">
        <f ca="1">_xludf.IMAGE("https://edmondsonsupply.com/cdn/shop/files/2566-22_Kit.png?v=1686936758")</f>
        <v>#NAME?</v>
      </c>
      <c r="H1836" t="e">
        <f ca="1">_xludf.IMAGE("https://m.media-amazon.com/images/I/410-8q8NgpL._AC_UL320_.jpg")</f>
        <v>#NAME?</v>
      </c>
      <c r="I1836" t="s">
        <v>5012</v>
      </c>
      <c r="J1836">
        <v>279</v>
      </c>
      <c r="K1836" s="4">
        <v>-6.6900000000000001E-2</v>
      </c>
      <c r="L1836">
        <v>4.7</v>
      </c>
      <c r="M1836">
        <v>80</v>
      </c>
      <c r="O1836" t="s">
        <v>25</v>
      </c>
      <c r="P1836" t="s">
        <v>5013</v>
      </c>
      <c r="Q1836" t="s">
        <v>5014</v>
      </c>
    </row>
    <row r="1837" spans="1:17" ht="15.5" x14ac:dyDescent="0.35">
      <c r="A1837"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837" s="3" t="str">
        <f>HYPERLINK("https://edmondsonsupply.com/products/klein-tools-d2000-28glw-diagonal-cutting-pliers-hi-viz-8-inch", "https://edmondsonsupply.com/products/klein-tools-d2000-28glw-diagonal-cutting-pliers-hi-viz-8-inch")</f>
        <v>https://edmondsonsupply.com/products/klein-tools-d2000-28glw-diagonal-cutting-pliers-hi-viz-8-inch</v>
      </c>
      <c r="C1837" t="s">
        <v>4233</v>
      </c>
      <c r="D1837" t="s">
        <v>5015</v>
      </c>
      <c r="E1837" s="3" t="str">
        <f>HYPERLINK("https://www.amazon.com/Diagonal-Linemans-Klein-Tools-D2000-48/dp/B0000302WZ/ref=sr_1_6?keywords=Klein+Tools+D200028GLW+Diagonal+Cutting+Pliers%2C+High-Visibility%2C+8-Inch&amp;qid=1695173646&amp;sr=8-6", "https://www.amazon.com/Diagonal-Linemans-Klein-Tools-D2000-48/dp/B0000302WZ/ref=sr_1_6?keywords=Klein+Tools+D200028GLW+Diagonal+Cutting+Pliers%2C+High-Visibility%2C+8-Inch&amp;qid=1695173646&amp;sr=8-6")</f>
        <v>https://www.amazon.com/Diagonal-Linemans-Klein-Tools-D2000-48/dp/B0000302WZ/ref=sr_1_6?keywords=Klein+Tools+D200028GLW+Diagonal+Cutting+Pliers%2C+High-Visibility%2C+8-Inch&amp;qid=1695173646&amp;sr=8-6</v>
      </c>
      <c r="F1837" t="s">
        <v>5016</v>
      </c>
      <c r="G1837" t="e">
        <f ca="1">_xludf.IMAGE("https://edmondsonsupply.com/cdn/shop/products/d200028glw.jpg?v=1633030701")</f>
        <v>#NAME?</v>
      </c>
      <c r="H1837" t="e">
        <f ca="1">_xludf.IMAGE("https://m.media-amazon.com/images/I/41Y+q+BsIsL._AC_UL320_.jpg")</f>
        <v>#NAME?</v>
      </c>
      <c r="I1837" t="s">
        <v>67</v>
      </c>
      <c r="J1837">
        <v>34.97</v>
      </c>
      <c r="K1837" s="4">
        <v>-6.7199999999999996E-2</v>
      </c>
      <c r="L1837">
        <v>4.7</v>
      </c>
      <c r="M1837">
        <v>530</v>
      </c>
      <c r="O1837" t="s">
        <v>25</v>
      </c>
      <c r="P1837" t="s">
        <v>4236</v>
      </c>
      <c r="Q1837" t="s">
        <v>4237</v>
      </c>
    </row>
    <row r="1838" spans="1:17" ht="15.5" x14ac:dyDescent="0.35">
      <c r="A1838" s="3" t="str">
        <f>HYPERLINK("https://edmondsonsupply.com/collections/hvac/products/copy-of-midwest-mwt-pbset01-pookie-buster-bit-set", "https://edmondsonsupply.com/collections/hvac/products/copy-of-midwest-mwt-pbset01-pookie-buster-bit-set")</f>
        <v>https://edmondsonsupply.com/collections/hvac/products/copy-of-midwest-mwt-pbset01-pookie-buster-bit-set</v>
      </c>
      <c r="B1838" s="3" t="str">
        <f>HYPERLINK("https://edmondsonsupply.com/products/copy-of-midwest-mwt-pbset01-pookie-buster-bit-set", "https://edmondsonsupply.com/products/copy-of-midwest-mwt-pbset01-pookie-buster-bit-set")</f>
        <v>https://edmondsonsupply.com/products/copy-of-midwest-mwt-pbset01-pookie-buster-bit-set</v>
      </c>
      <c r="C1838" t="s">
        <v>5017</v>
      </c>
      <c r="D1838" t="s">
        <v>5018</v>
      </c>
      <c r="E1838" s="3" t="str">
        <f>HYPERLINK("https://www.amazon.com/Midwest-Cleat-Driver-Tool-MWT-CDT01/dp/B07PVCW21K/ref=sr_1_1?keywords=Midwest+MWT-CDT01+Cleat+Driver&amp;qid=1695173417&amp;sr=8-1", "https://www.amazon.com/Midwest-Cleat-Driver-Tool-MWT-CDT01/dp/B07PVCW21K/ref=sr_1_1?keywords=Midwest+MWT-CDT01+Cleat+Driver&amp;qid=1695173417&amp;sr=8-1")</f>
        <v>https://www.amazon.com/Midwest-Cleat-Driver-Tool-MWT-CDT01/dp/B07PVCW21K/ref=sr_1_1?keywords=Midwest+MWT-CDT01+Cleat+Driver&amp;qid=1695173417&amp;sr=8-1</v>
      </c>
      <c r="F1838" t="s">
        <v>5019</v>
      </c>
      <c r="G1838" t="e">
        <f ca="1">_xludf.IMAGE("https://edmondsonsupply.com/cdn/shop/products/mwt-cdt01.webp?v=1680707918")</f>
        <v>#NAME?</v>
      </c>
      <c r="H1838" t="e">
        <f ca="1">_xludf.IMAGE("https://m.media-amazon.com/images/I/71q+j7EaF9L._AC_UL320_.jpg")</f>
        <v>#NAME?</v>
      </c>
      <c r="I1838" t="s">
        <v>269</v>
      </c>
      <c r="J1838">
        <v>51.28</v>
      </c>
      <c r="K1838" s="4">
        <v>-6.7500000000000004E-2</v>
      </c>
      <c r="L1838">
        <v>3.7</v>
      </c>
      <c r="M1838">
        <v>13</v>
      </c>
      <c r="O1838" t="s">
        <v>25</v>
      </c>
      <c r="P1838" t="s">
        <v>5020</v>
      </c>
      <c r="Q1838" t="s">
        <v>5021</v>
      </c>
    </row>
    <row r="1839" spans="1:17" ht="15.5" x14ac:dyDescent="0.35">
      <c r="A1839" s="3" t="str">
        <f>HYPERLINK("https://edmondsonsupply.com/collections/hvac/products/klein-tools-69410-replacement-test-lead-set-right-angle", "https://edmondsonsupply.com/collections/hvac/products/klein-tools-69410-replacement-test-lead-set-right-angle")</f>
        <v>https://edmondsonsupply.com/collections/hvac/products/klein-tools-69410-replacement-test-lead-set-right-angle</v>
      </c>
      <c r="B1839" s="3" t="str">
        <f>HYPERLINK("https://edmondsonsupply.com/products/klein-tools-69410-replacement-test-lead-set-right-angle", "https://edmondsonsupply.com/products/klein-tools-69410-replacement-test-lead-set-right-angle")</f>
        <v>https://edmondsonsupply.com/products/klein-tools-69410-replacement-test-lead-set-right-angle</v>
      </c>
      <c r="C1839" t="s">
        <v>1463</v>
      </c>
      <c r="D1839" t="s">
        <v>1463</v>
      </c>
      <c r="E1839" s="3" t="str">
        <f>HYPERLINK("https://www.amazon.com/Replacement-Right-Klein-Tools-69410/dp/B003U2GONM/ref=sr_1_1?keywords=Klein+Tools+69410+Replacement+Test+Lead+Set%2C+Right+Angle&amp;qid=1695173692&amp;sr=8-1", "https://www.amazon.com/Replacement-Right-Klein-Tools-69410/dp/B003U2GONM/ref=sr_1_1?keywords=Klein+Tools+69410+Replacement+Test+Lead+Set%2C+Right+Angle&amp;qid=1695173692&amp;sr=8-1")</f>
        <v>https://www.amazon.com/Replacement-Right-Klein-Tools-69410/dp/B003U2GONM/ref=sr_1_1?keywords=Klein+Tools+69410+Replacement+Test+Lead+Set%2C+Right+Angle&amp;qid=1695173692&amp;sr=8-1</v>
      </c>
      <c r="F1839" t="s">
        <v>5022</v>
      </c>
      <c r="G1839" t="e">
        <f ca="1">_xludf.IMAGE("https://edmondsonsupply.com/cdn/shop/products/69410.jpg?v=1587143393")</f>
        <v>#NAME?</v>
      </c>
      <c r="H1839" t="e">
        <f ca="1">_xludf.IMAGE("https://m.media-amazon.com/images/I/61VbepdaATL._AC_UY218_.jpg")</f>
        <v>#NAME?</v>
      </c>
      <c r="I1839" t="s">
        <v>893</v>
      </c>
      <c r="J1839">
        <v>18.59</v>
      </c>
      <c r="K1839" s="4">
        <v>-6.9099999999999995E-2</v>
      </c>
      <c r="L1839">
        <v>4.7</v>
      </c>
      <c r="M1839">
        <v>2358</v>
      </c>
      <c r="O1839" t="s">
        <v>25</v>
      </c>
      <c r="P1839" t="s">
        <v>1466</v>
      </c>
      <c r="Q1839" t="s">
        <v>1467</v>
      </c>
    </row>
    <row r="1840" spans="1:17" ht="15.5" x14ac:dyDescent="0.35">
      <c r="A1840" s="3" t="str">
        <f>HYPERLINK("https://edmondsonsupply.com/collections/hvac/products/white-rodgers-50a65-5165-integrated-furnace-control-board-replacement-for-trane", "https://edmondsonsupply.com/collections/hvac/products/white-rodgers-50a65-5165-integrated-furnace-control-board-replacement-for-trane")</f>
        <v>https://edmondsonsupply.com/collections/hvac/products/white-rodgers-50a65-5165-integrated-furnace-control-board-replacement-for-trane</v>
      </c>
      <c r="B1840" s="3" t="str">
        <f>HYPERLINK("https://edmondsonsupply.com/products/white-rodgers-50a65-5165-integrated-furnace-control-board-replacement-for-trane", "https://edmondsonsupply.com/products/white-rodgers-50a65-5165-integrated-furnace-control-board-replacement-for-trane")</f>
        <v>https://edmondsonsupply.com/products/white-rodgers-50a65-5165-integrated-furnace-control-board-replacement-for-trane</v>
      </c>
      <c r="C1840" t="s">
        <v>3951</v>
      </c>
      <c r="D1840" t="s">
        <v>5023</v>
      </c>
      <c r="E1840" s="3" t="str">
        <f>HYPERLINK("https://www.amazon.com/White-Rodgers-50A65-5165-Rodgers-Replacement-Integrated/dp/B00NO2QFT6/ref=sr_1_1?keywords=White-Rodgers+50A65-5165+Integrated+Furnace+Control+Board%2C+Replacement+for+Trane&amp;qid=1695173418&amp;sr=8-1", "https://www.amazon.com/White-Rodgers-50A65-5165-Rodgers-Replacement-Integrated/dp/B00NO2QFT6/ref=sr_1_1?keywords=White-Rodgers+50A65-5165+Integrated+Furnace+Control+Board%2C+Replacement+for+Trane&amp;qid=1695173418&amp;sr=8-1")</f>
        <v>https://www.amazon.com/White-Rodgers-50A65-5165-Rodgers-Replacement-Integrated/dp/B00NO2QFT6/ref=sr_1_1?keywords=White-Rodgers+50A65-5165+Integrated+Furnace+Control+Board%2C+Replacement+for+Trane&amp;qid=1695173418&amp;sr=8-1</v>
      </c>
      <c r="F1840" t="s">
        <v>5024</v>
      </c>
      <c r="G1840" t="e">
        <f ca="1">_xludf.IMAGE("https://edmondsonsupply.com/cdn/shop/products/integrated-furnace-controls-direct-oem-replacement-g.jpg?v=1633030662")</f>
        <v>#NAME?</v>
      </c>
      <c r="H1840" t="e">
        <f ca="1">_xludf.IMAGE("https://m.media-amazon.com/images/I/81feKWECeML._AC_UL320_.jpg")</f>
        <v>#NAME?</v>
      </c>
      <c r="I1840" t="s">
        <v>3954</v>
      </c>
      <c r="J1840">
        <v>104.69</v>
      </c>
      <c r="K1840" s="4">
        <v>-7.0099999999999996E-2</v>
      </c>
      <c r="L1840">
        <v>4.7</v>
      </c>
      <c r="M1840">
        <v>334</v>
      </c>
      <c r="O1840" t="s">
        <v>25</v>
      </c>
      <c r="P1840" t="s">
        <v>3955</v>
      </c>
      <c r="Q1840" t="s">
        <v>3956</v>
      </c>
    </row>
    <row r="1841" spans="1:17" ht="15.5" x14ac:dyDescent="0.35">
      <c r="A1841"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1841"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1841" t="s">
        <v>2344</v>
      </c>
      <c r="D1841" t="s">
        <v>5025</v>
      </c>
      <c r="E1841" s="3" t="str">
        <f>HYPERLINK("https://www.amazon.com/Journeyman-T-Handle-Klein-Tools-JTH6E14/dp/B004ITSTL6/ref=sr_1_1?keywords=Klein+Tools+JTH6E14+5%2F16-Inch+Hex+Key+with+Journeyman+T-Handle%2C+6-Inch&amp;qid=1695173449&amp;sr=8-1", "https://www.amazon.com/Journeyman-T-Handle-Klein-Tools-JTH6E14/dp/B004ITSTL6/ref=sr_1_1?keywords=Klein+Tools+JTH6E14+5%2F16-Inch+Hex+Key+with+Journeyman+T-Handle%2C+6-Inch&amp;qid=1695173449&amp;sr=8-1")</f>
        <v>https://www.amazon.com/Journeyman-T-Handle-Klein-Tools-JTH6E14/dp/B004ITSTL6/ref=sr_1_1?keywords=Klein+Tools+JTH6E14+5%2F16-Inch+Hex+Key+with+Journeyman+T-Handle%2C+6-Inch&amp;qid=1695173449&amp;sr=8-1</v>
      </c>
      <c r="F1841" t="s">
        <v>5026</v>
      </c>
      <c r="G1841" t="e">
        <f ca="1">_xludf.IMAGE("https://edmondsonsupply.com/cdn/shop/products/jth6e15.jpg?v=1587148489")</f>
        <v>#NAME?</v>
      </c>
      <c r="H1841" t="e">
        <f ca="1">_xludf.IMAGE("https://m.media-amazon.com/images/I/51FYt5m7vZL._AC_UL320_.jpg")</f>
        <v>#NAME?</v>
      </c>
      <c r="I1841" t="s">
        <v>2347</v>
      </c>
      <c r="J1841">
        <v>6.49</v>
      </c>
      <c r="K1841" s="4">
        <v>-7.1499999999999994E-2</v>
      </c>
      <c r="L1841">
        <v>4.8</v>
      </c>
      <c r="M1841">
        <v>2479</v>
      </c>
      <c r="O1841" t="s">
        <v>25</v>
      </c>
      <c r="P1841" t="s">
        <v>1140</v>
      </c>
      <c r="Q1841" t="s">
        <v>2348</v>
      </c>
    </row>
    <row r="1842" spans="1:17" ht="15.5" x14ac:dyDescent="0.35">
      <c r="A1842" s="3" t="str">
        <f>HYPERLINK("https://edmondsonsupply.com/collections/hvac/products/milwaukee-2529-21xc-m12-fuel%E2%84%A2-compact-band-saw-kit", "https://edmondsonsupply.com/collections/hvac/products/milwaukee-2529-21xc-m12-fuel%E2%84%A2-compact-band-saw-kit")</f>
        <v>https://edmondsonsupply.com/collections/hvac/products/milwaukee-2529-21xc-m12-fuel%E2%84%A2-compact-band-saw-kit</v>
      </c>
      <c r="B1842" s="3" t="str">
        <f>HYPERLINK("https://edmondsonsupply.com/products/milwaukee-2529-21xc-m12-fuel%e2%84%a2-compact-band-saw-kit", "https://edmondsonsupply.com/products/milwaukee-2529-21xc-m12-fuel%e2%84%a2-compact-band-saw-kit")</f>
        <v>https://edmondsonsupply.com/products/milwaukee-2529-21xc-m12-fuel%e2%84%a2-compact-band-saw-kit</v>
      </c>
      <c r="C1842" t="s">
        <v>5027</v>
      </c>
      <c r="D1842" t="s">
        <v>5028</v>
      </c>
      <c r="E1842" s="3" t="str">
        <f>HYPERLINK("https://www.amazon.com/Milwaukee-2529-21XC-12-Volt-Lithium-Ion-Cordless/dp/B09MSRNQ3L/ref=sr_1_1?keywords=Milwaukee+2529-21XC+M12+FUEL%E2%84%A2+Compact+Band+Saw+Kit&amp;qid=1695173493&amp;sr=8-1", "https://www.amazon.com/Milwaukee-2529-21XC-12-Volt-Lithium-Ion-Cordless/dp/B09MSRNQ3L/ref=sr_1_1?keywords=Milwaukee+2529-21XC+M12+FUEL%E2%84%A2+Compact+Band+Saw+Kit&amp;qid=1695173493&amp;sr=8-1")</f>
        <v>https://www.amazon.com/Milwaukee-2529-21XC-12-Volt-Lithium-Ion-Cordless/dp/B09MSRNQ3L/ref=sr_1_1?keywords=Milwaukee+2529-21XC+M12+FUEL%E2%84%A2+Compact+Band+Saw+Kit&amp;qid=1695173493&amp;sr=8-1</v>
      </c>
      <c r="F1842" t="s">
        <v>5029</v>
      </c>
      <c r="G1842" t="e">
        <f ca="1">_xludf.IMAGE("https://edmondsonsupply.com/cdn/shop/files/2529-21XC_Kit.webp?v=1686234086")</f>
        <v>#NAME?</v>
      </c>
      <c r="H1842" t="e">
        <f ca="1">_xludf.IMAGE("https://m.media-amazon.com/images/I/81RfSgmbepL._AC_UL320_.jpg")</f>
        <v>#NAME?</v>
      </c>
      <c r="I1842" t="s">
        <v>5030</v>
      </c>
      <c r="J1842">
        <v>304.95</v>
      </c>
      <c r="K1842" s="4">
        <v>-7.3099999999999998E-2</v>
      </c>
      <c r="L1842">
        <v>4.7</v>
      </c>
      <c r="M1842">
        <v>40</v>
      </c>
      <c r="O1842" t="s">
        <v>25</v>
      </c>
      <c r="P1842" t="s">
        <v>5031</v>
      </c>
      <c r="Q1842" t="s">
        <v>5032</v>
      </c>
    </row>
    <row r="1843" spans="1:17" ht="15.5" x14ac:dyDescent="0.35">
      <c r="A1843" s="3" t="str">
        <f>HYPERLINK("https://edmondsonsupply.com/collections/hvac/products/testo-0590-7701-770-1-hook-clamp-meter", "https://edmondsonsupply.com/collections/hvac/products/testo-0590-7701-770-1-hook-clamp-meter")</f>
        <v>https://edmondsonsupply.com/collections/hvac/products/testo-0590-7701-770-1-hook-clamp-meter</v>
      </c>
      <c r="B1843" s="3" t="str">
        <f>HYPERLINK("https://edmondsonsupply.com/products/testo-0590-7701-770-1-hook-clamp-meter", "https://edmondsonsupply.com/products/testo-0590-7701-770-1-hook-clamp-meter")</f>
        <v>https://edmondsonsupply.com/products/testo-0590-7701-770-1-hook-clamp-meter</v>
      </c>
      <c r="C1843" t="s">
        <v>5033</v>
      </c>
      <c r="D1843" t="s">
        <v>5034</v>
      </c>
      <c r="E1843" s="3" t="str">
        <f>HYPERLINK("https://www.amazon.com/Testo-770-1-Hook-Clamp-Digital-Multimeter/dp/B01F3MPN9M/ref=sr_1_1?keywords=Testo+0590+7701+770-1+-+Hook+clamp+meter&amp;qid=1695173747&amp;sr=8-1", "https://www.amazon.com/Testo-770-1-Hook-Clamp-Digital-Multimeter/dp/B01F3MPN9M/ref=sr_1_1?keywords=Testo+0590+7701+770-1+-+Hook+clamp+meter&amp;qid=1695173747&amp;sr=8-1")</f>
        <v>https://www.amazon.com/Testo-770-1-Hook-Clamp-Digital-Multimeter/dp/B01F3MPN9M/ref=sr_1_1?keywords=Testo+0590+7701+770-1+-+Hook+clamp+meter&amp;qid=1695173747&amp;sr=8-1</v>
      </c>
      <c r="F1843" t="s">
        <v>5035</v>
      </c>
      <c r="G1843" t="e">
        <f ca="1">_xludf.IMAGE("https://edmondsonsupply.com/cdn/shop/files/testo-770-1-11A-p-in-oth-005899_master.jpg?v=1688162964")</f>
        <v>#NAME?</v>
      </c>
      <c r="H1843" t="e">
        <f ca="1">_xludf.IMAGE("https://m.media-amazon.com/images/I/819sWSnbh4L._AC_UY218_.jpg")</f>
        <v>#NAME?</v>
      </c>
      <c r="I1843" t="s">
        <v>5036</v>
      </c>
      <c r="J1843">
        <v>184.84</v>
      </c>
      <c r="K1843" s="4">
        <v>-7.4300000000000005E-2</v>
      </c>
      <c r="L1843">
        <v>4.4000000000000004</v>
      </c>
      <c r="M1843">
        <v>23</v>
      </c>
      <c r="O1843" t="s">
        <v>25</v>
      </c>
      <c r="P1843" t="s">
        <v>5037</v>
      </c>
      <c r="Q1843" t="s">
        <v>5038</v>
      </c>
    </row>
    <row r="1844" spans="1:17" ht="15.5" x14ac:dyDescent="0.35">
      <c r="A1844"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844" s="3" t="str">
        <f>HYPERLINK("https://edmondsonsupply.com/products/klein-tools-jth4e17-1-2-inch-hex-key-journeyman-t-handle-4-inch", "https://edmondsonsupply.com/products/klein-tools-jth4e17-1-2-inch-hex-key-journeyman-t-handle-4-inch")</f>
        <v>https://edmondsonsupply.com/products/klein-tools-jth4e17-1-2-inch-hex-key-journeyman-t-handle-4-inch</v>
      </c>
      <c r="C1844" t="s">
        <v>2385</v>
      </c>
      <c r="D1844" t="s">
        <v>5039</v>
      </c>
      <c r="E1844" s="3" t="str">
        <f>HYPERLINK("https://www.amazon.com/Journeyman-T-Handle-Klein-Tools-JTH4E11/dp/B004ITQHXI/ref=sr_1_1?keywords=Klein+Tools+JTH4E11+3%2F16-Inch+Hex+Key+with+Journeyman+T-Handle%2C+4-Inch&amp;qid=1695173548&amp;sr=8-1", "https://www.amazon.com/Journeyman-T-Handle-Klein-Tools-JTH4E11/dp/B004ITQHXI/ref=sr_1_1?keywords=Klein+Tools+JTH4E11+3%2F16-Inch+Hex+Key+with+Journeyman+T-Handle%2C+4-Inch&amp;qid=1695173548&amp;sr=8-1")</f>
        <v>https://www.amazon.com/Journeyman-T-Handle-Klein-Tools-JTH4E11/dp/B004ITQHXI/ref=sr_1_1?keywords=Klein+Tools+JTH4E11+3%2F16-Inch+Hex+Key+with+Journeyman+T-Handle%2C+4-Inch&amp;qid=1695173548&amp;sr=8-1</v>
      </c>
      <c r="F1844" t="s">
        <v>5040</v>
      </c>
      <c r="G1844" t="e">
        <f ca="1">_xludf.IMAGE("https://edmondsonsupply.com/cdn/shop/products/jth4e17.jpg?v=1587144836")</f>
        <v>#NAME?</v>
      </c>
      <c r="H1844" t="e">
        <f ca="1">_xludf.IMAGE("https://m.media-amazon.com/images/I/51Yb8h41vLL._AC_UL320_.jpg")</f>
        <v>#NAME?</v>
      </c>
      <c r="I1844" t="s">
        <v>2388</v>
      </c>
      <c r="J1844">
        <v>4.6100000000000003</v>
      </c>
      <c r="K1844" s="4">
        <v>-7.6200000000000004E-2</v>
      </c>
      <c r="L1844">
        <v>4.8</v>
      </c>
      <c r="M1844">
        <v>2479</v>
      </c>
      <c r="O1844" t="s">
        <v>25</v>
      </c>
      <c r="P1844" t="s">
        <v>2389</v>
      </c>
      <c r="Q1844" t="s">
        <v>2390</v>
      </c>
    </row>
    <row r="1845" spans="1:17" ht="15.5" x14ac:dyDescent="0.35">
      <c r="A1845" s="3" t="str">
        <f>HYPERLINK("https://edmondsonsupply.com/collections/hvac/products/wiha-tools-70298-7-piece-terminatorblue-impact-bit-set-2-inch-bits", "https://edmondsonsupply.com/collections/hvac/products/wiha-tools-70298-7-piece-terminatorblue-impact-bit-set-2-inch-bits")</f>
        <v>https://edmondsonsupply.com/collections/hvac/products/wiha-tools-70298-7-piece-terminatorblue-impact-bit-set-2-inch-bits</v>
      </c>
      <c r="B1845" s="3" t="str">
        <f>HYPERLINK("https://edmondsonsupply.com/products/wiha-tools-70298-7-piece-terminatorblue-impact-bit-set-2-inch-bits", "https://edmondsonsupply.com/products/wiha-tools-70298-7-piece-terminatorblue-impact-bit-set-2-inch-bits")</f>
        <v>https://edmondsonsupply.com/products/wiha-tools-70298-7-piece-terminatorblue-impact-bit-set-2-inch-bits</v>
      </c>
      <c r="C1845" t="s">
        <v>5041</v>
      </c>
      <c r="D1845" t="s">
        <v>5042</v>
      </c>
      <c r="E1845" s="3" t="str">
        <f>HYPERLINK("https://www.amazon.com/Wiha-Piece-TerminatorBlue-Impact-Bit/dp/B09FY9LM36/ref=sr_1_1?keywords=Wiha+Tools+70298+7+Piece+TerminatorBlue+Impact+Bit+Set+-+2+Inch+Bits&amp;qid=1695173726&amp;sr=8-1", "https://www.amazon.com/Wiha-Piece-TerminatorBlue-Impact-Bit/dp/B09FY9LM36/ref=sr_1_1?keywords=Wiha+Tools+70298+7+Piece+TerminatorBlue+Impact+Bit+Set+-+2+Inch+Bits&amp;qid=1695173726&amp;sr=8-1")</f>
        <v>https://www.amazon.com/Wiha-Piece-TerminatorBlue-Impact-Bit/dp/B09FY9LM36/ref=sr_1_1?keywords=Wiha+Tools+70298+7+Piece+TerminatorBlue+Impact+Bit+Set+-+2+Inch+Bits&amp;qid=1695173726&amp;sr=8-1</v>
      </c>
      <c r="F1845" t="s">
        <v>5043</v>
      </c>
      <c r="G1845" t="e">
        <f ca="1">_xludf.IMAGE("https://edmondsonsupply.com/cdn/shop/files/w6xdetv6bgqvrnalnaur_700x_fa994d71-03a0-405a-b336-3bdc4084c0da.webp?v=1690922757")</f>
        <v>#NAME?</v>
      </c>
      <c r="H1845" t="e">
        <f ca="1">_xludf.IMAGE("https://m.media-amazon.com/images/I/41A4BvIv4SL._AC_UL320_.jpg")</f>
        <v>#NAME?</v>
      </c>
      <c r="I1845" t="s">
        <v>834</v>
      </c>
      <c r="J1845">
        <v>11.99</v>
      </c>
      <c r="K1845" s="4">
        <v>-7.6999999999999999E-2</v>
      </c>
      <c r="L1845">
        <v>5</v>
      </c>
      <c r="M1845">
        <v>4</v>
      </c>
      <c r="O1845" t="s">
        <v>25</v>
      </c>
      <c r="P1845" t="s">
        <v>5044</v>
      </c>
      <c r="Q1845" t="s">
        <v>5045</v>
      </c>
    </row>
    <row r="1846" spans="1:17" ht="15.5" x14ac:dyDescent="0.35">
      <c r="A1846" s="3" t="str">
        <f>HYPERLINK("https://edmondsonsupply.com/collections/hvac/products/nu-calgon-4296-60-pan-treat-condensate-tablets", "https://edmondsonsupply.com/collections/hvac/products/nu-calgon-4296-60-pan-treat-condensate-tablets")</f>
        <v>https://edmondsonsupply.com/collections/hvac/products/nu-calgon-4296-60-pan-treat-condensate-tablets</v>
      </c>
      <c r="B1846" s="3" t="str">
        <f>HYPERLINK("https://edmondsonsupply.com/products/nu-calgon-4296-60-pan-treat-condensate-tablets", "https://edmondsonsupply.com/products/nu-calgon-4296-60-pan-treat-condensate-tablets")</f>
        <v>https://edmondsonsupply.com/products/nu-calgon-4296-60-pan-treat-condensate-tablets</v>
      </c>
      <c r="C1846" t="s">
        <v>5046</v>
      </c>
      <c r="D1846" t="s">
        <v>5047</v>
      </c>
      <c r="E1846" s="3" t="str">
        <f>HYPERLINK("https://www.amazon.com/Nu-Calgon-4296-60-Pan-Treat-Scum-Tablets/dp/B003N5AS60/ref=sr_1_1?keywords=Nu-Calgon+4296-60+Pan-Treat+Condensate+Tablets&amp;qid=1695173605&amp;sr=8-1", "https://www.amazon.com/Nu-Calgon-4296-60-Pan-Treat-Scum-Tablets/dp/B003N5AS60/ref=sr_1_1?keywords=Nu-Calgon+4296-60+Pan-Treat+Condensate+Tablets&amp;qid=1695173605&amp;sr=8-1")</f>
        <v>https://www.amazon.com/Nu-Calgon-4296-60-Pan-Treat-Scum-Tablets/dp/B003N5AS60/ref=sr_1_1?keywords=Nu-Calgon+4296-60+Pan-Treat+Condensate+Tablets&amp;qid=1695173605&amp;sr=8-1</v>
      </c>
      <c r="F1846" t="s">
        <v>5048</v>
      </c>
      <c r="G1846" t="e">
        <f ca="1">_xludf.IMAGE("https://edmondsonsupply.com/cdn/shop/products/4296-60.jpg?v=1658772697")</f>
        <v>#NAME?</v>
      </c>
      <c r="H1846" t="e">
        <f ca="1">_xludf.IMAGE("https://m.media-amazon.com/images/I/81WeEu9iZfL._AC_UY218_.jpg")</f>
        <v>#NAME?</v>
      </c>
      <c r="I1846" t="s">
        <v>5049</v>
      </c>
      <c r="J1846">
        <v>25.19</v>
      </c>
      <c r="K1846" s="4">
        <v>-7.7299999999999994E-2</v>
      </c>
      <c r="L1846">
        <v>4.7</v>
      </c>
      <c r="M1846">
        <v>1425</v>
      </c>
      <c r="O1846" t="s">
        <v>25</v>
      </c>
      <c r="P1846" t="s">
        <v>5050</v>
      </c>
      <c r="Q1846" t="s">
        <v>5051</v>
      </c>
    </row>
    <row r="1847" spans="1:17" ht="15.5" x14ac:dyDescent="0.35">
      <c r="A1847" s="3" t="str">
        <f>HYPERLINK("https://edmondsonsupply.com/collections/hvac/products/diablo-tools-ds0906cws3-9-in-demo-demon-carbide-recip-blade-for-nail-embedded-wood-3-pack", "https://edmondsonsupply.com/collections/hvac/products/diablo-tools-ds0906cws3-9-in-demo-demon-carbide-recip-blade-for-nail-embedded-wood-3-pack")</f>
        <v>https://edmondsonsupply.com/collections/hvac/products/diablo-tools-ds0906cws3-9-in-demo-demon-carbide-recip-blade-for-nail-embedded-wood-3-pack</v>
      </c>
      <c r="B1847" s="3" t="str">
        <f>HYPERLINK("https://edmondsonsupply.com/products/diablo-tools-ds0906cws3-9-in-demo-demon-carbide-recip-blade-for-nail-embedded-wood-3-pack", "https://edmondsonsupply.com/products/diablo-tools-ds0906cws3-9-in-demo-demon-carbide-recip-blade-for-nail-embedded-wood-3-pack")</f>
        <v>https://edmondsonsupply.com/products/diablo-tools-ds0906cws3-9-in-demo-demon-carbide-recip-blade-for-nail-embedded-wood-3-pack</v>
      </c>
      <c r="C1847" t="s">
        <v>5052</v>
      </c>
      <c r="D1847" t="s">
        <v>5053</v>
      </c>
      <c r="E1847" s="3" t="str">
        <f>HYPERLINK("https://www.amazon.com/Diablo-DS0705CWR3-Demo%E2%80%91Demon-Scrolling-Reciprocating/dp/B083YTKSVM/ref=sr_1_1?keywords=Diablo+Tools+DS0705CWR3+7-3%2F8+in.+Demo-Demon+Rough-In%2FScrolling+Carbide+Reciprocating+Blade+%283-Pack%29&amp;qid=1695173648&amp;sr=8-1", "https://www.amazon.com/Diablo-DS0705CWR3-Demo%E2%80%91Demon-Scrolling-Reciprocating/dp/B083YTKSVM/ref=sr_1_1?keywords=Diablo+Tools+DS0705CWR3+7-3%2F8+in.+Demo-Demon+Rough-In%2FScrolling+Carbide+Reciprocating+Blade+%283-Pack%29&amp;qid=1695173648&amp;sr=8-1")</f>
        <v>https://www.amazon.com/Diablo-DS0705CWR3-Demo%E2%80%91Demon-Scrolling-Reciprocating/dp/B083YTKSVM/ref=sr_1_1?keywords=Diablo+Tools+DS0705CWR3+7-3%2F8+in.+Demo-Demon+Rough-In%2FScrolling+Carbide+Reciprocating+Blade+%283-Pack%29&amp;qid=1695173648&amp;sr=8-1</v>
      </c>
      <c r="F1847" t="s">
        <v>5054</v>
      </c>
      <c r="G1847" t="e">
        <f ca="1">_xludf.IMAGE("https://edmondsonsupply.com/cdn/shop/products/DS0705CWR3_Main-Image.png?v=1633030237")</f>
        <v>#NAME?</v>
      </c>
      <c r="H1847" t="e">
        <f ca="1">_xludf.IMAGE("https://m.media-amazon.com/images/I/51aVNFoBlfL._AC_UL320_.jpg")</f>
        <v>#NAME?</v>
      </c>
      <c r="I1847" t="s">
        <v>859</v>
      </c>
      <c r="J1847">
        <v>22.99</v>
      </c>
      <c r="K1847" s="4">
        <v>-7.9299999999999995E-2</v>
      </c>
      <c r="L1847">
        <v>4</v>
      </c>
      <c r="M1847">
        <v>12</v>
      </c>
      <c r="O1847" t="s">
        <v>25</v>
      </c>
      <c r="P1847" t="s">
        <v>4475</v>
      </c>
      <c r="Q1847" t="s">
        <v>5055</v>
      </c>
    </row>
    <row r="1848" spans="1:17" ht="15.5" x14ac:dyDescent="0.35">
      <c r="A1848" s="3" t="str">
        <f>HYPERLINK("https://edmondsonsupply.com/collections/hvac/products/klein-tools-55599-high-visibility-zipper-bags-2-pack", "https://edmondsonsupply.com/collections/hvac/products/klein-tools-55599-high-visibility-zipper-bags-2-pack")</f>
        <v>https://edmondsonsupply.com/collections/hvac/products/klein-tools-55599-high-visibility-zipper-bags-2-pack</v>
      </c>
      <c r="B1848" s="3" t="str">
        <f>HYPERLINK("https://edmondsonsupply.com/products/klein-tools-55599-high-visibility-zipper-bags-2-pack", "https://edmondsonsupply.com/products/klein-tools-55599-high-visibility-zipper-bags-2-pack")</f>
        <v>https://edmondsonsupply.com/products/klein-tools-55599-high-visibility-zipper-bags-2-pack</v>
      </c>
      <c r="C1848" t="s">
        <v>672</v>
      </c>
      <c r="D1848" t="s">
        <v>673</v>
      </c>
      <c r="E1848" s="3" t="str">
        <f>HYPERLINK("https://www.amazon.com/Visibility-Zipper-Klein-Tools-55599/dp/B01N674AXT/ref=sr_1_1?keywords=Klein+Tools+55599+Zipper+Bags%2C+High+Visibility+Tool+Pouches%2C+2-Pack&amp;qid=1695173671&amp;sr=8-1", "https://www.amazon.com/Visibility-Zipper-Klein-Tools-55599/dp/B01N674AXT/ref=sr_1_1?keywords=Klein+Tools+55599+Zipper+Bags%2C+High+Visibility+Tool+Pouches%2C+2-Pack&amp;qid=1695173671&amp;sr=8-1")</f>
        <v>https://www.amazon.com/Visibility-Zipper-Klein-Tools-55599/dp/B01N674AXT/ref=sr_1_1?keywords=Klein+Tools+55599+Zipper+Bags%2C+High+Visibility+Tool+Pouches%2C+2-Pack&amp;qid=1695173671&amp;sr=8-1</v>
      </c>
      <c r="F1848" t="s">
        <v>674</v>
      </c>
      <c r="G1848" t="e">
        <f ca="1">_xludf.IMAGE("https://edmondsonsupply.com/cdn/shop/products/55599.jpg?v=1587143455")</f>
        <v>#NAME?</v>
      </c>
      <c r="H1848" t="e">
        <f ca="1">_xludf.IMAGE("https://m.media-amazon.com/images/I/71DB02D9dUL._AC_UL320_.jpg")</f>
        <v>#NAME?</v>
      </c>
      <c r="I1848" t="s">
        <v>471</v>
      </c>
      <c r="J1848">
        <v>23</v>
      </c>
      <c r="K1848" s="4">
        <v>-7.9600000000000004E-2</v>
      </c>
      <c r="L1848">
        <v>4.8</v>
      </c>
      <c r="M1848">
        <v>386</v>
      </c>
      <c r="O1848" t="s">
        <v>25</v>
      </c>
      <c r="P1848" t="s">
        <v>675</v>
      </c>
      <c r="Q1848" t="s">
        <v>676</v>
      </c>
    </row>
    <row r="1849" spans="1:17" ht="15.5" x14ac:dyDescent="0.35">
      <c r="A1849" s="3" t="str">
        <f>HYPERLINK("https://edmondsonsupply.com/collections/hvac/products/uniweld-uek1-hydraulic-expander-swage-kit", "https://edmondsonsupply.com/collections/hvac/products/uniweld-uek1-hydraulic-expander-swage-kit")</f>
        <v>https://edmondsonsupply.com/collections/hvac/products/uniweld-uek1-hydraulic-expander-swage-kit</v>
      </c>
      <c r="B1849" s="3" t="str">
        <f>HYPERLINK("https://edmondsonsupply.com/products/uniweld-uek1-hydraulic-expander-swage-kit", "https://edmondsonsupply.com/products/uniweld-uek1-hydraulic-expander-swage-kit")</f>
        <v>https://edmondsonsupply.com/products/uniweld-uek1-hydraulic-expander-swage-kit</v>
      </c>
      <c r="C1849" t="s">
        <v>5056</v>
      </c>
      <c r="D1849" t="s">
        <v>5057</v>
      </c>
      <c r="E1849" s="3" t="str">
        <f>HYPERLINK("https://www.amazon.com/Uniweld-UEK1-Hydraulic-Swage-Tool/dp/B01N1ZW7A9/ref=sr_1_1?keywords=Uniweld+UEK1+Hydraulic+Expander+Swage+Kit&amp;qid=1695173448&amp;sr=8-1", "https://www.amazon.com/Uniweld-UEK1-Hydraulic-Swage-Tool/dp/B01N1ZW7A9/ref=sr_1_1?keywords=Uniweld+UEK1+Hydraulic+Expander+Swage+Kit&amp;qid=1695173448&amp;sr=8-1")</f>
        <v>https://www.amazon.com/Uniweld-UEK1-Hydraulic-Swage-Tool/dp/B01N1ZW7A9/ref=sr_1_1?keywords=Uniweld+UEK1+Hydraulic+Expander+Swage+Kit&amp;qid=1695173448&amp;sr=8-1</v>
      </c>
      <c r="F1849" t="s">
        <v>5058</v>
      </c>
      <c r="G1849" t="e">
        <f ca="1">_xludf.IMAGE("https://edmondsonsupply.com/cdn/shop/products/UEK1-kit.jpg?v=1633030587")</f>
        <v>#NAME?</v>
      </c>
      <c r="H1849" t="e">
        <f ca="1">_xludf.IMAGE("https://m.media-amazon.com/images/I/81oKR+okniL._AC_UL320_.jpg")</f>
        <v>#NAME?</v>
      </c>
      <c r="I1849" t="s">
        <v>5059</v>
      </c>
      <c r="J1849">
        <v>395.77</v>
      </c>
      <c r="K1849" s="4">
        <v>-8.1100000000000005E-2</v>
      </c>
      <c r="L1849">
        <v>4.2</v>
      </c>
      <c r="M1849">
        <v>34</v>
      </c>
      <c r="O1849" t="s">
        <v>25</v>
      </c>
      <c r="P1849" t="s">
        <v>5060</v>
      </c>
      <c r="Q1849" t="s">
        <v>5061</v>
      </c>
    </row>
    <row r="1850" spans="1:17" ht="15.5" x14ac:dyDescent="0.35">
      <c r="A1850" s="3" t="str">
        <f>HYPERLINK("https://edmondsonsupply.com/collections/hvac/products/solderweld-sw-as09310-alloy-sol-aluminum-repair-and-joining-rods-10-rod-pack", "https://edmondsonsupply.com/collections/hvac/products/solderweld-sw-as09310-alloy-sol-aluminum-repair-and-joining-rods-10-rod-pack")</f>
        <v>https://edmondsonsupply.com/collections/hvac/products/solderweld-sw-as09310-alloy-sol-aluminum-repair-and-joining-rods-10-rod-pack</v>
      </c>
      <c r="B1850" s="3" t="str">
        <f>HYPERLINK("https://edmondsonsupply.com/products/solderweld-sw-as09310-alloy-sol-aluminum-repair-and-joining-rods-10-rod-pack", "https://edmondsonsupply.com/products/solderweld-sw-as09310-alloy-sol-aluminum-repair-and-joining-rods-10-rod-pack")</f>
        <v>https://edmondsonsupply.com/products/solderweld-sw-as09310-alloy-sol-aluminum-repair-and-joining-rods-10-rod-pack</v>
      </c>
      <c r="C1850" t="s">
        <v>5062</v>
      </c>
      <c r="D1850" t="s">
        <v>3210</v>
      </c>
      <c r="E1850" s="3" t="str">
        <f>HYPERLINK("https://www.amazon.com/Solderweld-SW-AS09305K-Aluminum-Repair-Joining/dp/B0B75HS6J3/ref=sr_1_2?keywords=SolderWeld+SW-AS09310K+Alloy+Sol+Aluminum+Repair+and+Joining+Rods%2C+10+Rod+Pack&amp;qid=1695173530&amp;sr=8-2", "https://www.amazon.com/Solderweld-SW-AS09305K-Aluminum-Repair-Joining/dp/B0B75HS6J3/ref=sr_1_2?keywords=SolderWeld+SW-AS09310K+Alloy+Sol+Aluminum+Repair+and+Joining+Rods%2C+10+Rod+Pack&amp;qid=1695173530&amp;sr=8-2")</f>
        <v>https://www.amazon.com/Solderweld-SW-AS09305K-Aluminum-Repair-Joining/dp/B0B75HS6J3/ref=sr_1_2?keywords=SolderWeld+SW-AS09310K+Alloy+Sol+Aluminum+Repair+and+Joining+Rods%2C+10+Rod+Pack&amp;qid=1695173530&amp;sr=8-2</v>
      </c>
      <c r="F1850" t="s">
        <v>3211</v>
      </c>
      <c r="G1850" t="e">
        <f ca="1">_xludf.IMAGE("https://edmondsonsupply.com/cdn/shop/products/SW-AS09310-1.jpg?v=1633030666")</f>
        <v>#NAME?</v>
      </c>
      <c r="H1850" t="e">
        <f ca="1">_xludf.IMAGE("https://m.media-amazon.com/images/I/61xbKqwYZkL._AC_UL320_.jpg")</f>
        <v>#NAME?</v>
      </c>
      <c r="I1850" t="s">
        <v>5063</v>
      </c>
      <c r="J1850">
        <v>23.41</v>
      </c>
      <c r="K1850" s="4">
        <v>-8.2000000000000003E-2</v>
      </c>
      <c r="L1850">
        <v>5</v>
      </c>
      <c r="M1850">
        <v>3</v>
      </c>
      <c r="O1850" t="s">
        <v>25</v>
      </c>
      <c r="P1850" t="s">
        <v>138</v>
      </c>
      <c r="Q1850" t="s">
        <v>5064</v>
      </c>
    </row>
    <row r="1851" spans="1:17" ht="15.5" x14ac:dyDescent="0.35">
      <c r="A1851"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1851" s="3" t="str">
        <f>HYPERLINK("https://edmondsonsupply.com/products/midwest-mwt-6510s-straight-offset-aviation-snip", "https://edmondsonsupply.com/products/midwest-mwt-6510s-straight-offset-aviation-snip")</f>
        <v>https://edmondsonsupply.com/products/midwest-mwt-6510s-straight-offset-aviation-snip</v>
      </c>
      <c r="C1851" t="s">
        <v>1736</v>
      </c>
      <c r="D1851" t="s">
        <v>5065</v>
      </c>
      <c r="E1851" s="3" t="str">
        <f>HYPERLINK("https://www.amazon.com/MIDWEST-Blackout-Aviation-Snip-KUSHN-POWER/dp/B00TJQKWCM/ref=sr_1_7?keywords=Midwest+MWT-6510S+Straight+Offset+Aviation+Snip&amp;qid=1695173382&amp;sr=8-7", "https://www.amazon.com/MIDWEST-Blackout-Aviation-Snip-KUSHN-POWER/dp/B00TJQKWCM/ref=sr_1_7?keywords=Midwest+MWT-6510S+Straight+Offset+Aviation+Snip&amp;qid=1695173382&amp;sr=8-7")</f>
        <v>https://www.amazon.com/MIDWEST-Blackout-Aviation-Snip-KUSHN-POWER/dp/B00TJQKWCM/ref=sr_1_7?keywords=Midwest+MWT-6510S+Straight+Offset+Aviation+Snip&amp;qid=1695173382&amp;sr=8-7</v>
      </c>
      <c r="F1851" t="s">
        <v>5066</v>
      </c>
      <c r="G1851" t="e">
        <f ca="1">_xludf.IMAGE("https://edmondsonsupply.com/cdn/shop/products/MWT-6510S-1.jpg?v=1587150061")</f>
        <v>#NAME?</v>
      </c>
      <c r="H1851" t="e">
        <f ca="1">_xludf.IMAGE("https://m.media-amazon.com/images/I/51Nu6s3RStL._AC_UL320_.jpg")</f>
        <v>#NAME?</v>
      </c>
      <c r="I1851" t="s">
        <v>1737</v>
      </c>
      <c r="J1851">
        <v>21.52</v>
      </c>
      <c r="K1851" s="4">
        <v>-8.3900000000000002E-2</v>
      </c>
      <c r="L1851">
        <v>4</v>
      </c>
      <c r="M1851">
        <v>52</v>
      </c>
      <c r="O1851" t="s">
        <v>171</v>
      </c>
      <c r="P1851" t="s">
        <v>260</v>
      </c>
      <c r="Q1851" t="s">
        <v>1738</v>
      </c>
    </row>
    <row r="1852" spans="1:17" ht="15.5" x14ac:dyDescent="0.35">
      <c r="A1852" s="3" t="str">
        <f>HYPERLINK("https://edmondsonsupply.com/collections/hvac/products/diablo-tools-dag1130-1-in-x-7-1-2-in-auger-bit", "https://edmondsonsupply.com/collections/hvac/products/diablo-tools-dag1130-1-in-x-7-1-2-in-auger-bit")</f>
        <v>https://edmondsonsupply.com/collections/hvac/products/diablo-tools-dag1130-1-in-x-7-1-2-in-auger-bit</v>
      </c>
      <c r="B1852" s="3" t="str">
        <f>HYPERLINK("https://edmondsonsupply.com/products/diablo-tools-dag1130-1-in-x-7-1-2-in-auger-bit", "https://edmondsonsupply.com/products/diablo-tools-dag1130-1-in-x-7-1-2-in-auger-bit")</f>
        <v>https://edmondsonsupply.com/products/diablo-tools-dag1130-1-in-x-7-1-2-in-auger-bit</v>
      </c>
      <c r="C1852" t="s">
        <v>3530</v>
      </c>
      <c r="D1852" t="s">
        <v>5067</v>
      </c>
      <c r="E1852" s="3" t="str">
        <f>HYPERLINK("https://www.amazon.com/Diablo-7-1-Auger-Bit/dp/B089LCPNWX/ref=sr_1_10?keywords=Diablo+Tools+DAG1130+1+in.+x+7-1%2F2+in.+Auger+Bit&amp;qid=1695173621&amp;sr=8-10", "https://www.amazon.com/Diablo-7-1-Auger-Bit/dp/B089LCPNWX/ref=sr_1_10?keywords=Diablo+Tools+DAG1130+1+in.+x+7-1%2F2+in.+Auger+Bit&amp;qid=1695173621&amp;sr=8-10")</f>
        <v>https://www.amazon.com/Diablo-7-1-Auger-Bit/dp/B089LCPNWX/ref=sr_1_10?keywords=Diablo+Tools+DAG1130+1+in.+x+7-1%2F2+in.+Auger+Bit&amp;qid=1695173621&amp;sr=8-10</v>
      </c>
      <c r="F1852" t="s">
        <v>5068</v>
      </c>
      <c r="G1852" t="e">
        <f ca="1">_xludf.IMAGE("https://edmondsonsupply.com/cdn/shop/products/DAG1130_Main-Image20200712.png?v=1633031124")</f>
        <v>#NAME?</v>
      </c>
      <c r="H1852" t="e">
        <f ca="1">_xludf.IMAGE("https://m.media-amazon.com/images/I/61zUoLZQ5OL._AC_UL320_.jpg")</f>
        <v>#NAME?</v>
      </c>
      <c r="I1852" t="s">
        <v>3533</v>
      </c>
      <c r="J1852">
        <v>14.99</v>
      </c>
      <c r="K1852" s="4">
        <v>-8.43E-2</v>
      </c>
      <c r="L1852">
        <v>4.7</v>
      </c>
      <c r="M1852">
        <v>9</v>
      </c>
      <c r="O1852" t="s">
        <v>25</v>
      </c>
      <c r="P1852" t="s">
        <v>3534</v>
      </c>
      <c r="Q1852" t="s">
        <v>3535</v>
      </c>
    </row>
    <row r="1853" spans="1:17" ht="15.5" x14ac:dyDescent="0.35">
      <c r="A1853" s="3" t="str">
        <f>HYPERLINK("https://edmondsonsupply.com/collections/hvac/products/midwest-mwt-6510lo-left-cutting-offset-aviation-snip-blackout-series", "https://edmondsonsupply.com/collections/hvac/products/midwest-mwt-6510lo-left-cutting-offset-aviation-snip-blackout-series")</f>
        <v>https://edmondsonsupply.com/collections/hvac/products/midwest-mwt-6510lo-left-cutting-offset-aviation-snip-blackout-series</v>
      </c>
      <c r="B1853" s="3" t="str">
        <f>HYPERLINK("https://edmondsonsupply.com/products/midwest-mwt-6510lo-left-cutting-offset-aviation-snip-blackout-series", "https://edmondsonsupply.com/products/midwest-mwt-6510lo-left-cutting-offset-aviation-snip-blackout-series")</f>
        <v>https://edmondsonsupply.com/products/midwest-mwt-6510lo-left-cutting-offset-aviation-snip-blackout-series</v>
      </c>
      <c r="C1853" t="s">
        <v>182</v>
      </c>
      <c r="D1853" t="s">
        <v>217</v>
      </c>
      <c r="E1853" s="3" t="str">
        <f>HYPERLINK("https://www.amazon.com/MIDWEST-Aviation-Snip-KUSHN-POWER-MWT-6510L/dp/B00OCGQFP2/ref=sr_1_2?keywords=Midwest+MWT-6510LO+Left-Cutting+Offset+Aviation+Snip+-+Blackout+Series&amp;qid=1695173331&amp;sr=8-2", "https://www.amazon.com/MIDWEST-Aviation-Snip-KUSHN-POWER-MWT-6510L/dp/B00OCGQFP2/ref=sr_1_2?keywords=Midwest+MWT-6510LO+Left-Cutting+Offset+Aviation+Snip+-+Blackout+Series&amp;qid=1695173331&amp;sr=8-2")</f>
        <v>https://www.amazon.com/MIDWEST-Aviation-Snip-KUSHN-POWER-MWT-6510L/dp/B00OCGQFP2/ref=sr_1_2?keywords=Midwest+MWT-6510LO+Left-Cutting+Offset+Aviation+Snip+-+Blackout+Series&amp;qid=1695173331&amp;sr=8-2</v>
      </c>
      <c r="F1853" t="s">
        <v>218</v>
      </c>
      <c r="G1853" t="e">
        <f ca="1">_xludf.IMAGE("https://edmondsonsupply.com/cdn/shop/products/mwt-6510lo.jpg?v=1587147580")</f>
        <v>#NAME?</v>
      </c>
      <c r="H1853" t="e">
        <f ca="1">_xludf.IMAGE("https://m.media-amazon.com/images/I/71WhwcyI50L._AC_UL320_.jpg")</f>
        <v>#NAME?</v>
      </c>
      <c r="I1853" t="s">
        <v>183</v>
      </c>
      <c r="J1853">
        <v>36.49</v>
      </c>
      <c r="K1853" s="4">
        <v>-8.43E-2</v>
      </c>
      <c r="L1853">
        <v>4.7</v>
      </c>
      <c r="M1853">
        <v>3425</v>
      </c>
      <c r="O1853" t="s">
        <v>171</v>
      </c>
      <c r="P1853" t="s">
        <v>183</v>
      </c>
      <c r="Q1853" t="s">
        <v>184</v>
      </c>
    </row>
    <row r="1854" spans="1:17" ht="15.5" x14ac:dyDescent="0.35">
      <c r="A1854"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854" s="3" t="str">
        <f>HYPERLINK("https://edmondsonsupply.com/products/klein-tools-d2000-28glw-diagonal-cutting-pliers-hi-viz-8-inch", "https://edmondsonsupply.com/products/klein-tools-d2000-28glw-diagonal-cutting-pliers-hi-viz-8-inch")</f>
        <v>https://edmondsonsupply.com/products/klein-tools-d2000-28glw-diagonal-cutting-pliers-hi-viz-8-inch</v>
      </c>
      <c r="C1854" t="s">
        <v>4233</v>
      </c>
      <c r="D1854" t="s">
        <v>5069</v>
      </c>
      <c r="E1854" s="3" t="str">
        <f>HYPERLINK("https://www.amazon.com/Journeyman-Diagonal-Klein-Tools-J2000-28/dp/B00093DY2O/ref=sr_1_9?keywords=Klein+Tools+D200028GLW+Diagonal+Cutting+Pliers%2C+High-Visibility%2C+8-Inch&amp;qid=1695173646&amp;sr=8-9", "https://www.amazon.com/Journeyman-Diagonal-Klein-Tools-J2000-28/dp/B00093DY2O/ref=sr_1_9?keywords=Klein+Tools+D200028GLW+Diagonal+Cutting+Pliers%2C+High-Visibility%2C+8-Inch&amp;qid=1695173646&amp;sr=8-9")</f>
        <v>https://www.amazon.com/Journeyman-Diagonal-Klein-Tools-J2000-28/dp/B00093DY2O/ref=sr_1_9?keywords=Klein+Tools+D200028GLW+Diagonal+Cutting+Pliers%2C+High-Visibility%2C+8-Inch&amp;qid=1695173646&amp;sr=8-9</v>
      </c>
      <c r="F1854" t="s">
        <v>5070</v>
      </c>
      <c r="G1854" t="e">
        <f ca="1">_xludf.IMAGE("https://edmondsonsupply.com/cdn/shop/products/d200028glw.jpg?v=1633030701")</f>
        <v>#NAME?</v>
      </c>
      <c r="H1854" t="e">
        <f ca="1">_xludf.IMAGE("https://m.media-amazon.com/images/I/41gMQiPYMQL._AC_UL320_.jpg")</f>
        <v>#NAME?</v>
      </c>
      <c r="I1854" t="s">
        <v>67</v>
      </c>
      <c r="J1854">
        <v>34.32</v>
      </c>
      <c r="K1854" s="4">
        <v>-8.4599999999999995E-2</v>
      </c>
      <c r="L1854">
        <v>4.5999999999999996</v>
      </c>
      <c r="M1854">
        <v>102</v>
      </c>
      <c r="O1854" t="s">
        <v>25</v>
      </c>
      <c r="P1854" t="s">
        <v>4236</v>
      </c>
      <c r="Q1854" t="s">
        <v>4237</v>
      </c>
    </row>
    <row r="1855" spans="1:17" ht="15.5" x14ac:dyDescent="0.35">
      <c r="A1855" s="3" t="str">
        <f>HYPERLINK("https://edmondsonsupply.com/collections/hvac/products/milwaukee-2962p-22-m18-fuel%E2%84%A2-1-2-mid-torque-impact-wrench-w-pin-detent-kit", "https://edmondsonsupply.com/collections/hvac/products/milwaukee-2962p-22-m18-fuel%E2%84%A2-1-2-mid-torque-impact-wrench-w-pin-detent-kit")</f>
        <v>https://edmondsonsupply.com/collections/hvac/products/milwaukee-2962p-22-m18-fuel%E2%84%A2-1-2-mid-torque-impact-wrench-w-pin-detent-kit</v>
      </c>
      <c r="B1855" s="3" t="str">
        <f>HYPERLINK("https://edmondsonsupply.com/products/milwaukee-2962p-22-m18-fuel%e2%84%a2-1-2-mid-torque-impact-wrench-w-pin-detent-kit", "https://edmondsonsupply.com/products/milwaukee-2962p-22-m18-fuel%e2%84%a2-1-2-mid-torque-impact-wrench-w-pin-detent-kit")</f>
        <v>https://edmondsonsupply.com/products/milwaukee-2962p-22-m18-fuel%e2%84%a2-1-2-mid-torque-impact-wrench-w-pin-detent-kit</v>
      </c>
      <c r="C1855" t="s">
        <v>4401</v>
      </c>
      <c r="D1855" t="s">
        <v>5071</v>
      </c>
      <c r="E1855" s="3" t="str">
        <f>HYPERLINK("https://www.amazon.com/Milwaukee-Mid-Torque-Lithium-Ion-Brushless-Batteries/dp/B09SJ6THNK/ref=sr_1_5?keywords=Milwaukee+2962P-22+M18+FUEL%E2%84%A2+1%2F2+%22+Mid-Torque+Impact+Wrench+w%2F+Pin+Detent+Kit&amp;qid=1695173733&amp;sr=8-5", "https://www.amazon.com/Milwaukee-Mid-Torque-Lithium-Ion-Brushless-Batteries/dp/B09SJ6THNK/ref=sr_1_5?keywords=Milwaukee+2962P-22+M18+FUEL%E2%84%A2+1%2F2+%22+Mid-Torque+Impact+Wrench+w%2F+Pin+Detent+Kit&amp;qid=1695173733&amp;sr=8-5")</f>
        <v>https://www.amazon.com/Milwaukee-Mid-Torque-Lithium-Ion-Brushless-Batteries/dp/B09SJ6THNK/ref=sr_1_5?keywords=Milwaukee+2962P-22+M18+FUEL%E2%84%A2+1%2F2+%22+Mid-Torque+Impact+Wrench+w%2F+Pin+Detent+Kit&amp;qid=1695173733&amp;sr=8-5</v>
      </c>
      <c r="F1855" t="s">
        <v>5072</v>
      </c>
      <c r="G1855" t="e">
        <f ca="1">_xludf.IMAGE("https://edmondsonsupply.com/cdn/shop/files/2962P-22_Kit_1.png?v=1690295413")</f>
        <v>#NAME?</v>
      </c>
      <c r="H1855" t="e">
        <f ca="1">_xludf.IMAGE("https://m.media-amazon.com/images/I/71kKMvvnS+L._AC_UL320_.jpg")</f>
        <v>#NAME?</v>
      </c>
      <c r="I1855" t="s">
        <v>4404</v>
      </c>
      <c r="J1855">
        <v>419.9</v>
      </c>
      <c r="K1855" s="4">
        <v>-8.5199999999999998E-2</v>
      </c>
      <c r="L1855">
        <v>4.7</v>
      </c>
      <c r="M1855">
        <v>102</v>
      </c>
      <c r="O1855" t="s">
        <v>25</v>
      </c>
      <c r="P1855" t="s">
        <v>4405</v>
      </c>
      <c r="Q1855" t="s">
        <v>4406</v>
      </c>
    </row>
    <row r="1856" spans="1:17" ht="15.5" x14ac:dyDescent="0.35">
      <c r="A1856" s="3" t="str">
        <f>HYPERLINK("https://edmondsonsupply.com/collections/hvac/products/white-rodgers-24a34-6-24v-electric-heat-sequencer-2-dpst", "https://edmondsonsupply.com/collections/hvac/products/white-rodgers-24a34-6-24v-electric-heat-sequencer-2-dpst")</f>
        <v>https://edmondsonsupply.com/collections/hvac/products/white-rodgers-24a34-6-24v-electric-heat-sequencer-2-dpst</v>
      </c>
      <c r="B1856" s="3" t="str">
        <f>HYPERLINK("https://edmondsonsupply.com/products/white-rodgers-24a34-6-24v-electric-heat-sequencer-2-dpst", "https://edmondsonsupply.com/products/white-rodgers-24a34-6-24v-electric-heat-sequencer-2-dpst")</f>
        <v>https://edmondsonsupply.com/products/white-rodgers-24a34-6-24v-electric-heat-sequencer-2-dpst</v>
      </c>
      <c r="C1856" t="s">
        <v>4876</v>
      </c>
      <c r="D1856" t="s">
        <v>2684</v>
      </c>
      <c r="E1856" s="3" t="str">
        <f>HYPERLINK("https://www.amazon.com/White-Rodgers-24A34-2-Electric-Sequencer/dp/B017RQXXFS/ref=sr_1_1?keywords=White-Rodgers+24A34-6+24V+Electric+Heat+Sequencer%2C+2+DPST&amp;qid=1695173395&amp;sr=8-1", "https://www.amazon.com/White-Rodgers-24A34-2-Electric-Sequencer/dp/B017RQXXFS/ref=sr_1_1?keywords=White-Rodgers+24A34-6+24V+Electric+Heat+Sequencer%2C+2+DPST&amp;qid=1695173395&amp;sr=8-1")</f>
        <v>https://www.amazon.com/White-Rodgers-24A34-2-Electric-Sequencer/dp/B017RQXXFS/ref=sr_1_1?keywords=White-Rodgers+24A34-6+24V+Electric+Heat+Sequencer%2C+2+DPST&amp;qid=1695173395&amp;sr=8-1</v>
      </c>
      <c r="F1856" t="s">
        <v>2685</v>
      </c>
      <c r="G1856" t="e">
        <f ca="1">_xludf.IMAGE("https://edmondsonsupply.com/cdn/shop/products/24A34-6.jpg?v=1633030752")</f>
        <v>#NAME?</v>
      </c>
      <c r="H1856" t="e">
        <f ca="1">_xludf.IMAGE("https://m.media-amazon.com/images/I/41E-ED7x6RL._AC_UY218_.jpg")</f>
        <v>#NAME?</v>
      </c>
      <c r="I1856" t="s">
        <v>4877</v>
      </c>
      <c r="J1856">
        <v>21.43</v>
      </c>
      <c r="K1856" s="4">
        <v>-8.8099999999999998E-2</v>
      </c>
      <c r="L1856">
        <v>5</v>
      </c>
      <c r="M1856">
        <v>1</v>
      </c>
      <c r="O1856" t="s">
        <v>25</v>
      </c>
      <c r="P1856" t="s">
        <v>4878</v>
      </c>
      <c r="Q1856" t="s">
        <v>4879</v>
      </c>
    </row>
    <row r="1857" spans="1:17" ht="15.5" x14ac:dyDescent="0.35">
      <c r="A1857" s="3" t="str">
        <f>HYPERLINK("https://edmondsonsupply.com/collections/hvac/products/klein-tools-9230-tape-measure-30-foot-magnetic-double-hook", "https://edmondsonsupply.com/collections/hvac/products/klein-tools-9230-tape-measure-30-foot-magnetic-double-hook")</f>
        <v>https://edmondsonsupply.com/collections/hvac/products/klein-tools-9230-tape-measure-30-foot-magnetic-double-hook</v>
      </c>
      <c r="B1857" s="3" t="str">
        <f>HYPERLINK("https://edmondsonsupply.com/products/klein-tools-9230-tape-measure-30-foot-magnetic-double-hook", "https://edmondsonsupply.com/products/klein-tools-9230-tape-measure-30-foot-magnetic-double-hook")</f>
        <v>https://edmondsonsupply.com/products/klein-tools-9230-tape-measure-30-foot-magnetic-double-hook</v>
      </c>
      <c r="C1857" t="s">
        <v>5073</v>
      </c>
      <c r="D1857" t="s">
        <v>5074</v>
      </c>
      <c r="E1857" s="3" t="str">
        <f>HYPERLINK("https://www.amazon.com/Klein-Tools-Magnetic-Double-Hook-9230KLE/dp/B07WD63HT7/ref=sr_1_1?keywords=Klein+Tools+9230+Tape+Measure%2C+30-Foot+Magnetic+Double-Hook&amp;qid=1695173665&amp;sr=8-1", "https://www.amazon.com/Klein-Tools-Magnetic-Double-Hook-9230KLE/dp/B07WD63HT7/ref=sr_1_1?keywords=Klein+Tools+9230+Tape+Measure%2C+30-Foot+Magnetic+Double-Hook&amp;qid=1695173665&amp;sr=8-1")</f>
        <v>https://www.amazon.com/Klein-Tools-Magnetic-Double-Hook-9230KLE/dp/B07WD63HT7/ref=sr_1_1?keywords=Klein+Tools+9230+Tape+Measure%2C+30-Foot+Magnetic+Double-Hook&amp;qid=1695173665&amp;sr=8-1</v>
      </c>
      <c r="F1857" t="s">
        <v>5075</v>
      </c>
      <c r="G1857" t="e">
        <f ca="1">_xludf.IMAGE("https://edmondsonsupply.com/cdn/shop/products/9230_photo.jpg?v=1587150845")</f>
        <v>#NAME?</v>
      </c>
      <c r="H1857" t="e">
        <f ca="1">_xludf.IMAGE("https://m.media-amazon.com/images/I/51s8pyLU6TL._AC_UL320_.jpg")</f>
        <v>#NAME?</v>
      </c>
      <c r="I1857" t="s">
        <v>4310</v>
      </c>
      <c r="J1857">
        <v>30.99</v>
      </c>
      <c r="K1857" s="4">
        <v>-8.8300000000000003E-2</v>
      </c>
      <c r="L1857">
        <v>4.5999999999999996</v>
      </c>
      <c r="M1857">
        <v>465</v>
      </c>
      <c r="O1857" t="s">
        <v>25</v>
      </c>
      <c r="P1857" t="s">
        <v>5076</v>
      </c>
      <c r="Q1857" t="s">
        <v>5077</v>
      </c>
    </row>
    <row r="1858" spans="1:17" ht="15.5" x14ac:dyDescent="0.35">
      <c r="A1858" s="3" t="str">
        <f>HYPERLINK("https://edmondsonsupply.com/collections/hvac/products/klein-tools-646-1-4-1-4-inch-nut-driver-with-6-inch-hollow-shaft", "https://edmondsonsupply.com/collections/hvac/products/klein-tools-646-1-4-1-4-inch-nut-driver-with-6-inch-hollow-shaft")</f>
        <v>https://edmondsonsupply.com/collections/hvac/products/klein-tools-646-1-4-1-4-inch-nut-driver-with-6-inch-hollow-shaft</v>
      </c>
      <c r="B1858" s="3" t="str">
        <f>HYPERLINK("https://edmondsonsupply.com/products/klein-tools-646-1-4-1-4-inch-nut-driver-with-6-inch-hollow-shaft", "https://edmondsonsupply.com/products/klein-tools-646-1-4-1-4-inch-nut-driver-with-6-inch-hollow-shaft")</f>
        <v>https://edmondsonsupply.com/products/klein-tools-646-1-4-1-4-inch-nut-driver-with-6-inch-hollow-shaft</v>
      </c>
      <c r="C1858" t="s">
        <v>1478</v>
      </c>
      <c r="D1858" t="s">
        <v>5078</v>
      </c>
      <c r="E1858" s="3" t="str">
        <f>HYPERLINK("https://www.amazon.com/Klein-S8-4-Inch-Hollow-Shank-Driver/dp/B0000302VS/ref=sr_1_7?keywords=Klein+Tools+646-1%2F4+1%2F4-Inch+Nut+Driver+with+6-Inch+Hollow+Shaft&amp;qid=1695173548&amp;sr=8-7", "https://www.amazon.com/Klein-S8-4-Inch-Hollow-Shank-Driver/dp/B0000302VS/ref=sr_1_7?keywords=Klein+Tools+646-1%2F4+1%2F4-Inch+Nut+Driver+with+6-Inch+Hollow+Shaft&amp;qid=1695173548&amp;sr=8-7")</f>
        <v>https://www.amazon.com/Klein-S8-4-Inch-Hollow-Shank-Driver/dp/B0000302VS/ref=sr_1_7?keywords=Klein+Tools+646-1%2F4+1%2F4-Inch+Nut+Driver+with+6-Inch+Hollow+Shaft&amp;qid=1695173548&amp;sr=8-7</v>
      </c>
      <c r="F1858" t="s">
        <v>5079</v>
      </c>
      <c r="G1858" t="e">
        <f ca="1">_xludf.IMAGE("https://edmondsonsupply.com/cdn/shop/products/646-1-2_08d87fa9-eac4-4869-8d3b-bb680d4b1d53.jpg?v=1587150676")</f>
        <v>#NAME?</v>
      </c>
      <c r="H1858" t="e">
        <f ca="1">_xludf.IMAGE("https://m.media-amazon.com/images/I/41LI6wTa36L._AC_UL320_.jpg")</f>
        <v>#NAME?</v>
      </c>
      <c r="I1858" t="s">
        <v>1003</v>
      </c>
      <c r="J1858">
        <v>7.28</v>
      </c>
      <c r="K1858" s="4">
        <v>-8.8900000000000007E-2</v>
      </c>
      <c r="L1858">
        <v>4.5</v>
      </c>
      <c r="M1858">
        <v>225</v>
      </c>
      <c r="O1858" t="s">
        <v>25</v>
      </c>
      <c r="P1858" t="s">
        <v>1481</v>
      </c>
      <c r="Q1858" t="s">
        <v>1482</v>
      </c>
    </row>
    <row r="1859" spans="1:17" ht="15.5" x14ac:dyDescent="0.35">
      <c r="A1859" s="3" t="str">
        <f>HYPERLINK("https://edmondsonsupply.com/collections/hvac/products/braeburn-1230-economy-thermostat-2-heat-1-cool-non-programmable", "https://edmondsonsupply.com/collections/hvac/products/braeburn-1230-economy-thermostat-2-heat-1-cool-non-programmable")</f>
        <v>https://edmondsonsupply.com/collections/hvac/products/braeburn-1230-economy-thermostat-2-heat-1-cool-non-programmable</v>
      </c>
      <c r="B1859" s="3" t="str">
        <f>HYPERLINK("https://edmondsonsupply.com/products/braeburn-1230-economy-thermostat-2-heat-1-cool-non-programmable", "https://edmondsonsupply.com/products/braeburn-1230-economy-thermostat-2-heat-1-cool-non-programmable")</f>
        <v>https://edmondsonsupply.com/products/braeburn-1230-economy-thermostat-2-heat-1-cool-non-programmable</v>
      </c>
      <c r="C1859" t="s">
        <v>5080</v>
      </c>
      <c r="D1859" t="s">
        <v>5081</v>
      </c>
      <c r="E1859" s="3" t="str">
        <f>HYPERLINK("https://www.amazon.com/Braeburn-Thermostat-Builder-Non-Programmable-Conventional/dp/B018A2RKJ8/ref=sr_1_10?keywords=Braeburn+1230+Economy+Thermostat%2C+2+Heat+%2F+1+Cool+Non-Programmable&amp;qid=1695173716&amp;sr=8-10", "https://www.amazon.com/Braeburn-Thermostat-Builder-Non-Programmable-Conventional/dp/B018A2RKJ8/ref=sr_1_10?keywords=Braeburn+1230+Economy+Thermostat%2C+2+Heat+%2F+1+Cool+Non-Programmable&amp;qid=1695173716&amp;sr=8-10")</f>
        <v>https://www.amazon.com/Braeburn-Thermostat-Builder-Non-Programmable-Conventional/dp/B018A2RKJ8/ref=sr_1_10?keywords=Braeburn+1230+Economy+Thermostat%2C+2+Heat+%2F+1+Cool+Non-Programmable&amp;qid=1695173716&amp;sr=8-10</v>
      </c>
      <c r="F1859" t="s">
        <v>5082</v>
      </c>
      <c r="G1859" t="e">
        <f ca="1">_xludf.IMAGE("https://edmondsonsupply.com/cdn/shop/files/1230.png?v=1691584960")</f>
        <v>#NAME?</v>
      </c>
      <c r="H1859" t="e">
        <f ca="1">_xludf.IMAGE("https://m.media-amazon.com/images/I/313-b7P2lmL._AC_UL320_.jpg")</f>
        <v>#NAME?</v>
      </c>
      <c r="I1859" t="s">
        <v>5083</v>
      </c>
      <c r="J1859">
        <v>49.96</v>
      </c>
      <c r="K1859" s="4">
        <v>-8.9200000000000002E-2</v>
      </c>
      <c r="L1859">
        <v>4.5999999999999996</v>
      </c>
      <c r="M1859">
        <v>11</v>
      </c>
      <c r="O1859" t="s">
        <v>25</v>
      </c>
      <c r="P1859" t="s">
        <v>138</v>
      </c>
      <c r="Q1859" t="s">
        <v>5084</v>
      </c>
    </row>
    <row r="1860" spans="1:17" ht="15.5" x14ac:dyDescent="0.35">
      <c r="A1860" s="3" t="str">
        <f>HYPERLINK("https://edmondsonsupply.com/collections/hvac/products/channellock-87", "https://edmondsonsupply.com/collections/hvac/products/channellock-87")</f>
        <v>https://edmondsonsupply.com/collections/hvac/products/channellock-87</v>
      </c>
      <c r="B1860" s="3" t="str">
        <f>HYPERLINK("https://edmondsonsupply.com/products/channellock-87", "https://edmondsonsupply.com/products/channellock-87")</f>
        <v>https://edmondsonsupply.com/products/channellock-87</v>
      </c>
      <c r="C1860" t="s">
        <v>5085</v>
      </c>
      <c r="D1860" t="s">
        <v>5086</v>
      </c>
      <c r="E1860" s="3" t="str">
        <f>HYPERLINK("https://www.amazon.com/Channellock-86-Spring-Loaded-Compact/dp/B00X3WJ50S/ref=sr_1_3?keywords=Channellock+87+9%22+Rescue+Tool&amp;qid=1695173392&amp;sr=8-3", "https://www.amazon.com/Channellock-86-Spring-Loaded-Compact/dp/B00X3WJ50S/ref=sr_1_3?keywords=Channellock+87+9%22+Rescue+Tool&amp;qid=1695173392&amp;sr=8-3")</f>
        <v>https://www.amazon.com/Channellock-86-Spring-Loaded-Compact/dp/B00X3WJ50S/ref=sr_1_3?keywords=Channellock+87+9%22+Rescue+Tool&amp;qid=1695173392&amp;sr=8-3</v>
      </c>
      <c r="F1860" t="s">
        <v>5087</v>
      </c>
      <c r="G1860" t="e">
        <f ca="1">_xludf.IMAGE("https://edmondsonsupply.com/cdn/shop/products/87.png?v=1587151315")</f>
        <v>#NAME?</v>
      </c>
      <c r="H1860" t="e">
        <f ca="1">_xludf.IMAGE("https://m.media-amazon.com/images/I/7192vROD+kL._AC_UL320_.jpg")</f>
        <v>#NAME?</v>
      </c>
      <c r="I1860" t="s">
        <v>5088</v>
      </c>
      <c r="J1860">
        <v>49.99</v>
      </c>
      <c r="K1860" s="4">
        <v>-9.0300000000000005E-2</v>
      </c>
      <c r="L1860">
        <v>4.7</v>
      </c>
      <c r="M1860">
        <v>1031</v>
      </c>
      <c r="O1860" t="s">
        <v>25</v>
      </c>
      <c r="P1860" t="s">
        <v>5089</v>
      </c>
      <c r="Q1860" t="s">
        <v>5090</v>
      </c>
    </row>
    <row r="1861" spans="1:17" ht="15.5" x14ac:dyDescent="0.35">
      <c r="A1861" s="3" t="str">
        <f>HYPERLINK("https://edmondsonsupply.com/collections/hvac/products/klein-tools-85073ins-screwdriver-set-1000v-insulated-3-piece", "https://edmondsonsupply.com/collections/hvac/products/klein-tools-85073ins-screwdriver-set-1000v-insulated-3-piece")</f>
        <v>https://edmondsonsupply.com/collections/hvac/products/klein-tools-85073ins-screwdriver-set-1000v-insulated-3-piece</v>
      </c>
      <c r="B1861"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1861" t="s">
        <v>2244</v>
      </c>
      <c r="D1861" t="s">
        <v>5091</v>
      </c>
      <c r="E1861" s="3" t="str">
        <f>HYPERLINK("https://www.amazon.com/Klein-Tools-85073INS-Insulated-Screwdriver/dp/B0BF79WQZX/ref=sr_1_1?keywords=Klein+Tools+85073INS+Screwdriver+Set%2C+1000V+Insulated%2C+3-Piece&amp;qid=1695173458&amp;sr=8-1", "https://www.amazon.com/Klein-Tools-85073INS-Insulated-Screwdriver/dp/B0BF79WQZX/ref=sr_1_1?keywords=Klein+Tools+85073INS+Screwdriver+Set%2C+1000V+Insulated%2C+3-Piece&amp;qid=1695173458&amp;sr=8-1")</f>
        <v>https://www.amazon.com/Klein-Tools-85073INS-Insulated-Screwdriver/dp/B0BF79WQZX/ref=sr_1_1?keywords=Klein+Tools+85073INS+Screwdriver+Set%2C+1000V+Insulated%2C+3-Piece&amp;qid=1695173458&amp;sr=8-1</v>
      </c>
      <c r="F1861" t="s">
        <v>5092</v>
      </c>
      <c r="G1861" t="e">
        <f ca="1">_xludf.IMAGE("https://edmondsonsupply.com/cdn/shop/products/85073ins.jpg?v=1664890503")</f>
        <v>#NAME?</v>
      </c>
      <c r="H1861" t="e">
        <f ca="1">_xludf.IMAGE("https://m.media-amazon.com/images/I/51dL7msUIqL._AC_UL320_.jpg")</f>
        <v>#NAME?</v>
      </c>
      <c r="I1861" t="s">
        <v>2247</v>
      </c>
      <c r="J1861">
        <v>19.97</v>
      </c>
      <c r="K1861" s="4">
        <v>-9.0999999999999998E-2</v>
      </c>
      <c r="L1861">
        <v>4.9000000000000004</v>
      </c>
      <c r="M1861">
        <v>205</v>
      </c>
      <c r="O1861" t="s">
        <v>25</v>
      </c>
      <c r="P1861" t="s">
        <v>2158</v>
      </c>
      <c r="Q1861" t="s">
        <v>2248</v>
      </c>
    </row>
    <row r="1862" spans="1:17" ht="15.5" x14ac:dyDescent="0.35">
      <c r="A1862" s="3" t="str">
        <f>HYPERLINK("https://edmondsonsupply.com/collections/hvac/products/channellock-432", "https://edmondsonsupply.com/collections/hvac/products/channellock-432")</f>
        <v>https://edmondsonsupply.com/collections/hvac/products/channellock-432</v>
      </c>
      <c r="B1862" s="3" t="str">
        <f>HYPERLINK("https://edmondsonsupply.com/products/channellock-432", "https://edmondsonsupply.com/products/channellock-432")</f>
        <v>https://edmondsonsupply.com/products/channellock-432</v>
      </c>
      <c r="C1862" t="s">
        <v>2472</v>
      </c>
      <c r="D1862" t="s">
        <v>3909</v>
      </c>
      <c r="E1862" s="3" t="str">
        <f>HYPERLINK("https://www.amazon.com/Channellock-430-Straight-Heat-Treated-Reinforcing/dp/B00002N5JF/ref=sr_1_6?keywords=Channellock+440+12%22+Straight+Jaw+Tongue+%26+Groove+Pliers&amp;qid=1695173686&amp;sr=8-6", "https://www.amazon.com/Channellock-430-Straight-Heat-Treated-Reinforcing/dp/B00002N5JF/ref=sr_1_6?keywords=Channellock+440+12%22+Straight+Jaw+Tongue+%26+Groove+Pliers&amp;qid=1695173686&amp;sr=8-6")</f>
        <v>https://www.amazon.com/Channellock-430-Straight-Heat-Treated-Reinforcing/dp/B00002N5JF/ref=sr_1_6?keywords=Channellock+440+12%22+Straight+Jaw+Tongue+%26+Groove+Pliers&amp;qid=1695173686&amp;sr=8-6</v>
      </c>
      <c r="F1862" t="s">
        <v>3910</v>
      </c>
      <c r="G1862" t="e">
        <f ca="1">_xludf.IMAGE("https://edmondsonsupply.com/cdn/shop/products/440-546x1024.jpg?v=1587148892")</f>
        <v>#NAME?</v>
      </c>
      <c r="H1862" t="e">
        <f ca="1">_xludf.IMAGE("https://m.media-amazon.com/images/I/71JqgqffnnL._AC_UL320_.jpg")</f>
        <v>#NAME?</v>
      </c>
      <c r="I1862" t="s">
        <v>2475</v>
      </c>
      <c r="J1862">
        <v>19.95</v>
      </c>
      <c r="K1862" s="4">
        <v>-9.11E-2</v>
      </c>
      <c r="L1862">
        <v>4.8</v>
      </c>
      <c r="M1862">
        <v>2191</v>
      </c>
      <c r="O1862" t="s">
        <v>25</v>
      </c>
      <c r="P1862" t="s">
        <v>2476</v>
      </c>
      <c r="Q1862" t="s">
        <v>2477</v>
      </c>
    </row>
    <row r="1863" spans="1:17" ht="15.5" x14ac:dyDescent="0.35">
      <c r="A1863" s="3" t="str">
        <f>HYPERLINK("https://edmondsonsupply.com/collections/hvac/products/navac-nvr1-valve-core-removal-tool", "https://edmondsonsupply.com/collections/hvac/products/navac-nvr1-valve-core-removal-tool")</f>
        <v>https://edmondsonsupply.com/collections/hvac/products/navac-nvr1-valve-core-removal-tool</v>
      </c>
      <c r="B1863" s="3" t="str">
        <f>HYPERLINK("https://edmondsonsupply.com/products/navac-nvr1-valve-core-removal-tool", "https://edmondsonsupply.com/products/navac-nvr1-valve-core-removal-tool")</f>
        <v>https://edmondsonsupply.com/products/navac-nvr1-valve-core-removal-tool</v>
      </c>
      <c r="C1863" t="s">
        <v>5093</v>
      </c>
      <c r="D1863" t="s">
        <v>5094</v>
      </c>
      <c r="E1863" s="3" t="str">
        <f>HYPERLINK("https://www.amazon.com/Navac-NVR1-Valve-Core-Removal/dp/B07VN8L5WC/ref=sr_1_1?keywords=NAVAC+NVR1+Valve+Core+Removal+Tool&amp;qid=1695173648&amp;sr=8-1", "https://www.amazon.com/Navac-NVR1-Valve-Core-Removal/dp/B07VN8L5WC/ref=sr_1_1?keywords=NAVAC+NVR1+Valve+Core+Removal+Tool&amp;qid=1695173648&amp;sr=8-1")</f>
        <v>https://www.amazon.com/Navac-NVR1-Valve-Core-Removal/dp/B07VN8L5WC/ref=sr_1_1?keywords=NAVAC+NVR1+Valve+Core+Removal+Tool&amp;qid=1695173648&amp;sr=8-1</v>
      </c>
      <c r="F1863" t="s">
        <v>5095</v>
      </c>
      <c r="G1863" t="e">
        <f ca="1">_xludf.IMAGE("https://edmondsonsupply.com/cdn/shop/products/NVR1-2-1024x663.png?v=1633030654")</f>
        <v>#NAME?</v>
      </c>
      <c r="H1863" t="e">
        <f ca="1">_xludf.IMAGE("https://m.media-amazon.com/images/I/51+oeEI8prL._AC_UL320_.jpg")</f>
        <v>#NAME?</v>
      </c>
      <c r="I1863" t="s">
        <v>5096</v>
      </c>
      <c r="J1863">
        <v>61.5</v>
      </c>
      <c r="K1863" s="4">
        <v>-9.2399999999999996E-2</v>
      </c>
      <c r="L1863">
        <v>4.3</v>
      </c>
      <c r="M1863">
        <v>64</v>
      </c>
      <c r="O1863" t="s">
        <v>25</v>
      </c>
      <c r="P1863" t="s">
        <v>5097</v>
      </c>
      <c r="Q1863" t="s">
        <v>5098</v>
      </c>
    </row>
    <row r="1864" spans="1:17" ht="15.5" x14ac:dyDescent="0.35">
      <c r="A1864"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1864"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1864" t="s">
        <v>3118</v>
      </c>
      <c r="D1864" t="s">
        <v>5099</v>
      </c>
      <c r="E1864" s="3" t="str">
        <f>HYPERLINK("https://www.amazon.com/Journeyman-T-Handle-Klein-Tools-JTH6T40/dp/B005G3B500/ref=sr_1_8?keywords=Klein+Tools+JTH4E17+1%2F2-Inch+Hex+Key%2C+Journeyman+T-Handle%2C+4-Inch&amp;qid=1695173633&amp;sr=8-8", "https://www.amazon.com/Journeyman-T-Handle-Klein-Tools-JTH6T40/dp/B005G3B500/ref=sr_1_8?keywords=Klein+Tools+JTH4E17+1%2F2-Inch+Hex+Key%2C+Journeyman+T-Handle%2C+4-Inch&amp;qid=1695173633&amp;sr=8-8")</f>
        <v>https://www.amazon.com/Journeyman-T-Handle-Klein-Tools-JTH6T40/dp/B005G3B500/ref=sr_1_8?keywords=Klein+Tools+JTH4E17+1%2F2-Inch+Hex+Key%2C+Journeyman+T-Handle%2C+4-Inch&amp;qid=1695173633&amp;sr=8-8</v>
      </c>
      <c r="F1864" t="s">
        <v>5100</v>
      </c>
      <c r="G1864" t="e">
        <f ca="1">_xludf.IMAGE("https://edmondsonsupply.com/cdn/shop/products/jth4e17_583549be-7b42-43c7-9c3d-a92f2416ede5.jpg?v=1610655610")</f>
        <v>#NAME?</v>
      </c>
      <c r="H1864" t="e">
        <f ca="1">_xludf.IMAGE("https://m.media-amazon.com/images/I/51Xj0Vsb-EL._AC_UL320_.jpg")</f>
        <v>#NAME?</v>
      </c>
      <c r="I1864" t="s">
        <v>252</v>
      </c>
      <c r="J1864">
        <v>14.51</v>
      </c>
      <c r="K1864" s="4">
        <v>-9.2600000000000002E-2</v>
      </c>
      <c r="L1864">
        <v>4.8</v>
      </c>
      <c r="M1864">
        <v>1544</v>
      </c>
      <c r="O1864" t="s">
        <v>25</v>
      </c>
      <c r="P1864" t="s">
        <v>3121</v>
      </c>
      <c r="Q1864" t="s">
        <v>3122</v>
      </c>
    </row>
    <row r="1865" spans="1:17" ht="15.5" x14ac:dyDescent="0.35">
      <c r="A1865"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865" s="3" t="str">
        <f>HYPERLINK("https://edmondsonsupply.com/products/klein-tools-d2000-28glw-diagonal-cutting-pliers-hi-viz-8-inch", "https://edmondsonsupply.com/products/klein-tools-d2000-28glw-diagonal-cutting-pliers-hi-viz-8-inch")</f>
        <v>https://edmondsonsupply.com/products/klein-tools-d2000-28glw-diagonal-cutting-pliers-hi-viz-8-inch</v>
      </c>
      <c r="C1865" t="s">
        <v>4233</v>
      </c>
      <c r="D1865" t="s">
        <v>5101</v>
      </c>
      <c r="E1865" s="3" t="str">
        <f>HYPERLINK("https://www.amazon.com/Diagonal-Cutting-Klein-Tools-D248-8-GLW/dp/B00LMM39TY/ref=sr_1_5?keywords=Klein+Tools+D200028GLW+Diagonal+Cutting+Pliers%2C+High-Visibility%2C+8-Inch&amp;qid=1695173646&amp;sr=8-5", "https://www.amazon.com/Diagonal-Cutting-Klein-Tools-D248-8-GLW/dp/B00LMM39TY/ref=sr_1_5?keywords=Klein+Tools+D200028GLW+Diagonal+Cutting+Pliers%2C+High-Visibility%2C+8-Inch&amp;qid=1695173646&amp;sr=8-5")</f>
        <v>https://www.amazon.com/Diagonal-Cutting-Klein-Tools-D248-8-GLW/dp/B00LMM39TY/ref=sr_1_5?keywords=Klein+Tools+D200028GLW+Diagonal+Cutting+Pliers%2C+High-Visibility%2C+8-Inch&amp;qid=1695173646&amp;sr=8-5</v>
      </c>
      <c r="F1865" t="s">
        <v>5102</v>
      </c>
      <c r="G1865" t="e">
        <f ca="1">_xludf.IMAGE("https://edmondsonsupply.com/cdn/shop/products/d200028glw.jpg?v=1633030701")</f>
        <v>#NAME?</v>
      </c>
      <c r="H1865" t="e">
        <f ca="1">_xludf.IMAGE("https://m.media-amazon.com/images/I/41HSLnsbFiL._AC_UL320_.jpg")</f>
        <v>#NAME?</v>
      </c>
      <c r="I1865" t="s">
        <v>67</v>
      </c>
      <c r="J1865">
        <v>33.99</v>
      </c>
      <c r="K1865" s="4">
        <v>-9.3399999999999997E-2</v>
      </c>
      <c r="L1865">
        <v>4.9000000000000004</v>
      </c>
      <c r="M1865">
        <v>634</v>
      </c>
      <c r="O1865" t="s">
        <v>25</v>
      </c>
      <c r="P1865" t="s">
        <v>4236</v>
      </c>
      <c r="Q1865" t="s">
        <v>4237</v>
      </c>
    </row>
    <row r="1866" spans="1:17" ht="15.5" x14ac:dyDescent="0.35">
      <c r="A1866" s="3" t="str">
        <f>HYPERLINK("https://edmondsonsupply.com/collections/hvac/products/greenlee-1923a-wire-stripper", "https://edmondsonsupply.com/collections/hvac/products/greenlee-1923a-wire-stripper")</f>
        <v>https://edmondsonsupply.com/collections/hvac/products/greenlee-1923a-wire-stripper</v>
      </c>
      <c r="B1866" s="3" t="str">
        <f>HYPERLINK("https://edmondsonsupply.com/products/greenlee-1923a-wire-stripper", "https://edmondsonsupply.com/products/greenlee-1923a-wire-stripper")</f>
        <v>https://edmondsonsupply.com/products/greenlee-1923a-wire-stripper</v>
      </c>
      <c r="C1866" t="s">
        <v>5103</v>
      </c>
      <c r="D1866" t="s">
        <v>5104</v>
      </c>
      <c r="E1866" s="3" t="str">
        <f>HYPERLINK("https://www.amazon.com/Greenlee-1955-SS-Stainless-Stripper-7-5-Inches/dp/B00GFXD22E/ref=sr_1_3?keywords=Greenlee+1923A+Wire+Stripper%2FCutter%2FCrimper&amp;qid=1695173760&amp;sr=8-3", "https://www.amazon.com/Greenlee-1955-SS-Stainless-Stripper-7-5-Inches/dp/B00GFXD22E/ref=sr_1_3?keywords=Greenlee+1923A+Wire+Stripper%2FCutter%2FCrimper&amp;qid=1695173760&amp;sr=8-3")</f>
        <v>https://www.amazon.com/Greenlee-1955-SS-Stainless-Stripper-7-5-Inches/dp/B00GFXD22E/ref=sr_1_3?keywords=Greenlee+1923A+Wire+Stripper%2FCutter%2FCrimper&amp;qid=1695173760&amp;sr=8-3</v>
      </c>
      <c r="F1866" t="s">
        <v>5105</v>
      </c>
      <c r="G1866" t="e">
        <f ca="1">_xludf.IMAGE("https://edmondsonsupply.com/cdn/shop/files/1923A_72dpi.jpg?v=1687453415")</f>
        <v>#NAME?</v>
      </c>
      <c r="H1866" t="e">
        <f ca="1">_xludf.IMAGE("https://m.media-amazon.com/images/I/818sDIaL7HL._AC_UL320_.jpg")</f>
        <v>#NAME?</v>
      </c>
      <c r="I1866" t="s">
        <v>5106</v>
      </c>
      <c r="J1866">
        <v>25.64</v>
      </c>
      <c r="K1866" s="4">
        <v>-9.3700000000000006E-2</v>
      </c>
      <c r="L1866">
        <v>4.7</v>
      </c>
      <c r="M1866">
        <v>521</v>
      </c>
      <c r="O1866" t="s">
        <v>25</v>
      </c>
      <c r="P1866" t="s">
        <v>5107</v>
      </c>
      <c r="Q1866" t="s">
        <v>5108</v>
      </c>
    </row>
    <row r="1867" spans="1:17" ht="15.5" x14ac:dyDescent="0.35">
      <c r="A1867" s="3" t="str">
        <f>HYPERLINK("https://edmondsonsupply.com/collections/hvac/products/imperial-368-fh-imp%E2%84%A2-triple-head-tube-bender-3-16-3-8-o-d", "https://edmondsonsupply.com/collections/hvac/products/imperial-368-fh-imp%E2%84%A2-triple-head-tube-bender-3-16-3-8-o-d")</f>
        <v>https://edmondsonsupply.com/collections/hvac/products/imperial-368-fh-imp%E2%84%A2-triple-head-tube-bender-3-16-3-8-o-d</v>
      </c>
      <c r="B1867" s="3" t="str">
        <f>HYPERLINK("https://edmondsonsupply.com/products/imperial-368-fh-imp%e2%84%a2-triple-head-tube-bender-3-16-3-8-o-d", "https://edmondsonsupply.com/products/imperial-368-fh-imp%e2%84%a2-triple-head-tube-bender-3-16-3-8-o-d")</f>
        <v>https://edmondsonsupply.com/products/imperial-368-fh-imp%e2%84%a2-triple-head-tube-bender-3-16-3-8-o-d</v>
      </c>
      <c r="C1867" t="s">
        <v>3374</v>
      </c>
      <c r="D1867" t="s">
        <v>5109</v>
      </c>
      <c r="E1867" s="3" t="str">
        <f>HYPERLINK("https://www.amazon.com/Imperial-Tool-368FH-Triple-Header/dp/B001HWFI0W/ref=sr_1_3?keywords=Imperial+368-FH+IMP%E2%84%A2+Triple+Head+Tube+Bender+3%2F16%22+-+3%2F8%22+O.D.&amp;qid=1695173677&amp;sr=8-3", "https://www.amazon.com/Imperial-Tool-368FH-Triple-Header/dp/B001HWFI0W/ref=sr_1_3?keywords=Imperial+368-FH+IMP%E2%84%A2+Triple+Head+Tube+Bender+3%2F16%22+-+3%2F8%22+O.D.&amp;qid=1695173677&amp;sr=8-3")</f>
        <v>https://www.amazon.com/Imperial-Tool-368FH-Triple-Header/dp/B001HWFI0W/ref=sr_1_3?keywords=Imperial+368-FH+IMP%E2%84%A2+Triple+Head+Tube+Bender+3%2F16%22+-+3%2F8%22+O.D.&amp;qid=1695173677&amp;sr=8-3</v>
      </c>
      <c r="F1867" t="s">
        <v>5110</v>
      </c>
      <c r="G1867" t="e">
        <f ca="1">_xludf.IMAGE("https://edmondsonsupply.com/cdn/shop/products/368-FH.jpg?v=1587145793")</f>
        <v>#NAME?</v>
      </c>
      <c r="H1867" t="e">
        <f ca="1">_xludf.IMAGE("https://m.media-amazon.com/images/I/81rtBVJ1xmL._AC_UL320_.jpg")</f>
        <v>#NAME?</v>
      </c>
      <c r="I1867" t="s">
        <v>3377</v>
      </c>
      <c r="J1867">
        <v>33.03</v>
      </c>
      <c r="K1867" s="4">
        <v>-9.5600000000000004E-2</v>
      </c>
      <c r="L1867">
        <v>4.4000000000000004</v>
      </c>
      <c r="M1867">
        <v>60</v>
      </c>
      <c r="O1867" t="s">
        <v>25</v>
      </c>
      <c r="P1867" t="s">
        <v>138</v>
      </c>
      <c r="Q1867" t="s">
        <v>3378</v>
      </c>
    </row>
    <row r="1868" spans="1:17" ht="15.5" x14ac:dyDescent="0.35">
      <c r="A1868" s="3" t="str">
        <f>HYPERLINK("https://edmondsonsupply.com/collections/hvac/products/klein-tools-ir07-dual-ir-probe-thermometer", "https://edmondsonsupply.com/collections/hvac/products/klein-tools-ir07-dual-ir-probe-thermometer")</f>
        <v>https://edmondsonsupply.com/collections/hvac/products/klein-tools-ir07-dual-ir-probe-thermometer</v>
      </c>
      <c r="B1868" s="3" t="str">
        <f>HYPERLINK("https://edmondsonsupply.com/products/klein-tools-ir07-dual-ir-probe-thermometer", "https://edmondsonsupply.com/products/klein-tools-ir07-dual-ir-probe-thermometer")</f>
        <v>https://edmondsonsupply.com/products/klein-tools-ir07-dual-ir-probe-thermometer</v>
      </c>
      <c r="C1868" t="s">
        <v>2948</v>
      </c>
      <c r="D1868" t="s">
        <v>1860</v>
      </c>
      <c r="E1868" s="3" t="str">
        <f>HYPERLINK("https://www.amazon.com/Klein-Tools-IR07-Infrared-Thermometer/dp/B07P9WM69C/ref=sr_1_2?keywords=Klein+Tools+IR07+Dual+IR%2FProbe+Thermometer&amp;qid=1695173681&amp;sr=8-2", "https://www.amazon.com/Klein-Tools-IR07-Infrared-Thermometer/dp/B07P9WM69C/ref=sr_1_2?keywords=Klein+Tools+IR07+Dual+IR%2FProbe+Thermometer&amp;qid=1695173681&amp;sr=8-2")</f>
        <v>https://www.amazon.com/Klein-Tools-IR07-Infrared-Thermometer/dp/B07P9WM69C/ref=sr_1_2?keywords=Klein+Tools+IR07+Dual+IR%2FProbe+Thermometer&amp;qid=1695173681&amp;sr=8-2</v>
      </c>
      <c r="F1868" t="s">
        <v>1861</v>
      </c>
      <c r="G1868" t="e">
        <f ca="1">_xludf.IMAGE("https://edmondsonsupply.com/cdn/shop/products/ir07.jpg?v=1599003623")</f>
        <v>#NAME?</v>
      </c>
      <c r="H1868" t="e">
        <f ca="1">_xludf.IMAGE("https://m.media-amazon.com/images/I/51JBUtWpWuS._AC_UY218_.jpg")</f>
        <v>#NAME?</v>
      </c>
      <c r="I1868" t="s">
        <v>2951</v>
      </c>
      <c r="J1868">
        <v>51.97</v>
      </c>
      <c r="K1868" s="4">
        <v>-9.6000000000000002E-2</v>
      </c>
      <c r="L1868">
        <v>4.7</v>
      </c>
      <c r="M1868">
        <v>779</v>
      </c>
      <c r="O1868" t="s">
        <v>25</v>
      </c>
      <c r="P1868" t="s">
        <v>2952</v>
      </c>
      <c r="Q1868" t="s">
        <v>2953</v>
      </c>
    </row>
    <row r="1869" spans="1:17" ht="15.5" x14ac:dyDescent="0.35">
      <c r="A1869" s="3" t="str">
        <f>HYPERLINK("https://edmondsonsupply.com/collections/hvac/products/packard-c130a-contactor-1-pole-30-amps-24-coil-voltage", "https://edmondsonsupply.com/collections/hvac/products/packard-c130a-contactor-1-pole-30-amps-24-coil-voltage")</f>
        <v>https://edmondsonsupply.com/collections/hvac/products/packard-c130a-contactor-1-pole-30-amps-24-coil-voltage</v>
      </c>
      <c r="B1869" s="3" t="str">
        <f>HYPERLINK("https://edmondsonsupply.com/products/packard-c130a-contactor-1-pole-30-amps-24-coil-voltage", "https://edmondsonsupply.com/products/packard-c130a-contactor-1-pole-30-amps-24-coil-voltage")</f>
        <v>https://edmondsonsupply.com/products/packard-c130a-contactor-1-pole-30-amps-24-coil-voltage</v>
      </c>
      <c r="C1869" t="s">
        <v>2726</v>
      </c>
      <c r="D1869" t="s">
        <v>5111</v>
      </c>
      <c r="E1869" s="3" t="str">
        <f>HYPERLINK("https://www.amazon.com/Packard-Contactor-C130A-Pole-Voltage/dp/B002CJFJWQ/ref=sr_1_1?keywords=Packard+C130A+Contactor+1+Pole+30+Amps+24+Coil+Voltage&amp;qid=1695173411&amp;sr=8-1", "https://www.amazon.com/Packard-Contactor-C130A-Pole-Voltage/dp/B002CJFJWQ/ref=sr_1_1?keywords=Packard+C130A+Contactor+1+Pole+30+Amps+24+Coil+Voltage&amp;qid=1695173411&amp;sr=8-1")</f>
        <v>https://www.amazon.com/Packard-Contactor-C130A-Pole-Voltage/dp/B002CJFJWQ/ref=sr_1_1?keywords=Packard+C130A+Contactor+1+Pole+30+Amps+24+Coil+Voltage&amp;qid=1695173411&amp;sr=8-1</v>
      </c>
      <c r="F1869" t="s">
        <v>5112</v>
      </c>
      <c r="G1869" t="e">
        <f ca="1">_xludf.IMAGE("https://edmondsonsupply.com/cdn/shop/products/61bb566724620904123205.jpg?v=1650335931")</f>
        <v>#NAME?</v>
      </c>
      <c r="H1869" t="e">
        <f ca="1">_xludf.IMAGE("https://m.media-amazon.com/images/I/41n4xVc0BbL._AC_UY218_.jpg")</f>
        <v>#NAME?</v>
      </c>
      <c r="I1869" t="s">
        <v>2729</v>
      </c>
      <c r="J1869">
        <v>8.69</v>
      </c>
      <c r="K1869" s="4">
        <v>-9.6699999999999994E-2</v>
      </c>
      <c r="L1869">
        <v>4.5999999999999996</v>
      </c>
      <c r="M1869">
        <v>275</v>
      </c>
      <c r="O1869" t="s">
        <v>25</v>
      </c>
      <c r="P1869" t="s">
        <v>138</v>
      </c>
      <c r="Q1869" t="s">
        <v>2730</v>
      </c>
    </row>
    <row r="1870" spans="1:17" ht="15.5" x14ac:dyDescent="0.35">
      <c r="A1870" s="3" t="str">
        <f>HYPERLINK("https://edmondsonsupply.com/collections/hvac/products/klein-tools-60186-work-gloves-cut-level-4-touchscreen-large-2-pair", "https://edmondsonsupply.com/collections/hvac/products/klein-tools-60186-work-gloves-cut-level-4-touchscreen-large-2-pair")</f>
        <v>https://edmondsonsupply.com/collections/hvac/products/klein-tools-60186-work-gloves-cut-level-4-touchscreen-large-2-pair</v>
      </c>
      <c r="B1870" s="3" t="str">
        <f>HYPERLINK("https://edmondsonsupply.com/products/klein-tools-60186-work-gloves-cut-level-4-touchscreen-large-2-pair", "https://edmondsonsupply.com/products/klein-tools-60186-work-gloves-cut-level-4-touchscreen-large-2-pair")</f>
        <v>https://edmondsonsupply.com/products/klein-tools-60186-work-gloves-cut-level-4-touchscreen-large-2-pair</v>
      </c>
      <c r="C1870" t="s">
        <v>1284</v>
      </c>
      <c r="D1870" t="s">
        <v>1285</v>
      </c>
      <c r="E1870" s="3" t="str">
        <f>HYPERLINK("https://www.amazon.com/Klein-60186-Gloves-Cut-Resistant-Touchscreen/dp/B086V5W257/ref=sr_1_5?keywords=Klein+Tools+60186+Work+Gloves%2C+Cut+Level+4%2C+Touchscreen%2C+Large%2C+2-Pair&amp;qid=1695173652&amp;sr=8-5", "https://www.amazon.com/Klein-60186-Gloves-Cut-Resistant-Touchscreen/dp/B086V5W257/ref=sr_1_5?keywords=Klein+Tools+60186+Work+Gloves%2C+Cut+Level+4%2C+Touchscreen%2C+Large%2C+2-Pair&amp;qid=1695173652&amp;sr=8-5")</f>
        <v>https://www.amazon.com/Klein-60186-Gloves-Cut-Resistant-Touchscreen/dp/B086V5W257/ref=sr_1_5?keywords=Klein+Tools+60186+Work+Gloves%2C+Cut+Level+4%2C+Touchscreen%2C+Large%2C+2-Pair&amp;qid=1695173652&amp;sr=8-5</v>
      </c>
      <c r="F1870" t="s">
        <v>1286</v>
      </c>
      <c r="G1870" t="e">
        <f ca="1">_xludf.IMAGE("https://edmondsonsupply.com/cdn/shop/products/60186.jpg?v=1633030303")</f>
        <v>#NAME?</v>
      </c>
      <c r="H1870" t="e">
        <f ca="1">_xludf.IMAGE("https://m.media-amazon.com/images/I/71lOoZmdSgL._AC_UL320_.jpg")</f>
        <v>#NAME?</v>
      </c>
      <c r="I1870" t="s">
        <v>1287</v>
      </c>
      <c r="J1870">
        <v>16.989999999999998</v>
      </c>
      <c r="K1870" s="4">
        <v>-9.9599999999999994E-2</v>
      </c>
      <c r="L1870">
        <v>4.5999999999999996</v>
      </c>
      <c r="M1870">
        <v>135</v>
      </c>
      <c r="O1870" t="s">
        <v>25</v>
      </c>
      <c r="P1870" t="s">
        <v>1288</v>
      </c>
      <c r="Q1870" t="s">
        <v>1289</v>
      </c>
    </row>
    <row r="1871" spans="1:17" ht="15.5" x14ac:dyDescent="0.35">
      <c r="A1871"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871" s="3" t="str">
        <f>HYPERLINK("https://edmondsonsupply.com/products/klein-tools-d2000-28glw-diagonal-cutting-pliers-hi-viz-8-inch", "https://edmondsonsupply.com/products/klein-tools-d2000-28glw-diagonal-cutting-pliers-hi-viz-8-inch")</f>
        <v>https://edmondsonsupply.com/products/klein-tools-d2000-28glw-diagonal-cutting-pliers-hi-viz-8-inch</v>
      </c>
      <c r="C1871" t="s">
        <v>4233</v>
      </c>
      <c r="D1871" t="s">
        <v>5113</v>
      </c>
      <c r="E1871" s="3" t="str">
        <f>HYPERLINK("https://www.amazon.com/Klein-Tools-D200028GLW-Pliers-Diagonal-Cutters/dp/B00H7PIB66/ref=sr_1_4?keywords=Klein+Tools+D200028GLW+Diagonal+Cutting+Pliers%2C+High-Visibility%2C+8-Inch&amp;qid=1695173646&amp;sr=8-4", "https://www.amazon.com/Klein-Tools-D200028GLW-Pliers-Diagonal-Cutters/dp/B00H7PIB66/ref=sr_1_4?keywords=Klein+Tools+D200028GLW+Diagonal+Cutting+Pliers%2C+High-Visibility%2C+8-Inch&amp;qid=1695173646&amp;sr=8-4")</f>
        <v>https://www.amazon.com/Klein-Tools-D200028GLW-Pliers-Diagonal-Cutters/dp/B00H7PIB66/ref=sr_1_4?keywords=Klein+Tools+D200028GLW+Diagonal+Cutting+Pliers%2C+High-Visibility%2C+8-Inch&amp;qid=1695173646&amp;sr=8-4</v>
      </c>
      <c r="F1871" t="s">
        <v>5114</v>
      </c>
      <c r="G1871" t="e">
        <f ca="1">_xludf.IMAGE("https://edmondsonsupply.com/cdn/shop/products/d200028glw.jpg?v=1633030701")</f>
        <v>#NAME?</v>
      </c>
      <c r="H1871" t="e">
        <f ca="1">_xludf.IMAGE("https://m.media-amazon.com/images/I/41wGfd897cL._AC_UL320_.jpg")</f>
        <v>#NAME?</v>
      </c>
      <c r="I1871" t="s">
        <v>67</v>
      </c>
      <c r="J1871">
        <v>33.75</v>
      </c>
      <c r="K1871" s="4">
        <v>-9.98E-2</v>
      </c>
      <c r="L1871">
        <v>4.7</v>
      </c>
      <c r="M1871">
        <v>497</v>
      </c>
      <c r="O1871" t="s">
        <v>25</v>
      </c>
      <c r="P1871" t="s">
        <v>4236</v>
      </c>
      <c r="Q1871" t="s">
        <v>4237</v>
      </c>
    </row>
    <row r="1872" spans="1:17" ht="15.5" x14ac:dyDescent="0.35">
      <c r="A1872" s="3" t="str">
        <f>HYPERLINK("https://edmondsonsupply.com/collections/hvac/products/yellow-jacket-93780-superevac%E2%84%A2-plus-ii-8-cfm-vacuum-pump", "https://edmondsonsupply.com/collections/hvac/products/yellow-jacket-93780-superevac%E2%84%A2-plus-ii-8-cfm-vacuum-pump")</f>
        <v>https://edmondsonsupply.com/collections/hvac/products/yellow-jacket-93780-superevac%E2%84%A2-plus-ii-8-cfm-vacuum-pump</v>
      </c>
      <c r="B1872" s="3" t="str">
        <f>HYPERLINK("https://edmondsonsupply.com/products/yellow-jacket-93780-superevac%e2%84%a2-plus-ii-8-cfm-vacuum-pump", "https://edmondsonsupply.com/products/yellow-jacket-93780-superevac%e2%84%a2-plus-ii-8-cfm-vacuum-pump")</f>
        <v>https://edmondsonsupply.com/products/yellow-jacket-93780-superevac%e2%84%a2-plus-ii-8-cfm-vacuum-pump</v>
      </c>
      <c r="C1872" t="s">
        <v>5115</v>
      </c>
      <c r="D1872" t="s">
        <v>2076</v>
      </c>
      <c r="E1872" s="3" t="str">
        <f>HYPERLINK("https://www.amazon.com/Yellow-Jacket-SuperEvac-Vacuum-115VAC/dp/B095XK6GVG/ref=sr_1_1?keywords=Yellow+Jacket+93780+SuperEvac%E2%84%A2+PLUS+II+8+CFM+Vacuum+Pump&amp;qid=1695173454&amp;sr=8-1", "https://www.amazon.com/Yellow-Jacket-SuperEvac-Vacuum-115VAC/dp/B095XK6GVG/ref=sr_1_1?keywords=Yellow+Jacket+93780+SuperEvac%E2%84%A2+PLUS+II+8+CFM+Vacuum+Pump&amp;qid=1695173454&amp;sr=8-1")</f>
        <v>https://www.amazon.com/Yellow-Jacket-SuperEvac-Vacuum-115VAC/dp/B095XK6GVG/ref=sr_1_1?keywords=Yellow+Jacket+93780+SuperEvac%E2%84%A2+PLUS+II+8+CFM+Vacuum+Pump&amp;qid=1695173454&amp;sr=8-1</v>
      </c>
      <c r="F1872" t="s">
        <v>2077</v>
      </c>
      <c r="G1872" t="e">
        <f ca="1">_xludf.IMAGE("https://edmondsonsupply.com/cdn/shop/products/93760-SuperEvac-PLUS-II-with-strap-2048x1685.jpg?v=1633030961")</f>
        <v>#NAME?</v>
      </c>
      <c r="H1872" t="e">
        <f ca="1">_xludf.IMAGE("https://m.media-amazon.com/images/I/510W-CASg+L._AC_UL320_.jpg")</f>
        <v>#NAME?</v>
      </c>
      <c r="I1872" t="s">
        <v>5116</v>
      </c>
      <c r="J1872">
        <v>830</v>
      </c>
      <c r="K1872" s="4">
        <v>-0.10009999999999999</v>
      </c>
      <c r="L1872">
        <v>4.7</v>
      </c>
      <c r="M1872">
        <v>4</v>
      </c>
      <c r="O1872" t="s">
        <v>25</v>
      </c>
      <c r="P1872" t="s">
        <v>138</v>
      </c>
      <c r="Q1872" t="s">
        <v>5117</v>
      </c>
    </row>
    <row r="1873" spans="1:17" ht="15.5" x14ac:dyDescent="0.35">
      <c r="A1873" s="3" t="str">
        <f>HYPERLINK("https://edmondsonsupply.com/collections/hvac/products/klein-tools-jth4e17-1-2-inch-hex-key-journeyman-t-handle-4-inch", "https://edmondsonsupply.com/collections/hvac/products/klein-tools-jth4e17-1-2-inch-hex-key-journeyman-t-handle-4-inch")</f>
        <v>https://edmondsonsupply.com/collections/hvac/products/klein-tools-jth4e17-1-2-inch-hex-key-journeyman-t-handle-4-inch</v>
      </c>
      <c r="B1873" s="3" t="str">
        <f>HYPERLINK("https://edmondsonsupply.com/products/klein-tools-jth4e17-1-2-inch-hex-key-journeyman-t-handle-4-inch", "https://edmondsonsupply.com/products/klein-tools-jth4e17-1-2-inch-hex-key-journeyman-t-handle-4-inch")</f>
        <v>https://edmondsonsupply.com/products/klein-tools-jth4e17-1-2-inch-hex-key-journeyman-t-handle-4-inch</v>
      </c>
      <c r="C1873" t="s">
        <v>2385</v>
      </c>
      <c r="D1873" t="s">
        <v>5118</v>
      </c>
      <c r="E1873" s="3" t="str">
        <f>HYPERLINK("https://www.amazon.com/Journeyman-T-Handle-Klein-Tools-JTH9E10/dp/B004QV8H90/ref=sr_1_3?keywords=Klein+Tools+JTH4E11+3%2F16-Inch+Hex+Key+with+Journeyman+T-Handle%2C+4-Inch&amp;qid=1695173548&amp;sr=8-3", "https://www.amazon.com/Journeyman-T-Handle-Klein-Tools-JTH9E10/dp/B004QV8H90/ref=sr_1_3?keywords=Klein+Tools+JTH4E11+3%2F16-Inch+Hex+Key+with+Journeyman+T-Handle%2C+4-Inch&amp;qid=1695173548&amp;sr=8-3")</f>
        <v>https://www.amazon.com/Journeyman-T-Handle-Klein-Tools-JTH9E10/dp/B004QV8H90/ref=sr_1_3?keywords=Klein+Tools+JTH4E11+3%2F16-Inch+Hex+Key+with+Journeyman+T-Handle%2C+4-Inch&amp;qid=1695173548&amp;sr=8-3</v>
      </c>
      <c r="F1873" t="s">
        <v>5119</v>
      </c>
      <c r="G1873" t="e">
        <f ca="1">_xludf.IMAGE("https://edmondsonsupply.com/cdn/shop/products/jth4e17.jpg?v=1587144836")</f>
        <v>#NAME?</v>
      </c>
      <c r="H1873" t="e">
        <f ca="1">_xludf.IMAGE("https://m.media-amazon.com/images/I/51Yb8h41vLL._AC_UL320_.jpg")</f>
        <v>#NAME?</v>
      </c>
      <c r="I1873" t="s">
        <v>2388</v>
      </c>
      <c r="J1873">
        <v>4.49</v>
      </c>
      <c r="K1873" s="4">
        <v>-0.1002</v>
      </c>
      <c r="L1873">
        <v>4.8</v>
      </c>
      <c r="M1873">
        <v>294</v>
      </c>
      <c r="O1873" t="s">
        <v>25</v>
      </c>
      <c r="P1873" t="s">
        <v>2389</v>
      </c>
      <c r="Q1873" t="s">
        <v>2390</v>
      </c>
    </row>
    <row r="1874" spans="1:17" ht="15.5" x14ac:dyDescent="0.35">
      <c r="A1874" s="3" t="str">
        <f>HYPERLINK("https://edmondsonsupply.com/collections/hvac/products/packard-c240a-contactor-2-pole-40-amps-24-coil-voltage", "https://edmondsonsupply.com/collections/hvac/products/packard-c240a-contactor-2-pole-40-amps-24-coil-voltage")</f>
        <v>https://edmondsonsupply.com/collections/hvac/products/packard-c240a-contactor-2-pole-40-amps-24-coil-voltage</v>
      </c>
      <c r="B1874" s="3" t="str">
        <f>HYPERLINK("https://edmondsonsupply.com/products/packard-c240a-contactor-2-pole-40-amps-24-coil-voltage", "https://edmondsonsupply.com/products/packard-c240a-contactor-2-pole-40-amps-24-coil-voltage")</f>
        <v>https://edmondsonsupply.com/products/packard-c240a-contactor-2-pole-40-amps-24-coil-voltage</v>
      </c>
      <c r="C1874" t="s">
        <v>2737</v>
      </c>
      <c r="D1874" t="s">
        <v>5120</v>
      </c>
      <c r="E1874" s="3" t="str">
        <f>HYPERLINK("https://www.amazon.com/Pole-Fasco-Replacement-Contactor-C240A/dp/B00S8K7J08/ref=sr_1_1?keywords=Packard+C240A+Contactor+2+Pole+40+AMPS+24+Coil+Voltage&amp;qid=1695173372&amp;sr=8-1", "https://www.amazon.com/Pole-Fasco-Replacement-Contactor-C240A/dp/B00S8K7J08/ref=sr_1_1?keywords=Packard+C240A+Contactor+2+Pole+40+AMPS+24+Coil+Voltage&amp;qid=1695173372&amp;sr=8-1")</f>
        <v>https://www.amazon.com/Pole-Fasco-Replacement-Contactor-C240A/dp/B00S8K7J08/ref=sr_1_1?keywords=Packard+C240A+Contactor+2+Pole+40+AMPS+24+Coil+Voltage&amp;qid=1695173372&amp;sr=8-1</v>
      </c>
      <c r="F1874" t="s">
        <v>5121</v>
      </c>
      <c r="G1874" t="e">
        <f ca="1">_xludf.IMAGE("https://edmondsonsupply.com/cdn/shop/products/C240A-1.jpg?v=1590239996")</f>
        <v>#NAME?</v>
      </c>
      <c r="H1874" t="e">
        <f ca="1">_xludf.IMAGE("https://m.media-amazon.com/images/I/41RT9mGQCGL._AC_UY218_.jpg")</f>
        <v>#NAME?</v>
      </c>
      <c r="I1874" t="s">
        <v>1523</v>
      </c>
      <c r="J1874">
        <v>12.5</v>
      </c>
      <c r="K1874" s="4">
        <v>-0.1046</v>
      </c>
      <c r="L1874">
        <v>4.2</v>
      </c>
      <c r="M1874">
        <v>32</v>
      </c>
      <c r="O1874" t="s">
        <v>25</v>
      </c>
      <c r="P1874" t="s">
        <v>138</v>
      </c>
      <c r="Q1874" t="s">
        <v>2740</v>
      </c>
    </row>
    <row r="1875" spans="1:17" ht="15.5" x14ac:dyDescent="0.35">
      <c r="A1875" s="3" t="str">
        <f>HYPERLINK("https://edmondsonsupply.com/collections/hvac/products/imperial-370-fh-triple-head-180-tube-bender-3-16-1-2-o-d", "https://edmondsonsupply.com/collections/hvac/products/imperial-370-fh-triple-head-180-tube-bender-3-16-1-2-o-d")</f>
        <v>https://edmondsonsupply.com/collections/hvac/products/imperial-370-fh-triple-head-180-tube-bender-3-16-1-2-o-d</v>
      </c>
      <c r="B1875" s="3" t="str">
        <f>HYPERLINK("https://edmondsonsupply.com/products/imperial-370-fh-triple-head-180-tube-bender-3-16-1-2-o-d", "https://edmondsonsupply.com/products/imperial-370-fh-triple-head-180-tube-bender-3-16-1-2-o-d")</f>
        <v>https://edmondsonsupply.com/products/imperial-370-fh-triple-head-180-tube-bender-3-16-1-2-o-d</v>
      </c>
      <c r="C1875" t="s">
        <v>4062</v>
      </c>
      <c r="D1875" t="s">
        <v>3375</v>
      </c>
      <c r="E1875" s="3" t="str">
        <f>HYPERLINK("https://www.amazon.com/Imperial-470FHC-Triple-Roto-Lok-Indexing/dp/B007IBPTLO/ref=sr_1_2?keywords=Imperial+370-FH+Triple+Head+180%C2%B0+Tube+Bender+3%2F16%22+-+1%2F2%22+O.D.&amp;qid=1695173350&amp;sr=8-2", "https://www.amazon.com/Imperial-470FHC-Triple-Roto-Lok-Indexing/dp/B007IBPTLO/ref=sr_1_2?keywords=Imperial+370-FH+Triple+Head+180%C2%B0+Tube+Bender+3%2F16%22+-+1%2F2%22+O.D.&amp;qid=1695173350&amp;sr=8-2")</f>
        <v>https://www.amazon.com/Imperial-470FHC-Triple-Roto-Lok-Indexing/dp/B007IBPTLO/ref=sr_1_2?keywords=Imperial+370-FH+Triple+Head+180%C2%B0+Tube+Bender+3%2F16%22+-+1%2F2%22+O.D.&amp;qid=1695173350&amp;sr=8-2</v>
      </c>
      <c r="F1875" t="s">
        <v>3376</v>
      </c>
      <c r="G1875" t="e">
        <f ca="1">_xludf.IMAGE("https://edmondsonsupply.com/cdn/shop/products/370-FHC-1.jpg?v=1587144084")</f>
        <v>#NAME?</v>
      </c>
      <c r="H1875" t="e">
        <f ca="1">_xludf.IMAGE("https://m.media-amazon.com/images/I/51pWOTmqMGL._AC_UL320_.jpg")</f>
        <v>#NAME?</v>
      </c>
      <c r="I1875" t="s">
        <v>1765</v>
      </c>
      <c r="J1875">
        <v>50.99</v>
      </c>
      <c r="K1875" s="4">
        <v>-0.1053</v>
      </c>
      <c r="L1875">
        <v>4.4000000000000004</v>
      </c>
      <c r="M1875">
        <v>31</v>
      </c>
      <c r="O1875" t="s">
        <v>25</v>
      </c>
      <c r="P1875" t="s">
        <v>138</v>
      </c>
      <c r="Q1875" t="s">
        <v>4065</v>
      </c>
    </row>
    <row r="1876" spans="1:17" ht="15.5" x14ac:dyDescent="0.35">
      <c r="A1876" s="3" t="str">
        <f>HYPERLINK("https://edmondsonsupply.com/collections/hvac/products/uniweld-udft-deluxe-flaring-tool", "https://edmondsonsupply.com/collections/hvac/products/uniweld-udft-deluxe-flaring-tool")</f>
        <v>https://edmondsonsupply.com/collections/hvac/products/uniweld-udft-deluxe-flaring-tool</v>
      </c>
      <c r="B1876" s="3" t="str">
        <f>HYPERLINK("https://edmondsonsupply.com/products/uniweld-udft-deluxe-flaring-tool", "https://edmondsonsupply.com/products/uniweld-udft-deluxe-flaring-tool")</f>
        <v>https://edmondsonsupply.com/products/uniweld-udft-deluxe-flaring-tool</v>
      </c>
      <c r="C1876" t="s">
        <v>5122</v>
      </c>
      <c r="D1876" t="s">
        <v>5123</v>
      </c>
      <c r="E1876" s="3" t="str">
        <f>HYPERLINK("https://www.amazon.com/Uniweld-Products-Inc-UDFT-Electric/dp/B08LHDKDFW/ref=sr_1_1?keywords=Uniweld+UDFT+Deluxe+Flaring+Tool&amp;qid=1695173391&amp;sr=8-1", "https://www.amazon.com/Uniweld-Products-Inc-UDFT-Electric/dp/B08LHDKDFW/ref=sr_1_1?keywords=Uniweld+UDFT+Deluxe+Flaring+Tool&amp;qid=1695173391&amp;sr=8-1")</f>
        <v>https://www.amazon.com/Uniweld-Products-Inc-UDFT-Electric/dp/B08LHDKDFW/ref=sr_1_1?keywords=Uniweld+UDFT+Deluxe+Flaring+Tool&amp;qid=1695173391&amp;sr=8-1</v>
      </c>
      <c r="F1876" t="s">
        <v>5124</v>
      </c>
      <c r="G1876" t="e">
        <f ca="1">_xludf.IMAGE("https://edmondsonsupply.com/cdn/shop/products/udft_main.jpg?v=1648510547")</f>
        <v>#NAME?</v>
      </c>
      <c r="H1876" t="e">
        <f ca="1">_xludf.IMAGE("https://m.media-amazon.com/images/I/714Mn50LwBL._AC_UL320_.jpg")</f>
        <v>#NAME?</v>
      </c>
      <c r="I1876" t="s">
        <v>5125</v>
      </c>
      <c r="J1876">
        <v>160.44</v>
      </c>
      <c r="K1876" s="4">
        <v>-0.1071</v>
      </c>
      <c r="L1876">
        <v>4.2</v>
      </c>
      <c r="M1876">
        <v>36</v>
      </c>
      <c r="O1876" t="s">
        <v>25</v>
      </c>
      <c r="P1876" t="s">
        <v>5126</v>
      </c>
      <c r="Q1876" t="s">
        <v>5127</v>
      </c>
    </row>
    <row r="1877" spans="1:17" ht="15.5" x14ac:dyDescent="0.35">
      <c r="A1877" s="3" t="str">
        <f>HYPERLINK("https://edmondsonsupply.com/collections/hvac/products/ritchie-yellow-jacket-19165-1-2-female-acme-quick-coupler-x-1-4-male-flare", "https://edmondsonsupply.com/collections/hvac/products/ritchie-yellow-jacket-19165-1-2-female-acme-quick-coupler-x-1-4-male-flare")</f>
        <v>https://edmondsonsupply.com/collections/hvac/products/ritchie-yellow-jacket-19165-1-2-female-acme-quick-coupler-x-1-4-male-flare</v>
      </c>
      <c r="B1877" s="3" t="str">
        <f>HYPERLINK("https://edmondsonsupply.com/products/ritchie-yellow-jacket-19165-1-2-female-acme-quick-coupler-x-1-4-male-flare", "https://edmondsonsupply.com/products/ritchie-yellow-jacket-19165-1-2-female-acme-quick-coupler-x-1-4-male-flare")</f>
        <v>https://edmondsonsupply.com/products/ritchie-yellow-jacket-19165-1-2-female-acme-quick-coupler-x-1-4-male-flare</v>
      </c>
      <c r="C1877" t="s">
        <v>3097</v>
      </c>
      <c r="D1877" t="s">
        <v>5128</v>
      </c>
      <c r="E1877" s="3" t="str">
        <f>HYPERLINK("https://www.amazon.com/Yellow-Jacket-Coupler-Female-Straight/dp/B009AXHU1A/ref=sr_1_5?keywords=Yellow+Jacket+19165+1%2F2%22+Female+Acme+Quick+Coupler+X+1%2F4%22+Male+Flare&amp;qid=1695173569&amp;sr=8-5", "https://www.amazon.com/Yellow-Jacket-Coupler-Female-Straight/dp/B009AXHU1A/ref=sr_1_5?keywords=Yellow+Jacket+19165+1%2F2%22+Female+Acme+Quick+Coupler+X+1%2F4%22+Male+Flare&amp;qid=1695173569&amp;sr=8-5")</f>
        <v>https://www.amazon.com/Yellow-Jacket-Coupler-Female-Straight/dp/B009AXHU1A/ref=sr_1_5?keywords=Yellow+Jacket+19165+1%2F2%22+Female+Acme+Quick+Coupler+X+1%2F4%22+Male+Flare&amp;qid=1695173569&amp;sr=8-5</v>
      </c>
      <c r="F1877" t="s">
        <v>5129</v>
      </c>
      <c r="G1877" t="e">
        <f ca="1">_xludf.IMAGE("https://edmondsonsupply.com/cdn/shop/products/s-l500_35c9f138-c108-4fd6-aab6-baa85329b323.jpg?v=1597544718")</f>
        <v>#NAME?</v>
      </c>
      <c r="H1877" t="e">
        <f ca="1">_xludf.IMAGE("https://m.media-amazon.com/images/I/41ntEOHuntL._AC_UL320_.jpg")</f>
        <v>#NAME?</v>
      </c>
      <c r="I1877" t="s">
        <v>3100</v>
      </c>
      <c r="J1877">
        <v>16.989999999999998</v>
      </c>
      <c r="K1877" s="4">
        <v>-0.1072</v>
      </c>
      <c r="L1877">
        <v>5</v>
      </c>
      <c r="M1877">
        <v>1</v>
      </c>
      <c r="O1877" t="s">
        <v>25</v>
      </c>
      <c r="P1877" t="s">
        <v>138</v>
      </c>
      <c r="Q1877" t="s">
        <v>3101</v>
      </c>
    </row>
    <row r="1878" spans="1:17" ht="15.5" x14ac:dyDescent="0.35">
      <c r="A1878" s="3" t="str">
        <f>HYPERLINK("https://edmondsonsupply.com/collections/hvac/products/klein-tools-203-7-eins-long-nose-side-cut-pliers-7-inch-slim-insulated", "https://edmondsonsupply.com/collections/hvac/products/klein-tools-203-7-eins-long-nose-side-cut-pliers-7-inch-slim-insulated")</f>
        <v>https://edmondsonsupply.com/collections/hvac/products/klein-tools-203-7-eins-long-nose-side-cut-pliers-7-inch-slim-insulated</v>
      </c>
      <c r="B1878" s="3" t="str">
        <f>HYPERLINK("https://edmondsonsupply.com/products/klein-tools-203-7-eins-long-nose-side-cut-pliers-7-inch-slim-insulated", "https://edmondsonsupply.com/products/klein-tools-203-7-eins-long-nose-side-cut-pliers-7-inch-slim-insulated")</f>
        <v>https://edmondsonsupply.com/products/klein-tools-203-7-eins-long-nose-side-cut-pliers-7-inch-slim-insulated</v>
      </c>
      <c r="C1878" t="s">
        <v>5130</v>
      </c>
      <c r="D1878" t="s">
        <v>5131</v>
      </c>
      <c r="E1878" s="3" t="str">
        <f>HYPERLINK("https://www.amazon.com/Klein-Tools-2037EINS-Linemans-Insulated/dp/B00JGG5OZA/ref=sr_1_1?keywords=Klein+Tools+2037EINS+Long+Nose+Side+Cut+Pliers%2C+7-Inch+Slim+Insulated+%28203-7-EINS%29&amp;qid=1695173656&amp;sr=8-1", "https://www.amazon.com/Klein-Tools-2037EINS-Linemans-Insulated/dp/B00JGG5OZA/ref=sr_1_1?keywords=Klein+Tools+2037EINS+Long+Nose+Side+Cut+Pliers%2C+7-Inch+Slim+Insulated+%28203-7-EINS%29&amp;qid=1695173656&amp;sr=8-1")</f>
        <v>https://www.amazon.com/Klein-Tools-2037EINS-Linemans-Insulated/dp/B00JGG5OZA/ref=sr_1_1?keywords=Klein+Tools+2037EINS+Long+Nose+Side+Cut+Pliers%2C+7-Inch+Slim+Insulated+%28203-7-EINS%29&amp;qid=1695173656&amp;sr=8-1</v>
      </c>
      <c r="F1878" t="s">
        <v>5132</v>
      </c>
      <c r="G1878" t="e">
        <f ca="1">_xludf.IMAGE("https://edmondsonsupply.com/cdn/shop/products/2037eins.jpg?v=1587146909")</f>
        <v>#NAME?</v>
      </c>
      <c r="H1878" t="e">
        <f ca="1">_xludf.IMAGE("https://m.media-amazon.com/images/I/51StGSqtZUL._AC_UL320_.jpg")</f>
        <v>#NAME?</v>
      </c>
      <c r="I1878" t="s">
        <v>1931</v>
      </c>
      <c r="J1878">
        <v>44.6</v>
      </c>
      <c r="K1878" s="4">
        <v>-0.10780000000000001</v>
      </c>
      <c r="L1878">
        <v>4.9000000000000004</v>
      </c>
      <c r="M1878">
        <v>348</v>
      </c>
      <c r="O1878" t="s">
        <v>25</v>
      </c>
      <c r="P1878" t="s">
        <v>4509</v>
      </c>
      <c r="Q1878" t="s">
        <v>5133</v>
      </c>
    </row>
    <row r="1879" spans="1:17" ht="15.5" x14ac:dyDescent="0.35">
      <c r="A1879" s="3" t="str">
        <f>HYPERLINK("https://edmondsonsupply.com/collections/hvac/products/freud-99-240-2-drawer-lock-bit", "https://edmondsonsupply.com/collections/hvac/products/freud-99-240-2-drawer-lock-bit")</f>
        <v>https://edmondsonsupply.com/collections/hvac/products/freud-99-240-2-drawer-lock-bit</v>
      </c>
      <c r="B1879" s="3" t="str">
        <f>HYPERLINK("https://edmondsonsupply.com/products/freud-99-240-2-drawer-lock-bit", "https://edmondsonsupply.com/products/freud-99-240-2-drawer-lock-bit")</f>
        <v>https://edmondsonsupply.com/products/freud-99-240-2-drawer-lock-bit</v>
      </c>
      <c r="C1879" t="s">
        <v>2358</v>
      </c>
      <c r="D1879" t="s">
        <v>5134</v>
      </c>
      <c r="E1879" s="3" t="str">
        <f>HYPERLINK("https://www.amazon.com/Freud-Drawer-Front-Shank-99-066/dp/B0002TUDM4/ref=sr_1_6?keywords=Freud+99-240+2%22+Drawer+Lock+Bit&amp;qid=1695173757&amp;sr=8-6", "https://www.amazon.com/Freud-Drawer-Front-Shank-99-066/dp/B0002TUDM4/ref=sr_1_6?keywords=Freud+99-240+2%22+Drawer+Lock+Bit&amp;qid=1695173757&amp;sr=8-6")</f>
        <v>https://www.amazon.com/Freud-Drawer-Front-Shank-99-066/dp/B0002TUDM4/ref=sr_1_6?keywords=Freud+99-240+2%22+Drawer+Lock+Bit&amp;qid=1695173757&amp;sr=8-6</v>
      </c>
      <c r="F1879" t="s">
        <v>5135</v>
      </c>
      <c r="G1879" t="e">
        <f ca="1">_xludf.IMAGE("https://edmondsonsupply.com/cdn/shop/files/2-dia-drawer-lock-bit.webp?v=1687359925")</f>
        <v>#NAME?</v>
      </c>
      <c r="H1879" t="e">
        <f ca="1">_xludf.IMAGE("https://m.media-amazon.com/images/I/61MxuXnhi7L._AC_UL320_.jpg")</f>
        <v>#NAME?</v>
      </c>
      <c r="I1879" t="s">
        <v>2361</v>
      </c>
      <c r="J1879">
        <v>32.99</v>
      </c>
      <c r="K1879" s="4">
        <v>-0.1079</v>
      </c>
      <c r="L1879">
        <v>5</v>
      </c>
      <c r="M1879">
        <v>5</v>
      </c>
      <c r="O1879" t="s">
        <v>25</v>
      </c>
      <c r="P1879" t="s">
        <v>2362</v>
      </c>
      <c r="Q1879" t="s">
        <v>2363</v>
      </c>
    </row>
    <row r="1880" spans="1:17" ht="15.5" x14ac:dyDescent="0.35">
      <c r="A1880"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1880"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1880" t="s">
        <v>4105</v>
      </c>
      <c r="D1880" t="s">
        <v>5136</v>
      </c>
      <c r="E1880" s="3" t="str">
        <f>HYPERLINK("https://www.amazon.com/Linemans-Streamlined-Klein-Tools-J213-9NE/dp/B001TKF1BS/ref=sr_1_7?keywords=Klein+Tools+D20009NEGLW+High-Visibility+Side-Cutting+Pliers+High-Leverage&amp;qid=1695173666&amp;sr=8-7", "https://www.amazon.com/Linemans-Streamlined-Klein-Tools-J213-9NE/dp/B001TKF1BS/ref=sr_1_7?keywords=Klein+Tools+D20009NEGLW+High-Visibility+Side-Cutting+Pliers+High-Leverage&amp;qid=1695173666&amp;sr=8-7")</f>
        <v>https://www.amazon.com/Linemans-Streamlined-Klein-Tools-J213-9NE/dp/B001TKF1BS/ref=sr_1_7?keywords=Klein+Tools+D20009NEGLW+High-Visibility+Side-Cutting+Pliers+High-Leverage&amp;qid=1695173666&amp;sr=8-7</v>
      </c>
      <c r="F1880" t="s">
        <v>5137</v>
      </c>
      <c r="G1880" t="e">
        <f ca="1">_xludf.IMAGE("https://edmondsonsupply.com/cdn/shop/products/d20009neglw.jpg?v=1587144933")</f>
        <v>#NAME?</v>
      </c>
      <c r="H1880" t="e">
        <f ca="1">_xludf.IMAGE("https://m.media-amazon.com/images/I/41zk0Z6-1BL._AC_UL320_.jpg")</f>
        <v>#NAME?</v>
      </c>
      <c r="I1880" t="s">
        <v>4108</v>
      </c>
      <c r="J1880">
        <v>39.99</v>
      </c>
      <c r="K1880" s="4">
        <v>-0.11070000000000001</v>
      </c>
      <c r="L1880">
        <v>4.8</v>
      </c>
      <c r="M1880">
        <v>746</v>
      </c>
      <c r="O1880" t="s">
        <v>25</v>
      </c>
      <c r="P1880" t="s">
        <v>4109</v>
      </c>
      <c r="Q1880" t="s">
        <v>4110</v>
      </c>
    </row>
    <row r="1881" spans="1:17" ht="15.5" x14ac:dyDescent="0.35">
      <c r="A1881" s="3" t="str">
        <f>HYPERLINK("https://edmondsonsupply.com/collections/hvac/products/klein-tools-5165-10-pocket-tool-pouch-knife-snap", "https://edmondsonsupply.com/collections/hvac/products/klein-tools-5165-10-pocket-tool-pouch-knife-snap")</f>
        <v>https://edmondsonsupply.com/collections/hvac/products/klein-tools-5165-10-pocket-tool-pouch-knife-snap</v>
      </c>
      <c r="B1881" s="3" t="str">
        <f>HYPERLINK("https://edmondsonsupply.com/products/klein-tools-5165-10-pocket-tool-pouch-knife-snap", "https://edmondsonsupply.com/products/klein-tools-5165-10-pocket-tool-pouch-knife-snap")</f>
        <v>https://edmondsonsupply.com/products/klein-tools-5165-10-pocket-tool-pouch-knife-snap</v>
      </c>
      <c r="C1881" t="s">
        <v>700</v>
      </c>
      <c r="D1881" t="s">
        <v>701</v>
      </c>
      <c r="E1881" s="3" t="str">
        <f>HYPERLINK("https://www.amazon.com/Pocket-Pouch-Klein-Tools-5165/dp/B000BU4CRG/ref=sr_1_1?keywords=Klein+Tools+5165+10+Pocket+Leather+Tool+Pouch+with+Knife+Snap&amp;qid=1695173659&amp;sr=8-1", "https://www.amazon.com/Pocket-Pouch-Klein-Tools-5165/dp/B000BU4CRG/ref=sr_1_1?keywords=Klein+Tools+5165+10+Pocket+Leather+Tool+Pouch+with+Knife+Snap&amp;qid=1695173659&amp;sr=8-1")</f>
        <v>https://www.amazon.com/Pocket-Pouch-Klein-Tools-5165/dp/B000BU4CRG/ref=sr_1_1?keywords=Klein+Tools+5165+10+Pocket+Leather+Tool+Pouch+with+Knife+Snap&amp;qid=1695173659&amp;sr=8-1</v>
      </c>
      <c r="F1881" t="s">
        <v>702</v>
      </c>
      <c r="G1881" t="e">
        <f ca="1">_xludf.IMAGE("https://edmondsonsupply.com/cdn/shop/products/5165.jpg?v=1587145507")</f>
        <v>#NAME?</v>
      </c>
      <c r="H1881" t="e">
        <f ca="1">_xludf.IMAGE("https://m.media-amazon.com/images/I/51SVjpn5QEL._AC_UL320_.jpg")</f>
        <v>#NAME?</v>
      </c>
      <c r="I1881" t="s">
        <v>703</v>
      </c>
      <c r="J1881">
        <v>56</v>
      </c>
      <c r="K1881" s="4">
        <v>-0.111</v>
      </c>
      <c r="L1881">
        <v>4.5</v>
      </c>
      <c r="M1881">
        <v>167</v>
      </c>
      <c r="O1881" t="s">
        <v>25</v>
      </c>
      <c r="P1881" t="s">
        <v>704</v>
      </c>
      <c r="Q1881" t="s">
        <v>705</v>
      </c>
    </row>
    <row r="1882" spans="1:17" ht="15.5" x14ac:dyDescent="0.35">
      <c r="A1882"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1882"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1882" t="s">
        <v>4105</v>
      </c>
      <c r="D1882" t="s">
        <v>5138</v>
      </c>
      <c r="E1882" s="3" t="str">
        <f>HYPERLINK("https://www.amazon.com/Journeyman-Diagonal-Cut-Klein-Tools-J2000-59/dp/B075XG1DFD/ref=sr_1_8?keywords=Klein+Tools+D20009NEGLW+High-Visibility+Side-Cutting+Pliers+High-Leverage&amp;qid=1695173666&amp;sr=8-8", "https://www.amazon.com/Journeyman-Diagonal-Cut-Klein-Tools-J2000-59/dp/B075XG1DFD/ref=sr_1_8?keywords=Klein+Tools+D20009NEGLW+High-Visibility+Side-Cutting+Pliers+High-Leverage&amp;qid=1695173666&amp;sr=8-8")</f>
        <v>https://www.amazon.com/Journeyman-Diagonal-Cut-Klein-Tools-J2000-59/dp/B075XG1DFD/ref=sr_1_8?keywords=Klein+Tools+D20009NEGLW+High-Visibility+Side-Cutting+Pliers+High-Leverage&amp;qid=1695173666&amp;sr=8-8</v>
      </c>
      <c r="F1882" t="s">
        <v>5139</v>
      </c>
      <c r="G1882" t="e">
        <f ca="1">_xludf.IMAGE("https://edmondsonsupply.com/cdn/shop/products/d20009neglw.jpg?v=1587144933")</f>
        <v>#NAME?</v>
      </c>
      <c r="H1882" t="e">
        <f ca="1">_xludf.IMAGE("https://m.media-amazon.com/images/I/41d2z7PlSnL._AC_UL320_.jpg")</f>
        <v>#NAME?</v>
      </c>
      <c r="I1882" t="s">
        <v>4108</v>
      </c>
      <c r="J1882">
        <v>39.97</v>
      </c>
      <c r="K1882" s="4">
        <v>-0.11119999999999999</v>
      </c>
      <c r="L1882">
        <v>4.7</v>
      </c>
      <c r="M1882">
        <v>491</v>
      </c>
      <c r="O1882" t="s">
        <v>25</v>
      </c>
      <c r="P1882" t="s">
        <v>4109</v>
      </c>
      <c r="Q1882" t="s">
        <v>4110</v>
      </c>
    </row>
    <row r="1883" spans="1:17" ht="15.5" x14ac:dyDescent="0.35">
      <c r="A1883" s="3" t="str">
        <f>HYPERLINK("https://edmondsonsupply.com/collections/hvac/products/klein-tools-610-stubby-nut-driver-set-1-1-2-inch-shafts-2-piece", "https://edmondsonsupply.com/collections/hvac/products/klein-tools-610-stubby-nut-driver-set-1-1-2-inch-shafts-2-piece")</f>
        <v>https://edmondsonsupply.com/collections/hvac/products/klein-tools-610-stubby-nut-driver-set-1-1-2-inch-shafts-2-piece</v>
      </c>
      <c r="B1883" s="3" t="str">
        <f>HYPERLINK("https://edmondsonsupply.com/products/klein-tools-610-stubby-nut-driver-set-1-1-2-inch-shafts-2-piece", "https://edmondsonsupply.com/products/klein-tools-610-stubby-nut-driver-set-1-1-2-inch-shafts-2-piece")</f>
        <v>https://edmondsonsupply.com/products/klein-tools-610-stubby-nut-driver-set-1-1-2-inch-shafts-2-piece</v>
      </c>
      <c r="C1883" t="s">
        <v>3030</v>
      </c>
      <c r="D1883" t="s">
        <v>5140</v>
      </c>
      <c r="E1883" s="3" t="str">
        <f>HYPERLINK("https://www.amazon.com/Klein-Tools-610-16-Inch-2-Piece/dp/B000CSKRCQ/ref=sr_1_2?keywords=Klein+Tools+610+Stubby+Nut+Driver+Set+1-1%2F2-Inch+Shafts+2-Piece&amp;qid=1695173671&amp;sr=8-2", "https://www.amazon.com/Klein-Tools-610-16-Inch-2-Piece/dp/B000CSKRCQ/ref=sr_1_2?keywords=Klein+Tools+610+Stubby+Nut+Driver+Set+1-1%2F2-Inch+Shafts+2-Piece&amp;qid=1695173671&amp;sr=8-2")</f>
        <v>https://www.amazon.com/Klein-Tools-610-16-Inch-2-Piece/dp/B000CSKRCQ/ref=sr_1_2?keywords=Klein+Tools+610+Stubby+Nut+Driver+Set+1-1%2F2-Inch+Shafts+2-Piece&amp;qid=1695173671&amp;sr=8-2</v>
      </c>
      <c r="F1883" t="s">
        <v>5141</v>
      </c>
      <c r="G1883" t="e">
        <f ca="1">_xludf.IMAGE("https://edmondsonsupply.com/cdn/shop/products/610m_169714eb-6816-4f42-aa86-ea17ea5fcbbb.jpg?v=1633030110")</f>
        <v>#NAME?</v>
      </c>
      <c r="H1883" t="e">
        <f ca="1">_xludf.IMAGE("https://m.media-amazon.com/images/I/51+8QhofFWL._AC_UL320_.jpg")</f>
        <v>#NAME?</v>
      </c>
      <c r="I1883" t="s">
        <v>252</v>
      </c>
      <c r="J1883">
        <v>14.14</v>
      </c>
      <c r="K1883" s="4">
        <v>-0.1157</v>
      </c>
      <c r="L1883">
        <v>4.9000000000000004</v>
      </c>
      <c r="M1883">
        <v>19</v>
      </c>
      <c r="O1883" t="s">
        <v>25</v>
      </c>
      <c r="P1883" t="s">
        <v>3031</v>
      </c>
      <c r="Q1883" t="s">
        <v>3032</v>
      </c>
    </row>
    <row r="1884" spans="1:17" ht="15.5" x14ac:dyDescent="0.35">
      <c r="A1884" s="3" t="str">
        <f>HYPERLINK("https://edmondsonsupply.com/collections/hvac/products/klein-tools-d504-10-classic-klaw%E2%84%A2-pump-pliers-10-inch", "https://edmondsonsupply.com/collections/hvac/products/klein-tools-d504-10-classic-klaw%E2%84%A2-pump-pliers-10-inch")</f>
        <v>https://edmondsonsupply.com/collections/hvac/products/klein-tools-d504-10-classic-klaw%E2%84%A2-pump-pliers-10-inch</v>
      </c>
      <c r="B1884" s="3" t="str">
        <f>HYPERLINK("https://edmondsonsupply.com/products/klein-tools-d504-10-classic-klaw%e2%84%a2-pump-pliers-10-inch", "https://edmondsonsupply.com/products/klein-tools-d504-10-classic-klaw%e2%84%a2-pump-pliers-10-inch")</f>
        <v>https://edmondsonsupply.com/products/klein-tools-d504-10-classic-klaw%e2%84%a2-pump-pliers-10-inch</v>
      </c>
      <c r="C1884" t="s">
        <v>3718</v>
      </c>
      <c r="D1884" t="s">
        <v>4490</v>
      </c>
      <c r="E1884" s="3" t="str">
        <f>HYPERLINK("https://www.amazon.com/Classic-Pliers-Klein-Tools-D504-7/dp/B00BJ4OSTA/ref=sr_1_3?keywords=Klein+Tools+D504-10+Classic+Klaw%E2%84%A2+Pump+Pliers%2C+10-Inch&amp;qid=1695173666&amp;sr=8-3", "https://www.amazon.com/Classic-Pliers-Klein-Tools-D504-7/dp/B00BJ4OSTA/ref=sr_1_3?keywords=Klein+Tools+D504-10+Classic+Klaw%E2%84%A2+Pump+Pliers%2C+10-Inch&amp;qid=1695173666&amp;sr=8-3")</f>
        <v>https://www.amazon.com/Classic-Pliers-Klein-Tools-D504-7/dp/B00BJ4OSTA/ref=sr_1_3?keywords=Klein+Tools+D504-10+Classic+Klaw%E2%84%A2+Pump+Pliers%2C+10-Inch&amp;qid=1695173666&amp;sr=8-3</v>
      </c>
      <c r="F1884" t="s">
        <v>4491</v>
      </c>
      <c r="G1884" t="e">
        <f ca="1">_xludf.IMAGE("https://edmondsonsupply.com/cdn/shop/products/d504-10.jpg?v=1587142942")</f>
        <v>#NAME?</v>
      </c>
      <c r="H1884" t="e">
        <f ca="1">_xludf.IMAGE("https://m.media-amazon.com/images/I/51kiGD+1-6L._AC_UL320_.jpg")</f>
        <v>#NAME?</v>
      </c>
      <c r="I1884" t="s">
        <v>3721</v>
      </c>
      <c r="J1884">
        <v>29.99</v>
      </c>
      <c r="K1884" s="4">
        <v>-0.1172</v>
      </c>
      <c r="L1884">
        <v>4.5999999999999996</v>
      </c>
      <c r="M1884">
        <v>391</v>
      </c>
      <c r="O1884" t="s">
        <v>25</v>
      </c>
      <c r="P1884" t="s">
        <v>3722</v>
      </c>
      <c r="Q1884" t="s">
        <v>3723</v>
      </c>
    </row>
    <row r="1885" spans="1:17" ht="15.5" x14ac:dyDescent="0.35">
      <c r="A1885" s="3" t="str">
        <f>HYPERLINK("https://edmondsonsupply.com/collections/hvac/products/klein-tools-d504-10-classic-klaw%E2%84%A2-pump-pliers-10-inch", "https://edmondsonsupply.com/collections/hvac/products/klein-tools-d504-10-classic-klaw%E2%84%A2-pump-pliers-10-inch")</f>
        <v>https://edmondsonsupply.com/collections/hvac/products/klein-tools-d504-10-classic-klaw%E2%84%A2-pump-pliers-10-inch</v>
      </c>
      <c r="B1885" s="3" t="str">
        <f>HYPERLINK("https://edmondsonsupply.com/products/klein-tools-d504-10-classic-klaw%e2%84%a2-pump-pliers-10-inch", "https://edmondsonsupply.com/products/klein-tools-d504-10-classic-klaw%e2%84%a2-pump-pliers-10-inch")</f>
        <v>https://edmondsonsupply.com/products/klein-tools-d504-10-classic-klaw%e2%84%a2-pump-pliers-10-inch</v>
      </c>
      <c r="C1885" t="s">
        <v>3718</v>
      </c>
      <c r="D1885" t="s">
        <v>5142</v>
      </c>
      <c r="E1885" s="3" t="str">
        <f>HYPERLINK("https://www.amazon.com/Adjustable-Material-Klein-Tools-J502-10/dp/B00093D51Y/ref=sr_1_4?keywords=Klein+Tools+D504-10+Classic+Klaw%E2%84%A2+Pump+Pliers%2C+10-Inch&amp;qid=1695173666&amp;sr=8-4", "https://www.amazon.com/Adjustable-Material-Klein-Tools-J502-10/dp/B00093D51Y/ref=sr_1_4?keywords=Klein+Tools+D504-10+Classic+Klaw%E2%84%A2+Pump+Pliers%2C+10-Inch&amp;qid=1695173666&amp;sr=8-4")</f>
        <v>https://www.amazon.com/Adjustable-Material-Klein-Tools-J502-10/dp/B00093D51Y/ref=sr_1_4?keywords=Klein+Tools+D504-10+Classic+Klaw%E2%84%A2+Pump+Pliers%2C+10-Inch&amp;qid=1695173666&amp;sr=8-4</v>
      </c>
      <c r="F1885" t="s">
        <v>5143</v>
      </c>
      <c r="G1885" t="e">
        <f ca="1">_xludf.IMAGE("https://edmondsonsupply.com/cdn/shop/products/d504-10.jpg?v=1587142942")</f>
        <v>#NAME?</v>
      </c>
      <c r="H1885" t="e">
        <f ca="1">_xludf.IMAGE("https://m.media-amazon.com/images/I/51+llp-35wL._AC_UL320_.jpg")</f>
        <v>#NAME?</v>
      </c>
      <c r="I1885" t="s">
        <v>3721</v>
      </c>
      <c r="J1885">
        <v>29.97</v>
      </c>
      <c r="K1885" s="4">
        <v>-0.1178</v>
      </c>
      <c r="L1885">
        <v>4.5999999999999996</v>
      </c>
      <c r="M1885">
        <v>365</v>
      </c>
      <c r="O1885" t="s">
        <v>25</v>
      </c>
      <c r="P1885" t="s">
        <v>3722</v>
      </c>
      <c r="Q1885" t="s">
        <v>3723</v>
      </c>
    </row>
    <row r="1886" spans="1:17" ht="15.5" x14ac:dyDescent="0.35">
      <c r="A1886" s="3" t="str">
        <f>HYPERLINK("https://edmondsonsupply.com/collections/hvac/products/diablo-tools-dmarg1020-p5-5-32-in-x-3-in-x-6-in-speedemon%E2%84%A2-red-granite-carbide-tipped-hammer-drill-bit-5-pack", "https://edmondsonsupply.com/collections/hvac/products/diablo-tools-dmarg1020-p5-5-32-in-x-3-in-x-6-in-speedemon%E2%84%A2-red-granite-carbide-tipped-hammer-drill-bit-5-pack")</f>
        <v>https://edmondsonsupply.com/collections/hvac/products/diablo-tools-dmarg1020-p5-5-32-in-x-3-in-x-6-in-speedemon%E2%84%A2-red-granite-carbide-tipped-hammer-drill-bit-5-pack</v>
      </c>
      <c r="B1886" s="3" t="str">
        <f>HYPERLINK("https://edmondsonsupply.com/products/diablo-tools-dmarg1020-p5-5-32-in-x-3-in-x-6-in-speedemon%e2%84%a2-red-granite-carbide-tipped-hammer-drill-bit-5-pack", "https://edmondsonsupply.com/products/diablo-tools-dmarg1020-p5-5-32-in-x-3-in-x-6-in-speedemon%e2%84%a2-red-granite-carbide-tipped-hammer-drill-bit-5-pack")</f>
        <v>https://edmondsonsupply.com/products/diablo-tools-dmarg1020-p5-5-32-in-x-3-in-x-6-in-speedemon%e2%84%a2-red-granite-carbide-tipped-hammer-drill-bit-5-pack</v>
      </c>
      <c r="C1886" t="s">
        <v>5144</v>
      </c>
      <c r="D1886" t="s">
        <v>5145</v>
      </c>
      <c r="E1886" s="3" t="str">
        <f>HYPERLINK("https://www.amazon.com/Diablo-SPEEDemon-Granite-Carbide-Tipped/dp/B089KX38FF/ref=sr_1_1?keywords=Diablo+Tools+DMARG1020-P5+5%2F32+in.+x+3+in.+x+6+in.+SPEEDemon%E2%84%A2+Red+Granite+Carbide+Tipped+Hammer+Drill+Bit+%285+Pack%29&amp;qid=1695173656&amp;sr=8-1", "https://www.amazon.com/Diablo-SPEEDemon-Granite-Carbide-Tipped/dp/B089KX38FF/ref=sr_1_1?keywords=Diablo+Tools+DMARG1020-P5+5%2F32+in.+x+3+in.+x+6+in.+SPEEDemon%E2%84%A2+Red+Granite+Carbide+Tipped+Hammer+Drill+Bit+%285+Pack%29&amp;qid=1695173656&amp;sr=8-1")</f>
        <v>https://www.amazon.com/Diablo-SPEEDemon-Granite-Carbide-Tipped/dp/B089KX38FF/ref=sr_1_1?keywords=Diablo+Tools+DMARG1020-P5+5%2F32+in.+x+3+in.+x+6+in.+SPEEDemon%E2%84%A2+Red+Granite+Carbide+Tipped+Hammer+Drill+Bit+%285+Pack%29&amp;qid=1695173656&amp;sr=8-1</v>
      </c>
      <c r="F1886" t="s">
        <v>5146</v>
      </c>
      <c r="G1886" t="e">
        <f ca="1">_xludf.IMAGE("https://edmondsonsupply.com/cdn/shop/products/DMARG1020-P5_Main-Image20200513.png?v=1633030508")</f>
        <v>#NAME?</v>
      </c>
      <c r="H1886" t="e">
        <f ca="1">_xludf.IMAGE("https://m.media-amazon.com/images/I/61BDYFEnTRL._AC_UL320_.jpg")</f>
        <v>#NAME?</v>
      </c>
      <c r="I1886" t="s">
        <v>5147</v>
      </c>
      <c r="J1886">
        <v>15.36</v>
      </c>
      <c r="K1886" s="4">
        <v>-0.1208</v>
      </c>
      <c r="L1886">
        <v>4.5999999999999996</v>
      </c>
      <c r="M1886">
        <v>27</v>
      </c>
      <c r="O1886" t="s">
        <v>171</v>
      </c>
      <c r="P1886" t="s">
        <v>138</v>
      </c>
      <c r="Q1886" t="s">
        <v>5148</v>
      </c>
    </row>
    <row r="1887" spans="1:17" ht="15.5" x14ac:dyDescent="0.35">
      <c r="A1887" s="3" t="str">
        <f>HYPERLINK("https://edmondsonsupply.com/collections/hvac/products/reed-mfg-dhr12-1-1-4npt-r12-drophead-1-1-4-npt", "https://edmondsonsupply.com/collections/hvac/products/reed-mfg-dhr12-1-1-4npt-r12-drophead-1-1-4-npt")</f>
        <v>https://edmondsonsupply.com/collections/hvac/products/reed-mfg-dhr12-1-1-4npt-r12-drophead-1-1-4-npt</v>
      </c>
      <c r="B1887" s="3" t="str">
        <f>HYPERLINK("https://edmondsonsupply.com/products/reed-mfg-dhr12-1-1-4npt-r12-drophead-1-1-4-npt", "https://edmondsonsupply.com/products/reed-mfg-dhr12-1-1-4npt-r12-drophead-1-1-4-npt")</f>
        <v>https://edmondsonsupply.com/products/reed-mfg-dhr12-1-1-4npt-r12-drophead-1-1-4-npt</v>
      </c>
      <c r="C1887" t="s">
        <v>4384</v>
      </c>
      <c r="D1887" t="s">
        <v>5149</v>
      </c>
      <c r="E1887" s="3" t="str">
        <f>HYPERLINK("https://www.amazon.com/Reed-Tool-DHR12-4NPT-Drophead/dp/B000ZH8QVI/ref=sr_1_1?keywords=Reed+Mfg+DHR12+1+1%2F4NPT+R12%2B+Drophead%2C+1-1%2F4%22+NPT&amp;qid=1695173616&amp;sr=8-1", "https://www.amazon.com/Reed-Tool-DHR12-4NPT-Drophead/dp/B000ZH8QVI/ref=sr_1_1?keywords=Reed+Mfg+DHR12+1+1%2F4NPT+R12%2B+Drophead%2C+1-1%2F4%22+NPT&amp;qid=1695173616&amp;sr=8-1")</f>
        <v>https://www.amazon.com/Reed-Tool-DHR12-4NPT-Drophead/dp/B000ZH8QVI/ref=sr_1_1?keywords=Reed+Mfg+DHR12+1+1%2F4NPT+R12%2B+Drophead%2C+1-1%2F4%22+NPT&amp;qid=1695173616&amp;sr=8-1</v>
      </c>
      <c r="F1887" t="s">
        <v>5150</v>
      </c>
      <c r="G1887" t="e">
        <f ca="1">_xludf.IMAGE("https://edmondsonsupply.com/cdn/shop/products/05632-DHR121-1-4NPT-RGB.jpg?v=1633031013")</f>
        <v>#NAME?</v>
      </c>
      <c r="H1887" t="e">
        <f ca="1">_xludf.IMAGE("https://m.media-amazon.com/images/I/61ePWvUMWkL._AC_UY218_.jpg")</f>
        <v>#NAME?</v>
      </c>
      <c r="I1887" t="s">
        <v>4387</v>
      </c>
      <c r="J1887">
        <v>135.76</v>
      </c>
      <c r="K1887" s="4">
        <v>-0.12330000000000001</v>
      </c>
      <c r="L1887">
        <v>1</v>
      </c>
      <c r="M1887">
        <v>1</v>
      </c>
      <c r="O1887" t="s">
        <v>25</v>
      </c>
      <c r="P1887" t="s">
        <v>4388</v>
      </c>
      <c r="Q1887" t="s">
        <v>4389</v>
      </c>
    </row>
    <row r="1888" spans="1:17" ht="15.5" x14ac:dyDescent="0.35">
      <c r="A1888" s="3" t="str">
        <f>HYPERLINK("https://edmondsonsupply.com/collections/hvac/products/channellock-87", "https://edmondsonsupply.com/collections/hvac/products/channellock-87")</f>
        <v>https://edmondsonsupply.com/collections/hvac/products/channellock-87</v>
      </c>
      <c r="B1888" s="3" t="str">
        <f>HYPERLINK("https://edmondsonsupply.com/products/channellock-87", "https://edmondsonsupply.com/products/channellock-87")</f>
        <v>https://edmondsonsupply.com/products/channellock-87</v>
      </c>
      <c r="C1888" t="s">
        <v>5085</v>
      </c>
      <c r="D1888" t="s">
        <v>5151</v>
      </c>
      <c r="E1888" s="3" t="str">
        <f>HYPERLINK("https://www.amazon.com/Channellock-87-8-88-Inch-Compact-Rescue/dp/B0057UMN3A/ref=sr_1_2?keywords=Channellock+87+9%22+Rescue+Tool&amp;qid=1695173392&amp;sr=8-2", "https://www.amazon.com/Channellock-87-8-88-Inch-Compact-Rescue/dp/B0057UMN3A/ref=sr_1_2?keywords=Channellock+87+9%22+Rescue+Tool&amp;qid=1695173392&amp;sr=8-2")</f>
        <v>https://www.amazon.com/Channellock-87-8-88-Inch-Compact-Rescue/dp/B0057UMN3A/ref=sr_1_2?keywords=Channellock+87+9%22+Rescue+Tool&amp;qid=1695173392&amp;sr=8-2</v>
      </c>
      <c r="F1888" t="s">
        <v>5152</v>
      </c>
      <c r="G1888" t="e">
        <f ca="1">_xludf.IMAGE("https://edmondsonsupply.com/cdn/shop/products/87.png?v=1587151315")</f>
        <v>#NAME?</v>
      </c>
      <c r="H1888" t="e">
        <f ca="1">_xludf.IMAGE("https://m.media-amazon.com/images/I/817vvWRPWLL._AC_UL320_.jpg")</f>
        <v>#NAME?</v>
      </c>
      <c r="I1888" t="s">
        <v>5088</v>
      </c>
      <c r="J1888">
        <v>48.15</v>
      </c>
      <c r="K1888" s="4">
        <v>-0.1237</v>
      </c>
      <c r="L1888">
        <v>4.8</v>
      </c>
      <c r="M1888">
        <v>1926</v>
      </c>
      <c r="O1888" t="s">
        <v>25</v>
      </c>
      <c r="P1888" t="s">
        <v>5089</v>
      </c>
      <c r="Q1888" t="s">
        <v>5090</v>
      </c>
    </row>
    <row r="1889" spans="1:17" ht="15.5" x14ac:dyDescent="0.35">
      <c r="A1889" s="3" t="str">
        <f>HYPERLINK("https://edmondsonsupply.com/collections/hvac/products/klein-tools-69445-rare-earth-magnetic-hanger-no-strap", "https://edmondsonsupply.com/collections/hvac/products/klein-tools-69445-rare-earth-magnetic-hanger-no-strap")</f>
        <v>https://edmondsonsupply.com/collections/hvac/products/klein-tools-69445-rare-earth-magnetic-hanger-no-strap</v>
      </c>
      <c r="B1889" s="3" t="str">
        <f>HYPERLINK("https://edmondsonsupply.com/products/klein-tools-69445-rare-earth-magnetic-hanger-no-strap", "https://edmondsonsupply.com/products/klein-tools-69445-rare-earth-magnetic-hanger-no-strap")</f>
        <v>https://edmondsonsupply.com/products/klein-tools-69445-rare-earth-magnetic-hanger-no-strap</v>
      </c>
      <c r="C1889" t="s">
        <v>1408</v>
      </c>
      <c r="D1889" t="s">
        <v>4526</v>
      </c>
      <c r="E1889" s="3" t="str">
        <f>HYPERLINK("https://www.amazon.com/Magnetic-Hanger-Klein-Tools-69417/dp/B01B7RBXZ0/ref=sr_1_2?keywords=Klein+Tools+69445+Rare+Earth+Magnetic+Hanger%2C+no+Strap&amp;qid=1695173527&amp;sr=8-2", "https://www.amazon.com/Magnetic-Hanger-Klein-Tools-69417/dp/B01B7RBXZ0/ref=sr_1_2?keywords=Klein+Tools+69445+Rare+Earth+Magnetic+Hanger%2C+no+Strap&amp;qid=1695173527&amp;sr=8-2")</f>
        <v>https://www.amazon.com/Magnetic-Hanger-Klein-Tools-69417/dp/B01B7RBXZ0/ref=sr_1_2?keywords=Klein+Tools+69445+Rare+Earth+Magnetic+Hanger%2C+no+Strap&amp;qid=1695173527&amp;sr=8-2</v>
      </c>
      <c r="F1889" t="s">
        <v>4527</v>
      </c>
      <c r="G1889" t="e">
        <f ca="1">_xludf.IMAGE("https://edmondsonsupply.com/cdn/shop/products/69445.jpg?v=1633030859")</f>
        <v>#NAME?</v>
      </c>
      <c r="H1889" t="e">
        <f ca="1">_xludf.IMAGE("https://m.media-amazon.com/images/I/51yfJbP4XCL._AC_UL320_.jpg")</f>
        <v>#NAME?</v>
      </c>
      <c r="I1889" t="s">
        <v>252</v>
      </c>
      <c r="J1889">
        <v>13.99</v>
      </c>
      <c r="K1889" s="4">
        <v>-0.12509999999999999</v>
      </c>
      <c r="L1889">
        <v>4.8</v>
      </c>
      <c r="M1889">
        <v>3757</v>
      </c>
      <c r="O1889" t="s">
        <v>25</v>
      </c>
      <c r="P1889" t="s">
        <v>1411</v>
      </c>
      <c r="Q1889" t="s">
        <v>1412</v>
      </c>
    </row>
    <row r="1890" spans="1:17" ht="15.5" x14ac:dyDescent="0.35">
      <c r="A1890" s="3" t="str">
        <f>HYPERLINK("https://edmondsonsupply.com/collections/hvac/products/navac-nrp8di-8-cfm-smart-vacuum-pump-1", "https://edmondsonsupply.com/collections/hvac/products/navac-nrp8di-8-cfm-smart-vacuum-pump-1")</f>
        <v>https://edmondsonsupply.com/collections/hvac/products/navac-nrp8di-8-cfm-smart-vacuum-pump-1</v>
      </c>
      <c r="B1890" s="3" t="str">
        <f>HYPERLINK("https://edmondsonsupply.com/products/navac-nrp8di-8-cfm-smart-vacuum-pump-1", "https://edmondsonsupply.com/products/navac-nrp8di-8-cfm-smart-vacuum-pump-1")</f>
        <v>https://edmondsonsupply.com/products/navac-nrp8di-8-cfm-smart-vacuum-pump-1</v>
      </c>
      <c r="C1890" t="s">
        <v>4845</v>
      </c>
      <c r="D1890" t="s">
        <v>5153</v>
      </c>
      <c r="E1890" s="3" t="str">
        <f>HYPERLINK("https://www.amazon.com/NAVAC-NRP6Di-Smart-Vacuum-Pump/dp/B07L76S5LC/ref=sr_1_2?keywords=NAVAC+NRP8Di+8+CFM+Smart+Vacuum+Pump&amp;qid=1695173580&amp;sr=8-2", "https://www.amazon.com/NAVAC-NRP6Di-Smart-Vacuum-Pump/dp/B07L76S5LC/ref=sr_1_2?keywords=NAVAC+NRP8Di+8+CFM+Smart+Vacuum+Pump&amp;qid=1695173580&amp;sr=8-2")</f>
        <v>https://www.amazon.com/NAVAC-NRP6Di-Smart-Vacuum-Pump/dp/B07L76S5LC/ref=sr_1_2?keywords=NAVAC+NRP8Di+8+CFM+Smart+Vacuum+Pump&amp;qid=1695173580&amp;sr=8-2</v>
      </c>
      <c r="F1890" t="s">
        <v>5154</v>
      </c>
      <c r="G1890" t="e">
        <f ca="1">_xludf.IMAGE("https://edmondsonsupply.com/cdn/shop/products/nrp8di_7fd11a27-ba42-4ccd-8e80-a2fac309d7ac.png?v=1633030643")</f>
        <v>#NAME?</v>
      </c>
      <c r="H1890" t="e">
        <f ca="1">_xludf.IMAGE("https://m.media-amazon.com/images/I/51ax7otihRL._AC_UL320_.jpg")</f>
        <v>#NAME?</v>
      </c>
      <c r="I1890" t="s">
        <v>4848</v>
      </c>
      <c r="J1890">
        <v>582</v>
      </c>
      <c r="K1890" s="4">
        <v>-0.12709999999999999</v>
      </c>
      <c r="L1890">
        <v>3.7</v>
      </c>
      <c r="M1890">
        <v>15</v>
      </c>
      <c r="O1890" t="s">
        <v>25</v>
      </c>
      <c r="P1890" t="s">
        <v>4849</v>
      </c>
      <c r="Q1890" t="s">
        <v>4850</v>
      </c>
    </row>
    <row r="1891" spans="1:17" ht="15.5" x14ac:dyDescent="0.35">
      <c r="A1891" s="3" t="str">
        <f>HYPERLINK("https://edmondsonsupply.com/collections/hvac/products/white-rodgers-24a34-6-24v-electric-heat-sequencer-2-dpst", "https://edmondsonsupply.com/collections/hvac/products/white-rodgers-24a34-6-24v-electric-heat-sequencer-2-dpst")</f>
        <v>https://edmondsonsupply.com/collections/hvac/products/white-rodgers-24a34-6-24v-electric-heat-sequencer-2-dpst</v>
      </c>
      <c r="B1891" s="3" t="str">
        <f>HYPERLINK("https://edmondsonsupply.com/products/white-rodgers-24a34-6-24v-electric-heat-sequencer-2-dpst", "https://edmondsonsupply.com/products/white-rodgers-24a34-6-24v-electric-heat-sequencer-2-dpst")</f>
        <v>https://edmondsonsupply.com/products/white-rodgers-24a34-6-24v-electric-heat-sequencer-2-dpst</v>
      </c>
      <c r="C1891" t="s">
        <v>4876</v>
      </c>
      <c r="D1891" t="s">
        <v>2804</v>
      </c>
      <c r="E1891" s="3" t="str">
        <f>HYPERLINK("https://www.amazon.com/White-Rodgers-24A34-3-Electric-Sequencer-Switch/dp/B000LDGR4Y/ref=sr_1_3?keywords=White-Rodgers+24A34-6+24V+Electric+Heat+Sequencer%2C+2+DPST&amp;qid=1695173395&amp;sr=8-3", "https://www.amazon.com/White-Rodgers-24A34-3-Electric-Sequencer-Switch/dp/B000LDGR4Y/ref=sr_1_3?keywords=White-Rodgers+24A34-6+24V+Electric+Heat+Sequencer%2C+2+DPST&amp;qid=1695173395&amp;sr=8-3")</f>
        <v>https://www.amazon.com/White-Rodgers-24A34-3-Electric-Sequencer-Switch/dp/B000LDGR4Y/ref=sr_1_3?keywords=White-Rodgers+24A34-6+24V+Electric+Heat+Sequencer%2C+2+DPST&amp;qid=1695173395&amp;sr=8-3</v>
      </c>
      <c r="F1891" t="s">
        <v>2805</v>
      </c>
      <c r="G1891" t="e">
        <f ca="1">_xludf.IMAGE("https://edmondsonsupply.com/cdn/shop/products/24A34-6.jpg?v=1633030752")</f>
        <v>#NAME?</v>
      </c>
      <c r="H1891" t="e">
        <f ca="1">_xludf.IMAGE("https://m.media-amazon.com/images/I/81cvHpX0ILL._AC_UY218_.jpg")</f>
        <v>#NAME?</v>
      </c>
      <c r="I1891" t="s">
        <v>4877</v>
      </c>
      <c r="J1891">
        <v>20.47</v>
      </c>
      <c r="K1891" s="4">
        <v>-0.12889999999999999</v>
      </c>
      <c r="L1891">
        <v>4.8</v>
      </c>
      <c r="M1891">
        <v>9</v>
      </c>
      <c r="O1891" t="s">
        <v>25</v>
      </c>
      <c r="P1891" t="s">
        <v>4878</v>
      </c>
      <c r="Q1891" t="s">
        <v>4879</v>
      </c>
    </row>
    <row r="1892" spans="1:17" ht="15.5" x14ac:dyDescent="0.35">
      <c r="A1892" s="3" t="str">
        <f>HYPERLINK("https://edmondsonsupply.com/collections/hvac/products/sensible-products-hrf-2-high-beam-rechargeable-flashlight-2-black", "https://edmondsonsupply.com/collections/hvac/products/sensible-products-hrf-2-high-beam-rechargeable-flashlight-2-black")</f>
        <v>https://edmondsonsupply.com/collections/hvac/products/sensible-products-hrf-2-high-beam-rechargeable-flashlight-2-black</v>
      </c>
      <c r="B1892" s="3" t="str">
        <f>HYPERLINK("https://edmondsonsupply.com/products/sensible-products-hrf-2-high-beam-rechargeable-flashlight-2-black", "https://edmondsonsupply.com/products/sensible-products-hrf-2-high-beam-rechargeable-flashlight-2-black")</f>
        <v>https://edmondsonsupply.com/products/sensible-products-hrf-2-high-beam-rechargeable-flashlight-2-black</v>
      </c>
      <c r="C1892" t="s">
        <v>4050</v>
      </c>
      <c r="D1892" t="s">
        <v>4152</v>
      </c>
      <c r="E1892" s="3" t="str">
        <f>HYPERLINK("https://www.amazon.com/Sold-Each-High-Beam-Rechargeable-Flashlight/dp/B07QV3HVKP/ref=sr_1_2?keywords=Sensible+Products+HRF-2+High-Beam+Rechargeable+Flashlight-2%2C+Black&amp;qid=1695173576&amp;sr=8-2", "https://www.amazon.com/Sold-Each-High-Beam-Rechargeable-Flashlight/dp/B07QV3HVKP/ref=sr_1_2?keywords=Sensible+Products+HRF-2+High-Beam+Rechargeable+Flashlight-2%2C+Black&amp;qid=1695173576&amp;sr=8-2")</f>
        <v>https://www.amazon.com/Sold-Each-High-Beam-Rechargeable-Flashlight/dp/B07QV3HVKP/ref=sr_1_2?keywords=Sensible+Products+HRF-2+High-Beam+Rechargeable+Flashlight-2%2C+Black&amp;qid=1695173576&amp;sr=8-2</v>
      </c>
      <c r="F1892" t="s">
        <v>4153</v>
      </c>
      <c r="G1892" t="e">
        <f ca="1">_xludf.IMAGE("https://edmondsonsupply.com/cdn/shop/files/hrf2.jpg?v=1693231375")</f>
        <v>#NAME?</v>
      </c>
      <c r="H1892" t="e">
        <f ca="1">_xludf.IMAGE("https://m.media-amazon.com/images/I/31tIPF-TUsL._AC_UL320_.jpg")</f>
        <v>#NAME?</v>
      </c>
      <c r="I1892" t="s">
        <v>1297</v>
      </c>
      <c r="J1892">
        <v>29.99</v>
      </c>
      <c r="K1892" s="4">
        <v>-0.1305</v>
      </c>
      <c r="L1892">
        <v>4</v>
      </c>
      <c r="M1892">
        <v>14</v>
      </c>
      <c r="O1892" t="s">
        <v>25</v>
      </c>
      <c r="P1892" t="s">
        <v>138</v>
      </c>
      <c r="Q1892" t="s">
        <v>4051</v>
      </c>
    </row>
    <row r="1893" spans="1:17" ht="15.5" x14ac:dyDescent="0.35">
      <c r="A1893" s="3" t="str">
        <f>HYPERLINK("https://edmondsonsupply.com/collections/hvac/products/midwest-mwt-6716s-straight-aviation-snip-blackout-series", "https://edmondsonsupply.com/collections/hvac/products/midwest-mwt-6716s-straight-aviation-snip-blackout-series")</f>
        <v>https://edmondsonsupply.com/collections/hvac/products/midwest-mwt-6716s-straight-aviation-snip-blackout-series</v>
      </c>
      <c r="B1893" s="3" t="str">
        <f>HYPERLINK("https://edmondsonsupply.com/products/midwest-mwt-6716s-straight-aviation-snip-blackout-series", "https://edmondsonsupply.com/products/midwest-mwt-6716s-straight-aviation-snip-blackout-series")</f>
        <v>https://edmondsonsupply.com/products/midwest-mwt-6716s-straight-aviation-snip-blackout-series</v>
      </c>
      <c r="C1893" t="s">
        <v>2169</v>
      </c>
      <c r="D1893" t="s">
        <v>5065</v>
      </c>
      <c r="E1893" s="3" t="str">
        <f>HYPERLINK("https://www.amazon.com/MIDWEST-Blackout-Aviation-Snip-KUSHN-POWER/dp/B00TJQKWCM/ref=sr_1_1?keywords=Midwest+MWT-6716SO+Straight+Aviation+Snip+-+Blackout+Series&amp;qid=1695173637&amp;sr=8-1", "https://www.amazon.com/MIDWEST-Blackout-Aviation-Snip-KUSHN-POWER/dp/B00TJQKWCM/ref=sr_1_1?keywords=Midwest+MWT-6716SO+Straight+Aviation+Snip+-+Blackout+Series&amp;qid=1695173637&amp;sr=8-1")</f>
        <v>https://www.amazon.com/MIDWEST-Blackout-Aviation-Snip-KUSHN-POWER/dp/B00TJQKWCM/ref=sr_1_1?keywords=Midwest+MWT-6716SO+Straight+Aviation+Snip+-+Blackout+Series&amp;qid=1695173637&amp;sr=8-1</v>
      </c>
      <c r="F1893" t="s">
        <v>5066</v>
      </c>
      <c r="G1893" t="e">
        <f ca="1">_xludf.IMAGE("https://edmondsonsupply.com/cdn/shop/products/mwt-6716so.jpg?v=1633030747")</f>
        <v>#NAME?</v>
      </c>
      <c r="H1893" t="e">
        <f ca="1">_xludf.IMAGE("https://m.media-amazon.com/images/I/51Nu6s3RStL._AC_UL320_.jpg")</f>
        <v>#NAME?</v>
      </c>
      <c r="I1893" t="s">
        <v>2170</v>
      </c>
      <c r="J1893">
        <v>21.52</v>
      </c>
      <c r="K1893" s="4">
        <v>-0.13850000000000001</v>
      </c>
      <c r="L1893">
        <v>4</v>
      </c>
      <c r="M1893">
        <v>52</v>
      </c>
      <c r="O1893" t="s">
        <v>25</v>
      </c>
      <c r="P1893" t="s">
        <v>2171</v>
      </c>
      <c r="Q1893" t="s">
        <v>2172</v>
      </c>
    </row>
    <row r="1894" spans="1:17" ht="15.5" x14ac:dyDescent="0.35">
      <c r="A1894" s="3" t="str">
        <f>HYPERLINK("https://edmondsonsupply.com/collections/hvac/products/testo-0560-1510-01-510i-differential-pressure-manometer-smart-probe-2nd-generation", "https://edmondsonsupply.com/collections/hvac/products/testo-0560-1510-01-510i-differential-pressure-manometer-smart-probe-2nd-generation")</f>
        <v>https://edmondsonsupply.com/collections/hvac/products/testo-0560-1510-01-510i-differential-pressure-manometer-smart-probe-2nd-generation</v>
      </c>
      <c r="B1894" s="3" t="str">
        <f>HYPERLINK("https://edmondsonsupply.com/products/testo-0560-1510-01-510i-differential-pressure-manometer-smart-probe-2nd-generation", "https://edmondsonsupply.com/products/testo-0560-1510-01-510i-differential-pressure-manometer-smart-probe-2nd-generation")</f>
        <v>https://edmondsonsupply.com/products/testo-0560-1510-01-510i-differential-pressure-manometer-smart-probe-2nd-generation</v>
      </c>
      <c r="C1894" t="s">
        <v>5155</v>
      </c>
      <c r="D1894" t="s">
        <v>5156</v>
      </c>
      <c r="E1894" s="3" t="str">
        <f>HYPERLINK("https://www.amazon.com/Differential-Pressure-Manometer-Wireless-Height/dp/B07VHJKMML/ref=sr_1_2?keywords=Testo+0560+1510+01+510i+Differential+Pressure+Manometer+Smart+Probe+-+2nd+Generation&amp;qid=1695173676&amp;sr=8-2", "https://www.amazon.com/Differential-Pressure-Manometer-Wireless-Height/dp/B07VHJKMML/ref=sr_1_2?keywords=Testo+0560+1510+01+510i+Differential+Pressure+Manometer+Smart+Probe+-+2nd+Generation&amp;qid=1695173676&amp;sr=8-2")</f>
        <v>https://www.amazon.com/Differential-Pressure-Manometer-Wireless-Height/dp/B07VHJKMML/ref=sr_1_2?keywords=Testo+0560+1510+01+510i+Differential+Pressure+Manometer+Smart+Probe+-+2nd+Generation&amp;qid=1695173676&amp;sr=8-2</v>
      </c>
      <c r="F1894" t="s">
        <v>5157</v>
      </c>
      <c r="G1894" t="e">
        <f ca="1">_xludf.IMAGE("https://edmondsonsupply.com/cdn/shop/products/testo-510i-pressure-hose-set-batteries_delivery-scope_master.jpg?v=1587147440")</f>
        <v>#NAME?</v>
      </c>
      <c r="H1894" t="e">
        <f ca="1">_xludf.IMAGE("https://m.media-amazon.com/images/I/61zTw05negL._AC_UY218_.jpg")</f>
        <v>#NAME?</v>
      </c>
      <c r="I1894" t="s">
        <v>5158</v>
      </c>
      <c r="J1894">
        <v>128</v>
      </c>
      <c r="K1894" s="4">
        <v>-0.13950000000000001</v>
      </c>
      <c r="L1894">
        <v>4.8</v>
      </c>
      <c r="M1894">
        <v>16</v>
      </c>
      <c r="O1894" t="s">
        <v>25</v>
      </c>
      <c r="P1894" t="s">
        <v>5159</v>
      </c>
      <c r="Q1894" t="s">
        <v>5160</v>
      </c>
    </row>
    <row r="1895" spans="1:17" ht="15.5" x14ac:dyDescent="0.35">
      <c r="A1895" s="3" t="str">
        <f>HYPERLINK("https://edmondsonsupply.com/collections/hvac/products/robertshaw-41-224-hot-surface-furnace-ignitor-rheem-armstrong-replacement", "https://edmondsonsupply.com/collections/hvac/products/robertshaw-41-224-hot-surface-furnace-ignitor-rheem-armstrong-replacement")</f>
        <v>https://edmondsonsupply.com/collections/hvac/products/robertshaw-41-224-hot-surface-furnace-ignitor-rheem-armstrong-replacement</v>
      </c>
      <c r="B1895" s="3" t="str">
        <f>HYPERLINK("https://edmondsonsupply.com/products/robertshaw-41-224-hot-surface-furnace-ignitor-rheem-armstrong-replacement", "https://edmondsonsupply.com/products/robertshaw-41-224-hot-surface-furnace-ignitor-rheem-armstrong-replacement")</f>
        <v>https://edmondsonsupply.com/products/robertshaw-41-224-hot-surface-furnace-ignitor-rheem-armstrong-replacement</v>
      </c>
      <c r="C1895" t="s">
        <v>5161</v>
      </c>
      <c r="D1895" t="s">
        <v>5162</v>
      </c>
      <c r="E1895" s="3" t="str">
        <f>HYPERLINK("https://www.amazon.com/Robertshaw-41-207-Hot-Surface-Ignitor/dp/B00Y1POTR0/ref=sr_1_9?keywords=Robertshaw+41-224+Hot+Surface+Furnace+Ignitor&amp;qid=1695173703&amp;sr=8-9", "https://www.amazon.com/Robertshaw-41-207-Hot-Surface-Ignitor/dp/B00Y1POTR0/ref=sr_1_9?keywords=Robertshaw+41-224+Hot+Surface+Furnace+Ignitor&amp;qid=1695173703&amp;sr=8-9")</f>
        <v>https://www.amazon.com/Robertshaw-41-207-Hot-Surface-Ignitor/dp/B00Y1POTR0/ref=sr_1_9?keywords=Robertshaw+41-224+Hot+Surface+Furnace+Ignitor&amp;qid=1695173703&amp;sr=8-9</v>
      </c>
      <c r="F1895" t="s">
        <v>5163</v>
      </c>
      <c r="G1895" t="e">
        <f ca="1">_xludf.IMAGE("https://edmondsonsupply.com/cdn/shop/files/41-224.jpg?v=1694616534")</f>
        <v>#NAME?</v>
      </c>
      <c r="H1895" t="e">
        <f ca="1">_xludf.IMAGE("https://m.media-amazon.com/images/I/41ovFloTkXL._AC_UL320_.jpg")</f>
        <v>#NAME?</v>
      </c>
      <c r="I1895" t="s">
        <v>5164</v>
      </c>
      <c r="J1895">
        <v>35.950000000000003</v>
      </c>
      <c r="K1895" s="4">
        <v>-0.13950000000000001</v>
      </c>
      <c r="L1895">
        <v>5</v>
      </c>
      <c r="M1895">
        <v>1</v>
      </c>
      <c r="O1895" t="s">
        <v>25</v>
      </c>
      <c r="P1895" t="s">
        <v>138</v>
      </c>
      <c r="Q1895" t="s">
        <v>5165</v>
      </c>
    </row>
    <row r="1896" spans="1:17" ht="15.5" x14ac:dyDescent="0.35">
      <c r="A1896" s="3" t="str">
        <f>HYPERLINK("https://edmondsonsupply.com/collections/hvac/products/fluke-117-electricians-multimeter-with-non-contact-voltage", "https://edmondsonsupply.com/collections/hvac/products/fluke-117-electricians-multimeter-with-non-contact-voltage")</f>
        <v>https://edmondsonsupply.com/collections/hvac/products/fluke-117-electricians-multimeter-with-non-contact-voltage</v>
      </c>
      <c r="B1896" s="3" t="str">
        <f>HYPERLINK("https://edmondsonsupply.com/products/fluke-117-electricians-multimeter-with-non-contact-voltage", "https://edmondsonsupply.com/products/fluke-117-electricians-multimeter-with-non-contact-voltage")</f>
        <v>https://edmondsonsupply.com/products/fluke-117-electricians-multimeter-with-non-contact-voltage</v>
      </c>
      <c r="C1896" t="s">
        <v>5166</v>
      </c>
      <c r="D1896" t="s">
        <v>5167</v>
      </c>
      <c r="E1896" s="3" t="str">
        <f>HYPERLINK("https://www.amazon.com/Fluke-117-Electricians-True-Multimeter/dp/B000O3LUEI/ref=sr_1_1?keywords=Fluke+117+Electrician%27s+Multimeter+with+Non-Contact+Voltage&amp;qid=1695173446&amp;sr=8-1", "https://www.amazon.com/Fluke-117-Electricians-True-Multimeter/dp/B000O3LUEI/ref=sr_1_1?keywords=Fluke+117+Electrician%27s+Multimeter+with+Non-Contact+Voltage&amp;qid=1695173446&amp;sr=8-1")</f>
        <v>https://www.amazon.com/Fluke-117-Electricians-True-Multimeter/dp/B000O3LUEI/ref=sr_1_1?keywords=Fluke+117+Electrician%27s+Multimeter+with+Non-Contact+Voltage&amp;qid=1695173446&amp;sr=8-1</v>
      </c>
      <c r="F1896" t="s">
        <v>5168</v>
      </c>
      <c r="G1896" t="e">
        <f ca="1">_xludf.IMAGE("https://edmondsonsupply.com/cdn/shop/products/117_72dpi_731x1024px_E_NR-6399.jpg?v=1633030929")</f>
        <v>#NAME?</v>
      </c>
      <c r="H1896" t="e">
        <f ca="1">_xludf.IMAGE("https://m.media-amazon.com/images/I/5113LeQ45iL._AC_UL320_.jpg")</f>
        <v>#NAME?</v>
      </c>
      <c r="I1896" t="s">
        <v>5169</v>
      </c>
      <c r="J1896">
        <v>217.8</v>
      </c>
      <c r="K1896" s="4">
        <v>-0.14180000000000001</v>
      </c>
      <c r="L1896">
        <v>4.8</v>
      </c>
      <c r="M1896">
        <v>4416</v>
      </c>
      <c r="O1896" t="s">
        <v>25</v>
      </c>
      <c r="P1896" t="s">
        <v>5170</v>
      </c>
      <c r="Q1896" t="s">
        <v>5171</v>
      </c>
    </row>
    <row r="1897" spans="1:17" ht="15.5" x14ac:dyDescent="0.35">
      <c r="A1897" s="3" t="str">
        <f>HYPERLINK("https://edmondsonsupply.com/collections/hvac/products/klein-tools-5165-10-pocket-tool-pouch-knife-snap", "https://edmondsonsupply.com/collections/hvac/products/klein-tools-5165-10-pocket-tool-pouch-knife-snap")</f>
        <v>https://edmondsonsupply.com/collections/hvac/products/klein-tools-5165-10-pocket-tool-pouch-knife-snap</v>
      </c>
      <c r="B1897" s="3" t="str">
        <f>HYPERLINK("https://edmondsonsupply.com/products/klein-tools-5165-10-pocket-tool-pouch-knife-snap", "https://edmondsonsupply.com/products/klein-tools-5165-10-pocket-tool-pouch-knife-snap")</f>
        <v>https://edmondsonsupply.com/products/klein-tools-5165-10-pocket-tool-pouch-knife-snap</v>
      </c>
      <c r="C1897" t="s">
        <v>700</v>
      </c>
      <c r="D1897" t="s">
        <v>717</v>
      </c>
      <c r="E1897" s="3" t="str">
        <f>HYPERLINK("https://www.amazon.com/Lineman-5-Pocket-Klein-Tools-5118P5/dp/B004M2RE06/ref=sr_1_2?keywords=Klein+Tools+5165+10+Pocket+Leather+Tool+Pouch+with+Knife+Snap&amp;qid=1695173659&amp;sr=8-2", "https://www.amazon.com/Lineman-5-Pocket-Klein-Tools-5118P5/dp/B004M2RE06/ref=sr_1_2?keywords=Klein+Tools+5165+10+Pocket+Leather+Tool+Pouch+with+Knife+Snap&amp;qid=1695173659&amp;sr=8-2")</f>
        <v>https://www.amazon.com/Lineman-5-Pocket-Klein-Tools-5118P5/dp/B004M2RE06/ref=sr_1_2?keywords=Klein+Tools+5165+10+Pocket+Leather+Tool+Pouch+with+Knife+Snap&amp;qid=1695173659&amp;sr=8-2</v>
      </c>
      <c r="F1897" t="s">
        <v>718</v>
      </c>
      <c r="G1897" t="e">
        <f ca="1">_xludf.IMAGE("https://edmondsonsupply.com/cdn/shop/products/5165.jpg?v=1587145507")</f>
        <v>#NAME?</v>
      </c>
      <c r="H1897" t="e">
        <f ca="1">_xludf.IMAGE("https://m.media-amazon.com/images/I/71ayOfz4qBL._AC_UL320_.jpg")</f>
        <v>#NAME?</v>
      </c>
      <c r="I1897" t="s">
        <v>703</v>
      </c>
      <c r="J1897">
        <v>54</v>
      </c>
      <c r="K1897" s="4">
        <v>-0.14269999999999999</v>
      </c>
      <c r="L1897">
        <v>4.4000000000000004</v>
      </c>
      <c r="M1897">
        <v>374</v>
      </c>
      <c r="O1897" t="s">
        <v>25</v>
      </c>
      <c r="P1897" t="s">
        <v>704</v>
      </c>
      <c r="Q1897" t="s">
        <v>705</v>
      </c>
    </row>
    <row r="1898" spans="1:17" ht="15.5" x14ac:dyDescent="0.35">
      <c r="A1898" s="3" t="str">
        <f>HYPERLINK("https://edmondsonsupply.com/collections/hvac/products/klein-tools-j12098-8-journeyman-high-leverage-universal-combination-pliers", "https://edmondsonsupply.com/collections/hvac/products/klein-tools-j12098-8-journeyman-high-leverage-universal-combination-pliers")</f>
        <v>https://edmondsonsupply.com/collections/hvac/products/klein-tools-j12098-8-journeyman-high-leverage-universal-combination-pliers</v>
      </c>
      <c r="B1898" s="3" t="str">
        <f>HYPERLINK("https://edmondsonsupply.com/products/klein-tools-j12098-8-journeyman-high-leverage-universal-combination-pliers", "https://edmondsonsupply.com/products/klein-tools-j12098-8-journeyman-high-leverage-universal-combination-pliers")</f>
        <v>https://edmondsonsupply.com/products/klein-tools-j12098-8-journeyman-high-leverage-universal-combination-pliers</v>
      </c>
      <c r="C1898" t="s">
        <v>2611</v>
      </c>
      <c r="D1898" t="s">
        <v>5172</v>
      </c>
      <c r="E1898" s="3" t="str">
        <f>HYPERLINK("https://www.amazon.com/Universal-Combination-Pliers-Klein-Tools/dp/B0002RI4UY/ref=sr_1_2?keywords=Klein+Tools+J12098+Journeyman+Universal+Combination+Pliers&amp;qid=1695173610&amp;sr=8-2", "https://www.amazon.com/Universal-Combination-Pliers-Klein-Tools/dp/B0002RI4UY/ref=sr_1_2?keywords=Klein+Tools+J12098+Journeyman+Universal+Combination+Pliers&amp;qid=1695173610&amp;sr=8-2")</f>
        <v>https://www.amazon.com/Universal-Combination-Pliers-Klein-Tools/dp/B0002RI4UY/ref=sr_1_2?keywords=Klein+Tools+J12098+Journeyman+Universal+Combination+Pliers&amp;qid=1695173610&amp;sr=8-2</v>
      </c>
      <c r="F1898" t="s">
        <v>5173</v>
      </c>
      <c r="G1898" t="e">
        <f ca="1">_xludf.IMAGE("https://edmondsonsupply.com/cdn/shop/products/j12098.jpg?v=1587142847")</f>
        <v>#NAME?</v>
      </c>
      <c r="H1898" t="e">
        <f ca="1">_xludf.IMAGE("https://m.media-amazon.com/images/I/51OlZryAiaL._AC_UL320_.jpg")</f>
        <v>#NAME?</v>
      </c>
      <c r="I1898" t="s">
        <v>571</v>
      </c>
      <c r="J1898">
        <v>29.99</v>
      </c>
      <c r="K1898" s="4">
        <v>-0.1429</v>
      </c>
      <c r="L1898">
        <v>4.5999999999999996</v>
      </c>
      <c r="M1898">
        <v>162</v>
      </c>
      <c r="O1898" t="s">
        <v>25</v>
      </c>
      <c r="P1898" t="s">
        <v>2614</v>
      </c>
      <c r="Q1898" t="s">
        <v>2615</v>
      </c>
    </row>
    <row r="1899" spans="1:17" ht="15.5" x14ac:dyDescent="0.35">
      <c r="A1899" s="3" t="str">
        <f>HYPERLINK("https://edmondsonsupply.com/collections/hvac/products/klein-tools-44219-replacement-hawkbill-blade-for-44218-3-pack", "https://edmondsonsupply.com/collections/hvac/products/klein-tools-44219-replacement-hawkbill-blade-for-44218-3-pack")</f>
        <v>https://edmondsonsupply.com/collections/hvac/products/klein-tools-44219-replacement-hawkbill-blade-for-44218-3-pack</v>
      </c>
      <c r="B1899" s="3" t="str">
        <f>HYPERLINK("https://edmondsonsupply.com/products/klein-tools-44219-replacement-hawkbill-blade-for-44218-3-pack", "https://edmondsonsupply.com/products/klein-tools-44219-replacement-hawkbill-blade-for-44218-3-pack")</f>
        <v>https://edmondsonsupply.com/products/klein-tools-44219-replacement-hawkbill-blade-for-44218-3-pack</v>
      </c>
      <c r="C1899" t="s">
        <v>5174</v>
      </c>
      <c r="D1899" t="s">
        <v>5174</v>
      </c>
      <c r="E1899" s="3" t="str">
        <f>HYPERLINK("https://www.amazon.com/Replacement-Hawkbill-Klein-Tools-44219/dp/B072BQ6HGJ/ref=sr_1_1?keywords=Klein+Tools+44219+Replacement+Hawkbill+Blade+for+44218+3-Pack&amp;qid=1695173404&amp;sr=8-1", "https://www.amazon.com/Replacement-Hawkbill-Klein-Tools-44219/dp/B072BQ6HGJ/ref=sr_1_1?keywords=Klein+Tools+44219+Replacement+Hawkbill+Blade+for+44218+3-Pack&amp;qid=1695173404&amp;sr=8-1")</f>
        <v>https://www.amazon.com/Replacement-Hawkbill-Klein-Tools-44219/dp/B072BQ6HGJ/ref=sr_1_1?keywords=Klein+Tools+44219+Replacement+Hawkbill+Blade+for+44218+3-Pack&amp;qid=1695173404&amp;sr=8-1</v>
      </c>
      <c r="F1899" t="s">
        <v>5175</v>
      </c>
      <c r="G1899" t="e">
        <f ca="1">_xludf.IMAGE("https://edmondsonsupply.com/cdn/shop/products/44219.jpg?v=1587143534")</f>
        <v>#NAME?</v>
      </c>
      <c r="H1899" t="e">
        <f ca="1">_xludf.IMAGE("https://m.media-amazon.com/images/I/51+MvUsWHnL._AC_UL320_.jpg")</f>
        <v>#NAME?</v>
      </c>
      <c r="I1899" t="s">
        <v>288</v>
      </c>
      <c r="J1899">
        <v>11.99</v>
      </c>
      <c r="K1899" s="4">
        <v>-0.14299999999999999</v>
      </c>
      <c r="L1899">
        <v>4.8</v>
      </c>
      <c r="M1899">
        <v>3348</v>
      </c>
      <c r="O1899" t="s">
        <v>25</v>
      </c>
      <c r="P1899" t="s">
        <v>5176</v>
      </c>
      <c r="Q1899" t="s">
        <v>5177</v>
      </c>
    </row>
    <row r="1900" spans="1:17" ht="15.5" x14ac:dyDescent="0.35">
      <c r="A1900" s="3" t="str">
        <f>HYPERLINK("https://edmondsonsupply.com/collections/hvac/products/klein-tools-k12035-klein-kurve%C2%AE-heavy-duty-wire-stripper-8-20-awg", "https://edmondsonsupply.com/collections/hvac/products/klein-tools-k12035-klein-kurve%C2%AE-heavy-duty-wire-stripper-8-20-awg")</f>
        <v>https://edmondsonsupply.com/collections/hvac/products/klein-tools-k12035-klein-kurve%C2%AE-heavy-duty-wire-stripper-8-20-awg</v>
      </c>
      <c r="B1900" s="3" t="str">
        <f>HYPERLINK("https://edmondsonsupply.com/products/klein-tools-k12035-klein-kurve%c2%ae-heavy-duty-wire-stripper-8-20-awg", "https://edmondsonsupply.com/products/klein-tools-k12035-klein-kurve%c2%ae-heavy-duty-wire-stripper-8-20-awg")</f>
        <v>https://edmondsonsupply.com/products/klein-tools-k12035-klein-kurve%c2%ae-heavy-duty-wire-stripper-8-20-awg</v>
      </c>
      <c r="C1900" t="s">
        <v>3632</v>
      </c>
      <c r="D1900" t="s">
        <v>5178</v>
      </c>
      <c r="E1900" s="3" t="str">
        <f>HYPERLINK("https://www.amazon.com/Stripper-Electrical-Klein-Tools-11063W/dp/B00BC39YFQ/ref=sr_1_9?keywords=Klein+Tools+K12035+Klein-Kurve%C2%AE+Heavy-Duty+Wire+Stripper+8-20+AWG&amp;qid=1695173668&amp;sr=8-9", "https://www.amazon.com/Stripper-Electrical-Klein-Tools-11063W/dp/B00BC39YFQ/ref=sr_1_9?keywords=Klein+Tools+K12035+Klein-Kurve%C2%AE+Heavy-Duty+Wire+Stripper+8-20+AWG&amp;qid=1695173668&amp;sr=8-9")</f>
        <v>https://www.amazon.com/Stripper-Electrical-Klein-Tools-11063W/dp/B00BC39YFQ/ref=sr_1_9?keywords=Klein+Tools+K12035+Klein-Kurve%C2%AE+Heavy-Duty+Wire+Stripper+8-20+AWG&amp;qid=1695173668&amp;sr=8-9</v>
      </c>
      <c r="F1900" t="s">
        <v>5179</v>
      </c>
      <c r="G1900" t="e">
        <f ca="1">_xludf.IMAGE("https://edmondsonsupply.com/cdn/shop/products/k12035_c.jpg?v=1678970768")</f>
        <v>#NAME?</v>
      </c>
      <c r="H1900" t="e">
        <f ca="1">_xludf.IMAGE("https://m.media-amazon.com/images/I/51cWJR-r31L._AC_UL320_.jpg")</f>
        <v>#NAME?</v>
      </c>
      <c r="I1900" t="s">
        <v>340</v>
      </c>
      <c r="J1900">
        <v>29.97</v>
      </c>
      <c r="K1900" s="4">
        <v>-0.14299999999999999</v>
      </c>
      <c r="L1900">
        <v>4.8</v>
      </c>
      <c r="M1900">
        <v>9121</v>
      </c>
      <c r="O1900" t="s">
        <v>25</v>
      </c>
      <c r="P1900" t="s">
        <v>3635</v>
      </c>
      <c r="Q1900" t="s">
        <v>3636</v>
      </c>
    </row>
    <row r="1901" spans="1:17" ht="15.5" x14ac:dyDescent="0.35">
      <c r="A1901" s="3" t="str">
        <f>HYPERLINK("https://edmondsonsupply.com/collections/hvac/products/klein-tools-ktsb03-step-drill-bit-double-fluted-3-1-4-to-3-4-inch", "https://edmondsonsupply.com/collections/hvac/products/klein-tools-ktsb03-step-drill-bit-double-fluted-3-1-4-to-3-4-inch")</f>
        <v>https://edmondsonsupply.com/collections/hvac/products/klein-tools-ktsb03-step-drill-bit-double-fluted-3-1-4-to-3-4-inch</v>
      </c>
      <c r="B1901" s="3" t="str">
        <f>HYPERLINK("https://edmondsonsupply.com/products/klein-tools-ktsb03-step-drill-bit-double-fluted-3-1-4-to-3-4-inch", "https://edmondsonsupply.com/products/klein-tools-ktsb03-step-drill-bit-double-fluted-3-1-4-to-3-4-inch")</f>
        <v>https://edmondsonsupply.com/products/klein-tools-ktsb03-step-drill-bit-double-fluted-3-1-4-to-3-4-inch</v>
      </c>
      <c r="C1901" t="s">
        <v>1978</v>
      </c>
      <c r="D1901" t="s">
        <v>5180</v>
      </c>
      <c r="E1901" s="3" t="str">
        <f>HYPERLINK("https://www.amazon.com/Jerax-tools-Drilling-Stainless-Aluminum/dp/B094VCMB17/ref=sr_1_5?keywords=Klein+Tools+KTSB03+Step+Drill+Bit+Double+Fluted&amp;qid=1695173677&amp;sr=8-5", "https://www.amazon.com/Jerax-tools-Drilling-Stainless-Aluminum/dp/B094VCMB17/ref=sr_1_5?keywords=Klein+Tools+KTSB03+Step+Drill+Bit+Double+Fluted&amp;qid=1695173677&amp;sr=8-5")</f>
        <v>https://www.amazon.com/Jerax-tools-Drilling-Stainless-Aluminum/dp/B094VCMB17/ref=sr_1_5?keywords=Klein+Tools+KTSB03+Step+Drill+Bit+Double+Fluted&amp;qid=1695173677&amp;sr=8-5</v>
      </c>
      <c r="F1901" t="s">
        <v>5181</v>
      </c>
      <c r="G1901" t="e">
        <f ca="1">_xludf.IMAGE("https://edmondsonsupply.com/cdn/shop/products/ktsb03.jpg?v=1666012212")</f>
        <v>#NAME?</v>
      </c>
      <c r="H1901" t="e">
        <f ca="1">_xludf.IMAGE("https://m.media-amazon.com/images/I/51fvUl5tapL._AC_UY218_.jpg")</f>
        <v>#NAME?</v>
      </c>
      <c r="I1901" t="s">
        <v>571</v>
      </c>
      <c r="J1901">
        <v>29.95</v>
      </c>
      <c r="K1901" s="4">
        <v>-0.14399999999999999</v>
      </c>
      <c r="L1901">
        <v>4.5</v>
      </c>
      <c r="M1901">
        <v>713</v>
      </c>
      <c r="O1901" t="s">
        <v>25</v>
      </c>
      <c r="P1901" t="s">
        <v>1981</v>
      </c>
      <c r="Q1901" t="s">
        <v>1982</v>
      </c>
    </row>
    <row r="1902" spans="1:17" ht="15.5" x14ac:dyDescent="0.35">
      <c r="A1902" s="3" t="str">
        <f>HYPERLINK("https://edmondsonsupply.com/collections/hvac/products/klein-tools-mm400-digital-multimeter-auto-ranging-600v", "https://edmondsonsupply.com/collections/hvac/products/klein-tools-mm400-digital-multimeter-auto-ranging-600v")</f>
        <v>https://edmondsonsupply.com/collections/hvac/products/klein-tools-mm400-digital-multimeter-auto-ranging-600v</v>
      </c>
      <c r="B1902" s="3" t="str">
        <f>HYPERLINK("https://edmondsonsupply.com/products/klein-tools-mm400-digital-multimeter-auto-ranging-600v", "https://edmondsonsupply.com/products/klein-tools-mm400-digital-multimeter-auto-ranging-600v")</f>
        <v>https://edmondsonsupply.com/products/klein-tools-mm400-digital-multimeter-auto-ranging-600v</v>
      </c>
      <c r="C1902" t="s">
        <v>3356</v>
      </c>
      <c r="D1902" t="s">
        <v>5182</v>
      </c>
      <c r="E1902" s="3" t="str">
        <f>HYPERLINK("https://www.amazon.com/Multimeter-Auto-Ranging-Klein-Tools-MM400/dp/B018EXZO8M/ref=sr_1_1?keywords=Klein+Tools+MM400+Digital+Multimeter%2C+Auto-Ranging%2C+600V&amp;qid=1695173526&amp;sr=8-1", "https://www.amazon.com/Multimeter-Auto-Ranging-Klein-Tools-MM400/dp/B018EXZO8M/ref=sr_1_1?keywords=Klein+Tools+MM400+Digital+Multimeter%2C+Auto-Ranging%2C+600V&amp;qid=1695173526&amp;sr=8-1")</f>
        <v>https://www.amazon.com/Multimeter-Auto-Ranging-Klein-Tools-MM400/dp/B018EXZO8M/ref=sr_1_1?keywords=Klein+Tools+MM400+Digital+Multimeter%2C+Auto-Ranging%2C+600V&amp;qid=1695173526&amp;sr=8-1</v>
      </c>
      <c r="F1902" t="s">
        <v>5183</v>
      </c>
      <c r="G1902" t="e">
        <f ca="1">_xludf.IMAGE("https://edmondsonsupply.com/cdn/shop/products/mm400_alt1.jpg?v=1633030778")</f>
        <v>#NAME?</v>
      </c>
      <c r="H1902" t="e">
        <f ca="1">_xludf.IMAGE("https://m.media-amazon.com/images/I/61I4o1GeoZL._AC_UL320_.jpg")</f>
        <v>#NAME?</v>
      </c>
      <c r="I1902" t="s">
        <v>3359</v>
      </c>
      <c r="J1902">
        <v>46.9</v>
      </c>
      <c r="K1902" s="4">
        <v>-0.14680000000000001</v>
      </c>
      <c r="L1902">
        <v>4.7</v>
      </c>
      <c r="M1902">
        <v>3817</v>
      </c>
      <c r="O1902" t="s">
        <v>25</v>
      </c>
      <c r="P1902" t="s">
        <v>3360</v>
      </c>
      <c r="Q1902" t="s">
        <v>3361</v>
      </c>
    </row>
    <row r="1903" spans="1:17" ht="15.5" x14ac:dyDescent="0.35">
      <c r="A1903" s="3" t="str">
        <f>HYPERLINK("https://edmondsonsupply.com/collections/hvac/products/rectorseal-97089-safe-t-switch-ss3", "https://edmondsonsupply.com/collections/hvac/products/rectorseal-97089-safe-t-switch-ss3")</f>
        <v>https://edmondsonsupply.com/collections/hvac/products/rectorseal-97089-safe-t-switch-ss3</v>
      </c>
      <c r="B1903" s="3" t="str">
        <f>HYPERLINK("https://edmondsonsupply.com/products/rectorseal-97089-safe-t-switch-ss3", "https://edmondsonsupply.com/products/rectorseal-97089-safe-t-switch-ss3")</f>
        <v>https://edmondsonsupply.com/products/rectorseal-97089-safe-t-switch-ss3</v>
      </c>
      <c r="C1903" t="s">
        <v>2420</v>
      </c>
      <c r="D1903" t="s">
        <v>5184</v>
      </c>
      <c r="E1903" s="3" t="str">
        <f>HYPERLINK("https://www.amazon.com/Rectorseal-97647-Safe-T-Switch-Ss3/dp/B007CZ6PD2/ref=sr_1_2?keywords=RectorSeal+97089+Safe-T-Switch+SS3&amp;qid=1695173721&amp;sr=8-2", "https://www.amazon.com/Rectorseal-97647-Safe-T-Switch-Ss3/dp/B007CZ6PD2/ref=sr_1_2?keywords=RectorSeal+97089+Safe-T-Switch+SS3&amp;qid=1695173721&amp;sr=8-2")</f>
        <v>https://www.amazon.com/Rectorseal-97647-Safe-T-Switch-Ss3/dp/B007CZ6PD2/ref=sr_1_2?keywords=RectorSeal+97089+Safe-T-Switch+SS3&amp;qid=1695173721&amp;sr=8-2</v>
      </c>
      <c r="F1903" t="s">
        <v>5185</v>
      </c>
      <c r="G1903" t="e">
        <f ca="1">_xludf.IMAGE("https://edmondsonsupply.com/cdn/shop/files/97089-ss3-safe-t-switch-image-img.webp?v=1690986443")</f>
        <v>#NAME?</v>
      </c>
      <c r="H1903" t="e">
        <f ca="1">_xludf.IMAGE("https://m.media-amazon.com/images/I/51rEJ4my1pL._AC_UY218_.jpg")</f>
        <v>#NAME?</v>
      </c>
      <c r="I1903" t="s">
        <v>2423</v>
      </c>
      <c r="J1903">
        <v>12.02</v>
      </c>
      <c r="K1903" s="4">
        <v>-0.1469</v>
      </c>
      <c r="L1903">
        <v>4.5999999999999996</v>
      </c>
      <c r="M1903">
        <v>321</v>
      </c>
      <c r="O1903" t="s">
        <v>25</v>
      </c>
      <c r="P1903" t="s">
        <v>2424</v>
      </c>
      <c r="Q1903" t="s">
        <v>2425</v>
      </c>
    </row>
    <row r="1904" spans="1:17" ht="15.5" x14ac:dyDescent="0.35">
      <c r="A1904" s="3" t="str">
        <f>HYPERLINK("https://edmondsonsupply.com/collections/hvac/products/midwest-mwt-6510s-straight-offset-aviation-snip", "https://edmondsonsupply.com/collections/hvac/products/midwest-mwt-6510s-straight-offset-aviation-snip")</f>
        <v>https://edmondsonsupply.com/collections/hvac/products/midwest-mwt-6510s-straight-offset-aviation-snip</v>
      </c>
      <c r="B1904" s="3" t="str">
        <f>HYPERLINK("https://edmondsonsupply.com/products/midwest-mwt-6510s-straight-offset-aviation-snip", "https://edmondsonsupply.com/products/midwest-mwt-6510s-straight-offset-aviation-snip")</f>
        <v>https://edmondsonsupply.com/products/midwest-mwt-6510s-straight-offset-aviation-snip</v>
      </c>
      <c r="C1904" t="s">
        <v>1736</v>
      </c>
      <c r="D1904" t="s">
        <v>4980</v>
      </c>
      <c r="E1904" s="3" t="str">
        <f>HYPERLINK("https://www.amazon.com/MIDWEST-Bulldog-Aviation-Tin-Snip/dp/B00OCGQJIA/ref=sr_1_5?keywords=Midwest+MWT-6510S+Straight+Offset+Aviation+Snip&amp;qid=1695173382&amp;sr=8-5", "https://www.amazon.com/MIDWEST-Bulldog-Aviation-Tin-Snip/dp/B00OCGQJIA/ref=sr_1_5?keywords=Midwest+MWT-6510S+Straight+Offset+Aviation+Snip&amp;qid=1695173382&amp;sr=8-5")</f>
        <v>https://www.amazon.com/MIDWEST-Bulldog-Aviation-Tin-Snip/dp/B00OCGQJIA/ref=sr_1_5?keywords=Midwest+MWT-6510S+Straight+Offset+Aviation+Snip&amp;qid=1695173382&amp;sr=8-5</v>
      </c>
      <c r="F1904" t="s">
        <v>4981</v>
      </c>
      <c r="G1904" t="e">
        <f ca="1">_xludf.IMAGE("https://edmondsonsupply.com/cdn/shop/products/MWT-6510S-1.jpg?v=1587150061")</f>
        <v>#NAME?</v>
      </c>
      <c r="H1904" t="e">
        <f ca="1">_xludf.IMAGE("https://m.media-amazon.com/images/I/619mQ19odyL._AC_UL320_.jpg")</f>
        <v>#NAME?</v>
      </c>
      <c r="I1904" t="s">
        <v>1737</v>
      </c>
      <c r="J1904">
        <v>19.98</v>
      </c>
      <c r="K1904" s="4">
        <v>-0.14940000000000001</v>
      </c>
      <c r="L1904">
        <v>4.7</v>
      </c>
      <c r="M1904">
        <v>1627</v>
      </c>
      <c r="O1904" t="s">
        <v>171</v>
      </c>
      <c r="P1904" t="s">
        <v>260</v>
      </c>
      <c r="Q1904" t="s">
        <v>1738</v>
      </c>
    </row>
    <row r="1905" spans="1:17" ht="15.5" x14ac:dyDescent="0.35">
      <c r="A1905" s="3" t="str">
        <f>HYPERLINK("https://edmondsonsupply.com/collections/hvac/products/robertshaw-rs8110-digital-non-programmable-thermostat-single-stage-1-heat-1-cool", "https://edmondsonsupply.com/collections/hvac/products/robertshaw-rs8110-digital-non-programmable-thermostat-single-stage-1-heat-1-cool")</f>
        <v>https://edmondsonsupply.com/collections/hvac/products/robertshaw-rs8110-digital-non-programmable-thermostat-single-stage-1-heat-1-cool</v>
      </c>
      <c r="B1905" s="3" t="str">
        <f>HYPERLINK("https://edmondsonsupply.com/products/robertshaw-rs8110-digital-non-programmable-thermostat-single-stage-1-heat-1-cool", "https://edmondsonsupply.com/products/robertshaw-rs8110-digital-non-programmable-thermostat-single-stage-1-heat-1-cool")</f>
        <v>https://edmondsonsupply.com/products/robertshaw-rs8110-digital-non-programmable-thermostat-single-stage-1-heat-1-cool</v>
      </c>
      <c r="C1905" t="s">
        <v>2461</v>
      </c>
      <c r="D1905" t="s">
        <v>5186</v>
      </c>
      <c r="E1905" s="3" t="str">
        <f>HYPERLINK("https://www.amazon.com/ELECTECK-Thermostat-Non-Programmable-Compatible-Electrical/dp/B08ZCK31P9/ref=sr_1_6?keywords=Robertshaw+RS8110+Digital+Non-Programmable+Thermostat%2C+Single+Stage+-+1+Heat%2F1+Cool&amp;qid=1695173434&amp;sr=8-6", "https://www.amazon.com/ELECTECK-Thermostat-Non-Programmable-Compatible-Electrical/dp/B08ZCK31P9/ref=sr_1_6?keywords=Robertshaw+RS8110+Digital+Non-Programmable+Thermostat%2C+Single+Stage+-+1+Heat%2F1+Cool&amp;qid=1695173434&amp;sr=8-6")</f>
        <v>https://www.amazon.com/ELECTECK-Thermostat-Non-Programmable-Compatible-Electrical/dp/B08ZCK31P9/ref=sr_1_6?keywords=Robertshaw+RS8110+Digital+Non-Programmable+Thermostat%2C+Single+Stage+-+1+Heat%2F1+Cool&amp;qid=1695173434&amp;sr=8-6</v>
      </c>
      <c r="F1905" t="s">
        <v>5187</v>
      </c>
      <c r="G1905" t="e">
        <f ca="1">_xludf.IMAGE("https://edmondsonsupply.com/cdn/shop/products/RS8110.jpg?v=1633031027")</f>
        <v>#NAME?</v>
      </c>
      <c r="H1905" t="e">
        <f ca="1">_xludf.IMAGE("https://m.media-amazon.com/images/I/614EXJXKqTL._AC_UL320_.jpg")</f>
        <v>#NAME?</v>
      </c>
      <c r="I1905" t="s">
        <v>2464</v>
      </c>
      <c r="J1905">
        <v>27.99</v>
      </c>
      <c r="K1905" s="4">
        <v>-0.15079999999999999</v>
      </c>
      <c r="L1905">
        <v>4.5</v>
      </c>
      <c r="M1905">
        <v>337</v>
      </c>
      <c r="O1905" t="s">
        <v>25</v>
      </c>
      <c r="P1905" t="s">
        <v>2465</v>
      </c>
      <c r="Q1905" t="s">
        <v>2466</v>
      </c>
    </row>
    <row r="1906" spans="1:17" ht="15.5" x14ac:dyDescent="0.35">
      <c r="A1906" s="3" t="str">
        <f>HYPERLINK("https://edmondsonsupply.com/collections/hvac/products/midwest-mwt-6900r-upright-right-cutting-aviation-snip", "https://edmondsonsupply.com/collections/hvac/products/midwest-mwt-6900r-upright-right-cutting-aviation-snip")</f>
        <v>https://edmondsonsupply.com/collections/hvac/products/midwest-mwt-6900r-upright-right-cutting-aviation-snip</v>
      </c>
      <c r="B1906" s="3" t="str">
        <f>HYPERLINK("https://edmondsonsupply.com/products/midwest-mwt-6900r-upright-right-cutting-aviation-snip", "https://edmondsonsupply.com/products/midwest-mwt-6900r-upright-right-cutting-aviation-snip")</f>
        <v>https://edmondsonsupply.com/products/midwest-mwt-6900r-upright-right-cutting-aviation-snip</v>
      </c>
      <c r="C1906" t="s">
        <v>1785</v>
      </c>
      <c r="D1906" t="s">
        <v>229</v>
      </c>
      <c r="E1906" s="3" t="str">
        <f>HYPERLINK("https://www.amazon.com/MIDWEST-Blackout-Aviation-Snip-KUSHN-POWER/dp/B00TJQL8FW/ref=sr_1_9?keywords=Midwest+MWT-6900R+Upright+Right-Cutting+Aviation+Snip&amp;qid=1695173458&amp;sr=8-9", "https://www.amazon.com/MIDWEST-Blackout-Aviation-Snip-KUSHN-POWER/dp/B00TJQL8FW/ref=sr_1_9?keywords=Midwest+MWT-6900R+Upright+Right-Cutting+Aviation+Snip&amp;qid=1695173458&amp;sr=8-9")</f>
        <v>https://www.amazon.com/MIDWEST-Blackout-Aviation-Snip-KUSHN-POWER/dp/B00TJQL8FW/ref=sr_1_9?keywords=Midwest+MWT-6900R+Upright+Right-Cutting+Aviation+Snip&amp;qid=1695173458&amp;sr=8-9</v>
      </c>
      <c r="F1906" t="s">
        <v>230</v>
      </c>
      <c r="G1906" t="e">
        <f ca="1">_xludf.IMAGE("https://edmondsonsupply.com/cdn/shop/products/MW-P6900R1.jpg?v=1587142622")</f>
        <v>#NAME?</v>
      </c>
      <c r="H1906" t="e">
        <f ca="1">_xludf.IMAGE("https://m.media-amazon.com/images/I/61B4vp7eTTL._AC_UL320_.jpg")</f>
        <v>#NAME?</v>
      </c>
      <c r="I1906" t="s">
        <v>1786</v>
      </c>
      <c r="J1906">
        <v>21.47</v>
      </c>
      <c r="K1906" s="4">
        <v>-0.151</v>
      </c>
      <c r="L1906">
        <v>4</v>
      </c>
      <c r="M1906">
        <v>52</v>
      </c>
      <c r="O1906" t="s">
        <v>25</v>
      </c>
      <c r="P1906" t="s">
        <v>1787</v>
      </c>
      <c r="Q1906" t="s">
        <v>1788</v>
      </c>
    </row>
    <row r="1907" spans="1:17" ht="15.5" x14ac:dyDescent="0.35">
      <c r="A1907" s="3" t="str">
        <f>HYPERLINK("https://edmondsonsupply.com/collections/hvac/products/malco-tools-lp7r-eagle-grip-7-straight-jaw-locking-pliers", "https://edmondsonsupply.com/collections/hvac/products/malco-tools-lp7r-eagle-grip-7-straight-jaw-locking-pliers")</f>
        <v>https://edmondsonsupply.com/collections/hvac/products/malco-tools-lp7r-eagle-grip-7-straight-jaw-locking-pliers</v>
      </c>
      <c r="B1907" s="3" t="str">
        <f>HYPERLINK("https://edmondsonsupply.com/products/malco-tools-lp7r-eagle-grip-7-straight-jaw-locking-pliers", "https://edmondsonsupply.com/products/malco-tools-lp7r-eagle-grip-7-straight-jaw-locking-pliers")</f>
        <v>https://edmondsonsupply.com/products/malco-tools-lp7r-eagle-grip-7-straight-jaw-locking-pliers</v>
      </c>
      <c r="C1907" t="s">
        <v>2064</v>
      </c>
      <c r="D1907" t="s">
        <v>5188</v>
      </c>
      <c r="E1907" s="3" t="str">
        <f>HYPERLINK("https://www.amazon.com/Malco-LP7R-Straight-Locking-Pliers/dp/B0924RJNPQ/ref=sr_1_1?keywords=Malco+Tools+LP7R+Eagle+Grip+7%E2%80%B3+Straight+Jaw+Locking+Pliers&amp;qid=1695173432&amp;sr=8-1", "https://www.amazon.com/Malco-LP7R-Straight-Locking-Pliers/dp/B0924RJNPQ/ref=sr_1_1?keywords=Malco+Tools+LP7R+Eagle+Grip+7%E2%80%B3+Straight+Jaw+Locking+Pliers&amp;qid=1695173432&amp;sr=8-1")</f>
        <v>https://www.amazon.com/Malco-LP7R-Straight-Locking-Pliers/dp/B0924RJNPQ/ref=sr_1_1?keywords=Malco+Tools+LP7R+Eagle+Grip+7%E2%80%B3+Straight+Jaw+Locking+Pliers&amp;qid=1695173432&amp;sr=8-1</v>
      </c>
      <c r="F1907" t="s">
        <v>5189</v>
      </c>
      <c r="G1907" t="e">
        <f ca="1">_xludf.IMAGE("https://edmondsonsupply.com/cdn/shop/products/LP7R-eagle-grip-locking-pliers-in-hand.jpg?v=1657291391")</f>
        <v>#NAME?</v>
      </c>
      <c r="H1907" t="e">
        <f ca="1">_xludf.IMAGE("https://m.media-amazon.com/images/I/61HMR5Cj8yS._AC_UL320_.jpg")</f>
        <v>#NAME?</v>
      </c>
      <c r="I1907" t="s">
        <v>1931</v>
      </c>
      <c r="J1907">
        <v>42.4</v>
      </c>
      <c r="K1907" s="4">
        <v>-0.15179999999999999</v>
      </c>
      <c r="L1907">
        <v>4.9000000000000004</v>
      </c>
      <c r="M1907">
        <v>176</v>
      </c>
      <c r="O1907" t="s">
        <v>25</v>
      </c>
      <c r="P1907" t="s">
        <v>2067</v>
      </c>
      <c r="Q1907" t="s">
        <v>2068</v>
      </c>
    </row>
    <row r="1908" spans="1:17" ht="15.5" x14ac:dyDescent="0.35">
      <c r="A1908" s="3" t="str">
        <f>HYPERLINK("https://edmondsonsupply.com/collections/hvac/products/nu-calgon-4300-89-rx11-flush-injection-valve", "https://edmondsonsupply.com/collections/hvac/products/nu-calgon-4300-89-rx11-flush-injection-valve")</f>
        <v>https://edmondsonsupply.com/collections/hvac/products/nu-calgon-4300-89-rx11-flush-injection-valve</v>
      </c>
      <c r="B1908" s="3" t="str">
        <f>HYPERLINK("https://edmondsonsupply.com/products/nu-calgon-4300-89-rx11-flush-injection-valve", "https://edmondsonsupply.com/products/nu-calgon-4300-89-rx11-flush-injection-valve")</f>
        <v>https://edmondsonsupply.com/products/nu-calgon-4300-89-rx11-flush-injection-valve</v>
      </c>
      <c r="C1908" t="s">
        <v>3996</v>
      </c>
      <c r="D1908" t="s">
        <v>5190</v>
      </c>
      <c r="E1908" s="3" t="str">
        <f>HYPERLINK("https://www.amazon.com/Nu-Calgon-Wholesaler-Inc-430089-INJECTION/dp/B008FM9OCK/ref=sr_1_2?keywords=Nu-Calgon+4300-89+Rx11-Flush+Injection+Valve&amp;qid=1695173615&amp;sr=8-2", "https://www.amazon.com/Nu-Calgon-Wholesaler-Inc-430089-INJECTION/dp/B008FM9OCK/ref=sr_1_2?keywords=Nu-Calgon+4300-89+Rx11-Flush+Injection+Valve&amp;qid=1695173615&amp;sr=8-2")</f>
        <v>https://www.amazon.com/Nu-Calgon-Wholesaler-Inc-430089-INJECTION/dp/B008FM9OCK/ref=sr_1_2?keywords=Nu-Calgon+4300-89+Rx11-Flush+Injection+Valve&amp;qid=1695173615&amp;sr=8-2</v>
      </c>
      <c r="F1908" t="s">
        <v>5191</v>
      </c>
      <c r="G1908" t="e">
        <f ca="1">_xludf.IMAGE("https://edmondsonsupply.com/cdn/shop/products/4300-89.jpg?v=1658853039")</f>
        <v>#NAME?</v>
      </c>
      <c r="H1908" t="e">
        <f ca="1">_xludf.IMAGE("https://m.media-amazon.com/images/I/81CaKObTr4L._AC_UY218_.jpg")</f>
        <v>#NAME?</v>
      </c>
      <c r="I1908" t="s">
        <v>3999</v>
      </c>
      <c r="J1908">
        <v>32.450000000000003</v>
      </c>
      <c r="K1908" s="4">
        <v>-0.15210000000000001</v>
      </c>
      <c r="L1908">
        <v>3.7</v>
      </c>
      <c r="M1908">
        <v>8</v>
      </c>
      <c r="O1908" t="s">
        <v>25</v>
      </c>
      <c r="P1908" t="s">
        <v>4000</v>
      </c>
      <c r="Q1908" t="s">
        <v>4001</v>
      </c>
    </row>
    <row r="1909" spans="1:17" ht="15.5" x14ac:dyDescent="0.35">
      <c r="A1909"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909"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909" t="s">
        <v>2155</v>
      </c>
      <c r="D1909" t="s">
        <v>5192</v>
      </c>
      <c r="E1909" s="3" t="str">
        <f>HYPERLINK("https://www.amazon.com/Klein-Tools-80041-Receptacle-Stripper/dp/B0977QNC3X/ref=sr_1_4?keywords=Klein+Tools+NCVT1XTKIT+Non-Contact+Voltage+and+GFCI+Receptacle+Premium+Test+Kit&amp;qid=1695173496&amp;sr=8-4", "https://www.amazon.com/Klein-Tools-80041-Receptacle-Stripper/dp/B0977QNC3X/ref=sr_1_4?keywords=Klein+Tools+NCVT1XTKIT+Non-Contact+Voltage+and+GFCI+Receptacle+Premium+Test+Kit&amp;qid=1695173496&amp;sr=8-4")</f>
        <v>https://www.amazon.com/Klein-Tools-80041-Receptacle-Stripper/dp/B0977QNC3X/ref=sr_1_4?keywords=Klein+Tools+NCVT1XTKIT+Non-Contact+Voltage+and+GFCI+Receptacle+Premium+Test+Kit&amp;qid=1695173496&amp;sr=8-4</v>
      </c>
      <c r="F1909" t="s">
        <v>5193</v>
      </c>
      <c r="G1909" t="e">
        <f ca="1">_xludf.IMAGE("https://edmondsonsupply.com/cdn/shop/products/ncvt1xtkit.jpg?v=1674497102")</f>
        <v>#NAME?</v>
      </c>
      <c r="H1909" t="e">
        <f ca="1">_xludf.IMAGE("https://m.media-amazon.com/images/I/61swpb0jNLS._AC_UL320_.jpg")</f>
        <v>#NAME?</v>
      </c>
      <c r="I1909" t="s">
        <v>471</v>
      </c>
      <c r="J1909">
        <v>21.17</v>
      </c>
      <c r="K1909" s="4">
        <v>-0.15290000000000001</v>
      </c>
      <c r="L1909">
        <v>4.8</v>
      </c>
      <c r="M1909">
        <v>7966</v>
      </c>
      <c r="O1909" t="s">
        <v>25</v>
      </c>
      <c r="P1909" t="s">
        <v>2158</v>
      </c>
      <c r="Q1909" t="s">
        <v>2159</v>
      </c>
    </row>
    <row r="1910" spans="1:17" ht="15.5" x14ac:dyDescent="0.35">
      <c r="A1910" s="3" t="str">
        <f>HYPERLINK("https://edmondsonsupply.com/collections/hvac/products/milwaukee-48-40-4515-8-circular-saw-metal-cutting-blade-42t", "https://edmondsonsupply.com/collections/hvac/products/milwaukee-48-40-4515-8-circular-saw-metal-cutting-blade-42t")</f>
        <v>https://edmondsonsupply.com/collections/hvac/products/milwaukee-48-40-4515-8-circular-saw-metal-cutting-blade-42t</v>
      </c>
      <c r="B1910" s="3" t="str">
        <f>HYPERLINK("https://edmondsonsupply.com/products/milwaukee-48-40-4515-8-circular-saw-metal-cutting-blade-42t", "https://edmondsonsupply.com/products/milwaukee-48-40-4515-8-circular-saw-metal-cutting-blade-42t")</f>
        <v>https://edmondsonsupply.com/products/milwaukee-48-40-4515-8-circular-saw-metal-cutting-blade-42t</v>
      </c>
      <c r="C1910" t="s">
        <v>5194</v>
      </c>
      <c r="D1910" t="s">
        <v>5195</v>
      </c>
      <c r="E1910" s="3" t="str">
        <f>HYPERLINK("https://www.amazon.com/Milwaukee-48-40-4205-Carbide-Stainless-Circular/dp/B0B4PBQ93R/ref=sr_1_7?keywords=Milwaukee+48-40-4515+8%22+Circular+Saw+Metal+Cutting+Blade-+42T&amp;qid=1695173766&amp;sr=8-7", "https://www.amazon.com/Milwaukee-48-40-4205-Carbide-Stainless-Circular/dp/B0B4PBQ93R/ref=sr_1_7?keywords=Milwaukee+48-40-4515+8%22+Circular+Saw+Metal+Cutting+Blade-+42T&amp;qid=1695173766&amp;sr=8-7")</f>
        <v>https://www.amazon.com/Milwaukee-48-40-4205-Carbide-Stainless-Circular/dp/B0B4PBQ93R/ref=sr_1_7?keywords=Milwaukee+48-40-4515+8%22+Circular+Saw+Metal+Cutting+Blade-+42T&amp;qid=1695173766&amp;sr=8-7</v>
      </c>
      <c r="F1910" t="s">
        <v>5196</v>
      </c>
      <c r="G1910" t="e">
        <f ca="1">_xludf.IMAGE("https://edmondsonsupply.com/cdn/shop/files/48-40-4515_1.png?v=1687444386")</f>
        <v>#NAME?</v>
      </c>
      <c r="H1910" t="e">
        <f ca="1">_xludf.IMAGE("https://m.media-amazon.com/images/I/71iJWk1JV7L._AC_UL320_.jpg")</f>
        <v>#NAME?</v>
      </c>
      <c r="I1910" t="s">
        <v>5197</v>
      </c>
      <c r="J1910">
        <v>50.79</v>
      </c>
      <c r="K1910" s="4">
        <v>-0.15310000000000001</v>
      </c>
      <c r="L1910">
        <v>5</v>
      </c>
      <c r="M1910">
        <v>11</v>
      </c>
      <c r="O1910" t="s">
        <v>25</v>
      </c>
      <c r="P1910" t="s">
        <v>5198</v>
      </c>
      <c r="Q1910" t="s">
        <v>5199</v>
      </c>
    </row>
    <row r="1911" spans="1:17" ht="15.5" x14ac:dyDescent="0.35">
      <c r="A1911" s="3" t="str">
        <f>HYPERLINK("https://edmondsonsupply.com/collections/hvac/products/malco-tools-lp7wc-eagle-grip-7-curved-jaw-locking-pliers-w-wire-cutters", "https://edmondsonsupply.com/collections/hvac/products/malco-tools-lp7wc-eagle-grip-7-curved-jaw-locking-pliers-w-wire-cutters")</f>
        <v>https://edmondsonsupply.com/collections/hvac/products/malco-tools-lp7wc-eagle-grip-7-curved-jaw-locking-pliers-w-wire-cutters</v>
      </c>
      <c r="B1911" s="3" t="str">
        <f>HYPERLINK("https://edmondsonsupply.com/products/malco-tools-lp7wc-eagle-grip-7-curved-jaw-locking-pliers-w-wire-cutters", "https://edmondsonsupply.com/products/malco-tools-lp7wc-eagle-grip-7-curved-jaw-locking-pliers-w-wire-cutters")</f>
        <v>https://edmondsonsupply.com/products/malco-tools-lp7wc-eagle-grip-7-curved-jaw-locking-pliers-w-wire-cutters</v>
      </c>
      <c r="C1911" t="s">
        <v>223</v>
      </c>
      <c r="D1911" t="s">
        <v>224</v>
      </c>
      <c r="E1911" s="3" t="str">
        <f>HYPERLINK("https://www.amazon.com/Malco-LP7WC-Curved-Locking-Pliers/dp/B0924QSHLF/ref=sr_1_1?keywords=Malco+Tools+LP7WC+Eagle+Grip+7%E2%80%B3+Curved+Jaw+Locking+Pliers+W%2FWire+Cutters&amp;qid=1695173378&amp;sr=8-1", "https://www.amazon.com/Malco-LP7WC-Curved-Locking-Pliers/dp/B0924QSHLF/ref=sr_1_1?keywords=Malco+Tools+LP7WC+Eagle+Grip+7%E2%80%B3+Curved+Jaw+Locking+Pliers+W%2FWire+Cutters&amp;qid=1695173378&amp;sr=8-1")</f>
        <v>https://www.amazon.com/Malco-LP7WC-Curved-Locking-Pliers/dp/B0924QSHLF/ref=sr_1_1?keywords=Malco+Tools+LP7WC+Eagle+Grip+7%E2%80%B3+Curved+Jaw+Locking+Pliers+W%2FWire+Cutters&amp;qid=1695173378&amp;sr=8-1</v>
      </c>
      <c r="F1911" t="s">
        <v>225</v>
      </c>
      <c r="G1911" t="e">
        <f ca="1">_xludf.IMAGE("https://edmondsonsupply.com/cdn/shop/products/LP7WC-7-Inch-eagle-grip-locking-pliers-in-hand.jpg?v=1657306992")</f>
        <v>#NAME?</v>
      </c>
      <c r="H1911" t="e">
        <f ca="1">_xludf.IMAGE("https://m.media-amazon.com/images/I/61fd64mFDpS._AC_UL320_.jpg")</f>
        <v>#NAME?</v>
      </c>
      <c r="I1911" t="s">
        <v>226</v>
      </c>
      <c r="J1911">
        <v>41.49</v>
      </c>
      <c r="K1911" s="4">
        <v>-0.15310000000000001</v>
      </c>
      <c r="L1911">
        <v>4.9000000000000004</v>
      </c>
      <c r="M1911">
        <v>426</v>
      </c>
      <c r="O1911" t="s">
        <v>25</v>
      </c>
      <c r="P1911" t="s">
        <v>227</v>
      </c>
      <c r="Q1911" t="s">
        <v>228</v>
      </c>
    </row>
    <row r="1912" spans="1:17" ht="15.5" x14ac:dyDescent="0.35">
      <c r="A1912" s="3" t="str">
        <f>HYPERLINK("https://edmondsonsupply.com/collections/hvac/products/klein-tools-55580-tradesman-tumbler", "https://edmondsonsupply.com/collections/hvac/products/klein-tools-55580-tradesman-tumbler")</f>
        <v>https://edmondsonsupply.com/collections/hvac/products/klein-tools-55580-tradesman-tumbler</v>
      </c>
      <c r="B1912" s="3" t="str">
        <f>HYPERLINK("https://edmondsonsupply.com/products/klein-tools-55580-tradesman-tumbler", "https://edmondsonsupply.com/products/klein-tools-55580-tradesman-tumbler")</f>
        <v>https://edmondsonsupply.com/products/klein-tools-55580-tradesman-tumbler</v>
      </c>
      <c r="C1912" t="s">
        <v>1947</v>
      </c>
      <c r="D1912" t="s">
        <v>5200</v>
      </c>
      <c r="E1912" s="3" t="str">
        <f>HYPERLINK("https://www.amazon.com/Klein-Tools-KLEBE-55580-Slip-resistant/dp/B08DDWFFPW/ref=sr_1_1?keywords=Klein+Tools+55580+Tradesman+Tumbler&amp;qid=1695173534&amp;sr=8-1", "https://www.amazon.com/Klein-Tools-KLEBE-55580-Slip-resistant/dp/B08DDWFFPW/ref=sr_1_1?keywords=Klein+Tools+55580+Tradesman+Tumbler&amp;qid=1695173534&amp;sr=8-1")</f>
        <v>https://www.amazon.com/Klein-Tools-KLEBE-55580-Slip-resistant/dp/B08DDWFFPW/ref=sr_1_1?keywords=Klein+Tools+55580+Tradesman+Tumbler&amp;qid=1695173534&amp;sr=8-1</v>
      </c>
      <c r="F1912" t="s">
        <v>5201</v>
      </c>
      <c r="G1912" t="e">
        <f ca="1">_xludf.IMAGE("https://edmondsonsupply.com/cdn/shop/products/55580.jpg?v=1633030612")</f>
        <v>#NAME?</v>
      </c>
      <c r="H1912" t="e">
        <f ca="1">_xludf.IMAGE("https://m.media-amazon.com/images/I/51N6slkt0eL._AC_UL320_.jpg")</f>
        <v>#NAME?</v>
      </c>
      <c r="I1912" t="s">
        <v>824</v>
      </c>
      <c r="J1912">
        <v>25.33</v>
      </c>
      <c r="K1912" s="4">
        <v>-0.15479999999999999</v>
      </c>
      <c r="L1912">
        <v>4.8</v>
      </c>
      <c r="M1912">
        <v>2155</v>
      </c>
      <c r="O1912" t="s">
        <v>25</v>
      </c>
      <c r="P1912" t="s">
        <v>562</v>
      </c>
      <c r="Q1912" t="s">
        <v>1950</v>
      </c>
    </row>
    <row r="1913" spans="1:17" ht="15.5" x14ac:dyDescent="0.35">
      <c r="A1913"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913"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913" t="s">
        <v>2903</v>
      </c>
      <c r="D1913" t="s">
        <v>5202</v>
      </c>
      <c r="E1913" s="3" t="str">
        <f>HYPERLINK("https://www.amazon.com/Diablo-SDS-Max-4-Cutter-Carbide-Hammer/dp/B089LN5QN7/ref=sr_1_2?keywords=Diablo+Tools+DMAMX1300+1-1%2F4+in.+x+16+in.+x+21+in.+Rebar+Demon%E2%84%A2+SDS-Max+4-Cutter+Full+Carbide+Head+Hammer+Drill+Bit&amp;qid=1695173488&amp;sr=8-2", "https://www.amazon.com/Diablo-SDS-Max-4-Cutter-Carbide-Hammer/dp/B089LN5QN7/ref=sr_1_2?keywords=Diablo+Tools+DMAMX1300+1-1%2F4+in.+x+16+in.+x+21+in.+Rebar+Demon%E2%84%A2+SDS-Max+4-Cutter+Full+Carbide+Head+Hammer+Drill+Bit&amp;qid=1695173488&amp;sr=8-2")</f>
        <v>https://www.amazon.com/Diablo-SDS-Max-4-Cutter-Carbide-Hammer/dp/B089LN5QN7/ref=sr_1_2?keywords=Diablo+Tools+DMAMX1300+1-1%2F4+in.+x+16+in.+x+21+in.+Rebar+Demon%E2%84%A2+SDS-Max+4-Cutter+Full+Carbide+Head+Hammer+Drill+Bit&amp;qid=1695173488&amp;sr=8-2</v>
      </c>
      <c r="F1913" t="s">
        <v>5203</v>
      </c>
      <c r="G1913" t="e">
        <f ca="1">_xludf.IMAGE("https://edmondsonsupply.com/cdn/shop/files/immoyh7jjmbau4fzhuq6_7dd7fd73-2865-4c12-9443-da45b48dbd51.webp?v=1685465465")</f>
        <v>#NAME?</v>
      </c>
      <c r="H1913" t="e">
        <f ca="1">_xludf.IMAGE("https://m.media-amazon.com/images/I/6182PTqKZGL._AC_UL320_.jpg")</f>
        <v>#NAME?</v>
      </c>
      <c r="I1913" t="s">
        <v>2906</v>
      </c>
      <c r="J1913">
        <v>55.99</v>
      </c>
      <c r="K1913" s="4">
        <v>-0.15679999999999999</v>
      </c>
      <c r="L1913">
        <v>3.6</v>
      </c>
      <c r="M1913">
        <v>4</v>
      </c>
      <c r="O1913" t="s">
        <v>171</v>
      </c>
      <c r="P1913" t="s">
        <v>2907</v>
      </c>
      <c r="Q1913" t="s">
        <v>2908</v>
      </c>
    </row>
    <row r="1914" spans="1:17" ht="15.5" x14ac:dyDescent="0.35">
      <c r="A1914" s="3" t="str">
        <f>HYPERLINK("https://edmondsonsupply.com/collections/hvac/products/icm-controls-icm282b-furnace-control-board-replacement-for-carrier", "https://edmondsonsupply.com/collections/hvac/products/icm-controls-icm282b-furnace-control-board-replacement-for-carrier")</f>
        <v>https://edmondsonsupply.com/collections/hvac/products/icm-controls-icm282b-furnace-control-board-replacement-for-carrier</v>
      </c>
      <c r="B1914" s="3" t="str">
        <f>HYPERLINK("https://edmondsonsupply.com/products/icm-controls-icm282b-furnace-control-board-replacement-for-carrier", "https://edmondsonsupply.com/products/icm-controls-icm282b-furnace-control-board-replacement-for-carrier")</f>
        <v>https://edmondsonsupply.com/products/icm-controls-icm282b-furnace-control-board-replacement-for-carrier</v>
      </c>
      <c r="C1914" t="s">
        <v>4449</v>
      </c>
      <c r="D1914" t="s">
        <v>2929</v>
      </c>
      <c r="E1914" s="3" t="str">
        <f>HYPERLINK("https://www.amazon.com/ICM282A-Replacement-HK42FZ004-HK42FZ007-HK42FZ008/dp/B0C5LZFXDK/ref=sr_1_2?keywords=ICM+Controls+ICM282B+Furnace+Control+Board+-+Replacement+for+Carrier&amp;qid=1695173504&amp;sr=8-2", "https://www.amazon.com/ICM282A-Replacement-HK42FZ004-HK42FZ007-HK42FZ008/dp/B0C5LZFXDK/ref=sr_1_2?keywords=ICM+Controls+ICM282B+Furnace+Control+Board+-+Replacement+for+Carrier&amp;qid=1695173504&amp;sr=8-2")</f>
        <v>https://www.amazon.com/ICM282A-Replacement-HK42FZ004-HK42FZ007-HK42FZ008/dp/B0C5LZFXDK/ref=sr_1_2?keywords=ICM+Controls+ICM282B+Furnace+Control+Board+-+Replacement+for+Carrier&amp;qid=1695173504&amp;sr=8-2</v>
      </c>
      <c r="F1914" t="s">
        <v>2930</v>
      </c>
      <c r="G1914" t="e">
        <f ca="1">_xludf.IMAGE("https://edmondsonsupply.com/cdn/shop/products/57_5_96e476f9-dc43-4075-94fb-2c5efeccce22.jpg?v=1659481947")</f>
        <v>#NAME?</v>
      </c>
      <c r="H1914" t="e">
        <f ca="1">_xludf.IMAGE("https://m.media-amazon.com/images/I/711ATMo0g6L._AC_UL320_.jpg")</f>
        <v>#NAME?</v>
      </c>
      <c r="I1914" t="s">
        <v>4452</v>
      </c>
      <c r="J1914">
        <v>165</v>
      </c>
      <c r="K1914" s="4">
        <v>-0.15809999999999999</v>
      </c>
      <c r="L1914">
        <v>1</v>
      </c>
      <c r="M1914">
        <v>2</v>
      </c>
      <c r="O1914" t="s">
        <v>25</v>
      </c>
      <c r="P1914" t="s">
        <v>4453</v>
      </c>
      <c r="Q1914" t="s">
        <v>4454</v>
      </c>
    </row>
    <row r="1915" spans="1:17" ht="15.5" x14ac:dyDescent="0.35">
      <c r="A1915" s="3" t="str">
        <f>HYPERLINK("https://edmondsonsupply.com/collections/hvac/products/icm-controls-icm282b-furnace-control-board-replacement-for-carrier", "https://edmondsonsupply.com/collections/hvac/products/icm-controls-icm282b-furnace-control-board-replacement-for-carrier")</f>
        <v>https://edmondsonsupply.com/collections/hvac/products/icm-controls-icm282b-furnace-control-board-replacement-for-carrier</v>
      </c>
      <c r="B1915" s="3" t="str">
        <f>HYPERLINK("https://edmondsonsupply.com/products/icm-controls-icm282b-furnace-control-board-replacement-for-carrier", "https://edmondsonsupply.com/products/icm-controls-icm282b-furnace-control-board-replacement-for-carrier")</f>
        <v>https://edmondsonsupply.com/products/icm-controls-icm282b-furnace-control-board-replacement-for-carrier</v>
      </c>
      <c r="C1915" t="s">
        <v>4449</v>
      </c>
      <c r="D1915" t="s">
        <v>2654</v>
      </c>
      <c r="E1915" s="3" t="str">
        <f>HYPERLINK("https://www.amazon.com/ICM-Controls-ICM2807-Replacement-325879-751/dp/B00QW2MQ5C/ref=sr_1_5?keywords=ICM+Controls+ICM282B+Furnace+Control+Board+-+Replacement+for+Carrier&amp;qid=1695173504&amp;sr=8-5", "https://www.amazon.com/ICM-Controls-ICM2807-Replacement-325879-751/dp/B00QW2MQ5C/ref=sr_1_5?keywords=ICM+Controls+ICM282B+Furnace+Control+Board+-+Replacement+for+Carrier&amp;qid=1695173504&amp;sr=8-5")</f>
        <v>https://www.amazon.com/ICM-Controls-ICM2807-Replacement-325879-751/dp/B00QW2MQ5C/ref=sr_1_5?keywords=ICM+Controls+ICM282B+Furnace+Control+Board+-+Replacement+for+Carrier&amp;qid=1695173504&amp;sr=8-5</v>
      </c>
      <c r="F1915" t="s">
        <v>2655</v>
      </c>
      <c r="G1915" t="e">
        <f ca="1">_xludf.IMAGE("https://edmondsonsupply.com/cdn/shop/products/57_5_96e476f9-dc43-4075-94fb-2c5efeccce22.jpg?v=1659481947")</f>
        <v>#NAME?</v>
      </c>
      <c r="H1915" t="e">
        <f ca="1">_xludf.IMAGE("https://m.media-amazon.com/images/I/91LElyDgdnL._AC_UL320_.jpg")</f>
        <v>#NAME?</v>
      </c>
      <c r="I1915" t="s">
        <v>4452</v>
      </c>
      <c r="J1915">
        <v>164.5</v>
      </c>
      <c r="K1915" s="4">
        <v>-0.16070000000000001</v>
      </c>
      <c r="L1915">
        <v>4.4000000000000004</v>
      </c>
      <c r="M1915">
        <v>32</v>
      </c>
      <c r="O1915" t="s">
        <v>25</v>
      </c>
      <c r="P1915" t="s">
        <v>4453</v>
      </c>
      <c r="Q1915" t="s">
        <v>4454</v>
      </c>
    </row>
    <row r="1916" spans="1:17" ht="15.5" x14ac:dyDescent="0.35">
      <c r="A1916" s="3" t="str">
        <f>HYPERLINK("https://edmondsonsupply.com/collections/hvac/products/copy-of-klein-tools-55918-tradesman-pro%E2%84%A2-modular-tool-belt", "https://edmondsonsupply.com/collections/hvac/products/copy-of-klein-tools-55918-tradesman-pro%E2%84%A2-modular-tool-belt")</f>
        <v>https://edmondsonsupply.com/collections/hvac/products/copy-of-klein-tools-55918-tradesman-pro%E2%84%A2-modular-tool-belt</v>
      </c>
      <c r="B1916"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1916" t="s">
        <v>1873</v>
      </c>
      <c r="D1916" t="s">
        <v>5204</v>
      </c>
      <c r="E1916" s="3" t="str">
        <f>HYPERLINK("https://www.amazon.com/Klein-Tools-Maintenance-Adjustable-Electrician/dp/B0BGJ61V5H/ref=sr_1_7?keywords=Klein+Tools+55919+Tradesman+Pro%E2%84%A2+Modular+Tool+Belt+-+L&amp;qid=1695173658&amp;sr=8-7", "https://www.amazon.com/Klein-Tools-Maintenance-Adjustable-Electrician/dp/B0BGJ61V5H/ref=sr_1_7?keywords=Klein+Tools+55919+Tradesman+Pro%E2%84%A2+Modular+Tool+Belt+-+L&amp;qid=1695173658&amp;sr=8-7")</f>
        <v>https://www.amazon.com/Klein-Tools-Maintenance-Adjustable-Electrician/dp/B0BGJ61V5H/ref=sr_1_7?keywords=Klein+Tools+55919+Tradesman+Pro%E2%84%A2+Modular+Tool+Belt+-+L&amp;qid=1695173658&amp;sr=8-7</v>
      </c>
      <c r="F1916" t="s">
        <v>5205</v>
      </c>
      <c r="G1916" t="e">
        <f ca="1">_xludf.IMAGE("https://edmondsonsupply.com/cdn/shop/products/55919_6b1c1646-91d8-4915-b7bf-b52c8c6994c7.jpg?v=1587143413")</f>
        <v>#NAME?</v>
      </c>
      <c r="H1916" t="e">
        <f ca="1">_xludf.IMAGE("https://m.media-amazon.com/images/I/514kIoy1IWL._AC_UL320_.jpg")</f>
        <v>#NAME?</v>
      </c>
      <c r="I1916" t="s">
        <v>261</v>
      </c>
      <c r="J1916">
        <v>30</v>
      </c>
      <c r="K1916" s="4">
        <v>-0.16639999999999999</v>
      </c>
      <c r="L1916">
        <v>4.5999999999999996</v>
      </c>
      <c r="M1916">
        <v>3</v>
      </c>
      <c r="O1916" t="s">
        <v>25</v>
      </c>
      <c r="P1916" t="s">
        <v>1876</v>
      </c>
      <c r="Q1916" t="s">
        <v>1877</v>
      </c>
    </row>
    <row r="1917" spans="1:17" ht="15.5" x14ac:dyDescent="0.35">
      <c r="A1917" s="3" t="str">
        <f>HYPERLINK("https://edmondsonsupply.com/collections/hvac/products/fluke-1587-fc-insulation-multimeter", "https://edmondsonsupply.com/collections/hvac/products/fluke-1587-fc-insulation-multimeter")</f>
        <v>https://edmondsonsupply.com/collections/hvac/products/fluke-1587-fc-insulation-multimeter</v>
      </c>
      <c r="B1917" s="3" t="str">
        <f>HYPERLINK("https://edmondsonsupply.com/products/fluke-1587-fc-insulation-multimeter", "https://edmondsonsupply.com/products/fluke-1587-fc-insulation-multimeter")</f>
        <v>https://edmondsonsupply.com/products/fluke-1587-fc-insulation-multimeter</v>
      </c>
      <c r="C1917" t="s">
        <v>4074</v>
      </c>
      <c r="D1917" t="s">
        <v>5206</v>
      </c>
      <c r="E1917" s="3" t="str">
        <f>HYPERLINK("https://www.amazon.com/Fluke-Fluke-1587-2-Insulation-Multimeter/dp/B097RJ5RFC/ref=sr_1_3?keywords=Fluke+1587+FC+Insulation+Multimeter&amp;qid=1695173471&amp;sr=8-3", "https://www.amazon.com/Fluke-Fluke-1587-2-Insulation-Multimeter/dp/B097RJ5RFC/ref=sr_1_3?keywords=Fluke+1587+FC+Insulation+Multimeter&amp;qid=1695173471&amp;sr=8-3")</f>
        <v>https://www.amazon.com/Fluke-Fluke-1587-2-Insulation-Multimeter/dp/B097RJ5RFC/ref=sr_1_3?keywords=Fluke+1587+FC+Insulation+Multimeter&amp;qid=1695173471&amp;sr=8-3</v>
      </c>
      <c r="F1917" t="s">
        <v>5207</v>
      </c>
      <c r="G1917" t="e">
        <f ca="1">_xludf.IMAGE("https://edmondsonsupply.com/cdn/shop/products/Fluke_1587_FC_True-rms_Insulation_Multimeter__1280x1006px_E_NR-20298.jpg?v=1633031188")</f>
        <v>#NAME?</v>
      </c>
      <c r="H1917" t="e">
        <f ca="1">_xludf.IMAGE("https://m.media-amazon.com/images/I/61imMzzqBHS._AC_UL320_.jpg")</f>
        <v>#NAME?</v>
      </c>
      <c r="I1917" t="s">
        <v>4077</v>
      </c>
      <c r="J1917">
        <v>770.95</v>
      </c>
      <c r="K1917" s="4">
        <v>-0.17100000000000001</v>
      </c>
      <c r="L1917">
        <v>4.7</v>
      </c>
      <c r="M1917">
        <v>45</v>
      </c>
      <c r="O1917" t="s">
        <v>25</v>
      </c>
      <c r="P1917" t="s">
        <v>4078</v>
      </c>
      <c r="Q1917" t="s">
        <v>4079</v>
      </c>
    </row>
    <row r="1918" spans="1:17" ht="15.5" x14ac:dyDescent="0.35">
      <c r="A1918" s="3" t="str">
        <f>HYPERLINK("https://edmondsonsupply.com/collections/hvac/products/solderweld-sw-alcu5k-al-cop-braze-aluminum-to-copper-brazing-rod-flux-core-5-rod-pack", "https://edmondsonsupply.com/collections/hvac/products/solderweld-sw-alcu5k-al-cop-braze-aluminum-to-copper-brazing-rod-flux-core-5-rod-pack")</f>
        <v>https://edmondsonsupply.com/collections/hvac/products/solderweld-sw-alcu5k-al-cop-braze-aluminum-to-copper-brazing-rod-flux-core-5-rod-pack</v>
      </c>
      <c r="B1918" s="3" t="str">
        <f>HYPERLINK("https://edmondsonsupply.com/products/solderweld-sw-alcu5k-al-cop-braze-aluminum-to-copper-brazing-rod-flux-core-5-rod-pack", "https://edmondsonsupply.com/products/solderweld-sw-alcu5k-al-cop-braze-aluminum-to-copper-brazing-rod-flux-core-5-rod-pack")</f>
        <v>https://edmondsonsupply.com/products/solderweld-sw-alcu5k-al-cop-braze-aluminum-to-copper-brazing-rod-flux-core-5-rod-pack</v>
      </c>
      <c r="C1918" t="s">
        <v>2918</v>
      </c>
      <c r="D1918" t="s">
        <v>5208</v>
      </c>
      <c r="E1918" s="3" t="str">
        <f>HYPERLINK("https://www.amazon.com/Supplying-Demand-SW-ALCU5-5-Appliance-Refrigeration/dp/B09W6YND6P/ref=sr_1_3?keywords=SolderWeld+SW-AlCu5K+Al-Cop+Braze+-+Aluminum+to+Copper+Brazing+Rod+-+Flux+Core%2C+5+Rod+Pack&amp;qid=1695173360&amp;sr=8-3", "https://www.amazon.com/Supplying-Demand-SW-ALCU5-5-Appliance-Refrigeration/dp/B09W6YND6P/ref=sr_1_3?keywords=SolderWeld+SW-AlCu5K+Al-Cop+Braze+-+Aluminum+to+Copper+Brazing+Rod+-+Flux+Core%2C+5+Rod+Pack&amp;qid=1695173360&amp;sr=8-3")</f>
        <v>https://www.amazon.com/Supplying-Demand-SW-ALCU5-5-Appliance-Refrigeration/dp/B09W6YND6P/ref=sr_1_3?keywords=SolderWeld+SW-AlCu5K+Al-Cop+Braze+-+Aluminum+to+Copper+Brazing+Rod+-+Flux+Core%2C+5+Rod+Pack&amp;qid=1695173360&amp;sr=8-3</v>
      </c>
      <c r="F1918" t="s">
        <v>5209</v>
      </c>
      <c r="G1918" t="e">
        <f ca="1">_xludf.IMAGE("https://edmondsonsupply.com/cdn/shop/products/AlCopBraze_1024x1024_c03bc993-98ff-4fd2-9871-1a1e24a818d0.jpg?v=1633030235")</f>
        <v>#NAME?</v>
      </c>
      <c r="H1918" t="e">
        <f ca="1">_xludf.IMAGE("https://m.media-amazon.com/images/I/51wDA4nyNeL._AC_UL320_.jpg")</f>
        <v>#NAME?</v>
      </c>
      <c r="I1918" t="s">
        <v>2921</v>
      </c>
      <c r="J1918">
        <v>22.99</v>
      </c>
      <c r="K1918" s="4">
        <v>-0.17150000000000001</v>
      </c>
      <c r="L1918">
        <v>4.0999999999999996</v>
      </c>
      <c r="M1918">
        <v>11</v>
      </c>
      <c r="O1918" t="s">
        <v>25</v>
      </c>
      <c r="P1918" t="s">
        <v>138</v>
      </c>
      <c r="Q1918" t="s">
        <v>2922</v>
      </c>
    </row>
    <row r="1919" spans="1:17" ht="15.5" x14ac:dyDescent="0.35">
      <c r="A1919" s="3" t="str">
        <f>HYPERLINK("https://edmondsonsupply.com/collections/hvac/products/ma-line-ma-12816-a-analog-multimeter", "https://edmondsonsupply.com/collections/hvac/products/ma-line-ma-12816-a-analog-multimeter")</f>
        <v>https://edmondsonsupply.com/collections/hvac/products/ma-line-ma-12816-a-analog-multimeter</v>
      </c>
      <c r="B1919" s="3" t="str">
        <f>HYPERLINK("https://edmondsonsupply.com/products/ma-line-ma-12816-a-analog-multimeter", "https://edmondsonsupply.com/products/ma-line-ma-12816-a-analog-multimeter")</f>
        <v>https://edmondsonsupply.com/products/ma-line-ma-12816-a-analog-multimeter</v>
      </c>
      <c r="C1919" t="s">
        <v>5210</v>
      </c>
      <c r="D1919" t="s">
        <v>5211</v>
      </c>
      <c r="E1919" s="3" t="str">
        <f>HYPERLINK("https://www.amazon.com/YX360-TRD-7-Function-Multimeter-Capacitance-Estimation/dp/B00UN4CMPY/ref=sr_1_6?keywords=MA-Line+MA-12816-A+Analog+Multimeter&amp;qid=1695173675&amp;sr=8-6", "https://www.amazon.com/YX360-TRD-7-Function-Multimeter-Capacitance-Estimation/dp/B00UN4CMPY/ref=sr_1_6?keywords=MA-Line+MA-12816-A+Analog+Multimeter&amp;qid=1695173675&amp;sr=8-6")</f>
        <v>https://www.amazon.com/YX360-TRD-7-Function-Multimeter-Capacitance-Estimation/dp/B00UN4CMPY/ref=sr_1_6?keywords=MA-Line+MA-12816-A+Analog+Multimeter&amp;qid=1695173675&amp;sr=8-6</v>
      </c>
      <c r="F1919" t="s">
        <v>5212</v>
      </c>
      <c r="G1919" t="e">
        <f ca="1">_xludf.IMAGE("https://edmondsonsupply.com/cdn/shop/products/MA-12816-A.jpg?v=1587142675")</f>
        <v>#NAME?</v>
      </c>
      <c r="H1919" t="e">
        <f ca="1">_xludf.IMAGE("https://m.media-amazon.com/images/I/71D6cWc0xqL._AC_UL320_.jpg")</f>
        <v>#NAME?</v>
      </c>
      <c r="I1919" t="s">
        <v>5213</v>
      </c>
      <c r="J1919">
        <v>16.5</v>
      </c>
      <c r="K1919" s="4">
        <v>-0.17249999999999999</v>
      </c>
      <c r="L1919">
        <v>4</v>
      </c>
      <c r="M1919">
        <v>154</v>
      </c>
      <c r="O1919" t="s">
        <v>25</v>
      </c>
      <c r="P1919" t="s">
        <v>138</v>
      </c>
      <c r="Q1919" t="s">
        <v>5214</v>
      </c>
    </row>
    <row r="1920" spans="1:17" ht="15.5" x14ac:dyDescent="0.35">
      <c r="A1920" s="3" t="str">
        <f>HYPERLINK("https://edmondsonsupply.com/collections/hvac/products/klein-tools-56380-multi-groove-fiberglass-fish-tape-with-spiral-steel-leader-100-foot", "https://edmondsonsupply.com/collections/hvac/products/klein-tools-56380-multi-groove-fiberglass-fish-tape-with-spiral-steel-leader-100-foot")</f>
        <v>https://edmondsonsupply.com/collections/hvac/products/klein-tools-56380-multi-groove-fiberglass-fish-tape-with-spiral-steel-leader-100-foot</v>
      </c>
      <c r="B1920"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1920" t="s">
        <v>3273</v>
      </c>
      <c r="D1920" t="s">
        <v>5215</v>
      </c>
      <c r="E1920" s="3" t="str">
        <f>HYPERLINK("https://www.amazon.com/Klein-Tools-56383-Multi-Groove-Fiberglass/dp/B08222VGN8/ref=sr_1_3?keywords=Klein+Tools+56380+Multi-Groove+Fiberglass+Fish+Tape+with+Spiral+Steel+Leader%2C+100-Foot&amp;qid=1695173661&amp;sr=8-3", "https://www.amazon.com/Klein-Tools-56383-Multi-Groove-Fiberglass/dp/B08222VGN8/ref=sr_1_3?keywords=Klein+Tools+56380+Multi-Groove+Fiberglass+Fish+Tape+with+Spiral+Steel+Leader%2C+100-Foot&amp;qid=1695173661&amp;sr=8-3")</f>
        <v>https://www.amazon.com/Klein-Tools-56383-Multi-Groove-Fiberglass/dp/B08222VGN8/ref=sr_1_3?keywords=Klein+Tools+56380+Multi-Groove+Fiberglass+Fish+Tape+with+Spiral+Steel+Leader%2C+100-Foot&amp;qid=1695173661&amp;sr=8-3</v>
      </c>
      <c r="F1920" t="s">
        <v>5216</v>
      </c>
      <c r="G1920" t="e">
        <f ca="1">_xludf.IMAGE("https://edmondsonsupply.com/cdn/shop/products/56380.jpg?v=1587147762")</f>
        <v>#NAME?</v>
      </c>
      <c r="H1920" t="e">
        <f ca="1">_xludf.IMAGE("https://m.media-amazon.com/images/I/51Fs1Kjrk8L._AC_UL320_.jpg")</f>
        <v>#NAME?</v>
      </c>
      <c r="I1920" t="s">
        <v>3276</v>
      </c>
      <c r="J1920">
        <v>115.58</v>
      </c>
      <c r="K1920" s="4">
        <v>-0.1744</v>
      </c>
      <c r="L1920">
        <v>4.7</v>
      </c>
      <c r="M1920">
        <v>135</v>
      </c>
      <c r="O1920" t="s">
        <v>25</v>
      </c>
      <c r="P1920" t="s">
        <v>3277</v>
      </c>
      <c r="Q1920" t="s">
        <v>3278</v>
      </c>
    </row>
    <row r="1921" spans="1:17" ht="15.5" x14ac:dyDescent="0.35">
      <c r="A1921" s="3" t="str">
        <f>HYPERLINK("https://edmondsonsupply.com/collections/hvac/products/milwaukee-2771-20", "https://edmondsonsupply.com/collections/hvac/products/milwaukee-2771-20")</f>
        <v>https://edmondsonsupply.com/collections/hvac/products/milwaukee-2771-20</v>
      </c>
      <c r="B1921" s="3" t="str">
        <f>HYPERLINK("https://edmondsonsupply.com/products/milwaukee-2771-20", "https://edmondsonsupply.com/products/milwaukee-2771-20")</f>
        <v>https://edmondsonsupply.com/products/milwaukee-2771-20</v>
      </c>
      <c r="C1921" t="s">
        <v>5217</v>
      </c>
      <c r="D1921" t="s">
        <v>5218</v>
      </c>
      <c r="E1921" s="3" t="str">
        <f>HYPERLINK("https://www.amazon.com/Milwaukee-2771-20-M18-Transfer-Pump/dp/B01M09J2YX/ref=sr_1_6?keywords=Milwaukee+2771-20+M18+Transfer+Pump+%28bare+tool%29&amp;qid=1695173641&amp;sr=8-6", "https://www.amazon.com/Milwaukee-2771-20-M18-Transfer-Pump/dp/B01M09J2YX/ref=sr_1_6?keywords=Milwaukee+2771-20+M18+Transfer+Pump+%28bare+tool%29&amp;qid=1695173641&amp;sr=8-6")</f>
        <v>https://www.amazon.com/Milwaukee-2771-20-M18-Transfer-Pump/dp/B01M09J2YX/ref=sr_1_6?keywords=Milwaukee+2771-20+M18+Transfer+Pump+%28bare+tool%29&amp;qid=1695173641&amp;sr=8-6</v>
      </c>
      <c r="F1921" t="s">
        <v>5219</v>
      </c>
      <c r="G1921" t="e">
        <f ca="1">_xludf.IMAGE("https://edmondsonsupply.com/cdn/shop/products/2771-20_2.png?v=1591474601")</f>
        <v>#NAME?</v>
      </c>
      <c r="H1921" t="e">
        <f ca="1">_xludf.IMAGE("https://m.media-amazon.com/images/I/71B3RjMe3pL._AC_UL320_.jpg")</f>
        <v>#NAME?</v>
      </c>
      <c r="I1921" t="s">
        <v>5220</v>
      </c>
      <c r="J1921">
        <v>188.98</v>
      </c>
      <c r="K1921" s="4">
        <v>-0.17480000000000001</v>
      </c>
      <c r="L1921">
        <v>4.7</v>
      </c>
      <c r="M1921">
        <v>582</v>
      </c>
      <c r="O1921" t="s">
        <v>25</v>
      </c>
      <c r="P1921" t="s">
        <v>5221</v>
      </c>
      <c r="Q1921" t="s">
        <v>5222</v>
      </c>
    </row>
    <row r="1922" spans="1:17" ht="15.5" x14ac:dyDescent="0.35">
      <c r="A1922" s="3" t="str">
        <f>HYPERLINK("https://edmondsonsupply.com/collections/hvac/products/channellock-428", "https://edmondsonsupply.com/collections/hvac/products/channellock-428")</f>
        <v>https://edmondsonsupply.com/collections/hvac/products/channellock-428</v>
      </c>
      <c r="B1922" s="3" t="str">
        <f>HYPERLINK("https://edmondsonsupply.com/products/channellock-428", "https://edmondsonsupply.com/products/channellock-428")</f>
        <v>https://edmondsonsupply.com/products/channellock-428</v>
      </c>
      <c r="C1922" t="s">
        <v>1791</v>
      </c>
      <c r="D1922" t="s">
        <v>5223</v>
      </c>
      <c r="E1922" s="3" t="str">
        <f>HYPERLINK("https://www.amazon.com/CHANNELLOCK-412-6-5-inch-0-94-inch-Capacity/dp/B003GDIDMU/ref=sr_1_6?keywords=Channellock+428+8-Inch+Straight+Jaw+Tongue+%26+Groove+Pliers&amp;qid=1695173687&amp;sr=8-6", "https://www.amazon.com/CHANNELLOCK-412-6-5-inch-0-94-inch-Capacity/dp/B003GDIDMU/ref=sr_1_6?keywords=Channellock+428+8-Inch+Straight+Jaw+Tongue+%26+Groove+Pliers&amp;qid=1695173687&amp;sr=8-6")</f>
        <v>https://www.amazon.com/CHANNELLOCK-412-6-5-inch-0-94-inch-Capacity/dp/B003GDIDMU/ref=sr_1_6?keywords=Channellock+428+8-Inch+Straight+Jaw+Tongue+%26+Groove+Pliers&amp;qid=1695173687&amp;sr=8-6</v>
      </c>
      <c r="F1922" t="s">
        <v>5224</v>
      </c>
      <c r="G1922" t="e">
        <f ca="1">_xludf.IMAGE("https://edmondsonsupply.com/cdn/shop/products/428-683x1024.jpg?v=1587145854")</f>
        <v>#NAME?</v>
      </c>
      <c r="H1922" t="e">
        <f ca="1">_xludf.IMAGE("https://m.media-amazon.com/images/I/717wadbx-sL._AC_UL320_.jpg")</f>
        <v>#NAME?</v>
      </c>
      <c r="I1922" t="s">
        <v>1554</v>
      </c>
      <c r="J1922">
        <v>13.95</v>
      </c>
      <c r="K1922" s="4">
        <v>-0.17699999999999999</v>
      </c>
      <c r="L1922">
        <v>4.7</v>
      </c>
      <c r="M1922">
        <v>2314</v>
      </c>
      <c r="O1922" t="s">
        <v>25</v>
      </c>
      <c r="P1922" t="s">
        <v>1794</v>
      </c>
      <c r="Q1922" t="s">
        <v>1795</v>
      </c>
    </row>
    <row r="1923" spans="1:17" ht="15.5" x14ac:dyDescent="0.35">
      <c r="A1923" s="3" t="str">
        <f>HYPERLINK("https://edmondsonsupply.com/collections/hvac/products/klein-tools-d203-8-glw-pliers-long-nose-side-cutters-hi-viz-8-inch", "https://edmondsonsupply.com/collections/hvac/products/klein-tools-d203-8-glw-pliers-long-nose-side-cutters-hi-viz-8-inch")</f>
        <v>https://edmondsonsupply.com/collections/hvac/products/klein-tools-d203-8-glw-pliers-long-nose-side-cutters-hi-viz-8-inch</v>
      </c>
      <c r="B1923" s="3" t="str">
        <f>HYPERLINK("https://edmondsonsupply.com/products/klein-tools-d203-8-glw-pliers-long-nose-side-cutters-hi-viz-8-inch", "https://edmondsonsupply.com/products/klein-tools-d203-8-glw-pliers-long-nose-side-cutters-hi-viz-8-inch")</f>
        <v>https://edmondsonsupply.com/products/klein-tools-d203-8-glw-pliers-long-nose-side-cutters-hi-viz-8-inch</v>
      </c>
      <c r="C1923" t="s">
        <v>5225</v>
      </c>
      <c r="D1923" t="s">
        <v>5226</v>
      </c>
      <c r="E1923" s="3" t="str">
        <f>HYPERLINK("https://www.amazon.com/Linemans-Alligator-Klein-Tools-D203-8/dp/B0000302WQ/ref=sr_1_1?keywords=Klein+Tools+D203-8-GLW+Pliers%2C+Needle+Nose+Side-Cutters%2C+High-Visibility%2C+8-Inch&amp;qid=1695173450&amp;sr=8-1", "https://www.amazon.com/Linemans-Alligator-Klein-Tools-D203-8/dp/B0000302WQ/ref=sr_1_1?keywords=Klein+Tools+D203-8-GLW+Pliers%2C+Needle+Nose+Side-Cutters%2C+High-Visibility%2C+8-Inch&amp;qid=1695173450&amp;sr=8-1")</f>
        <v>https://www.amazon.com/Linemans-Alligator-Klein-Tools-D203-8/dp/B0000302WQ/ref=sr_1_1?keywords=Klein+Tools+D203-8-GLW+Pliers%2C+Needle+Nose+Side-Cutters%2C+High-Visibility%2C+8-Inch&amp;qid=1695173450&amp;sr=8-1</v>
      </c>
      <c r="F1923" t="s">
        <v>5227</v>
      </c>
      <c r="G1923" t="e">
        <f ca="1">_xludf.IMAGE("https://edmondsonsupply.com/cdn/shop/products/d2038glw.jpg?v=1587146455")</f>
        <v>#NAME?</v>
      </c>
      <c r="H1923" t="e">
        <f ca="1">_xludf.IMAGE("https://m.media-amazon.com/images/I/51Ifjz4aftL._AC_UL320_.jpg")</f>
        <v>#NAME?</v>
      </c>
      <c r="I1923" t="s">
        <v>571</v>
      </c>
      <c r="J1923">
        <v>28.74</v>
      </c>
      <c r="K1923" s="4">
        <v>-0.17860000000000001</v>
      </c>
      <c r="L1923">
        <v>4.8</v>
      </c>
      <c r="M1923">
        <v>935</v>
      </c>
      <c r="O1923" t="s">
        <v>25</v>
      </c>
      <c r="P1923" t="s">
        <v>5228</v>
      </c>
      <c r="Q1923" t="s">
        <v>5229</v>
      </c>
    </row>
    <row r="1924" spans="1:17" ht="15.5" x14ac:dyDescent="0.35">
      <c r="A1924" s="3" t="str">
        <f>HYPERLINK("https://edmondsonsupply.com/collections/hvac/products/klein-tools-cl445-hvac-clamp-meter", "https://edmondsonsupply.com/collections/hvac/products/klein-tools-cl445-hvac-clamp-meter")</f>
        <v>https://edmondsonsupply.com/collections/hvac/products/klein-tools-cl445-hvac-clamp-meter</v>
      </c>
      <c r="B1924" s="3" t="str">
        <f>HYPERLINK("https://edmondsonsupply.com/products/klein-tools-cl445-hvac-clamp-meter", "https://edmondsonsupply.com/products/klein-tools-cl445-hvac-clamp-meter")</f>
        <v>https://edmondsonsupply.com/products/klein-tools-cl445-hvac-clamp-meter</v>
      </c>
      <c r="C1924" t="s">
        <v>5230</v>
      </c>
      <c r="D1924" t="s">
        <v>5231</v>
      </c>
      <c r="E1924" s="3" t="str">
        <f>HYPERLINK("https://www.amazon.com/Klein-Tools-CL320-Digital-Electrical/dp/B08DDTV5KG/ref=sr_1_5?keywords=Klein+Tools+CL445+HVAC+Clamp+Meter&amp;qid=1695173587&amp;sr=8-5", "https://www.amazon.com/Klein-Tools-CL320-Digital-Electrical/dp/B08DDTV5KG/ref=sr_1_5?keywords=Klein+Tools+CL445+HVAC+Clamp+Meter&amp;qid=1695173587&amp;sr=8-5")</f>
        <v>https://www.amazon.com/Klein-Tools-CL320-Digital-Electrical/dp/B08DDTV5KG/ref=sr_1_5?keywords=Klein+Tools+CL445+HVAC+Clamp+Meter&amp;qid=1695173587&amp;sr=8-5</v>
      </c>
      <c r="F1924" t="s">
        <v>5232</v>
      </c>
      <c r="G1924" t="e">
        <f ca="1">_xludf.IMAGE("https://edmondsonsupply.com/cdn/shop/files/cl445.jpg?v=1689781250")</f>
        <v>#NAME?</v>
      </c>
      <c r="H1924" t="e">
        <f ca="1">_xludf.IMAGE("https://m.media-amazon.com/images/I/61qVZZBNj2L._AC_UY218_.jpg")</f>
        <v>#NAME?</v>
      </c>
      <c r="I1924" t="s">
        <v>2224</v>
      </c>
      <c r="J1924">
        <v>81.99</v>
      </c>
      <c r="K1924" s="4">
        <v>-0.18</v>
      </c>
      <c r="L1924">
        <v>4.8</v>
      </c>
      <c r="M1924">
        <v>994</v>
      </c>
      <c r="O1924" t="s">
        <v>25</v>
      </c>
      <c r="P1924" t="s">
        <v>5233</v>
      </c>
      <c r="Q1924" t="s">
        <v>5234</v>
      </c>
    </row>
    <row r="1925" spans="1:17" ht="15.5" x14ac:dyDescent="0.35">
      <c r="A1925" s="3" t="str">
        <f>HYPERLINK("https://edmondsonsupply.com/collections/hvac/products/supco-m500-insulation-tester-led-megohmmeter", "https://edmondsonsupply.com/collections/hvac/products/supco-m500-insulation-tester-led-megohmmeter")</f>
        <v>https://edmondsonsupply.com/collections/hvac/products/supco-m500-insulation-tester-led-megohmmeter</v>
      </c>
      <c r="B1925" s="3" t="str">
        <f>HYPERLINK("https://edmondsonsupply.com/products/supco-m500-insulation-tester-led-megohmmeter", "https://edmondsonsupply.com/products/supco-m500-insulation-tester-led-megohmmeter")</f>
        <v>https://edmondsonsupply.com/products/supco-m500-insulation-tester-led-megohmmeter</v>
      </c>
      <c r="C1925" t="s">
        <v>5235</v>
      </c>
      <c r="D1925" t="s">
        <v>5236</v>
      </c>
      <c r="E1925" s="3" t="str">
        <f>HYPERLINK("https://www.amazon.com/Supco-M500-Insulation-Electronic-Megohmmeter/dp/B004OMAWIA/ref=sr_1_1?keywords=Supco+M500+Insulation+Tester+%2F+LED+Megohmmeter&amp;qid=1695173430&amp;sr=8-1", "https://www.amazon.com/Supco-M500-Insulation-Electronic-Megohmmeter/dp/B004OMAWIA/ref=sr_1_1?keywords=Supco+M500+Insulation+Tester+%2F+LED+Megohmmeter&amp;qid=1695173430&amp;sr=8-1")</f>
        <v>https://www.amazon.com/Supco-M500-Insulation-Electronic-Megohmmeter/dp/B004OMAWIA/ref=sr_1_1?keywords=Supco+M500+Insulation+Tester+%2F+LED+Megohmmeter&amp;qid=1695173430&amp;sr=8-1</v>
      </c>
      <c r="F1925" t="s">
        <v>5237</v>
      </c>
      <c r="G1925" t="e">
        <f ca="1">_xludf.IMAGE("https://edmondsonsupply.com/cdn/shop/products/M500.jpg?v=1633030328")</f>
        <v>#NAME?</v>
      </c>
      <c r="H1925" t="e">
        <f ca="1">_xludf.IMAGE("https://m.media-amazon.com/images/I/91l8NQ5Jp5L._AC_UY218_.jpg")</f>
        <v>#NAME?</v>
      </c>
      <c r="I1925" t="s">
        <v>5238</v>
      </c>
      <c r="J1925">
        <v>95.35</v>
      </c>
      <c r="K1925" s="4">
        <v>-0.18459999999999999</v>
      </c>
      <c r="L1925">
        <v>4.7</v>
      </c>
      <c r="M1925">
        <v>1264</v>
      </c>
      <c r="O1925" t="s">
        <v>25</v>
      </c>
      <c r="P1925" t="s">
        <v>138</v>
      </c>
      <c r="Q1925" t="s">
        <v>5239</v>
      </c>
    </row>
    <row r="1926" spans="1:17" ht="15.5" x14ac:dyDescent="0.35">
      <c r="A1926" s="3" t="str">
        <f>HYPERLINK("https://edmondsonsupply.com/collections/hvac/products/greenlee-gsb02-1-2-step-bit-2", "https://edmondsonsupply.com/collections/hvac/products/greenlee-gsb02-1-2-step-bit-2")</f>
        <v>https://edmondsonsupply.com/collections/hvac/products/greenlee-gsb02-1-2-step-bit-2</v>
      </c>
      <c r="B1926" s="3" t="str">
        <f>HYPERLINK("https://edmondsonsupply.com/products/greenlee-gsb02-1-2-step-bit-2", "https://edmondsonsupply.com/products/greenlee-gsb02-1-2-step-bit-2")</f>
        <v>https://edmondsonsupply.com/products/greenlee-gsb02-1-2-step-bit-2</v>
      </c>
      <c r="C1926" t="s">
        <v>2882</v>
      </c>
      <c r="D1926" t="s">
        <v>4378</v>
      </c>
      <c r="E1926" s="3" t="str">
        <f>HYPERLINK("https://www.amazon.com/Greenlee-GSB04-Step-Bit/dp/B08TVF22W4/ref=sr_1_1?keywords=Greenlee+GSB02+1%2F2%22+Step+Bit+%28%232%29&amp;qid=1695173752&amp;sr=8-1", "https://www.amazon.com/Greenlee-GSB04-Step-Bit/dp/B08TVF22W4/ref=sr_1_1?keywords=Greenlee+GSB02+1%2F2%22+Step+Bit+%28%232%29&amp;qid=1695173752&amp;sr=8-1")</f>
        <v>https://www.amazon.com/Greenlee-GSB04-Step-Bit/dp/B08TVF22W4/ref=sr_1_1?keywords=Greenlee+GSB02+1%2F2%22+Step+Bit+%28%232%29&amp;qid=1695173752&amp;sr=8-1</v>
      </c>
      <c r="F1926" t="s">
        <v>4379</v>
      </c>
      <c r="G1926" t="e">
        <f ca="1">_xludf.IMAGE("https://edmondsonsupply.com/cdn/shop/files/GSB02_CAT1_72dpi.jpg?v=1687783943")</f>
        <v>#NAME?</v>
      </c>
      <c r="H1926" t="e">
        <f ca="1">_xludf.IMAGE("https://m.media-amazon.com/images/I/41FX4czhS0L._AC_UY218_.jpg")</f>
        <v>#NAME?</v>
      </c>
      <c r="I1926" t="s">
        <v>2883</v>
      </c>
      <c r="J1926">
        <v>32</v>
      </c>
      <c r="K1926" s="4">
        <v>-0.1855</v>
      </c>
      <c r="L1926">
        <v>5</v>
      </c>
      <c r="M1926">
        <v>7</v>
      </c>
      <c r="O1926" t="s">
        <v>25</v>
      </c>
      <c r="P1926" t="s">
        <v>2884</v>
      </c>
      <c r="Q1926" t="s">
        <v>2885</v>
      </c>
    </row>
    <row r="1927" spans="1:17" ht="15.5" x14ac:dyDescent="0.35">
      <c r="A1927" s="3" t="str">
        <f>HYPERLINK("https://edmondsonsupply.com/collections/hvac/products/milwaukee-2912-22-m18-fuel%E2%84%A2-1-sds-plus-rotary-hammer-kit", "https://edmondsonsupply.com/collections/hvac/products/milwaukee-2912-22-m18-fuel%E2%84%A2-1-sds-plus-rotary-hammer-kit")</f>
        <v>https://edmondsonsupply.com/collections/hvac/products/milwaukee-2912-22-m18-fuel%E2%84%A2-1-sds-plus-rotary-hammer-kit</v>
      </c>
      <c r="B1927" s="3" t="str">
        <f>HYPERLINK("https://edmondsonsupply.com/products/milwaukee-2912-22-m18-fuel%e2%84%a2-1-sds-plus-rotary-hammer-kit", "https://edmondsonsupply.com/products/milwaukee-2912-22-m18-fuel%e2%84%a2-1-sds-plus-rotary-hammer-kit")</f>
        <v>https://edmondsonsupply.com/products/milwaukee-2912-22-m18-fuel%e2%84%a2-1-sds-plus-rotary-hammer-kit</v>
      </c>
      <c r="C1927" t="s">
        <v>3848</v>
      </c>
      <c r="D1927" t="s">
        <v>5240</v>
      </c>
      <c r="E1927" s="3" t="str">
        <f>HYPERLINK("https://www.amazon.com/Milwaukee-2912-22-Rotary-Battery-Charger/dp/B09PPQ5Q37/ref=sr_1_1?keywords=Milwaukee+2912-22+M18+FUEL%E2%84%A2+1%22+SDS+Plus+Rotary+Hammer+Kit&amp;qid=1695173755&amp;sr=8-1", "https://www.amazon.com/Milwaukee-2912-22-Rotary-Battery-Charger/dp/B09PPQ5Q37/ref=sr_1_1?keywords=Milwaukee+2912-22+M18+FUEL%E2%84%A2+1%22+SDS+Plus+Rotary+Hammer+Kit&amp;qid=1695173755&amp;sr=8-1")</f>
        <v>https://www.amazon.com/Milwaukee-2912-22-Rotary-Battery-Charger/dp/B09PPQ5Q37/ref=sr_1_1?keywords=Milwaukee+2912-22+M18+FUEL%E2%84%A2+1%22+SDS+Plus+Rotary+Hammer+Kit&amp;qid=1695173755&amp;sr=8-1</v>
      </c>
      <c r="F1927" t="s">
        <v>5241</v>
      </c>
      <c r="G1927" t="e">
        <f ca="1">_xludf.IMAGE("https://edmondsonsupply.com/cdn/shop/files/2912-20_1.webp?v=1686934956")</f>
        <v>#NAME?</v>
      </c>
      <c r="H1927" t="e">
        <f ca="1">_xludf.IMAGE("https://m.media-amazon.com/images/I/717KNJps25L._AC_UL320_.jpg")</f>
        <v>#NAME?</v>
      </c>
      <c r="I1927" t="s">
        <v>3851</v>
      </c>
      <c r="J1927">
        <v>487</v>
      </c>
      <c r="K1927" s="4">
        <v>-0.187</v>
      </c>
      <c r="L1927">
        <v>4.8</v>
      </c>
      <c r="M1927">
        <v>40</v>
      </c>
      <c r="O1927" t="s">
        <v>25</v>
      </c>
      <c r="P1927" t="s">
        <v>3852</v>
      </c>
      <c r="Q1927" t="s">
        <v>3853</v>
      </c>
    </row>
    <row r="1928" spans="1:17" ht="15.5" x14ac:dyDescent="0.35">
      <c r="A1928" s="3" t="str">
        <f>HYPERLINK("https://edmondsonsupply.com/collections/hvac/products/wiha-tools-32097-7-piece-insulated-softfinish-screwdriver-set", "https://edmondsonsupply.com/collections/hvac/products/wiha-tools-32097-7-piece-insulated-softfinish-screwdriver-set")</f>
        <v>https://edmondsonsupply.com/collections/hvac/products/wiha-tools-32097-7-piece-insulated-softfinish-screwdriver-set</v>
      </c>
      <c r="B1928" s="3" t="str">
        <f>HYPERLINK("https://edmondsonsupply.com/products/wiha-tools-32097-7-piece-insulated-softfinish-screwdriver-set", "https://edmondsonsupply.com/products/wiha-tools-32097-7-piece-insulated-softfinish-screwdriver-set")</f>
        <v>https://edmondsonsupply.com/products/wiha-tools-32097-7-piece-insulated-softfinish-screwdriver-set</v>
      </c>
      <c r="C1928" t="s">
        <v>5242</v>
      </c>
      <c r="D1928" t="s">
        <v>5243</v>
      </c>
      <c r="E1928" s="3" t="str">
        <f>HYPERLINK("https://www.amazon.com/32097-1000-Volt-Insulated-Screwdriver-7-Piece/dp/B07MWLL23S/ref=sr_1_1?keywords=Wiha+Tools+32097+7+Piece+Insulated+SoftFinish+Screwdriver+Set&amp;qid=1695173725&amp;sr=8-1", "https://www.amazon.com/32097-1000-Volt-Insulated-Screwdriver-7-Piece/dp/B07MWLL23S/ref=sr_1_1?keywords=Wiha+Tools+32097+7+Piece+Insulated+SoftFinish+Screwdriver+Set&amp;qid=1695173725&amp;sr=8-1")</f>
        <v>https://www.amazon.com/32097-1000-Volt-Insulated-Screwdriver-7-Piece/dp/B07MWLL23S/ref=sr_1_1?keywords=Wiha+Tools+32097+7+Piece+Insulated+SoftFinish+Screwdriver+Set&amp;qid=1695173725&amp;sr=8-1</v>
      </c>
      <c r="F1928" t="s">
        <v>5244</v>
      </c>
      <c r="G1928" t="e">
        <f ca="1">_xludf.IMAGE("https://edmondsonsupply.com/cdn/shop/files/xndhswuqt0f79n2sffke_1000x_1.webp?v=1690906671")</f>
        <v>#NAME?</v>
      </c>
      <c r="H1928" t="e">
        <f ca="1">_xludf.IMAGE("https://m.media-amazon.com/images/I/61Bm5SoX2pL._AC_UL320_.jpg")</f>
        <v>#NAME?</v>
      </c>
      <c r="I1928" t="s">
        <v>5245</v>
      </c>
      <c r="J1928">
        <v>43.33</v>
      </c>
      <c r="K1928" s="4">
        <v>-0.18990000000000001</v>
      </c>
      <c r="L1928">
        <v>4.8</v>
      </c>
      <c r="M1928">
        <v>870</v>
      </c>
      <c r="O1928" t="s">
        <v>25</v>
      </c>
      <c r="P1928" t="s">
        <v>5246</v>
      </c>
      <c r="Q1928" t="s">
        <v>5247</v>
      </c>
    </row>
    <row r="1929" spans="1:17" ht="15.5" x14ac:dyDescent="0.35">
      <c r="A1929"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929" s="3" t="str">
        <f>HYPERLINK("https://edmondsonsupply.com/products/klein-tools-s8m-1-4-inch-magnetic-nut-driver-3-inch-shank", "https://edmondsonsupply.com/products/klein-tools-s8m-1-4-inch-magnetic-nut-driver-3-inch-shank")</f>
        <v>https://edmondsonsupply.com/products/klein-tools-s8m-1-4-inch-magnetic-nut-driver-3-inch-shank</v>
      </c>
      <c r="C1929" t="s">
        <v>3809</v>
      </c>
      <c r="D1929" t="s">
        <v>5248</v>
      </c>
      <c r="E1929" s="3" t="str">
        <f>HYPERLINK("https://www.amazon.com/Magnetic-Comfordome-Klein-Tools-S8M/dp/B00093GCW8/ref=sr_1_1?keywords=Klein+Tools+S8M+1%2F4-Inch+Magnetic+Nut+Driver+3-Inch+Shank&amp;qid=1695173652&amp;sr=8-1", "https://www.amazon.com/Magnetic-Comfordome-Klein-Tools-S8M/dp/B00093GCW8/ref=sr_1_1?keywords=Klein+Tools+S8M+1%2F4-Inch+Magnetic+Nut+Driver+3-Inch+Shank&amp;qid=1695173652&amp;sr=8-1")</f>
        <v>https://www.amazon.com/Magnetic-Comfordome-Klein-Tools-S8M/dp/B00093GCW8/ref=sr_1_1?keywords=Klein+Tools+S8M+1%2F4-Inch+Magnetic+Nut+Driver+3-Inch+Shank&amp;qid=1695173652&amp;sr=8-1</v>
      </c>
      <c r="F1929" t="s">
        <v>5249</v>
      </c>
      <c r="G1929" t="e">
        <f ca="1">_xludf.IMAGE("https://edmondsonsupply.com/cdn/shop/products/s8m.jpg?v=1633030818")</f>
        <v>#NAME?</v>
      </c>
      <c r="H1929" t="e">
        <f ca="1">_xludf.IMAGE("https://m.media-amazon.com/images/I/31hOuSIKl7L._AC_UL320_.jpg")</f>
        <v>#NAME?</v>
      </c>
      <c r="I1929" t="s">
        <v>924</v>
      </c>
      <c r="J1929">
        <v>7.28</v>
      </c>
      <c r="K1929" s="4">
        <v>-0.19020000000000001</v>
      </c>
      <c r="L1929">
        <v>3.8</v>
      </c>
      <c r="M1929">
        <v>8</v>
      </c>
      <c r="O1929" t="s">
        <v>25</v>
      </c>
      <c r="P1929" t="s">
        <v>3812</v>
      </c>
      <c r="Q1929" t="s">
        <v>3813</v>
      </c>
    </row>
    <row r="1930" spans="1:17" ht="15.5" x14ac:dyDescent="0.35">
      <c r="A1930"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930" s="3" t="str">
        <f>HYPERLINK("https://edmondsonsupply.com/products/klein-tools-s8m-1-4-inch-magnetic-nut-driver-3-inch-shank", "https://edmondsonsupply.com/products/klein-tools-s8m-1-4-inch-magnetic-nut-driver-3-inch-shank")</f>
        <v>https://edmondsonsupply.com/products/klein-tools-s8m-1-4-inch-magnetic-nut-driver-3-inch-shank</v>
      </c>
      <c r="C1930" t="s">
        <v>3809</v>
      </c>
      <c r="D1930" t="s">
        <v>5078</v>
      </c>
      <c r="E1930" s="3" t="str">
        <f>HYPERLINK("https://www.amazon.com/Klein-S8-4-Inch-Hollow-Shank-Driver/dp/B0000302VS/ref=sr_1_6?keywords=Klein+Tools+S8M+1%2F4-Inch+Magnetic+Nut+Driver+3-Inch+Shank&amp;qid=1695173652&amp;sr=8-6", "https://www.amazon.com/Klein-S8-4-Inch-Hollow-Shank-Driver/dp/B0000302VS/ref=sr_1_6?keywords=Klein+Tools+S8M+1%2F4-Inch+Magnetic+Nut+Driver+3-Inch+Shank&amp;qid=1695173652&amp;sr=8-6")</f>
        <v>https://www.amazon.com/Klein-S8-4-Inch-Hollow-Shank-Driver/dp/B0000302VS/ref=sr_1_6?keywords=Klein+Tools+S8M+1%2F4-Inch+Magnetic+Nut+Driver+3-Inch+Shank&amp;qid=1695173652&amp;sr=8-6</v>
      </c>
      <c r="F1930" t="s">
        <v>5079</v>
      </c>
      <c r="G1930" t="e">
        <f ca="1">_xludf.IMAGE("https://edmondsonsupply.com/cdn/shop/products/s8m.jpg?v=1633030818")</f>
        <v>#NAME?</v>
      </c>
      <c r="H1930" t="e">
        <f ca="1">_xludf.IMAGE("https://m.media-amazon.com/images/I/41LI6wTa36L._AC_UL320_.jpg")</f>
        <v>#NAME?</v>
      </c>
      <c r="I1930" t="s">
        <v>924</v>
      </c>
      <c r="J1930">
        <v>7.28</v>
      </c>
      <c r="K1930" s="4">
        <v>-0.19020000000000001</v>
      </c>
      <c r="L1930">
        <v>4.5</v>
      </c>
      <c r="M1930">
        <v>225</v>
      </c>
      <c r="O1930" t="s">
        <v>25</v>
      </c>
      <c r="P1930" t="s">
        <v>3812</v>
      </c>
      <c r="Q1930" t="s">
        <v>3813</v>
      </c>
    </row>
    <row r="1931" spans="1:17" ht="15.5" x14ac:dyDescent="0.35">
      <c r="A1931" s="3" t="str">
        <f>HYPERLINK("https://edmondsonsupply.com/collections/hvac/products/veto-pro-pac-tp-xxl-tool-pouch", "https://edmondsonsupply.com/collections/hvac/products/veto-pro-pac-tp-xxl-tool-pouch")</f>
        <v>https://edmondsonsupply.com/collections/hvac/products/veto-pro-pac-tp-xxl-tool-pouch</v>
      </c>
      <c r="B1931" s="3" t="str">
        <f>HYPERLINK("https://edmondsonsupply.com/products/veto-pro-pac-tp-xxl-tool-pouch", "https://edmondsonsupply.com/products/veto-pro-pac-tp-xxl-tool-pouch")</f>
        <v>https://edmondsonsupply.com/products/veto-pro-pac-tp-xxl-tool-pouch</v>
      </c>
      <c r="C1931" t="s">
        <v>451</v>
      </c>
      <c r="D1931" t="s">
        <v>318</v>
      </c>
      <c r="E1931" s="3" t="str">
        <f>HYPERLINK("https://www.amazon.com/Veto-TP-XL-Extra-Large-Pouch/dp/B07WDL7SD3/ref=sr_1_2?keywords=Veto+Pro+Pac+TP-XXL+Tool+Pouch&amp;qid=1695173439&amp;sr=8-2", "https://www.amazon.com/Veto-TP-XL-Extra-Large-Pouch/dp/B07WDL7SD3/ref=sr_1_2?keywords=Veto+Pro+Pac+TP-XXL+Tool+Pouch&amp;qid=1695173439&amp;sr=8-2")</f>
        <v>https://www.amazon.com/Veto-TP-XL-Extra-Large-Pouch/dp/B07WDL7SD3/ref=sr_1_2?keywords=Veto+Pro+Pac+TP-XXL+Tool+Pouch&amp;qid=1695173439&amp;sr=8-2</v>
      </c>
      <c r="F1931" t="s">
        <v>319</v>
      </c>
      <c r="G1931" t="e">
        <f ca="1">_xludf.IMAGE("https://edmondsonsupply.com/cdn/shop/products/01_TP-XXL.jpg?v=1633031173")</f>
        <v>#NAME?</v>
      </c>
      <c r="H1931" t="e">
        <f ca="1">_xludf.IMAGE("https://m.media-amazon.com/images/I/91dIbPcb4XL._AC_UL320_.jpg")</f>
        <v>#NAME?</v>
      </c>
      <c r="I1931" t="s">
        <v>454</v>
      </c>
      <c r="J1931">
        <v>169.95</v>
      </c>
      <c r="K1931" s="4">
        <v>-0.19070000000000001</v>
      </c>
      <c r="L1931">
        <v>4.9000000000000004</v>
      </c>
      <c r="M1931">
        <v>1132</v>
      </c>
      <c r="O1931" t="s">
        <v>25</v>
      </c>
      <c r="P1931" t="s">
        <v>138</v>
      </c>
      <c r="Q1931" t="s">
        <v>455</v>
      </c>
    </row>
    <row r="1932" spans="1:17" ht="15.5" x14ac:dyDescent="0.35">
      <c r="A1932" s="3" t="str">
        <f>HYPERLINK("https://edmondsonsupply.com/collections/hvac/products/reed-mfg-dhr12-1-1-4npt-r12-drophead-1-1-4-npt", "https://edmondsonsupply.com/collections/hvac/products/reed-mfg-dhr12-1-1-4npt-r12-drophead-1-1-4-npt")</f>
        <v>https://edmondsonsupply.com/collections/hvac/products/reed-mfg-dhr12-1-1-4npt-r12-drophead-1-1-4-npt</v>
      </c>
      <c r="B1932" s="3" t="str">
        <f>HYPERLINK("https://edmondsonsupply.com/products/reed-mfg-dhr12-1-1-4npt-r12-drophead-1-1-4-npt", "https://edmondsonsupply.com/products/reed-mfg-dhr12-1-1-4npt-r12-drophead-1-1-4-npt")</f>
        <v>https://edmondsonsupply.com/products/reed-mfg-dhr12-1-1-4npt-r12-drophead-1-1-4-npt</v>
      </c>
      <c r="C1932" t="s">
        <v>4384</v>
      </c>
      <c r="D1932" t="s">
        <v>5250</v>
      </c>
      <c r="E1932" s="3" t="str">
        <f>HYPERLINK("https://www.amazon.com/Reed-Tool-DHR12-4NPT-Drophead/dp/B000ZH6R3M/ref=sr_1_fkmr1_1?keywords=Reed+Mfg+DHR12+1+1%2F4NPT+R12%2B+Drophead%2C+1-1%2F4%22+NPT&amp;qid=1695173616&amp;sr=8-1-fkmr1", "https://www.amazon.com/Reed-Tool-DHR12-4NPT-Drophead/dp/B000ZH6R3M/ref=sr_1_fkmr1_1?keywords=Reed+Mfg+DHR12+1+1%2F4NPT+R12%2B+Drophead%2C+1-1%2F4%22+NPT&amp;qid=1695173616&amp;sr=8-1-fkmr1")</f>
        <v>https://www.amazon.com/Reed-Tool-DHR12-4NPT-Drophead/dp/B000ZH6R3M/ref=sr_1_fkmr1_1?keywords=Reed+Mfg+DHR12+1+1%2F4NPT+R12%2B+Drophead%2C+1-1%2F4%22+NPT&amp;qid=1695173616&amp;sr=8-1-fkmr1</v>
      </c>
      <c r="F1932" t="s">
        <v>5251</v>
      </c>
      <c r="G1932" t="e">
        <f ca="1">_xludf.IMAGE("https://edmondsonsupply.com/cdn/shop/products/05632-DHR121-1-4NPT-RGB.jpg?v=1633031013")</f>
        <v>#NAME?</v>
      </c>
      <c r="H1932" t="e">
        <f ca="1">_xludf.IMAGE("https://m.media-amazon.com/images/I/51I4FIWUu7L._AC_UY218_.jpg")</f>
        <v>#NAME?</v>
      </c>
      <c r="I1932" t="s">
        <v>4387</v>
      </c>
      <c r="J1932">
        <v>125.3</v>
      </c>
      <c r="K1932" s="4">
        <v>-0.19089999999999999</v>
      </c>
      <c r="L1932">
        <v>1</v>
      </c>
      <c r="M1932">
        <v>1</v>
      </c>
      <c r="O1932" t="s">
        <v>25</v>
      </c>
      <c r="P1932" t="s">
        <v>4388</v>
      </c>
      <c r="Q1932" t="s">
        <v>4389</v>
      </c>
    </row>
    <row r="1933" spans="1:17" ht="15.5" x14ac:dyDescent="0.35">
      <c r="A1933" s="3" t="str">
        <f>HYPERLINK("https://edmondsonsupply.com/collections/hvac/products/malco-tools-lp10wc-eagle-grip-10-curved-jaw-locking-pliers-w-wire-cutters", "https://edmondsonsupply.com/collections/hvac/products/malco-tools-lp10wc-eagle-grip-10-curved-jaw-locking-pliers-w-wire-cutters")</f>
        <v>https://edmondsonsupply.com/collections/hvac/products/malco-tools-lp10wc-eagle-grip-10-curved-jaw-locking-pliers-w-wire-cutters</v>
      </c>
      <c r="B1933" s="3" t="str">
        <f>HYPERLINK("https://edmondsonsupply.com/products/malco-tools-lp10wc-eagle-grip-10-curved-jaw-locking-pliers-w-wire-cutters", "https://edmondsonsupply.com/products/malco-tools-lp10wc-eagle-grip-10-curved-jaw-locking-pliers-w-wire-cutters")</f>
        <v>https://edmondsonsupply.com/products/malco-tools-lp10wc-eagle-grip-10-curved-jaw-locking-pliers-w-wire-cutters</v>
      </c>
      <c r="C1933" t="s">
        <v>5252</v>
      </c>
      <c r="D1933" t="s">
        <v>5253</v>
      </c>
      <c r="E1933" s="3" t="str">
        <f>HYPERLINK("https://www.amazon.com/Malco-LP10WC-Curved-Locking-Pliers/dp/B0924QDF47/ref=sr_1_1?keywords=Malco+Tools+LP10WC+Eagle+Grip+10%E2%80%B3+Curved+Jaw+Locking+Pliers+W%2FWire+Cutters&amp;qid=1695173391&amp;sr=8-1", "https://www.amazon.com/Malco-LP10WC-Curved-Locking-Pliers/dp/B0924QDF47/ref=sr_1_1?keywords=Malco+Tools+LP10WC+Eagle+Grip+10%E2%80%B3+Curved+Jaw+Locking+Pliers+W%2FWire+Cutters&amp;qid=1695173391&amp;sr=8-1")</f>
        <v>https://www.amazon.com/Malco-LP10WC-Curved-Locking-Pliers/dp/B0924QDF47/ref=sr_1_1?keywords=Malco+Tools+LP10WC+Eagle+Grip+10%E2%80%B3+Curved+Jaw+Locking+Pliers+W%2FWire+Cutters&amp;qid=1695173391&amp;sr=8-1</v>
      </c>
      <c r="F1933" t="s">
        <v>5254</v>
      </c>
      <c r="G1933" t="e">
        <f ca="1">_xludf.IMAGE("https://edmondsonsupply.com/cdn/shop/products/LP10WC-eagle-grip-locking-pliers_in-hand.jpg?v=1657308655")</f>
        <v>#NAME?</v>
      </c>
      <c r="H1933" t="e">
        <f ca="1">_xludf.IMAGE("https://m.media-amazon.com/images/I/61maqrJ6OPS._AC_UL320_.jpg")</f>
        <v>#NAME?</v>
      </c>
      <c r="I1933" t="s">
        <v>5255</v>
      </c>
      <c r="J1933">
        <v>43.95</v>
      </c>
      <c r="K1933" s="4">
        <v>-0.19189999999999999</v>
      </c>
      <c r="L1933">
        <v>4.9000000000000004</v>
      </c>
      <c r="M1933">
        <v>708</v>
      </c>
      <c r="O1933" t="s">
        <v>25</v>
      </c>
      <c r="P1933" t="s">
        <v>5256</v>
      </c>
      <c r="Q1933" t="s">
        <v>5257</v>
      </c>
    </row>
    <row r="1934" spans="1:17" ht="15.5" x14ac:dyDescent="0.35">
      <c r="A1934" s="3" t="str">
        <f>HYPERLINK("https://edmondsonsupply.com/collections/hvac/products/testo-0560-1510-01-510i-differential-pressure-manometer-smart-probe-2nd-generation", "https://edmondsonsupply.com/collections/hvac/products/testo-0560-1510-01-510i-differential-pressure-manometer-smart-probe-2nd-generation")</f>
        <v>https://edmondsonsupply.com/collections/hvac/products/testo-0560-1510-01-510i-differential-pressure-manometer-smart-probe-2nd-generation</v>
      </c>
      <c r="B1934" s="3" t="str">
        <f>HYPERLINK("https://edmondsonsupply.com/products/testo-0560-1510-01-510i-differential-pressure-manometer-smart-probe-2nd-generation", "https://edmondsonsupply.com/products/testo-0560-1510-01-510i-differential-pressure-manometer-smart-probe-2nd-generation")</f>
        <v>https://edmondsonsupply.com/products/testo-0560-1510-01-510i-differential-pressure-manometer-smart-probe-2nd-generation</v>
      </c>
      <c r="C1934" t="s">
        <v>5155</v>
      </c>
      <c r="D1934" t="s">
        <v>5258</v>
      </c>
      <c r="E1934" s="3" t="str">
        <f>HYPERLINK("https://www.amazon.com/Testo-0560-1510-Differential-Manometer/dp/B018VO5GLO/ref=sr_1_1?keywords=Testo+0560+1510+01+510i+Differential+Pressure+Manometer+Smart+Probe+-+2nd+Generation&amp;qid=1695173676&amp;sr=8-1", "https://www.amazon.com/Testo-0560-1510-Differential-Manometer/dp/B018VO5GLO/ref=sr_1_1?keywords=Testo+0560+1510+01+510i+Differential+Pressure+Manometer+Smart+Probe+-+2nd+Generation&amp;qid=1695173676&amp;sr=8-1")</f>
        <v>https://www.amazon.com/Testo-0560-1510-Differential-Manometer/dp/B018VO5GLO/ref=sr_1_1?keywords=Testo+0560+1510+01+510i+Differential+Pressure+Manometer+Smart+Probe+-+2nd+Generation&amp;qid=1695173676&amp;sr=8-1</v>
      </c>
      <c r="F1934" t="s">
        <v>5259</v>
      </c>
      <c r="G1934" t="e">
        <f ca="1">_xludf.IMAGE("https://edmondsonsupply.com/cdn/shop/products/testo-510i-pressure-hose-set-batteries_delivery-scope_master.jpg?v=1587147440")</f>
        <v>#NAME?</v>
      </c>
      <c r="H1934" t="e">
        <f ca="1">_xludf.IMAGE("https://m.media-amazon.com/images/I/51GVOB5nbrL._AC_UY218_.jpg")</f>
        <v>#NAME?</v>
      </c>
      <c r="I1934" t="s">
        <v>5158</v>
      </c>
      <c r="J1934">
        <v>120</v>
      </c>
      <c r="K1934" s="4">
        <v>-0.1933</v>
      </c>
      <c r="L1934">
        <v>4.5</v>
      </c>
      <c r="M1934">
        <v>289</v>
      </c>
      <c r="O1934" t="s">
        <v>25</v>
      </c>
      <c r="P1934" t="s">
        <v>5159</v>
      </c>
      <c r="Q1934" t="s">
        <v>5160</v>
      </c>
    </row>
    <row r="1935" spans="1:17" ht="15.5" x14ac:dyDescent="0.35">
      <c r="A1935" s="3" t="str">
        <f>HYPERLINK("https://edmondsonsupply.com/collections/hvac/products/fluke-376", "https://edmondsonsupply.com/collections/hvac/products/fluke-376")</f>
        <v>https://edmondsonsupply.com/collections/hvac/products/fluke-376</v>
      </c>
      <c r="B1935" s="3" t="str">
        <f>HYPERLINK("https://edmondsonsupply.com/products/fluke-376", "https://edmondsonsupply.com/products/fluke-376")</f>
        <v>https://edmondsonsupply.com/products/fluke-376</v>
      </c>
      <c r="C1935" t="s">
        <v>3766</v>
      </c>
      <c r="D1935" t="s">
        <v>5260</v>
      </c>
      <c r="E1935" s="3" t="str">
        <f>HYPERLINK("https://www.amazon.com/Fluke-381-Remote-Display-True-RMS/dp/B004BF5ZEQ/ref=sr_1_5?keywords=Fluke+376+FC+Wireless+True-RMS+AC%2FDC+Clamp+Meter+with+iFlex&amp;qid=1695173543&amp;sr=8-5", "https://www.amazon.com/Fluke-381-Remote-Display-True-RMS/dp/B004BF5ZEQ/ref=sr_1_5?keywords=Fluke+376+FC+Wireless+True-RMS+AC%2FDC+Clamp+Meter+with+iFlex&amp;qid=1695173543&amp;sr=8-5")</f>
        <v>https://www.amazon.com/Fluke-381-Remote-Display-True-RMS/dp/B004BF5ZEQ/ref=sr_1_5?keywords=Fluke+376+FC+Wireless+True-RMS+AC%2FDC+Clamp+Meter+with+iFlex&amp;qid=1695173543&amp;sr=8-5</v>
      </c>
      <c r="F1935" t="s">
        <v>5261</v>
      </c>
      <c r="G1935" t="e">
        <f ca="1">_xludf.IMAGE("https://edmondsonsupply.com/cdn/shop/products/f-376fc-16a-1500x1000.jpg?v=1633030274")</f>
        <v>#NAME?</v>
      </c>
      <c r="H1935" t="e">
        <f ca="1">_xludf.IMAGE("https://m.media-amazon.com/images/I/617Nx0NswWL._AC_UY218_.jpg")</f>
        <v>#NAME?</v>
      </c>
      <c r="I1935" t="s">
        <v>3769</v>
      </c>
      <c r="J1935">
        <v>430</v>
      </c>
      <c r="K1935" s="4">
        <v>-0.1943</v>
      </c>
      <c r="L1935">
        <v>4.5</v>
      </c>
      <c r="M1935">
        <v>160</v>
      </c>
      <c r="O1935" t="s">
        <v>25</v>
      </c>
      <c r="P1935" t="s">
        <v>3770</v>
      </c>
      <c r="Q1935" t="s">
        <v>3771</v>
      </c>
    </row>
    <row r="1936" spans="1:17" ht="15.5" x14ac:dyDescent="0.35">
      <c r="A1936" s="3" t="str">
        <f>HYPERLINK("https://edmondsonsupply.com/collections/hvac/products/malco-mshlc-2-5-8-c-rhex-cleanable-reversible-magnetic-hex-driver-1-4-5-16", "https://edmondsonsupply.com/collections/hvac/products/malco-mshlc-2-5-8-c-rhex-cleanable-reversible-magnetic-hex-driver-1-4-5-16")</f>
        <v>https://edmondsonsupply.com/collections/hvac/products/malco-mshlc-2-5-8-c-rhex-cleanable-reversible-magnetic-hex-driver-1-4-5-16</v>
      </c>
      <c r="B1936" s="3" t="str">
        <f>HYPERLINK("https://edmondsonsupply.com/products/malco-mshlc-2-5-8-c-rhex-cleanable-reversible-magnetic-hex-driver-1-4-5-16", "https://edmondsonsupply.com/products/malco-mshlc-2-5-8-c-rhex-cleanable-reversible-magnetic-hex-driver-1-4-5-16")</f>
        <v>https://edmondsonsupply.com/products/malco-mshlc-2-5-8-c-rhex-cleanable-reversible-magnetic-hex-driver-1-4-5-16</v>
      </c>
      <c r="C1936" t="s">
        <v>2060</v>
      </c>
      <c r="D1936" t="s">
        <v>213</v>
      </c>
      <c r="E1936" s="3" t="str">
        <f>HYPERLINK("https://www.amazon.com/Malco-MSHC2-Construction-Cleanable-Reversible/dp/B0BX779Y8S/ref=sr_1_2?keywords=Malco+Tools+MSHLC+2-5%2F8%22+C-Rhex+Cleanable%2C+Reversible+Magnetic+Hex+Driver%2C+1%2F4%22+%26+5%2F16%22&amp;qid=1695173386&amp;sr=8-2", "https://www.amazon.com/Malco-MSHC2-Construction-Cleanable-Reversible/dp/B0BX779Y8S/ref=sr_1_2?keywords=Malco+Tools+MSHLC+2-5%2F8%22+C-Rhex+Cleanable%2C+Reversible+Magnetic+Hex+Driver%2C+1%2F4%22+%26+5%2F16%22&amp;qid=1695173386&amp;sr=8-2")</f>
        <v>https://www.amazon.com/Malco-MSHC2-Construction-Cleanable-Reversible/dp/B0BX779Y8S/ref=sr_1_2?keywords=Malco+Tools+MSHLC+2-5%2F8%22+C-Rhex+Cleanable%2C+Reversible+Magnetic+Hex+Driver%2C+1%2F4%22+%26+5%2F16%22&amp;qid=1695173386&amp;sr=8-2</v>
      </c>
      <c r="F1936" t="s">
        <v>214</v>
      </c>
      <c r="G1936" t="e">
        <f ca="1">_xludf.IMAGE("https://edmondsonsupply.com/cdn/shop/products/Malco-MSHLC-CRHEX-Slim-Design.jpg?v=1654737733")</f>
        <v>#NAME?</v>
      </c>
      <c r="H1936" t="e">
        <f ca="1">_xludf.IMAGE("https://m.media-amazon.com/images/I/61Iwy5K7S5L._AC_UL320_.jpg")</f>
        <v>#NAME?</v>
      </c>
      <c r="I1936" t="s">
        <v>2061</v>
      </c>
      <c r="J1936">
        <v>7.05</v>
      </c>
      <c r="K1936" s="4">
        <v>-0.19520000000000001</v>
      </c>
      <c r="L1936">
        <v>4.5999999999999996</v>
      </c>
      <c r="M1936">
        <v>45</v>
      </c>
      <c r="O1936" t="s">
        <v>25</v>
      </c>
      <c r="P1936" t="s">
        <v>2062</v>
      </c>
      <c r="Q1936" t="s">
        <v>2063</v>
      </c>
    </row>
    <row r="1937" spans="1:17" ht="15.5" x14ac:dyDescent="0.35">
      <c r="A1937" s="3" t="str">
        <f>HYPERLINK("https://edmondsonsupply.com/collections/hvac/products/klein-tools-605-6-1-4-inch-cabinet-tip-screwdriver-heavy-duty-6-inch", "https://edmondsonsupply.com/collections/hvac/products/klein-tools-605-6-1-4-inch-cabinet-tip-screwdriver-heavy-duty-6-inch")</f>
        <v>https://edmondsonsupply.com/collections/hvac/products/klein-tools-605-6-1-4-inch-cabinet-tip-screwdriver-heavy-duty-6-inch</v>
      </c>
      <c r="B1937"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1937" t="s">
        <v>2430</v>
      </c>
      <c r="D1937" t="s">
        <v>5262</v>
      </c>
      <c r="E1937" s="3" t="str">
        <f>HYPERLINK("https://www.amazon.com/Cabinet-Screwdriver-Klein-Tools-608-6/dp/B001BQ20NC/ref=sr_1_4?keywords=Klein+Tools+605-6+1%2F4-Inch+Cabinet+Tip+Screwdriver%2C+Heavy+Duty%2C+6-Inch&amp;qid=1695173547&amp;sr=8-4", "https://www.amazon.com/Cabinet-Screwdriver-Klein-Tools-608-6/dp/B001BQ20NC/ref=sr_1_4?keywords=Klein+Tools+605-6+1%2F4-Inch+Cabinet+Tip+Screwdriver%2C+Heavy+Duty%2C+6-Inch&amp;qid=1695173547&amp;sr=8-4")</f>
        <v>https://www.amazon.com/Cabinet-Screwdriver-Klein-Tools-608-6/dp/B001BQ20NC/ref=sr_1_4?keywords=Klein+Tools+605-6+1%2F4-Inch+Cabinet+Tip+Screwdriver%2C+Heavy+Duty%2C+6-Inch&amp;qid=1695173547&amp;sr=8-4</v>
      </c>
      <c r="F1937" t="s">
        <v>5263</v>
      </c>
      <c r="G1937" t="e">
        <f ca="1">_xludf.IMAGE("https://edmondsonsupply.com/cdn/shop/products/605-6.jpg?v=1587149759")</f>
        <v>#NAME?</v>
      </c>
      <c r="H1937" t="e">
        <f ca="1">_xludf.IMAGE("https://m.media-amazon.com/images/I/31PYmazYuTL._AC_UL320_.jpg")</f>
        <v>#NAME?</v>
      </c>
      <c r="I1937" t="s">
        <v>2433</v>
      </c>
      <c r="J1937">
        <v>7.6</v>
      </c>
      <c r="K1937" s="4">
        <v>-0.19919999999999999</v>
      </c>
      <c r="L1937">
        <v>4.7</v>
      </c>
      <c r="M1937">
        <v>1360</v>
      </c>
      <c r="O1937" t="s">
        <v>25</v>
      </c>
      <c r="P1937" t="s">
        <v>2434</v>
      </c>
      <c r="Q1937" t="s">
        <v>2435</v>
      </c>
    </row>
    <row r="1938" spans="1:17" ht="15.5" x14ac:dyDescent="0.35">
      <c r="A1938" s="3" t="str">
        <f>HYPERLINK("https://edmondsonsupply.com/collections/hvac/products/milwaukee-48-22-0305-folding-jab-saw", "https://edmondsonsupply.com/collections/hvac/products/milwaukee-48-22-0305-folding-jab-saw")</f>
        <v>https://edmondsonsupply.com/collections/hvac/products/milwaukee-48-22-0305-folding-jab-saw</v>
      </c>
      <c r="B1938" s="3" t="str">
        <f>HYPERLINK("https://edmondsonsupply.com/products/milwaukee-48-22-0305-folding-jab-saw", "https://edmondsonsupply.com/products/milwaukee-48-22-0305-folding-jab-saw")</f>
        <v>https://edmondsonsupply.com/products/milwaukee-48-22-0305-folding-jab-saw</v>
      </c>
      <c r="C1938" t="s">
        <v>2139</v>
      </c>
      <c r="D1938" t="s">
        <v>5264</v>
      </c>
      <c r="E1938" s="3" t="str">
        <f>HYPERLINK("https://www.amazon.com/Milwaukee-48-22-0304-Drywall-Plaster-Rasping/dp/B003I85GTQ/ref=sr_1_6?keywords=Milwaukee+48-22-0305+Folding+Jab+Saw&amp;qid=1695173671&amp;sr=8-6", "https://www.amazon.com/Milwaukee-48-22-0304-Drywall-Plaster-Rasping/dp/B003I85GTQ/ref=sr_1_6?keywords=Milwaukee+48-22-0305+Folding+Jab+Saw&amp;qid=1695173671&amp;sr=8-6")</f>
        <v>https://www.amazon.com/Milwaukee-48-22-0304-Drywall-Plaster-Rasping/dp/B003I85GTQ/ref=sr_1_6?keywords=Milwaukee+48-22-0305+Folding+Jab+Saw&amp;qid=1695173671&amp;sr=8-6</v>
      </c>
      <c r="F1938" t="s">
        <v>5265</v>
      </c>
      <c r="G1938" t="e">
        <f ca="1">_xludf.IMAGE("https://edmondsonsupply.com/cdn/shop/products/49678_48-22-0305-lg.jpg?v=1587148349")</f>
        <v>#NAME?</v>
      </c>
      <c r="H1938" t="e">
        <f ca="1">_xludf.IMAGE("https://m.media-amazon.com/images/I/41AjNlagTPL._AC_UL320_.jpg")</f>
        <v>#NAME?</v>
      </c>
      <c r="I1938" t="s">
        <v>893</v>
      </c>
      <c r="J1938">
        <v>15.99</v>
      </c>
      <c r="K1938" s="4">
        <v>-0.1993</v>
      </c>
      <c r="L1938">
        <v>4.7</v>
      </c>
      <c r="M1938">
        <v>539</v>
      </c>
      <c r="O1938" t="s">
        <v>25</v>
      </c>
      <c r="P1938" t="s">
        <v>2142</v>
      </c>
      <c r="Q1938" t="s">
        <v>2143</v>
      </c>
    </row>
    <row r="1939" spans="1:17" ht="15.5" x14ac:dyDescent="0.35">
      <c r="A1939" s="3" t="str">
        <f>HYPERLINK("https://edmondsonsupply.com/collections/hvac/products/nu-calgon-4773-0-clean-connect-sprayer", "https://edmondsonsupply.com/collections/hvac/products/nu-calgon-4773-0-clean-connect-sprayer")</f>
        <v>https://edmondsonsupply.com/collections/hvac/products/nu-calgon-4773-0-clean-connect-sprayer</v>
      </c>
      <c r="B1939" s="3" t="str">
        <f>HYPERLINK("https://edmondsonsupply.com/products/nu-calgon-4773-0-clean-connect-sprayer", "https://edmondsonsupply.com/products/nu-calgon-4773-0-clean-connect-sprayer")</f>
        <v>https://edmondsonsupply.com/products/nu-calgon-4773-0-clean-connect-sprayer</v>
      </c>
      <c r="C1939" t="s">
        <v>5266</v>
      </c>
      <c r="D1939" t="s">
        <v>4164</v>
      </c>
      <c r="E1939" s="3" t="str">
        <f>HYPERLINK("https://www.amazon.com/Nu-Calgon-4774-0-Sprayer-Nozzle-SX-0470877/dp/B000R81VMG/ref=sr_1_1?keywords=Nu-Calgon+4773-0+Clean+Connect+Sprayer&amp;qid=1695173602&amp;sr=8-1", "https://www.amazon.com/Nu-Calgon-4774-0-Sprayer-Nozzle-SX-0470877/dp/B000R81VMG/ref=sr_1_1?keywords=Nu-Calgon+4773-0+Clean+Connect+Sprayer&amp;qid=1695173602&amp;sr=8-1")</f>
        <v>https://www.amazon.com/Nu-Calgon-4774-0-Sprayer-Nozzle-SX-0470877/dp/B000R81VMG/ref=sr_1_1?keywords=Nu-Calgon+4773-0+Clean+Connect+Sprayer&amp;qid=1695173602&amp;sr=8-1</v>
      </c>
      <c r="F1939" t="s">
        <v>4165</v>
      </c>
      <c r="G1939" t="e">
        <f ca="1">_xludf.IMAGE("https://edmondsonsupply.com/cdn/shop/products/4773-0_20200416.png?v=1667507119")</f>
        <v>#NAME?</v>
      </c>
      <c r="H1939" t="e">
        <f ca="1">_xludf.IMAGE("https://m.media-amazon.com/images/I/81ywNYt43kL._AC_UL320_.jpg")</f>
        <v>#NAME?</v>
      </c>
      <c r="I1939" t="s">
        <v>5267</v>
      </c>
      <c r="J1939">
        <v>95.99</v>
      </c>
      <c r="K1939" s="4">
        <v>-0.19950000000000001</v>
      </c>
      <c r="L1939">
        <v>4.7</v>
      </c>
      <c r="M1939">
        <v>269</v>
      </c>
      <c r="O1939" t="s">
        <v>25</v>
      </c>
      <c r="P1939" t="s">
        <v>5268</v>
      </c>
      <c r="Q1939" t="s">
        <v>5269</v>
      </c>
    </row>
    <row r="1940" spans="1:17" ht="15.5" x14ac:dyDescent="0.35">
      <c r="A1940" s="3" t="str">
        <f>HYPERLINK("https://edmondsonsupply.com/collections/hvac/products/klein-tools-56403-rechargeable-personal-worklight", "https://edmondsonsupply.com/collections/hvac/products/klein-tools-56403-rechargeable-personal-worklight")</f>
        <v>https://edmondsonsupply.com/collections/hvac/products/klein-tools-56403-rechargeable-personal-worklight</v>
      </c>
      <c r="B1940" s="3" t="str">
        <f>HYPERLINK("https://edmondsonsupply.com/products/klein-tools-56403-rechargeable-personal-worklight", "https://edmondsonsupply.com/products/klein-tools-56403-rechargeable-personal-worklight")</f>
        <v>https://edmondsonsupply.com/products/klein-tools-56403-rechargeable-personal-worklight</v>
      </c>
      <c r="C1940" t="s">
        <v>2537</v>
      </c>
      <c r="D1940" t="s">
        <v>5270</v>
      </c>
      <c r="E1940" s="3" t="str">
        <f>HYPERLINK("https://www.amazon.com/Klein-Tools-56403-Rechargeable-Illumination/dp/B07V4FTX6C/ref=sr_1_1?keywords=Klein+Tools+56403+Rechargeable+Personal+Worklight&amp;qid=1695173672&amp;sr=8-1", "https://www.amazon.com/Klein-Tools-56403-Rechargeable-Illumination/dp/B07V4FTX6C/ref=sr_1_1?keywords=Klein+Tools+56403+Rechargeable+Personal+Worklight&amp;qid=1695173672&amp;sr=8-1")</f>
        <v>https://www.amazon.com/Klein-Tools-56403-Rechargeable-Illumination/dp/B07V4FTX6C/ref=sr_1_1?keywords=Klein+Tools+56403+Rechargeable+Personal+Worklight&amp;qid=1695173672&amp;sr=8-1</v>
      </c>
      <c r="F1940" t="s">
        <v>5271</v>
      </c>
      <c r="G1940" t="e">
        <f ca="1">_xludf.IMAGE("https://edmondsonsupply.com/cdn/shop/products/56403.jpg?v=1587143308")</f>
        <v>#NAME?</v>
      </c>
      <c r="H1940" t="e">
        <f ca="1">_xludf.IMAGE("https://m.media-amazon.com/images/I/61Gs90A8wDL._AC_UL320_.jpg")</f>
        <v>#NAME?</v>
      </c>
      <c r="I1940" t="s">
        <v>380</v>
      </c>
      <c r="J1940">
        <v>39.97</v>
      </c>
      <c r="K1940" s="4">
        <v>-0.2001</v>
      </c>
      <c r="L1940">
        <v>4.8</v>
      </c>
      <c r="M1940">
        <v>2756</v>
      </c>
      <c r="O1940" t="s">
        <v>25</v>
      </c>
      <c r="P1940" t="s">
        <v>2540</v>
      </c>
      <c r="Q1940" t="s">
        <v>2541</v>
      </c>
    </row>
    <row r="1941" spans="1:17" ht="15.5" x14ac:dyDescent="0.35">
      <c r="A1941" s="3" t="str">
        <f>HYPERLINK("https://edmondsonsupply.com/collections/hvac/products/klein-tools-mm300kit-digital-multimeter-electrical-test-kit", "https://edmondsonsupply.com/collections/hvac/products/klein-tools-mm300kit-digital-multimeter-electrical-test-kit")</f>
        <v>https://edmondsonsupply.com/collections/hvac/products/klein-tools-mm300kit-digital-multimeter-electrical-test-kit</v>
      </c>
      <c r="B1941"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1941" t="s">
        <v>3227</v>
      </c>
      <c r="D1941" t="s">
        <v>5272</v>
      </c>
      <c r="E1941" s="3" t="str">
        <f>HYPERLINK("https://www.amazon.com/Klein-Tools-69149P-Multimeter-Noncontact/dp/B09C6MGD7J/ref=sr_1_5?keywords=Klein+Tools+MM320KIT+Digital+Multimeter+Electrical+Test+Kit&amp;qid=1695173460&amp;sr=8-5", "https://www.amazon.com/Klein-Tools-69149P-Multimeter-Noncontact/dp/B09C6MGD7J/ref=sr_1_5?keywords=Klein+Tools+MM320KIT+Digital+Multimeter+Electrical+Test+Kit&amp;qid=1695173460&amp;sr=8-5")</f>
        <v>https://www.amazon.com/Klein-Tools-69149P-Multimeter-Noncontact/dp/B09C6MGD7J/ref=sr_1_5?keywords=Klein+Tools+MM320KIT+Digital+Multimeter+Electrical+Test+Kit&amp;qid=1695173460&amp;sr=8-5</v>
      </c>
      <c r="F1941" t="s">
        <v>5273</v>
      </c>
      <c r="G1941" t="e">
        <f ca="1">_xludf.IMAGE("https://edmondsonsupply.com/cdn/shop/products/mm320kit_photo.jpg?v=1660756496")</f>
        <v>#NAME?</v>
      </c>
      <c r="H1941" t="e">
        <f ca="1">_xludf.IMAGE("https://m.media-amazon.com/images/I/61+WhEXhVkL._AC_UL320_.jpg")</f>
        <v>#NAME?</v>
      </c>
      <c r="I1941" t="s">
        <v>380</v>
      </c>
      <c r="J1941">
        <v>39.97</v>
      </c>
      <c r="K1941" s="4">
        <v>-0.2001</v>
      </c>
      <c r="L1941">
        <v>4.7</v>
      </c>
      <c r="M1941">
        <v>1358</v>
      </c>
      <c r="O1941" t="s">
        <v>25</v>
      </c>
      <c r="P1941" t="s">
        <v>3230</v>
      </c>
      <c r="Q1941" t="s">
        <v>3231</v>
      </c>
    </row>
    <row r="1942" spans="1:17" ht="15.5" x14ac:dyDescent="0.35">
      <c r="A1942" s="3" t="str">
        <f>HYPERLINK("https://edmondsonsupply.com/collections/hvac/products/5-2-1-csru1", "https://edmondsonsupply.com/collections/hvac/products/5-2-1-csru1")</f>
        <v>https://edmondsonsupply.com/collections/hvac/products/5-2-1-csru1</v>
      </c>
      <c r="B1942" s="3" t="str">
        <f>HYPERLINK("https://edmondsonsupply.com/products/5-2-1-csru1", "https://edmondsonsupply.com/products/5-2-1-csru1")</f>
        <v>https://edmondsonsupply.com/products/5-2-1-csru1</v>
      </c>
      <c r="C1942" t="s">
        <v>3321</v>
      </c>
      <c r="D1942" t="s">
        <v>5274</v>
      </c>
      <c r="E1942" s="3" t="str">
        <f>HYPERLINK("https://www.amazon.com/Start-Capacitor-5-2-1-Compressor-Saver/dp/B07GKXGKRB/ref=sr_1_6?keywords=5-2-1+CSRU1+Compressor+Saver%2C+1+to+3+Tons&amp;qid=1695173572&amp;sr=8-6", "https://www.amazon.com/Start-Capacitor-5-2-1-Compressor-Saver/dp/B07GKXGKRB/ref=sr_1_6?keywords=5-2-1+CSRU1+Compressor+Saver%2C+1+to+3+Tons&amp;qid=1695173572&amp;sr=8-6")</f>
        <v>https://www.amazon.com/Start-Capacitor-5-2-1-Compressor-Saver/dp/B07GKXGKRB/ref=sr_1_6?keywords=5-2-1+CSRU1+Compressor+Saver%2C+1+to+3+Tons&amp;qid=1695173572&amp;sr=8-6</v>
      </c>
      <c r="F1942" t="s">
        <v>5275</v>
      </c>
      <c r="G1942" t="e">
        <f ca="1">_xludf.IMAGE("https://edmondsonsupply.com/cdn/shop/products/CSRU1.jpg?v=1633030087")</f>
        <v>#NAME?</v>
      </c>
      <c r="H1942" t="e">
        <f ca="1">_xludf.IMAGE("https://m.media-amazon.com/images/I/81zfFglyF6L._AC_UL320_.jpg")</f>
        <v>#NAME?</v>
      </c>
      <c r="I1942" t="s">
        <v>3324</v>
      </c>
      <c r="J1942">
        <v>27.69</v>
      </c>
      <c r="K1942" s="4">
        <v>-0.20019999999999999</v>
      </c>
      <c r="L1942">
        <v>3.9</v>
      </c>
      <c r="M1942">
        <v>218</v>
      </c>
      <c r="O1942" t="s">
        <v>25</v>
      </c>
      <c r="P1942" t="s">
        <v>1307</v>
      </c>
      <c r="Q1942" t="s">
        <v>3325</v>
      </c>
    </row>
    <row r="1943" spans="1:17" ht="15.5" x14ac:dyDescent="0.35">
      <c r="A1943" s="3" t="str">
        <f>HYPERLINK("https://edmondsonsupply.com/collections/hvac/products/klein-tools-sk234-screwdriver-set-slotted-screw-holding-3-piece", "https://edmondsonsupply.com/collections/hvac/products/klein-tools-sk234-screwdriver-set-slotted-screw-holding-3-piece")</f>
        <v>https://edmondsonsupply.com/collections/hvac/products/klein-tools-sk234-screwdriver-set-slotted-screw-holding-3-piece</v>
      </c>
      <c r="B1943" s="3" t="str">
        <f>HYPERLINK("https://edmondsonsupply.com/products/klein-tools-sk234-screwdriver-set-slotted-screw-holding-3-piece", "https://edmondsonsupply.com/products/klein-tools-sk234-screwdriver-set-slotted-screw-holding-3-piece")</f>
        <v>https://edmondsonsupply.com/products/klein-tools-sk234-screwdriver-set-slotted-screw-holding-3-piece</v>
      </c>
      <c r="C1943" t="s">
        <v>5276</v>
      </c>
      <c r="D1943" t="s">
        <v>3865</v>
      </c>
      <c r="E1943" s="3" t="str">
        <f>HYPERLINK("https://www.amazon.com/Klein-Tools-85153K-Screw-Holding-Screwdriver/dp/B0CFRP1K3L/ref=sr_1_2?keywords=Klein+Tools+SK234+Screwdriver+Set%2C+Slotted+Screw+Holding%2C+3-Piece&amp;qid=1695173459&amp;sr=8-2", "https://www.amazon.com/Klein-Tools-85153K-Screw-Holding-Screwdriver/dp/B0CFRP1K3L/ref=sr_1_2?keywords=Klein+Tools+SK234+Screwdriver+Set%2C+Slotted+Screw+Holding%2C+3-Piece&amp;qid=1695173459&amp;sr=8-2")</f>
        <v>https://www.amazon.com/Klein-Tools-85153K-Screw-Holding-Screwdriver/dp/B0CFRP1K3L/ref=sr_1_2?keywords=Klein+Tools+SK234+Screwdriver+Set%2C+Slotted+Screw+Holding%2C+3-Piece&amp;qid=1695173459&amp;sr=8-2</v>
      </c>
      <c r="F1943" t="s">
        <v>3866</v>
      </c>
      <c r="G1943" t="e">
        <f ca="1">_xludf.IMAGE("https://edmondsonsupply.com/cdn/shop/products/sk234.jpg?v=1587144984")</f>
        <v>#NAME?</v>
      </c>
      <c r="H1943" t="e">
        <f ca="1">_xludf.IMAGE("https://m.media-amazon.com/images/I/41KoRmOkBpL._AC_UL320_.jpg")</f>
        <v>#NAME?</v>
      </c>
      <c r="I1943" t="s">
        <v>824</v>
      </c>
      <c r="J1943">
        <v>23.97</v>
      </c>
      <c r="K1943" s="4">
        <v>-0.20019999999999999</v>
      </c>
      <c r="L1943">
        <v>5</v>
      </c>
      <c r="M1943">
        <v>1</v>
      </c>
      <c r="O1943" t="s">
        <v>171</v>
      </c>
      <c r="P1943" t="s">
        <v>5277</v>
      </c>
      <c r="Q1943" t="s">
        <v>5278</v>
      </c>
    </row>
    <row r="1944" spans="1:17" ht="15.5" x14ac:dyDescent="0.35">
      <c r="A1944" s="3" t="str">
        <f>HYPERLINK("https://edmondsonsupply.com/collections/hvac/products/robertshaw-41-224-hot-surface-furnace-ignitor-rheem-armstrong-replacement", "https://edmondsonsupply.com/collections/hvac/products/robertshaw-41-224-hot-surface-furnace-ignitor-rheem-armstrong-replacement")</f>
        <v>https://edmondsonsupply.com/collections/hvac/products/robertshaw-41-224-hot-surface-furnace-ignitor-rheem-armstrong-replacement</v>
      </c>
      <c r="B1944" s="3" t="str">
        <f>HYPERLINK("https://edmondsonsupply.com/products/robertshaw-41-224-hot-surface-furnace-ignitor-rheem-armstrong-replacement", "https://edmondsonsupply.com/products/robertshaw-41-224-hot-surface-furnace-ignitor-rheem-armstrong-replacement")</f>
        <v>https://edmondsonsupply.com/products/robertshaw-41-224-hot-surface-furnace-ignitor-rheem-armstrong-replacement</v>
      </c>
      <c r="C1944" t="s">
        <v>5161</v>
      </c>
      <c r="D1944" t="s">
        <v>2624</v>
      </c>
      <c r="E1944" s="3" t="str">
        <f>HYPERLINK("https://www.amazon.com/Upgraded-Replacement-Robertshaw-Furnace-Surface/dp/B00EE86RC4/ref=sr_1_5?keywords=Robertshaw+41-224+Hot+Surface+Furnace+Ignitor&amp;qid=1695173703&amp;sr=8-5", "https://www.amazon.com/Upgraded-Replacement-Robertshaw-Furnace-Surface/dp/B00EE86RC4/ref=sr_1_5?keywords=Robertshaw+41-224+Hot+Surface+Furnace+Ignitor&amp;qid=1695173703&amp;sr=8-5")</f>
        <v>https://www.amazon.com/Upgraded-Replacement-Robertshaw-Furnace-Surface/dp/B00EE86RC4/ref=sr_1_5?keywords=Robertshaw+41-224+Hot+Surface+Furnace+Ignitor&amp;qid=1695173703&amp;sr=8-5</v>
      </c>
      <c r="F1944" t="s">
        <v>2625</v>
      </c>
      <c r="G1944" t="e">
        <f ca="1">_xludf.IMAGE("https://edmondsonsupply.com/cdn/shop/files/41-224.jpg?v=1694616534")</f>
        <v>#NAME?</v>
      </c>
      <c r="H1944" t="e">
        <f ca="1">_xludf.IMAGE("https://m.media-amazon.com/images/I/51zXvmm6rzL._AC_UL320_.jpg")</f>
        <v>#NAME?</v>
      </c>
      <c r="I1944" t="s">
        <v>5164</v>
      </c>
      <c r="J1944">
        <v>33.380000000000003</v>
      </c>
      <c r="K1944" s="4">
        <v>-0.2011</v>
      </c>
      <c r="L1944">
        <v>5</v>
      </c>
      <c r="M1944">
        <v>2</v>
      </c>
      <c r="O1944" t="s">
        <v>25</v>
      </c>
      <c r="P1944" t="s">
        <v>138</v>
      </c>
      <c r="Q1944" t="s">
        <v>5165</v>
      </c>
    </row>
    <row r="1945" spans="1:17" ht="15.5" x14ac:dyDescent="0.35">
      <c r="A1945" s="3" t="str">
        <f>HYPERLINK("https://edmondsonsupply.com/collections/hvac/products/klein-tools-85153k-slotted-screw-holding-driver-kit-3-16-inch-and-1-4-inch", "https://edmondsonsupply.com/collections/hvac/products/klein-tools-85153k-slotted-screw-holding-driver-kit-3-16-inch-and-1-4-inch")</f>
        <v>https://edmondsonsupply.com/collections/hvac/products/klein-tools-85153k-slotted-screw-holding-driver-kit-3-16-inch-and-1-4-inch</v>
      </c>
      <c r="B1945"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1945" t="s">
        <v>3864</v>
      </c>
      <c r="D1945" t="s">
        <v>5279</v>
      </c>
      <c r="E1945" s="3" t="str">
        <f>HYPERLINK("https://www.amazon.com/Screw-Holding-Screwdriver-Klein-Tools-K48/dp/B00093GCWI/ref=sr_1_6?keywords=Klein+Tools+85153K+Slotted+Screw+Holding+Driver+Kit%2C+3%2F16-Inch+and+1%2F4-Inch&amp;qid=1695173691&amp;sr=8-6", "https://www.amazon.com/Screw-Holding-Screwdriver-Klein-Tools-K48/dp/B00093GCWI/ref=sr_1_6?keywords=Klein+Tools+85153K+Slotted+Screw+Holding+Driver+Kit%2C+3%2F16-Inch+and+1%2F4-Inch&amp;qid=1695173691&amp;sr=8-6")</f>
        <v>https://www.amazon.com/Screw-Holding-Screwdriver-Klein-Tools-K48/dp/B00093GCWI/ref=sr_1_6?keywords=Klein+Tools+85153K+Slotted+Screw+Holding+Driver+Kit%2C+3%2F16-Inch+and+1%2F4-Inch&amp;qid=1695173691&amp;sr=8-6</v>
      </c>
      <c r="F1945" t="s">
        <v>5280</v>
      </c>
      <c r="G1945" t="e">
        <f ca="1">_xludf.IMAGE("https://edmondsonsupply.com/cdn/shop/files/85153k.jpg?v=1693933663")</f>
        <v>#NAME?</v>
      </c>
      <c r="H1945" t="e">
        <f ca="1">_xludf.IMAGE("https://m.media-amazon.com/images/I/61A3V+ZpcRL._AC_UL320_.jpg")</f>
        <v>#NAME?</v>
      </c>
      <c r="I1945" t="s">
        <v>3867</v>
      </c>
      <c r="J1945">
        <v>15.94</v>
      </c>
      <c r="K1945" s="4">
        <v>-0.20219999999999999</v>
      </c>
      <c r="L1945">
        <v>4.7</v>
      </c>
      <c r="M1945">
        <v>69</v>
      </c>
      <c r="O1945" t="s">
        <v>25</v>
      </c>
      <c r="P1945" t="s">
        <v>3068</v>
      </c>
      <c r="Q1945" t="s">
        <v>3868</v>
      </c>
    </row>
    <row r="1946" spans="1:17" ht="15.5" x14ac:dyDescent="0.35">
      <c r="A1946" s="3" t="str">
        <f>HYPERLINK("https://edmondsonsupply.com/collections/hvac/products/fluke-376", "https://edmondsonsupply.com/collections/hvac/products/fluke-376")</f>
        <v>https://edmondsonsupply.com/collections/hvac/products/fluke-376</v>
      </c>
      <c r="B1946" s="3" t="str">
        <f>HYPERLINK("https://edmondsonsupply.com/products/fluke-376", "https://edmondsonsupply.com/products/fluke-376")</f>
        <v>https://edmondsonsupply.com/products/fluke-376</v>
      </c>
      <c r="C1946" t="s">
        <v>3766</v>
      </c>
      <c r="D1946" t="s">
        <v>5281</v>
      </c>
      <c r="E1946" s="3" t="str">
        <f>HYPERLINK("https://www.amazon.com/Fluke-1000A-Wireless-Clamp-Iflex/dp/B017OVC2QM/ref=sr_1_2?keywords=Fluke+376+FC+Wireless+True-RMS+AC%2FDC+Clamp+Meter+with+iFlex&amp;qid=1695173543&amp;sr=8-2", "https://www.amazon.com/Fluke-1000A-Wireless-Clamp-Iflex/dp/B017OVC2QM/ref=sr_1_2?keywords=Fluke+376+FC+Wireless+True-RMS+AC%2FDC+Clamp+Meter+with+iFlex&amp;qid=1695173543&amp;sr=8-2")</f>
        <v>https://www.amazon.com/Fluke-1000A-Wireless-Clamp-Iflex/dp/B017OVC2QM/ref=sr_1_2?keywords=Fluke+376+FC+Wireless+True-RMS+AC%2FDC+Clamp+Meter+with+iFlex&amp;qid=1695173543&amp;sr=8-2</v>
      </c>
      <c r="F1946" t="s">
        <v>5282</v>
      </c>
      <c r="G1946" t="e">
        <f ca="1">_xludf.IMAGE("https://edmondsonsupply.com/cdn/shop/products/f-376fc-16a-1500x1000.jpg?v=1633030274")</f>
        <v>#NAME?</v>
      </c>
      <c r="H1946" t="e">
        <f ca="1">_xludf.IMAGE("https://m.media-amazon.com/images/I/6115AX2aVFL._AC_UY218_.jpg")</f>
        <v>#NAME?</v>
      </c>
      <c r="I1946" t="s">
        <v>3769</v>
      </c>
      <c r="J1946">
        <v>424.99</v>
      </c>
      <c r="K1946" s="4">
        <v>-0.20369999999999999</v>
      </c>
      <c r="L1946">
        <v>4.7</v>
      </c>
      <c r="M1946">
        <v>710</v>
      </c>
      <c r="O1946" t="s">
        <v>25</v>
      </c>
      <c r="P1946" t="s">
        <v>3770</v>
      </c>
      <c r="Q1946" t="s">
        <v>3771</v>
      </c>
    </row>
    <row r="1947" spans="1:17" ht="15.5" x14ac:dyDescent="0.35">
      <c r="A1947" s="3" t="str">
        <f>HYPERLINK("https://edmondsonsupply.com/collections/hvac/products/klein-tools-ncvt1xtkit-non-contact-voltage-and-gfci-receptacle-premium-test-kit", "https://edmondsonsupply.com/collections/hvac/products/klein-tools-ncvt1xtkit-non-contact-voltage-and-gfci-receptacle-premium-test-kit")</f>
        <v>https://edmondsonsupply.com/collections/hvac/products/klein-tools-ncvt1xtkit-non-contact-voltage-and-gfci-receptacle-premium-test-kit</v>
      </c>
      <c r="B1947"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1947" t="s">
        <v>2155</v>
      </c>
      <c r="D1947" t="s">
        <v>5283</v>
      </c>
      <c r="E1947" s="3" t="str">
        <f>HYPERLINK("https://www.amazon.com/Klein-Tools-NCVT1XTKIT-Non-Contact-Detector/dp/B0BNLRMNF2/ref=sr_1_1?keywords=Klein+Tools+NCVT1XTKIT+Non-Contact+Voltage+and+GFCI+Receptacle+Premium+Test+Kit&amp;qid=1695173496&amp;sr=8-1", "https://www.amazon.com/Klein-Tools-NCVT1XTKIT-Non-Contact-Detector/dp/B0BNLRMNF2/ref=sr_1_1?keywords=Klein+Tools+NCVT1XTKIT+Non-Contact+Voltage+and+GFCI+Receptacle+Premium+Test+Kit&amp;qid=1695173496&amp;sr=8-1")</f>
        <v>https://www.amazon.com/Klein-Tools-NCVT1XTKIT-Non-Contact-Detector/dp/B0BNLRMNF2/ref=sr_1_1?keywords=Klein+Tools+NCVT1XTKIT+Non-Contact+Voltage+and+GFCI+Receptacle+Premium+Test+Kit&amp;qid=1695173496&amp;sr=8-1</v>
      </c>
      <c r="F1947" t="s">
        <v>5284</v>
      </c>
      <c r="G1947" t="e">
        <f ca="1">_xludf.IMAGE("https://edmondsonsupply.com/cdn/shop/products/ncvt1xtkit.jpg?v=1674497102")</f>
        <v>#NAME?</v>
      </c>
      <c r="H1947" t="e">
        <f ca="1">_xludf.IMAGE("https://m.media-amazon.com/images/I/51enmFcuhEL._AC_UL320_.jpg")</f>
        <v>#NAME?</v>
      </c>
      <c r="I1947" t="s">
        <v>471</v>
      </c>
      <c r="J1947">
        <v>19.88</v>
      </c>
      <c r="K1947" s="4">
        <v>-0.20449999999999999</v>
      </c>
      <c r="L1947">
        <v>4.7</v>
      </c>
      <c r="M1947">
        <v>4231</v>
      </c>
      <c r="O1947" t="s">
        <v>25</v>
      </c>
      <c r="P1947" t="s">
        <v>2158</v>
      </c>
      <c r="Q1947" t="s">
        <v>2159</v>
      </c>
    </row>
    <row r="1948" spans="1:17" ht="15.5" x14ac:dyDescent="0.35">
      <c r="A1948" s="3" t="str">
        <f>HYPERLINK("https://edmondsonsupply.com/collections/hvac/products/midwest-mwt-ss6716l-special-hardness-aviation-snip-left-cutting", "https://edmondsonsupply.com/collections/hvac/products/midwest-mwt-ss6716l-special-hardness-aviation-snip-left-cutting")</f>
        <v>https://edmondsonsupply.com/collections/hvac/products/midwest-mwt-ss6716l-special-hardness-aviation-snip-left-cutting</v>
      </c>
      <c r="B1948" s="3" t="str">
        <f>HYPERLINK("https://edmondsonsupply.com/products/midwest-mwt-ss6716l-special-hardness-aviation-snip-left-cutting", "https://edmondsonsupply.com/products/midwest-mwt-ss6716l-special-hardness-aviation-snip-left-cutting")</f>
        <v>https://edmondsonsupply.com/products/midwest-mwt-ss6716l-special-hardness-aviation-snip-left-cutting</v>
      </c>
      <c r="C1948" t="s">
        <v>1800</v>
      </c>
      <c r="D1948" t="s">
        <v>5285</v>
      </c>
      <c r="E1948" s="3" t="str">
        <f>HYPERLINK("https://www.amazon.com/MIDWEST-Aviation-Snip-KUSHN-POWER-MWT-6716L/dp/B00OCGQFT8/ref=sr_1_2?keywords=Midwest+MWT-SS6716L+Special+Hardness+Aviation+Snip+-+Left-Cutting&amp;qid=1695173419&amp;sr=8-2", "https://www.amazon.com/MIDWEST-Aviation-Snip-KUSHN-POWER-MWT-6716L/dp/B00OCGQFT8/ref=sr_1_2?keywords=Midwest+MWT-SS6716L+Special+Hardness+Aviation+Snip+-+Left-Cutting&amp;qid=1695173419&amp;sr=8-2")</f>
        <v>https://www.amazon.com/MIDWEST-Aviation-Snip-KUSHN-POWER-MWT-6716L/dp/B00OCGQFT8/ref=sr_1_2?keywords=Midwest+MWT-SS6716L+Special+Hardness+Aviation+Snip+-+Left-Cutting&amp;qid=1695173419&amp;sr=8-2</v>
      </c>
      <c r="F1948" t="s">
        <v>5286</v>
      </c>
      <c r="G1948" t="e">
        <f ca="1">_xludf.IMAGE("https://edmondsonsupply.com/cdn/shop/products/MWT-SS6716L1.jpg?v=1587151241")</f>
        <v>#NAME?</v>
      </c>
      <c r="H1948" t="e">
        <f ca="1">_xludf.IMAGE("https://m.media-amazon.com/images/I/61DrWSZKjcL._AC_UL320_.jpg")</f>
        <v>#NAME?</v>
      </c>
      <c r="I1948" t="s">
        <v>1110</v>
      </c>
      <c r="J1948">
        <v>20.21</v>
      </c>
      <c r="K1948" s="4">
        <v>-0.20710000000000001</v>
      </c>
      <c r="L1948">
        <v>4.4000000000000004</v>
      </c>
      <c r="M1948">
        <v>575</v>
      </c>
      <c r="O1948" t="s">
        <v>25</v>
      </c>
      <c r="P1948" t="s">
        <v>1770</v>
      </c>
      <c r="Q1948" t="s">
        <v>1801</v>
      </c>
    </row>
    <row r="1949" spans="1:17" ht="15.5" x14ac:dyDescent="0.35">
      <c r="A1949" s="3" t="str">
        <f>HYPERLINK("https://edmondsonsupply.com/collections/hvac/products/wiha-tools-66992-22-piece-magicring-ball-end-hex-l-key-set-inch-metric", "https://edmondsonsupply.com/collections/hvac/products/wiha-tools-66992-22-piece-magicring-ball-end-hex-l-key-set-inch-metric")</f>
        <v>https://edmondsonsupply.com/collections/hvac/products/wiha-tools-66992-22-piece-magicring-ball-end-hex-l-key-set-inch-metric</v>
      </c>
      <c r="B1949"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1949" t="s">
        <v>4919</v>
      </c>
      <c r="D1949" t="s">
        <v>5287</v>
      </c>
      <c r="E1949" s="3" t="str">
        <f>HYPERLINK("https://www.amazon.com/66982-ErgoStar-L-Key-Metric-22-Piece/dp/B009461IMA/ref=sr_1_3?keywords=Wiha+Tools+66992+22+Piece+MagicRing+Ball+End+Hex+L-Key+Set+-+Inch+-+Metric&amp;qid=1695173729&amp;sr=8-3", "https://www.amazon.com/66982-ErgoStar-L-Key-Metric-22-Piece/dp/B009461IMA/ref=sr_1_3?keywords=Wiha+Tools+66992+22+Piece+MagicRing+Ball+End+Hex+L-Key+Set+-+Inch+-+Metric&amp;qid=1695173729&amp;sr=8-3")</f>
        <v>https://www.amazon.com/66982-ErgoStar-L-Key-Metric-22-Piece/dp/B009461IMA/ref=sr_1_3?keywords=Wiha+Tools+66992+22+Piece+MagicRing+Ball+End+Hex+L-Key+Set+-+Inch+-+Metric&amp;qid=1695173729&amp;sr=8-3</v>
      </c>
      <c r="F1949" t="s">
        <v>5288</v>
      </c>
      <c r="G1949" t="e">
        <f ca="1">_xludf.IMAGE("https://edmondsonsupply.com/cdn/shop/files/29417a271125353d697d01cfdfb24cc6e99901ce_1000x_6829985f-7f40-4410-b5be-ba7bc87b2a14.webp?v=1690840271")</f>
        <v>#NAME?</v>
      </c>
      <c r="H1949" t="e">
        <f ca="1">_xludf.IMAGE("https://m.media-amazon.com/images/I/71nWPeuV9HL._AC_UL320_.jpg")</f>
        <v>#NAME?</v>
      </c>
      <c r="I1949" t="s">
        <v>4922</v>
      </c>
      <c r="J1949">
        <v>66.739999999999995</v>
      </c>
      <c r="K1949" s="4">
        <v>-0.20730000000000001</v>
      </c>
      <c r="L1949">
        <v>4.8</v>
      </c>
      <c r="M1949">
        <v>945</v>
      </c>
      <c r="O1949" t="s">
        <v>25</v>
      </c>
      <c r="P1949" t="s">
        <v>4923</v>
      </c>
      <c r="Q1949" t="s">
        <v>4924</v>
      </c>
    </row>
    <row r="1950" spans="1:17" ht="15.5" x14ac:dyDescent="0.35">
      <c r="A1950" s="3" t="str">
        <f>HYPERLINK("https://edmondsonsupply.com/collections/hvac/products/packard-hs24a346-2-dpdt-heat-sequencer-2-timings-4-switches", "https://edmondsonsupply.com/collections/hvac/products/packard-hs24a346-2-dpdt-heat-sequencer-2-timings-4-switches")</f>
        <v>https://edmondsonsupply.com/collections/hvac/products/packard-hs24a346-2-dpdt-heat-sequencer-2-timings-4-switches</v>
      </c>
      <c r="B1950" s="3" t="str">
        <f>HYPERLINK("https://edmondsonsupply.com/products/packard-hs24a346-2-dpdt-heat-sequencer-2-timings-4-switches", "https://edmondsonsupply.com/products/packard-hs24a346-2-dpdt-heat-sequencer-2-timings-4-switches")</f>
        <v>https://edmondsonsupply.com/products/packard-hs24a346-2-dpdt-heat-sequencer-2-timings-4-switches</v>
      </c>
      <c r="C1950" t="s">
        <v>5289</v>
      </c>
      <c r="D1950" t="s">
        <v>5290</v>
      </c>
      <c r="E1950" s="3" t="str">
        <f>HYPERLINK("https://www.amazon.com/HS24A346-Packard-Aftermarket-Replacement-Sequencer/dp/B00FX6Q7V2/ref=sr_1_3?keywords=Packard+HS24A346+2-DPDT+Heat+Sequencer+-+2+Timings%2C+4+Switches&amp;qid=1695173656&amp;sr=8-3", "https://www.amazon.com/HS24A346-Packard-Aftermarket-Replacement-Sequencer/dp/B00FX6Q7V2/ref=sr_1_3?keywords=Packard+HS24A346+2-DPDT+Heat+Sequencer+-+2+Timings%2C+4+Switches&amp;qid=1695173656&amp;sr=8-3")</f>
        <v>https://www.amazon.com/HS24A346-Packard-Aftermarket-Replacement-Sequencer/dp/B00FX6Q7V2/ref=sr_1_3?keywords=Packard+HS24A346+2-DPDT+Heat+Sequencer+-+2+Timings%2C+4+Switches&amp;qid=1695173656&amp;sr=8-3</v>
      </c>
      <c r="F1950" t="s">
        <v>5291</v>
      </c>
      <c r="G1950" t="e">
        <f ca="1">_xludf.IMAGE("https://edmondsonsupply.com/cdn/shop/products/packard_hs24a346_xl_1.jpg?v=1587150777")</f>
        <v>#NAME?</v>
      </c>
      <c r="H1950" t="e">
        <f ca="1">_xludf.IMAGE("https://m.media-amazon.com/images/I/41CnIubT4dL._AC_UY218_.jpg")</f>
        <v>#NAME?</v>
      </c>
      <c r="I1950" t="s">
        <v>5292</v>
      </c>
      <c r="J1950">
        <v>17.45</v>
      </c>
      <c r="K1950" s="4">
        <v>-0.20830000000000001</v>
      </c>
      <c r="L1950">
        <v>4.5</v>
      </c>
      <c r="M1950">
        <v>15</v>
      </c>
      <c r="O1950" t="s">
        <v>25</v>
      </c>
      <c r="P1950" t="s">
        <v>138</v>
      </c>
      <c r="Q1950" t="s">
        <v>5293</v>
      </c>
    </row>
    <row r="1951" spans="1:17" ht="15.5" x14ac:dyDescent="0.35">
      <c r="A1951" s="3" t="str">
        <f>HYPERLINK("https://edmondsonsupply.com/collections/hvac/products/klein-tools-ncvt-2pkit-dual-range-non-contact-voltage-tester-with-receptacle-tester", "https://edmondsonsupply.com/collections/hvac/products/klein-tools-ncvt-2pkit-dual-range-non-contact-voltage-tester-with-receptacle-tester")</f>
        <v>https://edmondsonsupply.com/collections/hvac/products/klein-tools-ncvt-2pkit-dual-range-non-contact-voltage-tester-with-receptacle-tester</v>
      </c>
      <c r="B1951"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1951" t="s">
        <v>1566</v>
      </c>
      <c r="D1951" t="s">
        <v>5294</v>
      </c>
      <c r="E1951" s="3" t="str">
        <f>HYPERLINK("https://www.amazon.com/Klein-Tools-NCVT2P-12-1000V-Flashing/dp/B07L5N8ZWS/ref=sr_1_1?keywords=Klein+Tools+NCVT-2PKIT+Dual+Range+Non-Contact+Voltage+Tester+with+Receptacle+Tester&amp;qid=1695173669&amp;sr=8-1", "https://www.amazon.com/Klein-Tools-NCVT2P-12-1000V-Flashing/dp/B07L5N8ZWS/ref=sr_1_1?keywords=Klein+Tools+NCVT-2PKIT+Dual+Range+Non-Contact+Voltage+Tester+with+Receptacle+Tester&amp;qid=1695173669&amp;sr=8-1")</f>
        <v>https://www.amazon.com/Klein-Tools-NCVT2P-12-1000V-Flashing/dp/B07L5N8ZWS/ref=sr_1_1?keywords=Klein+Tools+NCVT-2PKIT+Dual+Range+Non-Contact+Voltage+Tester+with+Receptacle+Tester&amp;qid=1695173669&amp;sr=8-1</v>
      </c>
      <c r="F1951" t="s">
        <v>5295</v>
      </c>
      <c r="G1951" t="e">
        <f ca="1">_xludf.IMAGE("https://edmondsonsupply.com/cdn/shop/products/ncvt2pkit.jpg?v=1633030827")</f>
        <v>#NAME?</v>
      </c>
      <c r="H1951" t="e">
        <f ca="1">_xludf.IMAGE("https://m.media-amazon.com/images/I/51GASnKpZ1L._AC_UL320_.jpg")</f>
        <v>#NAME?</v>
      </c>
      <c r="I1951" t="s">
        <v>26</v>
      </c>
      <c r="J1951">
        <v>23.74</v>
      </c>
      <c r="K1951" s="4">
        <v>-0.2084</v>
      </c>
      <c r="L1951">
        <v>4.7</v>
      </c>
      <c r="M1951">
        <v>639</v>
      </c>
      <c r="O1951" t="s">
        <v>25</v>
      </c>
      <c r="P1951" t="s">
        <v>1569</v>
      </c>
      <c r="Q1951" t="s">
        <v>1570</v>
      </c>
    </row>
    <row r="1952" spans="1:17" ht="15.5" x14ac:dyDescent="0.35">
      <c r="A1952" s="3" t="str">
        <f>HYPERLINK("https://edmondsonsupply.com/collections/hvac/products/fluke-1587-fc-insulation-multimeter", "https://edmondsonsupply.com/collections/hvac/products/fluke-1587-fc-insulation-multimeter")</f>
        <v>https://edmondsonsupply.com/collections/hvac/products/fluke-1587-fc-insulation-multimeter</v>
      </c>
      <c r="B1952" s="3" t="str">
        <f>HYPERLINK("https://edmondsonsupply.com/products/fluke-1587-fc-insulation-multimeter", "https://edmondsonsupply.com/products/fluke-1587-fc-insulation-multimeter")</f>
        <v>https://edmondsonsupply.com/products/fluke-1587-fc-insulation-multimeter</v>
      </c>
      <c r="C1952" t="s">
        <v>4074</v>
      </c>
      <c r="D1952" t="s">
        <v>5296</v>
      </c>
      <c r="E1952" s="3" t="str">
        <f>HYPERLINK("https://www.amazon.com/FLUKE-1587-FC-Insulation-Multimeter/dp/B017OVC2UI/ref=sr_1_1?keywords=Fluke+1587+FC+Insulation+Multimeter&amp;qid=1695173471&amp;sr=8-1", "https://www.amazon.com/FLUKE-1587-FC-Insulation-Multimeter/dp/B017OVC2UI/ref=sr_1_1?keywords=Fluke+1587+FC+Insulation+Multimeter&amp;qid=1695173471&amp;sr=8-1")</f>
        <v>https://www.amazon.com/FLUKE-1587-FC-Insulation-Multimeter/dp/B017OVC2UI/ref=sr_1_1?keywords=Fluke+1587+FC+Insulation+Multimeter&amp;qid=1695173471&amp;sr=8-1</v>
      </c>
      <c r="F1952" t="s">
        <v>5297</v>
      </c>
      <c r="G1952" t="e">
        <f ca="1">_xludf.IMAGE("https://edmondsonsupply.com/cdn/shop/products/Fluke_1587_FC_True-rms_Insulation_Multimeter__1280x1006px_E_NR-20298.jpg?v=1633031188")</f>
        <v>#NAME?</v>
      </c>
      <c r="H1952" t="e">
        <f ca="1">_xludf.IMAGE("https://m.media-amazon.com/images/I/61MrkJbYVOL._AC_UL320_.jpg")</f>
        <v>#NAME?</v>
      </c>
      <c r="I1952" t="s">
        <v>4077</v>
      </c>
      <c r="J1952">
        <v>736.13</v>
      </c>
      <c r="K1952" s="4">
        <v>-0.20849999999999999</v>
      </c>
      <c r="L1952">
        <v>4.7</v>
      </c>
      <c r="M1952">
        <v>172</v>
      </c>
      <c r="O1952" t="s">
        <v>25</v>
      </c>
      <c r="P1952" t="s">
        <v>4078</v>
      </c>
      <c r="Q1952" t="s">
        <v>4079</v>
      </c>
    </row>
    <row r="1953" spans="1:17" ht="15.5" x14ac:dyDescent="0.35">
      <c r="A1953"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953"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953" t="s">
        <v>2903</v>
      </c>
      <c r="D1953" t="s">
        <v>5298</v>
      </c>
      <c r="E1953" s="3" t="str">
        <f>HYPERLINK("https://www.amazon.com/Diablo-SDS-Max-4-Cutter-Carbide-Hammer/dp/B089KWFF8B/ref=sr_1_3?keywords=Diablo+Tools+DMAMX1300+1-1%2F4+in.+x+16+in.+x+21+in.+Rebar+Demon%E2%84%A2+SDS-Max+4-Cutter+Full+Carbide+Head+Hammer+Drill+Bit&amp;qid=1695173488&amp;sr=8-3", "https://www.amazon.com/Diablo-SDS-Max-4-Cutter-Carbide-Hammer/dp/B089KWFF8B/ref=sr_1_3?keywords=Diablo+Tools+DMAMX1300+1-1%2F4+in.+x+16+in.+x+21+in.+Rebar+Demon%E2%84%A2+SDS-Max+4-Cutter+Full+Carbide+Head+Hammer+Drill+Bit&amp;qid=1695173488&amp;sr=8-3")</f>
        <v>https://www.amazon.com/Diablo-SDS-Max-4-Cutter-Carbide-Hammer/dp/B089KWFF8B/ref=sr_1_3?keywords=Diablo+Tools+DMAMX1300+1-1%2F4+in.+x+16+in.+x+21+in.+Rebar+Demon%E2%84%A2+SDS-Max+4-Cutter+Full+Carbide+Head+Hammer+Drill+Bit&amp;qid=1695173488&amp;sr=8-3</v>
      </c>
      <c r="F1953" t="s">
        <v>5299</v>
      </c>
      <c r="G1953" t="e">
        <f ca="1">_xludf.IMAGE("https://edmondsonsupply.com/cdn/shop/files/immoyh7jjmbau4fzhuq6_7dd7fd73-2865-4c12-9443-da45b48dbd51.webp?v=1685465465")</f>
        <v>#NAME?</v>
      </c>
      <c r="H1953" t="e">
        <f ca="1">_xludf.IMAGE("https://m.media-amazon.com/images/I/611fTcYRNFL._AC_UL320_.jpg")</f>
        <v>#NAME?</v>
      </c>
      <c r="I1953" t="s">
        <v>2906</v>
      </c>
      <c r="J1953">
        <v>52.51</v>
      </c>
      <c r="K1953" s="4">
        <v>-0.2092</v>
      </c>
      <c r="L1953">
        <v>3.5</v>
      </c>
      <c r="M1953">
        <v>3</v>
      </c>
      <c r="O1953" t="s">
        <v>171</v>
      </c>
      <c r="P1953" t="s">
        <v>2907</v>
      </c>
      <c r="Q1953" t="s">
        <v>2908</v>
      </c>
    </row>
    <row r="1954" spans="1:17" ht="15.5" x14ac:dyDescent="0.35">
      <c r="A1954" s="3" t="str">
        <f>HYPERLINK("https://edmondsonsupply.com/collections/hvac/products/malco-tools-ufwm-universal-oil-filter-wrench", "https://edmondsonsupply.com/collections/hvac/products/malco-tools-ufwm-universal-oil-filter-wrench")</f>
        <v>https://edmondsonsupply.com/collections/hvac/products/malco-tools-ufwm-universal-oil-filter-wrench</v>
      </c>
      <c r="B1954" s="3" t="str">
        <f>HYPERLINK("https://edmondsonsupply.com/products/malco-tools-ufwm-universal-oil-filter-wrench", "https://edmondsonsupply.com/products/malco-tools-ufwm-universal-oil-filter-wrench")</f>
        <v>https://edmondsonsupply.com/products/malco-tools-ufwm-universal-oil-filter-wrench</v>
      </c>
      <c r="C1954" t="s">
        <v>5300</v>
      </c>
      <c r="D1954" t="s">
        <v>5301</v>
      </c>
      <c r="E1954" s="3" t="str">
        <f>HYPERLINK("https://www.amazon.com/BILITOOLS-Universal-Filter-Removal-Adjustable/dp/B0BPGD5ND2/ref=sr_1_2?keywords=Malco+Tools+UFWM+Universal+Oil+Filter+Wrench&amp;qid=1695173503&amp;sr=8-2", "https://www.amazon.com/BILITOOLS-Universal-Filter-Removal-Adjustable/dp/B0BPGD5ND2/ref=sr_1_2?keywords=Malco+Tools+UFWM+Universal+Oil+Filter+Wrench&amp;qid=1695173503&amp;sr=8-2")</f>
        <v>https://www.amazon.com/BILITOOLS-Universal-Filter-Removal-Adjustable/dp/B0BPGD5ND2/ref=sr_1_2?keywords=Malco+Tools+UFWM+Universal+Oil+Filter+Wrench&amp;qid=1695173503&amp;sr=8-2</v>
      </c>
      <c r="F1954" t="s">
        <v>5302</v>
      </c>
      <c r="G1954" t="e">
        <f ca="1">_xludf.IMAGE("https://edmondsonsupply.com/cdn/shop/products/Malco-UFWM-Oil-Filter-Wrench-440x440.jpg?v=1668259549")</f>
        <v>#NAME?</v>
      </c>
      <c r="H1954" t="e">
        <f ca="1">_xludf.IMAGE("https://m.media-amazon.com/images/I/61emhZ2yLVL._AC_UL320_.jpg")</f>
        <v>#NAME?</v>
      </c>
      <c r="I1954" t="s">
        <v>1786</v>
      </c>
      <c r="J1954">
        <v>19.989999999999998</v>
      </c>
      <c r="K1954" s="4">
        <v>-0.20960000000000001</v>
      </c>
      <c r="L1954">
        <v>4.7</v>
      </c>
      <c r="M1954">
        <v>114</v>
      </c>
      <c r="O1954" t="s">
        <v>25</v>
      </c>
      <c r="P1954" t="s">
        <v>138</v>
      </c>
      <c r="Q1954" t="s">
        <v>5303</v>
      </c>
    </row>
    <row r="1955" spans="1:17" ht="15.5" x14ac:dyDescent="0.35">
      <c r="A1955" s="3" t="str">
        <f>HYPERLINK("https://edmondsonsupply.com/collections/hvac/products/malco-tools-ufwm-universal-oil-filter-wrench", "https://edmondsonsupply.com/collections/hvac/products/malco-tools-ufwm-universal-oil-filter-wrench")</f>
        <v>https://edmondsonsupply.com/collections/hvac/products/malco-tools-ufwm-universal-oil-filter-wrench</v>
      </c>
      <c r="B1955" s="3" t="str">
        <f>HYPERLINK("https://edmondsonsupply.com/products/malco-tools-ufwm-universal-oil-filter-wrench", "https://edmondsonsupply.com/products/malco-tools-ufwm-universal-oil-filter-wrench")</f>
        <v>https://edmondsonsupply.com/products/malco-tools-ufwm-universal-oil-filter-wrench</v>
      </c>
      <c r="C1955" t="s">
        <v>5300</v>
      </c>
      <c r="D1955" t="s">
        <v>5304</v>
      </c>
      <c r="E1955" s="3" t="str">
        <f>HYPERLINK("https://www.amazon.com/BILITOOLS-Universal-Removal-Adjustable-2-36-3-15/dp/B0B616T1BJ/ref=sr_1_4?keywords=Malco+Tools+UFWM+Universal+Oil+Filter+Wrench&amp;qid=1695173503&amp;sr=8-4", "https://www.amazon.com/BILITOOLS-Universal-Removal-Adjustable-2-36-3-15/dp/B0B616T1BJ/ref=sr_1_4?keywords=Malco+Tools+UFWM+Universal+Oil+Filter+Wrench&amp;qid=1695173503&amp;sr=8-4")</f>
        <v>https://www.amazon.com/BILITOOLS-Universal-Removal-Adjustable-2-36-3-15/dp/B0B616T1BJ/ref=sr_1_4?keywords=Malco+Tools+UFWM+Universal+Oil+Filter+Wrench&amp;qid=1695173503&amp;sr=8-4</v>
      </c>
      <c r="F1955" t="s">
        <v>5305</v>
      </c>
      <c r="G1955" t="e">
        <f ca="1">_xludf.IMAGE("https://edmondsonsupply.com/cdn/shop/products/Malco-UFWM-Oil-Filter-Wrench-440x440.jpg?v=1668259549")</f>
        <v>#NAME?</v>
      </c>
      <c r="H1955" t="e">
        <f ca="1">_xludf.IMAGE("https://m.media-amazon.com/images/I/61wxQaH2CzL._AC_UL320_.jpg")</f>
        <v>#NAME?</v>
      </c>
      <c r="I1955" t="s">
        <v>1786</v>
      </c>
      <c r="J1955">
        <v>19.989999999999998</v>
      </c>
      <c r="K1955" s="4">
        <v>-0.20960000000000001</v>
      </c>
      <c r="L1955">
        <v>4.0999999999999996</v>
      </c>
      <c r="M1955">
        <v>248</v>
      </c>
      <c r="O1955" t="s">
        <v>25</v>
      </c>
      <c r="P1955" t="s">
        <v>138</v>
      </c>
      <c r="Q1955" t="s">
        <v>5303</v>
      </c>
    </row>
    <row r="1956" spans="1:17" ht="15.5" x14ac:dyDescent="0.35">
      <c r="A1956" s="3" t="str">
        <f>HYPERLINK("https://edmondsonsupply.com/collections/hvac/products/klein-tools-pnd-12-5-1-2-inch-power-nut-driver-5-inch-length", "https://edmondsonsupply.com/collections/hvac/products/klein-tools-pnd-12-5-1-2-inch-power-nut-driver-5-inch-length")</f>
        <v>https://edmondsonsupply.com/collections/hvac/products/klein-tools-pnd-12-5-1-2-inch-power-nut-driver-5-inch-length</v>
      </c>
      <c r="B1956" s="3" t="str">
        <f>HYPERLINK("https://edmondsonsupply.com/products/klein-tools-pnd-12-5-1-2-inch-power-nut-driver-5-inch-length", "https://edmondsonsupply.com/products/klein-tools-pnd-12-5-1-2-inch-power-nut-driver-5-inch-length")</f>
        <v>https://edmondsonsupply.com/products/klein-tools-pnd-12-5-1-2-inch-power-nut-driver-5-inch-length</v>
      </c>
      <c r="C1956" t="s">
        <v>1684</v>
      </c>
      <c r="D1956" t="s">
        <v>5306</v>
      </c>
      <c r="E1956" s="3" t="str">
        <f>HYPERLINK("https://www.amazon.com/2-Inch-Heavy-Duty-Driver-Klein-Tools/dp/B01D6CWLG4/ref=sr_1_3?keywords=Klein+Tools+PND-12-5+1%2F2-Inch+Power+Nut+Driver+5-Inch+Length&amp;qid=1695173525&amp;sr=8-3", "https://www.amazon.com/2-Inch-Heavy-Duty-Driver-Klein-Tools/dp/B01D6CWLG4/ref=sr_1_3?keywords=Klein+Tools+PND-12-5+1%2F2-Inch+Power+Nut+Driver+5-Inch+Length&amp;qid=1695173525&amp;sr=8-3")</f>
        <v>https://www.amazon.com/2-Inch-Heavy-Duty-Driver-Klein-Tools/dp/B01D6CWLG4/ref=sr_1_3?keywords=Klein+Tools+PND-12-5+1%2F2-Inch+Power+Nut+Driver+5-Inch+Length&amp;qid=1695173525&amp;sr=8-3</v>
      </c>
      <c r="F1956" t="s">
        <v>5307</v>
      </c>
      <c r="G1956" t="e">
        <f ca="1">_xludf.IMAGE("https://edmondsonsupply.com/cdn/shop/products/pnd125.jpg?v=1633031028")</f>
        <v>#NAME?</v>
      </c>
      <c r="H1956" t="e">
        <f ca="1">_xludf.IMAGE("https://m.media-amazon.com/images/I/41C1xU9OvML._AC_UL320_.jpg")</f>
        <v>#NAME?</v>
      </c>
      <c r="I1956" t="s">
        <v>1687</v>
      </c>
      <c r="J1956">
        <v>14.99</v>
      </c>
      <c r="K1956" s="4">
        <v>-0.21060000000000001</v>
      </c>
      <c r="L1956">
        <v>4.7</v>
      </c>
      <c r="M1956">
        <v>971</v>
      </c>
      <c r="O1956" t="s">
        <v>25</v>
      </c>
      <c r="P1956" t="s">
        <v>1688</v>
      </c>
      <c r="Q1956" t="s">
        <v>1689</v>
      </c>
    </row>
    <row r="1957" spans="1:17" ht="15.5" x14ac:dyDescent="0.35">
      <c r="A1957" s="3" t="str">
        <f>HYPERLINK("https://edmondsonsupply.com/collections/hvac/products/malco-tools-lp10r-eagle-grip-10-straight-jaw-locking-pliers", "https://edmondsonsupply.com/collections/hvac/products/malco-tools-lp10r-eagle-grip-10-straight-jaw-locking-pliers")</f>
        <v>https://edmondsonsupply.com/collections/hvac/products/malco-tools-lp10r-eagle-grip-10-straight-jaw-locking-pliers</v>
      </c>
      <c r="B1957" s="3" t="str">
        <f>HYPERLINK("https://edmondsonsupply.com/products/malco-tools-lp10r-eagle-grip-10-straight-jaw-locking-pliers", "https://edmondsonsupply.com/products/malco-tools-lp10r-eagle-grip-10-straight-jaw-locking-pliers")</f>
        <v>https://edmondsonsupply.com/products/malco-tools-lp10r-eagle-grip-10-straight-jaw-locking-pliers</v>
      </c>
      <c r="C1957" t="s">
        <v>5308</v>
      </c>
      <c r="D1957" t="s">
        <v>5309</v>
      </c>
      <c r="E1957" s="3" t="str">
        <f>HYPERLINK("https://www.amazon.com/Malco-LP10R-Straight-Locking-Pliers/dp/B0924S76Q1/ref=sr_1_1?keywords=Malco+Tools+LP10R+Eagle+Grip+10%E2%80%B3+Straight+Jaw+Locking+Pliers&amp;qid=1695173549&amp;sr=8-1", "https://www.amazon.com/Malco-LP10R-Straight-Locking-Pliers/dp/B0924S76Q1/ref=sr_1_1?keywords=Malco+Tools+LP10R+Eagle+Grip+10%E2%80%B3+Straight+Jaw+Locking+Pliers&amp;qid=1695173549&amp;sr=8-1")</f>
        <v>https://www.amazon.com/Malco-LP10R-Straight-Locking-Pliers/dp/B0924S76Q1/ref=sr_1_1?keywords=Malco+Tools+LP10R+Eagle+Grip+10%E2%80%B3+Straight+Jaw+Locking+Pliers&amp;qid=1695173549&amp;sr=8-1</v>
      </c>
      <c r="F1957" t="s">
        <v>5310</v>
      </c>
      <c r="G1957" t="e">
        <f ca="1">_xludf.IMAGE("https://edmondsonsupply.com/cdn/shop/products/LP10R-eagle-grip-locking-pliers-in-hand.jpg?v=1657292451")</f>
        <v>#NAME?</v>
      </c>
      <c r="H1957" t="e">
        <f ca="1">_xludf.IMAGE("https://m.media-amazon.com/images/I/61SIQpDauuS._AC_UL320_.jpg")</f>
        <v>#NAME?</v>
      </c>
      <c r="I1957" t="s">
        <v>5311</v>
      </c>
      <c r="J1957">
        <v>43.95</v>
      </c>
      <c r="K1957" s="4">
        <v>-0.215</v>
      </c>
      <c r="L1957">
        <v>5</v>
      </c>
      <c r="M1957">
        <v>189</v>
      </c>
      <c r="O1957" t="s">
        <v>25</v>
      </c>
      <c r="P1957" t="s">
        <v>5312</v>
      </c>
      <c r="Q1957" t="s">
        <v>5313</v>
      </c>
    </row>
    <row r="1958" spans="1:17" ht="15.5" x14ac:dyDescent="0.35">
      <c r="A1958" s="3" t="str">
        <f>HYPERLINK("https://edmondsonsupply.com/collections/hvac/products/klein-tools-d2000-28glw-diagonal-cutting-pliers-hi-viz-8-inch", "https://edmondsonsupply.com/collections/hvac/products/klein-tools-d2000-28glw-diagonal-cutting-pliers-hi-viz-8-inch")</f>
        <v>https://edmondsonsupply.com/collections/hvac/products/klein-tools-d2000-28glw-diagonal-cutting-pliers-hi-viz-8-inch</v>
      </c>
      <c r="B1958" s="3" t="str">
        <f>HYPERLINK("https://edmondsonsupply.com/products/klein-tools-d2000-28glw-diagonal-cutting-pliers-hi-viz-8-inch", "https://edmondsonsupply.com/products/klein-tools-d2000-28glw-diagonal-cutting-pliers-hi-viz-8-inch")</f>
        <v>https://edmondsonsupply.com/products/klein-tools-d2000-28glw-diagonal-cutting-pliers-hi-viz-8-inch</v>
      </c>
      <c r="C1958" t="s">
        <v>4233</v>
      </c>
      <c r="D1958" t="s">
        <v>5314</v>
      </c>
      <c r="E1958" s="3" t="str">
        <f>HYPERLINK("https://www.amazon.com/Klein-Tools-D248-8-Leverage-Diagonal/dp/B0000302W8/ref=sr_1_10?keywords=Klein+Tools+D200028GLW+Diagonal+Cutting+Pliers%2C+High-Visibility%2C+8-Inch&amp;qid=1695173646&amp;sr=8-10", "https://www.amazon.com/Klein-Tools-D248-8-Leverage-Diagonal/dp/B0000302W8/ref=sr_1_10?keywords=Klein+Tools+D200028GLW+Diagonal+Cutting+Pliers%2C+High-Visibility%2C+8-Inch&amp;qid=1695173646&amp;sr=8-10")</f>
        <v>https://www.amazon.com/Klein-Tools-D248-8-Leverage-Diagonal/dp/B0000302W8/ref=sr_1_10?keywords=Klein+Tools+D200028GLW+Diagonal+Cutting+Pliers%2C+High-Visibility%2C+8-Inch&amp;qid=1695173646&amp;sr=8-10</v>
      </c>
      <c r="F1958" t="s">
        <v>5315</v>
      </c>
      <c r="G1958" t="e">
        <f ca="1">_xludf.IMAGE("https://edmondsonsupply.com/cdn/shop/products/d200028glw.jpg?v=1633030701")</f>
        <v>#NAME?</v>
      </c>
      <c r="H1958" t="e">
        <f ca="1">_xludf.IMAGE("https://m.media-amazon.com/images/I/41KAmcIzVBL._AC_UL320_.jpg")</f>
        <v>#NAME?</v>
      </c>
      <c r="I1958" t="s">
        <v>67</v>
      </c>
      <c r="J1958">
        <v>29.38</v>
      </c>
      <c r="K1958" s="4">
        <v>-0.21629999999999999</v>
      </c>
      <c r="L1958">
        <v>4.8</v>
      </c>
      <c r="M1958">
        <v>2417</v>
      </c>
      <c r="O1958" t="s">
        <v>25</v>
      </c>
      <c r="P1958" t="s">
        <v>4236</v>
      </c>
      <c r="Q1958" t="s">
        <v>4237</v>
      </c>
    </row>
    <row r="1959" spans="1:17" ht="15.5" x14ac:dyDescent="0.35">
      <c r="A1959"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1959"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1959" t="s">
        <v>2903</v>
      </c>
      <c r="D1959" t="s">
        <v>5316</v>
      </c>
      <c r="E1959" s="3" t="str">
        <f>HYPERLINK("https://www.amazon.com/Diablo-SDS-Max-4-Cutter-Carbide-Hammer/dp/B089KWP4WK/ref=sr_1_4?keywords=Diablo+Tools+DMAMX1300+1-1%2F4+in.+x+16+in.+x+21+in.+Rebar+Demon%E2%84%A2+SDS-Max+4-Cutter+Full+Carbide+Head+Hammer+Drill+Bit&amp;qid=1695173488&amp;sr=8-4", "https://www.amazon.com/Diablo-SDS-Max-4-Cutter-Carbide-Hammer/dp/B089KWP4WK/ref=sr_1_4?keywords=Diablo+Tools+DMAMX1300+1-1%2F4+in.+x+16+in.+x+21+in.+Rebar+Demon%E2%84%A2+SDS-Max+4-Cutter+Full+Carbide+Head+Hammer+Drill+Bit&amp;qid=1695173488&amp;sr=8-4")</f>
        <v>https://www.amazon.com/Diablo-SDS-Max-4-Cutter-Carbide-Hammer/dp/B089KWP4WK/ref=sr_1_4?keywords=Diablo+Tools+DMAMX1300+1-1%2F4+in.+x+16+in.+x+21+in.+Rebar+Demon%E2%84%A2+SDS-Max+4-Cutter+Full+Carbide+Head+Hammer+Drill+Bit&amp;qid=1695173488&amp;sr=8-4</v>
      </c>
      <c r="F1959" t="s">
        <v>5317</v>
      </c>
      <c r="G1959" t="e">
        <f ca="1">_xludf.IMAGE("https://edmondsonsupply.com/cdn/shop/files/immoyh7jjmbau4fzhuq6_7dd7fd73-2865-4c12-9443-da45b48dbd51.webp?v=1685465465")</f>
        <v>#NAME?</v>
      </c>
      <c r="H1959" t="e">
        <f ca="1">_xludf.IMAGE("https://m.media-amazon.com/images/I/61yWWNP1xrL._AC_UL320_.jpg")</f>
        <v>#NAME?</v>
      </c>
      <c r="I1959" t="s">
        <v>2906</v>
      </c>
      <c r="J1959">
        <v>51.96</v>
      </c>
      <c r="K1959" s="4">
        <v>-0.2175</v>
      </c>
      <c r="L1959">
        <v>5</v>
      </c>
      <c r="M1959">
        <v>9</v>
      </c>
      <c r="O1959" t="s">
        <v>171</v>
      </c>
      <c r="P1959" t="s">
        <v>2907</v>
      </c>
      <c r="Q1959" t="s">
        <v>2908</v>
      </c>
    </row>
    <row r="1960" spans="1:17" ht="15.5" x14ac:dyDescent="0.35">
      <c r="A1960" s="3" t="str">
        <f>HYPERLINK("https://edmondsonsupply.com/collections/hvac/products/5-2-1-csru1", "https://edmondsonsupply.com/collections/hvac/products/5-2-1-csru1")</f>
        <v>https://edmondsonsupply.com/collections/hvac/products/5-2-1-csru1</v>
      </c>
      <c r="B1960" s="3" t="str">
        <f>HYPERLINK("https://edmondsonsupply.com/products/5-2-1-csru1", "https://edmondsonsupply.com/products/5-2-1-csru1")</f>
        <v>https://edmondsonsupply.com/products/5-2-1-csru1</v>
      </c>
      <c r="C1960" t="s">
        <v>3321</v>
      </c>
      <c r="D1960" t="s">
        <v>5318</v>
      </c>
      <c r="E1960" s="3" t="str">
        <f>HYPERLINK("https://www.amazon.com/Upgraded-Compressor-Starter-Capacitor-Warranty/dp/B0B5WQJT62/ref=sr_1_4?keywords=5-2-1+CSRU1+Compressor+Saver%2C+1+to+3+Tons&amp;qid=1695173572&amp;sr=8-4", "https://www.amazon.com/Upgraded-Compressor-Starter-Capacitor-Warranty/dp/B0B5WQJT62/ref=sr_1_4?keywords=5-2-1+CSRU1+Compressor+Saver%2C+1+to+3+Tons&amp;qid=1695173572&amp;sr=8-4")</f>
        <v>https://www.amazon.com/Upgraded-Compressor-Starter-Capacitor-Warranty/dp/B0B5WQJT62/ref=sr_1_4?keywords=5-2-1+CSRU1+Compressor+Saver%2C+1+to+3+Tons&amp;qid=1695173572&amp;sr=8-4</v>
      </c>
      <c r="F1960" t="s">
        <v>5319</v>
      </c>
      <c r="G1960" t="e">
        <f ca="1">_xludf.IMAGE("https://edmondsonsupply.com/cdn/shop/products/CSRU1.jpg?v=1633030087")</f>
        <v>#NAME?</v>
      </c>
      <c r="H1960" t="e">
        <f ca="1">_xludf.IMAGE("https://m.media-amazon.com/images/I/61F-rQtiiDL._AC_UL320_.jpg")</f>
        <v>#NAME?</v>
      </c>
      <c r="I1960" t="s">
        <v>3324</v>
      </c>
      <c r="J1960">
        <v>26.99</v>
      </c>
      <c r="K1960" s="4">
        <v>-0.22040000000000001</v>
      </c>
      <c r="L1960">
        <v>4.4000000000000004</v>
      </c>
      <c r="M1960">
        <v>42</v>
      </c>
      <c r="O1960" t="s">
        <v>25</v>
      </c>
      <c r="P1960" t="s">
        <v>1307</v>
      </c>
      <c r="Q1960" t="s">
        <v>3325</v>
      </c>
    </row>
    <row r="1961" spans="1:17" ht="15.5" x14ac:dyDescent="0.35">
      <c r="A1961" s="3" t="str">
        <f>HYPERLINK("https://edmondsonsupply.com/collections/hvac/products/klein-tools-2138neeins-insulated-pliers-slim-handle-side-cutters-8-inch", "https://edmondsonsupply.com/collections/hvac/products/klein-tools-2138neeins-insulated-pliers-slim-handle-side-cutters-8-inch")</f>
        <v>https://edmondsonsupply.com/collections/hvac/products/klein-tools-2138neeins-insulated-pliers-slim-handle-side-cutters-8-inch</v>
      </c>
      <c r="B1961"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1961" t="s">
        <v>5004</v>
      </c>
      <c r="D1961" t="s">
        <v>5320</v>
      </c>
      <c r="E1961" s="3" t="str">
        <f>HYPERLINK("https://www.amazon.com/Klein-Tools-200028EINS-Electricians-Insulated/dp/B00JGG5P86/ref=sr_1_3?keywords=Klein+Tools+2138NEEINS+Insulated+Pliers%2C+Slim+Handle+Side+Cutters%2C+8-Inch&amp;qid=1695173693&amp;sr=8-3", "https://www.amazon.com/Klein-Tools-200028EINS-Electricians-Insulated/dp/B00JGG5P86/ref=sr_1_3?keywords=Klein+Tools+2138NEEINS+Insulated+Pliers%2C+Slim+Handle+Side+Cutters%2C+8-Inch&amp;qid=1695173693&amp;sr=8-3")</f>
        <v>https://www.amazon.com/Klein-Tools-200028EINS-Electricians-Insulated/dp/B00JGG5P86/ref=sr_1_3?keywords=Klein+Tools+2138NEEINS+Insulated+Pliers%2C+Slim+Handle+Side+Cutters%2C+8-Inch&amp;qid=1695173693&amp;sr=8-3</v>
      </c>
      <c r="F1961" t="s">
        <v>5321</v>
      </c>
      <c r="G1961" t="e">
        <f ca="1">_xludf.IMAGE("https://edmondsonsupply.com/cdn/shop/files/2138neeins.jpg?v=1694611719")</f>
        <v>#NAME?</v>
      </c>
      <c r="H1961" t="e">
        <f ca="1">_xludf.IMAGE("https://m.media-amazon.com/images/I/51cA-etI6LL._AC_UL320_.jpg")</f>
        <v>#NAME?</v>
      </c>
      <c r="I1961" t="s">
        <v>588</v>
      </c>
      <c r="J1961">
        <v>54.55</v>
      </c>
      <c r="K1961" s="4">
        <v>-0.22059999999999999</v>
      </c>
      <c r="L1961">
        <v>4.4000000000000004</v>
      </c>
      <c r="M1961">
        <v>68</v>
      </c>
      <c r="O1961" t="s">
        <v>25</v>
      </c>
      <c r="P1961" t="s">
        <v>5007</v>
      </c>
      <c r="Q1961" t="s">
        <v>5008</v>
      </c>
    </row>
    <row r="1962" spans="1:17" ht="15.5" x14ac:dyDescent="0.35">
      <c r="A1962" s="3" t="str">
        <f>HYPERLINK("https://edmondsonsupply.com/collections/hvac/products/klein-tools-1010-long-nose-multi-purpose-tool", "https://edmondsonsupply.com/collections/hvac/products/klein-tools-1010-long-nose-multi-purpose-tool")</f>
        <v>https://edmondsonsupply.com/collections/hvac/products/klein-tools-1010-long-nose-multi-purpose-tool</v>
      </c>
      <c r="B1962" s="3" t="str">
        <f>HYPERLINK("https://edmondsonsupply.com/products/klein-tools-1010-long-nose-multi-purpose-tool", "https://edmondsonsupply.com/products/klein-tools-1010-long-nose-multi-purpose-tool")</f>
        <v>https://edmondsonsupply.com/products/klein-tools-1010-long-nose-multi-purpose-tool</v>
      </c>
      <c r="C1962" t="s">
        <v>5322</v>
      </c>
      <c r="D1962" t="s">
        <v>5323</v>
      </c>
      <c r="E1962" s="3" t="str">
        <f>HYPERLINK("https://www.amazon.com/Klein-Tools-1001-Multi-Purpose-Electricians/dp/B000EVLUR2/ref=sr_1_3?keywords=Klein+Tools+1010+Long+Nose+Multi+Tool+Wire+Stripper%2C+Wire+Cutters%2C+Crimping+Tool&amp;qid=1695173656&amp;sr=8-3", "https://www.amazon.com/Klein-Tools-1001-Multi-Purpose-Electricians/dp/B000EVLUR2/ref=sr_1_3?keywords=Klein+Tools+1010+Long+Nose+Multi+Tool+Wire+Stripper%2C+Wire+Cutters%2C+Crimping+Tool&amp;qid=1695173656&amp;sr=8-3")</f>
        <v>https://www.amazon.com/Klein-Tools-1001-Multi-Purpose-Electricians/dp/B000EVLUR2/ref=sr_1_3?keywords=Klein+Tools+1010+Long+Nose+Multi+Tool+Wire+Stripper%2C+Wire+Cutters%2C+Crimping+Tool&amp;qid=1695173656&amp;sr=8-3</v>
      </c>
      <c r="F1962" t="s">
        <v>5324</v>
      </c>
      <c r="G1962" t="e">
        <f ca="1">_xludf.IMAGE("https://edmondsonsupply.com/cdn/shop/products/1010.jpg?v=1587145604")</f>
        <v>#NAME?</v>
      </c>
      <c r="H1962" t="e">
        <f ca="1">_xludf.IMAGE("https://m.media-amazon.com/images/I/51Df2gzkHqL._AC_UL320_.jpg")</f>
        <v>#NAME?</v>
      </c>
      <c r="I1962" t="s">
        <v>5325</v>
      </c>
      <c r="J1962">
        <v>25.99</v>
      </c>
      <c r="K1962" s="4">
        <v>-0.22090000000000001</v>
      </c>
      <c r="L1962">
        <v>4.5</v>
      </c>
      <c r="M1962">
        <v>476</v>
      </c>
      <c r="O1962" t="s">
        <v>25</v>
      </c>
      <c r="P1962" t="s">
        <v>138</v>
      </c>
      <c r="Q1962" t="s">
        <v>5326</v>
      </c>
    </row>
    <row r="1963" spans="1:17" ht="15.5" x14ac:dyDescent="0.35">
      <c r="A1963" s="3" t="str">
        <f>HYPERLINK("https://edmondsonsupply.com/collections/hvac/products/rectorseal-83919-aspen-maxi-orange-univ-pump-100-250v", "https://edmondsonsupply.com/collections/hvac/products/rectorseal-83919-aspen-maxi-orange-univ-pump-100-250v")</f>
        <v>https://edmondsonsupply.com/collections/hvac/products/rectorseal-83919-aspen-maxi-orange-univ-pump-100-250v</v>
      </c>
      <c r="B1963" s="3" t="str">
        <f>HYPERLINK("https://edmondsonsupply.com/products/rectorseal-83919-aspen-maxi-orange-univ-pump-100-250v", "https://edmondsonsupply.com/products/rectorseal-83919-aspen-maxi-orange-univ-pump-100-250v")</f>
        <v>https://edmondsonsupply.com/products/rectorseal-83919-aspen-maxi-orange-univ-pump-100-250v</v>
      </c>
      <c r="C1963" t="s">
        <v>5327</v>
      </c>
      <c r="D1963" t="s">
        <v>5328</v>
      </c>
      <c r="E1963" s="3" t="str">
        <f>HYPERLINK("https://www.amazon.com/Rectorseal-83919-Aspen-Orange-Condensate/dp/B00KBP6UQ2/ref=sr_1_1?keywords=Rectorseal+83919+Aspen+Maxi+Orange+Univ+Pump+100-250V&amp;qid=1695173731&amp;sr=8-1", "https://www.amazon.com/Rectorseal-83919-Aspen-Orange-Condensate/dp/B00KBP6UQ2/ref=sr_1_1?keywords=Rectorseal+83919+Aspen+Maxi+Orange+Univ+Pump+100-250V&amp;qid=1695173731&amp;sr=8-1")</f>
        <v>https://www.amazon.com/Rectorseal-83919-Aspen-Orange-Condensate/dp/B00KBP6UQ2/ref=sr_1_1?keywords=Rectorseal+83919+Aspen+Maxi+Orange+Univ+Pump+100-250V&amp;qid=1695173731&amp;sr=8-1</v>
      </c>
      <c r="F1963" t="s">
        <v>5329</v>
      </c>
      <c r="G1963" t="e">
        <f ca="1">_xludf.IMAGE("https://edmondsonsupply.com/cdn/shop/files/83919.png?v=1690562761")</f>
        <v>#NAME?</v>
      </c>
      <c r="H1963" t="e">
        <f ca="1">_xludf.IMAGE("https://m.media-amazon.com/images/I/614diwuxJWL._AC_UL320_.jpg")</f>
        <v>#NAME?</v>
      </c>
      <c r="I1963" t="s">
        <v>5330</v>
      </c>
      <c r="J1963">
        <v>181.91</v>
      </c>
      <c r="K1963" s="4">
        <v>-0.221</v>
      </c>
      <c r="L1963">
        <v>4.2</v>
      </c>
      <c r="M1963">
        <v>50</v>
      </c>
      <c r="O1963" t="s">
        <v>25</v>
      </c>
      <c r="P1963" t="s">
        <v>138</v>
      </c>
      <c r="Q1963" t="s">
        <v>5331</v>
      </c>
    </row>
    <row r="1964" spans="1:17" ht="15.5" x14ac:dyDescent="0.35">
      <c r="A1964"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1964"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1964" t="s">
        <v>4105</v>
      </c>
      <c r="D1964" t="s">
        <v>5332</v>
      </c>
      <c r="E1964" s="3" t="str">
        <f>HYPERLINK("https://www.amazon.com/Leverage-46-Percent-Gripping-Klein-Tools/dp/B0000302W6/ref=sr_1_3?keywords=Klein+Tools+D20009NEGLW+High-Visibility+Side-Cutting+Pliers+High-Leverage&amp;qid=1695173666&amp;sr=8-3", "https://www.amazon.com/Leverage-46-Percent-Gripping-Klein-Tools/dp/B0000302W6/ref=sr_1_3?keywords=Klein+Tools+D20009NEGLW+High-Visibility+Side-Cutting+Pliers+High-Leverage&amp;qid=1695173666&amp;sr=8-3")</f>
        <v>https://www.amazon.com/Leverage-46-Percent-Gripping-Klein-Tools/dp/B0000302W6/ref=sr_1_3?keywords=Klein+Tools+D20009NEGLW+High-Visibility+Side-Cutting+Pliers+High-Leverage&amp;qid=1695173666&amp;sr=8-3</v>
      </c>
      <c r="F1964" t="s">
        <v>5333</v>
      </c>
      <c r="G1964" t="e">
        <f ca="1">_xludf.IMAGE("https://edmondsonsupply.com/cdn/shop/products/d20009neglw.jpg?v=1587144933")</f>
        <v>#NAME?</v>
      </c>
      <c r="H1964" t="e">
        <f ca="1">_xludf.IMAGE("https://m.media-amazon.com/images/I/51D7tdNTj7L._AC_UL320_.jpg")</f>
        <v>#NAME?</v>
      </c>
      <c r="I1964" t="s">
        <v>4108</v>
      </c>
      <c r="J1964">
        <v>34.97</v>
      </c>
      <c r="K1964" s="4">
        <v>-0.22239999999999999</v>
      </c>
      <c r="L1964">
        <v>4.8</v>
      </c>
      <c r="M1964">
        <v>4121</v>
      </c>
      <c r="O1964" t="s">
        <v>25</v>
      </c>
      <c r="P1964" t="s">
        <v>4109</v>
      </c>
      <c r="Q1964" t="s">
        <v>4110</v>
      </c>
    </row>
    <row r="1965" spans="1:17" ht="15.5" x14ac:dyDescent="0.35">
      <c r="A1965"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1965"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1965" t="s">
        <v>4105</v>
      </c>
      <c r="D1965" t="s">
        <v>5015</v>
      </c>
      <c r="E1965" s="3" t="str">
        <f>HYPERLINK("https://www.amazon.com/Diagonal-Linemans-Klein-Tools-D2000-48/dp/B0000302WZ/ref=sr_1_9?keywords=Klein+Tools+D20009NEGLW+High-Visibility+Side-Cutting+Pliers+High-Leverage&amp;qid=1695173666&amp;sr=8-9", "https://www.amazon.com/Diagonal-Linemans-Klein-Tools-D2000-48/dp/B0000302WZ/ref=sr_1_9?keywords=Klein+Tools+D20009NEGLW+High-Visibility+Side-Cutting+Pliers+High-Leverage&amp;qid=1695173666&amp;sr=8-9")</f>
        <v>https://www.amazon.com/Diagonal-Linemans-Klein-Tools-D2000-48/dp/B0000302WZ/ref=sr_1_9?keywords=Klein+Tools+D20009NEGLW+High-Visibility+Side-Cutting+Pliers+High-Leverage&amp;qid=1695173666&amp;sr=8-9</v>
      </c>
      <c r="F1965" t="s">
        <v>5016</v>
      </c>
      <c r="G1965" t="e">
        <f ca="1">_xludf.IMAGE("https://edmondsonsupply.com/cdn/shop/products/d20009neglw.jpg?v=1587144933")</f>
        <v>#NAME?</v>
      </c>
      <c r="H1965" t="e">
        <f ca="1">_xludf.IMAGE("https://m.media-amazon.com/images/I/41Y+q+BsIsL._AC_UL320_.jpg")</f>
        <v>#NAME?</v>
      </c>
      <c r="I1965" t="s">
        <v>4108</v>
      </c>
      <c r="J1965">
        <v>34.97</v>
      </c>
      <c r="K1965" s="4">
        <v>-0.22239999999999999</v>
      </c>
      <c r="L1965">
        <v>4.7</v>
      </c>
      <c r="M1965">
        <v>530</v>
      </c>
      <c r="O1965" t="s">
        <v>25</v>
      </c>
      <c r="P1965" t="s">
        <v>4109</v>
      </c>
      <c r="Q1965" t="s">
        <v>4110</v>
      </c>
    </row>
    <row r="1966" spans="1:17" ht="15.5" x14ac:dyDescent="0.35">
      <c r="A1966" s="3" t="str">
        <f>HYPERLINK("https://edmondsonsupply.com/collections/hvac/products/midwest-mwt-6510l-left-offset-aviation-snip", "https://edmondsonsupply.com/collections/hvac/products/midwest-mwt-6510l-left-offset-aviation-snip")</f>
        <v>https://edmondsonsupply.com/collections/hvac/products/midwest-mwt-6510l-left-offset-aviation-snip</v>
      </c>
      <c r="B1966" s="3" t="str">
        <f>HYPERLINK("https://edmondsonsupply.com/products/midwest-mwt-6510l-left-offset-aviation-snip", "https://edmondsonsupply.com/products/midwest-mwt-6510l-left-offset-aviation-snip")</f>
        <v>https://edmondsonsupply.com/products/midwest-mwt-6510l-left-offset-aviation-snip</v>
      </c>
      <c r="C1966" t="s">
        <v>2023</v>
      </c>
      <c r="D1966" t="s">
        <v>5285</v>
      </c>
      <c r="E1966" s="3" t="str">
        <f>HYPERLINK("https://www.amazon.com/MIDWEST-Aviation-Snip-KUSHN-POWER-MWT-6716L/dp/B00OCGQFT8/ref=sr_1_6?keywords=Midwest+MWT-6510L+Left+Offset+Aviation+Snip&amp;qid=1695173407&amp;sr=8-6", "https://www.amazon.com/MIDWEST-Aviation-Snip-KUSHN-POWER-MWT-6716L/dp/B00OCGQFT8/ref=sr_1_6?keywords=Midwest+MWT-6510L+Left+Offset+Aviation+Snip&amp;qid=1695173407&amp;sr=8-6")</f>
        <v>https://www.amazon.com/MIDWEST-Aviation-Snip-KUSHN-POWER-MWT-6716L/dp/B00OCGQFT8/ref=sr_1_6?keywords=Midwest+MWT-6510L+Left+Offset+Aviation+Snip&amp;qid=1695173407&amp;sr=8-6</v>
      </c>
      <c r="F1966" t="s">
        <v>5286</v>
      </c>
      <c r="G1966" t="e">
        <f ca="1">_xludf.IMAGE("https://edmondsonsupply.com/cdn/shop/products/mwt-6510l.png?v=1587142880")</f>
        <v>#NAME?</v>
      </c>
      <c r="H1966" t="e">
        <f ca="1">_xludf.IMAGE("https://m.media-amazon.com/images/I/61DrWSZKjcL._AC_UL320_.jpg")</f>
        <v>#NAME?</v>
      </c>
      <c r="I1966" t="s">
        <v>362</v>
      </c>
      <c r="J1966">
        <v>20.21</v>
      </c>
      <c r="K1966" s="4">
        <v>-0.22239999999999999</v>
      </c>
      <c r="L1966">
        <v>4.4000000000000004</v>
      </c>
      <c r="M1966">
        <v>575</v>
      </c>
      <c r="O1966" t="s">
        <v>25</v>
      </c>
      <c r="P1966" t="s">
        <v>260</v>
      </c>
      <c r="Q1966" t="s">
        <v>2026</v>
      </c>
    </row>
    <row r="1967" spans="1:17" ht="15.5" x14ac:dyDescent="0.35">
      <c r="A1967" s="3" t="str">
        <f>HYPERLINK("https://edmondsonsupply.com/collections/hvac/products/midwest-mwt-6900l-upright-left-cutting-offset-aviation-snip", "https://edmondsonsupply.com/collections/hvac/products/midwest-mwt-6900l-upright-left-cutting-offset-aviation-snip")</f>
        <v>https://edmondsonsupply.com/collections/hvac/products/midwest-mwt-6900l-upright-left-cutting-offset-aviation-snip</v>
      </c>
      <c r="B1967" s="3" t="str">
        <f>HYPERLINK("https://edmondsonsupply.com/products/midwest-mwt-6900l-upright-left-cutting-offset-aviation-snip", "https://edmondsonsupply.com/products/midwest-mwt-6900l-upright-left-cutting-offset-aviation-snip")</f>
        <v>https://edmondsonsupply.com/products/midwest-mwt-6900l-upright-left-cutting-offset-aviation-snip</v>
      </c>
      <c r="C1967" t="s">
        <v>1819</v>
      </c>
      <c r="D1967" t="s">
        <v>5285</v>
      </c>
      <c r="E1967" s="3" t="str">
        <f>HYPERLINK("https://www.amazon.com/MIDWEST-Aviation-Snip-KUSHN-POWER-MWT-6716L/dp/B00OCGQFT8/ref=sr_1_3?keywords=Midwest+MWT-6900L+Upright+Left-Cutting+Aviation+Snip&amp;qid=1695173421&amp;sr=8-3", "https://www.amazon.com/MIDWEST-Aviation-Snip-KUSHN-POWER-MWT-6716L/dp/B00OCGQFT8/ref=sr_1_3?keywords=Midwest+MWT-6900L+Upright+Left-Cutting+Aviation+Snip&amp;qid=1695173421&amp;sr=8-3")</f>
        <v>https://www.amazon.com/MIDWEST-Aviation-Snip-KUSHN-POWER-MWT-6716L/dp/B00OCGQFT8/ref=sr_1_3?keywords=Midwest+MWT-6900L+Upright+Left-Cutting+Aviation+Snip&amp;qid=1695173421&amp;sr=8-3</v>
      </c>
      <c r="F1967" t="s">
        <v>5286</v>
      </c>
      <c r="G1967" t="e">
        <f ca="1">_xludf.IMAGE("https://edmondsonsupply.com/cdn/shop/products/MWT-6900L1.jpg?v=1587146265")</f>
        <v>#NAME?</v>
      </c>
      <c r="H1967" t="e">
        <f ca="1">_xludf.IMAGE("https://m.media-amazon.com/images/I/61DrWSZKjcL._AC_UL320_.jpg")</f>
        <v>#NAME?</v>
      </c>
      <c r="I1967" t="s">
        <v>362</v>
      </c>
      <c r="J1967">
        <v>20.21</v>
      </c>
      <c r="K1967" s="4">
        <v>-0.22239999999999999</v>
      </c>
      <c r="L1967">
        <v>4.4000000000000004</v>
      </c>
      <c r="M1967">
        <v>575</v>
      </c>
      <c r="O1967" t="s">
        <v>25</v>
      </c>
      <c r="P1967" t="s">
        <v>1787</v>
      </c>
      <c r="Q1967" t="s">
        <v>1820</v>
      </c>
    </row>
    <row r="1968" spans="1:17" ht="15.5" x14ac:dyDescent="0.35">
      <c r="A1968" s="3" t="str">
        <f>HYPERLINK("https://edmondsonsupply.com/collections/hvac/products/klein-tools-s8m-1-4-inch-magnetic-nut-driver-3-inch-shank", "https://edmondsonsupply.com/collections/hvac/products/klein-tools-s8m-1-4-inch-magnetic-nut-driver-3-inch-shank")</f>
        <v>https://edmondsonsupply.com/collections/hvac/products/klein-tools-s8m-1-4-inch-magnetic-nut-driver-3-inch-shank</v>
      </c>
      <c r="B1968" s="3" t="str">
        <f>HYPERLINK("https://edmondsonsupply.com/products/klein-tools-s8m-1-4-inch-magnetic-nut-driver-3-inch-shank", "https://edmondsonsupply.com/products/klein-tools-s8m-1-4-inch-magnetic-nut-driver-3-inch-shank")</f>
        <v>https://edmondsonsupply.com/products/klein-tools-s8m-1-4-inch-magnetic-nut-driver-3-inch-shank</v>
      </c>
      <c r="C1968" t="s">
        <v>3809</v>
      </c>
      <c r="D1968" t="s">
        <v>5334</v>
      </c>
      <c r="E1968" s="3" t="str">
        <f>HYPERLINK("https://www.amazon.com/Magnetic-Drivers-Klein-Tools-86600/dp/B0043GVDX0/ref=sr_1_8?keywords=Klein+Tools+S8M+1%2F4-Inch+Magnetic+Nut+Driver+3-Inch+Shank&amp;qid=1695173652&amp;sr=8-8", "https://www.amazon.com/Magnetic-Drivers-Klein-Tools-86600/dp/B0043GVDX0/ref=sr_1_8?keywords=Klein+Tools+S8M+1%2F4-Inch+Magnetic+Nut+Driver+3-Inch+Shank&amp;qid=1695173652&amp;sr=8-8")</f>
        <v>https://www.amazon.com/Magnetic-Drivers-Klein-Tools-86600/dp/B0043GVDX0/ref=sr_1_8?keywords=Klein+Tools+S8M+1%2F4-Inch+Magnetic+Nut+Driver+3-Inch+Shank&amp;qid=1695173652&amp;sr=8-8</v>
      </c>
      <c r="F1968" t="s">
        <v>5335</v>
      </c>
      <c r="G1968" t="e">
        <f ca="1">_xludf.IMAGE("https://edmondsonsupply.com/cdn/shop/products/s8m.jpg?v=1633030818")</f>
        <v>#NAME?</v>
      </c>
      <c r="H1968" t="e">
        <f ca="1">_xludf.IMAGE("https://m.media-amazon.com/images/I/6147J4xgyLL._AC_UL320_.jpg")</f>
        <v>#NAME?</v>
      </c>
      <c r="I1968" t="s">
        <v>924</v>
      </c>
      <c r="J1968">
        <v>6.99</v>
      </c>
      <c r="K1968" s="4">
        <v>-0.2225</v>
      </c>
      <c r="L1968">
        <v>4.7</v>
      </c>
      <c r="M1968">
        <v>1164</v>
      </c>
      <c r="O1968" t="s">
        <v>25</v>
      </c>
      <c r="P1968" t="s">
        <v>3812</v>
      </c>
      <c r="Q1968" t="s">
        <v>3813</v>
      </c>
    </row>
    <row r="1969" spans="1:17" ht="15.5" x14ac:dyDescent="0.35">
      <c r="A1969" s="3" t="str">
        <f>HYPERLINK("https://edmondsonsupply.com/collections/hvac/products/greenlee-dtap1-4-20-drill-tap-1-4-20", "https://edmondsonsupply.com/collections/hvac/products/greenlee-dtap1-4-20-drill-tap-1-4-20")</f>
        <v>https://edmondsonsupply.com/collections/hvac/products/greenlee-dtap1-4-20-drill-tap-1-4-20</v>
      </c>
      <c r="B1969" s="3" t="str">
        <f>HYPERLINK("https://edmondsonsupply.com/products/greenlee-dtap1-4-20-drill-tap-1-4-20", "https://edmondsonsupply.com/products/greenlee-dtap1-4-20-drill-tap-1-4-20")</f>
        <v>https://edmondsonsupply.com/products/greenlee-dtap1-4-20-drill-tap-1-4-20</v>
      </c>
      <c r="C1969" t="s">
        <v>2854</v>
      </c>
      <c r="D1969" t="s">
        <v>5336</v>
      </c>
      <c r="E1969" s="3" t="str">
        <f>HYPERLINK("https://www.amazon.com/4-20-Drill-Klein-Tools-32242/dp/B019874QJQ/ref=sr_1_5?keywords=Greenlee+DTAP1%2F4-20+Drill%2FTap%2C+1%2F4-20&amp;qid=1695173673&amp;sr=8-5", "https://www.amazon.com/4-20-Drill-Klein-Tools-32242/dp/B019874QJQ/ref=sr_1_5?keywords=Greenlee+DTAP1%2F4-20+Drill%2FTap%2C+1%2F4-20&amp;qid=1695173673&amp;sr=8-5")</f>
        <v>https://www.amazon.com/4-20-Drill-Klein-Tools-32242/dp/B019874QJQ/ref=sr_1_5?keywords=Greenlee+DTAP1%2F4-20+Drill%2FTap%2C+1%2F4-20&amp;qid=1695173673&amp;sr=8-5</v>
      </c>
      <c r="F1969" t="s">
        <v>5337</v>
      </c>
      <c r="G1969" t="e">
        <f ca="1">_xludf.IMAGE("https://edmondsonsupply.com/cdn/shop/products/DTAP1-4-20.jpg?v=1587151009")</f>
        <v>#NAME?</v>
      </c>
      <c r="H1969" t="e">
        <f ca="1">_xludf.IMAGE("https://m.media-amazon.com/images/I/419OEbztcTL._AC_UL320_.jpg")</f>
        <v>#NAME?</v>
      </c>
      <c r="I1969" t="s">
        <v>924</v>
      </c>
      <c r="J1969">
        <v>6.99</v>
      </c>
      <c r="K1969" s="4">
        <v>-0.2225</v>
      </c>
      <c r="L1969">
        <v>4.5999999999999996</v>
      </c>
      <c r="M1969">
        <v>828</v>
      </c>
      <c r="O1969" t="s">
        <v>25</v>
      </c>
      <c r="P1969" t="s">
        <v>2857</v>
      </c>
      <c r="Q1969" t="s">
        <v>2858</v>
      </c>
    </row>
    <row r="1970" spans="1:17" ht="15.5" x14ac:dyDescent="0.35">
      <c r="A1970" s="3" t="str">
        <f>HYPERLINK("https://edmondsonsupply.com/collections/hvac/products/packard-48332-draft-inducer-goodman-b4833001-replacement-115-volt-1-8-1-1-amps", "https://edmondsonsupply.com/collections/hvac/products/packard-48332-draft-inducer-goodman-b4833001-replacement-115-volt-1-8-1-1-amps")</f>
        <v>https://edmondsonsupply.com/collections/hvac/products/packard-48332-draft-inducer-goodman-b4833001-replacement-115-volt-1-8-1-1-amps</v>
      </c>
      <c r="B1970" s="3" t="str">
        <f>HYPERLINK("https://edmondsonsupply.com/products/packard-48332-draft-inducer-goodman-b4833001-replacement-115-volt-1-8-1-1-amps", "https://edmondsonsupply.com/products/packard-48332-draft-inducer-goodman-b4833001-replacement-115-volt-1-8-1-1-amps")</f>
        <v>https://edmondsonsupply.com/products/packard-48332-draft-inducer-goodman-b4833001-replacement-115-volt-1-8-1-1-amps</v>
      </c>
      <c r="C1970" t="s">
        <v>5338</v>
      </c>
      <c r="D1970" t="s">
        <v>5339</v>
      </c>
      <c r="E1970" s="3" t="str">
        <f>HYPERLINK("https://www.amazon.com/Packard-48332-Inducer-Goodman-Replacement/dp/B00JN0OT0U/ref=sr_1_1?keywords=Packard+48332+Draft+Inducer%2C+Goodman+B4833001+Replacement%2C+115+Volt%2C+1.8-1.1+Amps&amp;qid=1695173467&amp;sr=8-1", "https://www.amazon.com/Packard-48332-Inducer-Goodman-Replacement/dp/B00JN0OT0U/ref=sr_1_1?keywords=Packard+48332+Draft+Inducer%2C+Goodman+B4833001+Replacement%2C+115+Volt%2C+1.8-1.1+Amps&amp;qid=1695173467&amp;sr=8-1")</f>
        <v>https://www.amazon.com/Packard-48332-Inducer-Goodman-Replacement/dp/B00JN0OT0U/ref=sr_1_1?keywords=Packard+48332+Draft+Inducer%2C+Goodman+B4833001+Replacement%2C+115+Volt%2C+1.8-1.1+Amps&amp;qid=1695173467&amp;sr=8-1</v>
      </c>
      <c r="F1970" t="s">
        <v>5340</v>
      </c>
      <c r="G1970" t="e">
        <f ca="1">_xludf.IMAGE("https://edmondsonsupply.com/cdn/shop/products/48332_xl_1.jpg?v=1633031185")</f>
        <v>#NAME?</v>
      </c>
      <c r="H1970" t="e">
        <f ca="1">_xludf.IMAGE("https://m.media-amazon.com/images/I/51+rZfx66xL._AC_UL320_.jpg")</f>
        <v>#NAME?</v>
      </c>
      <c r="I1970" t="s">
        <v>5341</v>
      </c>
      <c r="J1970">
        <v>153.69999999999999</v>
      </c>
      <c r="K1970" s="4">
        <v>-0.22439999999999999</v>
      </c>
      <c r="L1970">
        <v>1</v>
      </c>
      <c r="M1970">
        <v>1</v>
      </c>
      <c r="O1970" t="s">
        <v>25</v>
      </c>
      <c r="P1970" t="s">
        <v>138</v>
      </c>
      <c r="Q1970" t="s">
        <v>5342</v>
      </c>
    </row>
    <row r="1971" spans="1:17" ht="15.5" x14ac:dyDescent="0.35">
      <c r="A1971" s="3" t="str">
        <f>HYPERLINK("https://edmondsonsupply.com/collections/hvac/products/white-rodgers-24a34-6-24v-electric-heat-sequencer-2-dpst", "https://edmondsonsupply.com/collections/hvac/products/white-rodgers-24a34-6-24v-electric-heat-sequencer-2-dpst")</f>
        <v>https://edmondsonsupply.com/collections/hvac/products/white-rodgers-24a34-6-24v-electric-heat-sequencer-2-dpst</v>
      </c>
      <c r="B1971" s="3" t="str">
        <f>HYPERLINK("https://edmondsonsupply.com/products/white-rodgers-24a34-6-24v-electric-heat-sequencer-2-dpst", "https://edmondsonsupply.com/products/white-rodgers-24a34-6-24v-electric-heat-sequencer-2-dpst")</f>
        <v>https://edmondsonsupply.com/products/white-rodgers-24a34-6-24v-electric-heat-sequencer-2-dpst</v>
      </c>
      <c r="C1971" t="s">
        <v>4876</v>
      </c>
      <c r="D1971" t="s">
        <v>3314</v>
      </c>
      <c r="E1971" s="3" t="str">
        <f>HYPERLINK("https://www.amazon.com/White-Rodgers-24A34-1-Electric-Sequencer-Switch/dp/B000LD7VQW/ref=sr_1_9?keywords=White-Rodgers+24A34-6+24V+Electric+Heat+Sequencer%2C+2+DPST&amp;qid=1695173395&amp;sr=8-9", "https://www.amazon.com/White-Rodgers-24A34-1-Electric-Sequencer-Switch/dp/B000LD7VQW/ref=sr_1_9?keywords=White-Rodgers+24A34-6+24V+Electric+Heat+Sequencer%2C+2+DPST&amp;qid=1695173395&amp;sr=8-9")</f>
        <v>https://www.amazon.com/White-Rodgers-24A34-1-Electric-Sequencer-Switch/dp/B000LD7VQW/ref=sr_1_9?keywords=White-Rodgers+24A34-6+24V+Electric+Heat+Sequencer%2C+2+DPST&amp;qid=1695173395&amp;sr=8-9</v>
      </c>
      <c r="F1971" t="s">
        <v>3315</v>
      </c>
      <c r="G1971" t="e">
        <f ca="1">_xludf.IMAGE("https://edmondsonsupply.com/cdn/shop/products/24A34-6.jpg?v=1633030752")</f>
        <v>#NAME?</v>
      </c>
      <c r="H1971" t="e">
        <f ca="1">_xludf.IMAGE("https://m.media-amazon.com/images/I/41k+LuyGsVL._AC_UY218_.jpg")</f>
        <v>#NAME?</v>
      </c>
      <c r="I1971" t="s">
        <v>4877</v>
      </c>
      <c r="J1971">
        <v>18.18</v>
      </c>
      <c r="K1971" s="4">
        <v>-0.22639999999999999</v>
      </c>
      <c r="L1971">
        <v>5</v>
      </c>
      <c r="M1971">
        <v>6</v>
      </c>
      <c r="O1971" t="s">
        <v>25</v>
      </c>
      <c r="P1971" t="s">
        <v>4878</v>
      </c>
      <c r="Q1971" t="s">
        <v>4879</v>
      </c>
    </row>
    <row r="1972" spans="1:17" ht="15.5" x14ac:dyDescent="0.35">
      <c r="A1972" s="3" t="str">
        <f>HYPERLINK("https://edmondsonsupply.com/collections/hvac/products/malco-mshxlc-6", "https://edmondsonsupply.com/collections/hvac/products/malco-mshxlc-6")</f>
        <v>https://edmondsonsupply.com/collections/hvac/products/malco-mshxlc-6</v>
      </c>
      <c r="B1972" s="3" t="str">
        <f>HYPERLINK("https://edmondsonsupply.com/products/malco-mshxlc-6", "https://edmondsonsupply.com/products/malco-mshxlc-6")</f>
        <v>https://edmondsonsupply.com/products/malco-mshxlc-6</v>
      </c>
      <c r="C1972" t="s">
        <v>5343</v>
      </c>
      <c r="D1972" t="s">
        <v>178</v>
      </c>
      <c r="E1972" s="3" t="str">
        <f>HYPERLINK("https://www.amazon.com/Malco-MSHMLC2-Construction-Cleanable-Reversible/dp/B0BX77PFCY/ref=sr_1_6?keywords=Malco+Tools+MSHXLC+6-Inch+C-Rhex+Cleanable%2C+Reversible+Magnetic+Hex+Driver%2C+1%2F4%22+%26+5%2F16%22&amp;qid=1695173418&amp;sr=8-6", "https://www.amazon.com/Malco-MSHMLC2-Construction-Cleanable-Reversible/dp/B0BX77PFCY/ref=sr_1_6?keywords=Malco+Tools+MSHXLC+6-Inch+C-Rhex+Cleanable%2C+Reversible+Magnetic+Hex+Driver%2C+1%2F4%22+%26+5%2F16%22&amp;qid=1695173418&amp;sr=8-6")</f>
        <v>https://www.amazon.com/Malco-MSHMLC2-Construction-Cleanable-Reversible/dp/B0BX77PFCY/ref=sr_1_6?keywords=Malco+Tools+MSHXLC+6-Inch+C-Rhex+Cleanable%2C+Reversible+Magnetic+Hex+Driver%2C+1%2F4%22+%26+5%2F16%22&amp;qid=1695173418&amp;sr=8-6</v>
      </c>
      <c r="F1972" t="s">
        <v>179</v>
      </c>
      <c r="G1972" t="e">
        <f ca="1">_xludf.IMAGE("https://edmondsonsupply.com/cdn/shop/products/Malco-MSHXLC-CRHEX-Slim-Design.jpg?v=1668084662")</f>
        <v>#NAME?</v>
      </c>
      <c r="H1972" t="e">
        <f ca="1">_xludf.IMAGE("https://m.media-amazon.com/images/I/61SpFpw6GjL._AC_UL320_.jpg")</f>
        <v>#NAME?</v>
      </c>
      <c r="I1972" t="s">
        <v>79</v>
      </c>
      <c r="J1972">
        <v>13.91</v>
      </c>
      <c r="K1972" s="4">
        <v>-0.2268</v>
      </c>
      <c r="L1972">
        <v>3</v>
      </c>
      <c r="M1972">
        <v>4</v>
      </c>
      <c r="O1972" t="s">
        <v>25</v>
      </c>
      <c r="P1972" t="s">
        <v>5344</v>
      </c>
      <c r="Q1972" t="s">
        <v>5345</v>
      </c>
    </row>
    <row r="1973" spans="1:17" ht="15.5" x14ac:dyDescent="0.35">
      <c r="A1973" s="3" t="str">
        <f>HYPERLINK("https://edmondsonsupply.com/collections/hvac/products/fluke-378-fc-non-contact-voltage-true-rms-ac-dc-clamp-meter-with-iflex", "https://edmondsonsupply.com/collections/hvac/products/fluke-378-fc-non-contact-voltage-true-rms-ac-dc-clamp-meter-with-iflex")</f>
        <v>https://edmondsonsupply.com/collections/hvac/products/fluke-378-fc-non-contact-voltage-true-rms-ac-dc-clamp-meter-with-iflex</v>
      </c>
      <c r="B1973" s="3" t="str">
        <f>HYPERLINK("https://edmondsonsupply.com/products/fluke-378-fc-non-contact-voltage-true-rms-ac-dc-clamp-meter-with-iflex", "https://edmondsonsupply.com/products/fluke-378-fc-non-contact-voltage-true-rms-ac-dc-clamp-meter-with-iflex")</f>
        <v>https://edmondsonsupply.com/products/fluke-378-fc-non-contact-voltage-true-rms-ac-dc-clamp-meter-with-iflex</v>
      </c>
      <c r="C1973" t="s">
        <v>4438</v>
      </c>
      <c r="D1973" t="s">
        <v>5346</v>
      </c>
      <c r="E1973" s="3" t="str">
        <f>HYPERLINK("https://www.amazon.com/Fluke-377FC-Non-Contact-Voltage-Wireless/dp/B0916LXCWW/ref=sr_1_4?keywords=Fluke+378+FC+Non-Contact+Voltage+True-RMS+AC%2FDC+Clamp+Meter+with+iFlex&amp;qid=1695173415&amp;sr=8-4", "https://www.amazon.com/Fluke-377FC-Non-Contact-Voltage-Wireless/dp/B0916LXCWW/ref=sr_1_4?keywords=Fluke+378+FC+Non-Contact+Voltage+True-RMS+AC%2FDC+Clamp+Meter+with+iFlex&amp;qid=1695173415&amp;sr=8-4")</f>
        <v>https://www.amazon.com/Fluke-377FC-Non-Contact-Voltage-Wireless/dp/B0916LXCWW/ref=sr_1_4?keywords=Fluke+378+FC+Non-Contact+Voltage+True-RMS+AC%2FDC+Clamp+Meter+with+iFlex&amp;qid=1695173415&amp;sr=8-4</v>
      </c>
      <c r="F1973" t="s">
        <v>5347</v>
      </c>
      <c r="G1973" t="e">
        <f ca="1">_xludf.IMAGE("https://edmondsonsupply.com/cdn/shop/products/378_FC_72dpi_499x1024px_E_NR-27689.jpg?v=1633031120")</f>
        <v>#NAME?</v>
      </c>
      <c r="H1973" t="e">
        <f ca="1">_xludf.IMAGE("https://m.media-amazon.com/images/I/7112bqFKTjL._AC_UY218_.jpg")</f>
        <v>#NAME?</v>
      </c>
      <c r="I1973" t="s">
        <v>4441</v>
      </c>
      <c r="J1973">
        <v>600</v>
      </c>
      <c r="K1973" s="4">
        <v>-0.22750000000000001</v>
      </c>
      <c r="L1973">
        <v>4.4000000000000004</v>
      </c>
      <c r="M1973">
        <v>39</v>
      </c>
      <c r="O1973" t="s">
        <v>171</v>
      </c>
      <c r="P1973" t="s">
        <v>4442</v>
      </c>
      <c r="Q1973" t="s">
        <v>4443</v>
      </c>
    </row>
    <row r="1974" spans="1:17" ht="15.5" x14ac:dyDescent="0.35">
      <c r="A1974" s="3" t="str">
        <f>HYPERLINK("https://edmondsonsupply.com/collections/hvac/products/icm-controls-icm2805a-furnace-control-board-replacement-for-nordyne", "https://edmondsonsupply.com/collections/hvac/products/icm-controls-icm2805a-furnace-control-board-replacement-for-nordyne")</f>
        <v>https://edmondsonsupply.com/collections/hvac/products/icm-controls-icm2805a-furnace-control-board-replacement-for-nordyne</v>
      </c>
      <c r="B1974" s="3" t="str">
        <f>HYPERLINK("https://edmondsonsupply.com/products/icm-controls-icm2805a-furnace-control-board-replacement-for-nordyne", "https://edmondsonsupply.com/products/icm-controls-icm2805a-furnace-control-board-replacement-for-nordyne")</f>
        <v>https://edmondsonsupply.com/products/icm-controls-icm2805a-furnace-control-board-replacement-for-nordyne</v>
      </c>
      <c r="C1974" t="s">
        <v>2813</v>
      </c>
      <c r="D1974" t="s">
        <v>5348</v>
      </c>
      <c r="E1974" s="3" t="str">
        <f>HYPERLINK("https://www.amazon.com/ICM2805A-Furnace-Control-Replacement-624631Circuit/dp/B0C5GW9NST/ref=sr_1_5?keywords=ICM+Controls+ICM2805A+Furnace+Control+Board+-+Replacement+for+Nordyne&amp;qid=1695173420&amp;sr=8-5", "https://www.amazon.com/ICM2805A-Furnace-Control-Replacement-624631Circuit/dp/B0C5GW9NST/ref=sr_1_5?keywords=ICM+Controls+ICM2805A+Furnace+Control+Board+-+Replacement+for+Nordyne&amp;qid=1695173420&amp;sr=8-5")</f>
        <v>https://www.amazon.com/ICM2805A-Furnace-Control-Replacement-624631Circuit/dp/B0C5GW9NST/ref=sr_1_5?keywords=ICM+Controls+ICM2805A+Furnace+Control+Board+-+Replacement+for+Nordyne&amp;qid=1695173420&amp;sr=8-5</v>
      </c>
      <c r="F1974" t="s">
        <v>5349</v>
      </c>
      <c r="G1974" t="e">
        <f ca="1">_xludf.IMAGE("https://edmondsonsupply.com/cdn/shop/products/57_3_42a53dd2-02e8-4469-bc0c-0265897201e7.jpg?v=1633031145")</f>
        <v>#NAME?</v>
      </c>
      <c r="H1974" t="e">
        <f ca="1">_xludf.IMAGE("https://m.media-amazon.com/images/I/71E4OL1xhbL._AC_UL320_.jpg")</f>
        <v>#NAME?</v>
      </c>
      <c r="I1974" t="s">
        <v>2816</v>
      </c>
      <c r="J1974">
        <v>89.99</v>
      </c>
      <c r="K1974" s="4">
        <v>-0.2281</v>
      </c>
      <c r="L1974">
        <v>4.5</v>
      </c>
      <c r="M1974">
        <v>2</v>
      </c>
      <c r="O1974" t="s">
        <v>25</v>
      </c>
      <c r="P1974" t="s">
        <v>2817</v>
      </c>
      <c r="Q1974" t="s">
        <v>2818</v>
      </c>
    </row>
    <row r="1975" spans="1:17" ht="15.5" x14ac:dyDescent="0.35">
      <c r="A1975" s="3" t="str">
        <f>HYPERLINK("https://edmondsonsupply.com/collections/hvac/products/klein-tools-60184-lightweight-gel-knee-pads", "https://edmondsonsupply.com/collections/hvac/products/klein-tools-60184-lightweight-gel-knee-pads")</f>
        <v>https://edmondsonsupply.com/collections/hvac/products/klein-tools-60184-lightweight-gel-knee-pads</v>
      </c>
      <c r="B1975" s="3" t="str">
        <f>HYPERLINK("https://edmondsonsupply.com/products/klein-tools-60184-lightweight-gel-knee-pads", "https://edmondsonsupply.com/products/klein-tools-60184-lightweight-gel-knee-pads")</f>
        <v>https://edmondsonsupply.com/products/klein-tools-60184-lightweight-gel-knee-pads</v>
      </c>
      <c r="C1975" t="s">
        <v>908</v>
      </c>
      <c r="D1975" t="s">
        <v>1166</v>
      </c>
      <c r="E1975" s="3" t="str">
        <f>HYPERLINK("https://www.amazon.com/Klein-Tools-60614-Lightweight-Slip-Resistant/dp/B0BW9WHCRJ/ref=sr_1_5?keywords=Klein+Tools+60184+Lightweight+Gel+Knee+Pads&amp;qid=1695173676&amp;sr=8-5", "https://www.amazon.com/Klein-Tools-60614-Lightweight-Slip-Resistant/dp/B0BW9WHCRJ/ref=sr_1_5?keywords=Klein+Tools+60184+Lightweight+Gel+Knee+Pads&amp;qid=1695173676&amp;sr=8-5")</f>
        <v>https://www.amazon.com/Klein-Tools-60614-Lightweight-Slip-Resistant/dp/B0BW9WHCRJ/ref=sr_1_5?keywords=Klein+Tools+60184+Lightweight+Gel+Knee+Pads&amp;qid=1695173676&amp;sr=8-5</v>
      </c>
      <c r="F1975" t="s">
        <v>1167</v>
      </c>
      <c r="G1975" t="e">
        <f ca="1">_xludf.IMAGE("https://edmondsonsupply.com/cdn/shop/products/60184.jpg?v=1633030246")</f>
        <v>#NAME?</v>
      </c>
      <c r="H1975" t="e">
        <f ca="1">_xludf.IMAGE("https://m.media-amazon.com/images/I/61pjcWSwQcL._AC_UL320_.jpg")</f>
        <v>#NAME?</v>
      </c>
      <c r="I1975" t="s">
        <v>911</v>
      </c>
      <c r="J1975">
        <v>19.989999999999998</v>
      </c>
      <c r="K1975" s="4">
        <v>-0.2303</v>
      </c>
      <c r="L1975">
        <v>4.5</v>
      </c>
      <c r="M1975">
        <v>192</v>
      </c>
      <c r="O1975" t="s">
        <v>25</v>
      </c>
      <c r="P1975" t="s">
        <v>912</v>
      </c>
      <c r="Q1975" t="s">
        <v>913</v>
      </c>
    </row>
    <row r="1976" spans="1:17" ht="15.5" x14ac:dyDescent="0.35">
      <c r="A1976" s="3" t="str">
        <f>HYPERLINK("https://edmondsonsupply.com/collections/hvac/products/5-2-1-csru1", "https://edmondsonsupply.com/collections/hvac/products/5-2-1-csru1")</f>
        <v>https://edmondsonsupply.com/collections/hvac/products/5-2-1-csru1</v>
      </c>
      <c r="B1976" s="3" t="str">
        <f>HYPERLINK("https://edmondsonsupply.com/products/5-2-1-csru1", "https://edmondsonsupply.com/products/5-2-1-csru1")</f>
        <v>https://edmondsonsupply.com/products/5-2-1-csru1</v>
      </c>
      <c r="C1976" t="s">
        <v>3321</v>
      </c>
      <c r="D1976" t="s">
        <v>5350</v>
      </c>
      <c r="E1976" s="3" t="str">
        <f>HYPERLINK("https://www.amazon.com/CSR-U1-Hard-Start-Device-3-Ton-PartsBroz/dp/B07V3TLLV7/ref=sr_1_3?keywords=5-2-1+CSRU1+Compressor+Saver%2C+1+to+3+Tons&amp;qid=1695173572&amp;sr=8-3", "https://www.amazon.com/CSR-U1-Hard-Start-Device-3-Ton-PartsBroz/dp/B07V3TLLV7/ref=sr_1_3?keywords=5-2-1+CSRU1+Compressor+Saver%2C+1+to+3+Tons&amp;qid=1695173572&amp;sr=8-3")</f>
        <v>https://www.amazon.com/CSR-U1-Hard-Start-Device-3-Ton-PartsBroz/dp/B07V3TLLV7/ref=sr_1_3?keywords=5-2-1+CSRU1+Compressor+Saver%2C+1+to+3+Tons&amp;qid=1695173572&amp;sr=8-3</v>
      </c>
      <c r="F1976" t="s">
        <v>5351</v>
      </c>
      <c r="G1976" t="e">
        <f ca="1">_xludf.IMAGE("https://edmondsonsupply.com/cdn/shop/products/CSRU1.jpg?v=1633030087")</f>
        <v>#NAME?</v>
      </c>
      <c r="H1976" t="e">
        <f ca="1">_xludf.IMAGE("https://m.media-amazon.com/images/I/71WEqmsrVeS._AC_UL320_.jpg")</f>
        <v>#NAME?</v>
      </c>
      <c r="I1976" t="s">
        <v>3324</v>
      </c>
      <c r="J1976">
        <v>26.64</v>
      </c>
      <c r="K1976" s="4">
        <v>-0.23050000000000001</v>
      </c>
      <c r="L1976">
        <v>4.3</v>
      </c>
      <c r="M1976">
        <v>143</v>
      </c>
      <c r="O1976" t="s">
        <v>25</v>
      </c>
      <c r="P1976" t="s">
        <v>1307</v>
      </c>
      <c r="Q1976" t="s">
        <v>3325</v>
      </c>
    </row>
    <row r="1977" spans="1:17" ht="15.5" x14ac:dyDescent="0.35">
      <c r="A1977" s="3" t="str">
        <f>HYPERLINK("https://edmondsonsupply.com/collections/hvac/products/icm-controls-icm289-furnace-control-board-replacement-for-lennox", "https://edmondsonsupply.com/collections/hvac/products/icm-controls-icm289-furnace-control-board-replacement-for-lennox")</f>
        <v>https://edmondsonsupply.com/collections/hvac/products/icm-controls-icm289-furnace-control-board-replacement-for-lennox</v>
      </c>
      <c r="B1977" s="3" t="str">
        <f>HYPERLINK("https://edmondsonsupply.com/products/icm-controls-icm289-furnace-control-board-replacement-for-lennox", "https://edmondsonsupply.com/products/icm-controls-icm289-furnace-control-board-replacement-for-lennox")</f>
        <v>https://edmondsonsupply.com/products/icm-controls-icm289-furnace-control-board-replacement-for-lennox</v>
      </c>
      <c r="C1977" t="s">
        <v>2160</v>
      </c>
      <c r="D1977" t="s">
        <v>3110</v>
      </c>
      <c r="E1977" s="3" t="str">
        <f>HYPERLINK("https://www.amazon.com/ICM-Controls-ICM286-Replacement-0130F00005S/dp/B00QW2U7KS/ref=sr_1_10?keywords=ICM+Controls+ICM289+Furnace+Control+Board+-+Replacement+for+Lennox&amp;qid=1695173465&amp;sr=8-10", "https://www.amazon.com/ICM-Controls-ICM286-Replacement-0130F00005S/dp/B00QW2U7KS/ref=sr_1_10?keywords=ICM+Controls+ICM289+Furnace+Control+Board+-+Replacement+for+Lennox&amp;qid=1695173465&amp;sr=8-10")</f>
        <v>https://www.amazon.com/ICM-Controls-ICM286-Replacement-0130F00005S/dp/B00QW2U7KS/ref=sr_1_10?keywords=ICM+Controls+ICM289+Furnace+Control+Board+-+Replacement+for+Lennox&amp;qid=1695173465&amp;sr=8-10</v>
      </c>
      <c r="F1977" t="s">
        <v>3111</v>
      </c>
      <c r="G1977" t="e">
        <f ca="1">_xludf.IMAGE("https://edmondsonsupply.com/cdn/shop/products/photo_3601_medium_abc82be0-5d13-465a-9be5-04a6748e2d27.png?v=1656728911")</f>
        <v>#NAME?</v>
      </c>
      <c r="H1977" t="e">
        <f ca="1">_xludf.IMAGE("https://m.media-amazon.com/images/I/71CBn8jMCiL._AC_UL320_.jpg")</f>
        <v>#NAME?</v>
      </c>
      <c r="I1977" t="s">
        <v>460</v>
      </c>
      <c r="J1977">
        <v>103.85</v>
      </c>
      <c r="K1977" s="4">
        <v>-0.23069999999999999</v>
      </c>
      <c r="L1977">
        <v>4.3</v>
      </c>
      <c r="M1977">
        <v>157</v>
      </c>
      <c r="O1977" t="s">
        <v>171</v>
      </c>
      <c r="P1977" t="s">
        <v>2163</v>
      </c>
      <c r="Q1977" t="s">
        <v>2164</v>
      </c>
    </row>
    <row r="1978" spans="1:17" ht="15.5" x14ac:dyDescent="0.35">
      <c r="A1978" s="3" t="str">
        <f>HYPERLINK("https://edmondsonsupply.com/collections/hvac/products/klein-tools-60184-lightweight-gel-knee-pads", "https://edmondsonsupply.com/collections/hvac/products/klein-tools-60184-lightweight-gel-knee-pads")</f>
        <v>https://edmondsonsupply.com/collections/hvac/products/klein-tools-60184-lightweight-gel-knee-pads</v>
      </c>
      <c r="B1978" s="3" t="str">
        <f>HYPERLINK("https://edmondsonsupply.com/products/klein-tools-60184-lightweight-gel-knee-pads", "https://edmondsonsupply.com/products/klein-tools-60184-lightweight-gel-knee-pads")</f>
        <v>https://edmondsonsupply.com/products/klein-tools-60184-lightweight-gel-knee-pads</v>
      </c>
      <c r="C1978" t="s">
        <v>908</v>
      </c>
      <c r="D1978" t="s">
        <v>1142</v>
      </c>
      <c r="E1978" s="3" t="str">
        <f>HYPERLINK("https://www.amazon.com/Klein-Tools-60592-Lightweight-Slip-Resistant/dp/B0B622FRN8/ref=sr_1_4?keywords=Klein+Tools+60184+Lightweight+Gel+Knee+Pads&amp;qid=1695173676&amp;sr=8-4", "https://www.amazon.com/Klein-Tools-60592-Lightweight-Slip-Resistant/dp/B0B622FRN8/ref=sr_1_4?keywords=Klein+Tools+60184+Lightweight+Gel+Knee+Pads&amp;qid=1695173676&amp;sr=8-4")</f>
        <v>https://www.amazon.com/Klein-Tools-60592-Lightweight-Slip-Resistant/dp/B0B622FRN8/ref=sr_1_4?keywords=Klein+Tools+60184+Lightweight+Gel+Knee+Pads&amp;qid=1695173676&amp;sr=8-4</v>
      </c>
      <c r="F1978" t="s">
        <v>1143</v>
      </c>
      <c r="G1978" t="e">
        <f ca="1">_xludf.IMAGE("https://edmondsonsupply.com/cdn/shop/products/60184.jpg?v=1633030246")</f>
        <v>#NAME?</v>
      </c>
      <c r="H1978" t="e">
        <f ca="1">_xludf.IMAGE("https://m.media-amazon.com/images/I/61SeDj1bXKL._AC_UL320_.jpg")</f>
        <v>#NAME?</v>
      </c>
      <c r="I1978" t="s">
        <v>911</v>
      </c>
      <c r="J1978">
        <v>19.97</v>
      </c>
      <c r="K1978" s="4">
        <v>-0.23100000000000001</v>
      </c>
      <c r="L1978">
        <v>4.0999999999999996</v>
      </c>
      <c r="M1978">
        <v>147</v>
      </c>
      <c r="O1978" t="s">
        <v>25</v>
      </c>
      <c r="P1978" t="s">
        <v>912</v>
      </c>
      <c r="Q1978" t="s">
        <v>913</v>
      </c>
    </row>
    <row r="1979" spans="1:17" ht="15.5" x14ac:dyDescent="0.35">
      <c r="A1979" s="3" t="str">
        <f>HYPERLINK("https://edmondsonsupply.com/collections/hvac/products/rectorseal-66732-nokink-3-4-x-3-flex-hose", "https://edmondsonsupply.com/collections/hvac/products/rectorseal-66732-nokink-3-4-x-3-flex-hose")</f>
        <v>https://edmondsonsupply.com/collections/hvac/products/rectorseal-66732-nokink-3-4-x-3-flex-hose</v>
      </c>
      <c r="B1979" s="3" t="str">
        <f>HYPERLINK("https://edmondsonsupply.com/products/rectorseal-66732-nokink-3-4-x-3-flex-hose", "https://edmondsonsupply.com/products/rectorseal-66732-nokink-3-4-x-3-flex-hose")</f>
        <v>https://edmondsonsupply.com/products/rectorseal-66732-nokink-3-4-x-3-flex-hose</v>
      </c>
      <c r="C1979" t="s">
        <v>4196</v>
      </c>
      <c r="D1979" t="s">
        <v>3095</v>
      </c>
      <c r="E1979" s="3" t="str">
        <f>HYPERLINK("https://www.amazon.com/Rectorseal-66733-Flexible-Refrigerant-Connector/dp/B00MTWACSW/ref=sr_1_5?keywords=RectorSeal+66732+NoKink+3%2F4%22+x+3%27+Flexible+Refrigerant+Line+Connector&amp;qid=1695173725&amp;sr=8-5", "https://www.amazon.com/Rectorseal-66733-Flexible-Refrigerant-Connector/dp/B00MTWACSW/ref=sr_1_5?keywords=RectorSeal+66732+NoKink+3%2F4%22+x+3%27+Flexible+Refrigerant+Line+Connector&amp;qid=1695173725&amp;sr=8-5")</f>
        <v>https://www.amazon.com/Rectorseal-66733-Flexible-Refrigerant-Connector/dp/B00MTWACSW/ref=sr_1_5?keywords=RectorSeal+66732+NoKink+3%2F4%22+x+3%27+Flexible+Refrigerant+Line+Connector&amp;qid=1695173725&amp;sr=8-5</v>
      </c>
      <c r="F1979" t="s">
        <v>3096</v>
      </c>
      <c r="G1979" t="e">
        <f ca="1">_xludf.IMAGE("https://edmondsonsupply.com/cdn/shop/files/66732.png?v=1691010373")</f>
        <v>#NAME?</v>
      </c>
      <c r="H1979" t="e">
        <f ca="1">_xludf.IMAGE("https://m.media-amazon.com/images/I/715p30FDZuL._AC_UL320_.jpg")</f>
        <v>#NAME?</v>
      </c>
      <c r="I1979" t="s">
        <v>4197</v>
      </c>
      <c r="J1979">
        <v>95.27</v>
      </c>
      <c r="K1979" s="4">
        <v>-0.2316</v>
      </c>
      <c r="L1979">
        <v>3.6</v>
      </c>
      <c r="M1979">
        <v>3</v>
      </c>
      <c r="O1979" t="s">
        <v>25</v>
      </c>
      <c r="P1979" t="s">
        <v>138</v>
      </c>
      <c r="Q1979" t="s">
        <v>4198</v>
      </c>
    </row>
    <row r="1980" spans="1:17" ht="15.5" x14ac:dyDescent="0.35">
      <c r="A1980" s="3" t="str">
        <f>HYPERLINK("https://edmondsonsupply.com/collections/hvac/products/hilmor-1839027-tb1412-tri-tube-benders-1-4-3-8-1-2", "https://edmondsonsupply.com/collections/hvac/products/hilmor-1839027-tb1412-tri-tube-benders-1-4-3-8-1-2")</f>
        <v>https://edmondsonsupply.com/collections/hvac/products/hilmor-1839027-tb1412-tri-tube-benders-1-4-3-8-1-2</v>
      </c>
      <c r="B1980" s="3" t="str">
        <f>HYPERLINK("https://edmondsonsupply.com/products/hilmor-1839027-tb1412-tri-tube-benders-1-4-3-8-1-2", "https://edmondsonsupply.com/products/hilmor-1839027-tb1412-tri-tube-benders-1-4-3-8-1-2")</f>
        <v>https://edmondsonsupply.com/products/hilmor-1839027-tb1412-tri-tube-benders-1-4-3-8-1-2</v>
      </c>
      <c r="C1980" t="s">
        <v>3984</v>
      </c>
      <c r="D1980" t="s">
        <v>5352</v>
      </c>
      <c r="E1980" s="3" t="str">
        <f>HYPERLINK("https://www.amazon.com/VEVOR-Pipe-Tube-Bender-Manual/dp/B0C4F6BWDX/ref=sr_1_4?keywords=Hilmor+1839027+Tri-Tube+Bender+-+1%2F4%22%2C+3%2F8%22%2C+1%2F2%22&amp;qid=1695173685&amp;sr=8-4", "https://www.amazon.com/VEVOR-Pipe-Tube-Bender-Manual/dp/B0C4F6BWDX/ref=sr_1_4?keywords=Hilmor+1839027+Tri-Tube+Bender+-+1%2F4%22%2C+3%2F8%22%2C+1%2F2%22&amp;qid=1695173685&amp;sr=8-4")</f>
        <v>https://www.amazon.com/VEVOR-Pipe-Tube-Bender-Manual/dp/B0C4F6BWDX/ref=sr_1_4?keywords=Hilmor+1839027+Tri-Tube+Bender+-+1%2F4%22%2C+3%2F8%22%2C+1%2F2%22&amp;qid=1695173685&amp;sr=8-4</v>
      </c>
      <c r="F1980" t="s">
        <v>5353</v>
      </c>
      <c r="G1980" t="e">
        <f ca="1">_xludf.IMAGE("https://edmondsonsupply.com/cdn/shop/products/Tri-Tube_Bender2-green_glow-735x480.png?v=1643678213")</f>
        <v>#NAME?</v>
      </c>
      <c r="H1980" t="e">
        <f ca="1">_xludf.IMAGE("https://m.media-amazon.com/images/I/616Z+2xoCXL._AC_UL320_.jpg")</f>
        <v>#NAME?</v>
      </c>
      <c r="I1980" t="s">
        <v>1931</v>
      </c>
      <c r="J1980">
        <v>38.369999999999997</v>
      </c>
      <c r="K1980" s="4">
        <v>-0.2324</v>
      </c>
      <c r="L1980">
        <v>4.2</v>
      </c>
      <c r="M1980">
        <v>35</v>
      </c>
      <c r="O1980" t="s">
        <v>25</v>
      </c>
      <c r="P1980" t="s">
        <v>3987</v>
      </c>
      <c r="Q1980" t="s">
        <v>3988</v>
      </c>
    </row>
    <row r="1981" spans="1:17" ht="15.5" x14ac:dyDescent="0.35">
      <c r="A1981" s="3" t="str">
        <f>HYPERLINK("https://edmondsonsupply.com/collections/hvac/products/klein-tools-203-7-eins-long-nose-side-cut-pliers-7-inch-slim-insulated", "https://edmondsonsupply.com/collections/hvac/products/klein-tools-203-7-eins-long-nose-side-cut-pliers-7-inch-slim-insulated")</f>
        <v>https://edmondsonsupply.com/collections/hvac/products/klein-tools-203-7-eins-long-nose-side-cut-pliers-7-inch-slim-insulated</v>
      </c>
      <c r="B1981" s="3" t="str">
        <f>HYPERLINK("https://edmondsonsupply.com/products/klein-tools-203-7-eins-long-nose-side-cut-pliers-7-inch-slim-insulated", "https://edmondsonsupply.com/products/klein-tools-203-7-eins-long-nose-side-cut-pliers-7-inch-slim-insulated")</f>
        <v>https://edmondsonsupply.com/products/klein-tools-203-7-eins-long-nose-side-cut-pliers-7-inch-slim-insulated</v>
      </c>
      <c r="C1981" t="s">
        <v>5130</v>
      </c>
      <c r="D1981" t="s">
        <v>5354</v>
      </c>
      <c r="E1981" s="3" t="str">
        <f>HYPERLINK("https://www.amazon.com/Klein-Tools-J203-7-Pliers-Side-Cutters/dp/B000G6CACO/ref=sr_1_4?keywords=Klein+Tools+2037EINS+Long+Nose+Side+Cut+Pliers%2C+7-Inch+Slim+Insulated+%28203-7-EINS%29&amp;qid=1695173656&amp;sr=8-4", "https://www.amazon.com/Klein-Tools-J203-7-Pliers-Side-Cutters/dp/B000G6CACO/ref=sr_1_4?keywords=Klein+Tools+2037EINS+Long+Nose+Side+Cut+Pliers%2C+7-Inch+Slim+Insulated+%28203-7-EINS%29&amp;qid=1695173656&amp;sr=8-4")</f>
        <v>https://www.amazon.com/Klein-Tools-J203-7-Pliers-Side-Cutters/dp/B000G6CACO/ref=sr_1_4?keywords=Klein+Tools+2037EINS+Long+Nose+Side+Cut+Pliers%2C+7-Inch+Slim+Insulated+%28203-7-EINS%29&amp;qid=1695173656&amp;sr=8-4</v>
      </c>
      <c r="F1981" t="s">
        <v>5355</v>
      </c>
      <c r="G1981" t="e">
        <f ca="1">_xludf.IMAGE("https://edmondsonsupply.com/cdn/shop/products/2037eins.jpg?v=1587146909")</f>
        <v>#NAME?</v>
      </c>
      <c r="H1981" t="e">
        <f ca="1">_xludf.IMAGE("https://m.media-amazon.com/images/I/511-SOSXaTL._AC_UL320_.jpg")</f>
        <v>#NAME?</v>
      </c>
      <c r="I1981" t="s">
        <v>1931</v>
      </c>
      <c r="J1981">
        <v>37.99</v>
      </c>
      <c r="K1981" s="4">
        <v>-0.24</v>
      </c>
      <c r="L1981">
        <v>4.8</v>
      </c>
      <c r="M1981">
        <v>139</v>
      </c>
      <c r="O1981" t="s">
        <v>25</v>
      </c>
      <c r="P1981" t="s">
        <v>4509</v>
      </c>
      <c r="Q1981" t="s">
        <v>5133</v>
      </c>
    </row>
    <row r="1982" spans="1:17" ht="15.5" x14ac:dyDescent="0.35">
      <c r="A1982" s="3" t="str">
        <f>HYPERLINK("https://edmondsonsupply.com/collections/hvac/products/dewalt-dgl523-57", "https://edmondsonsupply.com/collections/hvac/products/dewalt-dgl523-57")</f>
        <v>https://edmondsonsupply.com/collections/hvac/products/dewalt-dgl523-57</v>
      </c>
      <c r="B1982" s="3" t="str">
        <f>HYPERLINK("https://edmondsonsupply.com/products/dewalt-dgl523-57", "https://edmondsonsupply.com/products/dewalt-dgl523-57")</f>
        <v>https://edmondsonsupply.com/products/dewalt-dgl523-57</v>
      </c>
      <c r="C1982" t="s">
        <v>736</v>
      </c>
      <c r="D1982" t="s">
        <v>737</v>
      </c>
      <c r="E1982" s="3" t="str">
        <f>HYPERLINK("https://www.amazon.com/DEWALT-DGL523-Lighted-Backpack-57-Pockets/dp/B00QNTVVOG/ref=sr_1_1?keywords=CLC+DeWALT+DGL523+57-Pocket+Lighted+Tool+Backpack+Bag&amp;qid=1695173629&amp;sr=8-1", "https://www.amazon.com/DEWALT-DGL523-Lighted-Backpack-57-Pockets/dp/B00QNTVVOG/ref=sr_1_1?keywords=CLC+DeWALT+DGL523+57-Pocket+Lighted+Tool+Backpack+Bag&amp;qid=1695173629&amp;sr=8-1")</f>
        <v>https://www.amazon.com/DEWALT-DGL523-Lighted-Backpack-57-Pockets/dp/B00QNTVVOG/ref=sr_1_1?keywords=CLC+DeWALT+DGL523+57-Pocket+Lighted+Tool+Backpack+Bag&amp;qid=1695173629&amp;sr=8-1</v>
      </c>
      <c r="F1982" t="s">
        <v>738</v>
      </c>
      <c r="G1982" t="e">
        <f ca="1">_xludf.IMAGE("https://edmondsonsupply.com/cdn/shop/products/DGL523-2.png?v=1671056065")</f>
        <v>#NAME?</v>
      </c>
      <c r="H1982" t="e">
        <f ca="1">_xludf.IMAGE("https://m.media-amazon.com/images/I/91ecNgAjh0L._AC_UL320_.jpg")</f>
        <v>#NAME?</v>
      </c>
      <c r="I1982" t="s">
        <v>739</v>
      </c>
      <c r="J1982">
        <v>97.88</v>
      </c>
      <c r="K1982" s="4">
        <v>-0.2412</v>
      </c>
      <c r="L1982">
        <v>4.7</v>
      </c>
      <c r="M1982">
        <v>3760</v>
      </c>
      <c r="O1982" t="s">
        <v>25</v>
      </c>
      <c r="P1982" t="s">
        <v>707</v>
      </c>
      <c r="Q1982" t="s">
        <v>740</v>
      </c>
    </row>
    <row r="1983" spans="1:17" ht="15.5" x14ac:dyDescent="0.35">
      <c r="A1983" s="3" t="str">
        <f>HYPERLINK("https://edmondsonsupply.com/collections/hvac/products/robertshaw-rs8110-digital-non-programmable-thermostat-single-stage-1-heat-1-cool", "https://edmondsonsupply.com/collections/hvac/products/robertshaw-rs8110-digital-non-programmable-thermostat-single-stage-1-heat-1-cool")</f>
        <v>https://edmondsonsupply.com/collections/hvac/products/robertshaw-rs8110-digital-non-programmable-thermostat-single-stage-1-heat-1-cool</v>
      </c>
      <c r="B1983" s="3" t="str">
        <f>HYPERLINK("https://edmondsonsupply.com/products/robertshaw-rs8110-digital-non-programmable-thermostat-single-stage-1-heat-1-cool", "https://edmondsonsupply.com/products/robertshaw-rs8110-digital-non-programmable-thermostat-single-stage-1-heat-1-cool")</f>
        <v>https://edmondsonsupply.com/products/robertshaw-rs8110-digital-non-programmable-thermostat-single-stage-1-heat-1-cool</v>
      </c>
      <c r="C1983" t="s">
        <v>2461</v>
      </c>
      <c r="D1983" t="s">
        <v>5356</v>
      </c>
      <c r="E1983" s="3" t="str">
        <f>HYPERLINK("https://www.amazon.com/ELECTECK-Thermostat-Non-Programmable-Compatible-Electrical/dp/B07ZVVB1QT/ref=sr_1_5?keywords=Robertshaw+RS8110+Digital+Non-Programmable+Thermostat%2C+Single+Stage+-+1+Heat%2F1+Cool&amp;qid=1695173434&amp;sr=8-5", "https://www.amazon.com/ELECTECK-Thermostat-Non-Programmable-Compatible-Electrical/dp/B07ZVVB1QT/ref=sr_1_5?keywords=Robertshaw+RS8110+Digital+Non-Programmable+Thermostat%2C+Single+Stage+-+1+Heat%2F1+Cool&amp;qid=1695173434&amp;sr=8-5")</f>
        <v>https://www.amazon.com/ELECTECK-Thermostat-Non-Programmable-Compatible-Electrical/dp/B07ZVVB1QT/ref=sr_1_5?keywords=Robertshaw+RS8110+Digital+Non-Programmable+Thermostat%2C+Single+Stage+-+1+Heat%2F1+Cool&amp;qid=1695173434&amp;sr=8-5</v>
      </c>
      <c r="F1983" t="s">
        <v>5357</v>
      </c>
      <c r="G1983" t="e">
        <f ca="1">_xludf.IMAGE("https://edmondsonsupply.com/cdn/shop/products/RS8110.jpg?v=1633031027")</f>
        <v>#NAME?</v>
      </c>
      <c r="H1983" t="e">
        <f ca="1">_xludf.IMAGE("https://m.media-amazon.com/images/I/61QerMpfxFL._AC_UL320_.jpg")</f>
        <v>#NAME?</v>
      </c>
      <c r="I1983" t="s">
        <v>2464</v>
      </c>
      <c r="J1983">
        <v>24.99</v>
      </c>
      <c r="K1983" s="4">
        <v>-0.24179999999999999</v>
      </c>
      <c r="L1983">
        <v>4.5</v>
      </c>
      <c r="M1983">
        <v>2301</v>
      </c>
      <c r="O1983" t="s">
        <v>25</v>
      </c>
      <c r="P1983" t="s">
        <v>2465</v>
      </c>
      <c r="Q1983" t="s">
        <v>2466</v>
      </c>
    </row>
    <row r="1984" spans="1:17" ht="15.5" x14ac:dyDescent="0.35">
      <c r="A1984" s="3" t="str">
        <f>HYPERLINK("https://edmondsonsupply.com/collections/hvac/products/malco-tools-lp10r-eagle-grip-10-straight-jaw-locking-pliers", "https://edmondsonsupply.com/collections/hvac/products/malco-tools-lp10r-eagle-grip-10-straight-jaw-locking-pliers")</f>
        <v>https://edmondsonsupply.com/collections/hvac/products/malco-tools-lp10r-eagle-grip-10-straight-jaw-locking-pliers</v>
      </c>
      <c r="B1984" s="3" t="str">
        <f>HYPERLINK("https://edmondsonsupply.com/products/malco-tools-lp10r-eagle-grip-10-straight-jaw-locking-pliers", "https://edmondsonsupply.com/products/malco-tools-lp10r-eagle-grip-10-straight-jaw-locking-pliers")</f>
        <v>https://edmondsonsupply.com/products/malco-tools-lp10r-eagle-grip-10-straight-jaw-locking-pliers</v>
      </c>
      <c r="C1984" t="s">
        <v>5308</v>
      </c>
      <c r="D1984" t="s">
        <v>5188</v>
      </c>
      <c r="E1984" s="3" t="str">
        <f>HYPERLINK("https://www.amazon.com/Malco-LP7R-Straight-Locking-Pliers/dp/B0924RJNPQ/ref=sr_1_2?keywords=Malco+Tools+LP10R+Eagle+Grip+10%E2%80%B3+Straight+Jaw+Locking+Pliers&amp;qid=1695173549&amp;sr=8-2", "https://www.amazon.com/Malco-LP7R-Straight-Locking-Pliers/dp/B0924RJNPQ/ref=sr_1_2?keywords=Malco+Tools+LP10R+Eagle+Grip+10%E2%80%B3+Straight+Jaw+Locking+Pliers&amp;qid=1695173549&amp;sr=8-2")</f>
        <v>https://www.amazon.com/Malco-LP7R-Straight-Locking-Pliers/dp/B0924RJNPQ/ref=sr_1_2?keywords=Malco+Tools+LP10R+Eagle+Grip+10%E2%80%B3+Straight+Jaw+Locking+Pliers&amp;qid=1695173549&amp;sr=8-2</v>
      </c>
      <c r="F1984" t="s">
        <v>5189</v>
      </c>
      <c r="G1984" t="e">
        <f ca="1">_xludf.IMAGE("https://edmondsonsupply.com/cdn/shop/products/LP10R-eagle-grip-locking-pliers-in-hand.jpg?v=1657292451")</f>
        <v>#NAME?</v>
      </c>
      <c r="H1984" t="e">
        <f ca="1">_xludf.IMAGE("https://m.media-amazon.com/images/I/61HMR5Cj8yS._AC_UL320_.jpg")</f>
        <v>#NAME?</v>
      </c>
      <c r="I1984" t="s">
        <v>5311</v>
      </c>
      <c r="J1984">
        <v>42.4</v>
      </c>
      <c r="K1984" s="4">
        <v>-0.2427</v>
      </c>
      <c r="L1984">
        <v>4.9000000000000004</v>
      </c>
      <c r="M1984">
        <v>176</v>
      </c>
      <c r="O1984" t="s">
        <v>25</v>
      </c>
      <c r="P1984" t="s">
        <v>5312</v>
      </c>
      <c r="Q1984" t="s">
        <v>5313</v>
      </c>
    </row>
    <row r="1985" spans="1:17" ht="15.5" x14ac:dyDescent="0.35">
      <c r="A1985" s="3" t="str">
        <f>HYPERLINK("https://edmondsonsupply.com/collections/hvac/products/wiha-tools-66981-13-piece-ball-end-color-coded-hex-l-key-set-inch", "https://edmondsonsupply.com/collections/hvac/products/wiha-tools-66981-13-piece-ball-end-color-coded-hex-l-key-set-inch")</f>
        <v>https://edmondsonsupply.com/collections/hvac/products/wiha-tools-66981-13-piece-ball-end-color-coded-hex-l-key-set-inch</v>
      </c>
      <c r="B1985"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1985" t="s">
        <v>4747</v>
      </c>
      <c r="D1985" t="s">
        <v>5358</v>
      </c>
      <c r="E1985" s="3" t="str">
        <f>HYPERLINK("https://www.amazon.com/Wiha-66988-ErgoStar-L-Key-13-Piece/dp/B00CJC51MO/ref=sr_1_1?keywords=Wiha+Tools+66981+13+Piece+Ball+End+Color+Coded+Hex+L-Key+Set+-+Inch&amp;qid=1695173728&amp;sr=8-1", "https://www.amazon.com/Wiha-66988-ErgoStar-L-Key-13-Piece/dp/B00CJC51MO/ref=sr_1_1?keywords=Wiha+Tools+66981+13+Piece+Ball+End+Color+Coded+Hex+L-Key+Set+-+Inch&amp;qid=1695173728&amp;sr=8-1")</f>
        <v>https://www.amazon.com/Wiha-66988-ErgoStar-L-Key-13-Piece/dp/B00CJC51MO/ref=sr_1_1?keywords=Wiha+Tools+66981+13+Piece+Ball+End+Color+Coded+Hex+L-Key+Set+-+Inch&amp;qid=1695173728&amp;sr=8-1</v>
      </c>
      <c r="F1985" t="s">
        <v>5359</v>
      </c>
      <c r="G1985" t="e">
        <f ca="1">_xludf.IMAGE("https://edmondsonsupply.com/cdn/shop/files/d46e6f2ecefba25ae78922fd12be8f1dc56b6ee6_1000x_1d9d5bc7-c590-4e82-817a-f70a00b88949.webp?v=1690834995")</f>
        <v>#NAME?</v>
      </c>
      <c r="H1985" t="e">
        <f ca="1">_xludf.IMAGE("https://m.media-amazon.com/images/I/61pC3xkuvsL._AC_UL320_.jpg")</f>
        <v>#NAME?</v>
      </c>
      <c r="I1985" t="s">
        <v>4750</v>
      </c>
      <c r="J1985">
        <v>40.39</v>
      </c>
      <c r="K1985" s="4">
        <v>-0.24390000000000001</v>
      </c>
      <c r="L1985">
        <v>4.7</v>
      </c>
      <c r="M1985">
        <v>152</v>
      </c>
      <c r="O1985" t="s">
        <v>25</v>
      </c>
      <c r="P1985" t="s">
        <v>4751</v>
      </c>
      <c r="Q1985" t="s">
        <v>4752</v>
      </c>
    </row>
    <row r="1986" spans="1:17" ht="15.5" x14ac:dyDescent="0.35">
      <c r="A1986" s="3" t="str">
        <f>HYPERLINK("https://edmondsonsupply.com/collections/hvac/products/supco-spp6e-super-boost-e-series-electronic-potential-relay-hard-start-capacitor", "https://edmondsonsupply.com/collections/hvac/products/supco-spp6e-super-boost-e-series-electronic-potential-relay-hard-start-capacitor")</f>
        <v>https://edmondsonsupply.com/collections/hvac/products/supco-spp6e-super-boost-e-series-electronic-potential-relay-hard-start-capacitor</v>
      </c>
      <c r="B1986" s="3" t="str">
        <f>HYPERLINK("https://edmondsonsupply.com/products/supco-spp6e-super-boost-e-series-electronic-potential-relay-hard-start-capacitor", "https://edmondsonsupply.com/products/supco-spp6e-super-boost-e-series-electronic-potential-relay-hard-start-capacitor")</f>
        <v>https://edmondsonsupply.com/products/supco-spp6e-super-boost-e-series-electronic-potential-relay-hard-start-capacitor</v>
      </c>
      <c r="C1986" t="s">
        <v>4769</v>
      </c>
      <c r="D1986" t="s">
        <v>5360</v>
      </c>
      <c r="E1986" s="3" t="str">
        <f>HYPERLINK("https://www.amazon.com/Capacitor-Electronic-Potential-Horsepower-88-106F/dp/B08TWDDDDG/ref=sr_1_2?keywords=Supco+SPP6E+Super+Boost+E+Series+Electronic+Potential+Relay%2FHard+Start+Capacitor&amp;qid=1695173438&amp;sr=8-2", "https://www.amazon.com/Capacitor-Electronic-Potential-Horsepower-88-106F/dp/B08TWDDDDG/ref=sr_1_2?keywords=Supco+SPP6E+Super+Boost+E+Series+Electronic+Potential+Relay%2FHard+Start+Capacitor&amp;qid=1695173438&amp;sr=8-2")</f>
        <v>https://www.amazon.com/Capacitor-Electronic-Potential-Horsepower-88-106F/dp/B08TWDDDDG/ref=sr_1_2?keywords=Supco+SPP6E+Super+Boost+E+Series+Electronic+Potential+Relay%2FHard+Start+Capacitor&amp;qid=1695173438&amp;sr=8-2</v>
      </c>
      <c r="F1986" t="s">
        <v>5361</v>
      </c>
      <c r="G1986" t="e">
        <f ca="1">_xludf.IMAGE("https://edmondsonsupply.com/cdn/shop/products/57_2_e5a6f6c4-64ac-4a3f-a1cc-c6509993a3e9.jpg?v=1654215635")</f>
        <v>#NAME?</v>
      </c>
      <c r="H1986" t="e">
        <f ca="1">_xludf.IMAGE("https://m.media-amazon.com/images/I/61wnSy0KdFS._AC_UY218_.jpg")</f>
        <v>#NAME?</v>
      </c>
      <c r="I1986" t="s">
        <v>4772</v>
      </c>
      <c r="J1986">
        <v>16.989999999999998</v>
      </c>
      <c r="K1986" s="4">
        <v>-0.24490000000000001</v>
      </c>
      <c r="L1986">
        <v>4</v>
      </c>
      <c r="M1986">
        <v>4</v>
      </c>
      <c r="O1986" t="s">
        <v>25</v>
      </c>
      <c r="P1986" t="s">
        <v>138</v>
      </c>
      <c r="Q1986" t="s">
        <v>4773</v>
      </c>
    </row>
    <row r="1987" spans="1:17" ht="15.5" x14ac:dyDescent="0.35">
      <c r="A1987" s="3" t="str">
        <f>HYPERLINK("https://edmondsonsupply.com/collections/hvac/products/klein-tools-33736ins", "https://edmondsonsupply.com/collections/hvac/products/klein-tools-33736ins")</f>
        <v>https://edmondsonsupply.com/collections/hvac/products/klein-tools-33736ins</v>
      </c>
      <c r="B1987" s="3" t="str">
        <f>HYPERLINK("https://edmondsonsupply.com/products/klein-tools-33736ins", "https://edmondsonsupply.com/products/klein-tools-33736ins")</f>
        <v>https://edmondsonsupply.com/products/klein-tools-33736ins</v>
      </c>
      <c r="C1987" t="s">
        <v>1928</v>
      </c>
      <c r="D1987" t="s">
        <v>2798</v>
      </c>
      <c r="E1987" s="3" t="str">
        <f>HYPERLINK("https://www.amazon.com/Klein-Tools-33734INS-Insulated-Screwdriver/dp/B088NQ1D2B/ref=sr_1_4?keywords=Klein+Tools+33736INS+Screwdriver+Set%2C+1000V+Slim-Tip+Insulated+and+Magnetizer%2C+6-Piece&amp;qid=1695173604&amp;sr=8-4", "https://www.amazon.com/Klein-Tools-33734INS-Insulated-Screwdriver/dp/B088NQ1D2B/ref=sr_1_4?keywords=Klein+Tools+33736INS+Screwdriver+Set%2C+1000V+Slim-Tip+Insulated+and+Magnetizer%2C+6-Piece&amp;qid=1695173604&amp;sr=8-4")</f>
        <v>https://www.amazon.com/Klein-Tools-33734INS-Insulated-Screwdriver/dp/B088NQ1D2B/ref=sr_1_4?keywords=Klein+Tools+33736INS+Screwdriver+Set%2C+1000V+Slim-Tip+Insulated+and+Magnetizer%2C+6-Piece&amp;qid=1695173604&amp;sr=8-4</v>
      </c>
      <c r="F1987" t="s">
        <v>2799</v>
      </c>
      <c r="G1987" t="e">
        <f ca="1">_xludf.IMAGE("https://edmondsonsupply.com/cdn/shop/products/33736ins.jpg?v=1664807705")</f>
        <v>#NAME?</v>
      </c>
      <c r="H1987" t="e">
        <f ca="1">_xludf.IMAGE("https://m.media-amazon.com/images/I/41+LCtq0IpL._AC_UL320_.jpg")</f>
        <v>#NAME?</v>
      </c>
      <c r="I1987" t="s">
        <v>1931</v>
      </c>
      <c r="J1987">
        <v>37.700000000000003</v>
      </c>
      <c r="K1987" s="4">
        <v>-0.24579999999999999</v>
      </c>
      <c r="L1987">
        <v>4.8</v>
      </c>
      <c r="M1987">
        <v>1361</v>
      </c>
      <c r="O1987" t="s">
        <v>25</v>
      </c>
      <c r="P1987" t="s">
        <v>1932</v>
      </c>
      <c r="Q1987" t="s">
        <v>1933</v>
      </c>
    </row>
    <row r="1988" spans="1:17" ht="15.5" x14ac:dyDescent="0.35">
      <c r="A1988" s="3" t="str">
        <f>HYPERLINK("https://edmondsonsupply.com/collections/hvac/products/icm-controls-icm286-furnace-control-board-replacement-for-goodman-pcbbf112s-b1809926s-0130f00005s", "https://edmondsonsupply.com/collections/hvac/products/icm-controls-icm286-furnace-control-board-replacement-for-goodman-pcbbf112s-b1809926s-0130f00005s")</f>
        <v>https://edmondsonsupply.com/collections/hvac/products/icm-controls-icm286-furnace-control-board-replacement-for-goodman-pcbbf112s-b1809926s-0130f00005s</v>
      </c>
      <c r="B1988" s="3" t="str">
        <f>HYPERLINK("https://edmondsonsupply.com/products/icm-controls-icm286-furnace-control-board-replacement-for-goodman-pcbbf112s-b1809926s-0130f00005s", "https://edmondsonsupply.com/products/icm-controls-icm286-furnace-control-board-replacement-for-goodman-pcbbf112s-b1809926s-0130f00005s")</f>
        <v>https://edmondsonsupply.com/products/icm-controls-icm286-furnace-control-board-replacement-for-goodman-pcbbf112s-b1809926s-0130f00005s</v>
      </c>
      <c r="C1988" t="s">
        <v>1540</v>
      </c>
      <c r="D1988" t="s">
        <v>5362</v>
      </c>
      <c r="E1988" s="3" t="str">
        <f>HYPERLINK("https://www.amazon.com/Upgraded-Replacement-Goodman-Furnace-PCBFM131S/dp/B00EF5PRUY/ref=sr_1_8?keywords=ICM+Controls+ICM2811+Furnace+Control+Board+-+Replacement+for+Goodman&amp;qid=1695173453&amp;sr=8-8", "https://www.amazon.com/Upgraded-Replacement-Goodman-Furnace-PCBFM131S/dp/B00EF5PRUY/ref=sr_1_8?keywords=ICM+Controls+ICM2811+Furnace+Control+Board+-+Replacement+for+Goodman&amp;qid=1695173453&amp;sr=8-8")</f>
        <v>https://www.amazon.com/Upgraded-Replacement-Goodman-Furnace-PCBFM131S/dp/B00EF5PRUY/ref=sr_1_8?keywords=ICM+Controls+ICM2811+Furnace+Control+Board+-+Replacement+for+Goodman&amp;qid=1695173453&amp;sr=8-8</v>
      </c>
      <c r="F1988" t="s">
        <v>5363</v>
      </c>
      <c r="G1988" t="e">
        <f ca="1">_xludf.IMAGE("https://edmondsonsupply.com/cdn/shop/products/photo_3800_medium_86f45e25-a764-4839-bc84-759a6ce1c7bd.jpg?v=1659910436")</f>
        <v>#NAME?</v>
      </c>
      <c r="H1988" t="e">
        <f ca="1">_xludf.IMAGE("https://m.media-amazon.com/images/I/41HEfw3S1vL._AC_UL320_.jpg")</f>
        <v>#NAME?</v>
      </c>
      <c r="I1988" t="s">
        <v>1543</v>
      </c>
      <c r="J1988">
        <v>51.99</v>
      </c>
      <c r="K1988" s="4">
        <v>-0.24640000000000001</v>
      </c>
      <c r="L1988">
        <v>5</v>
      </c>
      <c r="M1988">
        <v>2</v>
      </c>
      <c r="O1988" t="s">
        <v>25</v>
      </c>
      <c r="P1988" t="s">
        <v>1544</v>
      </c>
      <c r="Q1988" t="s">
        <v>1545</v>
      </c>
    </row>
    <row r="1989" spans="1:17" ht="15.5" x14ac:dyDescent="0.35">
      <c r="A1989" s="3" t="str">
        <f>HYPERLINK("https://edmondsonsupply.com/collections/hvac/products/fieldpiece-dr58-heated-diode-refrigerant-leak-detector", "https://edmondsonsupply.com/collections/hvac/products/fieldpiece-dr58-heated-diode-refrigerant-leak-detector")</f>
        <v>https://edmondsonsupply.com/collections/hvac/products/fieldpiece-dr58-heated-diode-refrigerant-leak-detector</v>
      </c>
      <c r="B1989" s="3" t="str">
        <f>HYPERLINK("https://edmondsonsupply.com/products/fieldpiece-dr58-heated-diode-refrigerant-leak-detector", "https://edmondsonsupply.com/products/fieldpiece-dr58-heated-diode-refrigerant-leak-detector")</f>
        <v>https://edmondsonsupply.com/products/fieldpiece-dr58-heated-diode-refrigerant-leak-detector</v>
      </c>
      <c r="C1989" t="s">
        <v>4597</v>
      </c>
      <c r="D1989" t="s">
        <v>5364</v>
      </c>
      <c r="E1989" s="3" t="str">
        <f>HYPERLINK("https://www.amazon.com/Elitech-IR-200-Infrared-Refrigerant-Sensitivity/dp/B083J25Z4X/ref=sr_1_3?keywords=Fieldpiece+DR58+Heated+Diode+Refrigerant+Leak+Detector&amp;qid=1695173453&amp;sr=8-3", "https://www.amazon.com/Elitech-IR-200-Infrared-Refrigerant-Sensitivity/dp/B083J25Z4X/ref=sr_1_3?keywords=Fieldpiece+DR58+Heated+Diode+Refrigerant+Leak+Detector&amp;qid=1695173453&amp;sr=8-3")</f>
        <v>https://www.amazon.com/Elitech-IR-200-Infrared-Refrigerant-Sensitivity/dp/B083J25Z4X/ref=sr_1_3?keywords=Fieldpiece+DR58+Heated+Diode+Refrigerant+Leak+Detector&amp;qid=1695173453&amp;sr=8-3</v>
      </c>
      <c r="F1989" t="s">
        <v>5365</v>
      </c>
      <c r="G1989" t="e">
        <f ca="1">_xludf.IMAGE("https://edmondsonsupply.com/cdn/shop/products/DR58-Product-01-300dpi-scaled.jpg?v=1633031059")</f>
        <v>#NAME?</v>
      </c>
      <c r="H1989" t="e">
        <f ca="1">_xludf.IMAGE("https://m.media-amazon.com/images/I/51yhOrm1x-L._AC_UL320_.jpg")</f>
        <v>#NAME?</v>
      </c>
      <c r="I1989" t="s">
        <v>4600</v>
      </c>
      <c r="J1989">
        <v>249.99</v>
      </c>
      <c r="K1989" s="4">
        <v>-0.24779999999999999</v>
      </c>
      <c r="L1989">
        <v>4.5999999999999996</v>
      </c>
      <c r="M1989">
        <v>741</v>
      </c>
      <c r="O1989" t="s">
        <v>25</v>
      </c>
      <c r="P1989" t="s">
        <v>3327</v>
      </c>
      <c r="Q1989" t="s">
        <v>4601</v>
      </c>
    </row>
    <row r="1990" spans="1:17" ht="15.5" x14ac:dyDescent="0.35">
      <c r="A1990" s="3" t="str">
        <f>HYPERLINK("https://edmondsonsupply.com/collections/hvac/products/klein-tools-55421bp-14-tradesman-pro%E2%84%A2-tool-bag-backpack-39-pockets-black-14-inch", "https://edmondsonsupply.com/collections/hvac/products/klein-tools-55421bp-14-tradesman-pro%E2%84%A2-tool-bag-backpack-39-pockets-black-14-inch")</f>
        <v>https://edmondsonsupply.com/collections/hvac/products/klein-tools-55421bp-14-tradesman-pro%E2%84%A2-tool-bag-backpack-39-pockets-black-14-inch</v>
      </c>
      <c r="B1990"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1990" t="s">
        <v>542</v>
      </c>
      <c r="D1990" t="s">
        <v>746</v>
      </c>
      <c r="E1990" s="3" t="str">
        <f>HYPERLINK("https://www.amazon.com/Electrician-Tradesman-Klein-Tools-55421BP14CAMO/dp/B00VX5P8XK/ref=sr_1_2?keywords=Klein+Tools+55421BP-14+Tradesman+Pro%E2%84%A2+Tool+Bag+Backpack%2C+39+Pockets%2C+Black%2C+14-Inch&amp;qid=1695173508&amp;sr=8-2", "https://www.amazon.com/Electrician-Tradesman-Klein-Tools-55421BP14CAMO/dp/B00VX5P8XK/ref=sr_1_2?keywords=Klein+Tools+55421BP-14+Tradesman+Pro%E2%84%A2+Tool+Bag+Backpack%2C+39+Pockets%2C+Black%2C+14-Inch&amp;qid=1695173508&amp;sr=8-2")</f>
        <v>https://www.amazon.com/Electrician-Tradesman-Klein-Tools-55421BP14CAMO/dp/B00VX5P8XK/ref=sr_1_2?keywords=Klein+Tools+55421BP-14+Tradesman+Pro%E2%84%A2+Tool+Bag+Backpack%2C+39+Pockets%2C+Black%2C+14-Inch&amp;qid=1695173508&amp;sr=8-2</v>
      </c>
      <c r="F1990" t="s">
        <v>747</v>
      </c>
      <c r="G1990" t="e">
        <f ca="1">_xludf.IMAGE("https://edmondsonsupply.com/cdn/shop/products/55421bp-14_photo.jpg?v=1660827337")</f>
        <v>#NAME?</v>
      </c>
      <c r="H1990" t="e">
        <f ca="1">_xludf.IMAGE("https://m.media-amazon.com/images/I/71tSAVLDR+L._AC_UL320_.jpg")</f>
        <v>#NAME?</v>
      </c>
      <c r="I1990" t="s">
        <v>545</v>
      </c>
      <c r="J1990">
        <v>75</v>
      </c>
      <c r="K1990" s="4">
        <v>-0.24979999999999999</v>
      </c>
      <c r="L1990">
        <v>4.8</v>
      </c>
      <c r="M1990">
        <v>1763</v>
      </c>
      <c r="O1990" t="s">
        <v>25</v>
      </c>
      <c r="P1990" t="s">
        <v>546</v>
      </c>
      <c r="Q1990" t="s">
        <v>547</v>
      </c>
    </row>
    <row r="1991" spans="1:17" ht="15.5" x14ac:dyDescent="0.35">
      <c r="A1991" s="3" t="str">
        <f>HYPERLINK("https://edmondsonsupply.com/collections/hvac/products/klein-tools-k12065cr-klein-kurve%C2%AE-heavy-duty-wire-stripper-crimper-8-20-awg", "https://edmondsonsupply.com/collections/hvac/products/klein-tools-k12065cr-klein-kurve%C2%AE-heavy-duty-wire-stripper-crimper-8-20-awg")</f>
        <v>https://edmondsonsupply.com/collections/hvac/products/klein-tools-k12065cr-klein-kurve%C2%AE-heavy-duty-wire-stripper-crimper-8-20-awg</v>
      </c>
      <c r="B1991"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1991" t="s">
        <v>3174</v>
      </c>
      <c r="D1991" t="s">
        <v>5178</v>
      </c>
      <c r="E1991" s="3" t="str">
        <f>HYPERLINK("https://www.amazon.com/Stripper-Electrical-Klein-Tools-11063W/dp/B00BC39YFQ/ref=sr_1_6?keywords=Klein+Tools+K12065CR+Klein-Kurve%C2%AE+Heavy-Duty+Wire+Stripper+%2F+Cutter+%2F+Crimper+Multi+Tool%2C+8-20+AWG&amp;qid=1695173475&amp;sr=8-6", "https://www.amazon.com/Stripper-Electrical-Klein-Tools-11063W/dp/B00BC39YFQ/ref=sr_1_6?keywords=Klein+Tools+K12065CR+Klein-Kurve%C2%AE+Heavy-Duty+Wire+Stripper+%2F+Cutter+%2F+Crimper+Multi+Tool%2C+8-20+AWG&amp;qid=1695173475&amp;sr=8-6")</f>
        <v>https://www.amazon.com/Stripper-Electrical-Klein-Tools-11063W/dp/B00BC39YFQ/ref=sr_1_6?keywords=Klein+Tools+K12065CR+Klein-Kurve%C2%AE+Heavy-Duty+Wire+Stripper+%2F+Cutter+%2F+Crimper+Multi+Tool%2C+8-20+AWG&amp;qid=1695173475&amp;sr=8-6</v>
      </c>
      <c r="F1991" t="s">
        <v>5179</v>
      </c>
      <c r="G1991" t="e">
        <f ca="1">_xludf.IMAGE("https://edmondsonsupply.com/cdn/shop/products/k12065cr_b.jpg?v=1650066835")</f>
        <v>#NAME?</v>
      </c>
      <c r="H1991" t="e">
        <f ca="1">_xludf.IMAGE("https://m.media-amazon.com/images/I/51cWJR-r31L._AC_UL320_.jpg")</f>
        <v>#NAME?</v>
      </c>
      <c r="I1991" t="s">
        <v>246</v>
      </c>
      <c r="J1991">
        <v>29.97</v>
      </c>
      <c r="K1991" s="4">
        <v>-0.25019999999999998</v>
      </c>
      <c r="L1991">
        <v>4.8</v>
      </c>
      <c r="M1991">
        <v>9121</v>
      </c>
      <c r="O1991" t="s">
        <v>25</v>
      </c>
      <c r="P1991" t="s">
        <v>3177</v>
      </c>
      <c r="Q1991" t="s">
        <v>3178</v>
      </c>
    </row>
    <row r="1992" spans="1:17" ht="15.5" x14ac:dyDescent="0.35">
      <c r="A1992" s="3" t="str">
        <f>HYPERLINK("https://edmondsonsupply.com/collections/hvac/products/wiha-tools-66981-13-piece-ball-end-color-coded-hex-l-key-set-inch", "https://edmondsonsupply.com/collections/hvac/products/wiha-tools-66981-13-piece-ball-end-color-coded-hex-l-key-set-inch")</f>
        <v>https://edmondsonsupply.com/collections/hvac/products/wiha-tools-66981-13-piece-ball-end-color-coded-hex-l-key-set-inch</v>
      </c>
      <c r="B1992"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1992" t="s">
        <v>4747</v>
      </c>
      <c r="D1992" t="s">
        <v>4396</v>
      </c>
      <c r="E1992" s="3" t="str">
        <f>HYPERLINK("https://www.amazon.com/Wiha-66991-MagicRing-Holder-Piece/dp/B000WTAK2C/ref=sr_1_6?keywords=Wiha+Tools+66981+13+Piece+Ball+End+Color+Coded+Hex+L-Key+Set+-+Inch&amp;qid=1695173728&amp;sr=8-6", "https://www.amazon.com/Wiha-66991-MagicRing-Holder-Piece/dp/B000WTAK2C/ref=sr_1_6?keywords=Wiha+Tools+66981+13+Piece+Ball+End+Color+Coded+Hex+L-Key+Set+-+Inch&amp;qid=1695173728&amp;sr=8-6")</f>
        <v>https://www.amazon.com/Wiha-66991-MagicRing-Holder-Piece/dp/B000WTAK2C/ref=sr_1_6?keywords=Wiha+Tools+66981+13+Piece+Ball+End+Color+Coded+Hex+L-Key+Set+-+Inch&amp;qid=1695173728&amp;sr=8-6</v>
      </c>
      <c r="F1992" t="s">
        <v>4397</v>
      </c>
      <c r="G1992" t="e">
        <f ca="1">_xludf.IMAGE("https://edmondsonsupply.com/cdn/shop/files/d46e6f2ecefba25ae78922fd12be8f1dc56b6ee6_1000x_1d9d5bc7-c590-4e82-817a-f70a00b88949.webp?v=1690834995")</f>
        <v>#NAME?</v>
      </c>
      <c r="H1992" t="e">
        <f ca="1">_xludf.IMAGE("https://m.media-amazon.com/images/I/61jqxmDwZLL._AC_UL320_.jpg")</f>
        <v>#NAME?</v>
      </c>
      <c r="I1992" t="s">
        <v>4750</v>
      </c>
      <c r="J1992">
        <v>39.99</v>
      </c>
      <c r="K1992" s="4">
        <v>-0.25140000000000001</v>
      </c>
      <c r="L1992">
        <v>4.8</v>
      </c>
      <c r="M1992">
        <v>17</v>
      </c>
      <c r="O1992" t="s">
        <v>25</v>
      </c>
      <c r="P1992" t="s">
        <v>4751</v>
      </c>
      <c r="Q1992" t="s">
        <v>4752</v>
      </c>
    </row>
    <row r="1993" spans="1:17" ht="15.5" x14ac:dyDescent="0.35">
      <c r="A1993" s="3" t="str">
        <f>HYPERLINK("https://edmondsonsupply.com/collections/hvac/products/refrigeration-technologies-rt201bp-viper-nylog-blue-gasket-thread-sealant-2-pack", "https://edmondsonsupply.com/collections/hvac/products/refrigeration-technologies-rt201bp-viper-nylog-blue-gasket-thread-sealant-2-pack")</f>
        <v>https://edmondsonsupply.com/collections/hvac/products/refrigeration-technologies-rt201bp-viper-nylog-blue-gasket-thread-sealant-2-pack</v>
      </c>
      <c r="B1993" s="3" t="str">
        <f>HYPERLINK("https://edmondsonsupply.com/products/refrigeration-technologies-rt201bp-viper-nylog-blue-gasket-thread-sealant-2-pack", "https://edmondsonsupply.com/products/refrigeration-technologies-rt201bp-viper-nylog-blue-gasket-thread-sealant-2-pack")</f>
        <v>https://edmondsonsupply.com/products/refrigeration-technologies-rt201bp-viper-nylog-blue-gasket-thread-sealant-2-pack</v>
      </c>
      <c r="C1993" t="s">
        <v>5366</v>
      </c>
      <c r="D1993" t="s">
        <v>2752</v>
      </c>
      <c r="E1993" s="3" t="str">
        <f>HYPERLINK("https://www.amazon.com/Refrigeration-Technologies-Sealant-RT201BP-RT200RP/dp/B0BYX4DYVL/ref=sr_1_1?keywords=Refrigeration+Technologies+RT201BP+Viper+Nylog+Blue+-+Gasket&amp;qid=1695173393&amp;sr=8-1", "https://www.amazon.com/Refrigeration-Technologies-Sealant-RT201BP-RT200RP/dp/B0BYX4DYVL/ref=sr_1_1?keywords=Refrigeration+Technologies+RT201BP+Viper+Nylog+Blue+-+Gasket&amp;qid=1695173393&amp;sr=8-1")</f>
        <v>https://www.amazon.com/Refrigeration-Technologies-Sealant-RT201BP-RT200RP/dp/B0BYX4DYVL/ref=sr_1_1?keywords=Refrigeration+Technologies+RT201BP+Viper+Nylog+Blue+-+Gasket&amp;qid=1695173393&amp;sr=8-1</v>
      </c>
      <c r="F1993" t="s">
        <v>2753</v>
      </c>
      <c r="G1993" t="e">
        <f ca="1">_xludf.IMAGE("https://edmondsonsupply.com/cdn/shop/products/Nylog-BLUE-Dual-Pack-3D-Rendering_A-scaled.jpg?v=1633030975")</f>
        <v>#NAME?</v>
      </c>
      <c r="H1993" t="e">
        <f ca="1">_xludf.IMAGE("https://m.media-amazon.com/images/I/61U3Xd3-VnL._AC_UY218_.jpg")</f>
        <v>#NAME?</v>
      </c>
      <c r="I1993" t="s">
        <v>5367</v>
      </c>
      <c r="J1993">
        <v>11.99</v>
      </c>
      <c r="K1993" s="4">
        <v>-0.25159999999999999</v>
      </c>
      <c r="L1993">
        <v>4.5999999999999996</v>
      </c>
      <c r="M1993">
        <v>3</v>
      </c>
      <c r="O1993" t="s">
        <v>25</v>
      </c>
      <c r="P1993" t="s">
        <v>5368</v>
      </c>
      <c r="Q1993" t="s">
        <v>5369</v>
      </c>
    </row>
    <row r="1994" spans="1:17" ht="15.5" x14ac:dyDescent="0.35">
      <c r="A1994" s="3" t="str">
        <f>HYPERLINK("https://edmondsonsupply.com/collections/hvac/products/5-2-1-csru1", "https://edmondsonsupply.com/collections/hvac/products/5-2-1-csru1")</f>
        <v>https://edmondsonsupply.com/collections/hvac/products/5-2-1-csru1</v>
      </c>
      <c r="B1994" s="3" t="str">
        <f>HYPERLINK("https://edmondsonsupply.com/products/5-2-1-csru1", "https://edmondsonsupply.com/products/5-2-1-csru1")</f>
        <v>https://edmondsonsupply.com/products/5-2-1-csru1</v>
      </c>
      <c r="C1994" t="s">
        <v>3321</v>
      </c>
      <c r="D1994" t="s">
        <v>5370</v>
      </c>
      <c r="E1994" s="3" t="str">
        <f>HYPERLINK("https://www.amazon.com/Ultra-Durable-CSR-U1-Compressor-Capacitor/dp/B07X463KD1/ref=sr_1_2?keywords=5-2-1+CSRU1+Compressor+Saver%2C+1+to+3+Tons&amp;qid=1695173572&amp;sr=8-2", "https://www.amazon.com/Ultra-Durable-CSR-U1-Compressor-Capacitor/dp/B07X463KD1/ref=sr_1_2?keywords=5-2-1+CSRU1+Compressor+Saver%2C+1+to+3+Tons&amp;qid=1695173572&amp;sr=8-2")</f>
        <v>https://www.amazon.com/Ultra-Durable-CSR-U1-Compressor-Capacitor/dp/B07X463KD1/ref=sr_1_2?keywords=5-2-1+CSRU1+Compressor+Saver%2C+1+to+3+Tons&amp;qid=1695173572&amp;sr=8-2</v>
      </c>
      <c r="F1994" t="s">
        <v>5371</v>
      </c>
      <c r="G1994" t="e">
        <f ca="1">_xludf.IMAGE("https://edmondsonsupply.com/cdn/shop/products/CSRU1.jpg?v=1633030087")</f>
        <v>#NAME?</v>
      </c>
      <c r="H1994" t="e">
        <f ca="1">_xludf.IMAGE("https://m.media-amazon.com/images/I/81Ceo3rAywL._AC_UL320_.jpg")</f>
        <v>#NAME?</v>
      </c>
      <c r="I1994" t="s">
        <v>3324</v>
      </c>
      <c r="J1994">
        <v>25.89</v>
      </c>
      <c r="K1994" s="4">
        <v>-0.25219999999999998</v>
      </c>
      <c r="L1994">
        <v>4.0999999999999996</v>
      </c>
      <c r="M1994">
        <v>159</v>
      </c>
      <c r="O1994" t="s">
        <v>25</v>
      </c>
      <c r="P1994" t="s">
        <v>1307</v>
      </c>
      <c r="Q1994" t="s">
        <v>3325</v>
      </c>
    </row>
    <row r="1995" spans="1:17" ht="15.5" x14ac:dyDescent="0.35">
      <c r="A1995" s="3" t="str">
        <f>HYPERLINK("https://edmondsonsupply.com/collections/hvac/products/packard-prmj145a-motor-start-capacitor-145-174-mfd", "https://edmondsonsupply.com/collections/hvac/products/packard-prmj145a-motor-start-capacitor-145-174-mfd")</f>
        <v>https://edmondsonsupply.com/collections/hvac/products/packard-prmj145a-motor-start-capacitor-145-174-mfd</v>
      </c>
      <c r="B1995" s="3" t="str">
        <f>HYPERLINK("https://edmondsonsupply.com/products/packard-prmj145a-motor-start-capacitor-145-174-mfd", "https://edmondsonsupply.com/products/packard-prmj145a-motor-start-capacitor-145-174-mfd")</f>
        <v>https://edmondsonsupply.com/products/packard-prmj145a-motor-start-capacitor-145-174-mfd</v>
      </c>
      <c r="C1995" t="s">
        <v>2227</v>
      </c>
      <c r="D1995" t="s">
        <v>5372</v>
      </c>
      <c r="E1995" s="3" t="str">
        <f>HYPERLINK("https://www.amazon.com/Packard-PRMJ145-Start-Capacitor-145-174/dp/B005YN6RNW/ref=sr_1_5?keywords=Packard+PRMJ145A+Motor+Start+Capacitor+145-174+MFD&amp;qid=1695173645&amp;sr=8-5", "https://www.amazon.com/Packard-PRMJ145-Start-Capacitor-145-174/dp/B005YN6RNW/ref=sr_1_5?keywords=Packard+PRMJ145A+Motor+Start+Capacitor+145-174+MFD&amp;qid=1695173645&amp;sr=8-5")</f>
        <v>https://www.amazon.com/Packard-PRMJ145-Start-Capacitor-145-174/dp/B005YN6RNW/ref=sr_1_5?keywords=Packard+PRMJ145A+Motor+Start+Capacitor+145-174+MFD&amp;qid=1695173645&amp;sr=8-5</v>
      </c>
      <c r="F1995" t="s">
        <v>5373</v>
      </c>
      <c r="G1995" t="e">
        <f ca="1">_xludf.IMAGE("https://edmondsonsupply.com/cdn/shop/products/PRMJ145A-2.jpg?v=1633030335")</f>
        <v>#NAME?</v>
      </c>
      <c r="H1995" t="e">
        <f ca="1">_xludf.IMAGE("https://m.media-amazon.com/images/I/31xnz7ICOzL._AC_UY218_.jpg")</f>
        <v>#NAME?</v>
      </c>
      <c r="I1995" t="s">
        <v>2230</v>
      </c>
      <c r="J1995">
        <v>5.59</v>
      </c>
      <c r="K1995" s="4">
        <v>-0.25569999999999998</v>
      </c>
      <c r="L1995">
        <v>4.9000000000000004</v>
      </c>
      <c r="M1995">
        <v>16</v>
      </c>
      <c r="O1995" t="s">
        <v>25</v>
      </c>
      <c r="P1995" t="s">
        <v>138</v>
      </c>
      <c r="Q1995" t="s">
        <v>2231</v>
      </c>
    </row>
    <row r="1996" spans="1:17" ht="15.5" x14ac:dyDescent="0.35">
      <c r="A1996" s="3" t="str">
        <f>HYPERLINK("https://edmondsonsupply.com/collections/hvac/products/channellock-430cb", "https://edmondsonsupply.com/collections/hvac/products/channellock-430cb")</f>
        <v>https://edmondsonsupply.com/collections/hvac/products/channellock-430cb</v>
      </c>
      <c r="B1996" s="3" t="str">
        <f>HYPERLINK("https://edmondsonsupply.com/products/channellock-430cb", "https://edmondsonsupply.com/products/channellock-430cb")</f>
        <v>https://edmondsonsupply.com/products/channellock-430cb</v>
      </c>
      <c r="C1996" t="s">
        <v>5374</v>
      </c>
      <c r="D1996" t="s">
        <v>3909</v>
      </c>
      <c r="E1996" s="3" t="str">
        <f>HYPERLINK("https://www.amazon.com/Channellock-430-Straight-Heat-Treated-Reinforcing/dp/B00002N5JF/ref=sr_1_2?keywords=Channellock+430CB+10%22+Code+Blue+Straight+Jaw+Tongue+%26+Groove+Pliers&amp;qid=1695173559&amp;sr=8-2", "https://www.amazon.com/Channellock-430-Straight-Heat-Treated-Reinforcing/dp/B00002N5JF/ref=sr_1_2?keywords=Channellock+430CB+10%22+Code+Blue+Straight+Jaw+Tongue+%26+Groove+Pliers&amp;qid=1695173559&amp;sr=8-2")</f>
        <v>https://www.amazon.com/Channellock-430-Straight-Heat-Treated-Reinforcing/dp/B00002N5JF/ref=sr_1_2?keywords=Channellock+430CB+10%22+Code+Blue+Straight+Jaw+Tongue+%26+Groove+Pliers&amp;qid=1695173559&amp;sr=8-2</v>
      </c>
      <c r="F1996" t="s">
        <v>3910</v>
      </c>
      <c r="G1996" t="e">
        <f ca="1">_xludf.IMAGE("https://edmondsonsupply.com/cdn/shop/products/430CB-683x1024.jpg?v=1587147133")</f>
        <v>#NAME?</v>
      </c>
      <c r="H1996" t="e">
        <f ca="1">_xludf.IMAGE("https://m.media-amazon.com/images/I/71JqgqffnnL._AC_UL320_.jpg")</f>
        <v>#NAME?</v>
      </c>
      <c r="I1996" t="s">
        <v>5375</v>
      </c>
      <c r="J1996">
        <v>19.95</v>
      </c>
      <c r="K1996" s="4">
        <v>-0.25969999999999999</v>
      </c>
      <c r="L1996">
        <v>4.8</v>
      </c>
      <c r="M1996">
        <v>2191</v>
      </c>
      <c r="O1996" t="s">
        <v>25</v>
      </c>
      <c r="P1996" t="s">
        <v>5376</v>
      </c>
      <c r="Q1996" t="s">
        <v>5377</v>
      </c>
    </row>
    <row r="1997" spans="1:17" ht="15.5" x14ac:dyDescent="0.35">
      <c r="A1997" s="3" t="str">
        <f>HYPERLINK("https://edmondsonsupply.com/collections/hvac/products/fluke-376", "https://edmondsonsupply.com/collections/hvac/products/fluke-376")</f>
        <v>https://edmondsonsupply.com/collections/hvac/products/fluke-376</v>
      </c>
      <c r="B1997" s="3" t="str">
        <f>HYPERLINK("https://edmondsonsupply.com/products/fluke-376", "https://edmondsonsupply.com/products/fluke-376")</f>
        <v>https://edmondsonsupply.com/products/fluke-376</v>
      </c>
      <c r="C1997" t="s">
        <v>3766</v>
      </c>
      <c r="D1997" t="s">
        <v>5378</v>
      </c>
      <c r="E1997" s="3" t="str">
        <f>HYPERLINK("https://www.amazon.com/Fluke-True-Clamp-Meter-iFlex/dp/B0086963VC/ref=sr_1_3?keywords=Fluke+376+FC+Wireless+True-RMS+AC%2FDC+Clamp+Meter+with+iFlex&amp;qid=1695173543&amp;sr=8-3", "https://www.amazon.com/Fluke-True-Clamp-Meter-iFlex/dp/B0086963VC/ref=sr_1_3?keywords=Fluke+376+FC+Wireless+True-RMS+AC%2FDC+Clamp+Meter+with+iFlex&amp;qid=1695173543&amp;sr=8-3")</f>
        <v>https://www.amazon.com/Fluke-True-Clamp-Meter-iFlex/dp/B0086963VC/ref=sr_1_3?keywords=Fluke+376+FC+Wireless+True-RMS+AC%2FDC+Clamp+Meter+with+iFlex&amp;qid=1695173543&amp;sr=8-3</v>
      </c>
      <c r="F1997" t="s">
        <v>5379</v>
      </c>
      <c r="G1997" t="e">
        <f ca="1">_xludf.IMAGE("https://edmondsonsupply.com/cdn/shop/products/f-376fc-16a-1500x1000.jpg?v=1633030274")</f>
        <v>#NAME?</v>
      </c>
      <c r="H1997" t="e">
        <f ca="1">_xludf.IMAGE("https://m.media-amazon.com/images/I/51g0DI2hCPL._AC_UY218_.jpg")</f>
        <v>#NAME?</v>
      </c>
      <c r="I1997" t="s">
        <v>3769</v>
      </c>
      <c r="J1997">
        <v>393</v>
      </c>
      <c r="K1997" s="4">
        <v>-0.2636</v>
      </c>
      <c r="L1997">
        <v>4.5</v>
      </c>
      <c r="M1997">
        <v>102</v>
      </c>
      <c r="O1997" t="s">
        <v>25</v>
      </c>
      <c r="P1997" t="s">
        <v>3770</v>
      </c>
      <c r="Q1997" t="s">
        <v>3771</v>
      </c>
    </row>
    <row r="1998" spans="1:17" ht="15.5" x14ac:dyDescent="0.35">
      <c r="A1998" s="3" t="str">
        <f>HYPERLINK("https://edmondsonsupply.com/collections/hvac/products/klein-tools-9230-tape-measure-30-foot-magnetic-double-hook", "https://edmondsonsupply.com/collections/hvac/products/klein-tools-9230-tape-measure-30-foot-magnetic-double-hook")</f>
        <v>https://edmondsonsupply.com/collections/hvac/products/klein-tools-9230-tape-measure-30-foot-magnetic-double-hook</v>
      </c>
      <c r="B1998" s="3" t="str">
        <f>HYPERLINK("https://edmondsonsupply.com/products/klein-tools-9230-tape-measure-30-foot-magnetic-double-hook", "https://edmondsonsupply.com/products/klein-tools-9230-tape-measure-30-foot-magnetic-double-hook")</f>
        <v>https://edmondsonsupply.com/products/klein-tools-9230-tape-measure-30-foot-magnetic-double-hook</v>
      </c>
      <c r="C1998" t="s">
        <v>5073</v>
      </c>
      <c r="D1998" t="s">
        <v>5380</v>
      </c>
      <c r="E1998" s="3" t="str">
        <f>HYPERLINK("https://www.amazon.com/Klein-Tools-Measure-Magnetic-Double-Hook/dp/B07WF9TKNN/ref=sr_1_3?keywords=Klein+Tools+9230+Tape+Measure%2C+30-Foot+Magnetic+Double-Hook&amp;qid=1695173665&amp;sr=8-3", "https://www.amazon.com/Klein-Tools-Measure-Magnetic-Double-Hook/dp/B07WF9TKNN/ref=sr_1_3?keywords=Klein+Tools+9230+Tape+Measure%2C+30-Foot+Magnetic+Double-Hook&amp;qid=1695173665&amp;sr=8-3")</f>
        <v>https://www.amazon.com/Klein-Tools-Measure-Magnetic-Double-Hook/dp/B07WF9TKNN/ref=sr_1_3?keywords=Klein+Tools+9230+Tape+Measure%2C+30-Foot+Magnetic+Double-Hook&amp;qid=1695173665&amp;sr=8-3</v>
      </c>
      <c r="F1998" t="s">
        <v>5381</v>
      </c>
      <c r="G1998" t="e">
        <f ca="1">_xludf.IMAGE("https://edmondsonsupply.com/cdn/shop/products/9230_photo.jpg?v=1587150845")</f>
        <v>#NAME?</v>
      </c>
      <c r="H1998" t="e">
        <f ca="1">_xludf.IMAGE("https://m.media-amazon.com/images/I/51-QFLUv4EL._AC_UL320_.jpg")</f>
        <v>#NAME?</v>
      </c>
      <c r="I1998" t="s">
        <v>4310</v>
      </c>
      <c r="J1998">
        <v>24.97</v>
      </c>
      <c r="K1998" s="4">
        <v>-0.26540000000000002</v>
      </c>
      <c r="L1998">
        <v>4.5999999999999996</v>
      </c>
      <c r="M1998">
        <v>1948</v>
      </c>
      <c r="O1998" t="s">
        <v>25</v>
      </c>
      <c r="P1998" t="s">
        <v>5076</v>
      </c>
      <c r="Q1998" t="s">
        <v>5077</v>
      </c>
    </row>
    <row r="1999" spans="1:17" ht="15.5" x14ac:dyDescent="0.35">
      <c r="A1999" s="3" t="str">
        <f>HYPERLINK("https://edmondsonsupply.com/collections/hvac/products/channellock-tool-roll-6lc-6pc-little-champ%C2%AEtool-roll", "https://edmondsonsupply.com/collections/hvac/products/channellock-tool-roll-6lc-6pc-little-champ%C2%AEtool-roll")</f>
        <v>https://edmondsonsupply.com/collections/hvac/products/channellock-tool-roll-6lc-6pc-little-champ%C2%AEtool-roll</v>
      </c>
      <c r="B1999" s="3" t="str">
        <f>HYPERLINK("https://edmondsonsupply.com/products/channellock-tool-roll-6lc-6pc-little-champ%c2%aetool-roll", "https://edmondsonsupply.com/products/channellock-tool-roll-6lc-6pc-little-champ%c2%aetool-roll")</f>
        <v>https://edmondsonsupply.com/products/channellock-tool-roll-6lc-6pc-little-champ%c2%aetool-roll</v>
      </c>
      <c r="C1999" t="s">
        <v>5382</v>
      </c>
      <c r="D1999" t="s">
        <v>5383</v>
      </c>
      <c r="E1999" s="3" t="str">
        <f>HYPERLINK("https://www.amazon.com/Channellock-GP-7-Blue-Tool-Roll/dp/B0029PENOI/ref=sr_1_1?keywords=Channellock+Tool+Roll-6LC+6pc+LITTLE+CHAMP%C2%AETool+Set+with+Tool+Roll&amp;qid=1695173471&amp;sr=8-1", "https://www.amazon.com/Channellock-GP-7-Blue-Tool-Roll/dp/B0029PENOI/ref=sr_1_1?keywords=Channellock+Tool+Roll-6LC+6pc+LITTLE+CHAMP%C2%AETool+Set+with+Tool+Roll&amp;qid=1695173471&amp;sr=8-1")</f>
        <v>https://www.amazon.com/Channellock-GP-7-Blue-Tool-Roll/dp/B0029PENOI/ref=sr_1_1?keywords=Channellock+Tool+Roll-6LC+6pc+LITTLE+CHAMP%C2%AETool+Set+with+Tool+Roll&amp;qid=1695173471&amp;sr=8-1</v>
      </c>
      <c r="F1999" t="s">
        <v>5384</v>
      </c>
      <c r="G1999" t="e">
        <f ca="1">_xludf.IMAGE("https://edmondsonsupply.com/cdn/shop/products/TOOL-ROLL-6LC-6PC.jpg?v=1633030531")</f>
        <v>#NAME?</v>
      </c>
      <c r="H1999" t="e">
        <f ca="1">_xludf.IMAGE("https://m.media-amazon.com/images/I/81Fq+rjCiOL._AC_UL320_.jpg")</f>
        <v>#NAME?</v>
      </c>
      <c r="I1999" t="s">
        <v>5385</v>
      </c>
      <c r="J1999">
        <v>94.95</v>
      </c>
      <c r="K1999" s="4">
        <v>-0.26929999999999998</v>
      </c>
      <c r="L1999">
        <v>4.5</v>
      </c>
      <c r="M1999">
        <v>38</v>
      </c>
      <c r="O1999" t="s">
        <v>171</v>
      </c>
      <c r="P1999" t="s">
        <v>5386</v>
      </c>
      <c r="Q1999" t="s">
        <v>5387</v>
      </c>
    </row>
    <row r="2000" spans="1:17" ht="15.5" x14ac:dyDescent="0.35">
      <c r="A2000"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2000"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2000" t="s">
        <v>2903</v>
      </c>
      <c r="D2000" t="s">
        <v>5388</v>
      </c>
      <c r="E2000" s="3" t="str">
        <f>HYPERLINK("https://www.amazon.com/Diablo-DMAPL4310-SDS-Plus-4-Cutter-Carbide/dp/B089KX2VKR/ref=sr_1_9?keywords=Diablo+Tools+DMAMX1300+1-1%2F4+in.+x+16+in.+x+21+in.+Rebar+Demon%E2%84%A2+SDS-Max+4-Cutter+Full+Carbide+Head+Hammer+Drill+Bit&amp;qid=1695173488&amp;sr=8-9", "https://www.amazon.com/Diablo-DMAPL4310-SDS-Plus-4-Cutter-Carbide/dp/B089KX2VKR/ref=sr_1_9?keywords=Diablo+Tools+DMAMX1300+1-1%2F4+in.+x+16+in.+x+21+in.+Rebar+Demon%E2%84%A2+SDS-Max+4-Cutter+Full+Carbide+Head+Hammer+Drill+Bit&amp;qid=1695173488&amp;sr=8-9")</f>
        <v>https://www.amazon.com/Diablo-DMAPL4310-SDS-Plus-4-Cutter-Carbide/dp/B089KX2VKR/ref=sr_1_9?keywords=Diablo+Tools+DMAMX1300+1-1%2F4+in.+x+16+in.+x+21+in.+Rebar+Demon%E2%84%A2+SDS-Max+4-Cutter+Full+Carbide+Head+Hammer+Drill+Bit&amp;qid=1695173488&amp;sr=8-9</v>
      </c>
      <c r="F2000" t="s">
        <v>5389</v>
      </c>
      <c r="G2000" t="e">
        <f ca="1">_xludf.IMAGE("https://edmondsonsupply.com/cdn/shop/files/immoyh7jjmbau4fzhuq6_7dd7fd73-2865-4c12-9443-da45b48dbd51.webp?v=1685465465")</f>
        <v>#NAME?</v>
      </c>
      <c r="H2000" t="e">
        <f ca="1">_xludf.IMAGE("https://m.media-amazon.com/images/I/61iwxfqG2VL._AC_UL320_.jpg")</f>
        <v>#NAME?</v>
      </c>
      <c r="I2000" t="s">
        <v>2906</v>
      </c>
      <c r="J2000">
        <v>48.49</v>
      </c>
      <c r="K2000" s="4">
        <v>-0.2697</v>
      </c>
      <c r="L2000">
        <v>4.5</v>
      </c>
      <c r="M2000">
        <v>32</v>
      </c>
      <c r="O2000" t="s">
        <v>171</v>
      </c>
      <c r="P2000" t="s">
        <v>2907</v>
      </c>
      <c r="Q2000" t="s">
        <v>2908</v>
      </c>
    </row>
    <row r="2001" spans="1:17" ht="15.5" x14ac:dyDescent="0.35">
      <c r="A2001" s="3" t="str">
        <f>HYPERLINK("https://edmondsonsupply.com/collections/hvac/products/cps-products-trs600-sparkless-ignition-proof-recovery-machine", "https://edmondsonsupply.com/collections/hvac/products/cps-products-trs600-sparkless-ignition-proof-recovery-machine")</f>
        <v>https://edmondsonsupply.com/collections/hvac/products/cps-products-trs600-sparkless-ignition-proof-recovery-machine</v>
      </c>
      <c r="B2001" s="3" t="str">
        <f>HYPERLINK("https://edmondsonsupply.com/products/cps-products-trs600-sparkless-ignition-proof-recovery-machine", "https://edmondsonsupply.com/products/cps-products-trs600-sparkless-ignition-proof-recovery-machine")</f>
        <v>https://edmondsonsupply.com/products/cps-products-trs600-sparkless-ignition-proof-recovery-machine</v>
      </c>
      <c r="C2001" t="s">
        <v>5390</v>
      </c>
      <c r="D2001" t="s">
        <v>5391</v>
      </c>
      <c r="E2001" s="3" t="str">
        <f>HYPERLINK("https://www.amazon.com/CPS-Sparkless-Ignition-Refrigerant-Recovery/dp/B08B7W6NVV/ref=sr_1_1?keywords=CPS+Products+TRS600+Sparkless+Ignition+Proof+Recovery+Machine&amp;qid=1695173755&amp;sr=8-1", "https://www.amazon.com/CPS-Sparkless-Ignition-Refrigerant-Recovery/dp/B08B7W6NVV/ref=sr_1_1?keywords=CPS+Products+TRS600+Sparkless+Ignition+Proof+Recovery+Machine&amp;qid=1695173755&amp;sr=8-1")</f>
        <v>https://www.amazon.com/CPS-Sparkless-Ignition-Refrigerant-Recovery/dp/B08B7W6NVV/ref=sr_1_1?keywords=CPS+Products+TRS600+Sparkless+Ignition+Proof+Recovery+Machine&amp;qid=1695173755&amp;sr=8-1</v>
      </c>
      <c r="F2001" t="s">
        <v>5392</v>
      </c>
      <c r="G2001" t="e">
        <f ca="1">_xludf.IMAGE("https://edmondsonsupply.com/cdn/shop/files/TRS600.jpg?v=1687353772")</f>
        <v>#NAME?</v>
      </c>
      <c r="H2001" t="e">
        <f ca="1">_xludf.IMAGE("https://m.media-amazon.com/images/I/61V-5xj-dfL._AC_UL320_.jpg")</f>
        <v>#NAME?</v>
      </c>
      <c r="I2001" t="s">
        <v>5393</v>
      </c>
      <c r="J2001">
        <v>779.89</v>
      </c>
      <c r="K2001" s="4">
        <v>-0.27060000000000001</v>
      </c>
      <c r="L2001">
        <v>5</v>
      </c>
      <c r="M2001">
        <v>2</v>
      </c>
      <c r="O2001" t="s">
        <v>25</v>
      </c>
      <c r="P2001" t="s">
        <v>5394</v>
      </c>
      <c r="Q2001" t="s">
        <v>5395</v>
      </c>
    </row>
    <row r="2002" spans="1:17" ht="15.5" x14ac:dyDescent="0.35">
      <c r="A2002" s="3" t="str">
        <f>HYPERLINK("https://edmondsonsupply.com/collections/hvac/products/malco-tools-lp11sp-eagle-grip-11-locking-c-clamps-with-swivel-pads", "https://edmondsonsupply.com/collections/hvac/products/malco-tools-lp11sp-eagle-grip-11-locking-c-clamps-with-swivel-pads")</f>
        <v>https://edmondsonsupply.com/collections/hvac/products/malco-tools-lp11sp-eagle-grip-11-locking-c-clamps-with-swivel-pads</v>
      </c>
      <c r="B2002" s="3" t="str">
        <f>HYPERLINK("https://edmondsonsupply.com/products/malco-tools-lp11sp-eagle-grip-11-locking-c-clamps-with-swivel-pads", "https://edmondsonsupply.com/products/malco-tools-lp11sp-eagle-grip-11-locking-c-clamps-with-swivel-pads")</f>
        <v>https://edmondsonsupply.com/products/malco-tools-lp11sp-eagle-grip-11-locking-c-clamps-with-swivel-pads</v>
      </c>
      <c r="C2002" t="s">
        <v>5396</v>
      </c>
      <c r="D2002" t="s">
        <v>5397</v>
      </c>
      <c r="E2002" s="3" t="str">
        <f>HYPERLINK("https://www.amazon.com/Malco-LP11SP-Locking-C-Clamp-Swivel/dp/B0924SVWCF/ref=sr_1_1?keywords=Malco+Tools+LP11SP+Eagle+Grip+11%E2%80%B3+Locking+C-Clamps+with+Swivel+Pads&amp;qid=1695173523&amp;sr=8-1", "https://www.amazon.com/Malco-LP11SP-Locking-C-Clamp-Swivel/dp/B0924SVWCF/ref=sr_1_1?keywords=Malco+Tools+LP11SP+Eagle+Grip+11%E2%80%B3+Locking+C-Clamps+with+Swivel+Pads&amp;qid=1695173523&amp;sr=8-1")</f>
        <v>https://www.amazon.com/Malco-LP11SP-Locking-C-Clamp-Swivel/dp/B0924SVWCF/ref=sr_1_1?keywords=Malco+Tools+LP11SP+Eagle+Grip+11%E2%80%B3+Locking+C-Clamps+with+Swivel+Pads&amp;qid=1695173523&amp;sr=8-1</v>
      </c>
      <c r="F2002" t="s">
        <v>5398</v>
      </c>
      <c r="G2002" t="e">
        <f ca="1">_xludf.IMAGE("https://edmondsonsupply.com/cdn/shop/products/LP11SP-eagle-grip-locking-clamps-swivel-pads_in-hand.jpg?v=1657318971")</f>
        <v>#NAME?</v>
      </c>
      <c r="H2002" t="e">
        <f ca="1">_xludf.IMAGE("https://m.media-amazon.com/images/I/61UQTe1nZ5S._AC_UL320_.jpg")</f>
        <v>#NAME?</v>
      </c>
      <c r="I2002" t="s">
        <v>5399</v>
      </c>
      <c r="J2002">
        <v>53.95</v>
      </c>
      <c r="K2002" s="4">
        <v>-0.27079999999999999</v>
      </c>
      <c r="L2002">
        <v>5</v>
      </c>
      <c r="M2002">
        <v>75</v>
      </c>
      <c r="O2002" t="s">
        <v>25</v>
      </c>
      <c r="P2002" t="s">
        <v>5400</v>
      </c>
      <c r="Q2002" t="s">
        <v>5401</v>
      </c>
    </row>
    <row r="2003" spans="1:17" ht="15.5" x14ac:dyDescent="0.35">
      <c r="A2003" s="3" t="str">
        <f>HYPERLINK("https://edmondsonsupply.com/collections/hvac/products/yellow-jacket-93760-superevac%E2%84%A2-plus-ii-6-cfm-vacuum-pump", "https://edmondsonsupply.com/collections/hvac/products/yellow-jacket-93760-superevac%E2%84%A2-plus-ii-6-cfm-vacuum-pump")</f>
        <v>https://edmondsonsupply.com/collections/hvac/products/yellow-jacket-93760-superevac%E2%84%A2-plus-ii-6-cfm-vacuum-pump</v>
      </c>
      <c r="B2003" s="3" t="str">
        <f>HYPERLINK("https://edmondsonsupply.com/products/yellow-jacket-93760-superevac%e2%84%a2-plus-ii-6-cfm-vacuum-pump", "https://edmondsonsupply.com/products/yellow-jacket-93760-superevac%e2%84%a2-plus-ii-6-cfm-vacuum-pump")</f>
        <v>https://edmondsonsupply.com/products/yellow-jacket-93760-superevac%e2%84%a2-plus-ii-6-cfm-vacuum-pump</v>
      </c>
      <c r="C2003" t="s">
        <v>5402</v>
      </c>
      <c r="D2003" t="s">
        <v>5403</v>
      </c>
      <c r="E2003" s="3" t="str">
        <f>HYPERLINK("https://www.amazon.com/Yellow-Jacket-93760-SuperEvac-Plus/dp/B097L5P25H/ref=sr_1_1?keywords=Yellow+Jacket+93760+SuperEvac%E2%84%A2+PLUS+II+6+CFM+Vacuum+Pump&amp;qid=1695173467&amp;sr=8-1", "https://www.amazon.com/Yellow-Jacket-93760-SuperEvac-Plus/dp/B097L5P25H/ref=sr_1_1?keywords=Yellow+Jacket+93760+SuperEvac%E2%84%A2+PLUS+II+6+CFM+Vacuum+Pump&amp;qid=1695173467&amp;sr=8-1")</f>
        <v>https://www.amazon.com/Yellow-Jacket-93760-SuperEvac-Plus/dp/B097L5P25H/ref=sr_1_1?keywords=Yellow+Jacket+93760+SuperEvac%E2%84%A2+PLUS+II+6+CFM+Vacuum+Pump&amp;qid=1695173467&amp;sr=8-1</v>
      </c>
      <c r="F2003" t="s">
        <v>5404</v>
      </c>
      <c r="G2003" t="e">
        <f ca="1">_xludf.IMAGE("https://edmondsonsupply.com/cdn/shop/products/93760-SuperEvac-PLUS-II-with-strap-2048x1685_ad2bd33c-53fe-45af-a769-d7dbb3d3d744.jpg?v=1633030966")</f>
        <v>#NAME?</v>
      </c>
      <c r="H2003" t="e">
        <f ca="1">_xludf.IMAGE("https://m.media-amazon.com/images/I/6112x8pWGqL._AC_UL320_.jpg")</f>
        <v>#NAME?</v>
      </c>
      <c r="I2003" t="s">
        <v>5405</v>
      </c>
      <c r="J2003">
        <v>620</v>
      </c>
      <c r="K2003" s="4">
        <v>-0.2712</v>
      </c>
      <c r="L2003">
        <v>3</v>
      </c>
      <c r="M2003">
        <v>1</v>
      </c>
      <c r="O2003" t="s">
        <v>25</v>
      </c>
      <c r="P2003" t="s">
        <v>138</v>
      </c>
      <c r="Q2003" t="s">
        <v>5406</v>
      </c>
    </row>
    <row r="2004" spans="1:17" ht="15.5" x14ac:dyDescent="0.35">
      <c r="A2004" s="3" t="str">
        <f>HYPERLINK("https://edmondsonsupply.com/collections/hvac/products/rectorseal-66732-nokink-3-4-x-3-flex-hose", "https://edmondsonsupply.com/collections/hvac/products/rectorseal-66732-nokink-3-4-x-3-flex-hose")</f>
        <v>https://edmondsonsupply.com/collections/hvac/products/rectorseal-66732-nokink-3-4-x-3-flex-hose</v>
      </c>
      <c r="B2004" s="3" t="str">
        <f>HYPERLINK("https://edmondsonsupply.com/products/rectorseal-66732-nokink-3-4-x-3-flex-hose", "https://edmondsonsupply.com/products/rectorseal-66732-nokink-3-4-x-3-flex-hose")</f>
        <v>https://edmondsonsupply.com/products/rectorseal-66732-nokink-3-4-x-3-flex-hose</v>
      </c>
      <c r="C2004" t="s">
        <v>4196</v>
      </c>
      <c r="D2004" t="s">
        <v>3140</v>
      </c>
      <c r="E2004" s="3" t="str">
        <f>HYPERLINK("https://www.amazon.com/Rectorseal-66737-Flexible-Refrigerant-Connector/dp/B010M22SNM/ref=sr_1_4?keywords=RectorSeal+66732+NoKink+3%2F4%22+x+3%27+Flexible+Refrigerant+Line+Connector&amp;qid=1695173725&amp;sr=8-4", "https://www.amazon.com/Rectorseal-66737-Flexible-Refrigerant-Connector/dp/B010M22SNM/ref=sr_1_4?keywords=RectorSeal+66732+NoKink+3%2F4%22+x+3%27+Flexible+Refrigerant+Line+Connector&amp;qid=1695173725&amp;sr=8-4")</f>
        <v>https://www.amazon.com/Rectorseal-66737-Flexible-Refrigerant-Connector/dp/B010M22SNM/ref=sr_1_4?keywords=RectorSeal+66732+NoKink+3%2F4%22+x+3%27+Flexible+Refrigerant+Line+Connector&amp;qid=1695173725&amp;sr=8-4</v>
      </c>
      <c r="F2004" t="s">
        <v>3141</v>
      </c>
      <c r="G2004" t="e">
        <f ca="1">_xludf.IMAGE("https://edmondsonsupply.com/cdn/shop/files/66732.png?v=1691010373")</f>
        <v>#NAME?</v>
      </c>
      <c r="H2004" t="e">
        <f ca="1">_xludf.IMAGE("https://m.media-amazon.com/images/I/4101YLR79GL._AC_UL320_.jpg")</f>
        <v>#NAME?</v>
      </c>
      <c r="I2004" t="s">
        <v>4197</v>
      </c>
      <c r="J2004">
        <v>89.97</v>
      </c>
      <c r="K2004" s="4">
        <v>-0.27439999999999998</v>
      </c>
      <c r="L2004">
        <v>4.5</v>
      </c>
      <c r="M2004">
        <v>6</v>
      </c>
      <c r="O2004" t="s">
        <v>25</v>
      </c>
      <c r="P2004" t="s">
        <v>138</v>
      </c>
      <c r="Q2004" t="s">
        <v>4198</v>
      </c>
    </row>
    <row r="2005" spans="1:17" ht="15.5" x14ac:dyDescent="0.35">
      <c r="A2005" s="3" t="str">
        <f>HYPERLINK("https://edmondsonsupply.com/collections/hvac/products/veto-pro-pac-tech-pac-wheeler-backpack-tool-bag", "https://edmondsonsupply.com/collections/hvac/products/veto-pro-pac-tech-pac-wheeler-backpack-tool-bag")</f>
        <v>https://edmondsonsupply.com/collections/hvac/products/veto-pro-pac-tech-pac-wheeler-backpack-tool-bag</v>
      </c>
      <c r="B2005" s="3" t="str">
        <f>HYPERLINK("https://edmondsonsupply.com/products/veto-pro-pac-tech-pac-wheeler-backpack-tool-bag", "https://edmondsonsupply.com/products/veto-pro-pac-tech-pac-wheeler-backpack-tool-bag")</f>
        <v>https://edmondsonsupply.com/products/veto-pro-pac-tech-pac-wheeler-backpack-tool-bag</v>
      </c>
      <c r="C2005" t="s">
        <v>756</v>
      </c>
      <c r="D2005" t="s">
        <v>512</v>
      </c>
      <c r="E2005" s="3" t="str">
        <f>HYPERLINK("https://www.amazon.com/VETO-PRO-PAC-Tech-Pac/dp/B00WZLTCHO/ref=sr_1_4?keywords=Veto+Pro+Pac+TECH+PAC+WHEELER+Backpack+Tool+Bag&amp;qid=1695173465&amp;sr=8-4", "https://www.amazon.com/VETO-PRO-PAC-Tech-Pac/dp/B00WZLTCHO/ref=sr_1_4?keywords=Veto+Pro+Pac+TECH+PAC+WHEELER+Backpack+Tool+Bag&amp;qid=1695173465&amp;sr=8-4")</f>
        <v>https://www.amazon.com/VETO-PRO-PAC-Tech-Pac/dp/B00WZLTCHO/ref=sr_1_4?keywords=Veto+Pro+Pac+TECH+PAC+WHEELER+Backpack+Tool+Bag&amp;qid=1695173465&amp;sr=8-4</v>
      </c>
      <c r="F2005" t="s">
        <v>513</v>
      </c>
      <c r="G2005" t="e">
        <f ca="1">_xludf.IMAGE("https://edmondsonsupply.com/cdn/shop/products/01_TECH-PAC-WHEELER.jpg?v=1633031176")</f>
        <v>#NAME?</v>
      </c>
      <c r="H2005" t="e">
        <f ca="1">_xludf.IMAGE("https://m.media-amazon.com/images/I/61uz-pihn8L._AC_UL320_.jpg")</f>
        <v>#NAME?</v>
      </c>
      <c r="I2005" t="s">
        <v>42</v>
      </c>
      <c r="J2005">
        <v>289.95</v>
      </c>
      <c r="K2005" s="4">
        <v>-0.27510000000000001</v>
      </c>
      <c r="L2005">
        <v>4.7</v>
      </c>
      <c r="M2005">
        <v>285</v>
      </c>
      <c r="O2005" t="s">
        <v>25</v>
      </c>
      <c r="P2005" t="s">
        <v>138</v>
      </c>
      <c r="Q2005" t="s">
        <v>757</v>
      </c>
    </row>
    <row r="2006" spans="1:17" ht="15.5" x14ac:dyDescent="0.35">
      <c r="A2006" s="3" t="str">
        <f>HYPERLINK("https://edmondsonsupply.com/collections/hvac/products/diablo-tools-dag1130-1-in-x-7-1-2-in-auger-bit", "https://edmondsonsupply.com/collections/hvac/products/diablo-tools-dag1130-1-in-x-7-1-2-in-auger-bit")</f>
        <v>https://edmondsonsupply.com/collections/hvac/products/diablo-tools-dag1130-1-in-x-7-1-2-in-auger-bit</v>
      </c>
      <c r="B2006" s="3" t="str">
        <f>HYPERLINK("https://edmondsonsupply.com/products/diablo-tools-dag1130-1-in-x-7-1-2-in-auger-bit", "https://edmondsonsupply.com/products/diablo-tools-dag1130-1-in-x-7-1-2-in-auger-bit")</f>
        <v>https://edmondsonsupply.com/products/diablo-tools-dag1130-1-in-x-7-1-2-in-auger-bit</v>
      </c>
      <c r="C2006" t="s">
        <v>3530</v>
      </c>
      <c r="D2006" t="s">
        <v>5407</v>
      </c>
      <c r="E2006" s="3" t="str">
        <f>HYPERLINK("https://www.amazon.com/Diablo-DAG1010-7-1-Auger-Bit/dp/B089LG7B4D/ref=sr_1_7?keywords=Diablo+Tools+DAG1130+1+in.+x+7-1%2F2+in.+Auger+Bit&amp;qid=1695173621&amp;sr=8-7", "https://www.amazon.com/Diablo-DAG1010-7-1-Auger-Bit/dp/B089LG7B4D/ref=sr_1_7?keywords=Diablo+Tools+DAG1130+1+in.+x+7-1%2F2+in.+Auger+Bit&amp;qid=1695173621&amp;sr=8-7")</f>
        <v>https://www.amazon.com/Diablo-DAG1010-7-1-Auger-Bit/dp/B089LG7B4D/ref=sr_1_7?keywords=Diablo+Tools+DAG1130+1+in.+x+7-1%2F2+in.+Auger+Bit&amp;qid=1695173621&amp;sr=8-7</v>
      </c>
      <c r="F2006" t="s">
        <v>5408</v>
      </c>
      <c r="G2006" t="e">
        <f ca="1">_xludf.IMAGE("https://edmondsonsupply.com/cdn/shop/products/DAG1130_Main-Image20200712.png?v=1633031124")</f>
        <v>#NAME?</v>
      </c>
      <c r="H2006" t="e">
        <f ca="1">_xludf.IMAGE("https://m.media-amazon.com/images/I/618M4WXOShL._AC_UL320_.jpg")</f>
        <v>#NAME?</v>
      </c>
      <c r="I2006" t="s">
        <v>3533</v>
      </c>
      <c r="J2006">
        <v>11.86</v>
      </c>
      <c r="K2006" s="4">
        <v>-0.27550000000000002</v>
      </c>
      <c r="L2006">
        <v>3.2</v>
      </c>
      <c r="M2006">
        <v>5</v>
      </c>
      <c r="O2006" t="s">
        <v>25</v>
      </c>
      <c r="P2006" t="s">
        <v>3534</v>
      </c>
      <c r="Q2006" t="s">
        <v>3535</v>
      </c>
    </row>
    <row r="2007" spans="1:17" ht="15.5" x14ac:dyDescent="0.35">
      <c r="A2007" s="3" t="str">
        <f>HYPERLINK("https://edmondsonsupply.com/collections/hvac/products/klein-tools-70550-pro-folding-hex-key-set-11-fractional-inch-sized-keys", "https://edmondsonsupply.com/collections/hvac/products/klein-tools-70550-pro-folding-hex-key-set-11-fractional-inch-sized-keys")</f>
        <v>https://edmondsonsupply.com/collections/hvac/products/klein-tools-70550-pro-folding-hex-key-set-11-fractional-inch-sized-keys</v>
      </c>
      <c r="B2007"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2007" t="s">
        <v>2659</v>
      </c>
      <c r="D2007" t="s">
        <v>5409</v>
      </c>
      <c r="E2007" s="3" t="str">
        <f>HYPERLINK("https://www.amazon.com/Folding-Nine-Key-Klein-Tools-70591/dp/B0002RI8RS/ref=sr_1_3?keywords=Klein+Tools+70550+Pro+Folding+Hex+Key+Set%2C+11-Key%2C+SAE+Sizes&amp;qid=1695173667&amp;sr=8-3", "https://www.amazon.com/Folding-Nine-Key-Klein-Tools-70591/dp/B0002RI8RS/ref=sr_1_3?keywords=Klein+Tools+70550+Pro+Folding+Hex+Key+Set%2C+11-Key%2C+SAE+Sizes&amp;qid=1695173667&amp;sr=8-3")</f>
        <v>https://www.amazon.com/Folding-Nine-Key-Klein-Tools-70591/dp/B0002RI8RS/ref=sr_1_3?keywords=Klein+Tools+70550+Pro+Folding+Hex+Key+Set%2C+11-Key%2C+SAE+Sizes&amp;qid=1695173667&amp;sr=8-3</v>
      </c>
      <c r="F2007" t="s">
        <v>5410</v>
      </c>
      <c r="G2007" t="e">
        <f ca="1">_xludf.IMAGE("https://edmondsonsupply.com/cdn/shop/products/70550.jpg?v=1587145237")</f>
        <v>#NAME?</v>
      </c>
      <c r="H2007" t="e">
        <f ca="1">_xludf.IMAGE("https://m.media-amazon.com/images/I/61QIa+2yMTL._AC_UL320_.jpg")</f>
        <v>#NAME?</v>
      </c>
      <c r="I2007" t="s">
        <v>893</v>
      </c>
      <c r="J2007">
        <v>14.46</v>
      </c>
      <c r="K2007" s="4">
        <v>-0.27589999999999998</v>
      </c>
      <c r="L2007">
        <v>4.7</v>
      </c>
      <c r="M2007">
        <v>3168</v>
      </c>
      <c r="O2007" t="s">
        <v>25</v>
      </c>
      <c r="P2007" t="s">
        <v>2662</v>
      </c>
      <c r="Q2007" t="s">
        <v>2663</v>
      </c>
    </row>
    <row r="2008" spans="1:17" ht="15.5" x14ac:dyDescent="0.35">
      <c r="A2008" s="3" t="str">
        <f>HYPERLINK("https://edmondsonsupply.com/collections/hvac/products/uniweld-utc702-premium-tubing-cutter", "https://edmondsonsupply.com/collections/hvac/products/uniweld-utc702-premium-tubing-cutter")</f>
        <v>https://edmondsonsupply.com/collections/hvac/products/uniweld-utc702-premium-tubing-cutter</v>
      </c>
      <c r="B2008" s="3" t="str">
        <f>HYPERLINK("https://edmondsonsupply.com/products/uniweld-utc702-premium-tubing-cutter", "https://edmondsonsupply.com/products/uniweld-utc702-premium-tubing-cutter")</f>
        <v>https://edmondsonsupply.com/products/uniweld-utc702-premium-tubing-cutter</v>
      </c>
      <c r="C2008" t="s">
        <v>2792</v>
      </c>
      <c r="D2008" t="s">
        <v>5411</v>
      </c>
      <c r="E2008" s="3" t="str">
        <f>HYPERLINK("https://www.amazon.com/Uniweld-UTC701-Premium-Tubing-Aluminum/dp/B00HNQRKFC/ref=sr_1_2?keywords=Uniweld+UTC702+1%2F8%E2%80%B3+to+1-1%2F8%E2%80%B3+Premium+Tubing+Cutter&amp;qid=1695173635&amp;sr=8-2", "https://www.amazon.com/Uniweld-UTC701-Premium-Tubing-Aluminum/dp/B00HNQRKFC/ref=sr_1_2?keywords=Uniweld+UTC702+1%2F8%E2%80%B3+to+1-1%2F8%E2%80%B3+Premium+Tubing+Cutter&amp;qid=1695173635&amp;sr=8-2")</f>
        <v>https://www.amazon.com/Uniweld-UTC701-Premium-Tubing-Aluminum/dp/B00HNQRKFC/ref=sr_1_2?keywords=Uniweld+UTC702+1%2F8%E2%80%B3+to+1-1%2F8%E2%80%B3+Premium+Tubing+Cutter&amp;qid=1695173635&amp;sr=8-2</v>
      </c>
      <c r="F2008" t="s">
        <v>5412</v>
      </c>
      <c r="G2008" t="e">
        <f ca="1">_xludf.IMAGE("https://edmondsonsupply.com/cdn/shop/products/utc702-front.jpg?v=1656354409")</f>
        <v>#NAME?</v>
      </c>
      <c r="H2008" t="e">
        <f ca="1">_xludf.IMAGE("https://m.media-amazon.com/images/I/61NjoOKhOsL._AC_UL320_.jpg")</f>
        <v>#NAME?</v>
      </c>
      <c r="I2008" t="s">
        <v>2795</v>
      </c>
      <c r="J2008">
        <v>17.78</v>
      </c>
      <c r="K2008" s="4">
        <v>-0.27689999999999998</v>
      </c>
      <c r="L2008">
        <v>4.0999999999999996</v>
      </c>
      <c r="M2008">
        <v>34</v>
      </c>
      <c r="O2008" t="s">
        <v>25</v>
      </c>
      <c r="P2008" t="s">
        <v>2796</v>
      </c>
      <c r="Q2008" t="s">
        <v>2797</v>
      </c>
    </row>
    <row r="2009" spans="1:17" ht="15.5" x14ac:dyDescent="0.35">
      <c r="A2009"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2009"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2009" t="s">
        <v>2903</v>
      </c>
      <c r="D2009" t="s">
        <v>5413</v>
      </c>
      <c r="E2009" s="3" t="str">
        <f>HYPERLINK("https://www.amazon.com/Diablo-DMAMX1100-SDS-Max-4-Cutter-Carbide/dp/B089LCPW7V/ref=sr_1_5?keywords=Diablo+Tools+DMAMX1300+1-1%2F4+in.+x+16+in.+x+21+in.+Rebar+Demon%E2%84%A2+SDS-Max+4-Cutter+Full+Carbide+Head+Hammer+Drill+Bit&amp;qid=1695173488&amp;sr=8-5", "https://www.amazon.com/Diablo-DMAMX1100-SDS-Max-4-Cutter-Carbide/dp/B089LCPW7V/ref=sr_1_5?keywords=Diablo+Tools+DMAMX1300+1-1%2F4+in.+x+16+in.+x+21+in.+Rebar+Demon%E2%84%A2+SDS-Max+4-Cutter+Full+Carbide+Head+Hammer+Drill+Bit&amp;qid=1695173488&amp;sr=8-5")</f>
        <v>https://www.amazon.com/Diablo-DMAMX1100-SDS-Max-4-Cutter-Carbide/dp/B089LCPW7V/ref=sr_1_5?keywords=Diablo+Tools+DMAMX1300+1-1%2F4+in.+x+16+in.+x+21+in.+Rebar+Demon%E2%84%A2+SDS-Max+4-Cutter+Full+Carbide+Head+Hammer+Drill+Bit&amp;qid=1695173488&amp;sr=8-5</v>
      </c>
      <c r="F2009" t="s">
        <v>5414</v>
      </c>
      <c r="G2009" t="e">
        <f ca="1">_xludf.IMAGE("https://edmondsonsupply.com/cdn/shop/files/immoyh7jjmbau4fzhuq6_7dd7fd73-2865-4c12-9443-da45b48dbd51.webp?v=1685465465")</f>
        <v>#NAME?</v>
      </c>
      <c r="H2009" t="e">
        <f ca="1">_xludf.IMAGE("https://m.media-amazon.com/images/I/618JNJF7eyL._AC_UL320_.jpg")</f>
        <v>#NAME?</v>
      </c>
      <c r="I2009" t="s">
        <v>2906</v>
      </c>
      <c r="J2009">
        <v>47.99</v>
      </c>
      <c r="K2009" s="4">
        <v>-0.27729999999999999</v>
      </c>
      <c r="L2009">
        <v>4.0999999999999996</v>
      </c>
      <c r="M2009">
        <v>4</v>
      </c>
      <c r="O2009" t="s">
        <v>171</v>
      </c>
      <c r="P2009" t="s">
        <v>2907</v>
      </c>
      <c r="Q2009" t="s">
        <v>2908</v>
      </c>
    </row>
    <row r="2010" spans="1:17" ht="15.5" x14ac:dyDescent="0.35">
      <c r="A2010" s="3" t="str">
        <f>HYPERLINK("https://edmondsonsupply.com/collections/hvac/products/hilmor-1839027-tb1412-tri-tube-benders-1-4-3-8-1-2", "https://edmondsonsupply.com/collections/hvac/products/hilmor-1839027-tb1412-tri-tube-benders-1-4-3-8-1-2")</f>
        <v>https://edmondsonsupply.com/collections/hvac/products/hilmor-1839027-tb1412-tri-tube-benders-1-4-3-8-1-2</v>
      </c>
      <c r="B2010" s="3" t="str">
        <f>HYPERLINK("https://edmondsonsupply.com/products/hilmor-1839027-tb1412-tri-tube-benders-1-4-3-8-1-2", "https://edmondsonsupply.com/products/hilmor-1839027-tb1412-tri-tube-benders-1-4-3-8-1-2")</f>
        <v>https://edmondsonsupply.com/products/hilmor-1839027-tb1412-tri-tube-benders-1-4-3-8-1-2</v>
      </c>
      <c r="C2010" t="s">
        <v>3984</v>
      </c>
      <c r="D2010" t="s">
        <v>5415</v>
      </c>
      <c r="E2010" s="3" t="str">
        <f>HYPERLINK("https://www.amazon.com/hilmor-1839026-TB1438-Tri-Tube-Bender/dp/B00HVAS5LI/ref=sr_1_2?keywords=Hilmor+1839027+Tri-Tube+Bender+-+1%2F4%22%2C+3%2F8%22%2C+1%2F2%22&amp;qid=1695173685&amp;sr=8-2", "https://www.amazon.com/hilmor-1839026-TB1438-Tri-Tube-Bender/dp/B00HVAS5LI/ref=sr_1_2?keywords=Hilmor+1839027+Tri-Tube+Bender+-+1%2F4%22%2C+3%2F8%22%2C+1%2F2%22&amp;qid=1695173685&amp;sr=8-2")</f>
        <v>https://www.amazon.com/hilmor-1839026-TB1438-Tri-Tube-Bender/dp/B00HVAS5LI/ref=sr_1_2?keywords=Hilmor+1839027+Tri-Tube+Bender+-+1%2F4%22%2C+3%2F8%22%2C+1%2F2%22&amp;qid=1695173685&amp;sr=8-2</v>
      </c>
      <c r="F2010" t="s">
        <v>5416</v>
      </c>
      <c r="G2010" t="e">
        <f ca="1">_xludf.IMAGE("https://edmondsonsupply.com/cdn/shop/products/Tri-Tube_Bender2-green_glow-735x480.png?v=1643678213")</f>
        <v>#NAME?</v>
      </c>
      <c r="H2010" t="e">
        <f ca="1">_xludf.IMAGE("https://m.media-amazon.com/images/I/518PZhMk2zS._AC_UL320_.jpg")</f>
        <v>#NAME?</v>
      </c>
      <c r="I2010" t="s">
        <v>1931</v>
      </c>
      <c r="J2010">
        <v>35.99</v>
      </c>
      <c r="K2010" s="4">
        <v>-0.28010000000000002</v>
      </c>
      <c r="L2010">
        <v>4.5</v>
      </c>
      <c r="M2010">
        <v>58</v>
      </c>
      <c r="O2010" t="s">
        <v>25</v>
      </c>
      <c r="P2010" t="s">
        <v>3987</v>
      </c>
      <c r="Q2010" t="s">
        <v>3988</v>
      </c>
    </row>
    <row r="2011" spans="1:17" ht="15.5" x14ac:dyDescent="0.35">
      <c r="A2011" s="3" t="str">
        <f>HYPERLINK("https://edmondsonsupply.com/collections/hvac/products/white-rodgers-790-843a1-universal-flame-sensor", "https://edmondsonsupply.com/collections/hvac/products/white-rodgers-790-843a1-universal-flame-sensor")</f>
        <v>https://edmondsonsupply.com/collections/hvac/products/white-rodgers-790-843a1-universal-flame-sensor</v>
      </c>
      <c r="B2011" s="3" t="str">
        <f>HYPERLINK("https://edmondsonsupply.com/products/white-rodgers-790-843a1-universal-flame-sensor", "https://edmondsonsupply.com/products/white-rodgers-790-843a1-universal-flame-sensor")</f>
        <v>https://edmondsonsupply.com/products/white-rodgers-790-843a1-universal-flame-sensor</v>
      </c>
      <c r="C2011" t="s">
        <v>2686</v>
      </c>
      <c r="D2011" t="s">
        <v>5417</v>
      </c>
      <c r="E2011" s="3" t="str">
        <f>HYPERLINK("https://www.amazon.com/Universal-Electrode-replaces-760-401-31380679/dp/B00HE0BLDO/ref=sr_1_4?keywords=White+Rodgers+790-843A1+Universal+Flame+Sensor&amp;qid=1695173483&amp;sr=8-4", "https://www.amazon.com/Universal-Electrode-replaces-760-401-31380679/dp/B00HE0BLDO/ref=sr_1_4?keywords=White+Rodgers+790-843A1+Universal+Flame+Sensor&amp;qid=1695173483&amp;sr=8-4")</f>
        <v>https://www.amazon.com/Universal-Electrode-replaces-760-401-31380679/dp/B00HE0BLDO/ref=sr_1_4?keywords=White+Rodgers+790-843A1+Universal+Flame+Sensor&amp;qid=1695173483&amp;sr=8-4</v>
      </c>
      <c r="F2011" t="s">
        <v>5418</v>
      </c>
      <c r="G2011" t="e">
        <f ca="1">_xludf.IMAGE("https://edmondsonsupply.com/cdn/shop/products/790-flame-sensors-universal.png?v=1633030916")</f>
        <v>#NAME?</v>
      </c>
      <c r="H2011" t="e">
        <f ca="1">_xludf.IMAGE("https://m.media-amazon.com/images/I/51-WwnDphsL._AC_UL320_.jpg")</f>
        <v>#NAME?</v>
      </c>
      <c r="I2011" t="s">
        <v>2689</v>
      </c>
      <c r="J2011">
        <v>11.99</v>
      </c>
      <c r="K2011" s="4">
        <v>-0.2863</v>
      </c>
      <c r="L2011">
        <v>4.2</v>
      </c>
      <c r="M2011">
        <v>70</v>
      </c>
      <c r="O2011" t="s">
        <v>25</v>
      </c>
      <c r="P2011" t="s">
        <v>2690</v>
      </c>
      <c r="Q2011" t="s">
        <v>2691</v>
      </c>
    </row>
    <row r="2012" spans="1:17" ht="15.5" x14ac:dyDescent="0.35">
      <c r="A2012" s="3" t="str">
        <f>HYPERLINK("https://edmondsonsupply.com/collections/hvac/products/milwaukee-2366-20-m18%E2%84%A2-rover%E2%84%A2-dual-power-flood-light", "https://edmondsonsupply.com/collections/hvac/products/milwaukee-2366-20-m18%E2%84%A2-rover%E2%84%A2-dual-power-flood-light")</f>
        <v>https://edmondsonsupply.com/collections/hvac/products/milwaukee-2366-20-m18%E2%84%A2-rover%E2%84%A2-dual-power-flood-light</v>
      </c>
      <c r="B2012" s="3" t="str">
        <f>HYPERLINK("https://edmondsonsupply.com/products/milwaukee-2366-20-m18%e2%84%a2-rover%e2%84%a2-dual-power-flood-light", "https://edmondsonsupply.com/products/milwaukee-2366-20-m18%e2%84%a2-rover%e2%84%a2-dual-power-flood-light")</f>
        <v>https://edmondsonsupply.com/products/milwaukee-2366-20-m18%e2%84%a2-rover%e2%84%a2-dual-power-flood-light</v>
      </c>
      <c r="C2012" t="s">
        <v>5419</v>
      </c>
      <c r="D2012" t="s">
        <v>5420</v>
      </c>
      <c r="E2012" s="3" t="str">
        <f>HYPERLINK("https://www.amazon.com/Milwaukee-2366-20-Compact-Lithium-Ion-Cordless/dp/B08YS6CXG6/ref=sr_1_1?keywords=Milwaukee+2366-20+M18%E2%84%A2+ROVER%E2%84%A2+Dual+Power+Flood+Light&amp;qid=1695173511&amp;sr=8-1", "https://www.amazon.com/Milwaukee-2366-20-Compact-Lithium-Ion-Cordless/dp/B08YS6CXG6/ref=sr_1_1?keywords=Milwaukee+2366-20+M18%E2%84%A2+ROVER%E2%84%A2+Dual+Power+Flood+Light&amp;qid=1695173511&amp;sr=8-1")</f>
        <v>https://www.amazon.com/Milwaukee-2366-20-Compact-Lithium-Ion-Cordless/dp/B08YS6CXG6/ref=sr_1_1?keywords=Milwaukee+2366-20+M18%E2%84%A2+ROVER%E2%84%A2+Dual+Power+Flood+Light&amp;qid=1695173511&amp;sr=8-1</v>
      </c>
      <c r="F2012" t="s">
        <v>5421</v>
      </c>
      <c r="G2012" t="e">
        <f ca="1">_xludf.IMAGE("https://edmondsonsupply.com/cdn/shop/products/2366-20_1.png?v=1657210550")</f>
        <v>#NAME?</v>
      </c>
      <c r="H2012" t="e">
        <f ca="1">_xludf.IMAGE("https://m.media-amazon.com/images/I/51po+g4rqNL._AC_UL320_.jpg")</f>
        <v>#NAME?</v>
      </c>
      <c r="I2012" t="s">
        <v>692</v>
      </c>
      <c r="J2012">
        <v>105.99</v>
      </c>
      <c r="K2012" s="4">
        <v>-0.28870000000000001</v>
      </c>
      <c r="L2012">
        <v>4.9000000000000004</v>
      </c>
      <c r="M2012">
        <v>154</v>
      </c>
      <c r="O2012" t="s">
        <v>25</v>
      </c>
      <c r="P2012" t="s">
        <v>5422</v>
      </c>
      <c r="Q2012" t="s">
        <v>5423</v>
      </c>
    </row>
    <row r="2013" spans="1:17" ht="15.5" x14ac:dyDescent="0.35">
      <c r="A2013"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2013"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2013" t="s">
        <v>4105</v>
      </c>
      <c r="D2013" t="s">
        <v>5424</v>
      </c>
      <c r="E2013" s="3" t="str">
        <f>HYPERLINK("https://www.amazon.com/Leverage-Side-Cutters-Klein-Tools-213-9NE/dp/B000KM95C2/ref=sr_1_6?keywords=Klein+Tools+D20009NEGLW+High-Visibility+Side-Cutting+Pliers+High-Leverage&amp;qid=1695173666&amp;sr=8-6", "https://www.amazon.com/Leverage-Side-Cutters-Klein-Tools-213-9NE/dp/B000KM95C2/ref=sr_1_6?keywords=Klein+Tools+D20009NEGLW+High-Visibility+Side-Cutting+Pliers+High-Leverage&amp;qid=1695173666&amp;sr=8-6")</f>
        <v>https://www.amazon.com/Leverage-Side-Cutters-Klein-Tools-213-9NE/dp/B000KM95C2/ref=sr_1_6?keywords=Klein+Tools+D20009NEGLW+High-Visibility+Side-Cutting+Pliers+High-Leverage&amp;qid=1695173666&amp;sr=8-6</v>
      </c>
      <c r="F2013" t="s">
        <v>5425</v>
      </c>
      <c r="G2013" t="e">
        <f ca="1">_xludf.IMAGE("https://edmondsonsupply.com/cdn/shop/products/d20009neglw.jpg?v=1587144933")</f>
        <v>#NAME?</v>
      </c>
      <c r="H2013" t="e">
        <f ca="1">_xludf.IMAGE("https://m.media-amazon.com/images/I/51NAqyWqRmL._AC_UL320_.jpg")</f>
        <v>#NAME?</v>
      </c>
      <c r="I2013" t="s">
        <v>4108</v>
      </c>
      <c r="J2013">
        <v>31.97</v>
      </c>
      <c r="K2013" s="4">
        <v>-0.28910000000000002</v>
      </c>
      <c r="L2013">
        <v>4.5999999999999996</v>
      </c>
      <c r="M2013">
        <v>26</v>
      </c>
      <c r="O2013" t="s">
        <v>25</v>
      </c>
      <c r="P2013" t="s">
        <v>4109</v>
      </c>
      <c r="Q2013" t="s">
        <v>4110</v>
      </c>
    </row>
    <row r="2014" spans="1:17" ht="15.5" x14ac:dyDescent="0.35">
      <c r="A2014" s="3" t="str">
        <f>HYPERLINK("https://edmondsonsupply.com/collections/hvac/products/midwest-mwt-6510ro-right-cutting-offset-aviation-snip-blackout-series", "https://edmondsonsupply.com/collections/hvac/products/midwest-mwt-6510ro-right-cutting-offset-aviation-snip-blackout-series")</f>
        <v>https://edmondsonsupply.com/collections/hvac/products/midwest-mwt-6510ro-right-cutting-offset-aviation-snip-blackout-series</v>
      </c>
      <c r="B2014" s="3" t="str">
        <f>HYPERLINK("https://edmondsonsupply.com/products/midwest-mwt-6510ro-right-cutting-offset-aviation-snip-blackout-series", "https://edmondsonsupply.com/products/midwest-mwt-6510ro-right-cutting-offset-aviation-snip-blackout-series")</f>
        <v>https://edmondsonsupply.com/products/midwest-mwt-6510ro-right-cutting-offset-aviation-snip-blackout-series</v>
      </c>
      <c r="C2014" t="s">
        <v>157</v>
      </c>
      <c r="D2014" t="s">
        <v>229</v>
      </c>
      <c r="E2014" s="3" t="str">
        <f>HYPERLINK("https://www.amazon.com/MIDWEST-Blackout-Aviation-Snip-KUSHN-POWER/dp/B00TJQL8FW/ref=sr_1_2?keywords=Midwest+MWT-6510RO+Right-Cutting+Offset+Aviation+Snip+-+Blackout+Series&amp;qid=1695173332&amp;sr=8-2", "https://www.amazon.com/MIDWEST-Blackout-Aviation-Snip-KUSHN-POWER/dp/B00TJQL8FW/ref=sr_1_2?keywords=Midwest+MWT-6510RO+Right-Cutting+Offset+Aviation+Snip+-+Blackout+Series&amp;qid=1695173332&amp;sr=8-2")</f>
        <v>https://www.amazon.com/MIDWEST-Blackout-Aviation-Snip-KUSHN-POWER/dp/B00TJQL8FW/ref=sr_1_2?keywords=Midwest+MWT-6510RO+Right-Cutting+Offset+Aviation+Snip+-+Blackout+Series&amp;qid=1695173332&amp;sr=8-2</v>
      </c>
      <c r="F2014" t="s">
        <v>230</v>
      </c>
      <c r="G2014" t="e">
        <f ca="1">_xludf.IMAGE("https://edmondsonsupply.com/cdn/shop/products/6510ro.jpg?v=1587142626")</f>
        <v>#NAME?</v>
      </c>
      <c r="H2014" t="e">
        <f ca="1">_xludf.IMAGE("https://m.media-amazon.com/images/I/61B4vp7eTTL._AC_UL320_.jpg")</f>
        <v>#NAME?</v>
      </c>
      <c r="I2014" t="s">
        <v>160</v>
      </c>
      <c r="J2014">
        <v>21.47</v>
      </c>
      <c r="K2014" s="4">
        <v>-0.29170000000000001</v>
      </c>
      <c r="L2014">
        <v>4</v>
      </c>
      <c r="M2014">
        <v>52</v>
      </c>
      <c r="O2014" t="s">
        <v>25</v>
      </c>
      <c r="P2014" t="s">
        <v>161</v>
      </c>
      <c r="Q2014" t="s">
        <v>162</v>
      </c>
    </row>
    <row r="2015" spans="1:17" ht="15.5" x14ac:dyDescent="0.35">
      <c r="A2015" s="3" t="str">
        <f>HYPERLINK("https://edmondsonsupply.com/collections/hvac/products/veto-pro-pac-tp-xxl-blackout-tool-pouch", "https://edmondsonsupply.com/collections/hvac/products/veto-pro-pac-tp-xxl-blackout-tool-pouch")</f>
        <v>https://edmondsonsupply.com/collections/hvac/products/veto-pro-pac-tp-xxl-blackout-tool-pouch</v>
      </c>
      <c r="B2015" s="3" t="str">
        <f>HYPERLINK("https://edmondsonsupply.com/products/veto-pro-pac-tp-xxl-blackout-tool-pouch", "https://edmondsonsupply.com/products/veto-pro-pac-tp-xxl-blackout-tool-pouch")</f>
        <v>https://edmondsonsupply.com/products/veto-pro-pac-tp-xxl-blackout-tool-pouch</v>
      </c>
      <c r="C2015" t="s">
        <v>758</v>
      </c>
      <c r="D2015" t="s">
        <v>318</v>
      </c>
      <c r="E2015" s="3" t="str">
        <f>HYPERLINK("https://www.amazon.com/Veto-TP-XL-Extra-Large-Pouch/dp/B07WDL7SD3/ref=sr_1_7?keywords=Veto+Pro+Pac+TP-XXL+Blackout+Tool+Pouch&amp;qid=1695173413&amp;sr=8-7", "https://www.amazon.com/Veto-TP-XL-Extra-Large-Pouch/dp/B07WDL7SD3/ref=sr_1_7?keywords=Veto+Pro+Pac+TP-XXL+Blackout+Tool+Pouch&amp;qid=1695173413&amp;sr=8-7")</f>
        <v>https://www.amazon.com/Veto-TP-XL-Extra-Large-Pouch/dp/B07WDL7SD3/ref=sr_1_7?keywords=Veto+Pro+Pac+TP-XXL+Blackout+Tool+Pouch&amp;qid=1695173413&amp;sr=8-7</v>
      </c>
      <c r="F2015" t="s">
        <v>319</v>
      </c>
      <c r="G2015" t="e">
        <f ca="1">_xludf.IMAGE("https://edmondsonsupply.com/cdn/shop/files/TP-xxl_blackout_600x830_0000_TP-XXL_BLACKOUT_0379.jpg?v=1685736106")</f>
        <v>#NAME?</v>
      </c>
      <c r="H2015" t="e">
        <f ca="1">_xludf.IMAGE("https://m.media-amazon.com/images/I/91dIbPcb4XL._AC_UL320_.jpg")</f>
        <v>#NAME?</v>
      </c>
      <c r="I2015" t="s">
        <v>759</v>
      </c>
      <c r="J2015">
        <v>169.95</v>
      </c>
      <c r="K2015" s="4">
        <v>-0.2918</v>
      </c>
      <c r="L2015">
        <v>4.9000000000000004</v>
      </c>
      <c r="M2015">
        <v>1132</v>
      </c>
      <c r="O2015" t="s">
        <v>171</v>
      </c>
      <c r="P2015" t="s">
        <v>138</v>
      </c>
      <c r="Q2015" t="s">
        <v>760</v>
      </c>
    </row>
    <row r="2016" spans="1:17" ht="15.5" x14ac:dyDescent="0.35">
      <c r="A2016" s="3" t="str">
        <f>HYPERLINK("https://edmondsonsupply.com/collections/hvac/products/klein-tools-d504-10-classic-klaw%E2%84%A2-pump-pliers-10-inch", "https://edmondsonsupply.com/collections/hvac/products/klein-tools-d504-10-classic-klaw%E2%84%A2-pump-pliers-10-inch")</f>
        <v>https://edmondsonsupply.com/collections/hvac/products/klein-tools-d504-10-classic-klaw%E2%84%A2-pump-pliers-10-inch</v>
      </c>
      <c r="B2016" s="3" t="str">
        <f>HYPERLINK("https://edmondsonsupply.com/products/klein-tools-d504-10-classic-klaw%e2%84%a2-pump-pliers-10-inch", "https://edmondsonsupply.com/products/klein-tools-d504-10-classic-klaw%e2%84%a2-pump-pliers-10-inch")</f>
        <v>https://edmondsonsupply.com/products/klein-tools-d504-10-classic-klaw%e2%84%a2-pump-pliers-10-inch</v>
      </c>
      <c r="C2016" t="s">
        <v>3718</v>
      </c>
      <c r="D2016" t="s">
        <v>5426</v>
      </c>
      <c r="E2016" s="3" t="str">
        <f>HYPERLINK("https://www.amazon.com/Pliers-10-Inch-Klein-Tools-D502-10/dp/B0000302WC/ref=sr_1_2?keywords=Klein+Tools+D504-10+Classic+Klaw%E2%84%A2+Pump+Pliers%2C+10-Inch&amp;qid=1695173666&amp;sr=8-2", "https://www.amazon.com/Pliers-10-Inch-Klein-Tools-D502-10/dp/B0000302WC/ref=sr_1_2?keywords=Klein+Tools+D504-10+Classic+Klaw%E2%84%A2+Pump+Pliers%2C+10-Inch&amp;qid=1695173666&amp;sr=8-2")</f>
        <v>https://www.amazon.com/Pliers-10-Inch-Klein-Tools-D502-10/dp/B0000302WC/ref=sr_1_2?keywords=Klein+Tools+D504-10+Classic+Klaw%E2%84%A2+Pump+Pliers%2C+10-Inch&amp;qid=1695173666&amp;sr=8-2</v>
      </c>
      <c r="F2016" t="s">
        <v>5427</v>
      </c>
      <c r="G2016" t="e">
        <f ca="1">_xludf.IMAGE("https://edmondsonsupply.com/cdn/shop/products/d504-10.jpg?v=1587142942")</f>
        <v>#NAME?</v>
      </c>
      <c r="H2016" t="e">
        <f ca="1">_xludf.IMAGE("https://m.media-amazon.com/images/I/418n0XM7PlL._AC_UL320_.jpg")</f>
        <v>#NAME?</v>
      </c>
      <c r="I2016" t="s">
        <v>3721</v>
      </c>
      <c r="J2016">
        <v>23.99</v>
      </c>
      <c r="K2016" s="4">
        <v>-0.29380000000000001</v>
      </c>
      <c r="L2016">
        <v>4.7</v>
      </c>
      <c r="M2016">
        <v>228</v>
      </c>
      <c r="O2016" t="s">
        <v>25</v>
      </c>
      <c r="P2016" t="s">
        <v>3722</v>
      </c>
      <c r="Q2016" t="s">
        <v>3723</v>
      </c>
    </row>
    <row r="2017" spans="1:17" ht="15.5" x14ac:dyDescent="0.35">
      <c r="A2017" s="3" t="str">
        <f>HYPERLINK("https://edmondsonsupply.com/collections/hvac/products/nu-calgon-4185-15-condensate-pan-gel-tabs-15-ton", "https://edmondsonsupply.com/collections/hvac/products/nu-calgon-4185-15-condensate-pan-gel-tabs-15-ton")</f>
        <v>https://edmondsonsupply.com/collections/hvac/products/nu-calgon-4185-15-condensate-pan-gel-tabs-15-ton</v>
      </c>
      <c r="B2017" s="3" t="str">
        <f>HYPERLINK("https://edmondsonsupply.com/products/nu-calgon-4185-15-condensate-pan-gel-tabs-15-ton", "https://edmondsonsupply.com/products/nu-calgon-4185-15-condensate-pan-gel-tabs-15-ton")</f>
        <v>https://edmondsonsupply.com/products/nu-calgon-4185-15-condensate-pan-gel-tabs-15-ton</v>
      </c>
      <c r="C2017" t="s">
        <v>2098</v>
      </c>
      <c r="D2017" t="s">
        <v>5428</v>
      </c>
      <c r="E2017" s="3" t="str">
        <f>HYPERLINK("https://www.amazon.com/Nu-Calgon-Gel-Tab-4185-95-Condensate-Treatment/dp/B08SFLZBKH/ref=sr_1_3?keywords=Nu-Calgon+4185-15+Condensate+Pan+Gel+Tab%2C+15+ton&amp;qid=1695173607&amp;sr=8-3", "https://www.amazon.com/Nu-Calgon-Gel-Tab-4185-95-Condensate-Treatment/dp/B08SFLZBKH/ref=sr_1_3?keywords=Nu-Calgon+4185-15+Condensate+Pan+Gel+Tab%2C+15+ton&amp;qid=1695173607&amp;sr=8-3")</f>
        <v>https://www.amazon.com/Nu-Calgon-Gel-Tab-4185-95-Condensate-Treatment/dp/B08SFLZBKH/ref=sr_1_3?keywords=Nu-Calgon+4185-15+Condensate+Pan+Gel+Tab%2C+15+ton&amp;qid=1695173607&amp;sr=8-3</v>
      </c>
      <c r="F2017" t="s">
        <v>5429</v>
      </c>
      <c r="G2017" t="e">
        <f ca="1">_xludf.IMAGE("https://edmondsonsupply.com/cdn/shop/products/4185-15.jpg?v=1659378611")</f>
        <v>#NAME?</v>
      </c>
      <c r="H2017" t="e">
        <f ca="1">_xludf.IMAGE("https://m.media-amazon.com/images/I/41Rc0fpyudL._AC_UY218_.jpg")</f>
        <v>#NAME?</v>
      </c>
      <c r="I2017" t="s">
        <v>2101</v>
      </c>
      <c r="J2017">
        <v>12.99</v>
      </c>
      <c r="K2017" s="4">
        <v>-0.29749999999999999</v>
      </c>
      <c r="L2017">
        <v>5</v>
      </c>
      <c r="M2017">
        <v>2</v>
      </c>
      <c r="O2017" t="s">
        <v>25</v>
      </c>
      <c r="P2017" t="s">
        <v>2102</v>
      </c>
      <c r="Q2017" t="s">
        <v>2103</v>
      </c>
    </row>
    <row r="2018" spans="1:17" ht="15.5" x14ac:dyDescent="0.35">
      <c r="A2018" s="3" t="str">
        <f>HYPERLINK("https://edmondsonsupply.com/collections/hvac/products/klein-tools-89552-hole-cutter-for-duct-and-sheet-metal-2-to-12-inch", "https://edmondsonsupply.com/collections/hvac/products/klein-tools-89552-hole-cutter-for-duct-and-sheet-metal-2-to-12-inch")</f>
        <v>https://edmondsonsupply.com/collections/hvac/products/klein-tools-89552-hole-cutter-for-duct-and-sheet-metal-2-to-12-inch</v>
      </c>
      <c r="B2018" s="3" t="str">
        <f>HYPERLINK("https://edmondsonsupply.com/products/klein-tools-89552-hole-cutter-for-duct-and-sheet-metal-2-to-12-inch", "https://edmondsonsupply.com/products/klein-tools-89552-hole-cutter-for-duct-and-sheet-metal-2-to-12-inch")</f>
        <v>https://edmondsonsupply.com/products/klein-tools-89552-hole-cutter-for-duct-and-sheet-metal-2-to-12-inch</v>
      </c>
      <c r="C2018" t="s">
        <v>1762</v>
      </c>
      <c r="D2018" t="s">
        <v>5430</v>
      </c>
      <c r="E2018" s="3" t="str">
        <f>HYPERLINK("https://www.amazon.com/AMERICAN-MUTT-TOOLS-Adjustable-Cutter/dp/B0BNNXKQC9/ref=sr_1_3?keywords=Klein+Tools+89552+Hole+Cutter+for+Duct+and+Sheet+Metal%2C+2+to+12-Inch&amp;qid=1695173674&amp;sr=8-3", "https://www.amazon.com/AMERICAN-MUTT-TOOLS-Adjustable-Cutter/dp/B0BNNXKQC9/ref=sr_1_3?keywords=Klein+Tools+89552+Hole+Cutter+for+Duct+and+Sheet+Metal%2C+2+to+12-Inch&amp;qid=1695173674&amp;sr=8-3")</f>
        <v>https://www.amazon.com/AMERICAN-MUTT-TOOLS-Adjustable-Cutter/dp/B0BNNXKQC9/ref=sr_1_3?keywords=Klein+Tools+89552+Hole+Cutter+for+Duct+and+Sheet+Metal%2C+2+to+12-Inch&amp;qid=1695173674&amp;sr=8-3</v>
      </c>
      <c r="F2018" t="s">
        <v>5431</v>
      </c>
      <c r="G2018" t="e">
        <f ca="1">_xludf.IMAGE("https://edmondsonsupply.com/cdn/shop/products/89552.jpg?v=1587143132")</f>
        <v>#NAME?</v>
      </c>
      <c r="H2018" t="e">
        <f ca="1">_xludf.IMAGE("https://m.media-amazon.com/images/I/81YKfb6EtrL._AC_UL320_.jpg")</f>
        <v>#NAME?</v>
      </c>
      <c r="I2018" t="s">
        <v>1765</v>
      </c>
      <c r="J2018">
        <v>39.99</v>
      </c>
      <c r="K2018" s="4">
        <v>-0.29830000000000001</v>
      </c>
      <c r="L2018">
        <v>3.9</v>
      </c>
      <c r="M2018">
        <v>65</v>
      </c>
      <c r="O2018" t="s">
        <v>25</v>
      </c>
      <c r="P2018" t="s">
        <v>1766</v>
      </c>
      <c r="Q2018" t="s">
        <v>1767</v>
      </c>
    </row>
    <row r="2019" spans="1:17" ht="15.5" x14ac:dyDescent="0.35">
      <c r="A2019" s="3" t="str">
        <f>HYPERLINK("https://edmondsonsupply.com/collections/hvac/products/fresh-aire-uv-tuvp-er-pco-fresh-aire-uv-power-supply", "https://edmondsonsupply.com/collections/hvac/products/fresh-aire-uv-tuvp-er-pco-fresh-aire-uv-power-supply")</f>
        <v>https://edmondsonsupply.com/collections/hvac/products/fresh-aire-uv-tuvp-er-pco-fresh-aire-uv-power-supply</v>
      </c>
      <c r="B2019" s="3" t="str">
        <f>HYPERLINK("https://edmondsonsupply.com/products/fresh-aire-uv-tuvp-er-pco-fresh-aire-uv-power-supply", "https://edmondsonsupply.com/products/fresh-aire-uv-tuvp-er-pco-fresh-aire-uv-power-supply")</f>
        <v>https://edmondsonsupply.com/products/fresh-aire-uv-tuvp-er-pco-fresh-aire-uv-power-supply</v>
      </c>
      <c r="C2019" t="s">
        <v>5432</v>
      </c>
      <c r="D2019" t="s">
        <v>5433</v>
      </c>
      <c r="E2019" s="3" t="str">
        <f>HYPERLINK("https://www.amazon.com/LSE-Lighting-TUVL-215P-Fresh-Aire-Replacement/dp/B0BCH7Z2T3/ref=sr_1_3?keywords=Fresh-Aire+UV+TUVP-ER-PCO+Fresh+Aire+UV+Power+Supply&amp;qid=1695173580&amp;sr=8-3", "https://www.amazon.com/LSE-Lighting-TUVL-215P-Fresh-Aire-Replacement/dp/B0BCH7Z2T3/ref=sr_1_3?keywords=Fresh-Aire+UV+TUVP-ER-PCO+Fresh+Aire+UV+Power+Supply&amp;qid=1695173580&amp;sr=8-3")</f>
        <v>https://www.amazon.com/LSE-Lighting-TUVL-215P-Fresh-Aire-Replacement/dp/B0BCH7Z2T3/ref=sr_1_3?keywords=Fresh-Aire+UV+TUVP-ER-PCO+Fresh+Aire+UV+Power+Supply&amp;qid=1695173580&amp;sr=8-3</v>
      </c>
      <c r="F2019" t="s">
        <v>5434</v>
      </c>
      <c r="G2019" t="e">
        <f ca="1">_xludf.IMAGE("https://edmondsonsupply.com/cdn/shop/files/TUVP-ER-PCO.png?v=1692223340")</f>
        <v>#NAME?</v>
      </c>
      <c r="H2019" t="e">
        <f ca="1">_xludf.IMAGE("https://m.media-amazon.com/images/I/31MNaScLYrS._AC_UY218_.jpg")</f>
        <v>#NAME?</v>
      </c>
      <c r="I2019" t="s">
        <v>5435</v>
      </c>
      <c r="J2019">
        <v>54</v>
      </c>
      <c r="K2019" s="4">
        <v>-0.30070000000000002</v>
      </c>
      <c r="L2019">
        <v>3.9</v>
      </c>
      <c r="M2019">
        <v>14</v>
      </c>
      <c r="O2019" t="s">
        <v>25</v>
      </c>
      <c r="P2019" t="s">
        <v>138</v>
      </c>
      <c r="Q2019" t="s">
        <v>5436</v>
      </c>
    </row>
    <row r="2020" spans="1:17" ht="15.5" x14ac:dyDescent="0.35">
      <c r="A2020" s="3" t="str">
        <f>HYPERLINK("https://edmondsonsupply.com/collections/hvac/products/milwaukee-48-22-0335-35ft-compact-wide-blade-magnetic-tape-measure", "https://edmondsonsupply.com/collections/hvac/products/milwaukee-48-22-0335-35ft-compact-wide-blade-magnetic-tape-measure")</f>
        <v>https://edmondsonsupply.com/collections/hvac/products/milwaukee-48-22-0335-35ft-compact-wide-blade-magnetic-tape-measure</v>
      </c>
      <c r="B2020" s="3" t="str">
        <f>HYPERLINK("https://edmondsonsupply.com/products/milwaukee-48-22-0335-35ft-compact-wide-blade-magnetic-tape-measure", "https://edmondsonsupply.com/products/milwaukee-48-22-0335-35ft-compact-wide-blade-magnetic-tape-measure")</f>
        <v>https://edmondsonsupply.com/products/milwaukee-48-22-0335-35ft-compact-wide-blade-magnetic-tape-measure</v>
      </c>
      <c r="C2020" t="s">
        <v>5437</v>
      </c>
      <c r="D2020" t="s">
        <v>5438</v>
      </c>
      <c r="E2020" s="3" t="str">
        <f>HYPERLINK("https://www.amazon.com/Milwaukee-48-22-0325-Compact-Magnetic-Measures/dp/B082L6Q7WV/ref=sr_1_1?keywords=Milwaukee+48-22-0335+35ft+Compact+Wide+Blade+Magnetic+Tape+Measure&amp;qid=1695173735&amp;sr=8-1", "https://www.amazon.com/Milwaukee-48-22-0325-Compact-Magnetic-Measures/dp/B082L6Q7WV/ref=sr_1_1?keywords=Milwaukee+48-22-0335+35ft+Compact+Wide+Blade+Magnetic+Tape+Measure&amp;qid=1695173735&amp;sr=8-1")</f>
        <v>https://www.amazon.com/Milwaukee-48-22-0325-Compact-Magnetic-Measures/dp/B082L6Q7WV/ref=sr_1_1?keywords=Milwaukee+48-22-0335+35ft+Compact+Wide+Blade+Magnetic+Tape+Measure&amp;qid=1695173735&amp;sr=8-1</v>
      </c>
      <c r="F2020" t="s">
        <v>5439</v>
      </c>
      <c r="G2020" t="e">
        <f ca="1">_xludf.IMAGE("https://edmondsonsupply.com/cdn/shop/files/48-22-0335_1.png?v=1690302822")</f>
        <v>#NAME?</v>
      </c>
      <c r="H2020" t="e">
        <f ca="1">_xludf.IMAGE("https://m.media-amazon.com/images/I/41gSokc+0RL._AC_UL320_.jpg")</f>
        <v>#NAME?</v>
      </c>
      <c r="I2020" t="s">
        <v>5440</v>
      </c>
      <c r="J2020">
        <v>22.97</v>
      </c>
      <c r="K2020" s="4">
        <v>-0.30330000000000001</v>
      </c>
      <c r="L2020">
        <v>4.5</v>
      </c>
      <c r="M2020">
        <v>206</v>
      </c>
      <c r="O2020" t="s">
        <v>25</v>
      </c>
      <c r="P2020" t="s">
        <v>5441</v>
      </c>
      <c r="Q2020" t="s">
        <v>5442</v>
      </c>
    </row>
    <row r="2021" spans="1:17" ht="15.5" x14ac:dyDescent="0.35">
      <c r="A2021" s="3" t="str">
        <f>HYPERLINK("https://edmondsonsupply.com/collections/hvac/products/klein-tools-1010-long-nose-multi-purpose-tool", "https://edmondsonsupply.com/collections/hvac/products/klein-tools-1010-long-nose-multi-purpose-tool")</f>
        <v>https://edmondsonsupply.com/collections/hvac/products/klein-tools-1010-long-nose-multi-purpose-tool</v>
      </c>
      <c r="B2021" s="3" t="str">
        <f>HYPERLINK("https://edmondsonsupply.com/products/klein-tools-1010-long-nose-multi-purpose-tool", "https://edmondsonsupply.com/products/klein-tools-1010-long-nose-multi-purpose-tool")</f>
        <v>https://edmondsonsupply.com/products/klein-tools-1010-long-nose-multi-purpose-tool</v>
      </c>
      <c r="C2021" t="s">
        <v>5322</v>
      </c>
      <c r="D2021" t="s">
        <v>4166</v>
      </c>
      <c r="E2021" s="3" t="str">
        <f>HYPERLINK("https://www.amazon.com/Klein-Tools-1010-Crimper-Stripper/dp/B0000302WX/ref=sr_1_1?keywords=Klein+Tools+1010+Long+Nose+Multi+Tool+Wire+Stripper%2C+Wire+Cutters%2C+Crimping+Tool&amp;qid=1695173656&amp;sr=8-1", "https://www.amazon.com/Klein-Tools-1010-Crimper-Stripper/dp/B0000302WX/ref=sr_1_1?keywords=Klein+Tools+1010+Long+Nose+Multi+Tool+Wire+Stripper%2C+Wire+Cutters%2C+Crimping+Tool&amp;qid=1695173656&amp;sr=8-1")</f>
        <v>https://www.amazon.com/Klein-Tools-1010-Crimper-Stripper/dp/B0000302WX/ref=sr_1_1?keywords=Klein+Tools+1010+Long+Nose+Multi+Tool+Wire+Stripper%2C+Wire+Cutters%2C+Crimping+Tool&amp;qid=1695173656&amp;sr=8-1</v>
      </c>
      <c r="F2021" t="s">
        <v>4167</v>
      </c>
      <c r="G2021" t="e">
        <f ca="1">_xludf.IMAGE("https://edmondsonsupply.com/cdn/shop/products/1010.jpg?v=1587145604")</f>
        <v>#NAME?</v>
      </c>
      <c r="H2021" t="e">
        <f ca="1">_xludf.IMAGE("https://m.media-amazon.com/images/I/51hS7c2qzvL._AC_UL320_.jpg")</f>
        <v>#NAME?</v>
      </c>
      <c r="I2021" t="s">
        <v>5325</v>
      </c>
      <c r="J2021">
        <v>22.9</v>
      </c>
      <c r="K2021" s="4">
        <v>-0.3135</v>
      </c>
      <c r="L2021">
        <v>4.8</v>
      </c>
      <c r="M2021">
        <v>1507</v>
      </c>
      <c r="O2021" t="s">
        <v>25</v>
      </c>
      <c r="P2021" t="s">
        <v>138</v>
      </c>
      <c r="Q2021" t="s">
        <v>5326</v>
      </c>
    </row>
    <row r="2022" spans="1:17" ht="15.5" x14ac:dyDescent="0.35">
      <c r="A2022" s="3" t="str">
        <f>HYPERLINK("https://edmondsonsupply.com/collections/hvac/products/wiha-tools-66990-9-piece-magicring-ball-end-long-arm-hex-l-key-set-metric", "https://edmondsonsupply.com/collections/hvac/products/wiha-tools-66990-9-piece-magicring-ball-end-long-arm-hex-l-key-set-metric")</f>
        <v>https://edmondsonsupply.com/collections/hvac/products/wiha-tools-66990-9-piece-magicring-ball-end-long-arm-hex-l-key-set-metric</v>
      </c>
      <c r="B2022"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2022" t="s">
        <v>4395</v>
      </c>
      <c r="D2022" t="s">
        <v>5443</v>
      </c>
      <c r="E2022" s="3" t="str">
        <f>HYPERLINK("https://www.amazon.com/Wiha-66994-9-Piece-Metric-L-Key/dp/B002S0O7TK/ref=sr_1_1?keywords=Wiha+Tools+66990+9+Piece+MagicRing+Ball+End+Long+Arm+Hex+L-Key+Set+-+Metric&amp;qid=1695173733&amp;sr=8-1", "https://www.amazon.com/Wiha-66994-9-Piece-Metric-L-Key/dp/B002S0O7TK/ref=sr_1_1?keywords=Wiha+Tools+66990+9+Piece+MagicRing+Ball+End+Long+Arm+Hex+L-Key+Set+-+Metric&amp;qid=1695173733&amp;sr=8-1")</f>
        <v>https://www.amazon.com/Wiha-66994-9-Piece-Metric-L-Key/dp/B002S0O7TK/ref=sr_1_1?keywords=Wiha+Tools+66990+9+Piece+MagicRing+Ball+End+Long+Arm+Hex+L-Key+Set+-+Metric&amp;qid=1695173733&amp;sr=8-1</v>
      </c>
      <c r="F2022" t="s">
        <v>5444</v>
      </c>
      <c r="G2022" t="e">
        <f ca="1">_xludf.IMAGE("https://edmondsonsupply.com/cdn/shop/files/13e958aad91c16597a10bc35346fe94965ff7cc5_1000x_585c36ae-bd90-4c7e-95df-eb1519527f63.webp?v=1690841217")</f>
        <v>#NAME?</v>
      </c>
      <c r="H2022" t="e">
        <f ca="1">_xludf.IMAGE("https://m.media-amazon.com/images/I/61tUR1OSo0L._AC_UL320_.jpg")</f>
        <v>#NAME?</v>
      </c>
      <c r="I2022" t="s">
        <v>4398</v>
      </c>
      <c r="J2022">
        <v>26.78</v>
      </c>
      <c r="K2022" s="4">
        <v>-0.31790000000000002</v>
      </c>
      <c r="L2022">
        <v>4.8</v>
      </c>
      <c r="M2022">
        <v>145</v>
      </c>
      <c r="O2022" t="s">
        <v>25</v>
      </c>
      <c r="P2022" t="s">
        <v>4399</v>
      </c>
      <c r="Q2022" t="s">
        <v>4400</v>
      </c>
    </row>
    <row r="2023" spans="1:17" ht="15.5" x14ac:dyDescent="0.35">
      <c r="A2023" s="3" t="str">
        <f>HYPERLINK("https://edmondsonsupply.com/collections/hvac/products/klein-tools-55437-tradesman-pro%E2%84%A2-work-light", "https://edmondsonsupply.com/collections/hvac/products/klein-tools-55437-tradesman-pro%E2%84%A2-work-light")</f>
        <v>https://edmondsonsupply.com/collections/hvac/products/klein-tools-55437-tradesman-pro%E2%84%A2-work-light</v>
      </c>
      <c r="B2023" s="3" t="str">
        <f>HYPERLINK("https://edmondsonsupply.com/products/klein-tools-55437-tradesman-pro%e2%84%a2-work-light", "https://edmondsonsupply.com/products/klein-tools-55437-tradesman-pro%e2%84%a2-work-light")</f>
        <v>https://edmondsonsupply.com/products/klein-tools-55437-tradesman-pro%e2%84%a2-work-light</v>
      </c>
      <c r="C2023" t="s">
        <v>1388</v>
      </c>
      <c r="D2023" t="s">
        <v>5445</v>
      </c>
      <c r="E2023" s="3" t="str">
        <f>HYPERLINK("https://www.amazon.com/Tradesman-Light-Klein-Tools-55437/dp/B00MJO7KYO/ref=sr_1_1?keywords=Klein+Tools+55437+Tradesman+Pro%E2%84%A2+Work+Light+%2F+Tool+Bag+Light+%2F+Cooler+Light&amp;qid=1695173666&amp;sr=8-1", "https://www.amazon.com/Tradesman-Light-Klein-Tools-55437/dp/B00MJO7KYO/ref=sr_1_1?keywords=Klein+Tools+55437+Tradesman+Pro%E2%84%A2+Work+Light+%2F+Tool+Bag+Light+%2F+Cooler+Light&amp;qid=1695173666&amp;sr=8-1")</f>
        <v>https://www.amazon.com/Tradesman-Light-Klein-Tools-55437/dp/B00MJO7KYO/ref=sr_1_1?keywords=Klein+Tools+55437+Tradesman+Pro%E2%84%A2+Work+Light+%2F+Tool+Bag+Light+%2F+Cooler+Light&amp;qid=1695173666&amp;sr=8-1</v>
      </c>
      <c r="F2023" t="s">
        <v>5446</v>
      </c>
      <c r="G2023" t="e">
        <f ca="1">_xludf.IMAGE("https://edmondsonsupply.com/cdn/shop/products/55437.jpg?v=1587143511")</f>
        <v>#NAME?</v>
      </c>
      <c r="H2023" t="e">
        <f ca="1">_xludf.IMAGE("https://m.media-amazon.com/images/I/71D2GxvE3+L._AC_UL320_.jpg")</f>
        <v>#NAME?</v>
      </c>
      <c r="I2023" t="s">
        <v>1391</v>
      </c>
      <c r="J2023">
        <v>12.99</v>
      </c>
      <c r="K2023" s="4">
        <v>-0.32129999999999997</v>
      </c>
      <c r="L2023">
        <v>4.5</v>
      </c>
      <c r="M2023">
        <v>406</v>
      </c>
      <c r="O2023" t="s">
        <v>25</v>
      </c>
      <c r="P2023" t="s">
        <v>138</v>
      </c>
      <c r="Q2023" t="s">
        <v>1392</v>
      </c>
    </row>
    <row r="2024" spans="1:17" ht="15.5" x14ac:dyDescent="0.35">
      <c r="A2024" s="3" t="str">
        <f>HYPERLINK("https://edmondsonsupply.com/collections/hvac/products/klein-tools-9230-tape-measure-30-foot-magnetic-double-hook", "https://edmondsonsupply.com/collections/hvac/products/klein-tools-9230-tape-measure-30-foot-magnetic-double-hook")</f>
        <v>https://edmondsonsupply.com/collections/hvac/products/klein-tools-9230-tape-measure-30-foot-magnetic-double-hook</v>
      </c>
      <c r="B2024" s="3" t="str">
        <f>HYPERLINK("https://edmondsonsupply.com/products/klein-tools-9230-tape-measure-30-foot-magnetic-double-hook", "https://edmondsonsupply.com/products/klein-tools-9230-tape-measure-30-foot-magnetic-double-hook")</f>
        <v>https://edmondsonsupply.com/products/klein-tools-9230-tape-measure-30-foot-magnetic-double-hook</v>
      </c>
      <c r="C2024" t="s">
        <v>5073</v>
      </c>
      <c r="D2024" t="s">
        <v>5447</v>
      </c>
      <c r="E2024" s="3" t="str">
        <f>HYPERLINK("https://www.amazon.com/Klein-Tools-Measure-Magnetic-Double-Hook/dp/B07WHF9LWP/ref=sr_1_4?keywords=Klein+Tools+9230+Tape+Measure%2C+30-Foot+Magnetic+Double-Hook&amp;qid=1695173665&amp;sr=8-4", "https://www.amazon.com/Klein-Tools-Measure-Magnetic-Double-Hook/dp/B07WHF9LWP/ref=sr_1_4?keywords=Klein+Tools+9230+Tape+Measure%2C+30-Foot+Magnetic+Double-Hook&amp;qid=1695173665&amp;sr=8-4")</f>
        <v>https://www.amazon.com/Klein-Tools-Measure-Magnetic-Double-Hook/dp/B07WHF9LWP/ref=sr_1_4?keywords=Klein+Tools+9230+Tape+Measure%2C+30-Foot+Magnetic+Double-Hook&amp;qid=1695173665&amp;sr=8-4</v>
      </c>
      <c r="F2024" t="s">
        <v>5448</v>
      </c>
      <c r="G2024" t="e">
        <f ca="1">_xludf.IMAGE("https://edmondsonsupply.com/cdn/shop/products/9230_photo.jpg?v=1587150845")</f>
        <v>#NAME?</v>
      </c>
      <c r="H2024" t="e">
        <f ca="1">_xludf.IMAGE("https://m.media-amazon.com/images/I/511ZtYuRbfL._AC_UL320_.jpg")</f>
        <v>#NAME?</v>
      </c>
      <c r="I2024" t="s">
        <v>4310</v>
      </c>
      <c r="J2024">
        <v>22.97</v>
      </c>
      <c r="K2024" s="4">
        <v>-0.32419999999999999</v>
      </c>
      <c r="L2024">
        <v>4.5999999999999996</v>
      </c>
      <c r="M2024">
        <v>1085</v>
      </c>
      <c r="O2024" t="s">
        <v>25</v>
      </c>
      <c r="P2024" t="s">
        <v>5076</v>
      </c>
      <c r="Q2024" t="s">
        <v>5077</v>
      </c>
    </row>
    <row r="2025" spans="1:17" ht="15.5" x14ac:dyDescent="0.35">
      <c r="A2025" s="3" t="str">
        <f>HYPERLINK("https://edmondsonsupply.com/collections/hvac/products/milwaukee-48-11-2430-m12%E2%84%A2-redlithium%E2%84%A2-3-0-compact-battery-pack", "https://edmondsonsupply.com/collections/hvac/products/milwaukee-48-11-2430-m12%E2%84%A2-redlithium%E2%84%A2-3-0-compact-battery-pack")</f>
        <v>https://edmondsonsupply.com/collections/hvac/products/milwaukee-48-11-2430-m12%E2%84%A2-redlithium%E2%84%A2-3-0-compact-battery-pack</v>
      </c>
      <c r="B2025"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2025" t="s">
        <v>5449</v>
      </c>
      <c r="D2025" t="s">
        <v>5450</v>
      </c>
      <c r="E2025" s="3" t="str">
        <f>HYPERLINK("https://www.amazon.com/Milwaukee-Electric-Tool-48-11-2430-Lithium/dp/B078W9W425/ref=sr_1_2?keywords=Milwaukee+48-11-2430+M12%E2%84%A2+REDLITHIUM%E2%84%A2+3.0+Compact+Battery+Pack&amp;qid=1695173672&amp;sr=8-2", "https://www.amazon.com/Milwaukee-Electric-Tool-48-11-2430-Lithium/dp/B078W9W425/ref=sr_1_2?keywords=Milwaukee+48-11-2430+M12%E2%84%A2+REDLITHIUM%E2%84%A2+3.0+Compact+Battery+Pack&amp;qid=1695173672&amp;sr=8-2")</f>
        <v>https://www.amazon.com/Milwaukee-Electric-Tool-48-11-2430-Lithium/dp/B078W9W425/ref=sr_1_2?keywords=Milwaukee+48-11-2430+M12%E2%84%A2+REDLITHIUM%E2%84%A2+3.0+Compact+Battery+Pack&amp;qid=1695173672&amp;sr=8-2</v>
      </c>
      <c r="F2025" t="s">
        <v>5451</v>
      </c>
      <c r="G2025" t="e">
        <f ca="1">_xludf.IMAGE("https://edmondsonsupply.com/cdn/shop/products/48-11-2430.png?v=1587142488")</f>
        <v>#NAME?</v>
      </c>
      <c r="H2025" t="e">
        <f ca="1">_xludf.IMAGE("https://m.media-amazon.com/images/I/61PrFqnmvKL._AC_UL320_.jpg")</f>
        <v>#NAME?</v>
      </c>
      <c r="I2025" t="s">
        <v>5452</v>
      </c>
      <c r="J2025">
        <v>46.49</v>
      </c>
      <c r="K2025" s="4">
        <v>-0.32619999999999999</v>
      </c>
      <c r="L2025">
        <v>4.5999999999999996</v>
      </c>
      <c r="M2025">
        <v>172</v>
      </c>
      <c r="O2025" t="s">
        <v>25</v>
      </c>
      <c r="P2025" t="s">
        <v>5453</v>
      </c>
      <c r="Q2025" t="s">
        <v>5454</v>
      </c>
    </row>
    <row r="2026" spans="1:17" ht="15.5" x14ac:dyDescent="0.35">
      <c r="A2026" s="3" t="str">
        <f>HYPERLINK("https://edmondsonsupply.com/collections/hvac/products/klein-tools-32535-10-in-1-10-fold-screwdriver-nut-driver", "https://edmondsonsupply.com/collections/hvac/products/klein-tools-32535-10-in-1-10-fold-screwdriver-nut-driver")</f>
        <v>https://edmondsonsupply.com/collections/hvac/products/klein-tools-32535-10-in-1-10-fold-screwdriver-nut-driver</v>
      </c>
      <c r="B2026" s="3" t="str">
        <f>HYPERLINK("https://edmondsonsupply.com/products/klein-tools-32535-10-in-1-10-fold-screwdriver-nut-driver", "https://edmondsonsupply.com/products/klein-tools-32535-10-in-1-10-fold-screwdriver-nut-driver")</f>
        <v>https://edmondsonsupply.com/products/klein-tools-32535-10-in-1-10-fold-screwdriver-nut-driver</v>
      </c>
      <c r="C2026" t="s">
        <v>4368</v>
      </c>
      <c r="D2026" t="s">
        <v>5455</v>
      </c>
      <c r="E2026" s="3" t="str">
        <f>HYPERLINK("https://www.amazon.com/Screwdriver-Industrial-Strength-Klein-Tools/dp/B0002RI5EY/ref=sr_1_7?keywords=Klein+Tools+32535+10-in-1+10+Fold+Screwdriver+%2F+Nut+Driver&amp;qid=1695173630&amp;sr=8-7", "https://www.amazon.com/Screwdriver-Industrial-Strength-Klein-Tools/dp/B0002RI5EY/ref=sr_1_7?keywords=Klein+Tools+32535+10-in-1+10+Fold+Screwdriver+%2F+Nut+Driver&amp;qid=1695173630&amp;sr=8-7")</f>
        <v>https://www.amazon.com/Screwdriver-Industrial-Strength-Klein-Tools/dp/B0002RI5EY/ref=sr_1_7?keywords=Klein+Tools+32535+10-in-1+10+Fold+Screwdriver+%2F+Nut+Driver&amp;qid=1695173630&amp;sr=8-7</v>
      </c>
      <c r="F2026" t="s">
        <v>5456</v>
      </c>
      <c r="G2026" t="e">
        <f ca="1">_xludf.IMAGE("https://edmondsonsupply.com/cdn/shop/products/32535.jpg?v=1633030894")</f>
        <v>#NAME?</v>
      </c>
      <c r="H2026" t="e">
        <f ca="1">_xludf.IMAGE("https://m.media-amazon.com/images/I/71LrIhqEXuL._AC_UL320_.jpg")</f>
        <v>#NAME?</v>
      </c>
      <c r="I2026" t="s">
        <v>26</v>
      </c>
      <c r="J2026">
        <v>19.989999999999998</v>
      </c>
      <c r="K2026" s="4">
        <v>-0.33339999999999997</v>
      </c>
      <c r="L2026">
        <v>4.7</v>
      </c>
      <c r="M2026">
        <v>555</v>
      </c>
      <c r="O2026" t="s">
        <v>25</v>
      </c>
      <c r="P2026" t="s">
        <v>4371</v>
      </c>
      <c r="Q2026" t="s">
        <v>4372</v>
      </c>
    </row>
    <row r="2027" spans="1:17" ht="15.5" x14ac:dyDescent="0.35">
      <c r="A2027" s="3" t="str">
        <f>HYPERLINK("https://edmondsonsupply.com/collections/hvac/products/klein-tools-d2000-9neglw-hi-viz-side-cutting-pliers-high-leverage", "https://edmondsonsupply.com/collections/hvac/products/klein-tools-d2000-9neglw-hi-viz-side-cutting-pliers-high-leverage")</f>
        <v>https://edmondsonsupply.com/collections/hvac/products/klein-tools-d2000-9neglw-hi-viz-side-cutting-pliers-high-leverage</v>
      </c>
      <c r="B2027"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2027" t="s">
        <v>4105</v>
      </c>
      <c r="D2027" t="s">
        <v>5457</v>
      </c>
      <c r="E2027" s="3" t="str">
        <f>HYPERLINK("https://www.amazon.com/Diagonal-Ironworker-Klein-Tools-D248-9ST/dp/B0009ZAT1G/ref=sr_1_5?keywords=Klein+Tools+D20009NEGLW+High-Visibility+Side-Cutting+Pliers+High-Leverage&amp;qid=1695173666&amp;sr=8-5", "https://www.amazon.com/Diagonal-Ironworker-Klein-Tools-D248-9ST/dp/B0009ZAT1G/ref=sr_1_5?keywords=Klein+Tools+D20009NEGLW+High-Visibility+Side-Cutting+Pliers+High-Leverage&amp;qid=1695173666&amp;sr=8-5")</f>
        <v>https://www.amazon.com/Diagonal-Ironworker-Klein-Tools-D248-9ST/dp/B0009ZAT1G/ref=sr_1_5?keywords=Klein+Tools+D20009NEGLW+High-Visibility+Side-Cutting+Pliers+High-Leverage&amp;qid=1695173666&amp;sr=8-5</v>
      </c>
      <c r="F2027" t="s">
        <v>5458</v>
      </c>
      <c r="G2027" t="e">
        <f ca="1">_xludf.IMAGE("https://edmondsonsupply.com/cdn/shop/products/d20009neglw.jpg?v=1587144933")</f>
        <v>#NAME?</v>
      </c>
      <c r="H2027" t="e">
        <f ca="1">_xludf.IMAGE("https://m.media-amazon.com/images/I/41QcUzpmIlL._AC_UL320_.jpg")</f>
        <v>#NAME?</v>
      </c>
      <c r="I2027" t="s">
        <v>4108</v>
      </c>
      <c r="J2027">
        <v>29.97</v>
      </c>
      <c r="K2027" s="4">
        <v>-0.33360000000000001</v>
      </c>
      <c r="L2027">
        <v>4.8</v>
      </c>
      <c r="M2027">
        <v>5530</v>
      </c>
      <c r="O2027" t="s">
        <v>25</v>
      </c>
      <c r="P2027" t="s">
        <v>4109</v>
      </c>
      <c r="Q2027" t="s">
        <v>4110</v>
      </c>
    </row>
    <row r="2028" spans="1:17" ht="15.5" x14ac:dyDescent="0.35">
      <c r="A2028" s="3" t="str">
        <f>HYPERLINK("https://edmondsonsupply.com/collections/hvac/products/klein-tools-sk234-screwdriver-set-slotted-screw-holding-3-piece", "https://edmondsonsupply.com/collections/hvac/products/klein-tools-sk234-screwdriver-set-slotted-screw-holding-3-piece")</f>
        <v>https://edmondsonsupply.com/collections/hvac/products/klein-tools-sk234-screwdriver-set-slotted-screw-holding-3-piece</v>
      </c>
      <c r="B2028" s="3" t="str">
        <f>HYPERLINK("https://edmondsonsupply.com/products/klein-tools-sk234-screwdriver-set-slotted-screw-holding-3-piece", "https://edmondsonsupply.com/products/klein-tools-sk234-screwdriver-set-slotted-screw-holding-3-piece")</f>
        <v>https://edmondsonsupply.com/products/klein-tools-sk234-screwdriver-set-slotted-screw-holding-3-piece</v>
      </c>
      <c r="C2028" t="s">
        <v>5276</v>
      </c>
      <c r="D2028" t="s">
        <v>5091</v>
      </c>
      <c r="E2028" s="3" t="str">
        <f>HYPERLINK("https://www.amazon.com/Klein-Tools-85073INS-Insulated-Screwdriver/dp/B0BF79WQZX/ref=sr_1_9?keywords=Klein+Tools+SK234+Screwdriver+Set%2C+Slotted+Screw+Holding%2C+3-Piece&amp;qid=1695173459&amp;sr=8-9", "https://www.amazon.com/Klein-Tools-85073INS-Insulated-Screwdriver/dp/B0BF79WQZX/ref=sr_1_9?keywords=Klein+Tools+SK234+Screwdriver+Set%2C+Slotted+Screw+Holding%2C+3-Piece&amp;qid=1695173459&amp;sr=8-9")</f>
        <v>https://www.amazon.com/Klein-Tools-85073INS-Insulated-Screwdriver/dp/B0BF79WQZX/ref=sr_1_9?keywords=Klein+Tools+SK234+Screwdriver+Set%2C+Slotted+Screw+Holding%2C+3-Piece&amp;qid=1695173459&amp;sr=8-9</v>
      </c>
      <c r="F2028" t="s">
        <v>5092</v>
      </c>
      <c r="G2028" t="e">
        <f ca="1">_xludf.IMAGE("https://edmondsonsupply.com/cdn/shop/products/sk234.jpg?v=1587144984")</f>
        <v>#NAME?</v>
      </c>
      <c r="H2028" t="e">
        <f ca="1">_xludf.IMAGE("https://m.media-amazon.com/images/I/51dL7msUIqL._AC_UL320_.jpg")</f>
        <v>#NAME?</v>
      </c>
      <c r="I2028" t="s">
        <v>824</v>
      </c>
      <c r="J2028">
        <v>19.97</v>
      </c>
      <c r="K2028" s="4">
        <v>-0.3337</v>
      </c>
      <c r="L2028">
        <v>4.9000000000000004</v>
      </c>
      <c r="M2028">
        <v>205</v>
      </c>
      <c r="O2028" t="s">
        <v>171</v>
      </c>
      <c r="P2028" t="s">
        <v>5277</v>
      </c>
      <c r="Q2028" t="s">
        <v>5278</v>
      </c>
    </row>
    <row r="2029" spans="1:17" ht="15.5" x14ac:dyDescent="0.35">
      <c r="A2029" s="3" t="str">
        <f>HYPERLINK("https://edmondsonsupply.com/collections/hvac/products/klein-tools-ncvt-2pkit-dual-range-non-contact-voltage-tester-with-receptacle-tester", "https://edmondsonsupply.com/collections/hvac/products/klein-tools-ncvt-2pkit-dual-range-non-contact-voltage-tester-with-receptacle-tester")</f>
        <v>https://edmondsonsupply.com/collections/hvac/products/klein-tools-ncvt-2pkit-dual-range-non-contact-voltage-tester-with-receptacle-tester</v>
      </c>
      <c r="B2029"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2029" t="s">
        <v>1566</v>
      </c>
      <c r="D2029" t="s">
        <v>5459</v>
      </c>
      <c r="E2029" s="3" t="str">
        <f>HYPERLINK("https://www.amazon.com/Klein-Tools-NCVT3PKIT-Electrical-Non-Contact/dp/B08SY9XFJK/ref=sr_1_6?keywords=Klein+Tools+NCVT-2PKIT+Dual+Range+Non-Contact+Voltage+Tester+with+Receptacle+Tester&amp;qid=1695173669&amp;sr=8-6", "https://www.amazon.com/Klein-Tools-NCVT3PKIT-Electrical-Non-Contact/dp/B08SY9XFJK/ref=sr_1_6?keywords=Klein+Tools+NCVT-2PKIT+Dual+Range+Non-Contact+Voltage+Tester+with+Receptacle+Tester&amp;qid=1695173669&amp;sr=8-6")</f>
        <v>https://www.amazon.com/Klein-Tools-NCVT3PKIT-Electrical-Non-Contact/dp/B08SY9XFJK/ref=sr_1_6?keywords=Klein+Tools+NCVT-2PKIT+Dual+Range+Non-Contact+Voltage+Tester+with+Receptacle+Tester&amp;qid=1695173669&amp;sr=8-6</v>
      </c>
      <c r="F2029" t="s">
        <v>5460</v>
      </c>
      <c r="G2029" t="e">
        <f ca="1">_xludf.IMAGE("https://edmondsonsupply.com/cdn/shop/products/ncvt2pkit.jpg?v=1633030827")</f>
        <v>#NAME?</v>
      </c>
      <c r="H2029" t="e">
        <f ca="1">_xludf.IMAGE("https://m.media-amazon.com/images/I/519yG6StX0L._AC_UL320_.jpg")</f>
        <v>#NAME?</v>
      </c>
      <c r="I2029" t="s">
        <v>26</v>
      </c>
      <c r="J2029">
        <v>19.88</v>
      </c>
      <c r="K2029" s="4">
        <v>-0.33710000000000001</v>
      </c>
      <c r="L2029">
        <v>4.7</v>
      </c>
      <c r="M2029">
        <v>4231</v>
      </c>
      <c r="O2029" t="s">
        <v>25</v>
      </c>
      <c r="P2029" t="s">
        <v>1569</v>
      </c>
      <c r="Q2029" t="s">
        <v>1570</v>
      </c>
    </row>
    <row r="2030" spans="1:17" ht="15.5" x14ac:dyDescent="0.35">
      <c r="A2030" s="3" t="str">
        <f>HYPERLINK("https://edmondsonsupply.com/collections/hvac/products/5-2-1-compressor-saver-csru2", "https://edmondsonsupply.com/collections/hvac/products/5-2-1-compressor-saver-csru2")</f>
        <v>https://edmondsonsupply.com/collections/hvac/products/5-2-1-compressor-saver-csru2</v>
      </c>
      <c r="B2030" s="3" t="str">
        <f>HYPERLINK("https://edmondsonsupply.com/products/5-2-1-compressor-saver-csru2", "https://edmondsonsupply.com/products/5-2-1-compressor-saver-csru2")</f>
        <v>https://edmondsonsupply.com/products/5-2-1-compressor-saver-csru2</v>
      </c>
      <c r="C2030" t="s">
        <v>3959</v>
      </c>
      <c r="D2030" t="s">
        <v>5461</v>
      </c>
      <c r="E2030" s="3" t="str">
        <f>HYPERLINK("https://www.amazon.com/Capacitor-Compatible-CSR-U2-Compressor-3-5-4/dp/B07MDJ67M7/ref=sr_1_3?keywords=5-2-1+CSRU2+Compressor+Saver%2C+3-1%2F2+to+5+Tons&amp;qid=1695173684&amp;sr=8-3", "https://www.amazon.com/Capacitor-Compatible-CSR-U2-Compressor-3-5-4/dp/B07MDJ67M7/ref=sr_1_3?keywords=5-2-1+CSRU2+Compressor+Saver%2C+3-1%2F2+to+5+Tons&amp;qid=1695173684&amp;sr=8-3")</f>
        <v>https://www.amazon.com/Capacitor-Compatible-CSR-U2-Compressor-3-5-4/dp/B07MDJ67M7/ref=sr_1_3?keywords=5-2-1+CSRU2+Compressor+Saver%2C+3-1%2F2+to+5+Tons&amp;qid=1695173684&amp;sr=8-3</v>
      </c>
      <c r="F2030" t="s">
        <v>5462</v>
      </c>
      <c r="G2030" t="e">
        <f ca="1">_xludf.IMAGE("https://edmondsonsupply.com/cdn/shop/products/CSRU2.jpg?v=1633030087")</f>
        <v>#NAME?</v>
      </c>
      <c r="H2030" t="e">
        <f ca="1">_xludf.IMAGE("https://m.media-amazon.com/images/I/61e5NrEyLtL._AC_UL320_.jpg")</f>
        <v>#NAME?</v>
      </c>
      <c r="I2030" t="s">
        <v>3960</v>
      </c>
      <c r="J2030">
        <v>27.89</v>
      </c>
      <c r="K2030" s="4">
        <v>-0.3397</v>
      </c>
      <c r="L2030">
        <v>4.0999999999999996</v>
      </c>
      <c r="M2030">
        <v>319</v>
      </c>
      <c r="O2030" t="s">
        <v>25</v>
      </c>
      <c r="P2030" t="s">
        <v>3961</v>
      </c>
      <c r="Q2030" t="s">
        <v>3962</v>
      </c>
    </row>
    <row r="2031" spans="1:17" ht="15.5" x14ac:dyDescent="0.35">
      <c r="A2031"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2031"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2031" t="s">
        <v>3118</v>
      </c>
      <c r="D2031" t="s">
        <v>2386</v>
      </c>
      <c r="E2031" s="3" t="str">
        <f>HYPERLINK("https://www.amazon.com/Journeyman-T-Handle-Klein-Tools-JTH6E13BE/dp/B004QW52YW/ref=sr_1_10?keywords=Klein+Tools+JTH4E17+1%2F2-Inch+Hex+Key%2C+Journeyman+T-Handle%2C+4-Inch&amp;qid=1695173633&amp;sr=8-10", "https://www.amazon.com/Journeyman-T-Handle-Klein-Tools-JTH6E13BE/dp/B004QW52YW/ref=sr_1_10?keywords=Klein+Tools+JTH4E17+1%2F2-Inch+Hex+Key%2C+Journeyman+T-Handle%2C+4-Inch&amp;qid=1695173633&amp;sr=8-10")</f>
        <v>https://www.amazon.com/Journeyman-T-Handle-Klein-Tools-JTH6E13BE/dp/B004QW52YW/ref=sr_1_10?keywords=Klein+Tools+JTH4E17+1%2F2-Inch+Hex+Key%2C+Journeyman+T-Handle%2C+4-Inch&amp;qid=1695173633&amp;sr=8-10</v>
      </c>
      <c r="F2031" t="s">
        <v>2387</v>
      </c>
      <c r="G2031" t="e">
        <f ca="1">_xludf.IMAGE("https://edmondsonsupply.com/cdn/shop/products/jth4e17_583549be-7b42-43c7-9c3d-a92f2416ede5.jpg?v=1610655610")</f>
        <v>#NAME?</v>
      </c>
      <c r="H2031" t="e">
        <f ca="1">_xludf.IMAGE("https://m.media-amazon.com/images/I/51f9vBFVXgL._AC_UL320_.jpg")</f>
        <v>#NAME?</v>
      </c>
      <c r="I2031" t="s">
        <v>252</v>
      </c>
      <c r="J2031">
        <v>10.55</v>
      </c>
      <c r="K2031" s="4">
        <v>-0.3402</v>
      </c>
      <c r="L2031">
        <v>4.7</v>
      </c>
      <c r="M2031">
        <v>32</v>
      </c>
      <c r="O2031" t="s">
        <v>25</v>
      </c>
      <c r="P2031" t="s">
        <v>3121</v>
      </c>
      <c r="Q2031" t="s">
        <v>3122</v>
      </c>
    </row>
    <row r="2032" spans="1:17" ht="15.5" x14ac:dyDescent="0.35">
      <c r="A2032" s="3" t="str">
        <f>HYPERLINK("https://edmondsonsupply.com/collections/hvac/products/icm-controls-icm2813-furnace-control-board-replacement-for-lennox", "https://edmondsonsupply.com/collections/hvac/products/icm-controls-icm2813-furnace-control-board-replacement-for-lennox")</f>
        <v>https://edmondsonsupply.com/collections/hvac/products/icm-controls-icm2813-furnace-control-board-replacement-for-lennox</v>
      </c>
      <c r="B2032" s="3" t="str">
        <f>HYPERLINK("https://edmondsonsupply.com/products/icm-controls-icm2813-furnace-control-board-replacement-for-lennox", "https://edmondsonsupply.com/products/icm-controls-icm2813-furnace-control-board-replacement-for-lennox")</f>
        <v>https://edmondsonsupply.com/products/icm-controls-icm2813-furnace-control-board-replacement-for-lennox</v>
      </c>
      <c r="C2032" t="s">
        <v>2928</v>
      </c>
      <c r="D2032" t="s">
        <v>4889</v>
      </c>
      <c r="E2032" s="3" t="str">
        <f>HYPERLINK("https://www.amazon.com/ICM-Controls-ICM-2810-PCBBF136-PCBBF140/dp/B078KMX2V9/ref=sr_1_4?keywords=ICM+Controls+ICM2813+Furnace+Control+Board+-+Replacement+for+Lennox&amp;qid=1695173342&amp;sr=8-4", "https://www.amazon.com/ICM-Controls-ICM-2810-PCBBF136-PCBBF140/dp/B078KMX2V9/ref=sr_1_4?keywords=ICM+Controls+ICM2813+Furnace+Control+Board+-+Replacement+for+Lennox&amp;qid=1695173342&amp;sr=8-4")</f>
        <v>https://www.amazon.com/ICM-Controls-ICM-2810-PCBBF136-PCBBF140/dp/B078KMX2V9/ref=sr_1_4?keywords=ICM+Controls+ICM2813+Furnace+Control+Board+-+Replacement+for+Lennox&amp;qid=1695173342&amp;sr=8-4</v>
      </c>
      <c r="F2032" t="s">
        <v>4890</v>
      </c>
      <c r="G2032" t="e">
        <f ca="1">_xludf.IMAGE("https://edmondsonsupply.com/cdn/shop/products/ICM2813.jpg?v=1666552363")</f>
        <v>#NAME?</v>
      </c>
      <c r="H2032" t="e">
        <f ca="1">_xludf.IMAGE("https://m.media-amazon.com/images/I/51UFjRz3HyL._AC_UL320_.jpg")</f>
        <v>#NAME?</v>
      </c>
      <c r="I2032" t="s">
        <v>2224</v>
      </c>
      <c r="J2032">
        <v>65.62</v>
      </c>
      <c r="K2032" s="4">
        <v>-0.34370000000000001</v>
      </c>
      <c r="L2032">
        <v>4</v>
      </c>
      <c r="M2032">
        <v>18</v>
      </c>
      <c r="O2032" t="s">
        <v>25</v>
      </c>
      <c r="P2032" t="s">
        <v>2931</v>
      </c>
      <c r="Q2032" t="s">
        <v>2932</v>
      </c>
    </row>
    <row r="2033" spans="1:17" ht="15.5" x14ac:dyDescent="0.35">
      <c r="A2033" s="3" t="str">
        <f>HYPERLINK("https://edmondsonsupply.com/collections/hvac/products/klein-tools-jth67t-7-piece-6-torx%C2%AE-journeyman-t-handle-set-with-stand", "https://edmondsonsupply.com/collections/hvac/products/klein-tools-jth67t-7-piece-6-torx%C2%AE-journeyman-t-handle-set-with-stand")</f>
        <v>https://edmondsonsupply.com/collections/hvac/products/klein-tools-jth67t-7-piece-6-torx%C2%AE-journeyman-t-handle-set-with-stand</v>
      </c>
      <c r="B2033" s="3" t="str">
        <f>HYPERLINK("https://edmondsonsupply.com/products/klein-tools-jth67t-7-piece-6-torx%c2%ae-journeyman-t-handle-set-with-stand", "https://edmondsonsupply.com/products/klein-tools-jth67t-7-piece-6-torx%c2%ae-journeyman-t-handle-set-with-stand")</f>
        <v>https://edmondsonsupply.com/products/klein-tools-jth67t-7-piece-6-torx%c2%ae-journeyman-t-handle-set-with-stand</v>
      </c>
      <c r="C2033" t="s">
        <v>5463</v>
      </c>
      <c r="D2033" t="s">
        <v>5464</v>
      </c>
      <c r="E2033" s="3" t="str">
        <f>HYPERLINK("https://www.amazon.com/T-Handle-7-Piece-Klein-Tools-JTH67T/dp/B004DAE9G4/ref=sr_1_2?keywords=Klein+Tools+JTH67T+Hex+Key+Set%2C+TORX+T-Handle%2C+6-Inch+with+Stand%2C+7-Piece&amp;qid=1695173560&amp;sr=8-2", "https://www.amazon.com/T-Handle-7-Piece-Klein-Tools-JTH67T/dp/B004DAE9G4/ref=sr_1_2?keywords=Klein+Tools+JTH67T+Hex+Key+Set%2C+TORX+T-Handle%2C+6-Inch+with+Stand%2C+7-Piece&amp;qid=1695173560&amp;sr=8-2")</f>
        <v>https://www.amazon.com/T-Handle-7-Piece-Klein-Tools-JTH67T/dp/B004DAE9G4/ref=sr_1_2?keywords=Klein+Tools+JTH67T+Hex+Key+Set%2C+TORX+T-Handle%2C+6-Inch+with+Stand%2C+7-Piece&amp;qid=1695173560&amp;sr=8-2</v>
      </c>
      <c r="F2033" t="s">
        <v>5465</v>
      </c>
      <c r="G2033" t="e">
        <f ca="1">_xludf.IMAGE("https://edmondsonsupply.com/cdn/shop/products/jth67t.jpg?v=1587144835")</f>
        <v>#NAME?</v>
      </c>
      <c r="H2033" t="e">
        <f ca="1">_xludf.IMAGE("https://m.media-amazon.com/images/I/51Z1eDaRYTL._AC_UL320_.jpg")</f>
        <v>#NAME?</v>
      </c>
      <c r="I2033" t="s">
        <v>5466</v>
      </c>
      <c r="J2033">
        <v>49.99</v>
      </c>
      <c r="K2033" s="4">
        <v>-0.3448</v>
      </c>
      <c r="L2033">
        <v>4.8</v>
      </c>
      <c r="M2033">
        <v>356</v>
      </c>
      <c r="O2033" t="s">
        <v>171</v>
      </c>
      <c r="P2033" t="s">
        <v>138</v>
      </c>
      <c r="Q2033" t="s">
        <v>5467</v>
      </c>
    </row>
    <row r="2034" spans="1:17" ht="15.5" x14ac:dyDescent="0.35">
      <c r="A2034" s="3" t="str">
        <f>HYPERLINK("https://edmondsonsupply.com/collections/hvac/products/white-rodgers-790-843a1-universal-flame-sensor", "https://edmondsonsupply.com/collections/hvac/products/white-rodgers-790-843a1-universal-flame-sensor")</f>
        <v>https://edmondsonsupply.com/collections/hvac/products/white-rodgers-790-843a1-universal-flame-sensor</v>
      </c>
      <c r="B2034" s="3" t="str">
        <f>HYPERLINK("https://edmondsonsupply.com/products/white-rodgers-790-843a1-universal-flame-sensor", "https://edmondsonsupply.com/products/white-rodgers-790-843a1-universal-flame-sensor")</f>
        <v>https://edmondsonsupply.com/products/white-rodgers-790-843a1-universal-flame-sensor</v>
      </c>
      <c r="C2034" t="s">
        <v>2686</v>
      </c>
      <c r="D2034" t="s">
        <v>5468</v>
      </c>
      <c r="E2034" s="3" t="str">
        <f>HYPERLINK("https://www.amazon.com/Universal-Furnace-Electode-replaces-HVAC/dp/B07KJQP4QY/ref=sr_1_3?keywords=White+Rodgers+790-843A1+Universal+Flame+Sensor&amp;qid=1695173483&amp;sr=8-3", "https://www.amazon.com/Universal-Furnace-Electode-replaces-HVAC/dp/B07KJQP4QY/ref=sr_1_3?keywords=White+Rodgers+790-843A1+Universal+Flame+Sensor&amp;qid=1695173483&amp;sr=8-3")</f>
        <v>https://www.amazon.com/Universal-Furnace-Electode-replaces-HVAC/dp/B07KJQP4QY/ref=sr_1_3?keywords=White+Rodgers+790-843A1+Universal+Flame+Sensor&amp;qid=1695173483&amp;sr=8-3</v>
      </c>
      <c r="F2034" t="s">
        <v>5469</v>
      </c>
      <c r="G2034" t="e">
        <f ca="1">_xludf.IMAGE("https://edmondsonsupply.com/cdn/shop/products/790-flame-sensors-universal.png?v=1633030916")</f>
        <v>#NAME?</v>
      </c>
      <c r="H2034" t="e">
        <f ca="1">_xludf.IMAGE("https://m.media-amazon.com/images/I/31spVvuyS8L._AC_UL320_.jpg")</f>
        <v>#NAME?</v>
      </c>
      <c r="I2034" t="s">
        <v>2689</v>
      </c>
      <c r="J2034">
        <v>10.99</v>
      </c>
      <c r="K2034" s="4">
        <v>-0.3458</v>
      </c>
      <c r="L2034">
        <v>4.4000000000000004</v>
      </c>
      <c r="M2034">
        <v>29</v>
      </c>
      <c r="O2034" t="s">
        <v>25</v>
      </c>
      <c r="P2034" t="s">
        <v>2690</v>
      </c>
      <c r="Q2034" t="s">
        <v>2691</v>
      </c>
    </row>
    <row r="2035" spans="1:17" ht="15.5" x14ac:dyDescent="0.35">
      <c r="A2035" s="3" t="str">
        <f>HYPERLINK("https://edmondsonsupply.com/collections/hvac/products/klein-tools-et10-magnetic-digital-pocket-thermometer", "https://edmondsonsupply.com/collections/hvac/products/klein-tools-et10-magnetic-digital-pocket-thermometer")</f>
        <v>https://edmondsonsupply.com/collections/hvac/products/klein-tools-et10-magnetic-digital-pocket-thermometer</v>
      </c>
      <c r="B2035" s="3" t="str">
        <f>HYPERLINK("https://edmondsonsupply.com/products/klein-tools-et10-magnetic-digital-pocket-thermometer", "https://edmondsonsupply.com/products/klein-tools-et10-magnetic-digital-pocket-thermometer")</f>
        <v>https://edmondsonsupply.com/products/klein-tools-et10-magnetic-digital-pocket-thermometer</v>
      </c>
      <c r="C2035" t="s">
        <v>1586</v>
      </c>
      <c r="D2035" t="s">
        <v>1586</v>
      </c>
      <c r="E2035" s="3" t="str">
        <f>HYPERLINK("https://www.amazon.com/Magnetic-Thermometer-Klein-Tools-ET10/dp/B077ZB71LK/ref=sr_1_1?keywords=Klein+Tools+ET10+Magnetic+Digital+Pocket+Thermometer&amp;qid=1695173549&amp;sr=8-1", "https://www.amazon.com/Magnetic-Thermometer-Klein-Tools-ET10/dp/B077ZB71LK/ref=sr_1_1?keywords=Klein+Tools+ET10+Magnetic+Digital+Pocket+Thermometer&amp;qid=1695173549&amp;sr=8-1")</f>
        <v>https://www.amazon.com/Magnetic-Thermometer-Klein-Tools-ET10/dp/B077ZB71LK/ref=sr_1_1?keywords=Klein+Tools+ET10+Magnetic+Digital+Pocket+Thermometer&amp;qid=1695173549&amp;sr=8-1</v>
      </c>
      <c r="F2035" t="s">
        <v>5470</v>
      </c>
      <c r="G2035" t="e">
        <f ca="1">_xludf.IMAGE("https://edmondsonsupply.com/cdn/shop/products/et10.jpg?v=1587142916")</f>
        <v>#NAME?</v>
      </c>
      <c r="H2035" t="e">
        <f ca="1">_xludf.IMAGE("https://m.media-amazon.com/images/I/51XlCaEuClL._AC_UY218_.jpg")</f>
        <v>#NAME?</v>
      </c>
      <c r="I2035" t="s">
        <v>1589</v>
      </c>
      <c r="J2035">
        <v>14.97</v>
      </c>
      <c r="K2035" s="4">
        <v>-0.3488</v>
      </c>
      <c r="L2035">
        <v>4.5</v>
      </c>
      <c r="M2035">
        <v>2668</v>
      </c>
      <c r="O2035" t="s">
        <v>25</v>
      </c>
      <c r="P2035" t="s">
        <v>1590</v>
      </c>
      <c r="Q2035" t="s">
        <v>1591</v>
      </c>
    </row>
    <row r="2036" spans="1:17" ht="15.5" x14ac:dyDescent="0.35">
      <c r="A2036" s="3" t="str">
        <f>HYPERLINK("https://edmondsonsupply.com/collections/hvac/products/klein-tools-k12065cr-klein-kurve%C2%AE-heavy-duty-wire-stripper-crimper-8-20-awg", "https://edmondsonsupply.com/collections/hvac/products/klein-tools-k12065cr-klein-kurve%C2%AE-heavy-duty-wire-stripper-crimper-8-20-awg")</f>
        <v>https://edmondsonsupply.com/collections/hvac/products/klein-tools-k12065cr-klein-kurve%C2%AE-heavy-duty-wire-stripper-crimper-8-20-awg</v>
      </c>
      <c r="B2036"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2036" t="s">
        <v>3174</v>
      </c>
      <c r="D2036" t="s">
        <v>5323</v>
      </c>
      <c r="E2036" s="3" t="str">
        <f>HYPERLINK("https://www.amazon.com/Klein-Tools-1001-Multi-Purpose-Electricians/dp/B000EVLUR2/ref=sr_1_7?keywords=Klein+Tools+K12065CR+Klein-Kurve%C2%AE+Heavy-Duty+Wire+Stripper+%2F+Cutter+%2F+Crimper+Multi+Tool%2C+8-20+AWG&amp;qid=1695173475&amp;sr=8-7", "https://www.amazon.com/Klein-Tools-1001-Multi-Purpose-Electricians/dp/B000EVLUR2/ref=sr_1_7?keywords=Klein+Tools+K12065CR+Klein-Kurve%C2%AE+Heavy-Duty+Wire+Stripper+%2F+Cutter+%2F+Crimper+Multi+Tool%2C+8-20+AWG&amp;qid=1695173475&amp;sr=8-7")</f>
        <v>https://www.amazon.com/Klein-Tools-1001-Multi-Purpose-Electricians/dp/B000EVLUR2/ref=sr_1_7?keywords=Klein+Tools+K12065CR+Klein-Kurve%C2%AE+Heavy-Duty+Wire+Stripper+%2F+Cutter+%2F+Crimper+Multi+Tool%2C+8-20+AWG&amp;qid=1695173475&amp;sr=8-7</v>
      </c>
      <c r="F2036" t="s">
        <v>5324</v>
      </c>
      <c r="G2036" t="e">
        <f ca="1">_xludf.IMAGE("https://edmondsonsupply.com/cdn/shop/products/k12065cr_b.jpg?v=1650066835")</f>
        <v>#NAME?</v>
      </c>
      <c r="H2036" t="e">
        <f ca="1">_xludf.IMAGE("https://m.media-amazon.com/images/I/51Df2gzkHqL._AC_UL320_.jpg")</f>
        <v>#NAME?</v>
      </c>
      <c r="I2036" t="s">
        <v>246</v>
      </c>
      <c r="J2036">
        <v>25.99</v>
      </c>
      <c r="K2036" s="4">
        <v>-0.3498</v>
      </c>
      <c r="L2036">
        <v>4.5</v>
      </c>
      <c r="M2036">
        <v>476</v>
      </c>
      <c r="O2036" t="s">
        <v>25</v>
      </c>
      <c r="P2036" t="s">
        <v>3177</v>
      </c>
      <c r="Q2036" t="s">
        <v>3178</v>
      </c>
    </row>
    <row r="2037" spans="1:17" ht="15.5" x14ac:dyDescent="0.35">
      <c r="A2037" s="3" t="str">
        <f>HYPERLINK("https://edmondsonsupply.com/collections/hvac/products/greenlee-gsb09-1-1-8-step-bit-9", "https://edmondsonsupply.com/collections/hvac/products/greenlee-gsb09-1-1-8-step-bit-9")</f>
        <v>https://edmondsonsupply.com/collections/hvac/products/greenlee-gsb09-1-1-8-step-bit-9</v>
      </c>
      <c r="B2037" s="3" t="str">
        <f>HYPERLINK("https://edmondsonsupply.com/products/greenlee-gsb09-1-1-8-step-bit-9", "https://edmondsonsupply.com/products/greenlee-gsb09-1-1-8-step-bit-9")</f>
        <v>https://edmondsonsupply.com/products/greenlee-gsb09-1-1-8-step-bit-9</v>
      </c>
      <c r="C2037" t="s">
        <v>4952</v>
      </c>
      <c r="D2037" t="s">
        <v>3245</v>
      </c>
      <c r="E2037" s="3" t="str">
        <f>HYPERLINK("https://www.amazon.com/Greenlee-GSB12-Step-Bit-1-3/dp/B08TVF7KMP/ref=sr_1_3?keywords=Greenlee+GSB09+1-1%2F8%22+Step+Bit+%28%239%29&amp;qid=1695173750&amp;sr=8-3", "https://www.amazon.com/Greenlee-GSB12-Step-Bit-1-3/dp/B08TVF7KMP/ref=sr_1_3?keywords=Greenlee+GSB09+1-1%2F8%22+Step+Bit+%28%239%29&amp;qid=1695173750&amp;sr=8-3")</f>
        <v>https://www.amazon.com/Greenlee-GSB12-Step-Bit-1-3/dp/B08TVF7KMP/ref=sr_1_3?keywords=Greenlee+GSB09+1-1%2F8%22+Step+Bit+%28%239%29&amp;qid=1695173750&amp;sr=8-3</v>
      </c>
      <c r="F2037" t="s">
        <v>3246</v>
      </c>
      <c r="G2037" t="e">
        <f ca="1">_xludf.IMAGE("https://edmondsonsupply.com/cdn/shop/files/GSB09_CAT1_72dpi.jpg?v=1687787938")</f>
        <v>#NAME?</v>
      </c>
      <c r="H2037" t="e">
        <f ca="1">_xludf.IMAGE("https://m.media-amazon.com/images/I/41Z8kxeeZfL._AC_UY218_.jpg")</f>
        <v>#NAME?</v>
      </c>
      <c r="I2037" t="s">
        <v>4953</v>
      </c>
      <c r="J2037">
        <v>45</v>
      </c>
      <c r="K2037" s="4">
        <v>-0.3503</v>
      </c>
      <c r="L2037">
        <v>4.8</v>
      </c>
      <c r="M2037">
        <v>27</v>
      </c>
      <c r="O2037" t="s">
        <v>25</v>
      </c>
      <c r="P2037" t="s">
        <v>4954</v>
      </c>
      <c r="Q2037" t="s">
        <v>4955</v>
      </c>
    </row>
    <row r="2038" spans="1:17" ht="15.5" x14ac:dyDescent="0.35">
      <c r="A2038" s="3" t="str">
        <f>HYPERLINK("https://edmondsonsupply.com/collections/hvac/products/nu-calgon-4900-10-iwave-c-commercial-air-ionization-system", "https://edmondsonsupply.com/collections/hvac/products/nu-calgon-4900-10-iwave-c-commercial-air-ionization-system")</f>
        <v>https://edmondsonsupply.com/collections/hvac/products/nu-calgon-4900-10-iwave-c-commercial-air-ionization-system</v>
      </c>
      <c r="B2038" s="3" t="str">
        <f>HYPERLINK("https://edmondsonsupply.com/products/nu-calgon-4900-10-iwave-c-commercial-air-ionization-system", "https://edmondsonsupply.com/products/nu-calgon-4900-10-iwave-c-commercial-air-ionization-system")</f>
        <v>https://edmondsonsupply.com/products/nu-calgon-4900-10-iwave-c-commercial-air-ionization-system</v>
      </c>
      <c r="C2038" t="s">
        <v>5471</v>
      </c>
      <c r="D2038" t="s">
        <v>5472</v>
      </c>
      <c r="E2038" s="3" t="str">
        <f>HYPERLINK("https://www.amazon.com/Nu-Calgon-4900-10-iWave-C-Commercial-Cleaner/dp/B072N1M4JS/ref=sr_1_1?keywords=Nu-Calgon+4900-10+iWave-C+Commercial+Air+Ionization+System&amp;qid=1695173755&amp;sr=8-1", "https://www.amazon.com/Nu-Calgon-4900-10-iWave-C-Commercial-Cleaner/dp/B072N1M4JS/ref=sr_1_1?keywords=Nu-Calgon+4900-10+iWave-C+Commercial+Air+Ionization+System&amp;qid=1695173755&amp;sr=8-1")</f>
        <v>https://www.amazon.com/Nu-Calgon-4900-10-iWave-C-Commercial-Cleaner/dp/B072N1M4JS/ref=sr_1_1?keywords=Nu-Calgon+4900-10+iWave-C+Commercial+Air+Ionization+System&amp;qid=1695173755&amp;sr=8-1</v>
      </c>
      <c r="F2038" t="s">
        <v>5473</v>
      </c>
      <c r="G2038" t="e">
        <f ca="1">_xludf.IMAGE("https://edmondsonsupply.com/cdn/shop/files/4900-10_20200510.png?v=1687444803")</f>
        <v>#NAME?</v>
      </c>
      <c r="H2038" t="e">
        <f ca="1">_xludf.IMAGE("https://m.media-amazon.com/images/I/510AiX36IwL._AC_UY218_.jpg")</f>
        <v>#NAME?</v>
      </c>
      <c r="I2038" t="s">
        <v>5474</v>
      </c>
      <c r="J2038">
        <v>419.95</v>
      </c>
      <c r="K2038" s="4">
        <v>-0.35389999999999999</v>
      </c>
      <c r="L2038">
        <v>4.3</v>
      </c>
      <c r="M2038">
        <v>18</v>
      </c>
      <c r="O2038" t="s">
        <v>25</v>
      </c>
      <c r="P2038" t="s">
        <v>5475</v>
      </c>
      <c r="Q2038" t="s">
        <v>5476</v>
      </c>
    </row>
    <row r="2039" spans="1:17" ht="15.5" x14ac:dyDescent="0.35">
      <c r="A2039" s="3" t="str">
        <f>HYPERLINK("https://edmondsonsupply.com/collections/hvac/products/inficon-d-tek-3", "https://edmondsonsupply.com/collections/hvac/products/inficon-d-tek-3")</f>
        <v>https://edmondsonsupply.com/collections/hvac/products/inficon-d-tek-3</v>
      </c>
      <c r="B2039" s="3" t="str">
        <f>HYPERLINK("https://edmondsonsupply.com/products/inficon-d-tek-3", "https://edmondsonsupply.com/products/inficon-d-tek-3")</f>
        <v>https://edmondsonsupply.com/products/inficon-d-tek-3</v>
      </c>
      <c r="C2039" t="s">
        <v>2260</v>
      </c>
      <c r="D2039" t="s">
        <v>5477</v>
      </c>
      <c r="E2039" s="3" t="str">
        <f>HYPERLINK("https://www.amazon.com/INFICON-717-202-G1-Compass-Refrigerant-Detector/dp/B000X288WM/ref=sr_1_6?keywords=Inficon+D-TEK%C2%AE+3+Refrigerant+Leak+Detector&amp;qid=1695173442&amp;sr=8-6", "https://www.amazon.com/INFICON-717-202-G1-Compass-Refrigerant-Detector/dp/B000X288WM/ref=sr_1_6?keywords=Inficon+D-TEK%C2%AE+3+Refrigerant+Leak+Detector&amp;qid=1695173442&amp;sr=8-6")</f>
        <v>https://www.amazon.com/INFICON-717-202-G1-Compass-Refrigerant-Detector/dp/B000X288WM/ref=sr_1_6?keywords=Inficon+D-TEK%C2%AE+3+Refrigerant+Leak+Detector&amp;qid=1695173442&amp;sr=8-6</v>
      </c>
      <c r="F2039" t="s">
        <v>5478</v>
      </c>
      <c r="G2039" t="e">
        <f ca="1">_xludf.IMAGE("https://edmondsonsupply.com/cdn/shop/products/dtek3.png?v=1633030772")</f>
        <v>#NAME?</v>
      </c>
      <c r="H2039" t="e">
        <f ca="1">_xludf.IMAGE("https://m.media-amazon.com/images/I/51mzHinFJ8L._AC_UL320_.jpg")</f>
        <v>#NAME?</v>
      </c>
      <c r="I2039" t="s">
        <v>2263</v>
      </c>
      <c r="J2039">
        <v>333.25</v>
      </c>
      <c r="K2039" s="4">
        <v>-0.35539999999999999</v>
      </c>
      <c r="L2039">
        <v>4.2</v>
      </c>
      <c r="M2039">
        <v>28</v>
      </c>
      <c r="O2039" t="s">
        <v>25</v>
      </c>
      <c r="P2039" t="s">
        <v>2264</v>
      </c>
      <c r="Q2039" t="s">
        <v>2265</v>
      </c>
    </row>
    <row r="2040" spans="1:17" ht="15.5" x14ac:dyDescent="0.35">
      <c r="A2040" s="3" t="str">
        <f>HYPERLINK("https://edmondsonsupply.com/collections/hvac/products/veto-pro-pac-tp-xxl-tool-pouch", "https://edmondsonsupply.com/collections/hvac/products/veto-pro-pac-tp-xxl-tool-pouch")</f>
        <v>https://edmondsonsupply.com/collections/hvac/products/veto-pro-pac-tp-xxl-tool-pouch</v>
      </c>
      <c r="B2040" s="3" t="str">
        <f>HYPERLINK("https://edmondsonsupply.com/products/veto-pro-pac-tp-xxl-tool-pouch", "https://edmondsonsupply.com/products/veto-pro-pac-tp-xxl-tool-pouch")</f>
        <v>https://edmondsonsupply.com/products/veto-pro-pac-tp-xxl-tool-pouch</v>
      </c>
      <c r="C2040" t="s">
        <v>451</v>
      </c>
      <c r="D2040" t="s">
        <v>371</v>
      </c>
      <c r="E2040" s="3" t="str">
        <f>HYPERLINK("https://www.amazon.com/Veto-TP-LC-Compact-Zippered-Service/dp/B09TPZKBDP/ref=sr_1_4?keywords=Veto+Pro+Pac+TP-XXL+Tool+Pouch&amp;qid=1695173439&amp;sr=8-4", "https://www.amazon.com/Veto-TP-LC-Compact-Zippered-Service/dp/B09TPZKBDP/ref=sr_1_4?keywords=Veto+Pro+Pac+TP-XXL+Tool+Pouch&amp;qid=1695173439&amp;sr=8-4")</f>
        <v>https://www.amazon.com/Veto-TP-LC-Compact-Zippered-Service/dp/B09TPZKBDP/ref=sr_1_4?keywords=Veto+Pro+Pac+TP-XXL+Tool+Pouch&amp;qid=1695173439&amp;sr=8-4</v>
      </c>
      <c r="F2040" t="s">
        <v>372</v>
      </c>
      <c r="G2040" t="e">
        <f ca="1">_xludf.IMAGE("https://edmondsonsupply.com/cdn/shop/products/01_TP-XXL.jpg?v=1633031173")</f>
        <v>#NAME?</v>
      </c>
      <c r="H2040" t="e">
        <f ca="1">_xludf.IMAGE("https://m.media-amazon.com/images/I/51b1SiebzcL._AC_UL320_.jpg")</f>
        <v>#NAME?</v>
      </c>
      <c r="I2040" t="s">
        <v>454</v>
      </c>
      <c r="J2040">
        <v>134.94999999999999</v>
      </c>
      <c r="K2040" s="4">
        <v>-0.3574</v>
      </c>
      <c r="L2040">
        <v>4.8</v>
      </c>
      <c r="M2040">
        <v>281</v>
      </c>
      <c r="O2040" t="s">
        <v>25</v>
      </c>
      <c r="P2040" t="s">
        <v>138</v>
      </c>
      <c r="Q2040" t="s">
        <v>455</v>
      </c>
    </row>
    <row r="2041" spans="1:17" ht="15.5" x14ac:dyDescent="0.35">
      <c r="A2041" s="3" t="str">
        <f>HYPERLINK("https://edmondsonsupply.com/collections/hvac/products/klein-tools-jth6e14-5-16-inch-hex-key-with-journeyman-t-handle-6-inch", "https://edmondsonsupply.com/collections/hvac/products/klein-tools-jth6e14-5-16-inch-hex-key-with-journeyman-t-handle-6-inch")</f>
        <v>https://edmondsonsupply.com/collections/hvac/products/klein-tools-jth6e14-5-16-inch-hex-key-with-journeyman-t-handle-6-inch</v>
      </c>
      <c r="B2041"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2041" t="s">
        <v>2344</v>
      </c>
      <c r="D2041" t="s">
        <v>5118</v>
      </c>
      <c r="E2041" s="3" t="str">
        <f>HYPERLINK("https://www.amazon.com/Journeyman-T-Handle-Klein-Tools-JTH9E10/dp/B004QV8H90/ref=sr_1_9?keywords=Klein+Tools+JTH6E14+5%2F16-Inch+Hex+Key+with+Journeyman+T-Handle%2C+6-Inch&amp;qid=1695173449&amp;sr=8-9", "https://www.amazon.com/Journeyman-T-Handle-Klein-Tools-JTH9E10/dp/B004QV8H90/ref=sr_1_9?keywords=Klein+Tools+JTH6E14+5%2F16-Inch+Hex+Key+with+Journeyman+T-Handle%2C+6-Inch&amp;qid=1695173449&amp;sr=8-9")</f>
        <v>https://www.amazon.com/Journeyman-T-Handle-Klein-Tools-JTH9E10/dp/B004QV8H90/ref=sr_1_9?keywords=Klein+Tools+JTH6E14+5%2F16-Inch+Hex+Key+with+Journeyman+T-Handle%2C+6-Inch&amp;qid=1695173449&amp;sr=8-9</v>
      </c>
      <c r="F2041" t="s">
        <v>5119</v>
      </c>
      <c r="G2041" t="e">
        <f ca="1">_xludf.IMAGE("https://edmondsonsupply.com/cdn/shop/products/jth6e15.jpg?v=1587148489")</f>
        <v>#NAME?</v>
      </c>
      <c r="H2041" t="e">
        <f ca="1">_xludf.IMAGE("https://m.media-amazon.com/images/I/51Yb8h41vLL._AC_UL320_.jpg")</f>
        <v>#NAME?</v>
      </c>
      <c r="I2041" t="s">
        <v>2347</v>
      </c>
      <c r="J2041">
        <v>4.49</v>
      </c>
      <c r="K2041" s="4">
        <v>-0.35770000000000002</v>
      </c>
      <c r="L2041">
        <v>4.8</v>
      </c>
      <c r="M2041">
        <v>294</v>
      </c>
      <c r="O2041" t="s">
        <v>25</v>
      </c>
      <c r="P2041" t="s">
        <v>1140</v>
      </c>
      <c r="Q2041" t="s">
        <v>2348</v>
      </c>
    </row>
    <row r="2042" spans="1:17" ht="15.5" x14ac:dyDescent="0.35">
      <c r="A2042" s="3" t="str">
        <f>HYPERLINK("https://edmondsonsupply.com/collections/hvac/products/yellow-jacket-60616-60616-off-set-service-wrench-1-4-3-16-3-8-5-16", "https://edmondsonsupply.com/collections/hvac/products/yellow-jacket-60616-60616-off-set-service-wrench-1-4-3-16-3-8-5-16")</f>
        <v>https://edmondsonsupply.com/collections/hvac/products/yellow-jacket-60616-60616-off-set-service-wrench-1-4-3-16-3-8-5-16</v>
      </c>
      <c r="B2042" s="3" t="str">
        <f>HYPERLINK("https://edmondsonsupply.com/products/yellow-jacket-60616-60616-off-set-service-wrench-1-4-3-16-3-8-5-16", "https://edmondsonsupply.com/products/yellow-jacket-60616-60616-off-set-service-wrench-1-4-3-16-3-8-5-16")</f>
        <v>https://edmondsonsupply.com/products/yellow-jacket-60616-60616-off-set-service-wrench-1-4-3-16-3-8-5-16</v>
      </c>
      <c r="C2042" t="s">
        <v>5479</v>
      </c>
      <c r="D2042" t="s">
        <v>5480</v>
      </c>
      <c r="E2042" s="3" t="str">
        <f>HYPERLINK("https://www.amazon.com/Service-Conditioner-Ratchet-Refrigeration-Equipment/dp/B09YHHW476/ref=sr_1_10?keywords=Yellow+Jacket+60616+Off-Set+Service+Wrench+-+1%2F4%22%2C+3%2F16%22%2C+3%2F8%22+%26+5%2F16%22&amp;qid=1695173515&amp;sr=8-10", "https://www.amazon.com/Service-Conditioner-Ratchet-Refrigeration-Equipment/dp/B09YHHW476/ref=sr_1_10?keywords=Yellow+Jacket+60616+Off-Set+Service+Wrench+-+1%2F4%22%2C+3%2F16%22%2C+3%2F8%22+%26+5%2F16%22&amp;qid=1695173515&amp;sr=8-10")</f>
        <v>https://www.amazon.com/Service-Conditioner-Ratchet-Refrigeration-Equipment/dp/B09YHHW476/ref=sr_1_10?keywords=Yellow+Jacket+60616+Off-Set+Service+Wrench+-+1%2F4%22%2C+3%2F16%22%2C+3%2F8%22+%26+5%2F16%22&amp;qid=1695173515&amp;sr=8-10</v>
      </c>
      <c r="F2042" t="s">
        <v>5481</v>
      </c>
      <c r="G2042" t="e">
        <f ca="1">_xludf.IMAGE("https://edmondsonsupply.com/cdn/shop/products/3eba08f6-ee51-4a50-bca6-17c2af7ba2d2.d7c1d4b82c2703ce32c17a9603f22502.jpg?v=1633031107")</f>
        <v>#NAME?</v>
      </c>
      <c r="H2042" t="e">
        <f ca="1">_xludf.IMAGE("https://m.media-amazon.com/images/I/618VLv3MHIL._AC_UL320_.jpg")</f>
        <v>#NAME?</v>
      </c>
      <c r="I2042" t="s">
        <v>5482</v>
      </c>
      <c r="J2042">
        <v>10.98</v>
      </c>
      <c r="K2042" s="4">
        <v>-0.36009999999999998</v>
      </c>
      <c r="L2042">
        <v>3.8</v>
      </c>
      <c r="M2042">
        <v>60</v>
      </c>
      <c r="O2042" t="s">
        <v>25</v>
      </c>
      <c r="P2042" t="s">
        <v>138</v>
      </c>
      <c r="Q2042" t="s">
        <v>5483</v>
      </c>
    </row>
    <row r="2043" spans="1:17" ht="15.5" x14ac:dyDescent="0.35">
      <c r="A2043" s="3" t="str">
        <f>HYPERLINK("https://edmondsonsupply.com/collections/hvac/products/milwaukee-48-11-2430-m12%E2%84%A2-redlithium%E2%84%A2-3-0-compact-battery-pack", "https://edmondsonsupply.com/collections/hvac/products/milwaukee-48-11-2430-m12%E2%84%A2-redlithium%E2%84%A2-3-0-compact-battery-pack")</f>
        <v>https://edmondsonsupply.com/collections/hvac/products/milwaukee-48-11-2430-m12%E2%84%A2-redlithium%E2%84%A2-3-0-compact-battery-pack</v>
      </c>
      <c r="B2043"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2043" t="s">
        <v>5449</v>
      </c>
      <c r="D2043" t="s">
        <v>5484</v>
      </c>
      <c r="E2043" s="3" t="str">
        <f>HYPERLINK("https://www.amazon.com/Milwaukee-Electric-48-11-2430-Redlithium-Compact/dp/B01M4LEIPF/ref=sr_1_1?keywords=Milwaukee+48-11-2430+M12%E2%84%A2+REDLITHIUM%E2%84%A2+3.0+Compact+Battery+Pack&amp;qid=1695173672&amp;sr=8-1", "https://www.amazon.com/Milwaukee-Electric-48-11-2430-Redlithium-Compact/dp/B01M4LEIPF/ref=sr_1_1?keywords=Milwaukee+48-11-2430+M12%E2%84%A2+REDLITHIUM%E2%84%A2+3.0+Compact+Battery+Pack&amp;qid=1695173672&amp;sr=8-1")</f>
        <v>https://www.amazon.com/Milwaukee-Electric-48-11-2430-Redlithium-Compact/dp/B01M4LEIPF/ref=sr_1_1?keywords=Milwaukee+48-11-2430+M12%E2%84%A2+REDLITHIUM%E2%84%A2+3.0+Compact+Battery+Pack&amp;qid=1695173672&amp;sr=8-1</v>
      </c>
      <c r="F2043" t="s">
        <v>5485</v>
      </c>
      <c r="G2043" t="e">
        <f ca="1">_xludf.IMAGE("https://edmondsonsupply.com/cdn/shop/products/48-11-2430.png?v=1587142488")</f>
        <v>#NAME?</v>
      </c>
      <c r="H2043" t="e">
        <f ca="1">_xludf.IMAGE("https://m.media-amazon.com/images/I/61f9ucOtdML._AC_UL320_.jpg")</f>
        <v>#NAME?</v>
      </c>
      <c r="I2043" t="s">
        <v>5452</v>
      </c>
      <c r="J2043">
        <v>43.99</v>
      </c>
      <c r="K2043" s="4">
        <v>-0.36249999999999999</v>
      </c>
      <c r="L2043">
        <v>4.8</v>
      </c>
      <c r="M2043">
        <v>456</v>
      </c>
      <c r="O2043" t="s">
        <v>25</v>
      </c>
      <c r="P2043" t="s">
        <v>5453</v>
      </c>
      <c r="Q2043" t="s">
        <v>5454</v>
      </c>
    </row>
    <row r="2044" spans="1:17" ht="15.5" x14ac:dyDescent="0.35">
      <c r="A2044" s="3" t="str">
        <f>HYPERLINK("https://edmondsonsupply.com/collections/hvac/products/nu-calgon-4185-15-condensate-pan-gel-tabs-15-ton", "https://edmondsonsupply.com/collections/hvac/products/nu-calgon-4185-15-condensate-pan-gel-tabs-15-ton")</f>
        <v>https://edmondsonsupply.com/collections/hvac/products/nu-calgon-4185-15-condensate-pan-gel-tabs-15-ton</v>
      </c>
      <c r="B2044" s="3" t="str">
        <f>HYPERLINK("https://edmondsonsupply.com/products/nu-calgon-4185-15-condensate-pan-gel-tabs-15-ton", "https://edmondsonsupply.com/products/nu-calgon-4185-15-condensate-pan-gel-tabs-15-ton")</f>
        <v>https://edmondsonsupply.com/products/nu-calgon-4185-15-condensate-pan-gel-tabs-15-ton</v>
      </c>
      <c r="C2044" t="s">
        <v>2098</v>
      </c>
      <c r="D2044" t="s">
        <v>5486</v>
      </c>
      <c r="E2044" s="3" t="str">
        <f>HYPERLINK("https://www.amazon.com/Nu-Calgon-Gel-Tab-4185-03-Condensate-Treatment/dp/B07W43TC9Y/ref=sr_1_9?keywords=Nu-Calgon+4185-15+Condensate+Pan+Gel+Tab%2C+15+ton&amp;qid=1695173607&amp;sr=8-9", "https://www.amazon.com/Nu-Calgon-Gel-Tab-4185-03-Condensate-Treatment/dp/B07W43TC9Y/ref=sr_1_9?keywords=Nu-Calgon+4185-15+Condensate+Pan+Gel+Tab%2C+15+ton&amp;qid=1695173607&amp;sr=8-9")</f>
        <v>https://www.amazon.com/Nu-Calgon-Gel-Tab-4185-03-Condensate-Treatment/dp/B07W43TC9Y/ref=sr_1_9?keywords=Nu-Calgon+4185-15+Condensate+Pan+Gel+Tab%2C+15+ton&amp;qid=1695173607&amp;sr=8-9</v>
      </c>
      <c r="F2044" t="s">
        <v>5487</v>
      </c>
      <c r="G2044" t="e">
        <f ca="1">_xludf.IMAGE("https://edmondsonsupply.com/cdn/shop/products/4185-15.jpg?v=1659378611")</f>
        <v>#NAME?</v>
      </c>
      <c r="H2044" t="e">
        <f ca="1">_xludf.IMAGE("https://m.media-amazon.com/images/I/517t52u7LXL._AC_UY218_.jpg")</f>
        <v>#NAME?</v>
      </c>
      <c r="I2044" t="s">
        <v>2101</v>
      </c>
      <c r="J2044">
        <v>11.7</v>
      </c>
      <c r="K2044" s="4">
        <v>-0.36720000000000003</v>
      </c>
      <c r="L2044">
        <v>5</v>
      </c>
      <c r="M2044">
        <v>3</v>
      </c>
      <c r="O2044" t="s">
        <v>25</v>
      </c>
      <c r="P2044" t="s">
        <v>2102</v>
      </c>
      <c r="Q2044" t="s">
        <v>2103</v>
      </c>
    </row>
    <row r="2045" spans="1:17" ht="15.5" x14ac:dyDescent="0.35">
      <c r="A2045" s="3" t="str">
        <f>HYPERLINK("https://edmondsonsupply.com/collections/hvac/products/veto-pro-pac-tech-pac-wheeler-backpack-tool-bag", "https://edmondsonsupply.com/collections/hvac/products/veto-pro-pac-tech-pac-wheeler-backpack-tool-bag")</f>
        <v>https://edmondsonsupply.com/collections/hvac/products/veto-pro-pac-tech-pac-wheeler-backpack-tool-bag</v>
      </c>
      <c r="B2045" s="3" t="str">
        <f>HYPERLINK("https://edmondsonsupply.com/products/veto-pro-pac-tech-pac-wheeler-backpack-tool-bag", "https://edmondsonsupply.com/products/veto-pro-pac-tech-pac-wheeler-backpack-tool-bag")</f>
        <v>https://edmondsonsupply.com/products/veto-pro-pac-tech-pac-wheeler-backpack-tool-bag</v>
      </c>
      <c r="C2045" t="s">
        <v>756</v>
      </c>
      <c r="D2045" t="s">
        <v>684</v>
      </c>
      <c r="E2045" s="3" t="str">
        <f>HYPERLINK("https://www.amazon.com/Veto-Tech-XL-Tool-1-Pack/dp/B00DYRFEJI/ref=sr_1_3?keywords=Veto+Pro+Pac+TECH+PAC+WHEELER+Backpack+Tool+Bag&amp;qid=1695173465&amp;sr=8-3", "https://www.amazon.com/Veto-Tech-XL-Tool-1-Pack/dp/B00DYRFEJI/ref=sr_1_3?keywords=Veto+Pro+Pac+TECH+PAC+WHEELER+Backpack+Tool+Bag&amp;qid=1695173465&amp;sr=8-3")</f>
        <v>https://www.amazon.com/Veto-Tech-XL-Tool-1-Pack/dp/B00DYRFEJI/ref=sr_1_3?keywords=Veto+Pro+Pac+TECH+PAC+WHEELER+Backpack+Tool+Bag&amp;qid=1695173465&amp;sr=8-3</v>
      </c>
      <c r="F2045" t="s">
        <v>685</v>
      </c>
      <c r="G2045" t="e">
        <f ca="1">_xludf.IMAGE("https://edmondsonsupply.com/cdn/shop/products/01_TECH-PAC-WHEELER.jpg?v=1633031176")</f>
        <v>#NAME?</v>
      </c>
      <c r="H2045" t="e">
        <f ca="1">_xludf.IMAGE("https://m.media-amazon.com/images/I/71suRnmtVZL._AC_UL320_.jpg")</f>
        <v>#NAME?</v>
      </c>
      <c r="I2045" t="s">
        <v>42</v>
      </c>
      <c r="J2045">
        <v>249.95</v>
      </c>
      <c r="K2045" s="4">
        <v>-0.37509999999999999</v>
      </c>
      <c r="L2045">
        <v>4.8</v>
      </c>
      <c r="M2045">
        <v>763</v>
      </c>
      <c r="O2045" t="s">
        <v>25</v>
      </c>
      <c r="P2045" t="s">
        <v>138</v>
      </c>
      <c r="Q2045" t="s">
        <v>757</v>
      </c>
    </row>
    <row r="2046" spans="1:17" ht="15.5" x14ac:dyDescent="0.35">
      <c r="A2046" s="3" t="str">
        <f>HYPERLINK("https://edmondsonsupply.com/collections/hvac/products/wiha-tools-32088-8-piece-insulated-picofinish-precision-screwdriver-set", "https://edmondsonsupply.com/collections/hvac/products/wiha-tools-32088-8-piece-insulated-picofinish-precision-screwdriver-set")</f>
        <v>https://edmondsonsupply.com/collections/hvac/products/wiha-tools-32088-8-piece-insulated-picofinish-precision-screwdriver-set</v>
      </c>
      <c r="B2046"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2046" t="s">
        <v>2568</v>
      </c>
      <c r="D2046" t="s">
        <v>5488</v>
      </c>
      <c r="E2046" s="3" t="str">
        <f>HYPERLINK("https://www.amazon.com/Wiha-32085-Insulated-Slotted-Phillips/dp/B00SZ66CSA/ref=sr_1_4?keywords=Wiha+Tools+32088+8+Piece+Insulated+PicoFinish+Precision+Screwdriver+Set&amp;qid=1695173729&amp;sr=8-4", "https://www.amazon.com/Wiha-32085-Insulated-Slotted-Phillips/dp/B00SZ66CSA/ref=sr_1_4?keywords=Wiha+Tools+32088+8+Piece+Insulated+PicoFinish+Precision+Screwdriver+Set&amp;qid=1695173729&amp;sr=8-4")</f>
        <v>https://www.amazon.com/Wiha-32085-Insulated-Slotted-Phillips/dp/B00SZ66CSA/ref=sr_1_4?keywords=Wiha+Tools+32088+8+Piece+Insulated+PicoFinish+Precision+Screwdriver+Set&amp;qid=1695173729&amp;sr=8-4</v>
      </c>
      <c r="F2046" t="s">
        <v>5489</v>
      </c>
      <c r="G2046" t="e">
        <f ca="1">_xludf.IMAGE("https://edmondsonsupply.com/cdn/shop/files/ah1u5hviqxts6itxix4k_1000x_5285634c-51ad-48c4-987e-f1113aaa9ab9.webp?v=1690905519")</f>
        <v>#NAME?</v>
      </c>
      <c r="H2046" t="e">
        <f ca="1">_xludf.IMAGE("https://m.media-amazon.com/images/I/61DcHWJt+2L._AC_UL320_.jpg")</f>
        <v>#NAME?</v>
      </c>
      <c r="I2046" t="s">
        <v>2571</v>
      </c>
      <c r="J2046">
        <v>40.29</v>
      </c>
      <c r="K2046" s="4">
        <v>-0.37580000000000002</v>
      </c>
      <c r="L2046">
        <v>4.7</v>
      </c>
      <c r="M2046">
        <v>863</v>
      </c>
      <c r="O2046" t="s">
        <v>25</v>
      </c>
      <c r="P2046" t="s">
        <v>2572</v>
      </c>
      <c r="Q2046" t="s">
        <v>2573</v>
      </c>
    </row>
    <row r="2047" spans="1:17" ht="15.5" x14ac:dyDescent="0.35">
      <c r="A2047" s="3" t="str">
        <f>HYPERLINK("https://edmondsonsupply.com/collections/hvac/products/5-2-1-compressor-saver-csru2", "https://edmondsonsupply.com/collections/hvac/products/5-2-1-compressor-saver-csru2")</f>
        <v>https://edmondsonsupply.com/collections/hvac/products/5-2-1-compressor-saver-csru2</v>
      </c>
      <c r="B2047" s="3" t="str">
        <f>HYPERLINK("https://edmondsonsupply.com/products/5-2-1-compressor-saver-csru2", "https://edmondsonsupply.com/products/5-2-1-compressor-saver-csru2")</f>
        <v>https://edmondsonsupply.com/products/5-2-1-compressor-saver-csru2</v>
      </c>
      <c r="C2047" t="s">
        <v>3959</v>
      </c>
      <c r="D2047" t="s">
        <v>5490</v>
      </c>
      <c r="E2047" s="3" t="str">
        <f>HYPERLINK("https://www.amazon.com/Compressor-Replacement-Capacitor-3-5-4-Conditioner/dp/B0B7842HBF/ref=sr_1_7?keywords=5-2-1+CSRU2+Compressor+Saver%2C+3-1%2F2+to+5+Tons&amp;qid=1695173684&amp;sr=8-7", "https://www.amazon.com/Compressor-Replacement-Capacitor-3-5-4-Conditioner/dp/B0B7842HBF/ref=sr_1_7?keywords=5-2-1+CSRU2+Compressor+Saver%2C+3-1%2F2+to+5+Tons&amp;qid=1695173684&amp;sr=8-7")</f>
        <v>https://www.amazon.com/Compressor-Replacement-Capacitor-3-5-4-Conditioner/dp/B0B7842HBF/ref=sr_1_7?keywords=5-2-1+CSRU2+Compressor+Saver%2C+3-1%2F2+to+5+Tons&amp;qid=1695173684&amp;sr=8-7</v>
      </c>
      <c r="F2047" t="s">
        <v>5491</v>
      </c>
      <c r="G2047" t="e">
        <f ca="1">_xludf.IMAGE("https://edmondsonsupply.com/cdn/shop/products/CSRU2.jpg?v=1633030087")</f>
        <v>#NAME?</v>
      </c>
      <c r="H2047" t="e">
        <f ca="1">_xludf.IMAGE("https://m.media-amazon.com/images/I/61fIfUtHjnL._AC_UL320_.jpg")</f>
        <v>#NAME?</v>
      </c>
      <c r="I2047" t="s">
        <v>3960</v>
      </c>
      <c r="J2047">
        <v>26.29</v>
      </c>
      <c r="K2047" s="4">
        <v>-0.37759999999999999</v>
      </c>
      <c r="L2047">
        <v>3.9</v>
      </c>
      <c r="M2047">
        <v>35</v>
      </c>
      <c r="O2047" t="s">
        <v>25</v>
      </c>
      <c r="P2047" t="s">
        <v>3961</v>
      </c>
      <c r="Q2047" t="s">
        <v>3962</v>
      </c>
    </row>
    <row r="2048" spans="1:17" ht="15.5" x14ac:dyDescent="0.35">
      <c r="A2048" s="3" t="str">
        <f>HYPERLINK("https://edmondsonsupply.com/collections/hvac/products/wiha-tools-32088-8-piece-insulated-picofinish-precision-screwdriver-set", "https://edmondsonsupply.com/collections/hvac/products/wiha-tools-32088-8-piece-insulated-picofinish-precision-screwdriver-set")</f>
        <v>https://edmondsonsupply.com/collections/hvac/products/wiha-tools-32088-8-piece-insulated-picofinish-precision-screwdriver-set</v>
      </c>
      <c r="B2048"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2048" t="s">
        <v>2568</v>
      </c>
      <c r="D2048" t="s">
        <v>5492</v>
      </c>
      <c r="E2048" s="3" t="str">
        <f>HYPERLINK("https://www.amazon.com/Wiha-26187-PicoFinish-Precision-Screwdriver/dp/B084DZ71RX/ref=sr_1_5?keywords=Wiha+Tools+32088+8+Piece+Insulated+PicoFinish+Precision+Screwdriver+Set&amp;qid=1695173729&amp;sr=8-5", "https://www.amazon.com/Wiha-26187-PicoFinish-Precision-Screwdriver/dp/B084DZ71RX/ref=sr_1_5?keywords=Wiha+Tools+32088+8+Piece+Insulated+PicoFinish+Precision+Screwdriver+Set&amp;qid=1695173729&amp;sr=8-5")</f>
        <v>https://www.amazon.com/Wiha-26187-PicoFinish-Precision-Screwdriver/dp/B084DZ71RX/ref=sr_1_5?keywords=Wiha+Tools+32088+8+Piece+Insulated+PicoFinish+Precision+Screwdriver+Set&amp;qid=1695173729&amp;sr=8-5</v>
      </c>
      <c r="F2048" t="s">
        <v>5493</v>
      </c>
      <c r="G2048" t="e">
        <f ca="1">_xludf.IMAGE("https://edmondsonsupply.com/cdn/shop/files/ah1u5hviqxts6itxix4k_1000x_5285634c-51ad-48c4-987e-f1113aaa9ab9.webp?v=1690905519")</f>
        <v>#NAME?</v>
      </c>
      <c r="H2048" t="e">
        <f ca="1">_xludf.IMAGE("https://m.media-amazon.com/images/I/71RtGHOFZ3L._AC_UL320_.jpg")</f>
        <v>#NAME?</v>
      </c>
      <c r="I2048" t="s">
        <v>2571</v>
      </c>
      <c r="J2048">
        <v>40.130000000000003</v>
      </c>
      <c r="K2048" s="4">
        <v>-0.37830000000000003</v>
      </c>
      <c r="L2048">
        <v>4.5999999999999996</v>
      </c>
      <c r="M2048">
        <v>40</v>
      </c>
      <c r="O2048" t="s">
        <v>25</v>
      </c>
      <c r="P2048" t="s">
        <v>2572</v>
      </c>
      <c r="Q2048" t="s">
        <v>2573</v>
      </c>
    </row>
    <row r="2049" spans="1:17" ht="15.5" x14ac:dyDescent="0.35">
      <c r="A2049" s="3" t="str">
        <f>HYPERLINK("https://edmondsonsupply.com/collections/hvac/products/viega-25301-1-2-x-1-2-x-1-2-megapressg-tee", "https://edmondsonsupply.com/collections/hvac/products/viega-25301-1-2-x-1-2-x-1-2-megapressg-tee")</f>
        <v>https://edmondsonsupply.com/collections/hvac/products/viega-25301-1-2-x-1-2-x-1-2-megapressg-tee</v>
      </c>
      <c r="B2049" s="3" t="str">
        <f>HYPERLINK("https://edmondsonsupply.com/products/viega-25301-1-2-x-1-2-x-1-2-megapressg-tee", "https://edmondsonsupply.com/products/viega-25301-1-2-x-1-2-x-1-2-megapressg-tee")</f>
        <v>https://edmondsonsupply.com/products/viega-25301-1-2-x-1-2-x-1-2-megapressg-tee</v>
      </c>
      <c r="C2049" t="s">
        <v>5494</v>
      </c>
      <c r="D2049" t="s">
        <v>5495</v>
      </c>
      <c r="E2049" s="3" t="str">
        <f>HYPERLINK("https://www.amazon.com/VIEGA-PROPRESS-77377-ProPress-Tee/dp/B000R899KW/ref=sr_1_4?keywords=Viega+25301+1%2F2%22+x+1%2F2%22+x+1%2F2%22+MegaPressG+Tee&amp;qid=1695173712&amp;sr=8-4", "https://www.amazon.com/VIEGA-PROPRESS-77377-ProPress-Tee/dp/B000R899KW/ref=sr_1_4?keywords=Viega+25301+1%2F2%22+x+1%2F2%22+x+1%2F2%22+MegaPressG+Tee&amp;qid=1695173712&amp;sr=8-4")</f>
        <v>https://www.amazon.com/VIEGA-PROPRESS-77377-ProPress-Tee/dp/B000R899KW/ref=sr_1_4?keywords=Viega+25301+1%2F2%22+x+1%2F2%22+x+1%2F2%22+MegaPressG+Tee&amp;qid=1695173712&amp;sr=8-4</v>
      </c>
      <c r="F2049" t="s">
        <v>5496</v>
      </c>
      <c r="G2049" t="e">
        <f ca="1">_xludf.IMAGE("https://edmondsonsupply.com/cdn/shop/files/PPm6618.jpg?v=1692393807")</f>
        <v>#NAME?</v>
      </c>
      <c r="H2049" t="e">
        <f ca="1">_xludf.IMAGE("https://m.media-amazon.com/images/I/51i7wUM2+wL._AC_UL320_.jpg")</f>
        <v>#NAME?</v>
      </c>
      <c r="I2049" t="s">
        <v>5497</v>
      </c>
      <c r="J2049">
        <v>12.32</v>
      </c>
      <c r="K2049" s="4">
        <v>-0.38090000000000002</v>
      </c>
      <c r="L2049">
        <v>4.7</v>
      </c>
      <c r="M2049">
        <v>2</v>
      </c>
      <c r="O2049" t="s">
        <v>25</v>
      </c>
      <c r="P2049" t="s">
        <v>5498</v>
      </c>
      <c r="Q2049" t="s">
        <v>5499</v>
      </c>
    </row>
    <row r="2050" spans="1:17" ht="15.5" x14ac:dyDescent="0.35">
      <c r="A2050" s="3" t="str">
        <f>HYPERLINK("https://edmondsonsupply.com/collections/hvac/products/5-2-1-compressor-saver-csru2", "https://edmondsonsupply.com/collections/hvac/products/5-2-1-compressor-saver-csru2")</f>
        <v>https://edmondsonsupply.com/collections/hvac/products/5-2-1-compressor-saver-csru2</v>
      </c>
      <c r="B2050" s="3" t="str">
        <f>HYPERLINK("https://edmondsonsupply.com/products/5-2-1-compressor-saver-csru2", "https://edmondsonsupply.com/products/5-2-1-compressor-saver-csru2")</f>
        <v>https://edmondsonsupply.com/products/5-2-1-compressor-saver-csru2</v>
      </c>
      <c r="C2050" t="s">
        <v>3959</v>
      </c>
      <c r="D2050" t="s">
        <v>5500</v>
      </c>
      <c r="E2050" s="3" t="str">
        <f>HYPERLINK("https://www.amazon.com/CSR-U2-Hard-Start-Device-5-Ton-PartsBroz/dp/B07V3TL63Q/ref=sr_1_2?keywords=5-2-1+CSRU2+Compressor+Saver%2C+3-1%2F2+to+5+Tons&amp;qid=1695173684&amp;sr=8-2", "https://www.amazon.com/CSR-U2-Hard-Start-Device-5-Ton-PartsBroz/dp/B07V3TL63Q/ref=sr_1_2?keywords=5-2-1+CSRU2+Compressor+Saver%2C+3-1%2F2+to+5+Tons&amp;qid=1695173684&amp;sr=8-2")</f>
        <v>https://www.amazon.com/CSR-U2-Hard-Start-Device-5-Ton-PartsBroz/dp/B07V3TL63Q/ref=sr_1_2?keywords=5-2-1+CSRU2+Compressor+Saver%2C+3-1%2F2+to+5+Tons&amp;qid=1695173684&amp;sr=8-2</v>
      </c>
      <c r="F2050" t="s">
        <v>5501</v>
      </c>
      <c r="G2050" t="e">
        <f ca="1">_xludf.IMAGE("https://edmondsonsupply.com/cdn/shop/products/CSRU2.jpg?v=1633030087")</f>
        <v>#NAME?</v>
      </c>
      <c r="H2050" t="e">
        <f ca="1">_xludf.IMAGE("https://m.media-amazon.com/images/I/71rrb8gap1S._AC_UL320_.jpg")</f>
        <v>#NAME?</v>
      </c>
      <c r="I2050" t="s">
        <v>3960</v>
      </c>
      <c r="J2050">
        <v>25.95</v>
      </c>
      <c r="K2050" s="4">
        <v>-0.38569999999999999</v>
      </c>
      <c r="L2050">
        <v>3.9</v>
      </c>
      <c r="M2050">
        <v>113</v>
      </c>
      <c r="O2050" t="s">
        <v>25</v>
      </c>
      <c r="P2050" t="s">
        <v>3961</v>
      </c>
      <c r="Q2050" t="s">
        <v>3962</v>
      </c>
    </row>
    <row r="2051" spans="1:17" ht="15.5" x14ac:dyDescent="0.35">
      <c r="A2051" s="3" t="str">
        <f>HYPERLINK("https://edmondsonsupply.com/collections/hvac/products/supco-ccb100-coil-x-coil-cleaning-brush", "https://edmondsonsupply.com/collections/hvac/products/supco-ccb100-coil-x-coil-cleaning-brush")</f>
        <v>https://edmondsonsupply.com/collections/hvac/products/supco-ccb100-coil-x-coil-cleaning-brush</v>
      </c>
      <c r="B2051" s="3" t="str">
        <f>HYPERLINK("https://edmondsonsupply.com/products/supco-ccb100-coil-x-coil-cleaning-brush", "https://edmondsonsupply.com/products/supco-ccb100-coil-x-coil-cleaning-brush")</f>
        <v>https://edmondsonsupply.com/products/supco-ccb100-coil-x-coil-cleaning-brush</v>
      </c>
      <c r="C2051" t="s">
        <v>5502</v>
      </c>
      <c r="D2051" t="s">
        <v>5503</v>
      </c>
      <c r="E2051" s="3" t="str">
        <f>HYPERLINK("https://www.amazon.com/GE-PM14X51-Coil-Brush/dp/B00DZU954E/ref=sr_1_3?keywords=Supco+CCB100+Coil-X+Coil+Cleaning+Brush&amp;qid=1695173352&amp;sr=8-3", "https://www.amazon.com/GE-PM14X51-Coil-Brush/dp/B00DZU954E/ref=sr_1_3?keywords=Supco+CCB100+Coil-X+Coil+Cleaning+Brush&amp;qid=1695173352&amp;sr=8-3")</f>
        <v>https://www.amazon.com/GE-PM14X51-Coil-Brush/dp/B00DZU954E/ref=sr_1_3?keywords=Supco+CCB100+Coil-X+Coil+Cleaning+Brush&amp;qid=1695173352&amp;sr=8-3</v>
      </c>
      <c r="F2051" t="s">
        <v>5504</v>
      </c>
      <c r="G2051" t="e">
        <f ca="1">_xludf.IMAGE("https://edmondsonsupply.com/cdn/shop/products/CCB100.png?v=1633030369")</f>
        <v>#NAME?</v>
      </c>
      <c r="H2051" t="e">
        <f ca="1">_xludf.IMAGE("https://m.media-amazon.com/images/I/71VNTkNZtjL._AC_UL320_.jpg")</f>
        <v>#NAME?</v>
      </c>
      <c r="I2051" t="s">
        <v>3047</v>
      </c>
      <c r="J2051">
        <v>15.95</v>
      </c>
      <c r="K2051" s="4">
        <v>-0.39560000000000001</v>
      </c>
      <c r="L2051">
        <v>4.5</v>
      </c>
      <c r="M2051">
        <v>280</v>
      </c>
      <c r="O2051" t="s">
        <v>25</v>
      </c>
      <c r="P2051" t="s">
        <v>138</v>
      </c>
      <c r="Q2051" t="s">
        <v>5505</v>
      </c>
    </row>
    <row r="2052" spans="1:17" ht="15.5" x14ac:dyDescent="0.35">
      <c r="A2052" s="3" t="str">
        <f>HYPERLINK("https://edmondsonsupply.com/collections/hvac/products/supco-ccb100-coil-x-coil-cleaning-brush", "https://edmondsonsupply.com/collections/hvac/products/supco-ccb100-coil-x-coil-cleaning-brush")</f>
        <v>https://edmondsonsupply.com/collections/hvac/products/supco-ccb100-coil-x-coil-cleaning-brush</v>
      </c>
      <c r="B2052" s="3" t="str">
        <f>HYPERLINK("https://edmondsonsupply.com/products/supco-ccb100-coil-x-coil-cleaning-brush", "https://edmondsonsupply.com/products/supco-ccb100-coil-x-coil-cleaning-brush")</f>
        <v>https://edmondsonsupply.com/products/supco-ccb100-coil-x-coil-cleaning-brush</v>
      </c>
      <c r="C2052" t="s">
        <v>5502</v>
      </c>
      <c r="D2052" t="s">
        <v>5506</v>
      </c>
      <c r="E2052" s="3" t="str">
        <f>HYPERLINK("https://www.amazon.com/Generation-Conditioner-Evaporator-Coil-Brush/dp/B0C22YXH1B/ref=sr_1_5?keywords=Supco+CCB100+Coil-X+Coil+Cleaning+Brush&amp;qid=1695173352&amp;sr=8-5", "https://www.amazon.com/Generation-Conditioner-Evaporator-Coil-Brush/dp/B0C22YXH1B/ref=sr_1_5?keywords=Supco+CCB100+Coil-X+Coil+Cleaning+Brush&amp;qid=1695173352&amp;sr=8-5")</f>
        <v>https://www.amazon.com/Generation-Conditioner-Evaporator-Coil-Brush/dp/B0C22YXH1B/ref=sr_1_5?keywords=Supco+CCB100+Coil-X+Coil+Cleaning+Brush&amp;qid=1695173352&amp;sr=8-5</v>
      </c>
      <c r="F2052" t="s">
        <v>5507</v>
      </c>
      <c r="G2052" t="e">
        <f ca="1">_xludf.IMAGE("https://edmondsonsupply.com/cdn/shop/products/CCB100.png?v=1633030369")</f>
        <v>#NAME?</v>
      </c>
      <c r="H2052" t="e">
        <f ca="1">_xludf.IMAGE("https://m.media-amazon.com/images/I/512z7+ACnbL._AC_UL320_.jpg")</f>
        <v>#NAME?</v>
      </c>
      <c r="I2052" t="s">
        <v>3047</v>
      </c>
      <c r="J2052">
        <v>15.85</v>
      </c>
      <c r="K2052" s="4">
        <v>-0.39939999999999998</v>
      </c>
      <c r="L2052">
        <v>3.9</v>
      </c>
      <c r="M2052">
        <v>13</v>
      </c>
      <c r="O2052" t="s">
        <v>25</v>
      </c>
      <c r="P2052" t="s">
        <v>138</v>
      </c>
      <c r="Q2052" t="s">
        <v>5505</v>
      </c>
    </row>
    <row r="2053" spans="1:17" ht="15.5" x14ac:dyDescent="0.35">
      <c r="A2053" s="3" t="str">
        <f>HYPERLINK("https://edmondsonsupply.com/collections/hvac/products/klein-tools-85153k-slotted-screw-holding-driver-kit-3-16-inch-and-1-4-inch", "https://edmondsonsupply.com/collections/hvac/products/klein-tools-85153k-slotted-screw-holding-driver-kit-3-16-inch-and-1-4-inch")</f>
        <v>https://edmondsonsupply.com/collections/hvac/products/klein-tools-85153k-slotted-screw-holding-driver-kit-3-16-inch-and-1-4-inch</v>
      </c>
      <c r="B2053"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2053" t="s">
        <v>3864</v>
      </c>
      <c r="D2053" t="s">
        <v>5508</v>
      </c>
      <c r="E2053" s="3" t="str">
        <f>HYPERLINK("https://www.amazon.com/Klein-Tools-K46-Screw-Holding-Screwdriver/dp/B000936P4S/ref=sr_1_5?keywords=Klein+Tools+85153K+Slotted+Screw+Holding+Driver+Kit%2C+3%2F16-Inch+and+1%2F4-Inch&amp;qid=1695173691&amp;sr=8-5", "https://www.amazon.com/Klein-Tools-K46-Screw-Holding-Screwdriver/dp/B000936P4S/ref=sr_1_5?keywords=Klein+Tools+85153K+Slotted+Screw+Holding+Driver+Kit%2C+3%2F16-Inch+and+1%2F4-Inch&amp;qid=1695173691&amp;sr=8-5")</f>
        <v>https://www.amazon.com/Klein-Tools-K46-Screw-Holding-Screwdriver/dp/B000936P4S/ref=sr_1_5?keywords=Klein+Tools+85153K+Slotted+Screw+Holding+Driver+Kit%2C+3%2F16-Inch+and+1%2F4-Inch&amp;qid=1695173691&amp;sr=8-5</v>
      </c>
      <c r="F2053" t="s">
        <v>5509</v>
      </c>
      <c r="G2053" t="e">
        <f ca="1">_xludf.IMAGE("https://edmondsonsupply.com/cdn/shop/files/85153k.jpg?v=1693933663")</f>
        <v>#NAME?</v>
      </c>
      <c r="H2053" t="e">
        <f ca="1">_xludf.IMAGE("https://m.media-amazon.com/images/I/61Q6wSN1OyL._AC_UL320_.jpg")</f>
        <v>#NAME?</v>
      </c>
      <c r="I2053" t="s">
        <v>3867</v>
      </c>
      <c r="J2053">
        <v>11.99</v>
      </c>
      <c r="K2053" s="4">
        <v>-0.39989999999999998</v>
      </c>
      <c r="L2053">
        <v>4.5999999999999996</v>
      </c>
      <c r="M2053">
        <v>170</v>
      </c>
      <c r="O2053" t="s">
        <v>25</v>
      </c>
      <c r="P2053" t="s">
        <v>3068</v>
      </c>
      <c r="Q2053" t="s">
        <v>3868</v>
      </c>
    </row>
    <row r="2054" spans="1:17" ht="15.5" x14ac:dyDescent="0.35">
      <c r="A2054" s="3" t="str">
        <f>HYPERLINK("https://edmondsonsupply.com/collections/hvac/products/icm-controls-icm2813-furnace-control-board-replacement-for-lennox", "https://edmondsonsupply.com/collections/hvac/products/icm-controls-icm2813-furnace-control-board-replacement-for-lennox")</f>
        <v>https://edmondsonsupply.com/collections/hvac/products/icm-controls-icm2813-furnace-control-board-replacement-for-lennox</v>
      </c>
      <c r="B2054" s="3" t="str">
        <f>HYPERLINK("https://edmondsonsupply.com/products/icm-controls-icm2813-furnace-control-board-replacement-for-lennox", "https://edmondsonsupply.com/products/icm-controls-icm2813-furnace-control-board-replacement-for-lennox")</f>
        <v>https://edmondsonsupply.com/products/icm-controls-icm2813-furnace-control-board-replacement-for-lennox</v>
      </c>
      <c r="C2054" t="s">
        <v>2928</v>
      </c>
      <c r="D2054" t="s">
        <v>5510</v>
      </c>
      <c r="E2054" s="3" t="str">
        <f>HYPERLINK("https://www.amazon.com/ICM284-Aftermarket-Upgraded-Replacement-Controls/dp/B07KPKHNZ9/ref=sr_1_7?keywords=ICM+Controls+ICM2813+Furnace+Control+Board+-+Replacement+for+Lennox&amp;qid=1695173342&amp;sr=8-7", "https://www.amazon.com/ICM284-Aftermarket-Upgraded-Replacement-Controls/dp/B07KPKHNZ9/ref=sr_1_7?keywords=ICM+Controls+ICM2813+Furnace+Control+Board+-+Replacement+for+Lennox&amp;qid=1695173342&amp;sr=8-7")</f>
        <v>https://www.amazon.com/ICM284-Aftermarket-Upgraded-Replacement-Controls/dp/B07KPKHNZ9/ref=sr_1_7?keywords=ICM+Controls+ICM2813+Furnace+Control+Board+-+Replacement+for+Lennox&amp;qid=1695173342&amp;sr=8-7</v>
      </c>
      <c r="F2054" t="s">
        <v>5511</v>
      </c>
      <c r="G2054" t="e">
        <f ca="1">_xludf.IMAGE("https://edmondsonsupply.com/cdn/shop/products/ICM2813.jpg?v=1666552363")</f>
        <v>#NAME?</v>
      </c>
      <c r="H2054" t="e">
        <f ca="1">_xludf.IMAGE("https://m.media-amazon.com/images/I/41SnX6Y7LHL._AC_UL320_.jpg")</f>
        <v>#NAME?</v>
      </c>
      <c r="I2054" t="s">
        <v>2224</v>
      </c>
      <c r="J2054">
        <v>59.99</v>
      </c>
      <c r="K2054" s="4">
        <v>-0.4</v>
      </c>
      <c r="L2054">
        <v>5</v>
      </c>
      <c r="M2054">
        <v>1</v>
      </c>
      <c r="O2054" t="s">
        <v>25</v>
      </c>
      <c r="P2054" t="s">
        <v>2931</v>
      </c>
      <c r="Q2054" t="s">
        <v>2932</v>
      </c>
    </row>
    <row r="2055" spans="1:17" ht="15.5" x14ac:dyDescent="0.35">
      <c r="A2055" s="3" t="str">
        <f>HYPERLINK("https://edmondsonsupply.com/collections/hvac/products/klein-tools-1010-long-nose-multi-purpose-tool", "https://edmondsonsupply.com/collections/hvac/products/klein-tools-1010-long-nose-multi-purpose-tool")</f>
        <v>https://edmondsonsupply.com/collections/hvac/products/klein-tools-1010-long-nose-multi-purpose-tool</v>
      </c>
      <c r="B2055" s="3" t="str">
        <f>HYPERLINK("https://edmondsonsupply.com/products/klein-tools-1010-long-nose-multi-purpose-tool", "https://edmondsonsupply.com/products/klein-tools-1010-long-nose-multi-purpose-tool")</f>
        <v>https://edmondsonsupply.com/products/klein-tools-1010-long-nose-multi-purpose-tool</v>
      </c>
      <c r="C2055" t="s">
        <v>5322</v>
      </c>
      <c r="D2055" t="s">
        <v>5512</v>
      </c>
      <c r="E2055" s="3" t="str">
        <f>HYPERLINK("https://www.amazon.com/Crimping-Stripping-Klein-Tools-1009/dp/B079T9Q9X8/ref=sr_1_2?keywords=Klein+Tools+1010+Long+Nose+Multi+Tool+Wire+Stripper%2C+Wire+Cutters%2C+Crimping+Tool&amp;qid=1695173656&amp;sr=8-2", "https://www.amazon.com/Crimping-Stripping-Klein-Tools-1009/dp/B079T9Q9X8/ref=sr_1_2?keywords=Klein+Tools+1010+Long+Nose+Multi+Tool+Wire+Stripper%2C+Wire+Cutters%2C+Crimping+Tool&amp;qid=1695173656&amp;sr=8-2")</f>
        <v>https://www.amazon.com/Crimping-Stripping-Klein-Tools-1009/dp/B079T9Q9X8/ref=sr_1_2?keywords=Klein+Tools+1010+Long+Nose+Multi+Tool+Wire+Stripper%2C+Wire+Cutters%2C+Crimping+Tool&amp;qid=1695173656&amp;sr=8-2</v>
      </c>
      <c r="F2055" t="s">
        <v>5513</v>
      </c>
      <c r="G2055" t="e">
        <f ca="1">_xludf.IMAGE("https://edmondsonsupply.com/cdn/shop/products/1010.jpg?v=1587145604")</f>
        <v>#NAME?</v>
      </c>
      <c r="H2055" t="e">
        <f ca="1">_xludf.IMAGE("https://m.media-amazon.com/images/I/51ktpyk63OL._AC_UL320_.jpg")</f>
        <v>#NAME?</v>
      </c>
      <c r="I2055" t="s">
        <v>5325</v>
      </c>
      <c r="J2055">
        <v>19.97</v>
      </c>
      <c r="K2055" s="4">
        <v>-0.40139999999999998</v>
      </c>
      <c r="L2055">
        <v>4.7</v>
      </c>
      <c r="M2055">
        <v>627</v>
      </c>
      <c r="O2055" t="s">
        <v>25</v>
      </c>
      <c r="P2055" t="s">
        <v>138</v>
      </c>
      <c r="Q2055" t="s">
        <v>5326</v>
      </c>
    </row>
    <row r="2056" spans="1:17" ht="15.5" x14ac:dyDescent="0.35">
      <c r="A2056" s="3" t="str">
        <f>HYPERLINK("https://edmondsonsupply.com/collections/hvac/products/milwaukee-48-25-2122", "https://edmondsonsupply.com/collections/hvac/products/milwaukee-48-25-2122")</f>
        <v>https://edmondsonsupply.com/collections/hvac/products/milwaukee-48-25-2122</v>
      </c>
      <c r="B2056" s="3" t="str">
        <f>HYPERLINK("https://edmondsonsupply.com/products/milwaukee-48-25-2122", "https://edmondsonsupply.com/products/milwaukee-48-25-2122")</f>
        <v>https://edmondsonsupply.com/products/milwaukee-48-25-2122</v>
      </c>
      <c r="C2056" t="s">
        <v>3381</v>
      </c>
      <c r="D2056" t="s">
        <v>5514</v>
      </c>
      <c r="E2056" s="3" t="str">
        <f>HYPERLINK("https://www.amazon.com/MILWAUKEE-GIDDS2-288392-48-25-1372-Standard-Selfeed/dp/B000F6V0O4/ref=sr_1_4?keywords=Milwaukee+48-25-2122+Standard+Selfeed+Bit%2C+2-1%2F8%22&amp;qid=1695173750&amp;sr=8-4", "https://www.amazon.com/MILWAUKEE-GIDDS2-288392-48-25-1372-Standard-Selfeed/dp/B000F6V0O4/ref=sr_1_4?keywords=Milwaukee+48-25-2122+Standard+Selfeed+Bit%2C+2-1%2F8%22&amp;qid=1695173750&amp;sr=8-4")</f>
        <v>https://www.amazon.com/MILWAUKEE-GIDDS2-288392-48-25-1372-Standard-Selfeed/dp/B000F6V0O4/ref=sr_1_4?keywords=Milwaukee+48-25-2122+Standard+Selfeed+Bit%2C+2-1%2F8%22&amp;qid=1695173750&amp;sr=8-4</v>
      </c>
      <c r="F2056" t="s">
        <v>5515</v>
      </c>
      <c r="G2056" t="e">
        <f ca="1">_xludf.IMAGE("https://edmondsonsupply.com/cdn/shop/files/64170_48-25-1372_1-lg.gif?v=1687367768")</f>
        <v>#NAME?</v>
      </c>
      <c r="H2056" t="e">
        <f ca="1">_xludf.IMAGE("https://m.media-amazon.com/images/I/41pjsh1VxIL._AC_UL320_.jpg")</f>
        <v>#NAME?</v>
      </c>
      <c r="I2056" t="s">
        <v>380</v>
      </c>
      <c r="J2056">
        <v>29.89</v>
      </c>
      <c r="K2056" s="4">
        <v>-0.40179999999999999</v>
      </c>
      <c r="L2056">
        <v>4</v>
      </c>
      <c r="M2056">
        <v>5</v>
      </c>
      <c r="O2056" t="s">
        <v>25</v>
      </c>
      <c r="P2056" t="s">
        <v>138</v>
      </c>
      <c r="Q2056" t="s">
        <v>3384</v>
      </c>
    </row>
    <row r="2057" spans="1:17" ht="15.5" x14ac:dyDescent="0.35">
      <c r="A2057" s="3" t="str">
        <f>HYPERLINK("https://edmondsonsupply.com/collections/hvac/products/klein-tools-602-4dd-4-demolition-driver-1-4-keystone", "https://edmondsonsupply.com/collections/hvac/products/klein-tools-602-4dd-4-demolition-driver-1-4-keystone")</f>
        <v>https://edmondsonsupply.com/collections/hvac/products/klein-tools-602-4dd-4-demolition-driver-1-4-keystone</v>
      </c>
      <c r="B2057" s="3" t="str">
        <f>HYPERLINK("https://edmondsonsupply.com/products/klein-tools-602-4dd-4-demolition-driver-1-4-keystone", "https://edmondsonsupply.com/products/klein-tools-602-4dd-4-demolition-driver-1-4-keystone")</f>
        <v>https://edmondsonsupply.com/products/klein-tools-602-4dd-4-demolition-driver-1-4-keystone</v>
      </c>
      <c r="C2057" t="s">
        <v>3736</v>
      </c>
      <c r="D2057" t="s">
        <v>5516</v>
      </c>
      <c r="E2057" s="3" t="str">
        <f>HYPERLINK("https://www.amazon.com/Keystone-Tip-Screwdriver-Round-Shank-Klein-602-4/dp/B0000302WD/ref=sr_1_4?keywords=Klein+Tools+602-4DD+1%2F4-Inch+Keystone+Demolition+Driver%2C+4-Inch+Shank&amp;qid=1695173678&amp;sr=8-4", "https://www.amazon.com/Keystone-Tip-Screwdriver-Round-Shank-Klein-602-4/dp/B0000302WD/ref=sr_1_4?keywords=Klein+Tools+602-4DD+1%2F4-Inch+Keystone+Demolition+Driver%2C+4-Inch+Shank&amp;qid=1695173678&amp;sr=8-4")</f>
        <v>https://www.amazon.com/Keystone-Tip-Screwdriver-Round-Shank-Klein-602-4/dp/B0000302WD/ref=sr_1_4?keywords=Klein+Tools+602-4DD+1%2F4-Inch+Keystone+Demolition+Driver%2C+4-Inch+Shank&amp;qid=1695173678&amp;sr=8-4</v>
      </c>
      <c r="F2057" t="s">
        <v>5517</v>
      </c>
      <c r="G2057" t="e">
        <f ca="1">_xludf.IMAGE("https://edmondsonsupply.com/cdn/shop/products/602-4dd.jpg?v=1587143287")</f>
        <v>#NAME?</v>
      </c>
      <c r="H2057" t="e">
        <f ca="1">_xludf.IMAGE("https://m.media-amazon.com/images/I/51BHg1CmntL._AC_UL320_.jpg")</f>
        <v>#NAME?</v>
      </c>
      <c r="I2057" t="s">
        <v>252</v>
      </c>
      <c r="J2057">
        <v>9.49</v>
      </c>
      <c r="K2057" s="4">
        <v>-0.40649999999999997</v>
      </c>
      <c r="L2057">
        <v>4.8</v>
      </c>
      <c r="M2057">
        <v>879</v>
      </c>
      <c r="O2057" t="s">
        <v>25</v>
      </c>
      <c r="P2057" t="s">
        <v>3739</v>
      </c>
      <c r="Q2057" t="s">
        <v>3740</v>
      </c>
    </row>
    <row r="2058" spans="1:17" ht="15.5" x14ac:dyDescent="0.35">
      <c r="A2058" s="3" t="str">
        <f>HYPERLINK("https://edmondsonsupply.com/collections/hvac/products/greenlee-gsb04-7-8-step-bit-4", "https://edmondsonsupply.com/collections/hvac/products/greenlee-gsb04-7-8-step-bit-4")</f>
        <v>https://edmondsonsupply.com/collections/hvac/products/greenlee-gsb04-7-8-step-bit-4</v>
      </c>
      <c r="B2058" s="3" t="str">
        <f>HYPERLINK("https://edmondsonsupply.com/products/greenlee-gsb04-7-8-step-bit-4", "https://edmondsonsupply.com/products/greenlee-gsb04-7-8-step-bit-4")</f>
        <v>https://edmondsonsupply.com/products/greenlee-gsb04-7-8-step-bit-4</v>
      </c>
      <c r="C2058" t="s">
        <v>5518</v>
      </c>
      <c r="D2058" t="s">
        <v>4378</v>
      </c>
      <c r="E2058" s="3" t="str">
        <f>HYPERLINK("https://www.amazon.com/Greenlee-GSB04-Step-Bit/dp/B08TVF22W4/ref=sr_1_1?keywords=Greenlee+GSB04+7%2F8%22+Step+Bit+%28%234%29&amp;qid=1695173750&amp;sr=8-1", "https://www.amazon.com/Greenlee-GSB04-Step-Bit/dp/B08TVF22W4/ref=sr_1_1?keywords=Greenlee+GSB04+7%2F8%22+Step+Bit+%28%234%29&amp;qid=1695173750&amp;sr=8-1")</f>
        <v>https://www.amazon.com/Greenlee-GSB04-Step-Bit/dp/B08TVF22W4/ref=sr_1_1?keywords=Greenlee+GSB04+7%2F8%22+Step+Bit+%28%234%29&amp;qid=1695173750&amp;sr=8-1</v>
      </c>
      <c r="F2058" t="s">
        <v>4379</v>
      </c>
      <c r="G2058" t="e">
        <f ca="1">_xludf.IMAGE("https://edmondsonsupply.com/cdn/shop/files/GSB04_CAT1_72dpi_1.jpg?v=1687789356")</f>
        <v>#NAME?</v>
      </c>
      <c r="H2058" t="e">
        <f ca="1">_xludf.IMAGE("https://m.media-amazon.com/images/I/41FX4czhS0L._AC_UY218_.jpg")</f>
        <v>#NAME?</v>
      </c>
      <c r="I2058" t="s">
        <v>5519</v>
      </c>
      <c r="J2058">
        <v>32</v>
      </c>
      <c r="K2058" s="4">
        <v>-0.40699999999999997</v>
      </c>
      <c r="L2058">
        <v>5</v>
      </c>
      <c r="M2058">
        <v>7</v>
      </c>
      <c r="O2058" t="s">
        <v>25</v>
      </c>
      <c r="P2058" t="s">
        <v>5520</v>
      </c>
      <c r="Q2058" t="s">
        <v>5521</v>
      </c>
    </row>
    <row r="2059" spans="1:17" ht="15.5" x14ac:dyDescent="0.35">
      <c r="A2059" s="3" t="str">
        <f>HYPERLINK("https://edmondsonsupply.com/collections/hvac/products/channellock-430cb", "https://edmondsonsupply.com/collections/hvac/products/channellock-430cb")</f>
        <v>https://edmondsonsupply.com/collections/hvac/products/channellock-430cb</v>
      </c>
      <c r="B2059" s="3" t="str">
        <f>HYPERLINK("https://edmondsonsupply.com/products/channellock-430cb", "https://edmondsonsupply.com/products/channellock-430cb")</f>
        <v>https://edmondsonsupply.com/products/channellock-430cb</v>
      </c>
      <c r="C2059" t="s">
        <v>5374</v>
      </c>
      <c r="D2059" t="s">
        <v>4988</v>
      </c>
      <c r="E2059" s="3" t="str">
        <f>HYPERLINK("https://www.amazon.com/Channellock-426-8-Inch-Capacity-2-Inch/dp/B00004SBCS/ref=sr_1_10?keywords=Channellock+430CB+10%22+Code+Blue+Straight+Jaw+Tongue+%26+Groove+Pliers&amp;qid=1695173559&amp;sr=8-10", "https://www.amazon.com/Channellock-426-8-Inch-Capacity-2-Inch/dp/B00004SBCS/ref=sr_1_10?keywords=Channellock+430CB+10%22+Code+Blue+Straight+Jaw+Tongue+%26+Groove+Pliers&amp;qid=1695173559&amp;sr=8-10")</f>
        <v>https://www.amazon.com/Channellock-426-8-Inch-Capacity-2-Inch/dp/B00004SBCS/ref=sr_1_10?keywords=Channellock+430CB+10%22+Code+Blue+Straight+Jaw+Tongue+%26+Groove+Pliers&amp;qid=1695173559&amp;sr=8-10</v>
      </c>
      <c r="F2059" t="s">
        <v>4989</v>
      </c>
      <c r="G2059" t="e">
        <f ca="1">_xludf.IMAGE("https://edmondsonsupply.com/cdn/shop/products/430CB-683x1024.jpg?v=1587147133")</f>
        <v>#NAME?</v>
      </c>
      <c r="H2059" t="e">
        <f ca="1">_xludf.IMAGE("https://m.media-amazon.com/images/I/713NYKlIyoL._AC_UL320_.jpg")</f>
        <v>#NAME?</v>
      </c>
      <c r="I2059" t="s">
        <v>5375</v>
      </c>
      <c r="J2059">
        <v>15.95</v>
      </c>
      <c r="K2059" s="4">
        <v>-0.40820000000000001</v>
      </c>
      <c r="L2059">
        <v>4.7</v>
      </c>
      <c r="M2059">
        <v>1999</v>
      </c>
      <c r="O2059" t="s">
        <v>25</v>
      </c>
      <c r="P2059" t="s">
        <v>5376</v>
      </c>
      <c r="Q2059" t="s">
        <v>5377</v>
      </c>
    </row>
    <row r="2060" spans="1:17" ht="15.5" x14ac:dyDescent="0.35">
      <c r="A2060" s="3" t="str">
        <f>HYPERLINK("https://edmondsonsupply.com/collections/hvac/products/white-rodgers-50a55-843-integrated-furnace-control-board-universal-replacement", "https://edmondsonsupply.com/collections/hvac/products/white-rodgers-50a55-843-integrated-furnace-control-board-universal-replacement")</f>
        <v>https://edmondsonsupply.com/collections/hvac/products/white-rodgers-50a55-843-integrated-furnace-control-board-universal-replacement</v>
      </c>
      <c r="B2060" s="3" t="str">
        <f>HYPERLINK("https://edmondsonsupply.com/products/white-rodgers-50a55-843-integrated-furnace-control-board-universal-replacement", "https://edmondsonsupply.com/products/white-rodgers-50a55-843-integrated-furnace-control-board-universal-replacement")</f>
        <v>https://edmondsonsupply.com/products/white-rodgers-50a55-843-integrated-furnace-control-board-universal-replacement</v>
      </c>
      <c r="C2060" t="s">
        <v>2692</v>
      </c>
      <c r="D2060" t="s">
        <v>3654</v>
      </c>
      <c r="E2060" s="3" t="str">
        <f>HYPERLINK("https://www.amazon.com/Home-Tools-Single-Stage-Replacement-White-Rodgers/dp/B00TW2G416/ref=sr_1_5?keywords=White-Rodgers+50A55-843+Integrated+Furnace+Control+Board%2C+Universal+Replacement&amp;qid=1695173406&amp;sr=8-5", "https://www.amazon.com/Home-Tools-Single-Stage-Replacement-White-Rodgers/dp/B00TW2G416/ref=sr_1_5?keywords=White-Rodgers+50A55-843+Integrated+Furnace+Control+Board%2C+Universal+Replacement&amp;qid=1695173406&amp;sr=8-5")</f>
        <v>https://www.amazon.com/Home-Tools-Single-Stage-Replacement-White-Rodgers/dp/B00TW2G416/ref=sr_1_5?keywords=White-Rodgers+50A55-843+Integrated+Furnace+Control+Board%2C+Universal+Replacement&amp;qid=1695173406&amp;sr=8-5</v>
      </c>
      <c r="F2060" t="s">
        <v>3655</v>
      </c>
      <c r="G2060" t="e">
        <f ca="1">_xludf.IMAGE("https://edmondsonsupply.com/cdn/shop/products/b-integrated-furnace-controls-universal-replacement-img-2a.jpg?v=1633030661")</f>
        <v>#NAME?</v>
      </c>
      <c r="H2060" t="e">
        <f ca="1">_xludf.IMAGE("https://m.media-amazon.com/images/I/51HGvJrwnvL._AC_UL320_.jpg")</f>
        <v>#NAME?</v>
      </c>
      <c r="I2060" t="s">
        <v>2695</v>
      </c>
      <c r="J2060">
        <v>80</v>
      </c>
      <c r="K2060" s="4">
        <v>-0.40839999999999999</v>
      </c>
      <c r="L2060">
        <v>3.9</v>
      </c>
      <c r="M2060">
        <v>21</v>
      </c>
      <c r="O2060" t="s">
        <v>25</v>
      </c>
      <c r="P2060" t="s">
        <v>2696</v>
      </c>
      <c r="Q2060" t="s">
        <v>2697</v>
      </c>
    </row>
    <row r="2061" spans="1:17" ht="15.5" x14ac:dyDescent="0.35">
      <c r="A2061" s="3" t="str">
        <f>HYPERLINK("https://edmondsonsupply.com/collections/hvac/products/klein-tools-5165-10-pocket-tool-pouch-knife-snap", "https://edmondsonsupply.com/collections/hvac/products/klein-tools-5165-10-pocket-tool-pouch-knife-snap")</f>
        <v>https://edmondsonsupply.com/collections/hvac/products/klein-tools-5165-10-pocket-tool-pouch-knife-snap</v>
      </c>
      <c r="B2061" s="3" t="str">
        <f>HYPERLINK("https://edmondsonsupply.com/products/klein-tools-5165-10-pocket-tool-pouch-knife-snap", "https://edmondsonsupply.com/products/klein-tools-5165-10-pocket-tool-pouch-knife-snap")</f>
        <v>https://edmondsonsupply.com/products/klein-tools-5165-10-pocket-tool-pouch-knife-snap</v>
      </c>
      <c r="C2061" t="s">
        <v>700</v>
      </c>
      <c r="D2061" t="s">
        <v>788</v>
      </c>
      <c r="E2061" s="3" t="str">
        <f>HYPERLINK("https://www.amazon.com/Linemans-Pouch-Klein-Tools-S5118PRS/dp/B0002RIA30/ref=sr_1_6?keywords=Klein+Tools+5165+10+Pocket+Leather+Tool+Pouch+with+Knife+Snap&amp;qid=1695173659&amp;sr=8-6", "https://www.amazon.com/Linemans-Pouch-Klein-Tools-S5118PRS/dp/B0002RIA30/ref=sr_1_6?keywords=Klein+Tools+5165+10+Pocket+Leather+Tool+Pouch+with+Knife+Snap&amp;qid=1695173659&amp;sr=8-6")</f>
        <v>https://www.amazon.com/Linemans-Pouch-Klein-Tools-S5118PRS/dp/B0002RIA30/ref=sr_1_6?keywords=Klein+Tools+5165+10+Pocket+Leather+Tool+Pouch+with+Knife+Snap&amp;qid=1695173659&amp;sr=8-6</v>
      </c>
      <c r="F2061" t="s">
        <v>789</v>
      </c>
      <c r="G2061" t="e">
        <f ca="1">_xludf.IMAGE("https://edmondsonsupply.com/cdn/shop/products/5165.jpg?v=1587145507")</f>
        <v>#NAME?</v>
      </c>
      <c r="H2061" t="e">
        <f ca="1">_xludf.IMAGE("https://m.media-amazon.com/images/I/51oBBMnS2PL._AC_UL320_.jpg")</f>
        <v>#NAME?</v>
      </c>
      <c r="I2061" t="s">
        <v>703</v>
      </c>
      <c r="J2061">
        <v>37.07</v>
      </c>
      <c r="K2061" s="4">
        <v>-0.41149999999999998</v>
      </c>
      <c r="L2061">
        <v>4.5</v>
      </c>
      <c r="M2061">
        <v>443</v>
      </c>
      <c r="O2061" t="s">
        <v>25</v>
      </c>
      <c r="P2061" t="s">
        <v>704</v>
      </c>
      <c r="Q2061" t="s">
        <v>705</v>
      </c>
    </row>
    <row r="2062" spans="1:17" ht="15.5" x14ac:dyDescent="0.35">
      <c r="A2062" s="3" t="str">
        <f>HYPERLINK("https://edmondsonsupply.com/collections/hvac/products/greenlee-gsb07-7-8-step-bit-7", "https://edmondsonsupply.com/collections/hvac/products/greenlee-gsb07-7-8-step-bit-7")</f>
        <v>https://edmondsonsupply.com/collections/hvac/products/greenlee-gsb07-7-8-step-bit-7</v>
      </c>
      <c r="B2062" s="3" t="str">
        <f>HYPERLINK("https://edmondsonsupply.com/products/greenlee-gsb07-7-8-step-bit-7", "https://edmondsonsupply.com/products/greenlee-gsb07-7-8-step-bit-7")</f>
        <v>https://edmondsonsupply.com/products/greenlee-gsb07-7-8-step-bit-7</v>
      </c>
      <c r="C2062" t="s">
        <v>5522</v>
      </c>
      <c r="D2062" t="s">
        <v>4378</v>
      </c>
      <c r="E2062" s="3" t="str">
        <f>HYPERLINK("https://www.amazon.com/Greenlee-GSB04-Step-Bit/dp/B08TVF22W4/ref=sr_1_1?keywords=Greenlee+GSB07+7%2F8%22+Step+Bit+%28%237%29&amp;qid=1695173757&amp;sr=8-1", "https://www.amazon.com/Greenlee-GSB04-Step-Bit/dp/B08TVF22W4/ref=sr_1_1?keywords=Greenlee+GSB07+7%2F8%22+Step+Bit+%28%237%29&amp;qid=1695173757&amp;sr=8-1")</f>
        <v>https://www.amazon.com/Greenlee-GSB04-Step-Bit/dp/B08TVF22W4/ref=sr_1_1?keywords=Greenlee+GSB07+7%2F8%22+Step+Bit+%28%237%29&amp;qid=1695173757&amp;sr=8-1</v>
      </c>
      <c r="F2062" t="s">
        <v>4379</v>
      </c>
      <c r="G2062" t="e">
        <f ca="1">_xludf.IMAGE("https://edmondsonsupply.com/cdn/shop/files/GSB07_CAT1_72dpi.jpg?v=1687791534")</f>
        <v>#NAME?</v>
      </c>
      <c r="H2062" t="e">
        <f ca="1">_xludf.IMAGE("https://m.media-amazon.com/images/I/41FX4czhS0L._AC_UY218_.jpg")</f>
        <v>#NAME?</v>
      </c>
      <c r="I2062" t="s">
        <v>5523</v>
      </c>
      <c r="J2062">
        <v>32</v>
      </c>
      <c r="K2062" s="4">
        <v>-0.4138</v>
      </c>
      <c r="L2062">
        <v>5</v>
      </c>
      <c r="M2062">
        <v>7</v>
      </c>
      <c r="O2062" t="s">
        <v>25</v>
      </c>
      <c r="P2062" t="s">
        <v>5524</v>
      </c>
      <c r="Q2062" t="s">
        <v>5525</v>
      </c>
    </row>
    <row r="2063" spans="1:17" ht="15.5" x14ac:dyDescent="0.35">
      <c r="A2063" s="3" t="str">
        <f>HYPERLINK("https://edmondsonsupply.com/collections/hvac/products/robertshaw-41-224-hot-surface-furnace-ignitor-rheem-armstrong-replacement", "https://edmondsonsupply.com/collections/hvac/products/robertshaw-41-224-hot-surface-furnace-ignitor-rheem-armstrong-replacement")</f>
        <v>https://edmondsonsupply.com/collections/hvac/products/robertshaw-41-224-hot-surface-furnace-ignitor-rheem-armstrong-replacement</v>
      </c>
      <c r="B2063" s="3" t="str">
        <f>HYPERLINK("https://edmondsonsupply.com/products/robertshaw-41-224-hot-surface-furnace-ignitor-rheem-armstrong-replacement", "https://edmondsonsupply.com/products/robertshaw-41-224-hot-surface-furnace-ignitor-rheem-armstrong-replacement")</f>
        <v>https://edmondsonsupply.com/products/robertshaw-41-224-hot-surface-furnace-ignitor-rheem-armstrong-replacement</v>
      </c>
      <c r="C2063" t="s">
        <v>5161</v>
      </c>
      <c r="D2063" t="s">
        <v>3466</v>
      </c>
      <c r="E2063" s="3" t="str">
        <f>HYPERLINK("https://www.amazon.com/Robertshaw-41-412-Surface-5-25-Inch-Wire-951364/dp/B004XL3E9Q/ref=sr_1_1?keywords=Robertshaw+41-224+Hot+Surface+Furnace+Ignitor&amp;qid=1695173703&amp;sr=8-1", "https://www.amazon.com/Robertshaw-41-412-Surface-5-25-Inch-Wire-951364/dp/B004XL3E9Q/ref=sr_1_1?keywords=Robertshaw+41-224+Hot+Surface+Furnace+Ignitor&amp;qid=1695173703&amp;sr=8-1")</f>
        <v>https://www.amazon.com/Robertshaw-41-412-Surface-5-25-Inch-Wire-951364/dp/B004XL3E9Q/ref=sr_1_1?keywords=Robertshaw+41-224+Hot+Surface+Furnace+Ignitor&amp;qid=1695173703&amp;sr=8-1</v>
      </c>
      <c r="F2063" t="s">
        <v>3467</v>
      </c>
      <c r="G2063" t="e">
        <f ca="1">_xludf.IMAGE("https://edmondsonsupply.com/cdn/shop/files/41-224.jpg?v=1694616534")</f>
        <v>#NAME?</v>
      </c>
      <c r="H2063" t="e">
        <f ca="1">_xludf.IMAGE("https://m.media-amazon.com/images/I/31xuPdl-sZL._AC_UL320_.jpg")</f>
        <v>#NAME?</v>
      </c>
      <c r="I2063" t="s">
        <v>5164</v>
      </c>
      <c r="J2063">
        <v>24.45</v>
      </c>
      <c r="K2063" s="4">
        <v>-0.4148</v>
      </c>
      <c r="L2063">
        <v>5</v>
      </c>
      <c r="M2063">
        <v>2</v>
      </c>
      <c r="O2063" t="s">
        <v>25</v>
      </c>
      <c r="P2063" t="s">
        <v>138</v>
      </c>
      <c r="Q2063" t="s">
        <v>5165</v>
      </c>
    </row>
    <row r="2064" spans="1:17" ht="15.5" x14ac:dyDescent="0.35">
      <c r="A2064" s="3" t="str">
        <f>HYPERLINK("https://edmondsonsupply.com/collections/hvac/products/malco-tools-m2007-max2000%C2%AE-offset-aviation-snip-right-cutting", "https://edmondsonsupply.com/collections/hvac/products/malco-tools-m2007-max2000%C2%AE-offset-aviation-snip-right-cutting")</f>
        <v>https://edmondsonsupply.com/collections/hvac/products/malco-tools-m2007-max2000%C2%AE-offset-aviation-snip-right-cutting</v>
      </c>
      <c r="B2064" s="3" t="str">
        <f>HYPERLINK("https://edmondsonsupply.com/products/malco-tools-m2007-max2000%c2%ae-offset-aviation-snip-right-cutting", "https://edmondsonsupply.com/products/malco-tools-m2007-max2000%c2%ae-offset-aviation-snip-right-cutting")</f>
        <v>https://edmondsonsupply.com/products/malco-tools-m2007-max2000%c2%ae-offset-aviation-snip-right-cutting</v>
      </c>
      <c r="C2064" t="s">
        <v>3493</v>
      </c>
      <c r="D2064" t="s">
        <v>4640</v>
      </c>
      <c r="E2064" s="3" t="str">
        <f>HYPERLINK("https://www.amazon.com/Klein-Tools-2401R-Right-Cutting-Precision/dp/B0C4BTTVPC/ref=sr_1_7?keywords=Malco+Tools+M2007+Max2000%C2%AE+Offset+Aviation+Snip+-+Right+Cutting&amp;qid=1695173538&amp;sr=8-7", "https://www.amazon.com/Klein-Tools-2401R-Right-Cutting-Precision/dp/B0C4BTTVPC/ref=sr_1_7?keywords=Malco+Tools+M2007+Max2000%C2%AE+Offset+Aviation+Snip+-+Right+Cutting&amp;qid=1695173538&amp;sr=8-7")</f>
        <v>https://www.amazon.com/Klein-Tools-2401R-Right-Cutting-Precision/dp/B0C4BTTVPC/ref=sr_1_7?keywords=Malco+Tools+M2007+Max2000%C2%AE+Offset+Aviation+Snip+-+Right+Cutting&amp;qid=1695173538&amp;sr=8-7</v>
      </c>
      <c r="F2064" t="s">
        <v>4641</v>
      </c>
      <c r="G2064" t="e">
        <f ca="1">_xludf.IMAGE("https://edmondsonsupply.com/cdn/shop/products/m2007.jpg?v=1633030573")</f>
        <v>#NAME?</v>
      </c>
      <c r="H2064" t="e">
        <f ca="1">_xludf.IMAGE("https://m.media-amazon.com/images/I/41JZrgGB5HL._AC_UL320_.jpg")</f>
        <v>#NAME?</v>
      </c>
      <c r="I2064" t="s">
        <v>3496</v>
      </c>
      <c r="J2064">
        <v>24.99</v>
      </c>
      <c r="K2064" s="4">
        <v>-0.41870000000000002</v>
      </c>
      <c r="L2064">
        <v>4.2</v>
      </c>
      <c r="M2064">
        <v>11</v>
      </c>
      <c r="O2064" t="s">
        <v>25</v>
      </c>
      <c r="P2064" t="s">
        <v>3497</v>
      </c>
      <c r="Q2064" t="s">
        <v>3498</v>
      </c>
    </row>
    <row r="2065" spans="1:17" ht="15.5" x14ac:dyDescent="0.35">
      <c r="A2065" s="3" t="str">
        <f>HYPERLINK("https://edmondsonsupply.com/collections/hvac/products/icm-controls-icm206-delay-on-break-timer-with-3-10-minute-time-delay-18-30-vac", "https://edmondsonsupply.com/collections/hvac/products/icm-controls-icm206-delay-on-break-timer-with-3-10-minute-time-delay-18-30-vac")</f>
        <v>https://edmondsonsupply.com/collections/hvac/products/icm-controls-icm206-delay-on-break-timer-with-3-10-minute-time-delay-18-30-vac</v>
      </c>
      <c r="B2065" s="3" t="str">
        <f>HYPERLINK("https://edmondsonsupply.com/products/icm-controls-icm206-delay-on-break-timer-with-3-10-minute-time-delay-18-30-vac", "https://edmondsonsupply.com/products/icm-controls-icm206-delay-on-break-timer-with-3-10-minute-time-delay-18-30-vac")</f>
        <v>https://edmondsonsupply.com/products/icm-controls-icm206-delay-on-break-timer-with-3-10-minute-time-delay-18-30-vac</v>
      </c>
      <c r="C2065" t="s">
        <v>2978</v>
      </c>
      <c r="D2065" t="s">
        <v>5526</v>
      </c>
      <c r="E2065" s="3" t="str">
        <f>HYPERLINK("https://www.amazon.com/ICM-Controls-ICM101F-Delay-minutes/dp/B00GIOYUJY/ref=sr_1_10?keywords=ICM+Controls+ICM206+Delay+on+Break+Timer+with+3-10+Minute+Time+Delay%2C+18-30+VAC&amp;qid=1695173338&amp;sr=8-10", "https://www.amazon.com/ICM-Controls-ICM101F-Delay-minutes/dp/B00GIOYUJY/ref=sr_1_10?keywords=ICM+Controls+ICM206+Delay+on+Break+Timer+with+3-10+Minute+Time+Delay%2C+18-30+VAC&amp;qid=1695173338&amp;sr=8-10")</f>
        <v>https://www.amazon.com/ICM-Controls-ICM101F-Delay-minutes/dp/B00GIOYUJY/ref=sr_1_10?keywords=ICM+Controls+ICM206+Delay+on+Break+Timer+with+3-10+Minute+Time+Delay%2C+18-30+VAC&amp;qid=1695173338&amp;sr=8-10</v>
      </c>
      <c r="F2065" t="s">
        <v>5527</v>
      </c>
      <c r="G2065" t="e">
        <f ca="1">_xludf.IMAGE("https://edmondsonsupply.com/cdn/shop/products/61Oa3Tbl-VL._SL1000.jpg?v=1633030862")</f>
        <v>#NAME?</v>
      </c>
      <c r="H2065" t="e">
        <f ca="1">_xludf.IMAGE("https://m.media-amazon.com/images/I/61QTvuquOVL._AC_UL320_.jpg")</f>
        <v>#NAME?</v>
      </c>
      <c r="I2065" t="s">
        <v>2979</v>
      </c>
      <c r="J2065">
        <v>18.45</v>
      </c>
      <c r="K2065" s="4">
        <v>-0.41959999999999997</v>
      </c>
      <c r="L2065">
        <v>3</v>
      </c>
      <c r="M2065">
        <v>1</v>
      </c>
      <c r="O2065" t="s">
        <v>25</v>
      </c>
      <c r="P2065" t="s">
        <v>2980</v>
      </c>
      <c r="Q2065" t="s">
        <v>2981</v>
      </c>
    </row>
    <row r="2066" spans="1:17" ht="15.5" x14ac:dyDescent="0.35">
      <c r="A2066" s="3" t="str">
        <f>HYPERLINK("https://edmondsonsupply.com/collections/hvac/products/veto-pro-pac-tp-xxl-blackout-tool-pouch", "https://edmondsonsupply.com/collections/hvac/products/veto-pro-pac-tp-xxl-blackout-tool-pouch")</f>
        <v>https://edmondsonsupply.com/collections/hvac/products/veto-pro-pac-tp-xxl-blackout-tool-pouch</v>
      </c>
      <c r="B2066" s="3" t="str">
        <f>HYPERLINK("https://edmondsonsupply.com/products/veto-pro-pac-tp-xxl-blackout-tool-pouch", "https://edmondsonsupply.com/products/veto-pro-pac-tp-xxl-blackout-tool-pouch")</f>
        <v>https://edmondsonsupply.com/products/veto-pro-pac-tp-xxl-blackout-tool-pouch</v>
      </c>
      <c r="C2066" t="s">
        <v>758</v>
      </c>
      <c r="D2066" t="s">
        <v>371</v>
      </c>
      <c r="E2066" s="3" t="str">
        <f>HYPERLINK("https://www.amazon.com/Veto-TP-LC-Compact-Zippered-Service/dp/B09TPZKBDP/ref=sr_1_2?keywords=Veto+Pro+Pac+TP-XXL+Blackout+Tool+Pouch&amp;qid=1695173413&amp;sr=8-2", "https://www.amazon.com/Veto-TP-LC-Compact-Zippered-Service/dp/B09TPZKBDP/ref=sr_1_2?keywords=Veto+Pro+Pac+TP-XXL+Blackout+Tool+Pouch&amp;qid=1695173413&amp;sr=8-2")</f>
        <v>https://www.amazon.com/Veto-TP-LC-Compact-Zippered-Service/dp/B09TPZKBDP/ref=sr_1_2?keywords=Veto+Pro+Pac+TP-XXL+Blackout+Tool+Pouch&amp;qid=1695173413&amp;sr=8-2</v>
      </c>
      <c r="F2066" t="s">
        <v>372</v>
      </c>
      <c r="G2066" t="e">
        <f ca="1">_xludf.IMAGE("https://edmondsonsupply.com/cdn/shop/files/TP-xxl_blackout_600x830_0000_TP-XXL_BLACKOUT_0379.jpg?v=1685736106")</f>
        <v>#NAME?</v>
      </c>
      <c r="H2066" t="e">
        <f ca="1">_xludf.IMAGE("https://m.media-amazon.com/images/I/51b1SiebzcL._AC_UL320_.jpg")</f>
        <v>#NAME?</v>
      </c>
      <c r="I2066" t="s">
        <v>759</v>
      </c>
      <c r="J2066">
        <v>134.94999999999999</v>
      </c>
      <c r="K2066" s="4">
        <v>-0.43769999999999998</v>
      </c>
      <c r="L2066">
        <v>4.8</v>
      </c>
      <c r="M2066">
        <v>281</v>
      </c>
      <c r="O2066" t="s">
        <v>171</v>
      </c>
      <c r="P2066" t="s">
        <v>138</v>
      </c>
      <c r="Q2066" t="s">
        <v>760</v>
      </c>
    </row>
    <row r="2067" spans="1:17" ht="15.5" x14ac:dyDescent="0.35">
      <c r="A2067" s="3" t="str">
        <f>HYPERLINK("https://edmondsonsupply.com/collections/hvac/products/yellow-jacket-78080-2-gas-test-gauge-3-4-npt-0-30-lb", "https://edmondsonsupply.com/collections/hvac/products/yellow-jacket-78080-2-gas-test-gauge-3-4-npt-0-30-lb")</f>
        <v>https://edmondsonsupply.com/collections/hvac/products/yellow-jacket-78080-2-gas-test-gauge-3-4-npt-0-30-lb</v>
      </c>
      <c r="B2067" s="3" t="str">
        <f>HYPERLINK("https://edmondsonsupply.com/products/yellow-jacket-78080-2-gas-test-gauge-3-4-npt-0-30-lb", "https://edmondsonsupply.com/products/yellow-jacket-78080-2-gas-test-gauge-3-4-npt-0-30-lb")</f>
        <v>https://edmondsonsupply.com/products/yellow-jacket-78080-2-gas-test-gauge-3-4-npt-0-30-lb</v>
      </c>
      <c r="C2067" t="s">
        <v>3456</v>
      </c>
      <c r="D2067" t="s">
        <v>5528</v>
      </c>
      <c r="E2067" s="3" t="str">
        <f>HYPERLINK("https://www.amazon.com/Winters-Pressure-Polycarbonate-Accuracy-Connection/dp/B0087UDNW2/ref=sr_1_3?keywords=Yellow+Jacket+78080+2+Gas+Test+Gauge+-+3%2F4+NPT+-+0-30+lb&amp;qid=1695173525&amp;sr=8-3", "https://www.amazon.com/Winters-Pressure-Polycarbonate-Accuracy-Connection/dp/B0087UDNW2/ref=sr_1_3?keywords=Yellow+Jacket+78080+2+Gas+Test+Gauge+-+3%2F4+NPT+-+0-30+lb&amp;qid=1695173525&amp;sr=8-3")</f>
        <v>https://www.amazon.com/Winters-Pressure-Polycarbonate-Accuracy-Connection/dp/B0087UDNW2/ref=sr_1_3?keywords=Yellow+Jacket+78080+2+Gas+Test+Gauge+-+3%2F4+NPT+-+0-30+lb&amp;qid=1695173525&amp;sr=8-3</v>
      </c>
      <c r="F2067" t="s">
        <v>5529</v>
      </c>
      <c r="G2067" t="e">
        <f ca="1">_xludf.IMAGE("https://edmondsonsupply.com/cdn/shop/products/57_2.jpg?v=1633030928")</f>
        <v>#NAME?</v>
      </c>
      <c r="H2067" t="e">
        <f ca="1">_xludf.IMAGE("https://m.media-amazon.com/images/I/716CPrKq9mL._AC_UY218_.jpg")</f>
        <v>#NAME?</v>
      </c>
      <c r="I2067" t="s">
        <v>3459</v>
      </c>
      <c r="J2067">
        <v>17.190000000000001</v>
      </c>
      <c r="K2067" s="4">
        <v>-0.44190000000000002</v>
      </c>
      <c r="L2067">
        <v>3.8</v>
      </c>
      <c r="M2067">
        <v>27</v>
      </c>
      <c r="O2067" t="s">
        <v>25</v>
      </c>
      <c r="P2067" t="s">
        <v>138</v>
      </c>
      <c r="Q2067" t="s">
        <v>3460</v>
      </c>
    </row>
    <row r="2068" spans="1:17" ht="15.5" x14ac:dyDescent="0.35">
      <c r="A2068" s="3" t="str">
        <f>HYPERLINK("https://edmondsonsupply.com/collections/hvac/products/wiha-tools-66981-13-piece-ball-end-color-coded-hex-l-key-set-inch", "https://edmondsonsupply.com/collections/hvac/products/wiha-tools-66981-13-piece-ball-end-color-coded-hex-l-key-set-inch")</f>
        <v>https://edmondsonsupply.com/collections/hvac/products/wiha-tools-66981-13-piece-ball-end-color-coded-hex-l-key-set-inch</v>
      </c>
      <c r="B2068"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2068" t="s">
        <v>4747</v>
      </c>
      <c r="D2068" t="s">
        <v>5530</v>
      </c>
      <c r="E2068" s="3" t="str">
        <f>HYPERLINK("https://www.amazon.com/Wiha-36991-13-Piece-Hex-Inch-ProStar/dp/B000LSJGQU/ref=sr_1_3?keywords=Wiha+Tools+66981+13+Piece+Ball+End+Color+Coded+Hex+L-Key+Set+-+Inch&amp;qid=1695173728&amp;sr=8-3", "https://www.amazon.com/Wiha-36991-13-Piece-Hex-Inch-ProStar/dp/B000LSJGQU/ref=sr_1_3?keywords=Wiha+Tools+66981+13+Piece+Ball+End+Color+Coded+Hex+L-Key+Set+-+Inch&amp;qid=1695173728&amp;sr=8-3")</f>
        <v>https://www.amazon.com/Wiha-36991-13-Piece-Hex-Inch-ProStar/dp/B000LSJGQU/ref=sr_1_3?keywords=Wiha+Tools+66981+13+Piece+Ball+End+Color+Coded+Hex+L-Key+Set+-+Inch&amp;qid=1695173728&amp;sr=8-3</v>
      </c>
      <c r="F2068" t="s">
        <v>5531</v>
      </c>
      <c r="G2068" t="e">
        <f ca="1">_xludf.IMAGE("https://edmondsonsupply.com/cdn/shop/files/d46e6f2ecefba25ae78922fd12be8f1dc56b6ee6_1000x_1d9d5bc7-c590-4e82-817a-f70a00b88949.webp?v=1690834995")</f>
        <v>#NAME?</v>
      </c>
      <c r="H2068" t="e">
        <f ca="1">_xludf.IMAGE("https://m.media-amazon.com/images/I/611Dt3dWdBL._AC_UL320_.jpg")</f>
        <v>#NAME?</v>
      </c>
      <c r="I2068" t="s">
        <v>4750</v>
      </c>
      <c r="J2068">
        <v>29.71</v>
      </c>
      <c r="K2068" s="4">
        <v>-0.44379999999999997</v>
      </c>
      <c r="L2068">
        <v>4.2</v>
      </c>
      <c r="M2068">
        <v>20</v>
      </c>
      <c r="O2068" t="s">
        <v>25</v>
      </c>
      <c r="P2068" t="s">
        <v>4751</v>
      </c>
      <c r="Q2068" t="s">
        <v>4752</v>
      </c>
    </row>
    <row r="2069" spans="1:17" ht="15.5" x14ac:dyDescent="0.35">
      <c r="A2069" s="3" t="str">
        <f>HYPERLINK("https://edmondsonsupply.com/collections/hvac/products/klein-tools-86522-straight-hand-seamer-3-inch", "https://edmondsonsupply.com/collections/hvac/products/klein-tools-86522-straight-hand-seamer-3-inch")</f>
        <v>https://edmondsonsupply.com/collections/hvac/products/klein-tools-86522-straight-hand-seamer-3-inch</v>
      </c>
      <c r="B2069" s="3" t="str">
        <f>HYPERLINK("https://edmondsonsupply.com/products/klein-tools-86522-straight-hand-seamer-3-inch", "https://edmondsonsupply.com/products/klein-tools-86522-straight-hand-seamer-3-inch")</f>
        <v>https://edmondsonsupply.com/products/klein-tools-86522-straight-hand-seamer-3-inch</v>
      </c>
      <c r="C2069" t="s">
        <v>5532</v>
      </c>
      <c r="D2069" t="s">
        <v>5533</v>
      </c>
      <c r="E2069" s="3" t="str">
        <f>HYPERLINK("https://www.amazon.com/AMERICAN-MUTT-TOOLS-Sheet-Seamer/dp/B099CJJBCD/ref=sr_1_6?keywords=Klein+Tools+86522+Straight+Hand+Seamer%2C+3-Inch&amp;qid=1695173658&amp;sr=8-6", "https://www.amazon.com/AMERICAN-MUTT-TOOLS-Sheet-Seamer/dp/B099CJJBCD/ref=sr_1_6?keywords=Klein+Tools+86522+Straight+Hand+Seamer%2C+3-Inch&amp;qid=1695173658&amp;sr=8-6")</f>
        <v>https://www.amazon.com/AMERICAN-MUTT-TOOLS-Sheet-Seamer/dp/B099CJJBCD/ref=sr_1_6?keywords=Klein+Tools+86522+Straight+Hand+Seamer%2C+3-Inch&amp;qid=1695173658&amp;sr=8-6</v>
      </c>
      <c r="F2069" t="s">
        <v>5534</v>
      </c>
      <c r="G2069" t="e">
        <f ca="1">_xludf.IMAGE("https://edmondsonsupply.com/cdn/shop/products/86522.jpg?v=1587151096")</f>
        <v>#NAME?</v>
      </c>
      <c r="H2069" t="e">
        <f ca="1">_xludf.IMAGE("https://m.media-amazon.com/images/I/714oYI06JWL._AC_UL320_.jpg")</f>
        <v>#NAME?</v>
      </c>
      <c r="I2069" t="s">
        <v>5535</v>
      </c>
      <c r="J2069">
        <v>22.99</v>
      </c>
      <c r="K2069" s="4">
        <v>-0.45250000000000001</v>
      </c>
      <c r="L2069">
        <v>4.2</v>
      </c>
      <c r="M2069">
        <v>128</v>
      </c>
      <c r="O2069" t="s">
        <v>25</v>
      </c>
      <c r="P2069" t="s">
        <v>5536</v>
      </c>
      <c r="Q2069" t="s">
        <v>5537</v>
      </c>
    </row>
    <row r="2070" spans="1:17" ht="15.5" x14ac:dyDescent="0.35">
      <c r="A2070" s="3" t="str">
        <f>HYPERLINK("https://edmondsonsupply.com/collections/hvac/products/klein-tools-86522-straight-hand-seamer-3-inch", "https://edmondsonsupply.com/collections/hvac/products/klein-tools-86522-straight-hand-seamer-3-inch")</f>
        <v>https://edmondsonsupply.com/collections/hvac/products/klein-tools-86522-straight-hand-seamer-3-inch</v>
      </c>
      <c r="B2070" s="3" t="str">
        <f>HYPERLINK("https://edmondsonsupply.com/products/klein-tools-86522-straight-hand-seamer-3-inch", "https://edmondsonsupply.com/products/klein-tools-86522-straight-hand-seamer-3-inch")</f>
        <v>https://edmondsonsupply.com/products/klein-tools-86522-straight-hand-seamer-3-inch</v>
      </c>
      <c r="C2070" t="s">
        <v>5532</v>
      </c>
      <c r="D2070" t="s">
        <v>5538</v>
      </c>
      <c r="E2070" s="3" t="str">
        <f>HYPERLINK("https://www.amazon.com/Hurricane-Straight-Flattening-Ergonomic-TyreGrip/dp/B0B5SPNDCM/ref=sr_1_1?keywords=Klein+Tools+86522+Straight+Hand+Seamer%2C+3-Inch&amp;qid=1695173658&amp;sr=8-1", "https://www.amazon.com/Hurricane-Straight-Flattening-Ergonomic-TyreGrip/dp/B0B5SPNDCM/ref=sr_1_1?keywords=Klein+Tools+86522+Straight+Hand+Seamer%2C+3-Inch&amp;qid=1695173658&amp;sr=8-1")</f>
        <v>https://www.amazon.com/Hurricane-Straight-Flattening-Ergonomic-TyreGrip/dp/B0B5SPNDCM/ref=sr_1_1?keywords=Klein+Tools+86522+Straight+Hand+Seamer%2C+3-Inch&amp;qid=1695173658&amp;sr=8-1</v>
      </c>
      <c r="F2070" t="s">
        <v>5539</v>
      </c>
      <c r="G2070" t="e">
        <f ca="1">_xludf.IMAGE("https://edmondsonsupply.com/cdn/shop/products/86522.jpg?v=1587151096")</f>
        <v>#NAME?</v>
      </c>
      <c r="H2070" t="e">
        <f ca="1">_xludf.IMAGE("https://m.media-amazon.com/images/I/71MEosrwigL._AC_UL320_.jpg")</f>
        <v>#NAME?</v>
      </c>
      <c r="I2070" t="s">
        <v>5535</v>
      </c>
      <c r="J2070">
        <v>22.99</v>
      </c>
      <c r="K2070" s="4">
        <v>-0.45250000000000001</v>
      </c>
      <c r="L2070">
        <v>4.5</v>
      </c>
      <c r="M2070">
        <v>2259</v>
      </c>
      <c r="O2070" t="s">
        <v>25</v>
      </c>
      <c r="P2070" t="s">
        <v>5536</v>
      </c>
      <c r="Q2070" t="s">
        <v>5537</v>
      </c>
    </row>
    <row r="2071" spans="1:17" ht="15.5" x14ac:dyDescent="0.35">
      <c r="A2071" s="3" t="str">
        <f>HYPERLINK("https://edmondsonsupply.com/collections/hvac/products/robertshaw-41-224-hot-surface-furnace-ignitor-rheem-armstrong-replacement", "https://edmondsonsupply.com/collections/hvac/products/robertshaw-41-224-hot-surface-furnace-ignitor-rheem-armstrong-replacement")</f>
        <v>https://edmondsonsupply.com/collections/hvac/products/robertshaw-41-224-hot-surface-furnace-ignitor-rheem-armstrong-replacement</v>
      </c>
      <c r="B2071" s="3" t="str">
        <f>HYPERLINK("https://edmondsonsupply.com/products/robertshaw-41-224-hot-surface-furnace-ignitor-rheem-armstrong-replacement", "https://edmondsonsupply.com/products/robertshaw-41-224-hot-surface-furnace-ignitor-rheem-armstrong-replacement")</f>
        <v>https://edmondsonsupply.com/products/robertshaw-41-224-hot-surface-furnace-ignitor-rheem-armstrong-replacement</v>
      </c>
      <c r="C2071" t="s">
        <v>5161</v>
      </c>
      <c r="D2071" t="s">
        <v>5540</v>
      </c>
      <c r="E2071" s="3" t="str">
        <f>HYPERLINK("https://www.amazon.com/Robertshaw-41-401-Surface-Ignitor-271A/dp/B00Y1PP4HY/ref=sr_1_8?keywords=Robertshaw+41-224+Hot+Surface+Furnace+Ignitor&amp;qid=1695173703&amp;sr=8-8", "https://www.amazon.com/Robertshaw-41-401-Surface-Ignitor-271A/dp/B00Y1PP4HY/ref=sr_1_8?keywords=Robertshaw+41-224+Hot+Surface+Furnace+Ignitor&amp;qid=1695173703&amp;sr=8-8")</f>
        <v>https://www.amazon.com/Robertshaw-41-401-Surface-Ignitor-271A/dp/B00Y1PP4HY/ref=sr_1_8?keywords=Robertshaw+41-224+Hot+Surface+Furnace+Ignitor&amp;qid=1695173703&amp;sr=8-8</v>
      </c>
      <c r="F2071" t="s">
        <v>5541</v>
      </c>
      <c r="G2071" t="e">
        <f ca="1">_xludf.IMAGE("https://edmondsonsupply.com/cdn/shop/files/41-224.jpg?v=1694616534")</f>
        <v>#NAME?</v>
      </c>
      <c r="H2071" t="e">
        <f ca="1">_xludf.IMAGE("https://m.media-amazon.com/images/I/A1bMFHS0b8L._AC_UL320_.jpg")</f>
        <v>#NAME?</v>
      </c>
      <c r="I2071" t="s">
        <v>5164</v>
      </c>
      <c r="J2071">
        <v>22.76</v>
      </c>
      <c r="K2071" s="4">
        <v>-0.45519999999999999</v>
      </c>
      <c r="L2071">
        <v>4.8</v>
      </c>
      <c r="M2071">
        <v>20</v>
      </c>
      <c r="O2071" t="s">
        <v>25</v>
      </c>
      <c r="P2071" t="s">
        <v>138</v>
      </c>
      <c r="Q2071" t="s">
        <v>5165</v>
      </c>
    </row>
    <row r="2072" spans="1:17" ht="15.5" x14ac:dyDescent="0.35">
      <c r="A2072" s="3" t="str">
        <f>HYPERLINK("https://edmondsonsupply.com/collections/hvac/products/malco-mshmlc-4-inch-c-rhex%C2%AE-dual-sided-magnetic-hex-driver", "https://edmondsonsupply.com/collections/hvac/products/malco-mshmlc-4-inch-c-rhex%C2%AE-dual-sided-magnetic-hex-driver")</f>
        <v>https://edmondsonsupply.com/collections/hvac/products/malco-mshmlc-4-inch-c-rhex%C2%AE-dual-sided-magnetic-hex-driver</v>
      </c>
      <c r="B2072" s="3" t="str">
        <f>HYPERLINK("https://edmondsonsupply.com/products/malco-mshmlc-4-inch-c-rhex%c2%ae-dual-sided-magnetic-hex-driver", "https://edmondsonsupply.com/products/malco-mshmlc-4-inch-c-rhex%c2%ae-dual-sided-magnetic-hex-driver")</f>
        <v>https://edmondsonsupply.com/products/malco-mshmlc-4-inch-c-rhex%c2%ae-dual-sided-magnetic-hex-driver</v>
      </c>
      <c r="C2072" t="s">
        <v>2723</v>
      </c>
      <c r="D2072" t="s">
        <v>213</v>
      </c>
      <c r="E2072" s="3" t="str">
        <f>HYPERLINK("https://www.amazon.com/Malco-MSHC2-Construction-Cleanable-Reversible/dp/B0BX779Y8S/ref=sr_1_4?keywords=Malco+Tools+MSHMLC+4-Inch+C-Rhex+Cleanable%2C+Reversible+Magnetic+Hex+Driver%2C+1%2F4%22+%26+5%2F16%22&amp;qid=1695173566&amp;sr=8-4", "https://www.amazon.com/Malco-MSHC2-Construction-Cleanable-Reversible/dp/B0BX779Y8S/ref=sr_1_4?keywords=Malco+Tools+MSHMLC+4-Inch+C-Rhex+Cleanable%2C+Reversible+Magnetic+Hex+Driver%2C+1%2F4%22+%26+5%2F16%22&amp;qid=1695173566&amp;sr=8-4")</f>
        <v>https://www.amazon.com/Malco-MSHC2-Construction-Cleanable-Reversible/dp/B0BX779Y8S/ref=sr_1_4?keywords=Malco+Tools+MSHMLC+4-Inch+C-Rhex+Cleanable%2C+Reversible+Magnetic+Hex+Driver%2C+1%2F4%22+%26+5%2F16%22&amp;qid=1695173566&amp;sr=8-4</v>
      </c>
      <c r="F2072" t="s">
        <v>214</v>
      </c>
      <c r="G2072" t="e">
        <f ca="1">_xludf.IMAGE("https://edmondsonsupply.com/cdn/shop/products/Malco-MSHMLC-CRHEX-Slim-Design.jpg?v=1653096554")</f>
        <v>#NAME?</v>
      </c>
      <c r="H2072" t="e">
        <f ca="1">_xludf.IMAGE("https://m.media-amazon.com/images/I/61Iwy5K7S5L._AC_UL320_.jpg")</f>
        <v>#NAME?</v>
      </c>
      <c r="I2072" t="s">
        <v>834</v>
      </c>
      <c r="J2072">
        <v>7.05</v>
      </c>
      <c r="K2072" s="4">
        <v>-0.45729999999999998</v>
      </c>
      <c r="L2072">
        <v>4.5999999999999996</v>
      </c>
      <c r="M2072">
        <v>45</v>
      </c>
      <c r="O2072" t="s">
        <v>25</v>
      </c>
      <c r="P2072" t="s">
        <v>2724</v>
      </c>
      <c r="Q2072" t="s">
        <v>2725</v>
      </c>
    </row>
    <row r="2073" spans="1:17" ht="15.5" x14ac:dyDescent="0.35">
      <c r="A2073" s="3" t="str">
        <f>HYPERLINK("https://edmondsonsupply.com/collections/hvac/products/milwaukee-2997-22-m18-fuel%E2%84%A2-2-tool-combo-kit-hammer-drill-impact", "https://edmondsonsupply.com/collections/hvac/products/milwaukee-2997-22-m18-fuel%E2%84%A2-2-tool-combo-kit-hammer-drill-impact")</f>
        <v>https://edmondsonsupply.com/collections/hvac/products/milwaukee-2997-22-m18-fuel%E2%84%A2-2-tool-combo-kit-hammer-drill-impact</v>
      </c>
      <c r="B2073" s="3" t="str">
        <f>HYPERLINK("https://edmondsonsupply.com/products/milwaukee-2997-22-m18-fuel%e2%84%a2-2-tool-combo-kit-hammer-drill-impact", "https://edmondsonsupply.com/products/milwaukee-2997-22-m18-fuel%e2%84%a2-2-tool-combo-kit-hammer-drill-impact")</f>
        <v>https://edmondsonsupply.com/products/milwaukee-2997-22-m18-fuel%e2%84%a2-2-tool-combo-kit-hammer-drill-impact</v>
      </c>
      <c r="C2073" t="s">
        <v>4205</v>
      </c>
      <c r="D2073" t="s">
        <v>5542</v>
      </c>
      <c r="E2073" s="3" t="str">
        <f>HYPERLINK("https://www.amazon.com/Milwaukee-2598-22-FUEL-2-Tool-Combo/dp/B07F9Q4H5S/ref=sr_1_7?keywords=Milwaukee+2997-22+M18+FUEL%E2%84%A2+2-Tool+Combo+Kit%3A+Hammer+Drill%2FImpact&amp;qid=1695173619&amp;sr=8-7", "https://www.amazon.com/Milwaukee-2598-22-FUEL-2-Tool-Combo/dp/B07F9Q4H5S/ref=sr_1_7?keywords=Milwaukee+2997-22+M18+FUEL%E2%84%A2+2-Tool+Combo+Kit%3A+Hammer+Drill%2FImpact&amp;qid=1695173619&amp;sr=8-7")</f>
        <v>https://www.amazon.com/Milwaukee-2598-22-FUEL-2-Tool-Combo/dp/B07F9Q4H5S/ref=sr_1_7?keywords=Milwaukee+2997-22+M18+FUEL%E2%84%A2+2-Tool+Combo+Kit%3A+Hammer+Drill%2FImpact&amp;qid=1695173619&amp;sr=8-7</v>
      </c>
      <c r="F2073" t="s">
        <v>5543</v>
      </c>
      <c r="G2073" t="e">
        <f ca="1">_xludf.IMAGE("https://edmondsonsupply.com/cdn/shop/products/2997-22-1.png?v=1657217833")</f>
        <v>#NAME?</v>
      </c>
      <c r="H2073" t="e">
        <f ca="1">_xludf.IMAGE("https://m.media-amazon.com/images/I/617O-7-wU2L._AC_UL320_.jpg")</f>
        <v>#NAME?</v>
      </c>
      <c r="I2073" t="s">
        <v>4208</v>
      </c>
      <c r="J2073">
        <v>213.99</v>
      </c>
      <c r="K2073" s="4">
        <v>-0.4637</v>
      </c>
      <c r="L2073">
        <v>4.8</v>
      </c>
      <c r="M2073">
        <v>69</v>
      </c>
      <c r="O2073" t="s">
        <v>171</v>
      </c>
      <c r="P2073" t="s">
        <v>4209</v>
      </c>
      <c r="Q2073" t="s">
        <v>4210</v>
      </c>
    </row>
    <row r="2074" spans="1:17" ht="15.5" x14ac:dyDescent="0.35">
      <c r="A2074" s="3" t="str">
        <f>HYPERLINK("https://edmondsonsupply.com/collections/hvac/products/malco-tools-m2007-max2000%C2%AE-offset-aviation-snip-right-cutting", "https://edmondsonsupply.com/collections/hvac/products/malco-tools-m2007-max2000%C2%AE-offset-aviation-snip-right-cutting")</f>
        <v>https://edmondsonsupply.com/collections/hvac/products/malco-tools-m2007-max2000%C2%AE-offset-aviation-snip-right-cutting</v>
      </c>
      <c r="B2074" s="3" t="str">
        <f>HYPERLINK("https://edmondsonsupply.com/products/malco-tools-m2007-max2000%c2%ae-offset-aviation-snip-right-cutting", "https://edmondsonsupply.com/products/malco-tools-m2007-max2000%c2%ae-offset-aviation-snip-right-cutting")</f>
        <v>https://edmondsonsupply.com/products/malco-tools-m2007-max2000%c2%ae-offset-aviation-snip-right-cutting</v>
      </c>
      <c r="C2074" t="s">
        <v>3493</v>
      </c>
      <c r="D2074" t="s">
        <v>3238</v>
      </c>
      <c r="E2074" s="3" t="str">
        <f>HYPERLINK("https://www.amazon.com/Malco-AVM7-Offset-Aviation-Cutting/dp/B00QV2NOS6/ref=sr_1_6?keywords=Malco+Tools+M2007+Max2000%C2%AE+Offset+Aviation+Snip+-+Right+Cutting&amp;qid=1695173538&amp;sr=8-6", "https://www.amazon.com/Malco-AVM7-Offset-Aviation-Cutting/dp/B00QV2NOS6/ref=sr_1_6?keywords=Malco+Tools+M2007+Max2000%C2%AE+Offset+Aviation+Snip+-+Right+Cutting&amp;qid=1695173538&amp;sr=8-6")</f>
        <v>https://www.amazon.com/Malco-AVM7-Offset-Aviation-Cutting/dp/B00QV2NOS6/ref=sr_1_6?keywords=Malco+Tools+M2007+Max2000%C2%AE+Offset+Aviation+Snip+-+Right+Cutting&amp;qid=1695173538&amp;sr=8-6</v>
      </c>
      <c r="F2074" t="s">
        <v>3239</v>
      </c>
      <c r="G2074" t="e">
        <f ca="1">_xludf.IMAGE("https://edmondsonsupply.com/cdn/shop/products/m2007.jpg?v=1633030573")</f>
        <v>#NAME?</v>
      </c>
      <c r="H2074" t="e">
        <f ca="1">_xludf.IMAGE("https://m.media-amazon.com/images/I/51PQxD-X5RL._AC_UL320_.jpg")</f>
        <v>#NAME?</v>
      </c>
      <c r="I2074" t="s">
        <v>3496</v>
      </c>
      <c r="J2074">
        <v>22.99</v>
      </c>
      <c r="K2074" s="4">
        <v>-0.4652</v>
      </c>
      <c r="L2074">
        <v>4.5</v>
      </c>
      <c r="M2074">
        <v>145</v>
      </c>
      <c r="O2074" t="s">
        <v>25</v>
      </c>
      <c r="P2074" t="s">
        <v>3497</v>
      </c>
      <c r="Q2074" t="s">
        <v>3498</v>
      </c>
    </row>
    <row r="2075" spans="1:17" ht="15.5" x14ac:dyDescent="0.35">
      <c r="A2075" s="3" t="str">
        <f>HYPERLINK("https://edmondsonsupply.com/collections/hvac/products/milwaukee-48-40-4515-8-circular-saw-metal-cutting-blade-42t", "https://edmondsonsupply.com/collections/hvac/products/milwaukee-48-40-4515-8-circular-saw-metal-cutting-blade-42t")</f>
        <v>https://edmondsonsupply.com/collections/hvac/products/milwaukee-48-40-4515-8-circular-saw-metal-cutting-blade-42t</v>
      </c>
      <c r="B2075" s="3" t="str">
        <f>HYPERLINK("https://edmondsonsupply.com/products/milwaukee-48-40-4515-8-circular-saw-metal-cutting-blade-42t", "https://edmondsonsupply.com/products/milwaukee-48-40-4515-8-circular-saw-metal-cutting-blade-42t")</f>
        <v>https://edmondsonsupply.com/products/milwaukee-48-40-4515-8-circular-saw-metal-cutting-blade-42t</v>
      </c>
      <c r="C2075" t="s">
        <v>5194</v>
      </c>
      <c r="D2075" t="s">
        <v>5544</v>
      </c>
      <c r="E2075" s="3" t="str">
        <f>HYPERLINK("https://www.amazon.com/Milwaukee-48-40-4225-Circular-Metal-Cutting/dp/B09F72V5K9/ref=sr_1_8?keywords=Milwaukee+48-40-4515+8%22+Circular+Saw+Metal+Cutting+Blade-+42T&amp;qid=1695173766&amp;sr=8-8", "https://www.amazon.com/Milwaukee-48-40-4225-Circular-Metal-Cutting/dp/B09F72V5K9/ref=sr_1_8?keywords=Milwaukee+48-40-4515+8%22+Circular+Saw+Metal+Cutting+Blade-+42T&amp;qid=1695173766&amp;sr=8-8")</f>
        <v>https://www.amazon.com/Milwaukee-48-40-4225-Circular-Metal-Cutting/dp/B09F72V5K9/ref=sr_1_8?keywords=Milwaukee+48-40-4515+8%22+Circular+Saw+Metal+Cutting+Blade-+42T&amp;qid=1695173766&amp;sr=8-8</v>
      </c>
      <c r="F2075" t="s">
        <v>5545</v>
      </c>
      <c r="G2075" t="e">
        <f ca="1">_xludf.IMAGE("https://edmondsonsupply.com/cdn/shop/files/48-40-4515_1.png?v=1687444386")</f>
        <v>#NAME?</v>
      </c>
      <c r="H2075" t="e">
        <f ca="1">_xludf.IMAGE("https://m.media-amazon.com/images/I/61-wUpbNXxL._AC_UL320_.jpg")</f>
        <v>#NAME?</v>
      </c>
      <c r="I2075" t="s">
        <v>5197</v>
      </c>
      <c r="J2075">
        <v>32</v>
      </c>
      <c r="K2075" s="4">
        <v>-0.46639999999999998</v>
      </c>
      <c r="L2075">
        <v>4.5999999999999996</v>
      </c>
      <c r="M2075">
        <v>3</v>
      </c>
      <c r="O2075" t="s">
        <v>25</v>
      </c>
      <c r="P2075" t="s">
        <v>5198</v>
      </c>
      <c r="Q2075" t="s">
        <v>5199</v>
      </c>
    </row>
    <row r="2076" spans="1:17" ht="15.5" x14ac:dyDescent="0.35">
      <c r="A2076" s="3" t="str">
        <f>HYPERLINK("https://edmondsonsupply.com/collections/hvac/products/icm-controls-icm271-fan-blower-control-board-replacement-for-carrier", "https://edmondsonsupply.com/collections/hvac/products/icm-controls-icm271-fan-blower-control-board-replacement-for-carrier")</f>
        <v>https://edmondsonsupply.com/collections/hvac/products/icm-controls-icm271-fan-blower-control-board-replacement-for-carrier</v>
      </c>
      <c r="B2076" s="3" t="str">
        <f>HYPERLINK("https://edmondsonsupply.com/products/icm-controls-icm271-fan-blower-control-board-replacement-for-carrier", "https://edmondsonsupply.com/products/icm-controls-icm271-fan-blower-control-board-replacement-for-carrier")</f>
        <v>https://edmondsonsupply.com/products/icm-controls-icm271-fan-blower-control-board-replacement-for-carrier</v>
      </c>
      <c r="C2076" t="s">
        <v>3830</v>
      </c>
      <c r="D2076" t="s">
        <v>3022</v>
      </c>
      <c r="E2076" s="3" t="str">
        <f>HYPERLINK("https://www.amazon.com/ICM-Controls-ICM273-Replacement-240000-969/dp/B004I55GTI/ref=sr_1_7?keywords=ICM+Controls+ICM271+Fan+Blower+Control+Board%2C+Replacement+for+Carrier&amp;qid=1695173467&amp;sr=8-7", "https://www.amazon.com/ICM-Controls-ICM273-Replacement-240000-969/dp/B004I55GTI/ref=sr_1_7?keywords=ICM+Controls+ICM271+Fan+Blower+Control+Board%2C+Replacement+for+Carrier&amp;qid=1695173467&amp;sr=8-7")</f>
        <v>https://www.amazon.com/ICM-Controls-ICM273-Replacement-240000-969/dp/B004I55GTI/ref=sr_1_7?keywords=ICM+Controls+ICM271+Fan+Blower+Control+Board%2C+Replacement+for+Carrier&amp;qid=1695173467&amp;sr=8-7</v>
      </c>
      <c r="F2076" t="s">
        <v>3023</v>
      </c>
      <c r="G2076" t="e">
        <f ca="1">_xludf.IMAGE("https://edmondsonsupply.com/cdn/shop/products/icm271.jpg?v=1633285273")</f>
        <v>#NAME?</v>
      </c>
      <c r="H2076" t="e">
        <f ca="1">_xludf.IMAGE("https://m.media-amazon.com/images/I/61nv2wT3F+L._AC_UL320_.jpg")</f>
        <v>#NAME?</v>
      </c>
      <c r="I2076" t="s">
        <v>3833</v>
      </c>
      <c r="J2076">
        <v>36.130000000000003</v>
      </c>
      <c r="K2076" s="4">
        <v>-0.46860000000000002</v>
      </c>
      <c r="L2076">
        <v>5</v>
      </c>
      <c r="M2076">
        <v>2</v>
      </c>
      <c r="O2076" t="s">
        <v>25</v>
      </c>
      <c r="P2076" t="s">
        <v>3834</v>
      </c>
      <c r="Q2076" t="s">
        <v>3835</v>
      </c>
    </row>
    <row r="2077" spans="1:17" ht="15.5" x14ac:dyDescent="0.35">
      <c r="A2077" s="3" t="str">
        <f>HYPERLINK("https://edmondsonsupply.com/collections/hvac/products/icm-controls-icm282b-furnace-control-board-replacement-for-carrier", "https://edmondsonsupply.com/collections/hvac/products/icm-controls-icm282b-furnace-control-board-replacement-for-carrier")</f>
        <v>https://edmondsonsupply.com/collections/hvac/products/icm-controls-icm282b-furnace-control-board-replacement-for-carrier</v>
      </c>
      <c r="B2077" s="3" t="str">
        <f>HYPERLINK("https://edmondsonsupply.com/products/icm-controls-icm282b-furnace-control-board-replacement-for-carrier", "https://edmondsonsupply.com/products/icm-controls-icm282b-furnace-control-board-replacement-for-carrier")</f>
        <v>https://edmondsonsupply.com/products/icm-controls-icm282b-furnace-control-board-replacement-for-carrier</v>
      </c>
      <c r="C2077" t="s">
        <v>4449</v>
      </c>
      <c r="D2077" t="s">
        <v>3110</v>
      </c>
      <c r="E2077" s="3" t="str">
        <f>HYPERLINK("https://www.amazon.com/ICM-Controls-ICM286-Replacement-0130F00005S/dp/B00QW2U7KS/ref=sr_1_8?keywords=ICM+Controls+ICM282B+Furnace+Control+Board+-+Replacement+for+Carrier&amp;qid=1695173504&amp;sr=8-8", "https://www.amazon.com/ICM-Controls-ICM286-Replacement-0130F00005S/dp/B00QW2U7KS/ref=sr_1_8?keywords=ICM+Controls+ICM282B+Furnace+Control+Board+-+Replacement+for+Carrier&amp;qid=1695173504&amp;sr=8-8")</f>
        <v>https://www.amazon.com/ICM-Controls-ICM286-Replacement-0130F00005S/dp/B00QW2U7KS/ref=sr_1_8?keywords=ICM+Controls+ICM282B+Furnace+Control+Board+-+Replacement+for+Carrier&amp;qid=1695173504&amp;sr=8-8</v>
      </c>
      <c r="F2077" t="s">
        <v>3111</v>
      </c>
      <c r="G2077" t="e">
        <f ca="1">_xludf.IMAGE("https://edmondsonsupply.com/cdn/shop/products/57_5_96e476f9-dc43-4075-94fb-2c5efeccce22.jpg?v=1659481947")</f>
        <v>#NAME?</v>
      </c>
      <c r="H2077" t="e">
        <f ca="1">_xludf.IMAGE("https://m.media-amazon.com/images/I/71CBn8jMCiL._AC_UL320_.jpg")</f>
        <v>#NAME?</v>
      </c>
      <c r="I2077" t="s">
        <v>4452</v>
      </c>
      <c r="J2077">
        <v>103.85</v>
      </c>
      <c r="K2077" s="4">
        <v>-0.47010000000000002</v>
      </c>
      <c r="L2077">
        <v>4.3</v>
      </c>
      <c r="M2077">
        <v>157</v>
      </c>
      <c r="O2077" t="s">
        <v>25</v>
      </c>
      <c r="P2077" t="s">
        <v>4453</v>
      </c>
      <c r="Q2077" t="s">
        <v>4454</v>
      </c>
    </row>
    <row r="2078" spans="1:17" ht="15.5" x14ac:dyDescent="0.35">
      <c r="A2078" s="3" t="str">
        <f>HYPERLINK("https://edmondsonsupply.com/collections/hvac/products/malco-tools-hc1-sheet-metal-hole-cutter-2-12", "https://edmondsonsupply.com/collections/hvac/products/malco-tools-hc1-sheet-metal-hole-cutter-2-12")</f>
        <v>https://edmondsonsupply.com/collections/hvac/products/malco-tools-hc1-sheet-metal-hole-cutter-2-12</v>
      </c>
      <c r="B2078" s="3" t="str">
        <f>HYPERLINK("https://edmondsonsupply.com/products/malco-tools-hc1-sheet-metal-hole-cutter-2-12", "https://edmondsonsupply.com/products/malco-tools-hc1-sheet-metal-hole-cutter-2-12")</f>
        <v>https://edmondsonsupply.com/products/malco-tools-hc1-sheet-metal-hole-cutter-2-12</v>
      </c>
      <c r="C2078" t="s">
        <v>5546</v>
      </c>
      <c r="D2078" t="s">
        <v>5430</v>
      </c>
      <c r="E2078" s="3" t="str">
        <f>HYPERLINK("https://www.amazon.com/AMERICAN-MUTT-TOOLS-Adjustable-Cutter/dp/B0BNNXKQC9/ref=sr_1_3?keywords=Malco+Tools+HC1+Adjustable+Sheet+Metal+Hole+Cutter%2C+2%22+-+12%22&amp;qid=1695173608&amp;sr=8-3", "https://www.amazon.com/AMERICAN-MUTT-TOOLS-Adjustable-Cutter/dp/B0BNNXKQC9/ref=sr_1_3?keywords=Malco+Tools+HC1+Adjustable+Sheet+Metal+Hole+Cutter%2C+2%22+-+12%22&amp;qid=1695173608&amp;sr=8-3")</f>
        <v>https://www.amazon.com/AMERICAN-MUTT-TOOLS-Adjustable-Cutter/dp/B0BNNXKQC9/ref=sr_1_3?keywords=Malco+Tools+HC1+Adjustable+Sheet+Metal+Hole+Cutter%2C+2%22+-+12%22&amp;qid=1695173608&amp;sr=8-3</v>
      </c>
      <c r="F2078" t="s">
        <v>5431</v>
      </c>
      <c r="G2078" t="e">
        <f ca="1">_xludf.IMAGE("https://edmondsonsupply.com/cdn/shop/products/Malco-HC1-Sheet-Metal-Hole-Cutter-e1540321389458-440x440_1.jpg?v=1668101337")</f>
        <v>#NAME?</v>
      </c>
      <c r="H2078" t="e">
        <f ca="1">_xludf.IMAGE("https://m.media-amazon.com/images/I/81YKfb6EtrL._AC_UL320_.jpg")</f>
        <v>#NAME?</v>
      </c>
      <c r="I2078" t="s">
        <v>4100</v>
      </c>
      <c r="J2078">
        <v>39.99</v>
      </c>
      <c r="K2078" s="4">
        <v>-0.47370000000000001</v>
      </c>
      <c r="L2078">
        <v>3.9</v>
      </c>
      <c r="M2078">
        <v>65</v>
      </c>
      <c r="O2078" t="s">
        <v>25</v>
      </c>
      <c r="P2078" t="s">
        <v>5547</v>
      </c>
      <c r="Q2078" t="s">
        <v>5548</v>
      </c>
    </row>
    <row r="2079" spans="1:17" ht="15.5" x14ac:dyDescent="0.35">
      <c r="A2079" s="3" t="str">
        <f>HYPERLINK("https://edmondsonsupply.com/collections/hvac/products/greenlee-gsb12-1-3-8-step-bit-12", "https://edmondsonsupply.com/collections/hvac/products/greenlee-gsb12-1-3-8-step-bit-12")</f>
        <v>https://edmondsonsupply.com/collections/hvac/products/greenlee-gsb12-1-3-8-step-bit-12</v>
      </c>
      <c r="B2079" s="3" t="str">
        <f>HYPERLINK("https://edmondsonsupply.com/products/greenlee-gsb12-1-3-8-step-bit-12", "https://edmondsonsupply.com/products/greenlee-gsb12-1-3-8-step-bit-12")</f>
        <v>https://edmondsonsupply.com/products/greenlee-gsb12-1-3-8-step-bit-12</v>
      </c>
      <c r="C2079" t="s">
        <v>5549</v>
      </c>
      <c r="D2079" t="s">
        <v>3245</v>
      </c>
      <c r="E2079" s="3" t="str">
        <f>HYPERLINK("https://www.amazon.com/Greenlee-GSB12-Step-Bit-1-3/dp/B08TVF7KMP/ref=sr_1_1?keywords=Greenlee+GSB12+1-3%2F8%22+Step+Bit+%28%2312%29&amp;qid=1695173747&amp;sr=8-1", "https://www.amazon.com/Greenlee-GSB12-Step-Bit-1-3/dp/B08TVF7KMP/ref=sr_1_1?keywords=Greenlee+GSB12+1-3%2F8%22+Step+Bit+%28%2312%29&amp;qid=1695173747&amp;sr=8-1")</f>
        <v>https://www.amazon.com/Greenlee-GSB12-Step-Bit-1-3/dp/B08TVF7KMP/ref=sr_1_1?keywords=Greenlee+GSB12+1-3%2F8%22+Step+Bit+%28%2312%29&amp;qid=1695173747&amp;sr=8-1</v>
      </c>
      <c r="F2079" t="s">
        <v>3246</v>
      </c>
      <c r="G2079" t="e">
        <f ca="1">_xludf.IMAGE("https://edmondsonsupply.com/cdn/shop/files/GSB12_CAT1_72dpi.jpg?v=1687789899")</f>
        <v>#NAME?</v>
      </c>
      <c r="H2079" t="e">
        <f ca="1">_xludf.IMAGE("https://m.media-amazon.com/images/I/41Z8kxeeZfL._AC_UY218_.jpg")</f>
        <v>#NAME?</v>
      </c>
      <c r="I2079" t="s">
        <v>5550</v>
      </c>
      <c r="J2079">
        <v>45</v>
      </c>
      <c r="K2079" s="4">
        <v>-0.47549999999999998</v>
      </c>
      <c r="L2079">
        <v>4.8</v>
      </c>
      <c r="M2079">
        <v>27</v>
      </c>
      <c r="O2079" t="s">
        <v>25</v>
      </c>
      <c r="P2079" t="s">
        <v>5551</v>
      </c>
      <c r="Q2079" t="s">
        <v>5552</v>
      </c>
    </row>
    <row r="2080" spans="1:17" ht="15.5" x14ac:dyDescent="0.35">
      <c r="A2080" s="3" t="str">
        <f>HYPERLINK("https://edmondsonsupply.com/collections/hvac/products/packard-c440b-contactor-4-pole-40-amps-120-coil-voltage", "https://edmondsonsupply.com/collections/hvac/products/packard-c440b-contactor-4-pole-40-amps-120-coil-voltage")</f>
        <v>https://edmondsonsupply.com/collections/hvac/products/packard-c440b-contactor-4-pole-40-amps-120-coil-voltage</v>
      </c>
      <c r="B2080" s="3" t="str">
        <f>HYPERLINK("https://edmondsonsupply.com/products/packard-c440b-contactor-4-pole-40-amps-120-coil-voltage", "https://edmondsonsupply.com/products/packard-c440b-contactor-4-pole-40-amps-120-coil-voltage")</f>
        <v>https://edmondsonsupply.com/products/packard-c440b-contactor-4-pole-40-amps-120-coil-voltage</v>
      </c>
      <c r="C2080" t="s">
        <v>5553</v>
      </c>
      <c r="D2080" t="s">
        <v>5554</v>
      </c>
      <c r="E2080" s="3" t="str">
        <f>HYPERLINK("https://www.amazon.com/Packard-C340B-Pole-Contactor-Volt/dp/B004ZRWG9C/ref=sr_1_7?keywords=Packard+C440B+Contactor+4+Pole+40+AMPS+120+Coil+Voltage&amp;qid=1695173624&amp;sr=8-7", "https://www.amazon.com/Packard-C340B-Pole-Contactor-Volt/dp/B004ZRWG9C/ref=sr_1_7?keywords=Packard+C440B+Contactor+4+Pole+40+AMPS+120+Coil+Voltage&amp;qid=1695173624&amp;sr=8-7")</f>
        <v>https://www.amazon.com/Packard-C340B-Pole-Contactor-Volt/dp/B004ZRWG9C/ref=sr_1_7?keywords=Packard+C440B+Contactor+4+Pole+40+AMPS+120+Coil+Voltage&amp;qid=1695173624&amp;sr=8-7</v>
      </c>
      <c r="F2080" t="s">
        <v>5555</v>
      </c>
      <c r="G2080" t="e">
        <f ca="1">_xludf.IMAGE("https://edmondsonsupply.com/cdn/shop/products/C440B-1.jpg?v=1633030967")</f>
        <v>#NAME?</v>
      </c>
      <c r="H2080" t="e">
        <f ca="1">_xludf.IMAGE("https://m.media-amazon.com/images/I/51gHoreDQdS._AC_UY218_.jpg")</f>
        <v>#NAME?</v>
      </c>
      <c r="I2080" t="s">
        <v>5556</v>
      </c>
      <c r="J2080">
        <v>24.3</v>
      </c>
      <c r="K2080" s="4">
        <v>-0.47870000000000001</v>
      </c>
      <c r="L2080">
        <v>4.2</v>
      </c>
      <c r="M2080">
        <v>53</v>
      </c>
      <c r="O2080" t="s">
        <v>25</v>
      </c>
      <c r="P2080" t="s">
        <v>138</v>
      </c>
      <c r="Q2080" t="s">
        <v>5557</v>
      </c>
    </row>
    <row r="2081" spans="1:17" ht="15.5" x14ac:dyDescent="0.35">
      <c r="A2081" s="3" t="str">
        <f>HYPERLINK("https://edmondsonsupply.com/collections/hvac/products/milwaukee-48-25-2122", "https://edmondsonsupply.com/collections/hvac/products/milwaukee-48-25-2122")</f>
        <v>https://edmondsonsupply.com/collections/hvac/products/milwaukee-48-25-2122</v>
      </c>
      <c r="B2081" s="3" t="str">
        <f>HYPERLINK("https://edmondsonsupply.com/products/milwaukee-48-25-2122", "https://edmondsonsupply.com/products/milwaukee-48-25-2122")</f>
        <v>https://edmondsonsupply.com/products/milwaukee-48-25-2122</v>
      </c>
      <c r="C2081" t="s">
        <v>3381</v>
      </c>
      <c r="D2081" t="s">
        <v>5558</v>
      </c>
      <c r="E2081" s="3" t="str">
        <f>HYPERLINK("https://www.amazon.com/Builders-Wholesale-Distribution-48-25-2122-Milwaukee/dp/B009HEHTMM/ref=sr_1_1?keywords=Milwaukee+48-25-2122+Standard+Selfeed+Bit%2C+2-1%2F8%22&amp;qid=1695173750&amp;sr=8-1", "https://www.amazon.com/Builders-Wholesale-Distribution-48-25-2122-Milwaukee/dp/B009HEHTMM/ref=sr_1_1?keywords=Milwaukee+48-25-2122+Standard+Selfeed+Bit%2C+2-1%2F8%22&amp;qid=1695173750&amp;sr=8-1")</f>
        <v>https://www.amazon.com/Builders-Wholesale-Distribution-48-25-2122-Milwaukee/dp/B009HEHTMM/ref=sr_1_1?keywords=Milwaukee+48-25-2122+Standard+Selfeed+Bit%2C+2-1%2F8%22&amp;qid=1695173750&amp;sr=8-1</v>
      </c>
      <c r="F2081" t="s">
        <v>5559</v>
      </c>
      <c r="G2081" t="e">
        <f ca="1">_xludf.IMAGE("https://edmondsonsupply.com/cdn/shop/files/64170_48-25-1372_1-lg.gif?v=1687367768")</f>
        <v>#NAME?</v>
      </c>
      <c r="H2081" t="e">
        <f ca="1">_xludf.IMAGE("https://m.media-amazon.com/images/I/71adYVeRVNL._AC_UL320_.jpg")</f>
        <v>#NAME?</v>
      </c>
      <c r="I2081" t="s">
        <v>380</v>
      </c>
      <c r="J2081">
        <v>25.95</v>
      </c>
      <c r="K2081" s="4">
        <v>-0.48070000000000002</v>
      </c>
      <c r="L2081">
        <v>4.4000000000000004</v>
      </c>
      <c r="M2081">
        <v>78</v>
      </c>
      <c r="O2081" t="s">
        <v>25</v>
      </c>
      <c r="P2081" t="s">
        <v>138</v>
      </c>
      <c r="Q2081" t="s">
        <v>3384</v>
      </c>
    </row>
    <row r="2082" spans="1:17" ht="15.5" x14ac:dyDescent="0.35">
      <c r="A2082" s="3" t="str">
        <f>HYPERLINK("https://edmondsonsupply.com/collections/hvac/products/diablo-tools-dmamx1300-1-1-4-in-x-16-in-x-21-in-rebar-demon%E2%84%A2-sds-max-4-cutter-full-carbide-head-hammer-drill-bit", "https://edmondsonsupply.com/collections/hvac/products/diablo-tools-dmamx1300-1-1-4-in-x-16-in-x-21-in-rebar-demon%E2%84%A2-sds-max-4-cutter-full-carbide-head-hammer-drill-bit")</f>
        <v>https://edmondsonsupply.com/collections/hvac/products/diablo-tools-dmamx1300-1-1-4-in-x-16-in-x-21-in-rebar-demon%E2%84%A2-sds-max-4-cutter-full-carbide-head-hammer-drill-bit</v>
      </c>
      <c r="B2082"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2082" t="s">
        <v>2903</v>
      </c>
      <c r="D2082" t="s">
        <v>5560</v>
      </c>
      <c r="E2082" s="3" t="str">
        <f>HYPERLINK("https://www.amazon.com/Diablo-Freud-DMAPL4300-SDS-Plus-4-Cutter/dp/B089LL8JD8/ref=sr_1_7?keywords=Diablo+Tools+DMAMX1300+1-1%2F4+in.+x+16+in.+x+21+in.+Rebar+Demon%E2%84%A2+SDS-Max+4-Cutter+Full+Carbide+Head+Hammer+Drill+Bit&amp;qid=1695173488&amp;sr=8-7", "https://www.amazon.com/Diablo-Freud-DMAPL4300-SDS-Plus-4-Cutter/dp/B089LL8JD8/ref=sr_1_7?keywords=Diablo+Tools+DMAMX1300+1-1%2F4+in.+x+16+in.+x+21+in.+Rebar+Demon%E2%84%A2+SDS-Max+4-Cutter+Full+Carbide+Head+Hammer+Drill+Bit&amp;qid=1695173488&amp;sr=8-7")</f>
        <v>https://www.amazon.com/Diablo-Freud-DMAPL4300-SDS-Plus-4-Cutter/dp/B089LL8JD8/ref=sr_1_7?keywords=Diablo+Tools+DMAMX1300+1-1%2F4+in.+x+16+in.+x+21+in.+Rebar+Demon%E2%84%A2+SDS-Max+4-Cutter+Full+Carbide+Head+Hammer+Drill+Bit&amp;qid=1695173488&amp;sr=8-7</v>
      </c>
      <c r="F2082" t="s">
        <v>5561</v>
      </c>
      <c r="G2082" t="e">
        <f ca="1">_xludf.IMAGE("https://edmondsonsupply.com/cdn/shop/files/immoyh7jjmbau4fzhuq6_7dd7fd73-2865-4c12-9443-da45b48dbd51.webp?v=1685465465")</f>
        <v>#NAME?</v>
      </c>
      <c r="H2082" t="e">
        <f ca="1">_xludf.IMAGE("https://m.media-amazon.com/images/I/616UiJGsK1L._AC_UL320_.jpg")</f>
        <v>#NAME?</v>
      </c>
      <c r="I2082" t="s">
        <v>2906</v>
      </c>
      <c r="J2082">
        <v>33.950000000000003</v>
      </c>
      <c r="K2082" s="4">
        <v>-0.48870000000000002</v>
      </c>
      <c r="L2082">
        <v>4.5</v>
      </c>
      <c r="M2082">
        <v>16</v>
      </c>
      <c r="O2082" t="s">
        <v>171</v>
      </c>
      <c r="P2082" t="s">
        <v>2907</v>
      </c>
      <c r="Q2082" t="s">
        <v>2908</v>
      </c>
    </row>
    <row r="2083" spans="1:17" ht="15.5" x14ac:dyDescent="0.35">
      <c r="A2083" s="3" t="str">
        <f>HYPERLINK("https://edmondsonsupply.com/collections/hvac/products/klein-tools-5165-10-pocket-tool-pouch-knife-snap", "https://edmondsonsupply.com/collections/hvac/products/klein-tools-5165-10-pocket-tool-pouch-knife-snap")</f>
        <v>https://edmondsonsupply.com/collections/hvac/products/klein-tools-5165-10-pocket-tool-pouch-knife-snap</v>
      </c>
      <c r="B2083" s="3" t="str">
        <f>HYPERLINK("https://edmondsonsupply.com/products/klein-tools-5165-10-pocket-tool-pouch-knife-snap", "https://edmondsonsupply.com/products/klein-tools-5165-10-pocket-tool-pouch-knife-snap")</f>
        <v>https://edmondsonsupply.com/products/klein-tools-5165-10-pocket-tool-pouch-knife-snap</v>
      </c>
      <c r="C2083" t="s">
        <v>700</v>
      </c>
      <c r="D2083" t="s">
        <v>790</v>
      </c>
      <c r="E2083" s="3" t="str">
        <f>HYPERLINK("https://www.amazon.com/Klein-Tools-5126-Leather-5-Pocket/dp/B0002RI620/ref=sr_1_3?keywords=Klein+Tools+5165+10+Pocket+Leather+Tool+Pouch+with+Knife+Snap&amp;qid=1695173659&amp;sr=8-3", "https://www.amazon.com/Klein-Tools-5126-Leather-5-Pocket/dp/B0002RI620/ref=sr_1_3?keywords=Klein+Tools+5165+10+Pocket+Leather+Tool+Pouch+with+Knife+Snap&amp;qid=1695173659&amp;sr=8-3")</f>
        <v>https://www.amazon.com/Klein-Tools-5126-Leather-5-Pocket/dp/B0002RI620/ref=sr_1_3?keywords=Klein+Tools+5165+10+Pocket+Leather+Tool+Pouch+with+Knife+Snap&amp;qid=1695173659&amp;sr=8-3</v>
      </c>
      <c r="F2083" t="s">
        <v>791</v>
      </c>
      <c r="G2083" t="e">
        <f ca="1">_xludf.IMAGE("https://edmondsonsupply.com/cdn/shop/products/5165.jpg?v=1587145507")</f>
        <v>#NAME?</v>
      </c>
      <c r="H2083" t="e">
        <f ca="1">_xludf.IMAGE("https://m.media-amazon.com/images/I/51nYBr7d-ML._AC_UL320_.jpg")</f>
        <v>#NAME?</v>
      </c>
      <c r="I2083" t="s">
        <v>703</v>
      </c>
      <c r="J2083">
        <v>32</v>
      </c>
      <c r="K2083" s="4">
        <v>-0.49199999999999999</v>
      </c>
      <c r="L2083">
        <v>4.5999999999999996</v>
      </c>
      <c r="M2083">
        <v>1343</v>
      </c>
      <c r="O2083" t="s">
        <v>25</v>
      </c>
      <c r="P2083" t="s">
        <v>704</v>
      </c>
      <c r="Q2083" t="s">
        <v>705</v>
      </c>
    </row>
    <row r="2084" spans="1:17" ht="15.5" x14ac:dyDescent="0.35">
      <c r="A2084" s="3" t="str">
        <f>HYPERLINK("https://edmondsonsupply.com/collections/hvac/products/fresh-aire-uv-apco-tuv-apco-er2", "https://edmondsonsupply.com/collections/hvac/products/fresh-aire-uv-apco-tuv-apco-er2")</f>
        <v>https://edmondsonsupply.com/collections/hvac/products/fresh-aire-uv-apco-tuv-apco-er2</v>
      </c>
      <c r="B2084" s="3" t="str">
        <f>HYPERLINK("https://edmondsonsupply.com/products/fresh-aire-uv-apco-tuv-apco-er2", "https://edmondsonsupply.com/products/fresh-aire-uv-apco-tuv-apco-er2")</f>
        <v>https://edmondsonsupply.com/products/fresh-aire-uv-apco-tuv-apco-er2</v>
      </c>
      <c r="C2084" t="s">
        <v>2396</v>
      </c>
      <c r="D2084" t="s">
        <v>4436</v>
      </c>
      <c r="E2084" s="3" t="str">
        <f>HYPERLINK("https://www.amazon.com/Fresh-Aire-Blue-Light-TUV-BTER-18-32/dp/B08QDQHKP3/ref=sr_1_3?keywords=Fresh-Aire+UV+APCO+TUV-APCO-ER2+18-32+VAC%2C+2-Year+UV+Lamp&amp;qid=1695173389&amp;sr=8-3", "https://www.amazon.com/Fresh-Aire-Blue-Light-TUV-BTER-18-32/dp/B08QDQHKP3/ref=sr_1_3?keywords=Fresh-Aire+UV+APCO+TUV-APCO-ER2+18-32+VAC%2C+2-Year+UV+Lamp&amp;qid=1695173389&amp;sr=8-3")</f>
        <v>https://www.amazon.com/Fresh-Aire-Blue-Light-TUV-BTER-18-32/dp/B08QDQHKP3/ref=sr_1_3?keywords=Fresh-Aire+UV+APCO+TUV-APCO-ER2+18-32+VAC%2C+2-Year+UV+Lamp&amp;qid=1695173389&amp;sr=8-3</v>
      </c>
      <c r="F2084" t="s">
        <v>4437</v>
      </c>
      <c r="G2084" t="e">
        <f ca="1">_xludf.IMAGE("https://edmondsonsupply.com/cdn/shop/products/fresh-aire-uv_tuv-apco-er2_article_1367841289911_en_normal.jpg?v=1587143929")</f>
        <v>#NAME?</v>
      </c>
      <c r="H2084" t="e">
        <f ca="1">_xludf.IMAGE("https://m.media-amazon.com/images/I/41m35CrFGsL._AC_UL320_.jpg")</f>
        <v>#NAME?</v>
      </c>
      <c r="I2084" t="s">
        <v>2399</v>
      </c>
      <c r="J2084">
        <v>195</v>
      </c>
      <c r="K2084" s="4">
        <v>-0.49480000000000002</v>
      </c>
      <c r="L2084">
        <v>5</v>
      </c>
      <c r="M2084">
        <v>1</v>
      </c>
      <c r="O2084" t="s">
        <v>25</v>
      </c>
      <c r="P2084" t="s">
        <v>138</v>
      </c>
      <c r="Q2084" t="s">
        <v>2400</v>
      </c>
    </row>
    <row r="2085" spans="1:17" ht="15.5" x14ac:dyDescent="0.35">
      <c r="A2085" s="3" t="str">
        <f>HYPERLINK("https://edmondsonsupply.com/collections/hvac/products/rectorseal-83909-aspen-mini-orange-univ-pump-100-250v", "https://edmondsonsupply.com/collections/hvac/products/rectorseal-83909-aspen-mini-orange-univ-pump-100-250v")</f>
        <v>https://edmondsonsupply.com/collections/hvac/products/rectorseal-83909-aspen-mini-orange-univ-pump-100-250v</v>
      </c>
      <c r="B2085" s="3" t="str">
        <f>HYPERLINK("https://edmondsonsupply.com/products/rectorseal-83909-aspen-mini-orange-univ-pump-100-250v", "https://edmondsonsupply.com/products/rectorseal-83909-aspen-mini-orange-univ-pump-100-250v")</f>
        <v>https://edmondsonsupply.com/products/rectorseal-83909-aspen-mini-orange-univ-pump-100-250v</v>
      </c>
      <c r="C2085" t="s">
        <v>5562</v>
      </c>
      <c r="D2085" t="s">
        <v>5563</v>
      </c>
      <c r="E2085" s="3" t="str">
        <f>HYPERLINK("https://www.amazon.com/Rectorseal-83909-Mini-Orange-Condensate/dp/B00JXA0U44/ref=sr_1_1?keywords=Rectorseal+83909+Aspen+Mini+Orange+Univ+Pump+100-250V&amp;qid=1695173731&amp;sr=8-1", "https://www.amazon.com/Rectorseal-83909-Mini-Orange-Condensate/dp/B00JXA0U44/ref=sr_1_1?keywords=Rectorseal+83909+Aspen+Mini+Orange+Univ+Pump+100-250V&amp;qid=1695173731&amp;sr=8-1")</f>
        <v>https://www.amazon.com/Rectorseal-83909-Mini-Orange-Condensate/dp/B00JXA0U44/ref=sr_1_1?keywords=Rectorseal+83909+Aspen+Mini+Orange+Univ+Pump+100-250V&amp;qid=1695173731&amp;sr=8-1</v>
      </c>
      <c r="F2085" t="s">
        <v>5564</v>
      </c>
      <c r="G2085" t="e">
        <f ca="1">_xludf.IMAGE("https://edmondsonsupply.com/cdn/shop/files/83909.png?v=1690983173")</f>
        <v>#NAME?</v>
      </c>
      <c r="H2085" t="e">
        <f ca="1">_xludf.IMAGE("https://m.media-amazon.com/images/I/614diwuxJWL._AC_UL320_.jpg")</f>
        <v>#NAME?</v>
      </c>
      <c r="I2085" t="s">
        <v>5565</v>
      </c>
      <c r="J2085">
        <v>131.49</v>
      </c>
      <c r="K2085" s="4">
        <v>-0.49480000000000002</v>
      </c>
      <c r="L2085">
        <v>4.2</v>
      </c>
      <c r="M2085">
        <v>60</v>
      </c>
      <c r="O2085" t="s">
        <v>25</v>
      </c>
      <c r="P2085" t="s">
        <v>138</v>
      </c>
      <c r="Q2085" t="s">
        <v>5566</v>
      </c>
    </row>
    <row r="2086" spans="1:17" ht="15.5" x14ac:dyDescent="0.35">
      <c r="A2086" s="3" t="str">
        <f>HYPERLINK("https://edmondsonsupply.com/collections/hvac/products/inficon-d-tek-3", "https://edmondsonsupply.com/collections/hvac/products/inficon-d-tek-3")</f>
        <v>https://edmondsonsupply.com/collections/hvac/products/inficon-d-tek-3</v>
      </c>
      <c r="B2086" s="3" t="str">
        <f>HYPERLINK("https://edmondsonsupply.com/products/inficon-d-tek-3", "https://edmondsonsupply.com/products/inficon-d-tek-3")</f>
        <v>https://edmondsonsupply.com/products/inficon-d-tek-3</v>
      </c>
      <c r="C2086" t="s">
        <v>2260</v>
      </c>
      <c r="D2086" t="s">
        <v>5567</v>
      </c>
      <c r="E2086" s="3" t="str">
        <f>HYPERLINK("https://www.amazon.com/Inficon-AST100-Refrigerant-Leak-Detector/dp/B08YLCXNJR/ref=sr_1_7?keywords=Inficon+D-TEK%C2%AE+3+Refrigerant+Leak+Detector&amp;qid=1695173442&amp;sr=8-7", "https://www.amazon.com/Inficon-AST100-Refrigerant-Leak-Detector/dp/B08YLCXNJR/ref=sr_1_7?keywords=Inficon+D-TEK%C2%AE+3+Refrigerant+Leak+Detector&amp;qid=1695173442&amp;sr=8-7")</f>
        <v>https://www.amazon.com/Inficon-AST100-Refrigerant-Leak-Detector/dp/B08YLCXNJR/ref=sr_1_7?keywords=Inficon+D-TEK%C2%AE+3+Refrigerant+Leak+Detector&amp;qid=1695173442&amp;sr=8-7</v>
      </c>
      <c r="F2086" t="s">
        <v>5568</v>
      </c>
      <c r="G2086" t="e">
        <f ca="1">_xludf.IMAGE("https://edmondsonsupply.com/cdn/shop/products/dtek3.png?v=1633030772")</f>
        <v>#NAME?</v>
      </c>
      <c r="H2086" t="e">
        <f ca="1">_xludf.IMAGE("https://m.media-amazon.com/images/I/61F+fuc91lL._AC_UL320_.jpg")</f>
        <v>#NAME?</v>
      </c>
      <c r="I2086" t="s">
        <v>2263</v>
      </c>
      <c r="J2086">
        <v>258.61</v>
      </c>
      <c r="K2086" s="4">
        <v>-0.49980000000000002</v>
      </c>
      <c r="L2086">
        <v>5</v>
      </c>
      <c r="M2086">
        <v>1</v>
      </c>
      <c r="O2086" t="s">
        <v>25</v>
      </c>
      <c r="P2086" t="s">
        <v>2264</v>
      </c>
      <c r="Q2086" t="s">
        <v>2265</v>
      </c>
    </row>
    <row r="2087" spans="1:17" ht="15.5" x14ac:dyDescent="0.35">
      <c r="A2087" s="3" t="str">
        <f>HYPERLINK("https://edmondsonsupply.com/collections/hvac/products/fresh-aire-uv-tuvl-215p-2-year-blue-tube-replacement-uv-lamp", "https://edmondsonsupply.com/collections/hvac/products/fresh-aire-uv-tuvl-215p-2-year-blue-tube-replacement-uv-lamp")</f>
        <v>https://edmondsonsupply.com/collections/hvac/products/fresh-aire-uv-tuvl-215p-2-year-blue-tube-replacement-uv-lamp</v>
      </c>
      <c r="B2087" s="3" t="str">
        <f>HYPERLINK("https://edmondsonsupply.com/products/fresh-aire-uv-tuvl-215p-2-year-blue-tube-replacement-uv-lamp", "https://edmondsonsupply.com/products/fresh-aire-uv-tuvl-215p-2-year-blue-tube-replacement-uv-lamp")</f>
        <v>https://edmondsonsupply.com/products/fresh-aire-uv-tuvl-215p-2-year-blue-tube-replacement-uv-lamp</v>
      </c>
      <c r="C2087" t="s">
        <v>2034</v>
      </c>
      <c r="D2087" t="s">
        <v>5433</v>
      </c>
      <c r="E2087" s="3" t="str">
        <f>HYPERLINK("https://www.amazon.com/LSE-Lighting-TUVL-215P-Fresh-Aire-Replacement/dp/B0BCH7Z2T3/ref=sr_1_7?keywords=Fresh-Aire+UV+TUVL-215P%2C+2-Year+Blue-Tube+Replacement+UV+Lamp&amp;qid=1695173329&amp;sr=8-7", "https://www.amazon.com/LSE-Lighting-TUVL-215P-Fresh-Aire-Replacement/dp/B0BCH7Z2T3/ref=sr_1_7?keywords=Fresh-Aire+UV+TUVL-215P%2C+2-Year+Blue-Tube+Replacement+UV+Lamp&amp;qid=1695173329&amp;sr=8-7")</f>
        <v>https://www.amazon.com/LSE-Lighting-TUVL-215P-Fresh-Aire-Replacement/dp/B0BCH7Z2T3/ref=sr_1_7?keywords=Fresh-Aire+UV+TUVL-215P%2C+2-Year+Blue-Tube+Replacement+UV+Lamp&amp;qid=1695173329&amp;sr=8-7</v>
      </c>
      <c r="F2087" t="s">
        <v>5434</v>
      </c>
      <c r="G2087" t="e">
        <f ca="1">_xludf.IMAGE("https://edmondsonsupply.com/cdn/shop/products/TUVL-215P.jpg?v=1633030216")</f>
        <v>#NAME?</v>
      </c>
      <c r="H2087" t="e">
        <f ca="1">_xludf.IMAGE("https://m.media-amazon.com/images/I/31MNaScLYrS._AC_UL320_.jpg")</f>
        <v>#NAME?</v>
      </c>
      <c r="I2087" t="s">
        <v>2037</v>
      </c>
      <c r="J2087">
        <v>54</v>
      </c>
      <c r="K2087" s="4">
        <v>-0.50009999999999999</v>
      </c>
      <c r="L2087">
        <v>3.9</v>
      </c>
      <c r="M2087">
        <v>14</v>
      </c>
      <c r="O2087" t="s">
        <v>25</v>
      </c>
      <c r="P2087" t="s">
        <v>138</v>
      </c>
      <c r="Q2087" t="s">
        <v>2038</v>
      </c>
    </row>
    <row r="2088" spans="1:17" ht="15.5" x14ac:dyDescent="0.35">
      <c r="A2088" s="3" t="str">
        <f>HYPERLINK("https://edmondsonsupply.com/collections/hvac/products/klein-tools-32535-10-in-1-10-fold-screwdriver-nut-driver", "https://edmondsonsupply.com/collections/hvac/products/klein-tools-32535-10-in-1-10-fold-screwdriver-nut-driver")</f>
        <v>https://edmondsonsupply.com/collections/hvac/products/klein-tools-32535-10-in-1-10-fold-screwdriver-nut-driver</v>
      </c>
      <c r="B2088" s="3" t="str">
        <f>HYPERLINK("https://edmondsonsupply.com/products/klein-tools-32535-10-in-1-10-fold-screwdriver-nut-driver", "https://edmondsonsupply.com/products/klein-tools-32535-10-in-1-10-fold-screwdriver-nut-driver")</f>
        <v>https://edmondsonsupply.com/products/klein-tools-32535-10-in-1-10-fold-screwdriver-nut-driver</v>
      </c>
      <c r="C2088" t="s">
        <v>4368</v>
      </c>
      <c r="D2088" t="s">
        <v>3976</v>
      </c>
      <c r="E2088" s="3" t="str">
        <f>HYPERLINK("https://www.amazon.com/Klein-Tools-32557-Multi-Bit-Screwdriver/dp/B005FQDH9A/ref=sr_1_3?keywords=Klein+Tools+32535+10-in-1+10+Fold+Screwdriver+%2F+Nut+Driver&amp;qid=1695173630&amp;sr=8-3", "https://www.amazon.com/Klein-Tools-32557-Multi-Bit-Screwdriver/dp/B005FQDH9A/ref=sr_1_3?keywords=Klein+Tools+32535+10-in-1+10+Fold+Screwdriver+%2F+Nut+Driver&amp;qid=1695173630&amp;sr=8-3")</f>
        <v>https://www.amazon.com/Klein-Tools-32557-Multi-Bit-Screwdriver/dp/B005FQDH9A/ref=sr_1_3?keywords=Klein+Tools+32535+10-in-1+10+Fold+Screwdriver+%2F+Nut+Driver&amp;qid=1695173630&amp;sr=8-3</v>
      </c>
      <c r="F2088" t="s">
        <v>3977</v>
      </c>
      <c r="G2088" t="e">
        <f ca="1">_xludf.IMAGE("https://edmondsonsupply.com/cdn/shop/products/32535.jpg?v=1633030894")</f>
        <v>#NAME?</v>
      </c>
      <c r="H2088" t="e">
        <f ca="1">_xludf.IMAGE("https://m.media-amazon.com/images/I/41vMDiO0rOL._AC_UL320_.jpg")</f>
        <v>#NAME?</v>
      </c>
      <c r="I2088" t="s">
        <v>26</v>
      </c>
      <c r="J2088">
        <v>14.98</v>
      </c>
      <c r="K2088" s="4">
        <v>-0.50049999999999994</v>
      </c>
      <c r="L2088">
        <v>4.8</v>
      </c>
      <c r="M2088">
        <v>921</v>
      </c>
      <c r="O2088" t="s">
        <v>25</v>
      </c>
      <c r="P2088" t="s">
        <v>4371</v>
      </c>
      <c r="Q2088" t="s">
        <v>4372</v>
      </c>
    </row>
    <row r="2089" spans="1:17" ht="15.5" x14ac:dyDescent="0.35">
      <c r="A2089" s="3" t="str">
        <f>HYPERLINK("https://edmondsonsupply.com/collections/hvac/products/fresh-aire-uv-apco-tuvl-215-2-year-replacement-uv-lamp", "https://edmondsonsupply.com/collections/hvac/products/fresh-aire-uv-apco-tuvl-215-2-year-replacement-uv-lamp")</f>
        <v>https://edmondsonsupply.com/collections/hvac/products/fresh-aire-uv-apco-tuvl-215-2-year-replacement-uv-lamp</v>
      </c>
      <c r="B2089" s="3" t="str">
        <f>HYPERLINK("https://edmondsonsupply.com/products/fresh-aire-uv-apco-tuvl-215-2-year-replacement-uv-lamp", "https://edmondsonsupply.com/products/fresh-aire-uv-apco-tuvl-215-2-year-replacement-uv-lamp")</f>
        <v>https://edmondsonsupply.com/products/fresh-aire-uv-apco-tuvl-215-2-year-replacement-uv-lamp</v>
      </c>
      <c r="C2089" t="s">
        <v>2896</v>
      </c>
      <c r="D2089" t="s">
        <v>5433</v>
      </c>
      <c r="E2089" s="3" t="str">
        <f>HYPERLINK("https://www.amazon.com/LSE-Lighting-TUVL-215P-Fresh-Aire-Replacement/dp/B0BCH7Z2T3/ref=sr_1_4?keywords=Fresh-Aire+UV+APCO+TUVL-215%2C+2-Year+Replacement+UV+Lamp&amp;qid=1695173344&amp;sr=8-4", "https://www.amazon.com/LSE-Lighting-TUVL-215P-Fresh-Aire-Replacement/dp/B0BCH7Z2T3/ref=sr_1_4?keywords=Fresh-Aire+UV+APCO+TUVL-215%2C+2-Year+Replacement+UV+Lamp&amp;qid=1695173344&amp;sr=8-4")</f>
        <v>https://www.amazon.com/LSE-Lighting-TUVL-215P-Fresh-Aire-Replacement/dp/B0BCH7Z2T3/ref=sr_1_4?keywords=Fresh-Aire+UV+APCO+TUVL-215%2C+2-Year+Replacement+UV+Lamp&amp;qid=1695173344&amp;sr=8-4</v>
      </c>
      <c r="F2089" t="s">
        <v>5434</v>
      </c>
      <c r="G2089" t="e">
        <f ca="1">_xludf.IMAGE("https://edmondsonsupply.com/cdn/shop/products/TUVL-215_1ea9b67d-7d35-4102-a10b-a43913714c29.jpg?v=1633030216")</f>
        <v>#NAME?</v>
      </c>
      <c r="H2089" t="e">
        <f ca="1">_xludf.IMAGE("https://m.media-amazon.com/images/I/31MNaScLYrS._AC_UL320_.jpg")</f>
        <v>#NAME?</v>
      </c>
      <c r="I2089" t="s">
        <v>2899</v>
      </c>
      <c r="J2089">
        <v>54</v>
      </c>
      <c r="K2089" s="4">
        <v>-0.50090000000000001</v>
      </c>
      <c r="L2089">
        <v>3.9</v>
      </c>
      <c r="M2089">
        <v>14</v>
      </c>
      <c r="O2089" t="s">
        <v>25</v>
      </c>
      <c r="P2089" t="s">
        <v>138</v>
      </c>
      <c r="Q2089" t="s">
        <v>2900</v>
      </c>
    </row>
    <row r="2090" spans="1:17" ht="15.5" x14ac:dyDescent="0.35">
      <c r="A2090" s="3" t="str">
        <f>HYPERLINK("https://edmondsonsupply.com/collections/hvac/products/fresh-aire-uv-apco-tuvl-211-2-year-replacement-uv-lamp-with-no-plug", "https://edmondsonsupply.com/collections/hvac/products/fresh-aire-uv-apco-tuvl-211-2-year-replacement-uv-lamp-with-no-plug")</f>
        <v>https://edmondsonsupply.com/collections/hvac/products/fresh-aire-uv-apco-tuvl-211-2-year-replacement-uv-lamp-with-no-plug</v>
      </c>
      <c r="B2090" s="3" t="str">
        <f>HYPERLINK("https://edmondsonsupply.com/products/fresh-aire-uv-apco-tuvl-211-2-year-replacement-uv-lamp-with-no-plug", "https://edmondsonsupply.com/products/fresh-aire-uv-apco-tuvl-211-2-year-replacement-uv-lamp-with-no-plug")</f>
        <v>https://edmondsonsupply.com/products/fresh-aire-uv-apco-tuvl-211-2-year-replacement-uv-lamp-with-no-plug</v>
      </c>
      <c r="C2090" t="s">
        <v>5569</v>
      </c>
      <c r="D2090" t="s">
        <v>5433</v>
      </c>
      <c r="E2090" s="3" t="str">
        <f>HYPERLINK("https://www.amazon.com/LSE-Lighting-TUVL-215P-Fresh-Aire-Replacement/dp/B0BCH7Z2T3/ref=sr_1_5?keywords=Fresh-Aire+UV+APCO+TUVL-211%2C+2-Year+Replacement+UV+Lamp+with+NO+Plug&amp;qid=1695173719&amp;sr=8-5", "https://www.amazon.com/LSE-Lighting-TUVL-215P-Fresh-Aire-Replacement/dp/B0BCH7Z2T3/ref=sr_1_5?keywords=Fresh-Aire+UV+APCO+TUVL-211%2C+2-Year+Replacement+UV+Lamp+with+NO+Plug&amp;qid=1695173719&amp;sr=8-5")</f>
        <v>https://www.amazon.com/LSE-Lighting-TUVL-215P-Fresh-Aire-Replacement/dp/B0BCH7Z2T3/ref=sr_1_5?keywords=Fresh-Aire+UV+APCO+TUVL-211%2C+2-Year+Replacement+UV+Lamp+with+NO+Plug&amp;qid=1695173719&amp;sr=8-5</v>
      </c>
      <c r="F2090" t="s">
        <v>5434</v>
      </c>
      <c r="G2090" t="e">
        <f ca="1">_xludf.IMAGE("https://edmondsonsupply.com/cdn/shop/files/TUVL-211.png?v=1692221661")</f>
        <v>#NAME?</v>
      </c>
      <c r="H2090" t="e">
        <f ca="1">_xludf.IMAGE("https://m.media-amazon.com/images/I/31MNaScLYrS._AC_UL320_.jpg")</f>
        <v>#NAME?</v>
      </c>
      <c r="I2090" t="s">
        <v>2899</v>
      </c>
      <c r="J2090">
        <v>54</v>
      </c>
      <c r="K2090" s="4">
        <v>-0.50090000000000001</v>
      </c>
      <c r="L2090">
        <v>3.9</v>
      </c>
      <c r="M2090">
        <v>14</v>
      </c>
      <c r="O2090" t="s">
        <v>25</v>
      </c>
      <c r="P2090" t="s">
        <v>138</v>
      </c>
      <c r="Q2090" t="s">
        <v>5570</v>
      </c>
    </row>
    <row r="2091" spans="1:17" ht="15.5" x14ac:dyDescent="0.35">
      <c r="A2091"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2091" s="3" t="str">
        <f>HYPERLINK("https://edmondsonsupply.com/products/klein-tools-935dag-digital-angle-gauge-and-level", "https://edmondsonsupply.com/products/klein-tools-935dag-digital-angle-gauge-and-level")</f>
        <v>https://edmondsonsupply.com/products/klein-tools-935dag-digital-angle-gauge-and-level</v>
      </c>
      <c r="C2091" t="s">
        <v>1924</v>
      </c>
      <c r="D2091" t="s">
        <v>5571</v>
      </c>
      <c r="E2091" s="3" t="str">
        <f>HYPERLINK("https://www.amazon.com/CaseSack-Consolidation-Digital-Electronic-ACCU-Bend/dp/B08Y67WSYP/ref=sr_1_6?keywords=Klein+Tools+935DAG+Digital+Angle+Gauge+and+Level&amp;qid=1695173564&amp;sr=8-6", "https://www.amazon.com/CaseSack-Consolidation-Digital-Electronic-ACCU-Bend/dp/B08Y67WSYP/ref=sr_1_6?keywords=Klein+Tools+935DAG+Digital+Angle+Gauge+and+Level&amp;qid=1695173564&amp;sr=8-6")</f>
        <v>https://www.amazon.com/CaseSack-Consolidation-Digital-Electronic-ACCU-Bend/dp/B08Y67WSYP/ref=sr_1_6?keywords=Klein+Tools+935DAG+Digital+Angle+Gauge+and+Level&amp;qid=1695173564&amp;sr=8-6</v>
      </c>
      <c r="F2091" t="s">
        <v>5572</v>
      </c>
      <c r="G2091" t="e">
        <f ca="1">_xludf.IMAGE("https://edmondsonsupply.com/cdn/shop/products/935dag.jpg?v=1587145032")</f>
        <v>#NAME?</v>
      </c>
      <c r="H2091" t="e">
        <f ca="1">_xludf.IMAGE("https://m.media-amazon.com/images/I/A1Pqjwl+TsL._AC_UL320_.jpg")</f>
        <v>#NAME?</v>
      </c>
      <c r="I2091" t="s">
        <v>824</v>
      </c>
      <c r="J2091">
        <v>14.86</v>
      </c>
      <c r="K2091" s="4">
        <v>-0.50419999999999998</v>
      </c>
      <c r="L2091">
        <v>4.5</v>
      </c>
      <c r="M2091">
        <v>46</v>
      </c>
      <c r="O2091" t="s">
        <v>25</v>
      </c>
      <c r="P2091" t="s">
        <v>73</v>
      </c>
      <c r="Q2091" t="s">
        <v>1927</v>
      </c>
    </row>
    <row r="2092" spans="1:17" ht="15.5" x14ac:dyDescent="0.35">
      <c r="A2092" s="3" t="str">
        <f>HYPERLINK("https://edmondsonsupply.com/collections/hvac/products/klein-tools-s18hb", "https://edmondsonsupply.com/collections/hvac/products/klein-tools-s18hb")</f>
        <v>https://edmondsonsupply.com/collections/hvac/products/klein-tools-s18hb</v>
      </c>
      <c r="B2092" s="3" t="str">
        <f>HYPERLINK("https://edmondsonsupply.com/products/klein-tools-s18hb", "https://edmondsonsupply.com/products/klein-tools-s18hb")</f>
        <v>https://edmondsonsupply.com/products/klein-tools-s18hb</v>
      </c>
      <c r="C2092" t="s">
        <v>4724</v>
      </c>
      <c r="D2092" t="s">
        <v>5573</v>
      </c>
      <c r="E2092" s="3" t="str">
        <f>HYPERLINK("https://www.amazon.com/Wrenches-18-Inch-Klein-Tools-S-18H/dp/B00093DYFQ/ref=sr_1_3?keywords=Klein+Tools+S18HB+Grip-It%E2%84%A2+Strap+Wrench%2C+1-1%2F8+to+8-Inch%2C+18-Inch+Handle&amp;qid=1695173758&amp;sr=8-3", "https://www.amazon.com/Wrenches-18-Inch-Klein-Tools-S-18H/dp/B00093DYFQ/ref=sr_1_3?keywords=Klein+Tools+S18HB+Grip-It%E2%84%A2+Strap+Wrench%2C+1-1%2F8+to+8-Inch%2C+18-Inch+Handle&amp;qid=1695173758&amp;sr=8-3")</f>
        <v>https://www.amazon.com/Wrenches-18-Inch-Klein-Tools-S-18H/dp/B00093DYFQ/ref=sr_1_3?keywords=Klein+Tools+S18HB+Grip-It%E2%84%A2+Strap+Wrench%2C+1-1%2F8+to+8-Inch%2C+18-Inch+Handle&amp;qid=1695173758&amp;sr=8-3</v>
      </c>
      <c r="F2092" t="s">
        <v>5574</v>
      </c>
      <c r="G2092" t="e">
        <f ca="1">_xludf.IMAGE("https://edmondsonsupply.com/cdn/shop/files/s18hb_b.jpg?v=1689785962")</f>
        <v>#NAME?</v>
      </c>
      <c r="H2092" t="e">
        <f ca="1">_xludf.IMAGE("https://m.media-amazon.com/images/I/41jmnfPST7L._AC_UL320_.jpg")</f>
        <v>#NAME?</v>
      </c>
      <c r="I2092" t="s">
        <v>905</v>
      </c>
      <c r="J2092">
        <v>29.64</v>
      </c>
      <c r="K2092" s="4">
        <v>-0.50590000000000002</v>
      </c>
      <c r="L2092">
        <v>4.4000000000000004</v>
      </c>
      <c r="M2092">
        <v>149</v>
      </c>
      <c r="O2092" t="s">
        <v>25</v>
      </c>
      <c r="P2092" t="s">
        <v>4727</v>
      </c>
      <c r="Q2092" t="s">
        <v>4728</v>
      </c>
    </row>
    <row r="2093" spans="1:17" ht="15.5" x14ac:dyDescent="0.35">
      <c r="A2093" s="3" t="str">
        <f>HYPERLINK("https://edmondsonsupply.com/collections/hvac/products/imperial-644-c-600-series-4-valve-manifold-w-4-60-hoses-r-410a-r-22-r-404a", "https://edmondsonsupply.com/collections/hvac/products/imperial-644-c-600-series-4-valve-manifold-w-4-60-hoses-r-410a-r-22-r-404a")</f>
        <v>https://edmondsonsupply.com/collections/hvac/products/imperial-644-c-600-series-4-valve-manifold-w-4-60-hoses-r-410a-r-22-r-404a</v>
      </c>
      <c r="B2093" s="3" t="str">
        <f>HYPERLINK("https://edmondsonsupply.com/products/imperial-644-c-600-series-4-valve-manifold-w-4-60-hoses-r-410a-r-22-r-404a", "https://edmondsonsupply.com/products/imperial-644-c-600-series-4-valve-manifold-w-4-60-hoses-r-410a-r-22-r-404a")</f>
        <v>https://edmondsonsupply.com/products/imperial-644-c-600-series-4-valve-manifold-w-4-60-hoses-r-410a-r-22-r-404a</v>
      </c>
      <c r="C2093" t="s">
        <v>4176</v>
      </c>
      <c r="D2093" t="s">
        <v>5575</v>
      </c>
      <c r="E2093" s="3" t="str">
        <f>HYPERLINK("https://www.amazon.com/Imperial-Tool-421C-Manifold-2-Valve/dp/B01KWRZEE2/ref=sr_1_1?keywords=Imperial+644-C+600+Series+4-Valve+Manifold+w%2F4-60%22+Hoses+R-410A%2C+R-22%2C+R-404A&amp;qid=1695173458&amp;sr=8-1", "https://www.amazon.com/Imperial-Tool-421C-Manifold-2-Valve/dp/B01KWRZEE2/ref=sr_1_1?keywords=Imperial+644-C+600+Series+4-Valve+Manifold+w%2F4-60%22+Hoses+R-410A%2C+R-22%2C+R-404A&amp;qid=1695173458&amp;sr=8-1")</f>
        <v>https://www.amazon.com/Imperial-Tool-421C-Manifold-2-Valve/dp/B01KWRZEE2/ref=sr_1_1?keywords=Imperial+644-C+600+Series+4-Valve+Manifold+w%2F4-60%22+Hoses+R-410A%2C+R-22%2C+R-404A&amp;qid=1695173458&amp;sr=8-1</v>
      </c>
      <c r="F2093" t="s">
        <v>5576</v>
      </c>
      <c r="G2093" t="e">
        <f ca="1">_xludf.IMAGE("https://edmondsonsupply.com/cdn/shop/products/644CC-1.jpg?v=1587145793")</f>
        <v>#NAME?</v>
      </c>
      <c r="H2093" t="e">
        <f ca="1">_xludf.IMAGE("https://m.media-amazon.com/images/I/713QnVvNz7L._AC_UY218_.jpg")</f>
        <v>#NAME?</v>
      </c>
      <c r="I2093" t="s">
        <v>4179</v>
      </c>
      <c r="J2093">
        <v>94.99</v>
      </c>
      <c r="K2093" s="4">
        <v>-0.51219999999999999</v>
      </c>
      <c r="L2093">
        <v>4.4000000000000004</v>
      </c>
      <c r="M2093">
        <v>11</v>
      </c>
      <c r="O2093" t="s">
        <v>25</v>
      </c>
      <c r="P2093" t="s">
        <v>138</v>
      </c>
      <c r="Q2093" t="s">
        <v>4180</v>
      </c>
    </row>
    <row r="2094" spans="1:17" ht="15.5" x14ac:dyDescent="0.35">
      <c r="A2094" s="3" t="str">
        <f>HYPERLINK("https://edmondsonsupply.com/collections/hvac/products/icm-controls-icm289-furnace-control-board-replacement-for-lennox", "https://edmondsonsupply.com/collections/hvac/products/icm-controls-icm289-furnace-control-board-replacement-for-lennox")</f>
        <v>https://edmondsonsupply.com/collections/hvac/products/icm-controls-icm289-furnace-control-board-replacement-for-lennox</v>
      </c>
      <c r="B2094" s="3" t="str">
        <f>HYPERLINK("https://edmondsonsupply.com/products/icm-controls-icm289-furnace-control-board-replacement-for-lennox", "https://edmondsonsupply.com/products/icm-controls-icm289-furnace-control-board-replacement-for-lennox")</f>
        <v>https://edmondsonsupply.com/products/icm-controls-icm289-furnace-control-board-replacement-for-lennox</v>
      </c>
      <c r="C2094" t="s">
        <v>2160</v>
      </c>
      <c r="D2094" t="s">
        <v>4889</v>
      </c>
      <c r="E2094" s="3" t="str">
        <f>HYPERLINK("https://www.amazon.com/ICM-Controls-ICM-2810-PCBBF136-PCBBF140/dp/B078KMX2V9/ref=sr_1_7?keywords=ICM+Controls+ICM289+Furnace+Control+Board+-+Replacement+for+Lennox&amp;qid=1695173465&amp;sr=8-7", "https://www.amazon.com/ICM-Controls-ICM-2810-PCBBF136-PCBBF140/dp/B078KMX2V9/ref=sr_1_7?keywords=ICM+Controls+ICM289+Furnace+Control+Board+-+Replacement+for+Lennox&amp;qid=1695173465&amp;sr=8-7")</f>
        <v>https://www.amazon.com/ICM-Controls-ICM-2810-PCBBF136-PCBBF140/dp/B078KMX2V9/ref=sr_1_7?keywords=ICM+Controls+ICM289+Furnace+Control+Board+-+Replacement+for+Lennox&amp;qid=1695173465&amp;sr=8-7</v>
      </c>
      <c r="F2094" t="s">
        <v>4890</v>
      </c>
      <c r="G2094" t="e">
        <f ca="1">_xludf.IMAGE("https://edmondsonsupply.com/cdn/shop/products/photo_3601_medium_abc82be0-5d13-465a-9be5-04a6748e2d27.png?v=1656728911")</f>
        <v>#NAME?</v>
      </c>
      <c r="H2094" t="e">
        <f ca="1">_xludf.IMAGE("https://m.media-amazon.com/images/I/51UFjRz3HyL._AC_UL320_.jpg")</f>
        <v>#NAME?</v>
      </c>
      <c r="I2094" t="s">
        <v>460</v>
      </c>
      <c r="J2094">
        <v>65.62</v>
      </c>
      <c r="K2094" s="4">
        <v>-0.51390000000000002</v>
      </c>
      <c r="L2094">
        <v>4</v>
      </c>
      <c r="M2094">
        <v>18</v>
      </c>
      <c r="O2094" t="s">
        <v>171</v>
      </c>
      <c r="P2094" t="s">
        <v>2163</v>
      </c>
      <c r="Q2094" t="s">
        <v>2164</v>
      </c>
    </row>
    <row r="2095" spans="1:17" ht="15.5" x14ac:dyDescent="0.35">
      <c r="A2095" s="3" t="str">
        <f>HYPERLINK("https://edmondsonsupply.com/collections/hvac/products/robertshaw-41-224-hot-surface-furnace-ignitor-rheem-armstrong-replacement", "https://edmondsonsupply.com/collections/hvac/products/robertshaw-41-224-hot-surface-furnace-ignitor-rheem-armstrong-replacement")</f>
        <v>https://edmondsonsupply.com/collections/hvac/products/robertshaw-41-224-hot-surface-furnace-ignitor-rheem-armstrong-replacement</v>
      </c>
      <c r="B2095" s="3" t="str">
        <f>HYPERLINK("https://edmondsonsupply.com/products/robertshaw-41-224-hot-surface-furnace-ignitor-rheem-armstrong-replacement", "https://edmondsonsupply.com/products/robertshaw-41-224-hot-surface-furnace-ignitor-rheem-armstrong-replacement")</f>
        <v>https://edmondsonsupply.com/products/robertshaw-41-224-hot-surface-furnace-ignitor-rheem-armstrong-replacement</v>
      </c>
      <c r="C2095" t="s">
        <v>5161</v>
      </c>
      <c r="D2095" t="s">
        <v>5577</v>
      </c>
      <c r="E2095" s="3" t="str">
        <f>HYPERLINK("https://www.amazon.com/Furnace-Igniter-Replacement-Robertshaw-511-330-188/dp/B08P3XCX18/ref=sr_1_3?keywords=Robertshaw+41-224+Hot+Surface+Furnace+Ignitor&amp;qid=1695173703&amp;sr=8-3", "https://www.amazon.com/Furnace-Igniter-Replacement-Robertshaw-511-330-188/dp/B08P3XCX18/ref=sr_1_3?keywords=Robertshaw+41-224+Hot+Surface+Furnace+Ignitor&amp;qid=1695173703&amp;sr=8-3")</f>
        <v>https://www.amazon.com/Furnace-Igniter-Replacement-Robertshaw-511-330-188/dp/B08P3XCX18/ref=sr_1_3?keywords=Robertshaw+41-224+Hot+Surface+Furnace+Ignitor&amp;qid=1695173703&amp;sr=8-3</v>
      </c>
      <c r="F2095" t="s">
        <v>5578</v>
      </c>
      <c r="G2095" t="e">
        <f ca="1">_xludf.IMAGE("https://edmondsonsupply.com/cdn/shop/files/41-224.jpg?v=1694616534")</f>
        <v>#NAME?</v>
      </c>
      <c r="H2095" t="e">
        <f ca="1">_xludf.IMAGE("https://m.media-amazon.com/images/I/61U8fPUfBoL._AC_UL320_.jpg")</f>
        <v>#NAME?</v>
      </c>
      <c r="I2095" t="s">
        <v>5164</v>
      </c>
      <c r="J2095">
        <v>20.3</v>
      </c>
      <c r="K2095" s="4">
        <v>-0.5141</v>
      </c>
      <c r="L2095">
        <v>5</v>
      </c>
      <c r="M2095">
        <v>2</v>
      </c>
      <c r="O2095" t="s">
        <v>25</v>
      </c>
      <c r="P2095" t="s">
        <v>138</v>
      </c>
      <c r="Q2095" t="s">
        <v>5165</v>
      </c>
    </row>
    <row r="2096" spans="1:17" ht="15.5" x14ac:dyDescent="0.35">
      <c r="A2096" s="3" t="str">
        <f>HYPERLINK("https://edmondsonsupply.com/collections/hvac/products/inficon-d-tek-3", "https://edmondsonsupply.com/collections/hvac/products/inficon-d-tek-3")</f>
        <v>https://edmondsonsupply.com/collections/hvac/products/inficon-d-tek-3</v>
      </c>
      <c r="B2096" s="3" t="str">
        <f>HYPERLINK("https://edmondsonsupply.com/products/inficon-d-tek-3", "https://edmondsonsupply.com/products/inficon-d-tek-3")</f>
        <v>https://edmondsonsupply.com/products/inficon-d-tek-3</v>
      </c>
      <c r="C2096" t="s">
        <v>2260</v>
      </c>
      <c r="D2096" t="s">
        <v>5579</v>
      </c>
      <c r="E2096" s="3" t="str">
        <f>HYPERLINK("https://www.amazon.com/Inficon-705-202-G1-TEK-Mate-Refrigerant-Detector/dp/B074ZNCLM3/ref=sr_1_8?keywords=Inficon+D-TEK%C2%AE+3+Refrigerant+Leak+Detector&amp;qid=1695173442&amp;sr=8-8", "https://www.amazon.com/Inficon-705-202-G1-TEK-Mate-Refrigerant-Detector/dp/B074ZNCLM3/ref=sr_1_8?keywords=Inficon+D-TEK%C2%AE+3+Refrigerant+Leak+Detector&amp;qid=1695173442&amp;sr=8-8")</f>
        <v>https://www.amazon.com/Inficon-705-202-G1-TEK-Mate-Refrigerant-Detector/dp/B074ZNCLM3/ref=sr_1_8?keywords=Inficon+D-TEK%C2%AE+3+Refrigerant+Leak+Detector&amp;qid=1695173442&amp;sr=8-8</v>
      </c>
      <c r="F2096" t="s">
        <v>5580</v>
      </c>
      <c r="G2096" t="e">
        <f ca="1">_xludf.IMAGE("https://edmondsonsupply.com/cdn/shop/products/dtek3.png?v=1633030772")</f>
        <v>#NAME?</v>
      </c>
      <c r="H2096" t="e">
        <f ca="1">_xludf.IMAGE("https://m.media-amazon.com/images/I/41pvtvGkMEL._AC_UL320_.jpg")</f>
        <v>#NAME?</v>
      </c>
      <c r="I2096" t="s">
        <v>2263</v>
      </c>
      <c r="J2096">
        <v>248.47</v>
      </c>
      <c r="K2096" s="4">
        <v>-0.51939999999999997</v>
      </c>
      <c r="L2096">
        <v>5</v>
      </c>
      <c r="M2096">
        <v>1</v>
      </c>
      <c r="O2096" t="s">
        <v>25</v>
      </c>
      <c r="P2096" t="s">
        <v>2264</v>
      </c>
      <c r="Q2096" t="s">
        <v>2265</v>
      </c>
    </row>
    <row r="2097" spans="1:17" ht="15.5" x14ac:dyDescent="0.35">
      <c r="A2097" s="3" t="str">
        <f>HYPERLINK("https://edmondsonsupply.com/collections/hvac/products/fresh-aire-uv-apco-tuv-apco-rt-er2-18-32-vac-2-year-uv-lamp", "https://edmondsonsupply.com/collections/hvac/products/fresh-aire-uv-apco-tuv-apco-rt-er2-18-32-vac-2-year-uv-lamp")</f>
        <v>https://edmondsonsupply.com/collections/hvac/products/fresh-aire-uv-apco-tuv-apco-rt-er2-18-32-vac-2-year-uv-lamp</v>
      </c>
      <c r="B2097" s="3" t="str">
        <f>HYPERLINK("https://edmondsonsupply.com/products/fresh-aire-uv-apco-tuv-apco-rt-er2-18-32-vac-2-year-uv-lamp", "https://edmondsonsupply.com/products/fresh-aire-uv-apco-tuv-apco-rt-er2-18-32-vac-2-year-uv-lamp")</f>
        <v>https://edmondsonsupply.com/products/fresh-aire-uv-apco-tuv-apco-rt-er2-18-32-vac-2-year-uv-lamp</v>
      </c>
      <c r="C2097" t="s">
        <v>5581</v>
      </c>
      <c r="D2097" t="s">
        <v>4436</v>
      </c>
      <c r="E2097" s="3" t="str">
        <f>HYPERLINK("https://www.amazon.com/Fresh-Aire-Blue-Light-TUV-BTER-18-32/dp/B08QDQHKP3/ref=sr_1_3?keywords=Fresh-Aire+UV+APCO+TUV-APCO-RT-ER2+18-32+VAC%2C+2-Year+UV+Lamp&amp;qid=1695173467&amp;sr=8-3", "https://www.amazon.com/Fresh-Aire-Blue-Light-TUV-BTER-18-32/dp/B08QDQHKP3/ref=sr_1_3?keywords=Fresh-Aire+UV+APCO+TUV-APCO-RT-ER2+18-32+VAC%2C+2-Year+UV+Lamp&amp;qid=1695173467&amp;sr=8-3")</f>
        <v>https://www.amazon.com/Fresh-Aire-Blue-Light-TUV-BTER-18-32/dp/B08QDQHKP3/ref=sr_1_3?keywords=Fresh-Aire+UV+APCO+TUV-APCO-RT-ER2+18-32+VAC%2C+2-Year+UV+Lamp&amp;qid=1695173467&amp;sr=8-3</v>
      </c>
      <c r="F2097" t="s">
        <v>4437</v>
      </c>
      <c r="G2097" t="e">
        <f ca="1">_xludf.IMAGE("https://edmondsonsupply.com/cdn/shop/products/APCO-RT-front.jpg?v=1664831717")</f>
        <v>#NAME?</v>
      </c>
      <c r="H2097" t="e">
        <f ca="1">_xludf.IMAGE("https://m.media-amazon.com/images/I/41m35CrFGsL._AC_UL320_.jpg")</f>
        <v>#NAME?</v>
      </c>
      <c r="I2097" t="s">
        <v>5582</v>
      </c>
      <c r="J2097">
        <v>195</v>
      </c>
      <c r="K2097" s="4">
        <v>-0.52429999999999999</v>
      </c>
      <c r="L2097">
        <v>5</v>
      </c>
      <c r="M2097">
        <v>1</v>
      </c>
      <c r="O2097" t="s">
        <v>25</v>
      </c>
      <c r="P2097" t="s">
        <v>5583</v>
      </c>
      <c r="Q2097" t="s">
        <v>5584</v>
      </c>
    </row>
    <row r="2098" spans="1:17" ht="15.5" x14ac:dyDescent="0.35">
      <c r="A2098" s="3" t="str">
        <f>HYPERLINK("https://edmondsonsupply.com/collections/hvac/products/wiha-tools-66992-22-piece-magicring-ball-end-hex-l-key-set-inch-metric", "https://edmondsonsupply.com/collections/hvac/products/wiha-tools-66992-22-piece-magicring-ball-end-hex-l-key-set-inch-metric")</f>
        <v>https://edmondsonsupply.com/collections/hvac/products/wiha-tools-66992-22-piece-magicring-ball-end-hex-l-key-set-inch-metric</v>
      </c>
      <c r="B2098"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2098" t="s">
        <v>4919</v>
      </c>
      <c r="D2098" t="s">
        <v>4396</v>
      </c>
      <c r="E2098" s="3" t="str">
        <f>HYPERLINK("https://www.amazon.com/Wiha-66991-MagicRing-Holder-Piece/dp/B000WTAK2C/ref=sr_1_2?keywords=Wiha+Tools+66992+22+Piece+MagicRing+Ball+End+Hex+L-Key+Set+-+Inch+-+Metric&amp;qid=1695173729&amp;sr=8-2", "https://www.amazon.com/Wiha-66991-MagicRing-Holder-Piece/dp/B000WTAK2C/ref=sr_1_2?keywords=Wiha+Tools+66992+22+Piece+MagicRing+Ball+End+Hex+L-Key+Set+-+Inch+-+Metric&amp;qid=1695173729&amp;sr=8-2")</f>
        <v>https://www.amazon.com/Wiha-66991-MagicRing-Holder-Piece/dp/B000WTAK2C/ref=sr_1_2?keywords=Wiha+Tools+66992+22+Piece+MagicRing+Ball+End+Hex+L-Key+Set+-+Inch+-+Metric&amp;qid=1695173729&amp;sr=8-2</v>
      </c>
      <c r="F2098" t="s">
        <v>4397</v>
      </c>
      <c r="G2098" t="e">
        <f ca="1">_xludf.IMAGE("https://edmondsonsupply.com/cdn/shop/files/29417a271125353d697d01cfdfb24cc6e99901ce_1000x_6829985f-7f40-4410-b5be-ba7bc87b2a14.webp?v=1690840271")</f>
        <v>#NAME?</v>
      </c>
      <c r="H2098" t="e">
        <f ca="1">_xludf.IMAGE("https://m.media-amazon.com/images/I/61jqxmDwZLL._AC_UL320_.jpg")</f>
        <v>#NAME?</v>
      </c>
      <c r="I2098" t="s">
        <v>4922</v>
      </c>
      <c r="J2098">
        <v>39.99</v>
      </c>
      <c r="K2098" s="4">
        <v>-0.52500000000000002</v>
      </c>
      <c r="L2098">
        <v>4.8</v>
      </c>
      <c r="M2098">
        <v>17</v>
      </c>
      <c r="O2098" t="s">
        <v>25</v>
      </c>
      <c r="P2098" t="s">
        <v>4923</v>
      </c>
      <c r="Q2098" t="s">
        <v>4924</v>
      </c>
    </row>
    <row r="2099" spans="1:17" ht="15.5" x14ac:dyDescent="0.35">
      <c r="A2099" s="3" t="str">
        <f>HYPERLINK("https://edmondsonsupply.com/collections/hvac/products/veto-pro-pac-tech-pac-wheeler-backpack-tool-bag", "https://edmondsonsupply.com/collections/hvac/products/veto-pro-pac-tech-pac-wheeler-backpack-tool-bag")</f>
        <v>https://edmondsonsupply.com/collections/hvac/products/veto-pro-pac-tech-pac-wheeler-backpack-tool-bag</v>
      </c>
      <c r="B2099" s="3" t="str">
        <f>HYPERLINK("https://edmondsonsupply.com/products/veto-pro-pac-tech-pac-wheeler-backpack-tool-bag", "https://edmondsonsupply.com/products/veto-pro-pac-tech-pac-wheeler-backpack-tool-bag")</f>
        <v>https://edmondsonsupply.com/products/veto-pro-pac-tech-pac-wheeler-backpack-tool-bag</v>
      </c>
      <c r="C2099" t="s">
        <v>756</v>
      </c>
      <c r="D2099" t="s">
        <v>501</v>
      </c>
      <c r="E2099" s="3" t="str">
        <f>HYPERLINK("https://www.amazon.com/VETO-PRO-PAC-TECH-MCT-Tool/dp/B01CENNFYS/ref=sr_1_6?keywords=Veto+Pro+Pac+TECH+PAC+WHEELER+Backpack+Tool+Bag&amp;qid=1695173465&amp;sr=8-6", "https://www.amazon.com/VETO-PRO-PAC-TECH-MCT-Tool/dp/B01CENNFYS/ref=sr_1_6?keywords=Veto+Pro+Pac+TECH+PAC+WHEELER+Backpack+Tool+Bag&amp;qid=1695173465&amp;sr=8-6")</f>
        <v>https://www.amazon.com/VETO-PRO-PAC-TECH-MCT-Tool/dp/B01CENNFYS/ref=sr_1_6?keywords=Veto+Pro+Pac+TECH+PAC+WHEELER+Backpack+Tool+Bag&amp;qid=1695173465&amp;sr=8-6</v>
      </c>
      <c r="F2099" t="s">
        <v>502</v>
      </c>
      <c r="G2099" t="e">
        <f ca="1">_xludf.IMAGE("https://edmondsonsupply.com/cdn/shop/products/01_TECH-PAC-WHEELER.jpg?v=1633031176")</f>
        <v>#NAME?</v>
      </c>
      <c r="H2099" t="e">
        <f ca="1">_xludf.IMAGE("https://m.media-amazon.com/images/I/61GanfvVX6L._AC_UL320_.jpg")</f>
        <v>#NAME?</v>
      </c>
      <c r="I2099" t="s">
        <v>42</v>
      </c>
      <c r="J2099">
        <v>189.95</v>
      </c>
      <c r="K2099" s="4">
        <v>-0.52510000000000001</v>
      </c>
      <c r="L2099">
        <v>4.8</v>
      </c>
      <c r="M2099">
        <v>2083</v>
      </c>
      <c r="O2099" t="s">
        <v>25</v>
      </c>
      <c r="P2099" t="s">
        <v>138</v>
      </c>
      <c r="Q2099" t="s">
        <v>757</v>
      </c>
    </row>
    <row r="2100" spans="1:17" ht="15.5" x14ac:dyDescent="0.35">
      <c r="A2100" s="3" t="str">
        <f>HYPERLINK("https://edmondsonsupply.com/collections/hvac/products/klein-tools-pnd-12-5-1-2-inch-power-nut-driver-5-inch-length", "https://edmondsonsupply.com/collections/hvac/products/klein-tools-pnd-12-5-1-2-inch-power-nut-driver-5-inch-length")</f>
        <v>https://edmondsonsupply.com/collections/hvac/products/klein-tools-pnd-12-5-1-2-inch-power-nut-driver-5-inch-length</v>
      </c>
      <c r="B2100" s="3" t="str">
        <f>HYPERLINK("https://edmondsonsupply.com/products/klein-tools-pnd-12-5-1-2-inch-power-nut-driver-5-inch-length", "https://edmondsonsupply.com/products/klein-tools-pnd-12-5-1-2-inch-power-nut-driver-5-inch-length")</f>
        <v>https://edmondsonsupply.com/products/klein-tools-pnd-12-5-1-2-inch-power-nut-driver-5-inch-length</v>
      </c>
      <c r="C2100" t="s">
        <v>1684</v>
      </c>
      <c r="D2100" t="s">
        <v>5585</v>
      </c>
      <c r="E2100" s="3" t="str">
        <f>HYPERLINK("https://www.amazon.com/16-Inch-Drivers-Klein-Tools-32767/dp/B09R3CWH91/ref=sr_1_6?keywords=Klein+Tools+PND-12-5+1%2F2-Inch+Power+Nut+Driver+5-Inch+Length&amp;qid=1695173525&amp;sr=8-6", "https://www.amazon.com/16-Inch-Drivers-Klein-Tools-32767/dp/B09R3CWH91/ref=sr_1_6?keywords=Klein+Tools+PND-12-5+1%2F2-Inch+Power+Nut+Driver+5-Inch+Length&amp;qid=1695173525&amp;sr=8-6")</f>
        <v>https://www.amazon.com/16-Inch-Drivers-Klein-Tools-32767/dp/B09R3CWH91/ref=sr_1_6?keywords=Klein+Tools+PND-12-5+1%2F2-Inch+Power+Nut+Driver+5-Inch+Length&amp;qid=1695173525&amp;sr=8-6</v>
      </c>
      <c r="F2100" t="s">
        <v>5586</v>
      </c>
      <c r="G2100" t="e">
        <f ca="1">_xludf.IMAGE("https://edmondsonsupply.com/cdn/shop/products/pnd125.jpg?v=1633031028")</f>
        <v>#NAME?</v>
      </c>
      <c r="H2100" t="e">
        <f ca="1">_xludf.IMAGE("https://m.media-amazon.com/images/I/51a0o6PdKNL._AC_UL320_.jpg")</f>
        <v>#NAME?</v>
      </c>
      <c r="I2100" t="s">
        <v>1687</v>
      </c>
      <c r="J2100">
        <v>8.99</v>
      </c>
      <c r="K2100" s="4">
        <v>-0.52659999999999996</v>
      </c>
      <c r="L2100">
        <v>4.4000000000000004</v>
      </c>
      <c r="M2100">
        <v>806</v>
      </c>
      <c r="O2100" t="s">
        <v>25</v>
      </c>
      <c r="P2100" t="s">
        <v>1688</v>
      </c>
      <c r="Q2100" t="s">
        <v>1689</v>
      </c>
    </row>
    <row r="2101" spans="1:17" ht="15.5" x14ac:dyDescent="0.35">
      <c r="A2101" s="3" t="str">
        <f>HYPERLINK("https://edmondsonsupply.com/collections/hvac/products/klein-tools-610-stubby-nut-driver-set-1-1-2-inch-shafts-2-piece", "https://edmondsonsupply.com/collections/hvac/products/klein-tools-610-stubby-nut-driver-set-1-1-2-inch-shafts-2-piece")</f>
        <v>https://edmondsonsupply.com/collections/hvac/products/klein-tools-610-stubby-nut-driver-set-1-1-2-inch-shafts-2-piece</v>
      </c>
      <c r="B2101" s="3" t="str">
        <f>HYPERLINK("https://edmondsonsupply.com/products/klein-tools-610-stubby-nut-driver-set-1-1-2-inch-shafts-2-piece", "https://edmondsonsupply.com/products/klein-tools-610-stubby-nut-driver-set-1-1-2-inch-shafts-2-piece")</f>
        <v>https://edmondsonsupply.com/products/klein-tools-610-stubby-nut-driver-set-1-1-2-inch-shafts-2-piece</v>
      </c>
      <c r="C2101" t="s">
        <v>3030</v>
      </c>
      <c r="D2101" t="s">
        <v>5587</v>
      </c>
      <c r="E2101" s="3" t="str">
        <f>HYPERLINK("https://www.amazon.com/4-Inch-Comfordome-Klein-Tools-SS8/dp/B00093D5HS/ref=sr_1_10?keywords=Klein+Tools+610+Stubby+Nut+Driver+Set+1-1%2F2-Inch+Shafts+2-Piece&amp;qid=1695173671&amp;sr=8-10", "https://www.amazon.com/4-Inch-Comfordome-Klein-Tools-SS8/dp/B00093D5HS/ref=sr_1_10?keywords=Klein+Tools+610+Stubby+Nut+Driver+Set+1-1%2F2-Inch+Shafts+2-Piece&amp;qid=1695173671&amp;sr=8-10")</f>
        <v>https://www.amazon.com/4-Inch-Comfordome-Klein-Tools-SS8/dp/B00093D5HS/ref=sr_1_10?keywords=Klein+Tools+610+Stubby+Nut+Driver+Set+1-1%2F2-Inch+Shafts+2-Piece&amp;qid=1695173671&amp;sr=8-10</v>
      </c>
      <c r="F2101" t="s">
        <v>5588</v>
      </c>
      <c r="G2101" t="e">
        <f ca="1">_xludf.IMAGE("https://edmondsonsupply.com/cdn/shop/products/610m_169714eb-6816-4f42-aa86-ea17ea5fcbbb.jpg?v=1633030110")</f>
        <v>#NAME?</v>
      </c>
      <c r="H2101" t="e">
        <f ca="1">_xludf.IMAGE("https://m.media-amazon.com/images/I/51OCOP+vN8L._AC_UL320_.jpg")</f>
        <v>#NAME?</v>
      </c>
      <c r="I2101" t="s">
        <v>252</v>
      </c>
      <c r="J2101">
        <v>7.51</v>
      </c>
      <c r="K2101" s="4">
        <v>-0.53029999999999999</v>
      </c>
      <c r="L2101">
        <v>4.2</v>
      </c>
      <c r="M2101">
        <v>19</v>
      </c>
      <c r="O2101" t="s">
        <v>25</v>
      </c>
      <c r="P2101" t="s">
        <v>3031</v>
      </c>
      <c r="Q2101" t="s">
        <v>3032</v>
      </c>
    </row>
    <row r="2102" spans="1:17" ht="15.5" x14ac:dyDescent="0.35">
      <c r="A2102" s="3" t="str">
        <f>HYPERLINK("https://edmondsonsupply.com/collections/hvac/products/klein-tools-610-stubby-nut-driver-set-1-1-2-inch-shafts-2-piece", "https://edmondsonsupply.com/collections/hvac/products/klein-tools-610-stubby-nut-driver-set-1-1-2-inch-shafts-2-piece")</f>
        <v>https://edmondsonsupply.com/collections/hvac/products/klein-tools-610-stubby-nut-driver-set-1-1-2-inch-shafts-2-piece</v>
      </c>
      <c r="B2102" s="3" t="str">
        <f>HYPERLINK("https://edmondsonsupply.com/products/klein-tools-610-stubby-nut-driver-set-1-1-2-inch-shafts-2-piece", "https://edmondsonsupply.com/products/klein-tools-610-stubby-nut-driver-set-1-1-2-inch-shafts-2-piece")</f>
        <v>https://edmondsonsupply.com/products/klein-tools-610-stubby-nut-driver-set-1-1-2-inch-shafts-2-piece</v>
      </c>
      <c r="C2102" t="s">
        <v>3030</v>
      </c>
      <c r="D2102" t="s">
        <v>5589</v>
      </c>
      <c r="E2102" s="3" t="str">
        <f>HYPERLINK("https://www.amazon.com/4-Inch-Cushion-Klein-Tools-610-1/dp/B001BZHUKQ/ref=sr_1_4?keywords=Klein+Tools+610+Stubby+Nut+Driver+Set+1-1%2F2-Inch+Shafts+2-Piece&amp;qid=1695173671&amp;sr=8-4", "https://www.amazon.com/4-Inch-Cushion-Klein-Tools-610-1/dp/B001BZHUKQ/ref=sr_1_4?keywords=Klein+Tools+610+Stubby+Nut+Driver+Set+1-1%2F2-Inch+Shafts+2-Piece&amp;qid=1695173671&amp;sr=8-4")</f>
        <v>https://www.amazon.com/4-Inch-Cushion-Klein-Tools-610-1/dp/B001BZHUKQ/ref=sr_1_4?keywords=Klein+Tools+610+Stubby+Nut+Driver+Set+1-1%2F2-Inch+Shafts+2-Piece&amp;qid=1695173671&amp;sr=8-4</v>
      </c>
      <c r="F2102" t="s">
        <v>5590</v>
      </c>
      <c r="G2102" t="e">
        <f ca="1">_xludf.IMAGE("https://edmondsonsupply.com/cdn/shop/products/610m_169714eb-6816-4f42-aa86-ea17ea5fcbbb.jpg?v=1633030110")</f>
        <v>#NAME?</v>
      </c>
      <c r="H2102" t="e">
        <f ca="1">_xludf.IMAGE("https://m.media-amazon.com/images/I/41jfNPcsXfL._AC_UL320_.jpg")</f>
        <v>#NAME?</v>
      </c>
      <c r="I2102" t="s">
        <v>252</v>
      </c>
      <c r="J2102">
        <v>7.49</v>
      </c>
      <c r="K2102" s="4">
        <v>-0.53159999999999996</v>
      </c>
      <c r="L2102">
        <v>4.8</v>
      </c>
      <c r="M2102">
        <v>260</v>
      </c>
      <c r="O2102" t="s">
        <v>25</v>
      </c>
      <c r="P2102" t="s">
        <v>3031</v>
      </c>
      <c r="Q2102" t="s">
        <v>3032</v>
      </c>
    </row>
    <row r="2103" spans="1:17" ht="15.5" x14ac:dyDescent="0.35">
      <c r="A2103"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2103" s="3" t="str">
        <f>HYPERLINK("https://edmondsonsupply.com/products/klein-tools-935dag-digital-angle-gauge-and-level", "https://edmondsonsupply.com/products/klein-tools-935dag-digital-angle-gauge-and-level")</f>
        <v>https://edmondsonsupply.com/products/klein-tools-935dag-digital-angle-gauge-and-level</v>
      </c>
      <c r="C2103" t="s">
        <v>1924</v>
      </c>
      <c r="D2103" t="s">
        <v>5591</v>
      </c>
      <c r="E2103" s="3" t="str">
        <f>HYPERLINK("https://www.amazon.com/LTGEM-935DAG-Digital-Electronic-Gauge/dp/B093KVTKDJ/ref=sr_1_7?keywords=Klein+Tools+935DAG+Digital+Angle+Gauge+and+Level&amp;qid=1695173564&amp;sr=8-7", "https://www.amazon.com/LTGEM-935DAG-Digital-Electronic-Gauge/dp/B093KVTKDJ/ref=sr_1_7?keywords=Klein+Tools+935DAG+Digital+Angle+Gauge+and+Level&amp;qid=1695173564&amp;sr=8-7")</f>
        <v>https://www.amazon.com/LTGEM-935DAG-Digital-Electronic-Gauge/dp/B093KVTKDJ/ref=sr_1_7?keywords=Klein+Tools+935DAG+Digital+Angle+Gauge+and+Level&amp;qid=1695173564&amp;sr=8-7</v>
      </c>
      <c r="F2103" t="s">
        <v>5592</v>
      </c>
      <c r="G2103" t="e">
        <f ca="1">_xludf.IMAGE("https://edmondsonsupply.com/cdn/shop/products/935dag.jpg?v=1587145032")</f>
        <v>#NAME?</v>
      </c>
      <c r="H2103" t="e">
        <f ca="1">_xludf.IMAGE("https://m.media-amazon.com/images/I/71g7L8fudmS._AC_UL320_.jpg")</f>
        <v>#NAME?</v>
      </c>
      <c r="I2103" t="s">
        <v>824</v>
      </c>
      <c r="J2103">
        <v>13.99</v>
      </c>
      <c r="K2103" s="4">
        <v>-0.53320000000000001</v>
      </c>
      <c r="L2103">
        <v>4.9000000000000004</v>
      </c>
      <c r="M2103">
        <v>27</v>
      </c>
      <c r="O2103" t="s">
        <v>25</v>
      </c>
      <c r="P2103" t="s">
        <v>73</v>
      </c>
      <c r="Q2103" t="s">
        <v>1927</v>
      </c>
    </row>
    <row r="2104" spans="1:17" ht="15.5" x14ac:dyDescent="0.35">
      <c r="A2104" s="3" t="str">
        <f>HYPERLINK("https://edmondsonsupply.com/collections/hvac/products/milwaukee-48-40-4515-8-circular-saw-metal-cutting-blade-42t", "https://edmondsonsupply.com/collections/hvac/products/milwaukee-48-40-4515-8-circular-saw-metal-cutting-blade-42t")</f>
        <v>https://edmondsonsupply.com/collections/hvac/products/milwaukee-48-40-4515-8-circular-saw-metal-cutting-blade-42t</v>
      </c>
      <c r="B2104" s="3" t="str">
        <f>HYPERLINK("https://edmondsonsupply.com/products/milwaukee-48-40-4515-8-circular-saw-metal-cutting-blade-42t", "https://edmondsonsupply.com/products/milwaukee-48-40-4515-8-circular-saw-metal-cutting-blade-42t")</f>
        <v>https://edmondsonsupply.com/products/milwaukee-48-40-4515-8-circular-saw-metal-cutting-blade-42t</v>
      </c>
      <c r="C2104" t="s">
        <v>5194</v>
      </c>
      <c r="D2104" t="s">
        <v>5593</v>
      </c>
      <c r="E2104" s="3" t="str">
        <f>HYPERLINK("https://www.amazon.com/Milwaukee-48-40-4006-Non-Ferrous-Cutting-Circular/dp/B000MW57T0/ref=sr_1_1?keywords=Milwaukee+48-40-4515+8%22+Circular+Saw+Metal+Cutting+Blade-+42T&amp;qid=1695173766&amp;sr=8-1", "https://www.amazon.com/Milwaukee-48-40-4006-Non-Ferrous-Cutting-Circular/dp/B000MW57T0/ref=sr_1_1?keywords=Milwaukee+48-40-4515+8%22+Circular+Saw+Metal+Cutting+Blade-+42T&amp;qid=1695173766&amp;sr=8-1")</f>
        <v>https://www.amazon.com/Milwaukee-48-40-4006-Non-Ferrous-Cutting-Circular/dp/B000MW57T0/ref=sr_1_1?keywords=Milwaukee+48-40-4515+8%22+Circular+Saw+Metal+Cutting+Blade-+42T&amp;qid=1695173766&amp;sr=8-1</v>
      </c>
      <c r="F2104" t="s">
        <v>5594</v>
      </c>
      <c r="G2104" t="e">
        <f ca="1">_xludf.IMAGE("https://edmondsonsupply.com/cdn/shop/files/48-40-4515_1.png?v=1687444386")</f>
        <v>#NAME?</v>
      </c>
      <c r="H2104" t="e">
        <f ca="1">_xludf.IMAGE("https://m.media-amazon.com/images/I/71kEzDsGyxL._AC_UL320_.jpg")</f>
        <v>#NAME?</v>
      </c>
      <c r="I2104" t="s">
        <v>5197</v>
      </c>
      <c r="J2104">
        <v>27.99</v>
      </c>
      <c r="K2104" s="4">
        <v>-0.5333</v>
      </c>
      <c r="L2104">
        <v>5</v>
      </c>
      <c r="M2104">
        <v>2</v>
      </c>
      <c r="O2104" t="s">
        <v>25</v>
      </c>
      <c r="P2104" t="s">
        <v>5198</v>
      </c>
      <c r="Q2104" t="s">
        <v>5199</v>
      </c>
    </row>
    <row r="2105" spans="1:17" ht="15.5" x14ac:dyDescent="0.35">
      <c r="A2105" s="3" t="str">
        <f>HYPERLINK("https://edmondsonsupply.com/collections/hvac/products/greenlee-gsb12-1-3-8-step-bit-12", "https://edmondsonsupply.com/collections/hvac/products/greenlee-gsb12-1-3-8-step-bit-12")</f>
        <v>https://edmondsonsupply.com/collections/hvac/products/greenlee-gsb12-1-3-8-step-bit-12</v>
      </c>
      <c r="B2105" s="3" t="str">
        <f>HYPERLINK("https://edmondsonsupply.com/products/greenlee-gsb12-1-3-8-step-bit-12", "https://edmondsonsupply.com/products/greenlee-gsb12-1-3-8-step-bit-12")</f>
        <v>https://edmondsonsupply.com/products/greenlee-gsb12-1-3-8-step-bit-12</v>
      </c>
      <c r="C2105" t="s">
        <v>5549</v>
      </c>
      <c r="D2105" t="s">
        <v>5595</v>
      </c>
      <c r="E2105" s="3" t="str">
        <f>HYPERLINK("https://www.amazon.com/Milwaukee-48-89-9212-Step-Bit-12/dp/B00LP43CPU/ref=sr_1_3?keywords=Greenlee+GSB12+1-3%2F8%22+Step+Bit+%28%2312%29&amp;qid=1695173747&amp;sr=8-3", "https://www.amazon.com/Milwaukee-48-89-9212-Step-Bit-12/dp/B00LP43CPU/ref=sr_1_3?keywords=Greenlee+GSB12+1-3%2F8%22+Step+Bit+%28%2312%29&amp;qid=1695173747&amp;sr=8-3")</f>
        <v>https://www.amazon.com/Milwaukee-48-89-9212-Step-Bit-12/dp/B00LP43CPU/ref=sr_1_3?keywords=Greenlee+GSB12+1-3%2F8%22+Step+Bit+%28%2312%29&amp;qid=1695173747&amp;sr=8-3</v>
      </c>
      <c r="F2105" t="s">
        <v>5596</v>
      </c>
      <c r="G2105" t="e">
        <f ca="1">_xludf.IMAGE("https://edmondsonsupply.com/cdn/shop/files/GSB12_CAT1_72dpi.jpg?v=1687789899")</f>
        <v>#NAME?</v>
      </c>
      <c r="H2105" t="e">
        <f ca="1">_xludf.IMAGE("https://m.media-amazon.com/images/I/51M5oiL9tAL._AC_UY218_.jpg")</f>
        <v>#NAME?</v>
      </c>
      <c r="I2105" t="s">
        <v>5550</v>
      </c>
      <c r="J2105">
        <v>40</v>
      </c>
      <c r="K2105" s="4">
        <v>-0.53369999999999995</v>
      </c>
      <c r="L2105">
        <v>4.5</v>
      </c>
      <c r="M2105">
        <v>103</v>
      </c>
      <c r="O2105" t="s">
        <v>25</v>
      </c>
      <c r="P2105" t="s">
        <v>5551</v>
      </c>
      <c r="Q2105" t="s">
        <v>5552</v>
      </c>
    </row>
    <row r="2106" spans="1:17" ht="15.5" x14ac:dyDescent="0.35">
      <c r="A2106"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2106"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2106" t="s">
        <v>3118</v>
      </c>
      <c r="D2106" t="s">
        <v>3163</v>
      </c>
      <c r="E2106" s="3" t="str">
        <f>HYPERLINK("https://www.amazon.com/Journeyman-T-Handle-Klein-Tools-JTH9E14/dp/B004QVAH4I/ref=sr_1_5?keywords=Klein+Tools+JTH4E17+1%2F2-Inch+Hex+Key%2C+Journeyman+T-Handle%2C+4-Inch&amp;qid=1695173633&amp;sr=8-5", "https://www.amazon.com/Journeyman-T-Handle-Klein-Tools-JTH9E14/dp/B004QVAH4I/ref=sr_1_5?keywords=Klein+Tools+JTH4E17+1%2F2-Inch+Hex+Key%2C+Journeyman+T-Handle%2C+4-Inch&amp;qid=1695173633&amp;sr=8-5")</f>
        <v>https://www.amazon.com/Journeyman-T-Handle-Klein-Tools-JTH9E14/dp/B004QVAH4I/ref=sr_1_5?keywords=Klein+Tools+JTH4E17+1%2F2-Inch+Hex+Key%2C+Journeyman+T-Handle%2C+4-Inch&amp;qid=1695173633&amp;sr=8-5</v>
      </c>
      <c r="F2106" t="s">
        <v>3164</v>
      </c>
      <c r="G2106" t="e">
        <f ca="1">_xludf.IMAGE("https://edmondsonsupply.com/cdn/shop/products/jth4e17_583549be-7b42-43c7-9c3d-a92f2416ede5.jpg?v=1610655610")</f>
        <v>#NAME?</v>
      </c>
      <c r="H2106" t="e">
        <f ca="1">_xludf.IMAGE("https://m.media-amazon.com/images/I/51Yb8h41vLL._AC_UL320_.jpg")</f>
        <v>#NAME?</v>
      </c>
      <c r="I2106" t="s">
        <v>252</v>
      </c>
      <c r="J2106">
        <v>7.44</v>
      </c>
      <c r="K2106" s="4">
        <v>-0.53469999999999995</v>
      </c>
      <c r="L2106">
        <v>4.8</v>
      </c>
      <c r="M2106">
        <v>114</v>
      </c>
      <c r="O2106" t="s">
        <v>25</v>
      </c>
      <c r="P2106" t="s">
        <v>3121</v>
      </c>
      <c r="Q2106" t="s">
        <v>3122</v>
      </c>
    </row>
    <row r="2107" spans="1:17" ht="15.5" x14ac:dyDescent="0.35">
      <c r="A2107" s="3" t="str">
        <f>HYPERLINK("https://edmondsonsupply.com/collections/hvac/products/greenlee-gsb09-1-1-8-step-bit-9", "https://edmondsonsupply.com/collections/hvac/products/greenlee-gsb09-1-1-8-step-bit-9")</f>
        <v>https://edmondsonsupply.com/collections/hvac/products/greenlee-gsb09-1-1-8-step-bit-9</v>
      </c>
      <c r="B2107" s="3" t="str">
        <f>HYPERLINK("https://edmondsonsupply.com/products/greenlee-gsb09-1-1-8-step-bit-9", "https://edmondsonsupply.com/products/greenlee-gsb09-1-1-8-step-bit-9")</f>
        <v>https://edmondsonsupply.com/products/greenlee-gsb09-1-1-8-step-bit-9</v>
      </c>
      <c r="C2107" t="s">
        <v>4952</v>
      </c>
      <c r="D2107" t="s">
        <v>4378</v>
      </c>
      <c r="E2107" s="3" t="str">
        <f>HYPERLINK("https://www.amazon.com/Greenlee-GSB04-Step-Bit/dp/B08TVF22W4/ref=sr_1_2?keywords=Greenlee+GSB09+1-1%2F8%22+Step+Bit+%28%239%29&amp;qid=1695173750&amp;sr=8-2", "https://www.amazon.com/Greenlee-GSB04-Step-Bit/dp/B08TVF22W4/ref=sr_1_2?keywords=Greenlee+GSB09+1-1%2F8%22+Step+Bit+%28%239%29&amp;qid=1695173750&amp;sr=8-2")</f>
        <v>https://www.amazon.com/Greenlee-GSB04-Step-Bit/dp/B08TVF22W4/ref=sr_1_2?keywords=Greenlee+GSB09+1-1%2F8%22+Step+Bit+%28%239%29&amp;qid=1695173750&amp;sr=8-2</v>
      </c>
      <c r="F2107" t="s">
        <v>4379</v>
      </c>
      <c r="G2107" t="e">
        <f ca="1">_xludf.IMAGE("https://edmondsonsupply.com/cdn/shop/files/GSB09_CAT1_72dpi.jpg?v=1687787938")</f>
        <v>#NAME?</v>
      </c>
      <c r="H2107" t="e">
        <f ca="1">_xludf.IMAGE("https://m.media-amazon.com/images/I/41FX4czhS0L._AC_UY218_.jpg")</f>
        <v>#NAME?</v>
      </c>
      <c r="I2107" t="s">
        <v>4953</v>
      </c>
      <c r="J2107">
        <v>32</v>
      </c>
      <c r="K2107" s="4">
        <v>-0.53800000000000003</v>
      </c>
      <c r="L2107">
        <v>5</v>
      </c>
      <c r="M2107">
        <v>7</v>
      </c>
      <c r="O2107" t="s">
        <v>25</v>
      </c>
      <c r="P2107" t="s">
        <v>4954</v>
      </c>
      <c r="Q2107" t="s">
        <v>4955</v>
      </c>
    </row>
    <row r="2108" spans="1:17" ht="15.5" x14ac:dyDescent="0.35">
      <c r="A2108" s="3" t="str">
        <f>HYPERLINK("https://edmondsonsupply.com/collections/hvac/products/icm-controls-icm282b-furnace-control-board-replacement-for-carrier", "https://edmondsonsupply.com/collections/hvac/products/icm-controls-icm282b-furnace-control-board-replacement-for-carrier")</f>
        <v>https://edmondsonsupply.com/collections/hvac/products/icm-controls-icm282b-furnace-control-board-replacement-for-carrier</v>
      </c>
      <c r="B2108" s="3" t="str">
        <f>HYPERLINK("https://edmondsonsupply.com/products/icm-controls-icm282b-furnace-control-board-replacement-for-carrier", "https://edmondsonsupply.com/products/icm-controls-icm282b-furnace-control-board-replacement-for-carrier")</f>
        <v>https://edmondsonsupply.com/products/icm-controls-icm282b-furnace-control-board-replacement-for-carrier</v>
      </c>
      <c r="C2108" t="s">
        <v>4449</v>
      </c>
      <c r="D2108" t="s">
        <v>5597</v>
      </c>
      <c r="E2108" s="3" t="str">
        <f>HYPERLINK("https://www.amazon.com/ICM-Controls-ICM281-Replacement-CES0110057-xx/dp/B004I5FD4G/ref=sr_1_3?keywords=ICM+Controls+ICM282B+Furnace+Control+Board+-+Replacement+for+Carrier&amp;qid=1695173504&amp;sr=8-3", "https://www.amazon.com/ICM-Controls-ICM281-Replacement-CES0110057-xx/dp/B004I5FD4G/ref=sr_1_3?keywords=ICM+Controls+ICM282B+Furnace+Control+Board+-+Replacement+for+Carrier&amp;qid=1695173504&amp;sr=8-3")</f>
        <v>https://www.amazon.com/ICM-Controls-ICM281-Replacement-CES0110057-xx/dp/B004I5FD4G/ref=sr_1_3?keywords=ICM+Controls+ICM282B+Furnace+Control+Board+-+Replacement+for+Carrier&amp;qid=1695173504&amp;sr=8-3</v>
      </c>
      <c r="F2108" t="s">
        <v>5598</v>
      </c>
      <c r="G2108" t="e">
        <f ca="1">_xludf.IMAGE("https://edmondsonsupply.com/cdn/shop/products/57_5_96e476f9-dc43-4075-94fb-2c5efeccce22.jpg?v=1659481947")</f>
        <v>#NAME?</v>
      </c>
      <c r="H2108" t="e">
        <f ca="1">_xludf.IMAGE("https://m.media-amazon.com/images/I/71C0alQJulL._AC_UL320_.jpg")</f>
        <v>#NAME?</v>
      </c>
      <c r="I2108" t="s">
        <v>4452</v>
      </c>
      <c r="J2108">
        <v>89.99</v>
      </c>
      <c r="K2108" s="4">
        <v>-0.54079999999999995</v>
      </c>
      <c r="L2108">
        <v>4.7</v>
      </c>
      <c r="M2108">
        <v>383</v>
      </c>
      <c r="O2108" t="s">
        <v>25</v>
      </c>
      <c r="P2108" t="s">
        <v>4453</v>
      </c>
      <c r="Q2108" t="s">
        <v>4454</v>
      </c>
    </row>
    <row r="2109" spans="1:17" ht="15.5" x14ac:dyDescent="0.35">
      <c r="A2109"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2109"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2109" t="s">
        <v>3118</v>
      </c>
      <c r="D2109" t="s">
        <v>5599</v>
      </c>
      <c r="E2109" s="3" t="str">
        <f>HYPERLINK("https://www.amazon.com/Klein-Tools-JTH4E13-Journeyman-T-Handle/dp/B007GH2CDS/ref=sr_1_3?keywords=Klein+Tools+JTH4E17+1%2F2-Inch+Hex+Key%2C+Journeyman+T-Handle%2C+4-Inch&amp;qid=1695173633&amp;sr=8-3", "https://www.amazon.com/Klein-Tools-JTH4E13-Journeyman-T-Handle/dp/B007GH2CDS/ref=sr_1_3?keywords=Klein+Tools+JTH4E17+1%2F2-Inch+Hex+Key%2C+Journeyman+T-Handle%2C+4-Inch&amp;qid=1695173633&amp;sr=8-3")</f>
        <v>https://www.amazon.com/Klein-Tools-JTH4E13-Journeyman-T-Handle/dp/B007GH2CDS/ref=sr_1_3?keywords=Klein+Tools+JTH4E17+1%2F2-Inch+Hex+Key%2C+Journeyman+T-Handle%2C+4-Inch&amp;qid=1695173633&amp;sr=8-3</v>
      </c>
      <c r="F2109" t="s">
        <v>5600</v>
      </c>
      <c r="G2109" t="e">
        <f ca="1">_xludf.IMAGE("https://edmondsonsupply.com/cdn/shop/products/jth4e17_583549be-7b42-43c7-9c3d-a92f2416ede5.jpg?v=1610655610")</f>
        <v>#NAME?</v>
      </c>
      <c r="H2109" t="e">
        <f ca="1">_xludf.IMAGE("https://m.media-amazon.com/images/I/41ERRKlO36L._AC_UL320_.jpg")</f>
        <v>#NAME?</v>
      </c>
      <c r="I2109" t="s">
        <v>252</v>
      </c>
      <c r="J2109">
        <v>7.3</v>
      </c>
      <c r="K2109" s="4">
        <v>-0.54349999999999998</v>
      </c>
      <c r="L2109">
        <v>4.8</v>
      </c>
      <c r="M2109">
        <v>2479</v>
      </c>
      <c r="O2109" t="s">
        <v>25</v>
      </c>
      <c r="P2109" t="s">
        <v>3121</v>
      </c>
      <c r="Q2109" t="s">
        <v>3122</v>
      </c>
    </row>
    <row r="2110" spans="1:17" ht="15.5" x14ac:dyDescent="0.35">
      <c r="A2110" s="3" t="str">
        <f>HYPERLINK("https://edmondsonsupply.com/collections/hvac/products/milwaukee-2912-22-m18-fuel%E2%84%A2-1-sds-plus-rotary-hammer-kit", "https://edmondsonsupply.com/collections/hvac/products/milwaukee-2912-22-m18-fuel%E2%84%A2-1-sds-plus-rotary-hammer-kit")</f>
        <v>https://edmondsonsupply.com/collections/hvac/products/milwaukee-2912-22-m18-fuel%E2%84%A2-1-sds-plus-rotary-hammer-kit</v>
      </c>
      <c r="B2110" s="3" t="str">
        <f>HYPERLINK("https://edmondsonsupply.com/products/milwaukee-2912-22-m18-fuel%e2%84%a2-1-sds-plus-rotary-hammer-kit", "https://edmondsonsupply.com/products/milwaukee-2912-22-m18-fuel%e2%84%a2-1-sds-plus-rotary-hammer-kit")</f>
        <v>https://edmondsonsupply.com/products/milwaukee-2912-22-m18-fuel%e2%84%a2-1-sds-plus-rotary-hammer-kit</v>
      </c>
      <c r="C2110" t="s">
        <v>3848</v>
      </c>
      <c r="D2110" t="s">
        <v>5601</v>
      </c>
      <c r="E2110" s="3" t="str">
        <f>HYPERLINK("https://www.amazon.com/Milwaukee-2912-20-Brushless-Rotary-Hammer/dp/B09PMSKXRV/ref=sr_1_4?keywords=Milwaukee+2912-22+M18+FUEL%E2%84%A2+1%22+SDS+Plus+Rotary+Hammer+Kit&amp;qid=1695173755&amp;sr=8-4", "https://www.amazon.com/Milwaukee-2912-20-Brushless-Rotary-Hammer/dp/B09PMSKXRV/ref=sr_1_4?keywords=Milwaukee+2912-22+M18+FUEL%E2%84%A2+1%22+SDS+Plus+Rotary+Hammer+Kit&amp;qid=1695173755&amp;sr=8-4")</f>
        <v>https://www.amazon.com/Milwaukee-2912-20-Brushless-Rotary-Hammer/dp/B09PMSKXRV/ref=sr_1_4?keywords=Milwaukee+2912-22+M18+FUEL%E2%84%A2+1%22+SDS+Plus+Rotary+Hammer+Kit&amp;qid=1695173755&amp;sr=8-4</v>
      </c>
      <c r="F2110" t="s">
        <v>5602</v>
      </c>
      <c r="G2110" t="e">
        <f ca="1">_xludf.IMAGE("https://edmondsonsupply.com/cdn/shop/files/2912-20_1.webp?v=1686934956")</f>
        <v>#NAME?</v>
      </c>
      <c r="H2110" t="e">
        <f ca="1">_xludf.IMAGE("https://m.media-amazon.com/images/I/41U4w5Nkf8L._AC_UL320_.jpg")</f>
        <v>#NAME?</v>
      </c>
      <c r="I2110" t="s">
        <v>3851</v>
      </c>
      <c r="J2110">
        <v>271.36</v>
      </c>
      <c r="K2110" s="4">
        <v>-0.54700000000000004</v>
      </c>
      <c r="L2110">
        <v>4.7</v>
      </c>
      <c r="M2110">
        <v>124</v>
      </c>
      <c r="O2110" t="s">
        <v>25</v>
      </c>
      <c r="P2110" t="s">
        <v>3852</v>
      </c>
      <c r="Q2110" t="s">
        <v>3853</v>
      </c>
    </row>
    <row r="2111" spans="1:17" ht="15.5" x14ac:dyDescent="0.35">
      <c r="A2111" s="3" t="str">
        <f>HYPERLINK("https://edmondsonsupply.com/collections/hvac/products/jb-industries-a31999-100-1-4-valve-core-replacement-100-pack", "https://edmondsonsupply.com/collections/hvac/products/jb-industries-a31999-100-1-4-valve-core-replacement-100-pack")</f>
        <v>https://edmondsonsupply.com/collections/hvac/products/jb-industries-a31999-100-1-4-valve-core-replacement-100-pack</v>
      </c>
      <c r="B2111" s="3" t="str">
        <f>HYPERLINK("https://edmondsonsupply.com/products/jb-industries-a31999-100-1-4-valve-core-replacement-100-pack", "https://edmondsonsupply.com/products/jb-industries-a31999-100-1-4-valve-core-replacement-100-pack")</f>
        <v>https://edmondsonsupply.com/products/jb-industries-a31999-100-1-4-valve-core-replacement-100-pack</v>
      </c>
      <c r="C2111" t="s">
        <v>5603</v>
      </c>
      <c r="D2111" t="s">
        <v>5604</v>
      </c>
      <c r="E2111" s="3" t="str">
        <f>HYPERLINK("https://www.amazon.com/industries-a31999-100-valve-core/dp/B00E1NKJ26/ref=sr_1_2?keywords=JB+Industries+A31999-100+1%2F4%22+Valve+Core+Replacement+%28100+Pack%29&amp;qid=1695173717&amp;sr=8-2", "https://www.amazon.com/industries-a31999-100-valve-core/dp/B00E1NKJ26/ref=sr_1_2?keywords=JB+Industries+A31999-100+1%2F4%22+Valve+Core+Replacement+%28100+Pack%29&amp;qid=1695173717&amp;sr=8-2")</f>
        <v>https://www.amazon.com/industries-a31999-100-valve-core/dp/B00E1NKJ26/ref=sr_1_2?keywords=JB+Industries+A31999-100+1%2F4%22+Valve+Core+Replacement+%28100+Pack%29&amp;qid=1695173717&amp;sr=8-2</v>
      </c>
      <c r="F2111" t="s">
        <v>5605</v>
      </c>
      <c r="G2111" t="e">
        <f ca="1">_xludf.IMAGE("https://edmondsonsupply.com/cdn/shop/files/A31999-JB-Valve-Cores-Access-Valves_17209224-bf02-4c5b-ac77-b1ec6911778b.png?v=1692481141")</f>
        <v>#NAME?</v>
      </c>
      <c r="H2111" t="e">
        <f ca="1">_xludf.IMAGE("https://m.media-amazon.com/images/I/21+Fh4IW--L._AC_UL320_.jpg")</f>
        <v>#NAME?</v>
      </c>
      <c r="I2111" t="s">
        <v>2906</v>
      </c>
      <c r="J2111">
        <v>29.98</v>
      </c>
      <c r="K2111" s="4">
        <v>-0.54849999999999999</v>
      </c>
      <c r="L2111">
        <v>5</v>
      </c>
      <c r="M2111">
        <v>1</v>
      </c>
      <c r="O2111" t="s">
        <v>25</v>
      </c>
      <c r="P2111" t="s">
        <v>5606</v>
      </c>
      <c r="Q2111" t="s">
        <v>5607</v>
      </c>
    </row>
    <row r="2112" spans="1:17" ht="15.5" x14ac:dyDescent="0.35">
      <c r="A2112" s="3" t="str">
        <f>HYPERLINK("https://edmondsonsupply.com/collections/hvac/products/sioux-chief-672xv0490-3-4-pex-inlet-x-4-1-2-pex-branches-valved-manifold", "https://edmondsonsupply.com/collections/hvac/products/sioux-chief-672xv0490-3-4-pex-inlet-x-4-1-2-pex-branches-valved-manifold")</f>
        <v>https://edmondsonsupply.com/collections/hvac/products/sioux-chief-672xv0490-3-4-pex-inlet-x-4-1-2-pex-branches-valved-manifold</v>
      </c>
      <c r="B2112" s="3" t="str">
        <f>HYPERLINK("https://edmondsonsupply.com/products/sioux-chief-672xv0490-3-4-pex-inlet-x-4-1-2-pex-branches-valved-manifold", "https://edmondsonsupply.com/products/sioux-chief-672xv0490-3-4-pex-inlet-x-4-1-2-pex-branches-valved-manifold")</f>
        <v>https://edmondsonsupply.com/products/sioux-chief-672xv0490-3-4-pex-inlet-x-4-1-2-pex-branches-valved-manifold</v>
      </c>
      <c r="C2112" t="s">
        <v>2526</v>
      </c>
      <c r="D2112" t="s">
        <v>5608</v>
      </c>
      <c r="E2112" s="3" t="str">
        <f>HYPERLINK("https://www.amazon.com/Sioux-Chief-672X0490-Plumbing-Manifold/dp/B003QSOB9E/ref=sr_1_3?keywords=Sioux+Chief+672XV0490+3%2F4%22+PEX+Inlet+x+%284%29+1%2F2%22+PEX+Branches+Valved+Manifold&amp;qid=1695173446&amp;sr=8-3", "https://www.amazon.com/Sioux-Chief-672X0490-Plumbing-Manifold/dp/B003QSOB9E/ref=sr_1_3?keywords=Sioux+Chief+672XV0490+3%2F4%22+PEX+Inlet+x+%284%29+1%2F2%22+PEX+Branches+Valved+Manifold&amp;qid=1695173446&amp;sr=8-3")</f>
        <v>https://www.amazon.com/Sioux-Chief-672X0490-Plumbing-Manifold/dp/B003QSOB9E/ref=sr_1_3?keywords=Sioux+Chief+672XV0490+3%2F4%22+PEX+Inlet+x+%284%29+1%2F2%22+PEX+Branches+Valved+Manifold&amp;qid=1695173446&amp;sr=8-3</v>
      </c>
      <c r="F2112" t="s">
        <v>5609</v>
      </c>
      <c r="G2112" t="e">
        <f ca="1">_xludf.IMAGE("https://edmondsonsupply.com/cdn/shop/products/672XV0490.jpg?v=1587147465")</f>
        <v>#NAME?</v>
      </c>
      <c r="H2112" t="e">
        <f ca="1">_xludf.IMAGE("https://m.media-amazon.com/images/I/21CfvwfLqvL._AC_UL320_.jpg")</f>
        <v>#NAME?</v>
      </c>
      <c r="I2112" t="s">
        <v>2529</v>
      </c>
      <c r="J2112">
        <v>30.79</v>
      </c>
      <c r="K2112" s="4">
        <v>-0.54890000000000005</v>
      </c>
      <c r="L2112">
        <v>4.4000000000000004</v>
      </c>
      <c r="M2112">
        <v>54</v>
      </c>
      <c r="O2112" t="s">
        <v>25</v>
      </c>
      <c r="P2112" t="s">
        <v>1135</v>
      </c>
      <c r="Q2112" t="s">
        <v>2530</v>
      </c>
    </row>
    <row r="2113" spans="1:17" ht="15.5" x14ac:dyDescent="0.35">
      <c r="A2113" s="3" t="str">
        <f>HYPERLINK("https://edmondsonsupply.com/collections/hvac/products/veto-pro-pac-tech-pac-wheeler-backpack-tool-bag", "https://edmondsonsupply.com/collections/hvac/products/veto-pro-pac-tech-pac-wheeler-backpack-tool-bag")</f>
        <v>https://edmondsonsupply.com/collections/hvac/products/veto-pro-pac-tech-pac-wheeler-backpack-tool-bag</v>
      </c>
      <c r="B2113" s="3" t="str">
        <f>HYPERLINK("https://edmondsonsupply.com/products/veto-pro-pac-tech-pac-wheeler-backpack-tool-bag", "https://edmondsonsupply.com/products/veto-pro-pac-tech-pac-wheeler-backpack-tool-bag")</f>
        <v>https://edmondsonsupply.com/products/veto-pro-pac-tech-pac-wheeler-backpack-tool-bag</v>
      </c>
      <c r="C2113" t="s">
        <v>756</v>
      </c>
      <c r="D2113" t="s">
        <v>509</v>
      </c>
      <c r="E2113" s="3" t="str">
        <f>HYPERLINK("https://www.amazon.com/Veto-TECH-OT-SC-Sub-Compact-Electrician/dp/B09ZC63KFK/ref=sr_1_7?keywords=Veto+Pro+Pac+TECH+PAC+WHEELER+Backpack+Tool+Bag&amp;qid=1695173465&amp;sr=8-7", "https://www.amazon.com/Veto-TECH-OT-SC-Sub-Compact-Electrician/dp/B09ZC63KFK/ref=sr_1_7?keywords=Veto+Pro+Pac+TECH+PAC+WHEELER+Backpack+Tool+Bag&amp;qid=1695173465&amp;sr=8-7")</f>
        <v>https://www.amazon.com/Veto-TECH-OT-SC-Sub-Compact-Electrician/dp/B09ZC63KFK/ref=sr_1_7?keywords=Veto+Pro+Pac+TECH+PAC+WHEELER+Backpack+Tool+Bag&amp;qid=1695173465&amp;sr=8-7</v>
      </c>
      <c r="F2113" t="s">
        <v>510</v>
      </c>
      <c r="G2113" t="e">
        <f ca="1">_xludf.IMAGE("https://edmondsonsupply.com/cdn/shop/products/01_TECH-PAC-WHEELER.jpg?v=1633031176")</f>
        <v>#NAME?</v>
      </c>
      <c r="H2113" t="e">
        <f ca="1">_xludf.IMAGE("https://m.media-amazon.com/images/I/51LTwfYG5eL._AC_UL320_.jpg")</f>
        <v>#NAME?</v>
      </c>
      <c r="I2113" t="s">
        <v>42</v>
      </c>
      <c r="J2113">
        <v>179.95</v>
      </c>
      <c r="K2113" s="4">
        <v>-0.55010000000000003</v>
      </c>
      <c r="L2113">
        <v>4.7</v>
      </c>
      <c r="M2113">
        <v>21</v>
      </c>
      <c r="O2113" t="s">
        <v>25</v>
      </c>
      <c r="P2113" t="s">
        <v>138</v>
      </c>
      <c r="Q2113" t="s">
        <v>757</v>
      </c>
    </row>
    <row r="2114" spans="1:17" ht="15.5" x14ac:dyDescent="0.35">
      <c r="A2114" s="3" t="str">
        <f>HYPERLINK("https://edmondsonsupply.com/collections/hvac/products/icm-controls-icm450-3-phase-line-voltage-monitor", "https://edmondsonsupply.com/collections/hvac/products/icm-controls-icm450-3-phase-line-voltage-monitor")</f>
        <v>https://edmondsonsupply.com/collections/hvac/products/icm-controls-icm450-3-phase-line-voltage-monitor</v>
      </c>
      <c r="B2114" s="3" t="str">
        <f>HYPERLINK("https://edmondsonsupply.com/products/icm-controls-icm450-3-phase-line-voltage-monitor", "https://edmondsonsupply.com/products/icm-controls-icm450-3-phase-line-voltage-monitor")</f>
        <v>https://edmondsonsupply.com/products/icm-controls-icm450-3-phase-line-voltage-monitor</v>
      </c>
      <c r="C2114" t="s">
        <v>4154</v>
      </c>
      <c r="D2114" t="s">
        <v>2542</v>
      </c>
      <c r="E2114" s="3" t="str">
        <f>HYPERLINK("https://www.amazon.com/ICM-Controls-ICM402-Three-Phase-Protection/dp/B0018MLVUM/ref=sr_1_7?keywords=ICM+Controls+ICM450A+3+Phase+Line+Voltage+Monitor&amp;qid=1695173452&amp;sr=8-7", "https://www.amazon.com/ICM-Controls-ICM402-Three-Phase-Protection/dp/B0018MLVUM/ref=sr_1_7?keywords=ICM+Controls+ICM450A+3+Phase+Line+Voltage+Monitor&amp;qid=1695173452&amp;sr=8-7")</f>
        <v>https://www.amazon.com/ICM-Controls-ICM402-Three-Phase-Protection/dp/B0018MLVUM/ref=sr_1_7?keywords=ICM+Controls+ICM450A+3+Phase+Line+Voltage+Monitor&amp;qid=1695173452&amp;sr=8-7</v>
      </c>
      <c r="F2114" t="s">
        <v>2543</v>
      </c>
      <c r="G2114" t="e">
        <f ca="1">_xludf.IMAGE("https://edmondsonsupply.com/cdn/shop/products/450A.png?v=1666732398")</f>
        <v>#NAME?</v>
      </c>
      <c r="H2114" t="e">
        <f ca="1">_xludf.IMAGE("https://m.media-amazon.com/images/I/61uSt801lEL._AC_UL320_.jpg")</f>
        <v>#NAME?</v>
      </c>
      <c r="I2114" t="s">
        <v>4155</v>
      </c>
      <c r="J2114">
        <v>67.16</v>
      </c>
      <c r="K2114" s="4">
        <v>-0.55220000000000002</v>
      </c>
      <c r="L2114">
        <v>3.9</v>
      </c>
      <c r="M2114">
        <v>7</v>
      </c>
      <c r="O2114" t="s">
        <v>25</v>
      </c>
      <c r="P2114" t="s">
        <v>4156</v>
      </c>
      <c r="Q2114" t="s">
        <v>4157</v>
      </c>
    </row>
    <row r="2115" spans="1:17" ht="15.5" x14ac:dyDescent="0.35">
      <c r="A2115" s="3" t="str">
        <f>HYPERLINK("https://edmondsonsupply.com/collections/hvac/products/icm-controls-icm289-furnace-control-board-replacement-for-lennox", "https://edmondsonsupply.com/collections/hvac/products/icm-controls-icm289-furnace-control-board-replacement-for-lennox")</f>
        <v>https://edmondsonsupply.com/collections/hvac/products/icm-controls-icm289-furnace-control-board-replacement-for-lennox</v>
      </c>
      <c r="B2115" s="3" t="str">
        <f>HYPERLINK("https://edmondsonsupply.com/products/icm-controls-icm289-furnace-control-board-replacement-for-lennox", "https://edmondsonsupply.com/products/icm-controls-icm289-furnace-control-board-replacement-for-lennox")</f>
        <v>https://edmondsonsupply.com/products/icm-controls-icm289-furnace-control-board-replacement-for-lennox</v>
      </c>
      <c r="C2115" t="s">
        <v>2160</v>
      </c>
      <c r="D2115" t="s">
        <v>5510</v>
      </c>
      <c r="E2115" s="3" t="str">
        <f>HYPERLINK("https://www.amazon.com/ICM284-Aftermarket-Upgraded-Replacement-Controls/dp/B07KPKHNZ9/ref=sr_1_4?keywords=ICM+Controls+ICM289+Furnace+Control+Board+-+Replacement+for+Lennox&amp;qid=1695173465&amp;sr=8-4", "https://www.amazon.com/ICM284-Aftermarket-Upgraded-Replacement-Controls/dp/B07KPKHNZ9/ref=sr_1_4?keywords=ICM+Controls+ICM289+Furnace+Control+Board+-+Replacement+for+Lennox&amp;qid=1695173465&amp;sr=8-4")</f>
        <v>https://www.amazon.com/ICM284-Aftermarket-Upgraded-Replacement-Controls/dp/B07KPKHNZ9/ref=sr_1_4?keywords=ICM+Controls+ICM289+Furnace+Control+Board+-+Replacement+for+Lennox&amp;qid=1695173465&amp;sr=8-4</v>
      </c>
      <c r="F2115" t="s">
        <v>5511</v>
      </c>
      <c r="G2115" t="e">
        <f ca="1">_xludf.IMAGE("https://edmondsonsupply.com/cdn/shop/products/photo_3601_medium_abc82be0-5d13-465a-9be5-04a6748e2d27.png?v=1656728911")</f>
        <v>#NAME?</v>
      </c>
      <c r="H2115" t="e">
        <f ca="1">_xludf.IMAGE("https://m.media-amazon.com/images/I/41SnX6Y7LHL._AC_UL320_.jpg")</f>
        <v>#NAME?</v>
      </c>
      <c r="I2115" t="s">
        <v>460</v>
      </c>
      <c r="J2115">
        <v>59.99</v>
      </c>
      <c r="K2115" s="4">
        <v>-0.55559999999999998</v>
      </c>
      <c r="L2115">
        <v>5</v>
      </c>
      <c r="M2115">
        <v>1</v>
      </c>
      <c r="O2115" t="s">
        <v>171</v>
      </c>
      <c r="P2115" t="s">
        <v>2163</v>
      </c>
      <c r="Q2115" t="s">
        <v>2164</v>
      </c>
    </row>
    <row r="2116" spans="1:17" ht="15.5" x14ac:dyDescent="0.35">
      <c r="A2116" s="3" t="str">
        <f>HYPERLINK("https://edmondsonsupply.com/collections/hvac/products/fresh-aire-uv-tuvl-215p-2-year-blue-tube-replacement-uv-lamp", "https://edmondsonsupply.com/collections/hvac/products/fresh-aire-uv-tuvl-215p-2-year-blue-tube-replacement-uv-lamp")</f>
        <v>https://edmondsonsupply.com/collections/hvac/products/fresh-aire-uv-tuvl-215p-2-year-blue-tube-replacement-uv-lamp</v>
      </c>
      <c r="B2116" s="3" t="str">
        <f>HYPERLINK("https://edmondsonsupply.com/products/fresh-aire-uv-tuvl-215p-2-year-blue-tube-replacement-uv-lamp", "https://edmondsonsupply.com/products/fresh-aire-uv-tuvl-215p-2-year-blue-tube-replacement-uv-lamp")</f>
        <v>https://edmondsonsupply.com/products/fresh-aire-uv-tuvl-215p-2-year-blue-tube-replacement-uv-lamp</v>
      </c>
      <c r="C2116" t="s">
        <v>2034</v>
      </c>
      <c r="D2116" t="s">
        <v>5610</v>
      </c>
      <c r="E2116" s="3" t="str">
        <f>HYPERLINK("https://www.amazon.com/LSE-Lighting-TUV-APCO-DER2-TUV-APCO-SI2P-TUV-APCO-DI2P/dp/B0BFSSHTT5/ref=sr_1_4?keywords=Fresh-Aire+UV+TUVL-215P%2C+2-Year+Blue-Tube+Replacement+UV+Lamp&amp;qid=1695173329&amp;sr=8-4", "https://www.amazon.com/LSE-Lighting-TUV-APCO-DER2-TUV-APCO-SI2P-TUV-APCO-DI2P/dp/B0BFSSHTT5/ref=sr_1_4?keywords=Fresh-Aire+UV+TUVL-215P%2C+2-Year+Blue-Tube+Replacement+UV+Lamp&amp;qid=1695173329&amp;sr=8-4")</f>
        <v>https://www.amazon.com/LSE-Lighting-TUV-APCO-DER2-TUV-APCO-SI2P-TUV-APCO-DI2P/dp/B0BFSSHTT5/ref=sr_1_4?keywords=Fresh-Aire+UV+TUVL-215P%2C+2-Year+Blue-Tube+Replacement+UV+Lamp&amp;qid=1695173329&amp;sr=8-4</v>
      </c>
      <c r="F2116" t="s">
        <v>5611</v>
      </c>
      <c r="G2116" t="e">
        <f ca="1">_xludf.IMAGE("https://edmondsonsupply.com/cdn/shop/products/TUVL-215P.jpg?v=1633030216")</f>
        <v>#NAME?</v>
      </c>
      <c r="H2116" t="e">
        <f ca="1">_xludf.IMAGE("https://m.media-amazon.com/images/I/31MNaScLYrS._AC_UL320_.jpg")</f>
        <v>#NAME?</v>
      </c>
      <c r="I2116" t="s">
        <v>2037</v>
      </c>
      <c r="J2116">
        <v>48</v>
      </c>
      <c r="K2116" s="4">
        <v>-0.55569999999999997</v>
      </c>
      <c r="L2116">
        <v>4.4000000000000004</v>
      </c>
      <c r="M2116">
        <v>26</v>
      </c>
      <c r="O2116" t="s">
        <v>25</v>
      </c>
      <c r="P2116" t="s">
        <v>138</v>
      </c>
      <c r="Q2116" t="s">
        <v>2038</v>
      </c>
    </row>
    <row r="2117" spans="1:17" ht="15.5" x14ac:dyDescent="0.35">
      <c r="A2117" s="3" t="str">
        <f>HYPERLINK("https://edmondsonsupply.com/collections/hvac/products/fresh-aire-uv-apco-tuvl-215-2-year-replacement-uv-lamp", "https://edmondsonsupply.com/collections/hvac/products/fresh-aire-uv-apco-tuvl-215-2-year-replacement-uv-lamp")</f>
        <v>https://edmondsonsupply.com/collections/hvac/products/fresh-aire-uv-apco-tuvl-215-2-year-replacement-uv-lamp</v>
      </c>
      <c r="B2117" s="3" t="str">
        <f>HYPERLINK("https://edmondsonsupply.com/products/fresh-aire-uv-apco-tuvl-215-2-year-replacement-uv-lamp", "https://edmondsonsupply.com/products/fresh-aire-uv-apco-tuvl-215-2-year-replacement-uv-lamp")</f>
        <v>https://edmondsonsupply.com/products/fresh-aire-uv-apco-tuvl-215-2-year-replacement-uv-lamp</v>
      </c>
      <c r="C2117" t="s">
        <v>2896</v>
      </c>
      <c r="D2117" t="s">
        <v>5610</v>
      </c>
      <c r="E2117" s="3" t="str">
        <f>HYPERLINK("https://www.amazon.com/LSE-Lighting-TUV-APCO-DER2-TUV-APCO-SI2P-TUV-APCO-DI2P/dp/B0BFSSHTT5/ref=sr_1_1?keywords=Fresh-Aire+UV+APCO+TUVL-215%2C+2-Year+Replacement+UV+Lamp&amp;qid=1695173344&amp;sr=8-1", "https://www.amazon.com/LSE-Lighting-TUV-APCO-DER2-TUV-APCO-SI2P-TUV-APCO-DI2P/dp/B0BFSSHTT5/ref=sr_1_1?keywords=Fresh-Aire+UV+APCO+TUVL-215%2C+2-Year+Replacement+UV+Lamp&amp;qid=1695173344&amp;sr=8-1")</f>
        <v>https://www.amazon.com/LSE-Lighting-TUV-APCO-DER2-TUV-APCO-SI2P-TUV-APCO-DI2P/dp/B0BFSSHTT5/ref=sr_1_1?keywords=Fresh-Aire+UV+APCO+TUVL-215%2C+2-Year+Replacement+UV+Lamp&amp;qid=1695173344&amp;sr=8-1</v>
      </c>
      <c r="F2117" t="s">
        <v>5611</v>
      </c>
      <c r="G2117" t="e">
        <f ca="1">_xludf.IMAGE("https://edmondsonsupply.com/cdn/shop/products/TUVL-215_1ea9b67d-7d35-4102-a10b-a43913714c29.jpg?v=1633030216")</f>
        <v>#NAME?</v>
      </c>
      <c r="H2117" t="e">
        <f ca="1">_xludf.IMAGE("https://m.media-amazon.com/images/I/31MNaScLYrS._AC_UL320_.jpg")</f>
        <v>#NAME?</v>
      </c>
      <c r="I2117" t="s">
        <v>2899</v>
      </c>
      <c r="J2117">
        <v>48</v>
      </c>
      <c r="K2117" s="4">
        <v>-0.55630000000000002</v>
      </c>
      <c r="L2117">
        <v>4.4000000000000004</v>
      </c>
      <c r="M2117">
        <v>26</v>
      </c>
      <c r="O2117" t="s">
        <v>25</v>
      </c>
      <c r="P2117" t="s">
        <v>138</v>
      </c>
      <c r="Q2117" t="s">
        <v>2900</v>
      </c>
    </row>
    <row r="2118" spans="1:17" ht="15.5" x14ac:dyDescent="0.35">
      <c r="A2118" s="3" t="str">
        <f>HYPERLINK("https://edmondsonsupply.com/collections/hvac/products/fresh-aire-uv-apco-tuvl-211-2-year-replacement-uv-lamp-with-no-plug", "https://edmondsonsupply.com/collections/hvac/products/fresh-aire-uv-apco-tuvl-211-2-year-replacement-uv-lamp-with-no-plug")</f>
        <v>https://edmondsonsupply.com/collections/hvac/products/fresh-aire-uv-apco-tuvl-211-2-year-replacement-uv-lamp-with-no-plug</v>
      </c>
      <c r="B2118" s="3" t="str">
        <f>HYPERLINK("https://edmondsonsupply.com/products/fresh-aire-uv-apco-tuvl-211-2-year-replacement-uv-lamp-with-no-plug", "https://edmondsonsupply.com/products/fresh-aire-uv-apco-tuvl-211-2-year-replacement-uv-lamp-with-no-plug")</f>
        <v>https://edmondsonsupply.com/products/fresh-aire-uv-apco-tuvl-211-2-year-replacement-uv-lamp-with-no-plug</v>
      </c>
      <c r="C2118" t="s">
        <v>5569</v>
      </c>
      <c r="D2118" t="s">
        <v>5610</v>
      </c>
      <c r="E2118" s="3" t="str">
        <f>HYPERLINK("https://www.amazon.com/LSE-Lighting-TUV-APCO-DER2-TUV-APCO-SI2P-TUV-APCO-DI2P/dp/B0BFSSHTT5/ref=sr_1_1?keywords=Fresh-Aire+UV+APCO+TUVL-211%2C+2-Year+Replacement+UV+Lamp+with+NO+Plug&amp;qid=1695173719&amp;sr=8-1", "https://www.amazon.com/LSE-Lighting-TUV-APCO-DER2-TUV-APCO-SI2P-TUV-APCO-DI2P/dp/B0BFSSHTT5/ref=sr_1_1?keywords=Fresh-Aire+UV+APCO+TUVL-211%2C+2-Year+Replacement+UV+Lamp+with+NO+Plug&amp;qid=1695173719&amp;sr=8-1")</f>
        <v>https://www.amazon.com/LSE-Lighting-TUV-APCO-DER2-TUV-APCO-SI2P-TUV-APCO-DI2P/dp/B0BFSSHTT5/ref=sr_1_1?keywords=Fresh-Aire+UV+APCO+TUVL-211%2C+2-Year+Replacement+UV+Lamp+with+NO+Plug&amp;qid=1695173719&amp;sr=8-1</v>
      </c>
      <c r="F2118" t="s">
        <v>5611</v>
      </c>
      <c r="G2118" t="e">
        <f ca="1">_xludf.IMAGE("https://edmondsonsupply.com/cdn/shop/files/TUVL-211.png?v=1692221661")</f>
        <v>#NAME?</v>
      </c>
      <c r="H2118" t="e">
        <f ca="1">_xludf.IMAGE("https://m.media-amazon.com/images/I/31MNaScLYrS._AC_UL320_.jpg")</f>
        <v>#NAME?</v>
      </c>
      <c r="I2118" t="s">
        <v>2899</v>
      </c>
      <c r="J2118">
        <v>48</v>
      </c>
      <c r="K2118" s="4">
        <v>-0.55630000000000002</v>
      </c>
      <c r="L2118">
        <v>4.4000000000000004</v>
      </c>
      <c r="M2118">
        <v>26</v>
      </c>
      <c r="O2118" t="s">
        <v>25</v>
      </c>
      <c r="P2118" t="s">
        <v>138</v>
      </c>
      <c r="Q2118" t="s">
        <v>5570</v>
      </c>
    </row>
    <row r="2119" spans="1:17" ht="15.5" x14ac:dyDescent="0.35">
      <c r="A2119" s="3" t="str">
        <f>HYPERLINK("https://edmondsonsupply.com/collections/hvac/products/fresh-aire-uv-apco-tuvl-215-2-year-replacement-uv-lamp", "https://edmondsonsupply.com/collections/hvac/products/fresh-aire-uv-apco-tuvl-215-2-year-replacement-uv-lamp")</f>
        <v>https://edmondsonsupply.com/collections/hvac/products/fresh-aire-uv-apco-tuvl-215-2-year-replacement-uv-lamp</v>
      </c>
      <c r="B2119" s="3" t="str">
        <f>HYPERLINK("https://edmondsonsupply.com/products/fresh-aire-uv-apco-tuvl-215-2-year-replacement-uv-lamp", "https://edmondsonsupply.com/products/fresh-aire-uv-apco-tuvl-215-2-year-replacement-uv-lamp")</f>
        <v>https://edmondsonsupply.com/products/fresh-aire-uv-apco-tuvl-215-2-year-replacement-uv-lamp</v>
      </c>
      <c r="C2119" t="s">
        <v>2896</v>
      </c>
      <c r="D2119" t="s">
        <v>5612</v>
      </c>
      <c r="E2119" s="3" t="str">
        <f>HYPERLINK("https://www.amazon.com/LSE-Lighting-Fresh-Aire-Replacement-Performance/dp/B0BFRWSH4Q/ref=sr_1_5?keywords=Fresh-Aire+UV+APCO+TUVL-215%2C+2-Year+Replacement+UV+Lamp&amp;qid=1695173344&amp;sr=8-5", "https://www.amazon.com/LSE-Lighting-Fresh-Aire-Replacement-Performance/dp/B0BFRWSH4Q/ref=sr_1_5?keywords=Fresh-Aire+UV+APCO+TUVL-215%2C+2-Year+Replacement+UV+Lamp&amp;qid=1695173344&amp;sr=8-5")</f>
        <v>https://www.amazon.com/LSE-Lighting-Fresh-Aire-Replacement-Performance/dp/B0BFRWSH4Q/ref=sr_1_5?keywords=Fresh-Aire+UV+APCO+TUVL-215%2C+2-Year+Replacement+UV+Lamp&amp;qid=1695173344&amp;sr=8-5</v>
      </c>
      <c r="F2119" t="s">
        <v>5613</v>
      </c>
      <c r="G2119" t="e">
        <f ca="1">_xludf.IMAGE("https://edmondsonsupply.com/cdn/shop/products/TUVL-215_1ea9b67d-7d35-4102-a10b-a43913714c29.jpg?v=1633030216")</f>
        <v>#NAME?</v>
      </c>
      <c r="H2119" t="e">
        <f ca="1">_xludf.IMAGE("https://m.media-amazon.com/images/I/31Im7v-ba7L._AC_UL320_.jpg")</f>
        <v>#NAME?</v>
      </c>
      <c r="I2119" t="s">
        <v>2899</v>
      </c>
      <c r="J2119">
        <v>47</v>
      </c>
      <c r="K2119" s="4">
        <v>-0.56559999999999999</v>
      </c>
      <c r="L2119">
        <v>4.8</v>
      </c>
      <c r="M2119">
        <v>8</v>
      </c>
      <c r="O2119" t="s">
        <v>25</v>
      </c>
      <c r="P2119" t="s">
        <v>138</v>
      </c>
      <c r="Q2119" t="s">
        <v>2900</v>
      </c>
    </row>
    <row r="2120" spans="1:17" ht="15.5" x14ac:dyDescent="0.35">
      <c r="A2120" s="3" t="str">
        <f>HYPERLINK("https://edmondsonsupply.com/collections/hvac/products/klein-tools-srs56038-polymer-fish-rod-set-glow-in-the-dark", "https://edmondsonsupply.com/collections/hvac/products/klein-tools-srs56038-polymer-fish-rod-set-glow-in-the-dark")</f>
        <v>https://edmondsonsupply.com/collections/hvac/products/klein-tools-srs56038-polymer-fish-rod-set-glow-in-the-dark</v>
      </c>
      <c r="B2120" s="3" t="str">
        <f>HYPERLINK("https://edmondsonsupply.com/products/klein-tools-srs56038-polymer-fish-rod-set-glow-in-the-dark", "https://edmondsonsupply.com/products/klein-tools-srs56038-polymer-fish-rod-set-glow-in-the-dark")</f>
        <v>https://edmondsonsupply.com/products/klein-tools-srs56038-polymer-fish-rod-set-glow-in-the-dark</v>
      </c>
      <c r="C2120" t="s">
        <v>2467</v>
      </c>
      <c r="D2120" t="s">
        <v>2467</v>
      </c>
      <c r="E2120" s="3" t="str">
        <f>HYPERLINK("https://www.amazon.com/Polymer-Glow-Klein-Tools-SRS56038/dp/B01C0GADSA/ref=sr_1_1?keywords=Klein+Tools+SRS56038+Polymer+Fish+Rod+Set+Glow-in-The-Dark&amp;qid=1695173635&amp;sr=8-1", "https://www.amazon.com/Polymer-Glow-Klein-Tools-SRS56038/dp/B01C0GADSA/ref=sr_1_1?keywords=Klein+Tools+SRS56038+Polymer+Fish+Rod+Set+Glow-in-The-Dark&amp;qid=1695173635&amp;sr=8-1")</f>
        <v>https://www.amazon.com/Polymer-Glow-Klein-Tools-SRS56038/dp/B01C0GADSA/ref=sr_1_1?keywords=Klein+Tools+SRS56038+Polymer+Fish+Rod+Set+Glow-in-The-Dark&amp;qid=1695173635&amp;sr=8-1</v>
      </c>
      <c r="F2120" t="s">
        <v>5614</v>
      </c>
      <c r="G2120" t="e">
        <f ca="1">_xludf.IMAGE("https://edmondsonsupply.com/cdn/shop/products/srs56038.jpg?v=1633030781")</f>
        <v>#NAME?</v>
      </c>
      <c r="H2120" t="e">
        <f ca="1">_xludf.IMAGE("https://m.media-amazon.com/images/I/513o+u6HGjL._AC_UL320_.jpg")</f>
        <v>#NAME?</v>
      </c>
      <c r="I2120" t="s">
        <v>824</v>
      </c>
      <c r="J2120">
        <v>12.99</v>
      </c>
      <c r="K2120" s="4">
        <v>-0.56659999999999999</v>
      </c>
      <c r="L2120">
        <v>3.8</v>
      </c>
      <c r="M2120">
        <v>40</v>
      </c>
      <c r="O2120" t="s">
        <v>25</v>
      </c>
      <c r="P2120" t="s">
        <v>2470</v>
      </c>
      <c r="Q2120" t="s">
        <v>2471</v>
      </c>
    </row>
    <row r="2121" spans="1:17" ht="15.5" x14ac:dyDescent="0.35">
      <c r="A2121"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2121" s="3" t="str">
        <f>HYPERLINK("https://edmondsonsupply.com/products/klein-tools-935dag-digital-angle-gauge-and-level", "https://edmondsonsupply.com/products/klein-tools-935dag-digital-angle-gauge-and-level")</f>
        <v>https://edmondsonsupply.com/products/klein-tools-935dag-digital-angle-gauge-and-level</v>
      </c>
      <c r="C2121" t="s">
        <v>1924</v>
      </c>
      <c r="D2121" t="s">
        <v>5615</v>
      </c>
      <c r="E2121" s="3" t="str">
        <f>HYPERLINK("https://www.amazon.com/Compatible-Electronic-Protractors-Carrying-Batteries/dp/B09JW639MH/ref=sr_1_3?keywords=Klein+Tools+935DAG+Digital+Angle+Gauge+and+Level&amp;qid=1695173564&amp;sr=8-3", "https://www.amazon.com/Compatible-Electronic-Protractors-Carrying-Batteries/dp/B09JW639MH/ref=sr_1_3?keywords=Klein+Tools+935DAG+Digital+Angle+Gauge+and+Level&amp;qid=1695173564&amp;sr=8-3")</f>
        <v>https://www.amazon.com/Compatible-Electronic-Protractors-Carrying-Batteries/dp/B09JW639MH/ref=sr_1_3?keywords=Klein+Tools+935DAG+Digital+Angle+Gauge+and+Level&amp;qid=1695173564&amp;sr=8-3</v>
      </c>
      <c r="F2121" t="s">
        <v>5616</v>
      </c>
      <c r="G2121" t="e">
        <f ca="1">_xludf.IMAGE("https://edmondsonsupply.com/cdn/shop/products/935dag.jpg?v=1587145032")</f>
        <v>#NAME?</v>
      </c>
      <c r="H2121" t="e">
        <f ca="1">_xludf.IMAGE("https://m.media-amazon.com/images/I/81IUpkXJVgL._AC_UL320_.jpg")</f>
        <v>#NAME?</v>
      </c>
      <c r="I2121" t="s">
        <v>824</v>
      </c>
      <c r="J2121">
        <v>12.99</v>
      </c>
      <c r="K2121" s="4">
        <v>-0.56659999999999999</v>
      </c>
      <c r="L2121">
        <v>4.7</v>
      </c>
      <c r="M2121">
        <v>411</v>
      </c>
      <c r="O2121" t="s">
        <v>25</v>
      </c>
      <c r="P2121" t="s">
        <v>73</v>
      </c>
      <c r="Q2121" t="s">
        <v>1927</v>
      </c>
    </row>
    <row r="2122" spans="1:17" ht="15.5" x14ac:dyDescent="0.35">
      <c r="A2122" s="3" t="str">
        <f>HYPERLINK("https://edmondsonsupply.com/collections/hvac/products/packard-c440c-contactor-4-pole-40-amps-208-240-coil-voltage-1", "https://edmondsonsupply.com/collections/hvac/products/packard-c440c-contactor-4-pole-40-amps-208-240-coil-voltage-1")</f>
        <v>https://edmondsonsupply.com/collections/hvac/products/packard-c440c-contactor-4-pole-40-amps-208-240-coil-voltage-1</v>
      </c>
      <c r="B2122" s="3" t="str">
        <f>HYPERLINK("https://edmondsonsupply.com/products/packard-c440c-contactor-4-pole-40-amps-208-240-coil-voltage-1", "https://edmondsonsupply.com/products/packard-c440c-contactor-4-pole-40-amps-208-240-coil-voltage-1")</f>
        <v>https://edmondsonsupply.com/products/packard-c440c-contactor-4-pole-40-amps-208-240-coil-voltage-1</v>
      </c>
      <c r="C2122" t="s">
        <v>5617</v>
      </c>
      <c r="D2122" t="s">
        <v>2934</v>
      </c>
      <c r="E2122" s="3" t="str">
        <f>HYPERLINK("https://www.amazon.com/Packard-C340C-Pole-Contactor-Volt/dp/B004ZRWGGA/ref=sr_1_5?keywords=Packard+C440C+Contactor+4+Pole+40+AMPS+208%2F240+Coil+Voltage&amp;qid=1695173479&amp;sr=8-5", "https://www.amazon.com/Packard-C340C-Pole-Contactor-Volt/dp/B004ZRWGGA/ref=sr_1_5?keywords=Packard+C440C+Contactor+4+Pole+40+AMPS+208%2F240+Coil+Voltage&amp;qid=1695173479&amp;sr=8-5")</f>
        <v>https://www.amazon.com/Packard-C340C-Pole-Contactor-Volt/dp/B004ZRWGGA/ref=sr_1_5?keywords=Packard+C440C+Contactor+4+Pole+40+AMPS+208%2F240+Coil+Voltage&amp;qid=1695173479&amp;sr=8-5</v>
      </c>
      <c r="F2122" t="s">
        <v>2935</v>
      </c>
      <c r="G2122" t="e">
        <f ca="1">_xludf.IMAGE("https://edmondsonsupply.com/cdn/shop/products/packard_c440c_xl_1_536437f5-bc6f-4278-8bf8-da7e8512e77e.jpg?v=1587144444")</f>
        <v>#NAME?</v>
      </c>
      <c r="H2122" t="e">
        <f ca="1">_xludf.IMAGE("https://m.media-amazon.com/images/I/71LfPG7H6RL._AC_UY218_.jpg")</f>
        <v>#NAME?</v>
      </c>
      <c r="I2122" t="s">
        <v>5556</v>
      </c>
      <c r="J2122">
        <v>20.149999999999999</v>
      </c>
      <c r="K2122" s="4">
        <v>-0.56769999999999998</v>
      </c>
      <c r="L2122">
        <v>4.4000000000000004</v>
      </c>
      <c r="M2122">
        <v>131</v>
      </c>
      <c r="O2122" t="s">
        <v>25</v>
      </c>
      <c r="P2122" t="s">
        <v>138</v>
      </c>
      <c r="Q2122" t="s">
        <v>5618</v>
      </c>
    </row>
    <row r="2123" spans="1:17" ht="15.5" x14ac:dyDescent="0.35">
      <c r="A2123" s="3" t="str">
        <f>HYPERLINK("https://edmondsonsupply.com/collections/hvac/products/nu-calgon-4057-56-a-c-re-new-connect-inject", "https://edmondsonsupply.com/collections/hvac/products/nu-calgon-4057-56-a-c-re-new-connect-inject")</f>
        <v>https://edmondsonsupply.com/collections/hvac/products/nu-calgon-4057-56-a-c-re-new-connect-inject</v>
      </c>
      <c r="B2123" s="3" t="str">
        <f>HYPERLINK("https://edmondsonsupply.com/products/nu-calgon-4057-56-a-c-re-new-connect-inject", "https://edmondsonsupply.com/products/nu-calgon-4057-56-a-c-re-new-connect-inject")</f>
        <v>https://edmondsonsupply.com/products/nu-calgon-4057-56-a-c-re-new-connect-inject</v>
      </c>
      <c r="C2123" t="s">
        <v>3083</v>
      </c>
      <c r="D2123" t="s">
        <v>3673</v>
      </c>
      <c r="E2123" s="3" t="str">
        <f>HYPERLINK("https://www.amazon.com/Nu-Calgon-4155-01-Re-New-Connect-Injector/dp/B07QD2PRH2/ref=sr_1_4?keywords=Nu-Calgon+4057-56+A%2FC+Re-New+Connect+Inject&amp;qid=1695173397&amp;sr=8-4", "https://www.amazon.com/Nu-Calgon-4155-01-Re-New-Connect-Injector/dp/B07QD2PRH2/ref=sr_1_4?keywords=Nu-Calgon+4057-56+A%2FC+Re-New+Connect+Inject&amp;qid=1695173397&amp;sr=8-4")</f>
        <v>https://www.amazon.com/Nu-Calgon-4155-01-Re-New-Connect-Injector/dp/B07QD2PRH2/ref=sr_1_4?keywords=Nu-Calgon+4057-56+A%2FC+Re-New+Connect+Inject&amp;qid=1695173397&amp;sr=8-4</v>
      </c>
      <c r="F2123" t="s">
        <v>3674</v>
      </c>
      <c r="G2123" t="e">
        <f ca="1">_xludf.IMAGE("https://edmondsonsupply.com/cdn/shop/products/4057-56.jpg?v=1659034051")</f>
        <v>#NAME?</v>
      </c>
      <c r="H2123" t="e">
        <f ca="1">_xludf.IMAGE("https://m.media-amazon.com/images/I/51mPfVLAVJL._AC_UL320_.jpg")</f>
        <v>#NAME?</v>
      </c>
      <c r="I2123" t="s">
        <v>3086</v>
      </c>
      <c r="J2123">
        <v>39.08</v>
      </c>
      <c r="K2123" s="4">
        <v>-0.56889999999999996</v>
      </c>
      <c r="L2123">
        <v>3.7</v>
      </c>
      <c r="M2123">
        <v>3</v>
      </c>
      <c r="O2123" t="s">
        <v>25</v>
      </c>
      <c r="P2123" t="s">
        <v>3087</v>
      </c>
      <c r="Q2123" t="s">
        <v>3088</v>
      </c>
    </row>
    <row r="2124" spans="1:17" ht="15.5" x14ac:dyDescent="0.35">
      <c r="A2124" s="3" t="str">
        <f>HYPERLINK("https://edmondsonsupply.com/collections/hvac/products/icm-controls-icm492-single-phase-line-voltage-monitor", "https://edmondsonsupply.com/collections/hvac/products/icm-controls-icm492-single-phase-line-voltage-monitor")</f>
        <v>https://edmondsonsupply.com/collections/hvac/products/icm-controls-icm492-single-phase-line-voltage-monitor</v>
      </c>
      <c r="B2124" s="3" t="str">
        <f>HYPERLINK("https://edmondsonsupply.com/products/icm-controls-icm492-single-phase-line-voltage-monitor", "https://edmondsonsupply.com/products/icm-controls-icm492-single-phase-line-voltage-monitor")</f>
        <v>https://edmondsonsupply.com/products/icm-controls-icm492-single-phase-line-voltage-monitor</v>
      </c>
      <c r="C2124" t="s">
        <v>1821</v>
      </c>
      <c r="D2124" t="s">
        <v>4117</v>
      </c>
      <c r="E2124" s="3" t="str">
        <f>HYPERLINK("https://www.amazon.com/ICM-Controls-ICM401-Three-Phase-Protection/dp/B004I5817C/ref=sr_1_3?keywords=ICM+Controls+ICM492+Single+Phase+Line+Voltage+Monitor&amp;qid=1695173362&amp;sr=8-3", "https://www.amazon.com/ICM-Controls-ICM401-Three-Phase-Protection/dp/B004I5817C/ref=sr_1_3?keywords=ICM+Controls+ICM492+Single+Phase+Line+Voltage+Monitor&amp;qid=1695173362&amp;sr=8-3")</f>
        <v>https://www.amazon.com/ICM-Controls-ICM401-Three-Phase-Protection/dp/B004I5817C/ref=sr_1_3?keywords=ICM+Controls+ICM492+Single+Phase+Line+Voltage+Monitor&amp;qid=1695173362&amp;sr=8-3</v>
      </c>
      <c r="F2124" t="s">
        <v>4118</v>
      </c>
      <c r="G2124" t="e">
        <f ca="1">_xludf.IMAGE("https://edmondsonsupply.com/cdn/shop/products/photo_3666_medium_19efda5b-a59a-4ff4-8872-2cd0c4aa35aa.png?v=1665085673")</f>
        <v>#NAME?</v>
      </c>
      <c r="H2124" t="e">
        <f ca="1">_xludf.IMAGE("https://m.media-amazon.com/images/I/61T2FryJHhL._AC_UL320_.jpg")</f>
        <v>#NAME?</v>
      </c>
      <c r="I2124" t="s">
        <v>315</v>
      </c>
      <c r="J2124">
        <v>38.6</v>
      </c>
      <c r="K2124" s="4">
        <v>-0.57110000000000005</v>
      </c>
      <c r="L2124">
        <v>4.0999999999999996</v>
      </c>
      <c r="M2124">
        <v>11</v>
      </c>
      <c r="O2124" t="s">
        <v>25</v>
      </c>
      <c r="P2124" t="s">
        <v>1824</v>
      </c>
      <c r="Q2124" t="s">
        <v>1825</v>
      </c>
    </row>
    <row r="2125" spans="1:17" ht="15.5" x14ac:dyDescent="0.35">
      <c r="A2125" s="3" t="str">
        <f>HYPERLINK("https://edmondsonsupply.com/collections/hvac/products/klein-tools-93ldm100c-compact-laser-distance-measure", "https://edmondsonsupply.com/collections/hvac/products/klein-tools-93ldm100c-compact-laser-distance-measure")</f>
        <v>https://edmondsonsupply.com/collections/hvac/products/klein-tools-93ldm100c-compact-laser-distance-measure</v>
      </c>
      <c r="B2125" s="3" t="str">
        <f>HYPERLINK("https://edmondsonsupply.com/products/klein-tools-93ldm100c-compact-laser-distance-measure", "https://edmondsonsupply.com/products/klein-tools-93ldm100c-compact-laser-distance-measure")</f>
        <v>https://edmondsonsupply.com/products/klein-tools-93ldm100c-compact-laser-distance-measure</v>
      </c>
      <c r="C2125" t="s">
        <v>4590</v>
      </c>
      <c r="D2125" t="s">
        <v>5619</v>
      </c>
      <c r="E2125" s="3" t="str">
        <f>HYPERLINK("https://www.amazon.com/Aproca-Protective-Compatible-Electromagnetic-Radiation/dp/B07H2S8KRM/ref=sr_1_6?keywords=Klein+Tools+93LDM100C+Compact+Laser+Distance+Measure&amp;qid=1695173591&amp;sr=8-6", "https://www.amazon.com/Aproca-Protective-Compatible-Electromagnetic-Radiation/dp/B07H2S8KRM/ref=sr_1_6?keywords=Klein+Tools+93LDM100C+Compact+Laser+Distance+Measure&amp;qid=1695173591&amp;sr=8-6")</f>
        <v>https://www.amazon.com/Aproca-Protective-Compatible-Electromagnetic-Radiation/dp/B07H2S8KRM/ref=sr_1_6?keywords=Klein+Tools+93LDM100C+Compact+Laser+Distance+Measure&amp;qid=1695173591&amp;sr=8-6</v>
      </c>
      <c r="F2125" t="s">
        <v>5620</v>
      </c>
      <c r="G2125" t="e">
        <f ca="1">_xludf.IMAGE("https://edmondsonsupply.com/cdn/shop/products/93ldm100c.jpg?v=1666806501")</f>
        <v>#NAME?</v>
      </c>
      <c r="H2125" t="e">
        <f ca="1">_xludf.IMAGE("https://m.media-amazon.com/images/I/71r6lbsdXsL._AC_UL320_.jpg")</f>
        <v>#NAME?</v>
      </c>
      <c r="I2125" t="s">
        <v>340</v>
      </c>
      <c r="J2125">
        <v>14.99</v>
      </c>
      <c r="K2125" s="4">
        <v>-0.57130000000000003</v>
      </c>
      <c r="L2125">
        <v>4.4000000000000004</v>
      </c>
      <c r="M2125">
        <v>63</v>
      </c>
      <c r="O2125" t="s">
        <v>25</v>
      </c>
      <c r="P2125" t="s">
        <v>4593</v>
      </c>
      <c r="Q2125" t="s">
        <v>4594</v>
      </c>
    </row>
    <row r="2126" spans="1:17" ht="15.5" x14ac:dyDescent="0.35">
      <c r="A2126" s="3" t="str">
        <f>HYPERLINK("https://edmondsonsupply.com/collections/hvac/products/imperial-tc-1050-imp%C2%AE-mini-tube-cutter-1-8-5-8-o-d", "https://edmondsonsupply.com/collections/hvac/products/imperial-tc-1050-imp%C2%AE-mini-tube-cutter-1-8-5-8-o-d")</f>
        <v>https://edmondsonsupply.com/collections/hvac/products/imperial-tc-1050-imp%C2%AE-mini-tube-cutter-1-8-5-8-o-d</v>
      </c>
      <c r="B2126" s="3" t="str">
        <f>HYPERLINK("https://edmondsonsupply.com/products/imperial-tc-1050-imp%c2%ae-mini-tube-cutter-1-8-5-8-o-d", "https://edmondsonsupply.com/products/imperial-tc-1050-imp%c2%ae-mini-tube-cutter-1-8-5-8-o-d")</f>
        <v>https://edmondsonsupply.com/products/imperial-tc-1050-imp%c2%ae-mini-tube-cutter-1-8-5-8-o-d</v>
      </c>
      <c r="C2126" t="s">
        <v>2109</v>
      </c>
      <c r="D2126" t="s">
        <v>5621</v>
      </c>
      <c r="E2126" s="3" t="str">
        <f>HYPERLINK("https://www.amazon.com/Imperial-Eastman-TC1050RH-Ratcheting-Tubing/dp/B002P8Q1S0/ref=sr_1_1?keywords=Imperial+TC-1050+IMP%C2%AE+Mini+Tube+Cutter+1%2F8%22+-+5%2F8%22+O.D.&amp;qid=1695173452&amp;sr=8-1", "https://www.amazon.com/Imperial-Eastman-TC1050RH-Ratcheting-Tubing/dp/B002P8Q1S0/ref=sr_1_1?keywords=Imperial+TC-1050+IMP%C2%AE+Mini+Tube+Cutter+1%2F8%22+-+5%2F8%22+O.D.&amp;qid=1695173452&amp;sr=8-1")</f>
        <v>https://www.amazon.com/Imperial-Eastman-TC1050RH-Ratcheting-Tubing/dp/B002P8Q1S0/ref=sr_1_1?keywords=Imperial+TC-1050+IMP%C2%AE+Mini+Tube+Cutter+1%2F8%22+-+5%2F8%22+O.D.&amp;qid=1695173452&amp;sr=8-1</v>
      </c>
      <c r="F2126" t="s">
        <v>5622</v>
      </c>
      <c r="G2126" t="e">
        <f ca="1">_xludf.IMAGE("https://edmondsonsupply.com/cdn/shop/products/imperial-pipe-tube-cutters-tc1050-64_1000.jpg?v=1587144076")</f>
        <v>#NAME?</v>
      </c>
      <c r="H2126" t="e">
        <f ca="1">_xludf.IMAGE("https://m.media-amazon.com/images/I/716MEjcCeTL._AC_UL320_.jpg")</f>
        <v>#NAME?</v>
      </c>
      <c r="I2126" t="s">
        <v>1687</v>
      </c>
      <c r="J2126">
        <v>8</v>
      </c>
      <c r="K2126" s="4">
        <v>-0.57869999999999999</v>
      </c>
      <c r="L2126">
        <v>3</v>
      </c>
      <c r="M2126">
        <v>1</v>
      </c>
      <c r="O2126" t="s">
        <v>25</v>
      </c>
      <c r="P2126" t="s">
        <v>138</v>
      </c>
      <c r="Q2126" t="s">
        <v>2112</v>
      </c>
    </row>
    <row r="2127" spans="1:17" ht="15.5" x14ac:dyDescent="0.35">
      <c r="A2127" s="3" t="str">
        <f>HYPERLINK("https://edmondsonsupply.com/collections/hvac/products/yellow-jacket-78080-2-gas-test-gauge-3-4-npt-0-30-lb", "https://edmondsonsupply.com/collections/hvac/products/yellow-jacket-78080-2-gas-test-gauge-3-4-npt-0-30-lb")</f>
        <v>https://edmondsonsupply.com/collections/hvac/products/yellow-jacket-78080-2-gas-test-gauge-3-4-npt-0-30-lb</v>
      </c>
      <c r="B2127" s="3" t="str">
        <f>HYPERLINK("https://edmondsonsupply.com/products/yellow-jacket-78080-2-gas-test-gauge-3-4-npt-0-30-lb", "https://edmondsonsupply.com/products/yellow-jacket-78080-2-gas-test-gauge-3-4-npt-0-30-lb")</f>
        <v>https://edmondsonsupply.com/products/yellow-jacket-78080-2-gas-test-gauge-3-4-npt-0-30-lb</v>
      </c>
      <c r="C2127" t="s">
        <v>3456</v>
      </c>
      <c r="D2127" t="s">
        <v>5623</v>
      </c>
      <c r="E2127" s="3" t="str">
        <f>HYPERLINK("https://www.amazon.com/Measureman-Pressure-Assembly-Connection-Accuracy/dp/B07XN7XNJG/ref=sr_1_1?keywords=Yellow+Jacket+78080+2+Gas+Test+Gauge+-+3%2F4+NPT+-+0-30+lb&amp;qid=1695173525&amp;sr=8-1", "https://www.amazon.com/Measureman-Pressure-Assembly-Connection-Accuracy/dp/B07XN7XNJG/ref=sr_1_1?keywords=Yellow+Jacket+78080+2+Gas+Test+Gauge+-+3%2F4+NPT+-+0-30+lb&amp;qid=1695173525&amp;sr=8-1")</f>
        <v>https://www.amazon.com/Measureman-Pressure-Assembly-Connection-Accuracy/dp/B07XN7XNJG/ref=sr_1_1?keywords=Yellow+Jacket+78080+2+Gas+Test+Gauge+-+3%2F4+NPT+-+0-30+lb&amp;qid=1695173525&amp;sr=8-1</v>
      </c>
      <c r="F2127" t="s">
        <v>5624</v>
      </c>
      <c r="G2127" t="e">
        <f ca="1">_xludf.IMAGE("https://edmondsonsupply.com/cdn/shop/products/57_2.jpg?v=1633030928")</f>
        <v>#NAME?</v>
      </c>
      <c r="H2127" t="e">
        <f ca="1">_xludf.IMAGE("https://m.media-amazon.com/images/I/61SUYGlA9dL._AC_UY218_.jpg")</f>
        <v>#NAME?</v>
      </c>
      <c r="I2127" t="s">
        <v>3459</v>
      </c>
      <c r="J2127">
        <v>12.97</v>
      </c>
      <c r="K2127" s="4">
        <v>-0.57889999999999997</v>
      </c>
      <c r="L2127">
        <v>4.3</v>
      </c>
      <c r="M2127">
        <v>853</v>
      </c>
      <c r="O2127" t="s">
        <v>25</v>
      </c>
      <c r="P2127" t="s">
        <v>138</v>
      </c>
      <c r="Q2127" t="s">
        <v>3460</v>
      </c>
    </row>
    <row r="2128" spans="1:17" ht="15.5" x14ac:dyDescent="0.35">
      <c r="A2128" s="3" t="str">
        <f>HYPERLINK("https://edmondsonsupply.com/collections/hvac/products/inficon-d-tek-3", "https://edmondsonsupply.com/collections/hvac/products/inficon-d-tek-3")</f>
        <v>https://edmondsonsupply.com/collections/hvac/products/inficon-d-tek-3</v>
      </c>
      <c r="B2128" s="3" t="str">
        <f>HYPERLINK("https://edmondsonsupply.com/products/inficon-d-tek-3", "https://edmondsonsupply.com/products/inficon-d-tek-3")</f>
        <v>https://edmondsonsupply.com/products/inficon-d-tek-3</v>
      </c>
      <c r="C2128" t="s">
        <v>2260</v>
      </c>
      <c r="D2128" t="s">
        <v>5625</v>
      </c>
      <c r="E2128" s="3" t="str">
        <f>HYPERLINK("https://www.amazon.com/INFICON-TEK-Mate-705-202-G1-Refrigerant-Detector/dp/B000H6OZJ4/ref=sr_1_3?keywords=Inficon+D-TEK%C2%AE+3+Refrigerant+Leak+Detector&amp;qid=1695173442&amp;sr=8-3", "https://www.amazon.com/INFICON-TEK-Mate-705-202-G1-Refrigerant-Detector/dp/B000H6OZJ4/ref=sr_1_3?keywords=Inficon+D-TEK%C2%AE+3+Refrigerant+Leak+Detector&amp;qid=1695173442&amp;sr=8-3")</f>
        <v>https://www.amazon.com/INFICON-TEK-Mate-705-202-G1-Refrigerant-Detector/dp/B000H6OZJ4/ref=sr_1_3?keywords=Inficon+D-TEK%C2%AE+3+Refrigerant+Leak+Detector&amp;qid=1695173442&amp;sr=8-3</v>
      </c>
      <c r="F2128" t="s">
        <v>5626</v>
      </c>
      <c r="G2128" t="e">
        <f ca="1">_xludf.IMAGE("https://edmondsonsupply.com/cdn/shop/products/dtek3.png?v=1633030772")</f>
        <v>#NAME?</v>
      </c>
      <c r="H2128" t="e">
        <f ca="1">_xludf.IMAGE("https://m.media-amazon.com/images/I/61YATjI1qqL._AC_UL320_.jpg")</f>
        <v>#NAME?</v>
      </c>
      <c r="I2128" t="s">
        <v>2263</v>
      </c>
      <c r="J2128">
        <v>214.99</v>
      </c>
      <c r="K2128" s="4">
        <v>-0.58420000000000005</v>
      </c>
      <c r="L2128">
        <v>4.5</v>
      </c>
      <c r="M2128">
        <v>447</v>
      </c>
      <c r="O2128" t="s">
        <v>25</v>
      </c>
      <c r="P2128" t="s">
        <v>2264</v>
      </c>
      <c r="Q2128" t="s">
        <v>2265</v>
      </c>
    </row>
    <row r="2129" spans="1:17" ht="15.5" x14ac:dyDescent="0.35">
      <c r="A2129" s="3" t="str">
        <f>HYPERLINK("https://edmondsonsupply.com/collections/hvac/products/wiha-tools-66990-9-piece-magicring-ball-end-long-arm-hex-l-key-set-metric", "https://edmondsonsupply.com/collections/hvac/products/wiha-tools-66990-9-piece-magicring-ball-end-long-arm-hex-l-key-set-metric")</f>
        <v>https://edmondsonsupply.com/collections/hvac/products/wiha-tools-66990-9-piece-magicring-ball-end-long-arm-hex-l-key-set-metric</v>
      </c>
      <c r="B2129"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2129" t="s">
        <v>4395</v>
      </c>
      <c r="D2129" t="s">
        <v>5627</v>
      </c>
      <c r="E2129" s="3" t="str">
        <f>HYPERLINK("https://www.amazon.com/Wiha-66995-6-Piece-Metric-L-Key/dp/B002S0O7U4/ref=sr_1_2?keywords=Wiha+Tools+66990+9+Piece+MagicRing+Ball+End+Long+Arm+Hex+L-Key+Set+-+Metric&amp;qid=1695173733&amp;sr=8-2", "https://www.amazon.com/Wiha-66995-6-Piece-Metric-L-Key/dp/B002S0O7U4/ref=sr_1_2?keywords=Wiha+Tools+66990+9+Piece+MagicRing+Ball+End+Long+Arm+Hex+L-Key+Set+-+Metric&amp;qid=1695173733&amp;sr=8-2")</f>
        <v>https://www.amazon.com/Wiha-66995-6-Piece-Metric-L-Key/dp/B002S0O7U4/ref=sr_1_2?keywords=Wiha+Tools+66990+9+Piece+MagicRing+Ball+End+Long+Arm+Hex+L-Key+Set+-+Metric&amp;qid=1695173733&amp;sr=8-2</v>
      </c>
      <c r="F2129" t="s">
        <v>5628</v>
      </c>
      <c r="G2129" t="e">
        <f ca="1">_xludf.IMAGE("https://edmondsonsupply.com/cdn/shop/files/13e958aad91c16597a10bc35346fe94965ff7cc5_1000x_585c36ae-bd90-4c7e-95df-eb1519527f63.webp?v=1690841217")</f>
        <v>#NAME?</v>
      </c>
      <c r="H2129" t="e">
        <f ca="1">_xludf.IMAGE("https://m.media-amazon.com/images/I/61emfyjx68L._AC_UL320_.jpg")</f>
        <v>#NAME?</v>
      </c>
      <c r="I2129" t="s">
        <v>4398</v>
      </c>
      <c r="J2129">
        <v>16.22</v>
      </c>
      <c r="K2129" s="4">
        <v>-0.58689999999999998</v>
      </c>
      <c r="L2129">
        <v>4.5</v>
      </c>
      <c r="M2129">
        <v>80</v>
      </c>
      <c r="O2129" t="s">
        <v>25</v>
      </c>
      <c r="P2129" t="s">
        <v>4399</v>
      </c>
      <c r="Q2129" t="s">
        <v>4400</v>
      </c>
    </row>
    <row r="2130" spans="1:17" ht="15.5" x14ac:dyDescent="0.35">
      <c r="A2130" s="3" t="str">
        <f>HYPERLINK("https://edmondsonsupply.com/collections/hvac/products/klein-tools-2138neeins-insulated-pliers-slim-handle-side-cutters-8-inch", "https://edmondsonsupply.com/collections/hvac/products/klein-tools-2138neeins-insulated-pliers-slim-handle-side-cutters-8-inch")</f>
        <v>https://edmondsonsupply.com/collections/hvac/products/klein-tools-2138neeins-insulated-pliers-slim-handle-side-cutters-8-inch</v>
      </c>
      <c r="B2130"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2130" t="s">
        <v>5004</v>
      </c>
      <c r="D2130" t="s">
        <v>5226</v>
      </c>
      <c r="E2130" s="3" t="str">
        <f>HYPERLINK("https://www.amazon.com/Linemans-Alligator-Klein-Tools-D203-8/dp/B0000302WQ/ref=sr_1_10?keywords=Klein+Tools+2138NEEINS+Insulated+Pliers%2C+Slim+Handle+Side+Cutters%2C+8-Inch&amp;qid=1695173693&amp;sr=8-10", "https://www.amazon.com/Linemans-Alligator-Klein-Tools-D203-8/dp/B0000302WQ/ref=sr_1_10?keywords=Klein+Tools+2138NEEINS+Insulated+Pliers%2C+Slim+Handle+Side+Cutters%2C+8-Inch&amp;qid=1695173693&amp;sr=8-10")</f>
        <v>https://www.amazon.com/Linemans-Alligator-Klein-Tools-D203-8/dp/B0000302WQ/ref=sr_1_10?keywords=Klein+Tools+2138NEEINS+Insulated+Pliers%2C+Slim+Handle+Side+Cutters%2C+8-Inch&amp;qid=1695173693&amp;sr=8-10</v>
      </c>
      <c r="F2130" t="s">
        <v>5227</v>
      </c>
      <c r="G2130" t="e">
        <f ca="1">_xludf.IMAGE("https://edmondsonsupply.com/cdn/shop/files/2138neeins.jpg?v=1694611719")</f>
        <v>#NAME?</v>
      </c>
      <c r="H2130" t="e">
        <f ca="1">_xludf.IMAGE("https://m.media-amazon.com/images/I/51Ifjz4aftL._AC_UL320_.jpg")</f>
        <v>#NAME?</v>
      </c>
      <c r="I2130" t="s">
        <v>588</v>
      </c>
      <c r="J2130">
        <v>28.74</v>
      </c>
      <c r="K2130" s="4">
        <v>-0.58940000000000003</v>
      </c>
      <c r="L2130">
        <v>4.8</v>
      </c>
      <c r="M2130">
        <v>935</v>
      </c>
      <c r="O2130" t="s">
        <v>25</v>
      </c>
      <c r="P2130" t="s">
        <v>5007</v>
      </c>
      <c r="Q2130" t="s">
        <v>5008</v>
      </c>
    </row>
    <row r="2131" spans="1:17" ht="15.5" x14ac:dyDescent="0.35">
      <c r="A2131" s="3" t="str">
        <f>HYPERLINK("https://edmondsonsupply.com/collections/hvac/products/sioux-chief-672xv0490-3-4-pex-inlet-x-4-1-2-pex-branches-valved-manifold", "https://edmondsonsupply.com/collections/hvac/products/sioux-chief-672xv0490-3-4-pex-inlet-x-4-1-2-pex-branches-valved-manifold")</f>
        <v>https://edmondsonsupply.com/collections/hvac/products/sioux-chief-672xv0490-3-4-pex-inlet-x-4-1-2-pex-branches-valved-manifold</v>
      </c>
      <c r="B2131" s="3" t="str">
        <f>HYPERLINK("https://edmondsonsupply.com/products/sioux-chief-672xv0490-3-4-pex-inlet-x-4-1-2-pex-branches-valved-manifold", "https://edmondsonsupply.com/products/sioux-chief-672xv0490-3-4-pex-inlet-x-4-1-2-pex-branches-valved-manifold")</f>
        <v>https://edmondsonsupply.com/products/sioux-chief-672xv0490-3-4-pex-inlet-x-4-1-2-pex-branches-valved-manifold</v>
      </c>
      <c r="C2131" t="s">
        <v>2526</v>
      </c>
      <c r="D2131" t="s">
        <v>5629</v>
      </c>
      <c r="E2131" s="3" t="str">
        <f>HYPERLINK("https://www.amazon.com/Sioux-Chief-672X0699-Manifold-outlet/dp/B003QSGQ1A/ref=sr_1_2?keywords=Sioux+Chief+672XV0490+3%2F4%22+PEX+Inlet+x+%284%29+1%2F2%22+PEX+Branches+Valved+Manifold&amp;qid=1695173446&amp;sr=8-2", "https://www.amazon.com/Sioux-Chief-672X0699-Manifold-outlet/dp/B003QSGQ1A/ref=sr_1_2?keywords=Sioux+Chief+672XV0490+3%2F4%22+PEX+Inlet+x+%284%29+1%2F2%22+PEX+Branches+Valved+Manifold&amp;qid=1695173446&amp;sr=8-2")</f>
        <v>https://www.amazon.com/Sioux-Chief-672X0699-Manifold-outlet/dp/B003QSGQ1A/ref=sr_1_2?keywords=Sioux+Chief+672XV0490+3%2F4%22+PEX+Inlet+x+%284%29+1%2F2%22+PEX+Branches+Valved+Manifold&amp;qid=1695173446&amp;sr=8-2</v>
      </c>
      <c r="F2131" t="s">
        <v>5630</v>
      </c>
      <c r="G2131" t="e">
        <f ca="1">_xludf.IMAGE("https://edmondsonsupply.com/cdn/shop/products/672XV0490.jpg?v=1587147465")</f>
        <v>#NAME?</v>
      </c>
      <c r="H2131" t="e">
        <f ca="1">_xludf.IMAGE("https://m.media-amazon.com/images/I/11ywoAI6gVL._AC_UL320_.jpg")</f>
        <v>#NAME?</v>
      </c>
      <c r="I2131" t="s">
        <v>2529</v>
      </c>
      <c r="J2131">
        <v>27.59</v>
      </c>
      <c r="K2131" s="4">
        <v>-0.5958</v>
      </c>
      <c r="L2131">
        <v>4.3</v>
      </c>
      <c r="M2131">
        <v>2</v>
      </c>
      <c r="O2131" t="s">
        <v>25</v>
      </c>
      <c r="P2131" t="s">
        <v>1135</v>
      </c>
      <c r="Q2131" t="s">
        <v>2530</v>
      </c>
    </row>
    <row r="2132" spans="1:17" ht="15.5" x14ac:dyDescent="0.35">
      <c r="A2132" s="3" t="str">
        <f>HYPERLINK("https://edmondsonsupply.com/collections/hvac/products/packard-c390a-contactor-3-pole-90-amps-24-coil-voltage", "https://edmondsonsupply.com/collections/hvac/products/packard-c390a-contactor-3-pole-90-amps-24-coil-voltage")</f>
        <v>https://edmondsonsupply.com/collections/hvac/products/packard-c390a-contactor-3-pole-90-amps-24-coil-voltage</v>
      </c>
      <c r="B2132" s="3" t="str">
        <f>HYPERLINK("https://edmondsonsupply.com/products/packard-c390a-contactor-3-pole-90-amps-24-coil-voltage", "https://edmondsonsupply.com/products/packard-c390a-contactor-3-pole-90-amps-24-coil-voltage")</f>
        <v>https://edmondsonsupply.com/products/packard-c390a-contactor-3-pole-90-amps-24-coil-voltage</v>
      </c>
      <c r="C2132" t="s">
        <v>5631</v>
      </c>
      <c r="D2132" t="s">
        <v>2195</v>
      </c>
      <c r="E2132" s="3" t="str">
        <f>HYPERLINK("https://www.amazon.com/Packard-C350A-Contactor-Pole-Voltage/dp/B004ZU4Q06/ref=sr_1_6?keywords=Packard+C390A+Contactor+3+Pole+90+AMPS+24+Coil+Voltage&amp;qid=1695173753&amp;sr=8-6", "https://www.amazon.com/Packard-C350A-Contactor-Pole-Voltage/dp/B004ZU4Q06/ref=sr_1_6?keywords=Packard+C390A+Contactor+3+Pole+90+AMPS+24+Coil+Voltage&amp;qid=1695173753&amp;sr=8-6")</f>
        <v>https://www.amazon.com/Packard-C350A-Contactor-Pole-Voltage/dp/B004ZU4Q06/ref=sr_1_6?keywords=Packard+C390A+Contactor+3+Pole+90+AMPS+24+Coil+Voltage&amp;qid=1695173753&amp;sr=8-6</v>
      </c>
      <c r="F2132" t="s">
        <v>2196</v>
      </c>
      <c r="G2132" t="e">
        <f ca="1">_xludf.IMAGE("https://edmondsonsupply.com/cdn/shop/files/packard-3.75-pole_xl_1_1152ce1d-b456-4bbf-bf1e-26917d918096.jpg?v=1687396564")</f>
        <v>#NAME?</v>
      </c>
      <c r="H2132" t="e">
        <f ca="1">_xludf.IMAGE("https://m.media-amazon.com/images/I/51c25R-4qEL._AC_UY218_.jpg")</f>
        <v>#NAME?</v>
      </c>
      <c r="I2132" t="s">
        <v>5632</v>
      </c>
      <c r="J2132">
        <v>52</v>
      </c>
      <c r="K2132" s="4">
        <v>-0.59689999999999999</v>
      </c>
      <c r="L2132">
        <v>5</v>
      </c>
      <c r="M2132">
        <v>1</v>
      </c>
      <c r="O2132" t="s">
        <v>25</v>
      </c>
      <c r="P2132" t="s">
        <v>138</v>
      </c>
      <c r="Q2132" t="s">
        <v>5633</v>
      </c>
    </row>
    <row r="2133" spans="1:17" ht="15.5" x14ac:dyDescent="0.35">
      <c r="A2133" s="3" t="str">
        <f>HYPERLINK("https://edmondsonsupply.com/collections/hvac/products/packard-c440c-contactor-4-pole-40-amps-208-240-coil-voltage-1", "https://edmondsonsupply.com/collections/hvac/products/packard-c440c-contactor-4-pole-40-amps-208-240-coil-voltage-1")</f>
        <v>https://edmondsonsupply.com/collections/hvac/products/packard-c440c-contactor-4-pole-40-amps-208-240-coil-voltage-1</v>
      </c>
      <c r="B2133" s="3" t="str">
        <f>HYPERLINK("https://edmondsonsupply.com/products/packard-c440c-contactor-4-pole-40-amps-208-240-coil-voltage-1", "https://edmondsonsupply.com/products/packard-c440c-contactor-4-pole-40-amps-208-240-coil-voltage-1")</f>
        <v>https://edmondsonsupply.com/products/packard-c440c-contactor-4-pole-40-amps-208-240-coil-voltage-1</v>
      </c>
      <c r="C2133" t="s">
        <v>5617</v>
      </c>
      <c r="D2133" t="s">
        <v>3070</v>
      </c>
      <c r="E2133" s="3" t="str">
        <f>HYPERLINK("https://www.amazon.com/Packard-C240C-Pole-Contactor-Volt/dp/B004Z0RLR6/ref=sr_1_3?keywords=Packard+C440C+Contactor+4+Pole+40+AMPS+208%2F240+Coil+Voltage&amp;qid=1695173479&amp;sr=8-3", "https://www.amazon.com/Packard-C240C-Pole-Contactor-Volt/dp/B004Z0RLR6/ref=sr_1_3?keywords=Packard+C440C+Contactor+4+Pole+40+AMPS+208%2F240+Coil+Voltage&amp;qid=1695173479&amp;sr=8-3")</f>
        <v>https://www.amazon.com/Packard-C240C-Pole-Contactor-Volt/dp/B004Z0RLR6/ref=sr_1_3?keywords=Packard+C440C+Contactor+4+Pole+40+AMPS+208%2F240+Coil+Voltage&amp;qid=1695173479&amp;sr=8-3</v>
      </c>
      <c r="F2133" t="s">
        <v>3071</v>
      </c>
      <c r="G2133" t="e">
        <f ca="1">_xludf.IMAGE("https://edmondsonsupply.com/cdn/shop/products/packard_c440c_xl_1_536437f5-bc6f-4278-8bf8-da7e8512e77e.jpg?v=1587144444")</f>
        <v>#NAME?</v>
      </c>
      <c r="H2133" t="e">
        <f ca="1">_xludf.IMAGE("https://m.media-amazon.com/images/I/91HgJ588lHL._AC_UY218_.jpg")</f>
        <v>#NAME?</v>
      </c>
      <c r="I2133" t="s">
        <v>5556</v>
      </c>
      <c r="J2133">
        <v>18.7</v>
      </c>
      <c r="K2133" s="4">
        <v>-0.5988</v>
      </c>
      <c r="L2133">
        <v>4.4000000000000004</v>
      </c>
      <c r="M2133">
        <v>119</v>
      </c>
      <c r="O2133" t="s">
        <v>25</v>
      </c>
      <c r="P2133" t="s">
        <v>138</v>
      </c>
      <c r="Q2133" t="s">
        <v>5618</v>
      </c>
    </row>
    <row r="2134" spans="1:17" ht="15.5" x14ac:dyDescent="0.35">
      <c r="A2134" s="3" t="str">
        <f>HYPERLINK("https://edmondsonsupply.com/collections/hvac/products/klein-tools-94130-1000v-insulated-tool-kit-5-piece", "https://edmondsonsupply.com/collections/hvac/products/klein-tools-94130-1000v-insulated-tool-kit-5-piece")</f>
        <v>https://edmondsonsupply.com/collections/hvac/products/klein-tools-94130-1000v-insulated-tool-kit-5-piece</v>
      </c>
      <c r="B2134" s="3" t="str">
        <f>HYPERLINK("https://edmondsonsupply.com/products/klein-tools-94130-1000v-insulated-tool-kit-5-piece", "https://edmondsonsupply.com/products/klein-tools-94130-1000v-insulated-tool-kit-5-piece")</f>
        <v>https://edmondsonsupply.com/products/klein-tools-94130-1000v-insulated-tool-kit-5-piece</v>
      </c>
      <c r="C2134" t="s">
        <v>2221</v>
      </c>
      <c r="D2134" t="s">
        <v>4851</v>
      </c>
      <c r="E2134" s="3" t="str">
        <f>HYPERLINK("https://www.amazon.com/Klein-Tools-85076INS-Screwdriver-Screwdrivers/dp/B0BF76JDCC/ref=sr_1_10?keywords=Klein+Tools+94130+1000V+Insulated+Tool+Kit%2C+5-Piece&amp;qid=1695173544&amp;sr=8-10", "https://www.amazon.com/Klein-Tools-85076INS-Screwdriver-Screwdrivers/dp/B0BF76JDCC/ref=sr_1_10?keywords=Klein+Tools+94130+1000V+Insulated+Tool+Kit%2C+5-Piece&amp;qid=1695173544&amp;sr=8-10")</f>
        <v>https://www.amazon.com/Klein-Tools-85076INS-Screwdriver-Screwdrivers/dp/B0BF76JDCC/ref=sr_1_10?keywords=Klein+Tools+94130+1000V+Insulated+Tool+Kit%2C+5-Piece&amp;qid=1695173544&amp;sr=8-10</v>
      </c>
      <c r="F2134" t="s">
        <v>4852</v>
      </c>
      <c r="G2134" t="e">
        <f ca="1">_xludf.IMAGE("https://edmondsonsupply.com/cdn/shop/products/94130.jpg?v=1633030386")</f>
        <v>#NAME?</v>
      </c>
      <c r="H2134" t="e">
        <f ca="1">_xludf.IMAGE("https://m.media-amazon.com/images/I/51wtKAQ0TLL._AC_UL320_.jpg")</f>
        <v>#NAME?</v>
      </c>
      <c r="I2134" t="s">
        <v>2224</v>
      </c>
      <c r="J2134">
        <v>39.43</v>
      </c>
      <c r="K2134" s="4">
        <v>-0.60570000000000002</v>
      </c>
      <c r="L2134">
        <v>4.8</v>
      </c>
      <c r="M2134">
        <v>207</v>
      </c>
      <c r="O2134" t="s">
        <v>25</v>
      </c>
      <c r="P2134" t="s">
        <v>2225</v>
      </c>
      <c r="Q2134" t="s">
        <v>2226</v>
      </c>
    </row>
    <row r="2135" spans="1:17" ht="15.5" x14ac:dyDescent="0.35">
      <c r="A2135" s="3" t="str">
        <f>HYPERLINK("https://edmondsonsupply.com/collections/hvac/products/yellow-jacket-19047-gasket-remover-tool", "https://edmondsonsupply.com/collections/hvac/products/yellow-jacket-19047-gasket-remover-tool")</f>
        <v>https://edmondsonsupply.com/collections/hvac/products/yellow-jacket-19047-gasket-remover-tool</v>
      </c>
      <c r="B2135" s="3" t="str">
        <f>HYPERLINK("https://edmondsonsupply.com/products/yellow-jacket-19047-gasket-remover-tool", "https://edmondsonsupply.com/products/yellow-jacket-19047-gasket-remover-tool")</f>
        <v>https://edmondsonsupply.com/products/yellow-jacket-19047-gasket-remover-tool</v>
      </c>
      <c r="C2135" t="s">
        <v>5634</v>
      </c>
      <c r="D2135" t="s">
        <v>5635</v>
      </c>
      <c r="E2135" s="3" t="str">
        <f>HYPERLINK("https://www.amazon.com/PATIKIL-Straight-Precision-Screwdriver-Remover/dp/B0C3MCMWRM/ref=sr_1_5?keywords=Yellow+Jacket+19047+Gasket+Remover+Pick+Tool&amp;qid=1695173343&amp;sr=8-5", "https://www.amazon.com/PATIKIL-Straight-Precision-Screwdriver-Remover/dp/B0C3MCMWRM/ref=sr_1_5?keywords=Yellow+Jacket+19047+Gasket+Remover+Pick+Tool&amp;qid=1695173343&amp;sr=8-5")</f>
        <v>https://www.amazon.com/PATIKIL-Straight-Precision-Screwdriver-Remover/dp/B0C3MCMWRM/ref=sr_1_5?keywords=Yellow+Jacket+19047+Gasket+Remover+Pick+Tool&amp;qid=1695173343&amp;sr=8-5</v>
      </c>
      <c r="F2135" t="s">
        <v>5636</v>
      </c>
      <c r="G2135" t="e">
        <f ca="1">_xludf.IMAGE("https://edmondsonsupply.com/cdn/shop/products/gasket-remover-tool.jpg?v=1587144379")</f>
        <v>#NAME?</v>
      </c>
      <c r="H2135" t="e">
        <f ca="1">_xludf.IMAGE("https://m.media-amazon.com/images/I/41CEu809r+L._AC_UL320_.jpg")</f>
        <v>#NAME?</v>
      </c>
      <c r="I2135" t="s">
        <v>5637</v>
      </c>
      <c r="J2135">
        <v>5.99</v>
      </c>
      <c r="K2135" s="4">
        <v>-0.60699999999999998</v>
      </c>
      <c r="L2135">
        <v>5</v>
      </c>
      <c r="M2135">
        <v>2</v>
      </c>
      <c r="O2135" t="s">
        <v>25</v>
      </c>
      <c r="P2135" t="s">
        <v>138</v>
      </c>
      <c r="Q2135" t="s">
        <v>5638</v>
      </c>
    </row>
    <row r="2136" spans="1:17" ht="15.5" x14ac:dyDescent="0.35">
      <c r="A2136" s="3" t="str">
        <f>HYPERLINK("https://edmondsonsupply.com/collections/hvac/products/malco-mshxlc-6", "https://edmondsonsupply.com/collections/hvac/products/malco-mshxlc-6")</f>
        <v>https://edmondsonsupply.com/collections/hvac/products/malco-mshxlc-6</v>
      </c>
      <c r="B2136" s="3" t="str">
        <f>HYPERLINK("https://edmondsonsupply.com/products/malco-mshxlc-6", "https://edmondsonsupply.com/products/malco-mshxlc-6")</f>
        <v>https://edmondsonsupply.com/products/malco-mshxlc-6</v>
      </c>
      <c r="C2136" t="s">
        <v>5343</v>
      </c>
      <c r="D2136" t="s">
        <v>213</v>
      </c>
      <c r="E2136" s="3" t="str">
        <f>HYPERLINK("https://www.amazon.com/Malco-MSHC2-Construction-Cleanable-Reversible/dp/B0BX779Y8S/ref=sr_1_2?keywords=Malco+Tools+MSHXLC+6-Inch+C-Rhex+Cleanable%2C+Reversible+Magnetic+Hex+Driver%2C+1%2F4%22+%26+5%2F16%22&amp;qid=1695173418&amp;sr=8-2", "https://www.amazon.com/Malco-MSHC2-Construction-Cleanable-Reversible/dp/B0BX779Y8S/ref=sr_1_2?keywords=Malco+Tools+MSHXLC+6-Inch+C-Rhex+Cleanable%2C+Reversible+Magnetic+Hex+Driver%2C+1%2F4%22+%26+5%2F16%22&amp;qid=1695173418&amp;sr=8-2")</f>
        <v>https://www.amazon.com/Malco-MSHC2-Construction-Cleanable-Reversible/dp/B0BX779Y8S/ref=sr_1_2?keywords=Malco+Tools+MSHXLC+6-Inch+C-Rhex+Cleanable%2C+Reversible+Magnetic+Hex+Driver%2C+1%2F4%22+%26+5%2F16%22&amp;qid=1695173418&amp;sr=8-2</v>
      </c>
      <c r="F2136" t="s">
        <v>214</v>
      </c>
      <c r="G2136" t="e">
        <f ca="1">_xludf.IMAGE("https://edmondsonsupply.com/cdn/shop/products/Malco-MSHXLC-CRHEX-Slim-Design.jpg?v=1668084662")</f>
        <v>#NAME?</v>
      </c>
      <c r="H2136" t="e">
        <f ca="1">_xludf.IMAGE("https://m.media-amazon.com/images/I/61Iwy5K7S5L._AC_UL320_.jpg")</f>
        <v>#NAME?</v>
      </c>
      <c r="I2136" t="s">
        <v>79</v>
      </c>
      <c r="J2136">
        <v>7.05</v>
      </c>
      <c r="K2136" s="4">
        <v>-0.60809999999999997</v>
      </c>
      <c r="L2136">
        <v>4.5999999999999996</v>
      </c>
      <c r="M2136">
        <v>45</v>
      </c>
      <c r="O2136" t="s">
        <v>25</v>
      </c>
      <c r="P2136" t="s">
        <v>5344</v>
      </c>
      <c r="Q2136" t="s">
        <v>5345</v>
      </c>
    </row>
    <row r="2137" spans="1:17" ht="15.5" x14ac:dyDescent="0.35">
      <c r="A2137" s="3" t="str">
        <f>HYPERLINK("https://edmondsonsupply.com/collections/hvac/products/hilmor-1839043-swos-service-wrench-offset-ratchet-1-4-3-16-3-8-5-16-sq", "https://edmondsonsupply.com/collections/hvac/products/hilmor-1839043-swos-service-wrench-offset-ratchet-1-4-3-16-3-8-5-16-sq")</f>
        <v>https://edmondsonsupply.com/collections/hvac/products/hilmor-1839043-swos-service-wrench-offset-ratchet-1-4-3-16-3-8-5-16-sq</v>
      </c>
      <c r="B2137" s="3" t="str">
        <f>HYPERLINK("https://edmondsonsupply.com/products/hilmor-1839043-swos-service-wrench-offset-ratchet-1-4-3-16-3-8-5-16-sq", "https://edmondsonsupply.com/products/hilmor-1839043-swos-service-wrench-offset-ratchet-1-4-3-16-3-8-5-16-sq")</f>
        <v>https://edmondsonsupply.com/products/hilmor-1839043-swos-service-wrench-offset-ratchet-1-4-3-16-3-8-5-16-sq</v>
      </c>
      <c r="C2137" t="s">
        <v>5639</v>
      </c>
      <c r="D2137" t="s">
        <v>5640</v>
      </c>
      <c r="E2137" s="3" t="str">
        <f>HYPERLINK("https://www.amazon.com/hilmor-1839043-Service-Wrench-Square/dp/B00O94UTUE/ref=sr_1_1?keywords=Hilmor+1839043+SWOS+Service+Wrench+-+Offset+Ratchet+1%2F4%2C+3%2F16%2C+3%2F8%2C+5%2F16+Sq&amp;qid=1695173396&amp;sr=8-1", "https://www.amazon.com/hilmor-1839043-Service-Wrench-Square/dp/B00O94UTUE/ref=sr_1_1?keywords=Hilmor+1839043+SWOS+Service+Wrench+-+Offset+Ratchet+1%2F4%2C+3%2F16%2C+3%2F8%2C+5%2F16+Sq&amp;qid=1695173396&amp;sr=8-1")</f>
        <v>https://www.amazon.com/hilmor-1839043-Service-Wrench-Square/dp/B00O94UTUE/ref=sr_1_1?keywords=Hilmor+1839043+SWOS+Service+Wrench+-+Offset+Ratchet+1%2F4%2C+3%2F16%2C+3%2F8%2C+5%2F16+Sq&amp;qid=1695173396&amp;sr=8-1</v>
      </c>
      <c r="F2137" t="s">
        <v>5641</v>
      </c>
      <c r="G2137" t="e">
        <f ca="1">_xludf.IMAGE("https://edmondsonsupply.com/cdn/shop/products/Service_Wrenches_Primary_785x480-735x480.jpg?v=1587145841")</f>
        <v>#NAME?</v>
      </c>
      <c r="H2137" t="e">
        <f ca="1">_xludf.IMAGE("https://m.media-amazon.com/images/I/61Jp-2MhCUL._AC_UL320_.jpg")</f>
        <v>#NAME?</v>
      </c>
      <c r="I2137" t="s">
        <v>3490</v>
      </c>
      <c r="J2137">
        <v>11.27</v>
      </c>
      <c r="K2137" s="4">
        <v>-0.60980000000000001</v>
      </c>
      <c r="L2137">
        <v>4.5999999999999996</v>
      </c>
      <c r="M2137">
        <v>598</v>
      </c>
      <c r="O2137" t="s">
        <v>25</v>
      </c>
      <c r="P2137" t="s">
        <v>138</v>
      </c>
      <c r="Q2137" t="s">
        <v>5642</v>
      </c>
    </row>
    <row r="2138" spans="1:17" ht="15.5" x14ac:dyDescent="0.35">
      <c r="A2138" s="3" t="str">
        <f>HYPERLINK("https://edmondsonsupply.com/collections/hvac/products/speedclean-msb-kit-mini-split-bib%C2%AE-kit", "https://edmondsonsupply.com/collections/hvac/products/speedclean-msb-kit-mini-split-bib%C2%AE-kit")</f>
        <v>https://edmondsonsupply.com/collections/hvac/products/speedclean-msb-kit-mini-split-bib%C2%AE-kit</v>
      </c>
      <c r="B2138" s="3" t="str">
        <f>HYPERLINK("https://edmondsonsupply.com/products/speedclean-msb-kit-mini-split-bib%c2%ae-kit", "https://edmondsonsupply.com/products/speedclean-msb-kit-mini-split-bib%c2%ae-kit")</f>
        <v>https://edmondsonsupply.com/products/speedclean-msb-kit-mini-split-bib%c2%ae-kit</v>
      </c>
      <c r="C2138" t="s">
        <v>4286</v>
      </c>
      <c r="D2138" t="s">
        <v>5643</v>
      </c>
      <c r="E2138" s="3" t="str">
        <f>HYPERLINK("https://www.amazon.com/SpeedClean-MSB-01-Mini-Split-Replacement/dp/B01N5HRIBR/ref=sr_1_2?keywords=SpeedClean+MSB-KIT+Mini-Split+Bib%C2%AE+Kit&amp;qid=1695173736&amp;sr=8-2", "https://www.amazon.com/SpeedClean-MSB-01-Mini-Split-Replacement/dp/B01N5HRIBR/ref=sr_1_2?keywords=SpeedClean+MSB-KIT+Mini-Split+Bib%C2%AE+Kit&amp;qid=1695173736&amp;sr=8-2")</f>
        <v>https://www.amazon.com/SpeedClean-MSB-01-Mini-Split-Replacement/dp/B01N5HRIBR/ref=sr_1_2?keywords=SpeedClean+MSB-KIT+Mini-Split+Bib%C2%AE+Kit&amp;qid=1695173736&amp;sr=8-2</v>
      </c>
      <c r="F2138" t="s">
        <v>5644</v>
      </c>
      <c r="G2138" t="e">
        <f ca="1">_xludf.IMAGE("https://edmondsonsupply.com/cdn/shop/files/64274f3119e9f363178468.jpg?v=1689861211")</f>
        <v>#NAME?</v>
      </c>
      <c r="H2138" t="e">
        <f ca="1">_xludf.IMAGE("https://m.media-amazon.com/images/I/51aK9E0IcJL._AC_UL320_.jpg")</f>
        <v>#NAME?</v>
      </c>
      <c r="I2138" t="s">
        <v>4289</v>
      </c>
      <c r="J2138">
        <v>41.79</v>
      </c>
      <c r="K2138" s="4">
        <v>-0.61180000000000001</v>
      </c>
      <c r="L2138">
        <v>4.0999999999999996</v>
      </c>
      <c r="M2138">
        <v>24</v>
      </c>
      <c r="O2138" t="s">
        <v>25</v>
      </c>
      <c r="P2138" t="s">
        <v>138</v>
      </c>
      <c r="Q2138" t="s">
        <v>4290</v>
      </c>
    </row>
    <row r="2139" spans="1:17" ht="15.5" x14ac:dyDescent="0.35">
      <c r="A2139" s="3" t="str">
        <f>HYPERLINK("https://edmondsonsupply.com/collections/hvac/products/hilmor-1839043-swos-service-wrench-offset-ratchet-1-4-3-16-3-8-5-16-sq", "https://edmondsonsupply.com/collections/hvac/products/hilmor-1839043-swos-service-wrench-offset-ratchet-1-4-3-16-3-8-5-16-sq")</f>
        <v>https://edmondsonsupply.com/collections/hvac/products/hilmor-1839043-swos-service-wrench-offset-ratchet-1-4-3-16-3-8-5-16-sq</v>
      </c>
      <c r="B2139" s="3" t="str">
        <f>HYPERLINK("https://edmondsonsupply.com/products/hilmor-1839043-swos-service-wrench-offset-ratchet-1-4-3-16-3-8-5-16-sq", "https://edmondsonsupply.com/products/hilmor-1839043-swos-service-wrench-offset-ratchet-1-4-3-16-3-8-5-16-sq")</f>
        <v>https://edmondsonsupply.com/products/hilmor-1839043-swos-service-wrench-offset-ratchet-1-4-3-16-3-8-5-16-sq</v>
      </c>
      <c r="C2139" t="s">
        <v>5639</v>
      </c>
      <c r="D2139" t="s">
        <v>5645</v>
      </c>
      <c r="E2139" s="3" t="str">
        <f>HYPERLINK("https://www.amazon.com/hilmor-1839042-Straight-Service-Wrench/dp/B00FDJBW14/ref=sr_1_2?keywords=Hilmor+1839043+SWOS+Service+Wrench+-+Offset+Ratchet+1%2F4%2C+3%2F16%2C+3%2F8%2C+5%2F16+Sq&amp;qid=1695173396&amp;sr=8-2", "https://www.amazon.com/hilmor-1839042-Straight-Service-Wrench/dp/B00FDJBW14/ref=sr_1_2?keywords=Hilmor+1839043+SWOS+Service+Wrench+-+Offset+Ratchet+1%2F4%2C+3%2F16%2C+3%2F8%2C+5%2F16+Sq&amp;qid=1695173396&amp;sr=8-2")</f>
        <v>https://www.amazon.com/hilmor-1839042-Straight-Service-Wrench/dp/B00FDJBW14/ref=sr_1_2?keywords=Hilmor+1839043+SWOS+Service+Wrench+-+Offset+Ratchet+1%2F4%2C+3%2F16%2C+3%2F8%2C+5%2F16+Sq&amp;qid=1695173396&amp;sr=8-2</v>
      </c>
      <c r="F2139" t="s">
        <v>5646</v>
      </c>
      <c r="G2139" t="e">
        <f ca="1">_xludf.IMAGE("https://edmondsonsupply.com/cdn/shop/products/Service_Wrenches_Primary_785x480-735x480.jpg?v=1587145841")</f>
        <v>#NAME?</v>
      </c>
      <c r="H2139" t="e">
        <f ca="1">_xludf.IMAGE("https://m.media-amazon.com/images/I/61q45Oqag4L._AC_UL320_.jpg")</f>
        <v>#NAME?</v>
      </c>
      <c r="I2139" t="s">
        <v>3490</v>
      </c>
      <c r="J2139">
        <v>10.99</v>
      </c>
      <c r="K2139" s="4">
        <v>-0.61950000000000005</v>
      </c>
      <c r="L2139">
        <v>4.7</v>
      </c>
      <c r="M2139">
        <v>70</v>
      </c>
      <c r="O2139" t="s">
        <v>25</v>
      </c>
      <c r="P2139" t="s">
        <v>138</v>
      </c>
      <c r="Q2139" t="s">
        <v>5642</v>
      </c>
    </row>
    <row r="2140" spans="1:17" ht="15.5" x14ac:dyDescent="0.35">
      <c r="A2140" s="3" t="str">
        <f>HYPERLINK("https://edmondsonsupply.com/collections/hvac/products/packard-c390c-contactor-3-pole-90-amps-208-240-coil-voltage", "https://edmondsonsupply.com/collections/hvac/products/packard-c390c-contactor-3-pole-90-amps-208-240-coil-voltage")</f>
        <v>https://edmondsonsupply.com/collections/hvac/products/packard-c390c-contactor-3-pole-90-amps-208-240-coil-voltage</v>
      </c>
      <c r="B2140" s="3" t="str">
        <f>HYPERLINK("https://edmondsonsupply.com/products/packard-c390c-contactor-3-pole-90-amps-208-240-coil-voltage", "https://edmondsonsupply.com/products/packard-c390c-contactor-3-pole-90-amps-208-240-coil-voltage")</f>
        <v>https://edmondsonsupply.com/products/packard-c390c-contactor-3-pole-90-amps-208-240-coil-voltage</v>
      </c>
      <c r="C2140" t="s">
        <v>5647</v>
      </c>
      <c r="D2140" t="s">
        <v>5648</v>
      </c>
      <c r="E2140" s="3" t="str">
        <f>HYPERLINK("https://www.amazon.com/Packard-C360C-Contactor-Pole-Voltage/dp/B00BD4BS7Q/ref=sr_1_5?keywords=Packard+C390C+Contactor+3+Pole+90+AMPS+208%2F240+Coil+Voltage&amp;qid=1695173378&amp;sr=8-5", "https://www.amazon.com/Packard-C360C-Contactor-Pole-Voltage/dp/B00BD4BS7Q/ref=sr_1_5?keywords=Packard+C390C+Contactor+3+Pole+90+AMPS+208%2F240+Coil+Voltage&amp;qid=1695173378&amp;sr=8-5")</f>
        <v>https://www.amazon.com/Packard-C360C-Contactor-Pole-Voltage/dp/B00BD4BS7Q/ref=sr_1_5?keywords=Packard+C390C+Contactor+3+Pole+90+AMPS+208%2F240+Coil+Voltage&amp;qid=1695173378&amp;sr=8-5</v>
      </c>
      <c r="F2140" t="s">
        <v>5649</v>
      </c>
      <c r="G2140" t="e">
        <f ca="1">_xludf.IMAGE("https://edmondsonsupply.com/cdn/shop/products/packard-3.75-pole_xl_1.jpg?v=1660002504")</f>
        <v>#NAME?</v>
      </c>
      <c r="H2140" t="e">
        <f ca="1">_xludf.IMAGE("https://m.media-amazon.com/images/I/71dbLtXexCL._AC_UY218_.jpg")</f>
        <v>#NAME?</v>
      </c>
      <c r="I2140" t="s">
        <v>5650</v>
      </c>
      <c r="J2140">
        <v>48.55</v>
      </c>
      <c r="K2140" s="4">
        <v>-0.63009999999999999</v>
      </c>
      <c r="L2140">
        <v>4.7</v>
      </c>
      <c r="M2140">
        <v>8</v>
      </c>
      <c r="O2140" t="s">
        <v>25</v>
      </c>
      <c r="P2140" t="s">
        <v>138</v>
      </c>
      <c r="Q2140" t="s">
        <v>5651</v>
      </c>
    </row>
    <row r="2141" spans="1:17" ht="15.5" x14ac:dyDescent="0.35">
      <c r="A2141" s="3" t="str">
        <f>HYPERLINK("https://edmondsonsupply.com/collections/hvac/products/klein-tools-935dag-digital-angle-gauge-and-level", "https://edmondsonsupply.com/collections/hvac/products/klein-tools-935dag-digital-angle-gauge-and-level")</f>
        <v>https://edmondsonsupply.com/collections/hvac/products/klein-tools-935dag-digital-angle-gauge-and-level</v>
      </c>
      <c r="B2141" s="3" t="str">
        <f>HYPERLINK("https://edmondsonsupply.com/products/klein-tools-935dag-digital-angle-gauge-and-level", "https://edmondsonsupply.com/products/klein-tools-935dag-digital-angle-gauge-and-level")</f>
        <v>https://edmondsonsupply.com/products/klein-tools-935dag-digital-angle-gauge-and-level</v>
      </c>
      <c r="C2141" t="s">
        <v>1924</v>
      </c>
      <c r="D2141" t="s">
        <v>5652</v>
      </c>
      <c r="E2141" s="3" t="str">
        <f>HYPERLINK("https://www.amazon.com/Aproca-Storage-Travel-Digital-Electronic/dp/B08LKV462K/ref=sr_1_5?keywords=Klein+Tools+935DAG+Digital+Angle+Gauge+and+Level&amp;qid=1695173564&amp;sr=8-5", "https://www.amazon.com/Aproca-Storage-Travel-Digital-Electronic/dp/B08LKV462K/ref=sr_1_5?keywords=Klein+Tools+935DAG+Digital+Angle+Gauge+and+Level&amp;qid=1695173564&amp;sr=8-5")</f>
        <v>https://www.amazon.com/Aproca-Storage-Travel-Digital-Electronic/dp/B08LKV462K/ref=sr_1_5?keywords=Klein+Tools+935DAG+Digital+Angle+Gauge+and+Level&amp;qid=1695173564&amp;sr=8-5</v>
      </c>
      <c r="F2141" t="s">
        <v>5653</v>
      </c>
      <c r="G2141" t="e">
        <f ca="1">_xludf.IMAGE("https://edmondsonsupply.com/cdn/shop/products/935dag.jpg?v=1587145032")</f>
        <v>#NAME?</v>
      </c>
      <c r="H2141" t="e">
        <f ca="1">_xludf.IMAGE("https://m.media-amazon.com/images/I/71x6NsHDAdL._AC_UL320_.jpg")</f>
        <v>#NAME?</v>
      </c>
      <c r="I2141" t="s">
        <v>824</v>
      </c>
      <c r="J2141">
        <v>10.99</v>
      </c>
      <c r="K2141" s="4">
        <v>-0.63329999999999997</v>
      </c>
      <c r="L2141">
        <v>4.4000000000000004</v>
      </c>
      <c r="M2141">
        <v>69</v>
      </c>
      <c r="O2141" t="s">
        <v>25</v>
      </c>
      <c r="P2141" t="s">
        <v>73</v>
      </c>
      <c r="Q2141" t="s">
        <v>1927</v>
      </c>
    </row>
    <row r="2142" spans="1:17" ht="15.5" x14ac:dyDescent="0.35">
      <c r="A2142" s="3" t="str">
        <f>HYPERLINK("https://edmondsonsupply.com/collections/hvac/products/packard-c440b-contactor-4-pole-40-amps-120-coil-voltage", "https://edmondsonsupply.com/collections/hvac/products/packard-c440b-contactor-4-pole-40-amps-120-coil-voltage")</f>
        <v>https://edmondsonsupply.com/collections/hvac/products/packard-c440b-contactor-4-pole-40-amps-120-coil-voltage</v>
      </c>
      <c r="B2142" s="3" t="str">
        <f>HYPERLINK("https://edmondsonsupply.com/products/packard-c440b-contactor-4-pole-40-amps-120-coil-voltage", "https://edmondsonsupply.com/products/packard-c440b-contactor-4-pole-40-amps-120-coil-voltage")</f>
        <v>https://edmondsonsupply.com/products/packard-c440b-contactor-4-pole-40-amps-120-coil-voltage</v>
      </c>
      <c r="C2142" t="s">
        <v>5553</v>
      </c>
      <c r="D2142" t="s">
        <v>2824</v>
      </c>
      <c r="E2142" s="3" t="str">
        <f>HYPERLINK("https://www.amazon.com/Packard-C240B-Contactor-Pole-Voltage/dp/B004Z0RLL2/ref=sr_1_3?keywords=Packard+C440B+Contactor+4+Pole+40+AMPS+120+Coil+Voltage&amp;qid=1695173624&amp;sr=8-3", "https://www.amazon.com/Packard-C240B-Contactor-Pole-Voltage/dp/B004Z0RLL2/ref=sr_1_3?keywords=Packard+C440B+Contactor+4+Pole+40+AMPS+120+Coil+Voltage&amp;qid=1695173624&amp;sr=8-3")</f>
        <v>https://www.amazon.com/Packard-C240B-Contactor-Pole-Voltage/dp/B004Z0RLL2/ref=sr_1_3?keywords=Packard+C440B+Contactor+4+Pole+40+AMPS+120+Coil+Voltage&amp;qid=1695173624&amp;sr=8-3</v>
      </c>
      <c r="F2142" t="s">
        <v>2825</v>
      </c>
      <c r="G2142" t="e">
        <f ca="1">_xludf.IMAGE("https://edmondsonsupply.com/cdn/shop/products/C440B-1.jpg?v=1633030967")</f>
        <v>#NAME?</v>
      </c>
      <c r="H2142" t="e">
        <f ca="1">_xludf.IMAGE("https://m.media-amazon.com/images/I/81OXIO+-K1L._AC_UY218_.jpg")</f>
        <v>#NAME?</v>
      </c>
      <c r="I2142" t="s">
        <v>5556</v>
      </c>
      <c r="J2142">
        <v>16.7</v>
      </c>
      <c r="K2142" s="4">
        <v>-0.64170000000000005</v>
      </c>
      <c r="L2142">
        <v>4.5999999999999996</v>
      </c>
      <c r="M2142">
        <v>299</v>
      </c>
      <c r="O2142" t="s">
        <v>25</v>
      </c>
      <c r="P2142" t="s">
        <v>138</v>
      </c>
      <c r="Q2142" t="s">
        <v>5557</v>
      </c>
    </row>
    <row r="2143" spans="1:17" ht="15.5" x14ac:dyDescent="0.35">
      <c r="A2143"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2143" s="3" t="str">
        <f>HYPERLINK("https://edmondsonsupply.com/products/bacharach-h-10-pro-refrigerant-leak-detector", "https://edmondsonsupply.com/products/bacharach-h-10-pro-refrigerant-leak-detector")</f>
        <v>https://edmondsonsupply.com/products/bacharach-h-10-pro-refrigerant-leak-detector</v>
      </c>
      <c r="C2143" t="s">
        <v>3179</v>
      </c>
      <c r="D2143" t="s">
        <v>5654</v>
      </c>
      <c r="E2143" s="3" t="str">
        <f>HYPERLINK("https://www.amazon.com/Elitech-ILD-200-Refrigerant-Sensitivity-Warranty%E3%80%91/dp/B07586MWM9/ref=sr_1_5?keywords=Bacharach+H-10+PRO+Refrigerant+Leak+Detector&amp;qid=1695173531&amp;sr=8-5", "https://www.amazon.com/Elitech-ILD-200-Refrigerant-Sensitivity-Warranty%E3%80%91/dp/B07586MWM9/ref=sr_1_5?keywords=Bacharach+H-10+PRO+Refrigerant+Leak+Detector&amp;qid=1695173531&amp;sr=8-5")</f>
        <v>https://www.amazon.com/Elitech-ILD-200-Refrigerant-Sensitivity-Warranty%E3%80%91/dp/B07586MWM9/ref=sr_1_5?keywords=Bacharach+H-10+PRO+Refrigerant+Leak+Detector&amp;qid=1695173531&amp;sr=8-5</v>
      </c>
      <c r="F2143" t="s">
        <v>5655</v>
      </c>
      <c r="G2143" t="e">
        <f ca="1">_xludf.IMAGE("https://edmondsonsupply.com/cdn/shop/products/featured-h-10-pro-refrigerant-leak-detector.jpg?v=1635555994")</f>
        <v>#NAME?</v>
      </c>
      <c r="H2143" t="e">
        <f ca="1">_xludf.IMAGE("https://m.media-amazon.com/images/I/613dkPvMCTL._AC_UL320_.jpg")</f>
        <v>#NAME?</v>
      </c>
      <c r="I2143" t="s">
        <v>3180</v>
      </c>
      <c r="J2143">
        <v>225.99</v>
      </c>
      <c r="K2143" s="4">
        <v>-0.65639999999999998</v>
      </c>
      <c r="L2143">
        <v>4.5999999999999996</v>
      </c>
      <c r="M2143">
        <v>741</v>
      </c>
      <c r="O2143" t="s">
        <v>25</v>
      </c>
      <c r="P2143" t="s">
        <v>138</v>
      </c>
      <c r="Q2143" t="s">
        <v>3181</v>
      </c>
    </row>
    <row r="2144" spans="1:17" ht="15.5" x14ac:dyDescent="0.35">
      <c r="A2144" s="3" t="str">
        <f>HYPERLINK("https://edmondsonsupply.com/collections/hvac/products/fresh-aire-uv-tuvl-215p-2-year-blue-tube-replacement-uv-lamp", "https://edmondsonsupply.com/collections/hvac/products/fresh-aire-uv-tuvl-215p-2-year-blue-tube-replacement-uv-lamp")</f>
        <v>https://edmondsonsupply.com/collections/hvac/products/fresh-aire-uv-tuvl-215p-2-year-blue-tube-replacement-uv-lamp</v>
      </c>
      <c r="B2144" s="3" t="str">
        <f>HYPERLINK("https://edmondsonsupply.com/products/fresh-aire-uv-tuvl-215p-2-year-blue-tube-replacement-uv-lamp", "https://edmondsonsupply.com/products/fresh-aire-uv-tuvl-215p-2-year-blue-tube-replacement-uv-lamp")</f>
        <v>https://edmondsonsupply.com/products/fresh-aire-uv-tuvl-215p-2-year-blue-tube-replacement-uv-lamp</v>
      </c>
      <c r="C2144" t="s">
        <v>2034</v>
      </c>
      <c r="D2144" t="s">
        <v>5656</v>
      </c>
      <c r="E2144" s="3" t="str">
        <f>HYPERLINK("https://www.amazon.com/LuTrace-TUVL-200-Blue-Tube-Compatible-Guaranteed/dp/B09NL9LX1P/ref=sr_1_6?keywords=Fresh-Aire+UV+TUVL-215P%2C+2-Year+Blue-Tube+Replacement+UV+Lamp&amp;qid=1695173329&amp;sr=8-6", "https://www.amazon.com/LuTrace-TUVL-200-Blue-Tube-Compatible-Guaranteed/dp/B09NL9LX1P/ref=sr_1_6?keywords=Fresh-Aire+UV+TUVL-215P%2C+2-Year+Blue-Tube+Replacement+UV+Lamp&amp;qid=1695173329&amp;sr=8-6")</f>
        <v>https://www.amazon.com/LuTrace-TUVL-200-Blue-Tube-Compatible-Guaranteed/dp/B09NL9LX1P/ref=sr_1_6?keywords=Fresh-Aire+UV+TUVL-215P%2C+2-Year+Blue-Tube+Replacement+UV+Lamp&amp;qid=1695173329&amp;sr=8-6</v>
      </c>
      <c r="F2144" t="s">
        <v>5657</v>
      </c>
      <c r="G2144" t="e">
        <f ca="1">_xludf.IMAGE("https://edmondsonsupply.com/cdn/shop/products/TUVL-215P.jpg?v=1633030216")</f>
        <v>#NAME?</v>
      </c>
      <c r="H2144" t="e">
        <f ca="1">_xludf.IMAGE("https://m.media-amazon.com/images/I/31rDuymxXbL._AC_UL320_.jpg")</f>
        <v>#NAME?</v>
      </c>
      <c r="I2144" t="s">
        <v>2037</v>
      </c>
      <c r="J2144">
        <v>36.99</v>
      </c>
      <c r="K2144" s="4">
        <v>-0.65759999999999996</v>
      </c>
      <c r="L2144">
        <v>4.3</v>
      </c>
      <c r="M2144">
        <v>50</v>
      </c>
      <c r="O2144" t="s">
        <v>25</v>
      </c>
      <c r="P2144" t="s">
        <v>138</v>
      </c>
      <c r="Q2144" t="s">
        <v>2038</v>
      </c>
    </row>
    <row r="2145" spans="1:17" ht="15.5" x14ac:dyDescent="0.35">
      <c r="A2145" s="3" t="str">
        <f>HYPERLINK("https://edmondsonsupply.com/collections/hvac/products/milwaukee-48-22-8392r-packout%E2%84%A2-20oz-tumbler", "https://edmondsonsupply.com/collections/hvac/products/milwaukee-48-22-8392r-packout%E2%84%A2-20oz-tumbler")</f>
        <v>https://edmondsonsupply.com/collections/hvac/products/milwaukee-48-22-8392r-packout%E2%84%A2-20oz-tumbler</v>
      </c>
      <c r="B2145" s="3" t="str">
        <f>HYPERLINK("https://edmondsonsupply.com/products/milwaukee-48-22-8392r-packout%e2%84%a2-20oz-tumbler", "https://edmondsonsupply.com/products/milwaukee-48-22-8392r-packout%e2%84%a2-20oz-tumbler")</f>
        <v>https://edmondsonsupply.com/products/milwaukee-48-22-8392r-packout%e2%84%a2-20oz-tumbler</v>
      </c>
      <c r="C2145" t="s">
        <v>5658</v>
      </c>
      <c r="D2145" t="s">
        <v>5659</v>
      </c>
      <c r="E2145" s="3" t="str">
        <f>HYPERLINK("https://www.amazon.com/Replacement-Milwaukee-48-22-8392R-Resealable-Gasket-Seals/dp/B0C9R4T855/ref=sr_1_4?keywords=Milwaukee+48-22-8392R+PACKOUT%E2%84%A2+20oz+Tumbler&amp;qid=1695173722&amp;sr=8-4", "https://www.amazon.com/Replacement-Milwaukee-48-22-8392R-Resealable-Gasket-Seals/dp/B0C9R4T855/ref=sr_1_4?keywords=Milwaukee+48-22-8392R+PACKOUT%E2%84%A2+20oz+Tumbler&amp;qid=1695173722&amp;sr=8-4")</f>
        <v>https://www.amazon.com/Replacement-Milwaukee-48-22-8392R-Resealable-Gasket-Seals/dp/B0C9R4T855/ref=sr_1_4?keywords=Milwaukee+48-22-8392R+PACKOUT%E2%84%A2+20oz+Tumbler&amp;qid=1695173722&amp;sr=8-4</v>
      </c>
      <c r="F2145" t="s">
        <v>5660</v>
      </c>
      <c r="G2145" t="e">
        <f ca="1">_xludf.IMAGE("https://edmondsonsupply.com/cdn/shop/files/48-22-8392R_1.png?v=1691501431")</f>
        <v>#NAME?</v>
      </c>
      <c r="H2145" t="e">
        <f ca="1">_xludf.IMAGE("https://m.media-amazon.com/images/I/51mMrDh3TyL._AC_UL320_.jpg")</f>
        <v>#NAME?</v>
      </c>
      <c r="I2145" t="s">
        <v>5661</v>
      </c>
      <c r="J2145">
        <v>10.09</v>
      </c>
      <c r="K2145" s="4">
        <v>-0.65759999999999996</v>
      </c>
      <c r="L2145">
        <v>5</v>
      </c>
      <c r="M2145">
        <v>1</v>
      </c>
      <c r="O2145" t="s">
        <v>25</v>
      </c>
      <c r="P2145" t="s">
        <v>5662</v>
      </c>
      <c r="Q2145" t="s">
        <v>5663</v>
      </c>
    </row>
    <row r="2146" spans="1:17" ht="15.5" x14ac:dyDescent="0.35">
      <c r="A2146" s="3" t="str">
        <f>HYPERLINK("https://edmondsonsupply.com/collections/hvac/products/milwaukee-48-22-1502-fastback%E2%84%A2-folding-utility-knife-w-blade-storage", "https://edmondsonsupply.com/collections/hvac/products/milwaukee-48-22-1502-fastback%E2%84%A2-folding-utility-knife-w-blade-storage")</f>
        <v>https://edmondsonsupply.com/collections/hvac/products/milwaukee-48-22-1502-fastback%E2%84%A2-folding-utility-knife-w-blade-storage</v>
      </c>
      <c r="B2146" s="3" t="str">
        <f>HYPERLINK("https://edmondsonsupply.com/products/milwaukee-48-22-1502-fastback%e2%84%a2-folding-utility-knife-w-blade-storage", "https://edmondsonsupply.com/products/milwaukee-48-22-1502-fastback%e2%84%a2-folding-utility-knife-w-blade-storage")</f>
        <v>https://edmondsonsupply.com/products/milwaukee-48-22-1502-fastback%e2%84%a2-folding-utility-knife-w-blade-storage</v>
      </c>
      <c r="C2146" t="s">
        <v>2783</v>
      </c>
      <c r="D2146" t="s">
        <v>5664</v>
      </c>
      <c r="E2146" s="3" t="str">
        <f>HYPERLINK("https://www.amazon.com/Milwaukee-48-22-1933-Deburred-Carbide-Lockback/dp/B00D5YLP5W/ref=sr_1_7?keywords=Milwaukee+48-22-1502+FASTBACK%E2%84%A2+Folding+Utility+Knife+w%2F+Blade+Storage&amp;qid=1695173435&amp;sr=8-7", "https://www.amazon.com/Milwaukee-48-22-1933-Deburred-Carbide-Lockback/dp/B00D5YLP5W/ref=sr_1_7?keywords=Milwaukee+48-22-1502+FASTBACK%E2%84%A2+Folding+Utility+Knife+w%2F+Blade+Storage&amp;qid=1695173435&amp;sr=8-7")</f>
        <v>https://www.amazon.com/Milwaukee-48-22-1933-Deburred-Carbide-Lockback/dp/B00D5YLP5W/ref=sr_1_7?keywords=Milwaukee+48-22-1502+FASTBACK%E2%84%A2+Folding+Utility+Knife+w%2F+Blade+Storage&amp;qid=1695173435&amp;sr=8-7</v>
      </c>
      <c r="F2146" t="s">
        <v>5665</v>
      </c>
      <c r="G2146" t="e">
        <f ca="1">_xludf.IMAGE("https://edmondsonsupply.com/cdn/shop/products/48-22-1502_3.png?v=1587148345")</f>
        <v>#NAME?</v>
      </c>
      <c r="H2146" t="e">
        <f ca="1">_xludf.IMAGE("https://m.media-amazon.com/images/I/41vPWO+PD8L._AC_UL320_.jpg")</f>
        <v>#NAME?</v>
      </c>
      <c r="I2146" t="s">
        <v>2784</v>
      </c>
      <c r="J2146">
        <v>4.99</v>
      </c>
      <c r="K2146" s="4">
        <v>-0.66669999999999996</v>
      </c>
      <c r="L2146">
        <v>4.5</v>
      </c>
      <c r="M2146">
        <v>65</v>
      </c>
      <c r="O2146" t="s">
        <v>25</v>
      </c>
      <c r="P2146" t="s">
        <v>1707</v>
      </c>
      <c r="Q2146" t="s">
        <v>2785</v>
      </c>
    </row>
    <row r="2147" spans="1:17" ht="15.5" x14ac:dyDescent="0.35">
      <c r="A2147" s="3" t="str">
        <f>HYPERLINK("https://edmondsonsupply.com/collections/hvac/products/fresh-aire-uv-tuvl-215p-2-year-blue-tube-replacement-uv-lamp", "https://edmondsonsupply.com/collections/hvac/products/fresh-aire-uv-tuvl-215p-2-year-blue-tube-replacement-uv-lamp")</f>
        <v>https://edmondsonsupply.com/collections/hvac/products/fresh-aire-uv-tuvl-215p-2-year-blue-tube-replacement-uv-lamp</v>
      </c>
      <c r="B2147" s="3" t="str">
        <f>HYPERLINK("https://edmondsonsupply.com/products/fresh-aire-uv-tuvl-215p-2-year-blue-tube-replacement-uv-lamp", "https://edmondsonsupply.com/products/fresh-aire-uv-tuvl-215p-2-year-blue-tube-replacement-uv-lamp")</f>
        <v>https://edmondsonsupply.com/products/fresh-aire-uv-tuvl-215p-2-year-blue-tube-replacement-uv-lamp</v>
      </c>
      <c r="C2147" t="s">
        <v>2034</v>
      </c>
      <c r="D2147" t="s">
        <v>5666</v>
      </c>
      <c r="E2147" s="3" t="str">
        <f>HYPERLINK("https://www.amazon.com/TUVL-215P-TUVL-200-Compatible-Blue-Tube-Guaranteed/dp/B0BDSHMM2T/ref=sr_1_2?keywords=Fresh-Aire+UV+TUVL-215P%2C+2-Year+Blue-Tube+Replacement+UV+Lamp&amp;qid=1695173329&amp;sr=8-2", "https://www.amazon.com/TUVL-215P-TUVL-200-Compatible-Blue-Tube-Guaranteed/dp/B0BDSHMM2T/ref=sr_1_2?keywords=Fresh-Aire+UV+TUVL-215P%2C+2-Year+Blue-Tube+Replacement+UV+Lamp&amp;qid=1695173329&amp;sr=8-2")</f>
        <v>https://www.amazon.com/TUVL-215P-TUVL-200-Compatible-Blue-Tube-Guaranteed/dp/B0BDSHMM2T/ref=sr_1_2?keywords=Fresh-Aire+UV+TUVL-215P%2C+2-Year+Blue-Tube+Replacement+UV+Lamp&amp;qid=1695173329&amp;sr=8-2</v>
      </c>
      <c r="F2147" t="s">
        <v>5667</v>
      </c>
      <c r="G2147" t="e">
        <f ca="1">_xludf.IMAGE("https://edmondsonsupply.com/cdn/shop/products/TUVL-215P.jpg?v=1633030216")</f>
        <v>#NAME?</v>
      </c>
      <c r="H2147" t="e">
        <f ca="1">_xludf.IMAGE("https://m.media-amazon.com/images/I/41gWfJy0fWL._AC_UL320_.jpg")</f>
        <v>#NAME?</v>
      </c>
      <c r="I2147" t="s">
        <v>2037</v>
      </c>
      <c r="J2147">
        <v>34.99</v>
      </c>
      <c r="K2147" s="4">
        <v>-0.67610000000000003</v>
      </c>
      <c r="L2147">
        <v>4.0999999999999996</v>
      </c>
      <c r="M2147">
        <v>39</v>
      </c>
      <c r="O2147" t="s">
        <v>25</v>
      </c>
      <c r="P2147" t="s">
        <v>138</v>
      </c>
      <c r="Q2147" t="s">
        <v>2038</v>
      </c>
    </row>
    <row r="2148" spans="1:17" ht="15.5" x14ac:dyDescent="0.35">
      <c r="A2148" s="3" t="str">
        <f>HYPERLINK("https://edmondsonsupply.com/collections/hvac/products/fresh-aire-uv-apco-tuvl-215-2-year-replacement-uv-lamp", "https://edmondsonsupply.com/collections/hvac/products/fresh-aire-uv-apco-tuvl-215-2-year-replacement-uv-lamp")</f>
        <v>https://edmondsonsupply.com/collections/hvac/products/fresh-aire-uv-apco-tuvl-215-2-year-replacement-uv-lamp</v>
      </c>
      <c r="B2148" s="3" t="str">
        <f>HYPERLINK("https://edmondsonsupply.com/products/fresh-aire-uv-apco-tuvl-215-2-year-replacement-uv-lamp", "https://edmondsonsupply.com/products/fresh-aire-uv-apco-tuvl-215-2-year-replacement-uv-lamp")</f>
        <v>https://edmondsonsupply.com/products/fresh-aire-uv-apco-tuvl-215-2-year-replacement-uv-lamp</v>
      </c>
      <c r="C2148" t="s">
        <v>2896</v>
      </c>
      <c r="D2148" t="s">
        <v>5666</v>
      </c>
      <c r="E2148" s="3" t="str">
        <f>HYPERLINK("https://www.amazon.com/TUVL-215P-TUVL-200-Compatible-Blue-Tube-Guaranteed/dp/B0BDSHMM2T/ref=sr_1_3?keywords=Fresh-Aire+UV+APCO+TUVL-215%2C+2-Year+Replacement+UV+Lamp&amp;qid=1695173344&amp;sr=8-3", "https://www.amazon.com/TUVL-215P-TUVL-200-Compatible-Blue-Tube-Guaranteed/dp/B0BDSHMM2T/ref=sr_1_3?keywords=Fresh-Aire+UV+APCO+TUVL-215%2C+2-Year+Replacement+UV+Lamp&amp;qid=1695173344&amp;sr=8-3")</f>
        <v>https://www.amazon.com/TUVL-215P-TUVL-200-Compatible-Blue-Tube-Guaranteed/dp/B0BDSHMM2T/ref=sr_1_3?keywords=Fresh-Aire+UV+APCO+TUVL-215%2C+2-Year+Replacement+UV+Lamp&amp;qid=1695173344&amp;sr=8-3</v>
      </c>
      <c r="F2148" t="s">
        <v>5667</v>
      </c>
      <c r="G2148" t="e">
        <f ca="1">_xludf.IMAGE("https://edmondsonsupply.com/cdn/shop/products/TUVL-215_1ea9b67d-7d35-4102-a10b-a43913714c29.jpg?v=1633030216")</f>
        <v>#NAME?</v>
      </c>
      <c r="H2148" t="e">
        <f ca="1">_xludf.IMAGE("https://m.media-amazon.com/images/I/41gWfJy0fWL._AC_UL320_.jpg")</f>
        <v>#NAME?</v>
      </c>
      <c r="I2148" t="s">
        <v>2899</v>
      </c>
      <c r="J2148">
        <v>34.99</v>
      </c>
      <c r="K2148" s="4">
        <v>-0.67659999999999998</v>
      </c>
      <c r="L2148">
        <v>4.0999999999999996</v>
      </c>
      <c r="M2148">
        <v>39</v>
      </c>
      <c r="O2148" t="s">
        <v>25</v>
      </c>
      <c r="P2148" t="s">
        <v>138</v>
      </c>
      <c r="Q2148" t="s">
        <v>2900</v>
      </c>
    </row>
    <row r="2149" spans="1:17" ht="15.5" x14ac:dyDescent="0.35">
      <c r="A2149" s="3" t="str">
        <f>HYPERLINK("https://edmondsonsupply.com/collections/hvac/products/klein-tools-65064-2-in-1-hex-head-screwdriver-1-4-5-16", "https://edmondsonsupply.com/collections/hvac/products/klein-tools-65064-2-in-1-hex-head-screwdriver-1-4-5-16")</f>
        <v>https://edmondsonsupply.com/collections/hvac/products/klein-tools-65064-2-in-1-hex-head-screwdriver-1-4-5-16</v>
      </c>
      <c r="B2149" s="3" t="str">
        <f>HYPERLINK("https://edmondsonsupply.com/products/klein-tools-65064-2-in-1-hex-head-screwdriver-1-4-5-16", "https://edmondsonsupply.com/products/klein-tools-65064-2-in-1-hex-head-screwdriver-1-4-5-16")</f>
        <v>https://edmondsonsupply.com/products/klein-tools-65064-2-in-1-hex-head-screwdriver-1-4-5-16</v>
      </c>
      <c r="C2149" t="s">
        <v>2093</v>
      </c>
      <c r="D2149" t="s">
        <v>5668</v>
      </c>
      <c r="E2149" s="3" t="str">
        <f>HYPERLINK("https://www.amazon.com/Klein-Tools-32483-Screwdriver-Phillips/dp/B000936PUC/ref=sr_1_10?keywords=Klein+Tools+65064+2-in-1+Nut+Driver%2C+Hex+Head%2C+1%2F4-Inch+and+5%2F16-Inch&amp;qid=1695173568&amp;sr=8-10", "https://www.amazon.com/Klein-Tools-32483-Screwdriver-Phillips/dp/B000936PUC/ref=sr_1_10?keywords=Klein+Tools+65064+2-in-1+Nut+Driver%2C+Hex+Head%2C+1%2F4-Inch+and+5%2F16-Inch&amp;qid=1695173568&amp;sr=8-10")</f>
        <v>https://www.amazon.com/Klein-Tools-32483-Screwdriver-Phillips/dp/B000936PUC/ref=sr_1_10?keywords=Klein+Tools+65064+2-in-1+Nut+Driver%2C+Hex+Head%2C+1%2F4-Inch+and+5%2F16-Inch&amp;qid=1695173568&amp;sr=8-10</v>
      </c>
      <c r="F2149" t="s">
        <v>5669</v>
      </c>
      <c r="G2149" t="e">
        <f ca="1">_xludf.IMAGE("https://edmondsonsupply.com/cdn/shop/products/65064.jpg?v=1587147719")</f>
        <v>#NAME?</v>
      </c>
      <c r="H2149" t="e">
        <f ca="1">_xludf.IMAGE("https://m.media-amazon.com/images/I/51KFiDupheL._AC_UL320_.jpg")</f>
        <v>#NAME?</v>
      </c>
      <c r="I2149" t="s">
        <v>143</v>
      </c>
      <c r="J2149">
        <v>4.99</v>
      </c>
      <c r="K2149" s="4">
        <v>-0.6875</v>
      </c>
      <c r="L2149">
        <v>4.7</v>
      </c>
      <c r="M2149">
        <v>4276</v>
      </c>
      <c r="O2149" t="s">
        <v>25</v>
      </c>
      <c r="P2149" t="s">
        <v>2096</v>
      </c>
      <c r="Q2149" t="s">
        <v>2097</v>
      </c>
    </row>
    <row r="2150" spans="1:17" ht="15.5" x14ac:dyDescent="0.35">
      <c r="A2150" s="3" t="str">
        <f>HYPERLINK("https://edmondsonsupply.com/collections/hvac/products/nu-calgon-4773-0-clean-connect-sprayer", "https://edmondsonsupply.com/collections/hvac/products/nu-calgon-4773-0-clean-connect-sprayer")</f>
        <v>https://edmondsonsupply.com/collections/hvac/products/nu-calgon-4773-0-clean-connect-sprayer</v>
      </c>
      <c r="B2150" s="3" t="str">
        <f>HYPERLINK("https://edmondsonsupply.com/products/nu-calgon-4773-0-clean-connect-sprayer", "https://edmondsonsupply.com/products/nu-calgon-4773-0-clean-connect-sprayer")</f>
        <v>https://edmondsonsupply.com/products/nu-calgon-4773-0-clean-connect-sprayer</v>
      </c>
      <c r="C2150" t="s">
        <v>5266</v>
      </c>
      <c r="D2150" t="s">
        <v>3019</v>
      </c>
      <c r="E2150" s="3" t="str">
        <f>HYPERLINK("https://www.amazon.com/TriClean-Concentrate-Coil-Cleaner-Connector/dp/B01FCABBQO/ref=sr_1_6?keywords=Nu-Calgon+4773-0+Clean+Connect+Sprayer&amp;qid=1695173602&amp;sr=8-6", "https://www.amazon.com/TriClean-Concentrate-Coil-Cleaner-Connector/dp/B01FCABBQO/ref=sr_1_6?keywords=Nu-Calgon+4773-0+Clean+Connect+Sprayer&amp;qid=1695173602&amp;sr=8-6")</f>
        <v>https://www.amazon.com/TriClean-Concentrate-Coil-Cleaner-Connector/dp/B01FCABBQO/ref=sr_1_6?keywords=Nu-Calgon+4773-0+Clean+Connect+Sprayer&amp;qid=1695173602&amp;sr=8-6</v>
      </c>
      <c r="F2150" t="s">
        <v>3020</v>
      </c>
      <c r="G2150" t="e">
        <f ca="1">_xludf.IMAGE("https://edmondsonsupply.com/cdn/shop/products/4773-0_20200416.png?v=1667507119")</f>
        <v>#NAME?</v>
      </c>
      <c r="H2150" t="e">
        <f ca="1">_xludf.IMAGE("https://m.media-amazon.com/images/I/31wneIxbHyL._AC_UL320_.jpg")</f>
        <v>#NAME?</v>
      </c>
      <c r="I2150" t="s">
        <v>5267</v>
      </c>
      <c r="J2150">
        <v>36.619999999999997</v>
      </c>
      <c r="K2150" s="4">
        <v>-0.6946</v>
      </c>
      <c r="L2150">
        <v>5</v>
      </c>
      <c r="M2150">
        <v>1</v>
      </c>
      <c r="O2150" t="s">
        <v>25</v>
      </c>
      <c r="P2150" t="s">
        <v>5268</v>
      </c>
      <c r="Q2150" t="s">
        <v>5269</v>
      </c>
    </row>
    <row r="2151" spans="1:17" ht="15.5" x14ac:dyDescent="0.35">
      <c r="A2151" s="3" t="str">
        <f>HYPERLINK("https://edmondsonsupply.com/collections/hvac/products/ritchie-yellow-jacket-42001-series-41-manifold-only-r-22-404a-410a", "https://edmondsonsupply.com/collections/hvac/products/ritchie-yellow-jacket-42001-series-41-manifold-only-r-22-404a-410a")</f>
        <v>https://edmondsonsupply.com/collections/hvac/products/ritchie-yellow-jacket-42001-series-41-manifold-only-r-22-404a-410a</v>
      </c>
      <c r="B2151" s="3" t="str">
        <f>HYPERLINK("https://edmondsonsupply.com/products/ritchie-yellow-jacket-42001-series-41-manifold-only-r-22-404a-410a", "https://edmondsonsupply.com/products/ritchie-yellow-jacket-42001-series-41-manifold-only-r-22-404a-410a")</f>
        <v>https://edmondsonsupply.com/products/ritchie-yellow-jacket-42001-series-41-manifold-only-r-22-404a-410a</v>
      </c>
      <c r="C2151" t="s">
        <v>2546</v>
      </c>
      <c r="D2151" t="s">
        <v>5670</v>
      </c>
      <c r="E2151" s="3" t="str">
        <f>HYPERLINK("https://www.amazon.com/Yellow-Jacket-49137-Pressure-degrees/dp/B00C2GWR5G/ref=sr_1_3?keywords=Yellow+Jacket+42001+Series+41+Manifold+Only%2C+3-1%2F8%22+Gauges+-+R-22+%2F+404A+%2F+410A&amp;qid=1695173491&amp;sr=8-3", "https://www.amazon.com/Yellow-Jacket-49137-Pressure-degrees/dp/B00C2GWR5G/ref=sr_1_3?keywords=Yellow+Jacket+42001+Series+41+Manifold+Only%2C+3-1%2F8%22+Gauges+-+R-22+%2F+404A+%2F+410A&amp;qid=1695173491&amp;sr=8-3")</f>
        <v>https://www.amazon.com/Yellow-Jacket-49137-Pressure-degrees/dp/B00C2GWR5G/ref=sr_1_3?keywords=Yellow+Jacket+42001+Series+41+Manifold+Only%2C+3-1%2F8%22+Gauges+-+R-22+%2F+404A+%2F+410A&amp;qid=1695173491&amp;sr=8-3</v>
      </c>
      <c r="F2151" t="s">
        <v>5671</v>
      </c>
      <c r="G2151" t="e">
        <f ca="1">_xludf.IMAGE("https://edmondsonsupply.com/cdn/shop/products/series-41-manifolds-with-318-gauges.jpg?v=1633030025")</f>
        <v>#NAME?</v>
      </c>
      <c r="H2151" t="e">
        <f ca="1">_xludf.IMAGE("https://m.media-amazon.com/images/I/81JDjuzB8OL._AC_UL320_.jpg")</f>
        <v>#NAME?</v>
      </c>
      <c r="I2151" t="s">
        <v>2549</v>
      </c>
      <c r="J2151">
        <v>28.99</v>
      </c>
      <c r="K2151" s="4">
        <v>-0.70350000000000001</v>
      </c>
      <c r="L2151">
        <v>4.7</v>
      </c>
      <c r="M2151">
        <v>625</v>
      </c>
      <c r="O2151" t="s">
        <v>25</v>
      </c>
      <c r="P2151" t="s">
        <v>138</v>
      </c>
      <c r="Q2151" t="s">
        <v>2550</v>
      </c>
    </row>
    <row r="2152" spans="1:17" ht="15.5" x14ac:dyDescent="0.35">
      <c r="A2152" s="3" t="str">
        <f>HYPERLINK("https://edmondsonsupply.com/collections/hvac/products/milwaukee-48-11-2430-m12%E2%84%A2-redlithium%E2%84%A2-3-0-compact-battery-pack", "https://edmondsonsupply.com/collections/hvac/products/milwaukee-48-11-2430-m12%E2%84%A2-redlithium%E2%84%A2-3-0-compact-battery-pack")</f>
        <v>https://edmondsonsupply.com/collections/hvac/products/milwaukee-48-11-2430-m12%E2%84%A2-redlithium%E2%84%A2-3-0-compact-battery-pack</v>
      </c>
      <c r="B2152"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2152" t="s">
        <v>5449</v>
      </c>
      <c r="D2152" t="s">
        <v>5672</v>
      </c>
      <c r="E2152" s="3" t="str">
        <f>HYPERLINK("https://www.amazon.com/Dosctt-48-11-2430-Replacement-Compatible-48-11-2420/dp/B08H21NVMH/ref=sr_1_3?keywords=Milwaukee+48-11-2430+M12%E2%84%A2+REDLITHIUM%E2%84%A2+3.0+Compact+Battery+Pack&amp;qid=1695173672&amp;sr=8-3", "https://www.amazon.com/Dosctt-48-11-2430-Replacement-Compatible-48-11-2420/dp/B08H21NVMH/ref=sr_1_3?keywords=Milwaukee+48-11-2430+M12%E2%84%A2+REDLITHIUM%E2%84%A2+3.0+Compact+Battery+Pack&amp;qid=1695173672&amp;sr=8-3")</f>
        <v>https://www.amazon.com/Dosctt-48-11-2430-Replacement-Compatible-48-11-2420/dp/B08H21NVMH/ref=sr_1_3?keywords=Milwaukee+48-11-2430+M12%E2%84%A2+REDLITHIUM%E2%84%A2+3.0+Compact+Battery+Pack&amp;qid=1695173672&amp;sr=8-3</v>
      </c>
      <c r="F2152" t="s">
        <v>5673</v>
      </c>
      <c r="G2152" t="e">
        <f ca="1">_xludf.IMAGE("https://edmondsonsupply.com/cdn/shop/products/48-11-2430.png?v=1587142488")</f>
        <v>#NAME?</v>
      </c>
      <c r="H2152" t="e">
        <f ca="1">_xludf.IMAGE("https://m.media-amazon.com/images/I/61gmvk8teAL._AC_UL320_.jpg")</f>
        <v>#NAME?</v>
      </c>
      <c r="I2152" t="s">
        <v>5452</v>
      </c>
      <c r="J2152">
        <v>20.39</v>
      </c>
      <c r="K2152" s="4">
        <v>-0.70450000000000002</v>
      </c>
      <c r="L2152">
        <v>4.3</v>
      </c>
      <c r="M2152">
        <v>108</v>
      </c>
      <c r="O2152" t="s">
        <v>25</v>
      </c>
      <c r="P2152" t="s">
        <v>5453</v>
      </c>
      <c r="Q2152" t="s">
        <v>5454</v>
      </c>
    </row>
    <row r="2153" spans="1:17" ht="15.5" x14ac:dyDescent="0.35">
      <c r="A2153" s="3" t="str">
        <f>HYPERLINK("https://edmondsonsupply.com/collections/hvac/products/veto-pro-pac-tp-xxl-tool-pouch", "https://edmondsonsupply.com/collections/hvac/products/veto-pro-pac-tp-xxl-tool-pouch")</f>
        <v>https://edmondsonsupply.com/collections/hvac/products/veto-pro-pac-tp-xxl-tool-pouch</v>
      </c>
      <c r="B2153" s="3" t="str">
        <f>HYPERLINK("https://edmondsonsupply.com/products/veto-pro-pac-tp-xxl-tool-pouch", "https://edmondsonsupply.com/products/veto-pro-pac-tp-xxl-tool-pouch")</f>
        <v>https://edmondsonsupply.com/products/veto-pro-pac-tp-xxl-tool-pouch</v>
      </c>
      <c r="C2153" t="s">
        <v>451</v>
      </c>
      <c r="D2153" t="s">
        <v>730</v>
      </c>
      <c r="E2153" s="3" t="str">
        <f>HYPERLINK("https://www.amazon.com/Veto-Pro-Pac-MB-Pouch/dp/B008471S4I/ref=sr_1_8?keywords=Veto+Pro+Pac+TP-XXL+Tool+Pouch&amp;qid=1695173439&amp;sr=8-8", "https://www.amazon.com/Veto-Pro-Pac-MB-Pouch/dp/B008471S4I/ref=sr_1_8?keywords=Veto+Pro+Pac+TP-XXL+Tool+Pouch&amp;qid=1695173439&amp;sr=8-8")</f>
        <v>https://www.amazon.com/Veto-Pro-Pac-MB-Pouch/dp/B008471S4I/ref=sr_1_8?keywords=Veto+Pro+Pac+TP-XXL+Tool+Pouch&amp;qid=1695173439&amp;sr=8-8</v>
      </c>
      <c r="F2153" t="s">
        <v>731</v>
      </c>
      <c r="G2153" t="e">
        <f ca="1">_xludf.IMAGE("https://edmondsonsupply.com/cdn/shop/products/01_TP-XXL.jpg?v=1633031173")</f>
        <v>#NAME?</v>
      </c>
      <c r="H2153" t="e">
        <f ca="1">_xludf.IMAGE("https://m.media-amazon.com/images/I/91BzQgD8ZJL._AC_UL320_.jpg")</f>
        <v>#NAME?</v>
      </c>
      <c r="I2153" t="s">
        <v>454</v>
      </c>
      <c r="J2153">
        <v>59.95</v>
      </c>
      <c r="K2153" s="4">
        <v>-0.71450000000000002</v>
      </c>
      <c r="L2153">
        <v>4.8</v>
      </c>
      <c r="M2153">
        <v>544</v>
      </c>
      <c r="O2153" t="s">
        <v>25</v>
      </c>
      <c r="P2153" t="s">
        <v>138</v>
      </c>
      <c r="Q2153" t="s">
        <v>455</v>
      </c>
    </row>
    <row r="2154" spans="1:17" ht="15.5" x14ac:dyDescent="0.35">
      <c r="A2154" s="3" t="str">
        <f>HYPERLINK("https://edmondsonsupply.com/collections/hvac/products/fieldpiece-dr58-heated-diode-refrigerant-leak-detector", "https://edmondsonsupply.com/collections/hvac/products/fieldpiece-dr58-heated-diode-refrigerant-leak-detector")</f>
        <v>https://edmondsonsupply.com/collections/hvac/products/fieldpiece-dr58-heated-diode-refrigerant-leak-detector</v>
      </c>
      <c r="B2154" s="3" t="str">
        <f>HYPERLINK("https://edmondsonsupply.com/products/fieldpiece-dr58-heated-diode-refrigerant-leak-detector", "https://edmondsonsupply.com/products/fieldpiece-dr58-heated-diode-refrigerant-leak-detector")</f>
        <v>https://edmondsonsupply.com/products/fieldpiece-dr58-heated-diode-refrigerant-leak-detector</v>
      </c>
      <c r="C2154" t="s">
        <v>4597</v>
      </c>
      <c r="D2154" t="s">
        <v>5674</v>
      </c>
      <c r="E2154" s="3" t="str">
        <f>HYPERLINK("https://www.amazon.com/Xetron-Refrigerant-Detector-Certified-Semiconductor/dp/B09Q59ZKD3/ref=sr_1_6?keywords=Fieldpiece+DR58+Heated+Diode+Refrigerant+Leak+Detector&amp;qid=1695173453&amp;sr=8-6", "https://www.amazon.com/Xetron-Refrigerant-Detector-Certified-Semiconductor/dp/B09Q59ZKD3/ref=sr_1_6?keywords=Fieldpiece+DR58+Heated+Diode+Refrigerant+Leak+Detector&amp;qid=1695173453&amp;sr=8-6")</f>
        <v>https://www.amazon.com/Xetron-Refrigerant-Detector-Certified-Semiconductor/dp/B09Q59ZKD3/ref=sr_1_6?keywords=Fieldpiece+DR58+Heated+Diode+Refrigerant+Leak+Detector&amp;qid=1695173453&amp;sr=8-6</v>
      </c>
      <c r="F2154" t="s">
        <v>5675</v>
      </c>
      <c r="G2154" t="e">
        <f ca="1">_xludf.IMAGE("https://edmondsonsupply.com/cdn/shop/products/DR58-Product-01-300dpi-scaled.jpg?v=1633031059")</f>
        <v>#NAME?</v>
      </c>
      <c r="H2154" t="e">
        <f ca="1">_xludf.IMAGE("https://m.media-amazon.com/images/I/61Yu2ANfqCL._AC_UL320_.jpg")</f>
        <v>#NAME?</v>
      </c>
      <c r="I2154" t="s">
        <v>4600</v>
      </c>
      <c r="J2154">
        <v>89.99</v>
      </c>
      <c r="K2154" s="4">
        <v>-0.72919999999999996</v>
      </c>
      <c r="L2154">
        <v>4.0999999999999996</v>
      </c>
      <c r="M2154">
        <v>49</v>
      </c>
      <c r="O2154" t="s">
        <v>25</v>
      </c>
      <c r="P2154" t="s">
        <v>3327</v>
      </c>
      <c r="Q2154" t="s">
        <v>4601</v>
      </c>
    </row>
    <row r="2155" spans="1:17" ht="15.5" x14ac:dyDescent="0.35">
      <c r="A2155" s="3" t="str">
        <f>HYPERLINK("https://edmondsonsupply.com/collections/hvac/products/icm-controls-icm450-3-phase-line-voltage-monitor", "https://edmondsonsupply.com/collections/hvac/products/icm-controls-icm450-3-phase-line-voltage-monitor")</f>
        <v>https://edmondsonsupply.com/collections/hvac/products/icm-controls-icm450-3-phase-line-voltage-monitor</v>
      </c>
      <c r="B2155" s="3" t="str">
        <f>HYPERLINK("https://edmondsonsupply.com/products/icm-controls-icm450-3-phase-line-voltage-monitor", "https://edmondsonsupply.com/products/icm-controls-icm450-3-phase-line-voltage-monitor")</f>
        <v>https://edmondsonsupply.com/products/icm-controls-icm450-3-phase-line-voltage-monitor</v>
      </c>
      <c r="C2155" t="s">
        <v>4154</v>
      </c>
      <c r="D2155" t="s">
        <v>4117</v>
      </c>
      <c r="E2155" s="3" t="str">
        <f>HYPERLINK("https://www.amazon.com/ICM-Controls-ICM401-Three-Phase-Protection/dp/B004I5817C/ref=sr_1_1?keywords=ICM+Controls+ICM450A+3+Phase+Line+Voltage+Monitor&amp;qid=1695173452&amp;sr=8-1", "https://www.amazon.com/ICM-Controls-ICM401-Three-Phase-Protection/dp/B004I5817C/ref=sr_1_1?keywords=ICM+Controls+ICM450A+3+Phase+Line+Voltage+Monitor&amp;qid=1695173452&amp;sr=8-1")</f>
        <v>https://www.amazon.com/ICM-Controls-ICM401-Three-Phase-Protection/dp/B004I5817C/ref=sr_1_1?keywords=ICM+Controls+ICM450A+3+Phase+Line+Voltage+Monitor&amp;qid=1695173452&amp;sr=8-1</v>
      </c>
      <c r="F2155" t="s">
        <v>4118</v>
      </c>
      <c r="G2155" t="e">
        <f ca="1">_xludf.IMAGE("https://edmondsonsupply.com/cdn/shop/products/450A.png?v=1666732398")</f>
        <v>#NAME?</v>
      </c>
      <c r="H2155" t="e">
        <f ca="1">_xludf.IMAGE("https://m.media-amazon.com/images/I/61T2FryJHhL._AC_UL320_.jpg")</f>
        <v>#NAME?</v>
      </c>
      <c r="I2155" t="s">
        <v>4155</v>
      </c>
      <c r="J2155">
        <v>38.6</v>
      </c>
      <c r="K2155" s="4">
        <v>-0.74260000000000004</v>
      </c>
      <c r="L2155">
        <v>4.0999999999999996</v>
      </c>
      <c r="M2155">
        <v>11</v>
      </c>
      <c r="O2155" t="s">
        <v>25</v>
      </c>
      <c r="P2155" t="s">
        <v>4156</v>
      </c>
      <c r="Q2155" t="s">
        <v>4157</v>
      </c>
    </row>
    <row r="2156" spans="1:17" ht="15.5" x14ac:dyDescent="0.35">
      <c r="A2156"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2156" s="3" t="str">
        <f>HYPERLINK("https://edmondsonsupply.com/products/bacharach-h-10-pro-refrigerant-leak-detector", "https://edmondsonsupply.com/products/bacharach-h-10-pro-refrigerant-leak-detector")</f>
        <v>https://edmondsonsupply.com/products/bacharach-h-10-pro-refrigerant-leak-detector</v>
      </c>
      <c r="C2156" t="s">
        <v>3179</v>
      </c>
      <c r="D2156" t="s">
        <v>3994</v>
      </c>
      <c r="E2156" s="3" t="str">
        <f>HYPERLINK("https://www.amazon.com/Bacharach-3015-0486-Replacement-Refrigerant-Detector/dp/B00DSVGIUE/ref=sr_1_2?keywords=Bacharach+H-10+PRO+Refrigerant+Leak+Detector&amp;qid=1695173531&amp;sr=8-2", "https://www.amazon.com/Bacharach-3015-0486-Replacement-Refrigerant-Detector/dp/B00DSVGIUE/ref=sr_1_2?keywords=Bacharach+H-10+PRO+Refrigerant+Leak+Detector&amp;qid=1695173531&amp;sr=8-2")</f>
        <v>https://www.amazon.com/Bacharach-3015-0486-Replacement-Refrigerant-Detector/dp/B00DSVGIUE/ref=sr_1_2?keywords=Bacharach+H-10+PRO+Refrigerant+Leak+Detector&amp;qid=1695173531&amp;sr=8-2</v>
      </c>
      <c r="F2156" t="s">
        <v>3995</v>
      </c>
      <c r="G2156" t="e">
        <f ca="1">_xludf.IMAGE("https://edmondsonsupply.com/cdn/shop/products/featured-h-10-pro-refrigerant-leak-detector.jpg?v=1635555994")</f>
        <v>#NAME?</v>
      </c>
      <c r="H2156" t="e">
        <f ca="1">_xludf.IMAGE("https://m.media-amazon.com/images/I/71cff7LAGrL._AC_UL320_.jpg")</f>
        <v>#NAME?</v>
      </c>
      <c r="I2156" t="s">
        <v>3180</v>
      </c>
      <c r="J2156">
        <v>168.15</v>
      </c>
      <c r="K2156" s="4">
        <v>-0.74429999999999996</v>
      </c>
      <c r="L2156">
        <v>4.5</v>
      </c>
      <c r="M2156">
        <v>9</v>
      </c>
      <c r="O2156" t="s">
        <v>25</v>
      </c>
      <c r="P2156" t="s">
        <v>138</v>
      </c>
      <c r="Q2156" t="s">
        <v>3181</v>
      </c>
    </row>
    <row r="2157" spans="1:17" ht="15.5" x14ac:dyDescent="0.35">
      <c r="A2157" s="3" t="str">
        <f>HYPERLINK("https://edmondsonsupply.com/collections/hvac/products/yellow-jacket-78080-2-gas-test-gauge-3-4-npt-0-30-lb", "https://edmondsonsupply.com/collections/hvac/products/yellow-jacket-78080-2-gas-test-gauge-3-4-npt-0-30-lb")</f>
        <v>https://edmondsonsupply.com/collections/hvac/products/yellow-jacket-78080-2-gas-test-gauge-3-4-npt-0-30-lb</v>
      </c>
      <c r="B2157" s="3" t="str">
        <f>HYPERLINK("https://edmondsonsupply.com/products/yellow-jacket-78080-2-gas-test-gauge-3-4-npt-0-30-lb", "https://edmondsonsupply.com/products/yellow-jacket-78080-2-gas-test-gauge-3-4-npt-0-30-lb")</f>
        <v>https://edmondsonsupply.com/products/yellow-jacket-78080-2-gas-test-gauge-3-4-npt-0-30-lb</v>
      </c>
      <c r="C2157" t="s">
        <v>3456</v>
      </c>
      <c r="D2157" t="s">
        <v>5676</v>
      </c>
      <c r="E2157" s="3" t="str">
        <f>HYPERLINK("https://www.amazon.com/Beauthom-Pressure-0-30psi-Connection-Assembly/dp/B091KXKL5T/ref=sr_1_6?keywords=Yellow+Jacket+78080+2+Gas+Test+Gauge+-+3%2F4+NPT+-+0-30+lb&amp;qid=1695173525&amp;sr=8-6", "https://www.amazon.com/Beauthom-Pressure-0-30psi-Connection-Assembly/dp/B091KXKL5T/ref=sr_1_6?keywords=Yellow+Jacket+78080+2+Gas+Test+Gauge+-+3%2F4+NPT+-+0-30+lb&amp;qid=1695173525&amp;sr=8-6")</f>
        <v>https://www.amazon.com/Beauthom-Pressure-0-30psi-Connection-Assembly/dp/B091KXKL5T/ref=sr_1_6?keywords=Yellow+Jacket+78080+2+Gas+Test+Gauge+-+3%2F4+NPT+-+0-30+lb&amp;qid=1695173525&amp;sr=8-6</v>
      </c>
      <c r="F2157" t="s">
        <v>5677</v>
      </c>
      <c r="G2157" t="e">
        <f ca="1">_xludf.IMAGE("https://edmondsonsupply.com/cdn/shop/products/57_2.jpg?v=1633030928")</f>
        <v>#NAME?</v>
      </c>
      <c r="H2157" t="e">
        <f ca="1">_xludf.IMAGE("https://m.media-amazon.com/images/I/61e+UKVVq3S._AC_UY218_.jpg")</f>
        <v>#NAME?</v>
      </c>
      <c r="I2157" t="s">
        <v>3459</v>
      </c>
      <c r="J2157">
        <v>7.77</v>
      </c>
      <c r="K2157" s="4">
        <v>-0.74770000000000003</v>
      </c>
      <c r="L2157">
        <v>4.3</v>
      </c>
      <c r="M2157">
        <v>8</v>
      </c>
      <c r="O2157" t="s">
        <v>25</v>
      </c>
      <c r="P2157" t="s">
        <v>138</v>
      </c>
      <c r="Q2157" t="s">
        <v>3460</v>
      </c>
    </row>
    <row r="2158" spans="1:17" ht="15.5" x14ac:dyDescent="0.35">
      <c r="A2158" s="3" t="str">
        <f>HYPERLINK("https://edmondsonsupply.com/collections/hvac/products/veto-pro-pac-tp-xxl-blackout-tool-pouch", "https://edmondsonsupply.com/collections/hvac/products/veto-pro-pac-tp-xxl-blackout-tool-pouch")</f>
        <v>https://edmondsonsupply.com/collections/hvac/products/veto-pro-pac-tp-xxl-blackout-tool-pouch</v>
      </c>
      <c r="B2158" s="3" t="str">
        <f>HYPERLINK("https://edmondsonsupply.com/products/veto-pro-pac-tp-xxl-blackout-tool-pouch", "https://edmondsonsupply.com/products/veto-pro-pac-tp-xxl-blackout-tool-pouch")</f>
        <v>https://edmondsonsupply.com/products/veto-pro-pac-tp-xxl-blackout-tool-pouch</v>
      </c>
      <c r="C2158" t="s">
        <v>758</v>
      </c>
      <c r="D2158" t="s">
        <v>728</v>
      </c>
      <c r="E2158" s="3" t="str">
        <f>HYPERLINK("https://www.amazon.com/Veto-Pro-Pac-TP3-Pouch/dp/B008471T42/ref=sr_1_6?keywords=Veto+Pro+Pac+TP-XXL+Blackout+Tool+Pouch&amp;qid=1695173413&amp;sr=8-6", "https://www.amazon.com/Veto-Pro-Pac-TP3-Pouch/dp/B008471T42/ref=sr_1_6?keywords=Veto+Pro+Pac+TP-XXL+Blackout+Tool+Pouch&amp;qid=1695173413&amp;sr=8-6")</f>
        <v>https://www.amazon.com/Veto-Pro-Pac-TP3-Pouch/dp/B008471T42/ref=sr_1_6?keywords=Veto+Pro+Pac+TP-XXL+Blackout+Tool+Pouch&amp;qid=1695173413&amp;sr=8-6</v>
      </c>
      <c r="F2158" t="s">
        <v>729</v>
      </c>
      <c r="G2158" t="e">
        <f ca="1">_xludf.IMAGE("https://edmondsonsupply.com/cdn/shop/files/TP-xxl_blackout_600x830_0000_TP-XXL_BLACKOUT_0379.jpg?v=1685736106")</f>
        <v>#NAME?</v>
      </c>
      <c r="H2158" t="e">
        <f ca="1">_xludf.IMAGE("https://m.media-amazon.com/images/I/911jQmUqGIL._AC_UL320_.jpg")</f>
        <v>#NAME?</v>
      </c>
      <c r="I2158" t="s">
        <v>759</v>
      </c>
      <c r="J2158">
        <v>59.95</v>
      </c>
      <c r="K2158" s="4">
        <v>-0.75019999999999998</v>
      </c>
      <c r="L2158">
        <v>4.7</v>
      </c>
      <c r="M2158">
        <v>512</v>
      </c>
      <c r="O2158" t="s">
        <v>171</v>
      </c>
      <c r="P2158" t="s">
        <v>138</v>
      </c>
      <c r="Q2158" t="s">
        <v>760</v>
      </c>
    </row>
    <row r="2159" spans="1:17" ht="15.5" x14ac:dyDescent="0.35">
      <c r="A2159" s="3" t="str">
        <f>HYPERLINK("https://edmondsonsupply.com/collections/hvac/products/klein-tools-jth4e17-1-2-inch-hex-key-journeyman-t-handle-4-inch-1", "https://edmondsonsupply.com/collections/hvac/products/klein-tools-jth4e17-1-2-inch-hex-key-journeyman-t-handle-4-inch-1")</f>
        <v>https://edmondsonsupply.com/collections/hvac/products/klein-tools-jth4e17-1-2-inch-hex-key-journeyman-t-handle-4-inch-1</v>
      </c>
      <c r="B2159"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2159" t="s">
        <v>3118</v>
      </c>
      <c r="D2159" t="s">
        <v>5678</v>
      </c>
      <c r="E2159" s="3" t="str">
        <f>HYPERLINK("https://www.amazon.com/Journeyman-T-Handle-Klein-Tools-JTH6M4/dp/B005G394YO/ref=sr_1_7?keywords=Klein+Tools+JTH4E17+1%2F2-Inch+Hex+Key%2C+Journeyman+T-Handle%2C+4-Inch&amp;qid=1695173633&amp;sr=8-7", "https://www.amazon.com/Journeyman-T-Handle-Klein-Tools-JTH6M4/dp/B005G394YO/ref=sr_1_7?keywords=Klein+Tools+JTH4E17+1%2F2-Inch+Hex+Key%2C+Journeyman+T-Handle%2C+4-Inch&amp;qid=1695173633&amp;sr=8-7")</f>
        <v>https://www.amazon.com/Journeyman-T-Handle-Klein-Tools-JTH6M4/dp/B005G394YO/ref=sr_1_7?keywords=Klein+Tools+JTH4E17+1%2F2-Inch+Hex+Key%2C+Journeyman+T-Handle%2C+4-Inch&amp;qid=1695173633&amp;sr=8-7</v>
      </c>
      <c r="F2159" t="s">
        <v>5679</v>
      </c>
      <c r="G2159" t="e">
        <f ca="1">_xludf.IMAGE("https://edmondsonsupply.com/cdn/shop/products/jth4e17_583549be-7b42-43c7-9c3d-a92f2416ede5.jpg?v=1610655610")</f>
        <v>#NAME?</v>
      </c>
      <c r="H2159" t="e">
        <f ca="1">_xludf.IMAGE("https://m.media-amazon.com/images/I/51+1x0vz9XL._AC_UL320_.jpg")</f>
        <v>#NAME?</v>
      </c>
      <c r="I2159" t="s">
        <v>252</v>
      </c>
      <c r="J2159">
        <v>3.99</v>
      </c>
      <c r="K2159" s="4">
        <v>-0.75049999999999994</v>
      </c>
      <c r="L2159">
        <v>4.8</v>
      </c>
      <c r="M2159">
        <v>1532</v>
      </c>
      <c r="O2159" t="s">
        <v>25</v>
      </c>
      <c r="P2159" t="s">
        <v>3121</v>
      </c>
      <c r="Q2159" t="s">
        <v>3122</v>
      </c>
    </row>
    <row r="2160" spans="1:17" ht="15.5" x14ac:dyDescent="0.35">
      <c r="A2160" s="3" t="str">
        <f>HYPERLINK("https://edmondsonsupply.com/collections/hvac/products/icm-controls-icm450a-3-phase-line-voltage-monitor-with-modbus", "https://edmondsonsupply.com/collections/hvac/products/icm-controls-icm450a-3-phase-line-voltage-monitor-with-modbus")</f>
        <v>https://edmondsonsupply.com/collections/hvac/products/icm-controls-icm450a-3-phase-line-voltage-monitor-with-modbus</v>
      </c>
      <c r="B2160" s="3" t="str">
        <f>HYPERLINK("https://edmondsonsupply.com/products/icm-controls-icm450a-3-phase-line-voltage-monitor-with-modbus", "https://edmondsonsupply.com/products/icm-controls-icm450a-3-phase-line-voltage-monitor-with-modbus")</f>
        <v>https://edmondsonsupply.com/products/icm-controls-icm450a-3-phase-line-voltage-monitor-with-modbus</v>
      </c>
      <c r="C2160" t="s">
        <v>5680</v>
      </c>
      <c r="D2160" t="s">
        <v>4117</v>
      </c>
      <c r="E2160" s="3" t="str">
        <f>HYPERLINK("https://www.amazon.com/ICM-Controls-ICM401-Three-Phase-Protection/dp/B004I5817C/ref=sr_1_5?keywords=ICM+Controls+ICM450A%2B+3+Phase+Line+Voltage+Monitor+with+MODBUS&amp;qid=1695173389&amp;sr=8-5", "https://www.amazon.com/ICM-Controls-ICM401-Three-Phase-Protection/dp/B004I5817C/ref=sr_1_5?keywords=ICM+Controls+ICM450A%2B+3+Phase+Line+Voltage+Monitor+with+MODBUS&amp;qid=1695173389&amp;sr=8-5")</f>
        <v>https://www.amazon.com/ICM-Controls-ICM401-Three-Phase-Protection/dp/B004I5817C/ref=sr_1_5?keywords=ICM+Controls+ICM450A%2B+3+Phase+Line+Voltage+Monitor+with+MODBUS&amp;qid=1695173389&amp;sr=8-5</v>
      </c>
      <c r="F2160" t="s">
        <v>4118</v>
      </c>
      <c r="G2160" t="e">
        <f ca="1">_xludf.IMAGE("https://edmondsonsupply.com/cdn/shop/products/Screenshot2023-03-12144636.png?v=1678647085")</f>
        <v>#NAME?</v>
      </c>
      <c r="H2160" t="e">
        <f ca="1">_xludf.IMAGE("https://m.media-amazon.com/images/I/61T2FryJHhL._AC_UL320_.jpg")</f>
        <v>#NAME?</v>
      </c>
      <c r="I2160" t="s">
        <v>5681</v>
      </c>
      <c r="J2160">
        <v>38.6</v>
      </c>
      <c r="K2160" s="4">
        <v>-0.76019999999999999</v>
      </c>
      <c r="L2160">
        <v>4.0999999999999996</v>
      </c>
      <c r="M2160">
        <v>11</v>
      </c>
      <c r="O2160" t="s">
        <v>25</v>
      </c>
      <c r="P2160" t="s">
        <v>5682</v>
      </c>
      <c r="Q2160" t="s">
        <v>5683</v>
      </c>
    </row>
    <row r="2161" spans="1:17" ht="15.5" x14ac:dyDescent="0.35">
      <c r="A2161" s="3" t="str">
        <f>HYPERLINK("https://edmondsonsupply.com/collections/hvac/products/fieldpiece-tc24-pipe-clamp-thermocouple-3-8-to-1-3-8-for-air-conditioning", "https://edmondsonsupply.com/collections/hvac/products/fieldpiece-tc24-pipe-clamp-thermocouple-3-8-to-1-3-8-for-air-conditioning")</f>
        <v>https://edmondsonsupply.com/collections/hvac/products/fieldpiece-tc24-pipe-clamp-thermocouple-3-8-to-1-3-8-for-air-conditioning</v>
      </c>
      <c r="B2161" s="3" t="str">
        <f>HYPERLINK("https://edmondsonsupply.com/products/fieldpiece-tc24-pipe-clamp-thermocouple-3-8-to-1-3-8-for-air-conditioning", "https://edmondsonsupply.com/products/fieldpiece-tc24-pipe-clamp-thermocouple-3-8-to-1-3-8-for-air-conditioning")</f>
        <v>https://edmondsonsupply.com/products/fieldpiece-tc24-pipe-clamp-thermocouple-3-8-to-1-3-8-for-air-conditioning</v>
      </c>
      <c r="C2161" t="s">
        <v>4692</v>
      </c>
      <c r="D2161" t="s">
        <v>5684</v>
      </c>
      <c r="E2161" s="3" t="str">
        <f>HYPERLINK("https://www.amazon.com/Temperature-Thermocouple-Thermometer-Multimeter-Fieldpiece/dp/B0BNL9JNGM/ref=sr_1_6?keywords=Fieldpiece+TC24+Pipe+Clamp+Thermocouple&amp;qid=1695173561&amp;sr=8-6", "https://www.amazon.com/Temperature-Thermocouple-Thermometer-Multimeter-Fieldpiece/dp/B0BNL9JNGM/ref=sr_1_6?keywords=Fieldpiece+TC24+Pipe+Clamp+Thermocouple&amp;qid=1695173561&amp;sr=8-6")</f>
        <v>https://www.amazon.com/Temperature-Thermocouple-Thermometer-Multimeter-Fieldpiece/dp/B0BNL9JNGM/ref=sr_1_6?keywords=Fieldpiece+TC24+Pipe+Clamp+Thermocouple&amp;qid=1695173561&amp;sr=8-6</v>
      </c>
      <c r="F2161" t="s">
        <v>5685</v>
      </c>
      <c r="G2161" t="e">
        <f ca="1">_xludf.IMAGE("https://edmondsonsupply.com/cdn/shop/products/TC24-SRC-Product-300dpi.jpg?v=1633030118")</f>
        <v>#NAME?</v>
      </c>
      <c r="H2161" t="e">
        <f ca="1">_xludf.IMAGE("https://m.media-amazon.com/images/I/61lwA+ScZ9L._AC_UY218_.jpg")</f>
        <v>#NAME?</v>
      </c>
      <c r="I2161" t="s">
        <v>4695</v>
      </c>
      <c r="J2161">
        <v>15.99</v>
      </c>
      <c r="K2161" s="4">
        <v>-0.78129999999999999</v>
      </c>
      <c r="L2161">
        <v>4.2</v>
      </c>
      <c r="M2161">
        <v>63</v>
      </c>
      <c r="O2161" t="s">
        <v>25</v>
      </c>
      <c r="P2161" t="s">
        <v>4696</v>
      </c>
      <c r="Q2161" t="s">
        <v>4697</v>
      </c>
    </row>
    <row r="2162" spans="1:17" ht="15.5" x14ac:dyDescent="0.35">
      <c r="A2162"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2162" s="3" t="str">
        <f>HYPERLINK("https://edmondsonsupply.com/products/bacharach-h-10-pro-refrigerant-leak-detector", "https://edmondsonsupply.com/products/bacharach-h-10-pro-refrigerant-leak-detector")</f>
        <v>https://edmondsonsupply.com/products/bacharach-h-10-pro-refrigerant-leak-detector</v>
      </c>
      <c r="C2162" t="s">
        <v>3179</v>
      </c>
      <c r="D2162" t="s">
        <v>5686</v>
      </c>
      <c r="E2162" s="3" t="str">
        <f>HYPERLINK("https://www.amazon.com/Refrigerant-Detector-Aprvtio-Rechargeable-Refrigerator/dp/B095S6S6GY/ref=sr_1_6?keywords=Bacharach+H-10+PRO+Refrigerant+Leak+Detector&amp;qid=1695173531&amp;sr=8-6", "https://www.amazon.com/Refrigerant-Detector-Aprvtio-Rechargeable-Refrigerator/dp/B095S6S6GY/ref=sr_1_6?keywords=Bacharach+H-10+PRO+Refrigerant+Leak+Detector&amp;qid=1695173531&amp;sr=8-6")</f>
        <v>https://www.amazon.com/Refrigerant-Detector-Aprvtio-Rechargeable-Refrigerator/dp/B095S6S6GY/ref=sr_1_6?keywords=Bacharach+H-10+PRO+Refrigerant+Leak+Detector&amp;qid=1695173531&amp;sr=8-6</v>
      </c>
      <c r="F2162" t="s">
        <v>5687</v>
      </c>
      <c r="G2162" t="e">
        <f ca="1">_xludf.IMAGE("https://edmondsonsupply.com/cdn/shop/products/featured-h-10-pro-refrigerant-leak-detector.jpg?v=1635555994")</f>
        <v>#NAME?</v>
      </c>
      <c r="H2162" t="e">
        <f ca="1">_xludf.IMAGE("https://m.media-amazon.com/images/I/51IN5teXxVL._AC_UL320_.jpg")</f>
        <v>#NAME?</v>
      </c>
      <c r="I2162" t="s">
        <v>3180</v>
      </c>
      <c r="J2162">
        <v>139.99</v>
      </c>
      <c r="K2162" s="4">
        <v>-0.78720000000000001</v>
      </c>
      <c r="L2162">
        <v>4.4000000000000004</v>
      </c>
      <c r="M2162">
        <v>67</v>
      </c>
      <c r="O2162" t="s">
        <v>25</v>
      </c>
      <c r="P2162" t="s">
        <v>138</v>
      </c>
      <c r="Q2162" t="s">
        <v>3181</v>
      </c>
    </row>
    <row r="2163" spans="1:17" ht="15.5" x14ac:dyDescent="0.35">
      <c r="A2163" s="3" t="str">
        <f>HYPERLINK("https://edmondsonsupply.com/collections/hvac/products/fieldpiece-tc24-pipe-clamp-thermocouple-3-8-to-1-3-8-for-air-conditioning", "https://edmondsonsupply.com/collections/hvac/products/fieldpiece-tc24-pipe-clamp-thermocouple-3-8-to-1-3-8-for-air-conditioning")</f>
        <v>https://edmondsonsupply.com/collections/hvac/products/fieldpiece-tc24-pipe-clamp-thermocouple-3-8-to-1-3-8-for-air-conditioning</v>
      </c>
      <c r="B2163" s="3" t="str">
        <f>HYPERLINK("https://edmondsonsupply.com/products/fieldpiece-tc24-pipe-clamp-thermocouple-3-8-to-1-3-8-for-air-conditioning", "https://edmondsonsupply.com/products/fieldpiece-tc24-pipe-clamp-thermocouple-3-8-to-1-3-8-for-air-conditioning")</f>
        <v>https://edmondsonsupply.com/products/fieldpiece-tc24-pipe-clamp-thermocouple-3-8-to-1-3-8-for-air-conditioning</v>
      </c>
      <c r="C2163" t="s">
        <v>4692</v>
      </c>
      <c r="D2163" t="s">
        <v>5688</v>
      </c>
      <c r="E2163" s="3" t="str">
        <f>HYPERLINK("https://www.amazon.com/Fieldpiece-Yellow-Thermocouple-Temperature-40-200%E2%84%83/dp/B0BZ95QL8L/ref=sr_1_3?keywords=Fieldpiece+TC24+Pipe+Clamp+Thermocouple&amp;qid=1695173561&amp;sr=8-3", "https://www.amazon.com/Fieldpiece-Yellow-Thermocouple-Temperature-40-200%E2%84%83/dp/B0BZ95QL8L/ref=sr_1_3?keywords=Fieldpiece+TC24+Pipe+Clamp+Thermocouple&amp;qid=1695173561&amp;sr=8-3")</f>
        <v>https://www.amazon.com/Fieldpiece-Yellow-Thermocouple-Temperature-40-200%E2%84%83/dp/B0BZ95QL8L/ref=sr_1_3?keywords=Fieldpiece+TC24+Pipe+Clamp+Thermocouple&amp;qid=1695173561&amp;sr=8-3</v>
      </c>
      <c r="F2163" t="s">
        <v>5689</v>
      </c>
      <c r="G2163" t="e">
        <f ca="1">_xludf.IMAGE("https://edmondsonsupply.com/cdn/shop/products/TC24-SRC-Product-300dpi.jpg?v=1633030118")</f>
        <v>#NAME?</v>
      </c>
      <c r="H2163" t="e">
        <f ca="1">_xludf.IMAGE("https://m.media-amazon.com/images/I/51JtzuIHMQL._AC_UY218_.jpg")</f>
        <v>#NAME?</v>
      </c>
      <c r="I2163" t="s">
        <v>4695</v>
      </c>
      <c r="J2163">
        <v>15.09</v>
      </c>
      <c r="K2163" s="4">
        <v>-0.79359999999999997</v>
      </c>
      <c r="L2163">
        <v>3.2</v>
      </c>
      <c r="M2163">
        <v>9</v>
      </c>
      <c r="O2163" t="s">
        <v>25</v>
      </c>
      <c r="P2163" t="s">
        <v>4696</v>
      </c>
      <c r="Q2163" t="s">
        <v>4697</v>
      </c>
    </row>
    <row r="2164" spans="1:17" ht="15.5" x14ac:dyDescent="0.35">
      <c r="A2164" s="3" t="str">
        <f>HYPERLINK("https://edmondsonsupply.com/collections/hvac/products/fieldpiece-tc24-pipe-clamp-thermocouple-3-8-to-1-3-8-for-air-conditioning", "https://edmondsonsupply.com/collections/hvac/products/fieldpiece-tc24-pipe-clamp-thermocouple-3-8-to-1-3-8-for-air-conditioning")</f>
        <v>https://edmondsonsupply.com/collections/hvac/products/fieldpiece-tc24-pipe-clamp-thermocouple-3-8-to-1-3-8-for-air-conditioning</v>
      </c>
      <c r="B2164" s="3" t="str">
        <f>HYPERLINK("https://edmondsonsupply.com/products/fieldpiece-tc24-pipe-clamp-thermocouple-3-8-to-1-3-8-for-air-conditioning", "https://edmondsonsupply.com/products/fieldpiece-tc24-pipe-clamp-thermocouple-3-8-to-1-3-8-for-air-conditioning")</f>
        <v>https://edmondsonsupply.com/products/fieldpiece-tc24-pipe-clamp-thermocouple-3-8-to-1-3-8-for-air-conditioning</v>
      </c>
      <c r="C2164" t="s">
        <v>4692</v>
      </c>
      <c r="D2164" t="s">
        <v>5690</v>
      </c>
      <c r="E2164" s="3" t="str">
        <f>HYPERLINK("https://www.amazon.com/Temperature-Fieldpiece-Thermocouple-40-200%E2%84%83-Yellow/dp/B0B7X5TDFG/ref=sr_1_7?keywords=Fieldpiece+TC24+Pipe+Clamp+Thermocouple&amp;qid=1695173561&amp;sr=8-7", "https://www.amazon.com/Temperature-Fieldpiece-Thermocouple-40-200%E2%84%83-Yellow/dp/B0B7X5TDFG/ref=sr_1_7?keywords=Fieldpiece+TC24+Pipe+Clamp+Thermocouple&amp;qid=1695173561&amp;sr=8-7")</f>
        <v>https://www.amazon.com/Temperature-Fieldpiece-Thermocouple-40-200%E2%84%83-Yellow/dp/B0B7X5TDFG/ref=sr_1_7?keywords=Fieldpiece+TC24+Pipe+Clamp+Thermocouple&amp;qid=1695173561&amp;sr=8-7</v>
      </c>
      <c r="F2164" t="s">
        <v>5691</v>
      </c>
      <c r="G2164" t="e">
        <f ca="1">_xludf.IMAGE("https://edmondsonsupply.com/cdn/shop/products/TC24-SRC-Product-300dpi.jpg?v=1633030118")</f>
        <v>#NAME?</v>
      </c>
      <c r="H2164" t="e">
        <f ca="1">_xludf.IMAGE("https://m.media-amazon.com/images/I/51tWeJ3OJ-L._AC_UY218_.jpg")</f>
        <v>#NAME?</v>
      </c>
      <c r="I2164" t="s">
        <v>4695</v>
      </c>
      <c r="J2164">
        <v>14.99</v>
      </c>
      <c r="K2164" s="4">
        <v>-0.79490000000000005</v>
      </c>
      <c r="L2164">
        <v>3.6</v>
      </c>
      <c r="M2164">
        <v>14</v>
      </c>
      <c r="O2164" t="s">
        <v>25</v>
      </c>
      <c r="P2164" t="s">
        <v>4696</v>
      </c>
      <c r="Q2164" t="s">
        <v>4697</v>
      </c>
    </row>
    <row r="2165" spans="1:17" ht="15.5" x14ac:dyDescent="0.35">
      <c r="A2165" s="3" t="str">
        <f>HYPERLINK("https://edmondsonsupply.com/collections/hvac/products/fieldpiece-tc24-pipe-clamp-thermocouple-3-8-to-1-3-8-for-air-conditioning", "https://edmondsonsupply.com/collections/hvac/products/fieldpiece-tc24-pipe-clamp-thermocouple-3-8-to-1-3-8-for-air-conditioning")</f>
        <v>https://edmondsonsupply.com/collections/hvac/products/fieldpiece-tc24-pipe-clamp-thermocouple-3-8-to-1-3-8-for-air-conditioning</v>
      </c>
      <c r="B2165" s="3" t="str">
        <f>HYPERLINK("https://edmondsonsupply.com/products/fieldpiece-tc24-pipe-clamp-thermocouple-3-8-to-1-3-8-for-air-conditioning", "https://edmondsonsupply.com/products/fieldpiece-tc24-pipe-clamp-thermocouple-3-8-to-1-3-8-for-air-conditioning")</f>
        <v>https://edmondsonsupply.com/products/fieldpiece-tc24-pipe-clamp-thermocouple-3-8-to-1-3-8-for-air-conditioning</v>
      </c>
      <c r="C2165" t="s">
        <v>4692</v>
      </c>
      <c r="D2165" t="s">
        <v>5692</v>
      </c>
      <c r="E2165" s="3" t="str">
        <f>HYPERLINK("https://www.amazon.com/Temperature-Fieldpiece-Thermocouple-40-200%E2%84%83-Yellow/dp/B0B97FD6ND/ref=sr_1_5?keywords=Fieldpiece+TC24+Pipe+Clamp+Thermocouple&amp;qid=1695173561&amp;sr=8-5", "https://www.amazon.com/Temperature-Fieldpiece-Thermocouple-40-200%E2%84%83-Yellow/dp/B0B97FD6ND/ref=sr_1_5?keywords=Fieldpiece+TC24+Pipe+Clamp+Thermocouple&amp;qid=1695173561&amp;sr=8-5")</f>
        <v>https://www.amazon.com/Temperature-Fieldpiece-Thermocouple-40-200%E2%84%83-Yellow/dp/B0B97FD6ND/ref=sr_1_5?keywords=Fieldpiece+TC24+Pipe+Clamp+Thermocouple&amp;qid=1695173561&amp;sr=8-5</v>
      </c>
      <c r="F2165" t="s">
        <v>5693</v>
      </c>
      <c r="G2165" t="e">
        <f ca="1">_xludf.IMAGE("https://edmondsonsupply.com/cdn/shop/products/TC24-SRC-Product-300dpi.jpg?v=1633030118")</f>
        <v>#NAME?</v>
      </c>
      <c r="H2165" t="e">
        <f ca="1">_xludf.IMAGE("https://m.media-amazon.com/images/I/51hELcBZp5L._AC_UY218_.jpg")</f>
        <v>#NAME?</v>
      </c>
      <c r="I2165" t="s">
        <v>4695</v>
      </c>
      <c r="J2165">
        <v>14.88</v>
      </c>
      <c r="K2165" s="4">
        <v>-0.7964</v>
      </c>
      <c r="L2165">
        <v>5</v>
      </c>
      <c r="M2165">
        <v>1</v>
      </c>
      <c r="O2165" t="s">
        <v>25</v>
      </c>
      <c r="P2165" t="s">
        <v>4696</v>
      </c>
      <c r="Q2165" t="s">
        <v>4697</v>
      </c>
    </row>
    <row r="2166" spans="1:17" ht="15.5" x14ac:dyDescent="0.35">
      <c r="A2166" s="3" t="str">
        <f>HYPERLINK("https://edmondsonsupply.com/collections/hvac/products/klein-tools-94130-1000v-insulated-tool-kit-5-piece", "https://edmondsonsupply.com/collections/hvac/products/klein-tools-94130-1000v-insulated-tool-kit-5-piece")</f>
        <v>https://edmondsonsupply.com/collections/hvac/products/klein-tools-94130-1000v-insulated-tool-kit-5-piece</v>
      </c>
      <c r="B2166" s="3" t="str">
        <f>HYPERLINK("https://edmondsonsupply.com/products/klein-tools-94130-1000v-insulated-tool-kit-5-piece", "https://edmondsonsupply.com/products/klein-tools-94130-1000v-insulated-tool-kit-5-piece")</f>
        <v>https://edmondsonsupply.com/products/klein-tools-94130-1000v-insulated-tool-kit-5-piece</v>
      </c>
      <c r="C2166" t="s">
        <v>2221</v>
      </c>
      <c r="D2166" t="s">
        <v>5091</v>
      </c>
      <c r="E2166" s="3" t="str">
        <f>HYPERLINK("https://www.amazon.com/Klein-Tools-85073INS-Insulated-Screwdriver/dp/B0BF79WQZX/ref=sr_1_6?keywords=Klein+Tools+94130+1000V+Insulated+Tool+Kit%2C+5-Piece&amp;qid=1695173544&amp;sr=8-6", "https://www.amazon.com/Klein-Tools-85073INS-Insulated-Screwdriver/dp/B0BF79WQZX/ref=sr_1_6?keywords=Klein+Tools+94130+1000V+Insulated+Tool+Kit%2C+5-Piece&amp;qid=1695173544&amp;sr=8-6")</f>
        <v>https://www.amazon.com/Klein-Tools-85073INS-Insulated-Screwdriver/dp/B0BF79WQZX/ref=sr_1_6?keywords=Klein+Tools+94130+1000V+Insulated+Tool+Kit%2C+5-Piece&amp;qid=1695173544&amp;sr=8-6</v>
      </c>
      <c r="F2166" t="s">
        <v>5092</v>
      </c>
      <c r="G2166" t="e">
        <f ca="1">_xludf.IMAGE("https://edmondsonsupply.com/cdn/shop/products/94130.jpg?v=1633030386")</f>
        <v>#NAME?</v>
      </c>
      <c r="H2166" t="e">
        <f ca="1">_xludf.IMAGE("https://m.media-amazon.com/images/I/51dL7msUIqL._AC_UL320_.jpg")</f>
        <v>#NAME?</v>
      </c>
      <c r="I2166" t="s">
        <v>2224</v>
      </c>
      <c r="J2166">
        <v>19.97</v>
      </c>
      <c r="K2166" s="4">
        <v>-0.80030000000000001</v>
      </c>
      <c r="L2166">
        <v>4.9000000000000004</v>
      </c>
      <c r="M2166">
        <v>205</v>
      </c>
      <c r="O2166" t="s">
        <v>25</v>
      </c>
      <c r="P2166" t="s">
        <v>2225</v>
      </c>
      <c r="Q2166" t="s">
        <v>2226</v>
      </c>
    </row>
    <row r="2167" spans="1:17" ht="15.5" x14ac:dyDescent="0.35">
      <c r="A2167" s="3" t="str">
        <f>HYPERLINK("https://edmondsonsupply.com/collections/hvac/products/wiha-tools-66990-9-piece-magicring-ball-end-long-arm-hex-l-key-set-metric", "https://edmondsonsupply.com/collections/hvac/products/wiha-tools-66990-9-piece-magicring-ball-end-long-arm-hex-l-key-set-metric")</f>
        <v>https://edmondsonsupply.com/collections/hvac/products/wiha-tools-66990-9-piece-magicring-ball-end-long-arm-hex-l-key-set-metric</v>
      </c>
      <c r="B2167"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2167" t="s">
        <v>4395</v>
      </c>
      <c r="D2167" t="s">
        <v>5694</v>
      </c>
      <c r="E2167" s="3" t="str">
        <f>HYPERLINK("https://www.amazon.com/GEARWRENCH-Piece-Metric-Ball-Long/dp/B098TYMJ3X/ref=sr_1_5?keywords=Wiha+Tools+66990+9+Piece+MagicRing+Ball+End+Long+Arm+Hex+L-Key+Set+-+Metric&amp;qid=1695173733&amp;sr=8-5", "https://www.amazon.com/GEARWRENCH-Piece-Metric-Ball-Long/dp/B098TYMJ3X/ref=sr_1_5?keywords=Wiha+Tools+66990+9+Piece+MagicRing+Ball+End+Long+Arm+Hex+L-Key+Set+-+Metric&amp;qid=1695173733&amp;sr=8-5")</f>
        <v>https://www.amazon.com/GEARWRENCH-Piece-Metric-Ball-Long/dp/B098TYMJ3X/ref=sr_1_5?keywords=Wiha+Tools+66990+9+Piece+MagicRing+Ball+End+Long+Arm+Hex+L-Key+Set+-+Metric&amp;qid=1695173733&amp;sr=8-5</v>
      </c>
      <c r="F2167" t="s">
        <v>5695</v>
      </c>
      <c r="G2167" t="e">
        <f ca="1">_xludf.IMAGE("https://edmondsonsupply.com/cdn/shop/files/13e958aad91c16597a10bc35346fe94965ff7cc5_1000x_585c36ae-bd90-4c7e-95df-eb1519527f63.webp?v=1690841217")</f>
        <v>#NAME?</v>
      </c>
      <c r="H2167" t="e">
        <f ca="1">_xludf.IMAGE("https://m.media-amazon.com/images/I/71dwiLrur9S._AC_UL320_.jpg")</f>
        <v>#NAME?</v>
      </c>
      <c r="I2167" t="s">
        <v>4398</v>
      </c>
      <c r="J2167">
        <v>7.83</v>
      </c>
      <c r="K2167" s="4">
        <v>-0.80059999999999998</v>
      </c>
      <c r="L2167">
        <v>4.7</v>
      </c>
      <c r="M2167">
        <v>255</v>
      </c>
      <c r="O2167" t="s">
        <v>25</v>
      </c>
      <c r="P2167" t="s">
        <v>4399</v>
      </c>
      <c r="Q2167" t="s">
        <v>4400</v>
      </c>
    </row>
    <row r="2168" spans="1:17" ht="15.5" x14ac:dyDescent="0.35">
      <c r="A2168"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2168" s="3" t="str">
        <f>HYPERLINK("https://edmondsonsupply.com/products/bacharach-h-10-pro-refrigerant-leak-detector", "https://edmondsonsupply.com/products/bacharach-h-10-pro-refrigerant-leak-detector")</f>
        <v>https://edmondsonsupply.com/products/bacharach-h-10-pro-refrigerant-leak-detector</v>
      </c>
      <c r="C2168" t="s">
        <v>3179</v>
      </c>
      <c r="D2168" t="s">
        <v>5696</v>
      </c>
      <c r="E2168" s="3" t="str">
        <f>HYPERLINK("https://www.amazon.com/Elitech-LD-100-Refrigerant-Detector-Automotive/dp/B0928N17S6/ref=sr_1_9?keywords=Bacharach+H-10+PRO+Refrigerant+Leak+Detector&amp;qid=1695173531&amp;sr=8-9", "https://www.amazon.com/Elitech-LD-100-Refrigerant-Detector-Automotive/dp/B0928N17S6/ref=sr_1_9?keywords=Bacharach+H-10+PRO+Refrigerant+Leak+Detector&amp;qid=1695173531&amp;sr=8-9")</f>
        <v>https://www.amazon.com/Elitech-LD-100-Refrigerant-Detector-Automotive/dp/B0928N17S6/ref=sr_1_9?keywords=Bacharach+H-10+PRO+Refrigerant+Leak+Detector&amp;qid=1695173531&amp;sr=8-9</v>
      </c>
      <c r="F2168" t="s">
        <v>5697</v>
      </c>
      <c r="G2168" t="e">
        <f ca="1">_xludf.IMAGE("https://edmondsonsupply.com/cdn/shop/products/featured-h-10-pro-refrigerant-leak-detector.jpg?v=1635555994")</f>
        <v>#NAME?</v>
      </c>
      <c r="H2168" t="e">
        <f ca="1">_xludf.IMAGE("https://m.media-amazon.com/images/I/515n5CUNM3L._AC_UL320_.jpg")</f>
        <v>#NAME?</v>
      </c>
      <c r="I2168" t="s">
        <v>3180</v>
      </c>
      <c r="J2168">
        <v>109.99</v>
      </c>
      <c r="K2168" s="4">
        <v>-0.83279999999999998</v>
      </c>
      <c r="L2168">
        <v>4.3</v>
      </c>
      <c r="M2168">
        <v>29</v>
      </c>
      <c r="O2168" t="s">
        <v>25</v>
      </c>
      <c r="P2168" t="s">
        <v>138</v>
      </c>
      <c r="Q2168" t="s">
        <v>3181</v>
      </c>
    </row>
    <row r="2169" spans="1:17" ht="15.5" x14ac:dyDescent="0.35">
      <c r="A2169" s="3" t="str">
        <f>HYPERLINK("https://edmondsonsupply.com/collections/hvac/products/klein-tools-32535-10-in-1-10-fold-screwdriver-nut-driver", "https://edmondsonsupply.com/collections/hvac/products/klein-tools-32535-10-in-1-10-fold-screwdriver-nut-driver")</f>
        <v>https://edmondsonsupply.com/collections/hvac/products/klein-tools-32535-10-in-1-10-fold-screwdriver-nut-driver</v>
      </c>
      <c r="B2169" s="3" t="str">
        <f>HYPERLINK("https://edmondsonsupply.com/products/klein-tools-32535-10-in-1-10-fold-screwdriver-nut-driver", "https://edmondsonsupply.com/products/klein-tools-32535-10-in-1-10-fold-screwdriver-nut-driver")</f>
        <v>https://edmondsonsupply.com/products/klein-tools-32535-10-in-1-10-fold-screwdriver-nut-driver</v>
      </c>
      <c r="C2169" t="s">
        <v>4368</v>
      </c>
      <c r="D2169" t="s">
        <v>5668</v>
      </c>
      <c r="E2169" s="3" t="str">
        <f>HYPERLINK("https://www.amazon.com/Klein-Tools-32483-Screwdriver-Phillips/dp/B000936PUC/ref=sr_1_4?keywords=Klein+Tools+32535+10-in-1+10+Fold+Screwdriver+%2F+Nut+Driver&amp;qid=1695173630&amp;sr=8-4", "https://www.amazon.com/Klein-Tools-32483-Screwdriver-Phillips/dp/B000936PUC/ref=sr_1_4?keywords=Klein+Tools+32535+10-in-1+10+Fold+Screwdriver+%2F+Nut+Driver&amp;qid=1695173630&amp;sr=8-4")</f>
        <v>https://www.amazon.com/Klein-Tools-32483-Screwdriver-Phillips/dp/B000936PUC/ref=sr_1_4?keywords=Klein+Tools+32535+10-in-1+10+Fold+Screwdriver+%2F+Nut+Driver&amp;qid=1695173630&amp;sr=8-4</v>
      </c>
      <c r="F2169" t="s">
        <v>5669</v>
      </c>
      <c r="G2169" t="e">
        <f ca="1">_xludf.IMAGE("https://edmondsonsupply.com/cdn/shop/products/32535.jpg?v=1633030894")</f>
        <v>#NAME?</v>
      </c>
      <c r="H2169" t="e">
        <f ca="1">_xludf.IMAGE("https://m.media-amazon.com/images/I/51KFiDupheL._AC_UL320_.jpg")</f>
        <v>#NAME?</v>
      </c>
      <c r="I2169" t="s">
        <v>26</v>
      </c>
      <c r="J2169">
        <v>4.99</v>
      </c>
      <c r="K2169" s="4">
        <v>-0.83360000000000001</v>
      </c>
      <c r="L2169">
        <v>4.7</v>
      </c>
      <c r="M2169">
        <v>4276</v>
      </c>
      <c r="O2169" t="s">
        <v>25</v>
      </c>
      <c r="P2169" t="s">
        <v>4371</v>
      </c>
      <c r="Q2169" t="s">
        <v>4372</v>
      </c>
    </row>
    <row r="2170" spans="1:17" ht="15.5" x14ac:dyDescent="0.35">
      <c r="A2170" s="3" t="str">
        <f>HYPERLINK("https://edmondsonsupply.com/collections/hvac/products/jb-industries-a31999-100-1-4-valve-core-replacement-100-pack", "https://edmondsonsupply.com/collections/hvac/products/jb-industries-a31999-100-1-4-valve-core-replacement-100-pack")</f>
        <v>https://edmondsonsupply.com/collections/hvac/products/jb-industries-a31999-100-1-4-valve-core-replacement-100-pack</v>
      </c>
      <c r="B2170" s="3" t="str">
        <f>HYPERLINK("https://edmondsonsupply.com/products/jb-industries-a31999-100-1-4-valve-core-replacement-100-pack", "https://edmondsonsupply.com/products/jb-industries-a31999-100-1-4-valve-core-replacement-100-pack")</f>
        <v>https://edmondsonsupply.com/products/jb-industries-a31999-100-1-4-valve-core-replacement-100-pack</v>
      </c>
      <c r="C2170" t="s">
        <v>5603</v>
      </c>
      <c r="D2170" t="s">
        <v>5698</v>
      </c>
      <c r="E2170" s="3" t="str">
        <f>HYPERLINK("https://www.amazon.com/JB-Industries-A31999-Replacement-Valve/dp/B00E1NKERG/ref=sr_1_1?keywords=JB+Industries+A31999-100+1%2F4%22+Valve+Core+Replacement+%28100+Pack%29&amp;qid=1695173717&amp;sr=8-1", "https://www.amazon.com/JB-Industries-A31999-Replacement-Valve/dp/B00E1NKERG/ref=sr_1_1?keywords=JB+Industries+A31999-100+1%2F4%22+Valve+Core+Replacement+%28100+Pack%29&amp;qid=1695173717&amp;sr=8-1")</f>
        <v>https://www.amazon.com/JB-Industries-A31999-Replacement-Valve/dp/B00E1NKERG/ref=sr_1_1?keywords=JB+Industries+A31999-100+1%2F4%22+Valve+Core+Replacement+%28100+Pack%29&amp;qid=1695173717&amp;sr=8-1</v>
      </c>
      <c r="F2170" t="s">
        <v>5699</v>
      </c>
      <c r="G2170" t="e">
        <f ca="1">_xludf.IMAGE("https://edmondsonsupply.com/cdn/shop/files/A31999-JB-Valve-Cores-Access-Valves_17209224-bf02-4c5b-ac77-b1ec6911778b.png?v=1692481141")</f>
        <v>#NAME?</v>
      </c>
      <c r="H2170" t="e">
        <f ca="1">_xludf.IMAGE("https://m.media-amazon.com/images/I/61QUbDxctPL._AC_UL320_.jpg")</f>
        <v>#NAME?</v>
      </c>
      <c r="I2170" t="s">
        <v>2906</v>
      </c>
      <c r="J2170">
        <v>10.5</v>
      </c>
      <c r="K2170" s="4">
        <v>-0.84189999999999998</v>
      </c>
      <c r="L2170">
        <v>5</v>
      </c>
      <c r="M2170">
        <v>3</v>
      </c>
      <c r="O2170" t="s">
        <v>25</v>
      </c>
      <c r="P2170" t="s">
        <v>5606</v>
      </c>
      <c r="Q2170" t="s">
        <v>5607</v>
      </c>
    </row>
    <row r="2171" spans="1:17" ht="15.5" x14ac:dyDescent="0.35">
      <c r="A2171" s="3" t="str">
        <f>HYPERLINK("https://edmondsonsupply.com/collections/hvac/products/klein-tools-et120-combustible-gas-leak-detector", "https://edmondsonsupply.com/collections/hvac/products/klein-tools-et120-combustible-gas-leak-detector")</f>
        <v>https://edmondsonsupply.com/collections/hvac/products/klein-tools-et120-combustible-gas-leak-detector</v>
      </c>
      <c r="B2171" s="3" t="str">
        <f>HYPERLINK("https://edmondsonsupply.com/products/klein-tools-et120-combustible-gas-leak-detector", "https://edmondsonsupply.com/products/klein-tools-et120-combustible-gas-leak-detector")</f>
        <v>https://edmondsonsupply.com/products/klein-tools-et120-combustible-gas-leak-detector</v>
      </c>
      <c r="C2171" t="s">
        <v>1529</v>
      </c>
      <c r="D2171" t="s">
        <v>5700</v>
      </c>
      <c r="E2171" s="3" t="str">
        <f>HYPERLINK("https://www.amazon.com/CaseSack-Detector-Instruments-Combustible-Monoxide/dp/B088MDT81X/ref=sr_1_6?keywords=Klein+Tools+ET120+Combustible+Gas+Leak+Detector&amp;qid=1695173669&amp;sr=8-6", "https://www.amazon.com/CaseSack-Detector-Instruments-Combustible-Monoxide/dp/B088MDT81X/ref=sr_1_6?keywords=Klein+Tools+ET120+Combustible+Gas+Leak+Detector&amp;qid=1695173669&amp;sr=8-6")</f>
        <v>https://www.amazon.com/CaseSack-Detector-Instruments-Combustible-Monoxide/dp/B088MDT81X/ref=sr_1_6?keywords=Klein+Tools+ET120+Combustible+Gas+Leak+Detector&amp;qid=1695173669&amp;sr=8-6</v>
      </c>
      <c r="F2171" t="s">
        <v>5701</v>
      </c>
      <c r="G2171" t="e">
        <f ca="1">_xludf.IMAGE("https://edmondsonsupply.com/cdn/shop/products/et120.jpg?v=1587149243")</f>
        <v>#NAME?</v>
      </c>
      <c r="H2171" t="e">
        <f ca="1">_xludf.IMAGE("https://m.media-amazon.com/images/I/91DeHDKaUdL._AC_UL320_.jpg")</f>
        <v>#NAME?</v>
      </c>
      <c r="I2171" t="s">
        <v>74</v>
      </c>
      <c r="J2171">
        <v>18.68</v>
      </c>
      <c r="K2171" s="4">
        <v>-0.84430000000000005</v>
      </c>
      <c r="L2171">
        <v>4.5</v>
      </c>
      <c r="M2171">
        <v>44</v>
      </c>
      <c r="O2171" t="s">
        <v>25</v>
      </c>
      <c r="P2171" t="s">
        <v>1532</v>
      </c>
      <c r="Q2171" t="s">
        <v>1533</v>
      </c>
    </row>
    <row r="2172" spans="1:17" ht="15.5" x14ac:dyDescent="0.35">
      <c r="A2172" s="3" t="str">
        <f>HYPERLINK("https://edmondsonsupply.com/collections/hvac/products/klein-tools-89552-hole-cutter-for-duct-and-sheet-metal-2-to-12-inch", "https://edmondsonsupply.com/collections/hvac/products/klein-tools-89552-hole-cutter-for-duct-and-sheet-metal-2-to-12-inch")</f>
        <v>https://edmondsonsupply.com/collections/hvac/products/klein-tools-89552-hole-cutter-for-duct-and-sheet-metal-2-to-12-inch</v>
      </c>
      <c r="B2172" s="3" t="str">
        <f>HYPERLINK("https://edmondsonsupply.com/products/klein-tools-89552-hole-cutter-for-duct-and-sheet-metal-2-to-12-inch", "https://edmondsonsupply.com/products/klein-tools-89552-hole-cutter-for-duct-and-sheet-metal-2-to-12-inch")</f>
        <v>https://edmondsonsupply.com/products/klein-tools-89552-hole-cutter-for-duct-and-sheet-metal-2-to-12-inch</v>
      </c>
      <c r="C2172" t="s">
        <v>1762</v>
      </c>
      <c r="D2172" t="s">
        <v>5702</v>
      </c>
      <c r="E2172" s="3" t="str">
        <f>HYPERLINK("https://www.amazon.com/Klein-Tools-89551-Replacement-12-Inch/dp/B07DLRWFCG/ref=sr_1_2?keywords=Klein+Tools+89552+Hole+Cutter+for+Duct+and+Sheet+Metal%2C+2+to+12-Inch&amp;qid=1695173674&amp;sr=8-2", "https://www.amazon.com/Klein-Tools-89551-Replacement-12-Inch/dp/B07DLRWFCG/ref=sr_1_2?keywords=Klein+Tools+89552+Hole+Cutter+for+Duct+and+Sheet+Metal%2C+2+to+12-Inch&amp;qid=1695173674&amp;sr=8-2")</f>
        <v>https://www.amazon.com/Klein-Tools-89551-Replacement-12-Inch/dp/B07DLRWFCG/ref=sr_1_2?keywords=Klein+Tools+89552+Hole+Cutter+for+Duct+and+Sheet+Metal%2C+2+to+12-Inch&amp;qid=1695173674&amp;sr=8-2</v>
      </c>
      <c r="F2172" t="s">
        <v>5703</v>
      </c>
      <c r="G2172" t="e">
        <f ca="1">_xludf.IMAGE("https://edmondsonsupply.com/cdn/shop/products/89552.jpg?v=1587143132")</f>
        <v>#NAME?</v>
      </c>
      <c r="H2172" t="e">
        <f ca="1">_xludf.IMAGE("https://m.media-amazon.com/images/I/411kCYe-NnL._AC_UL320_.jpg")</f>
        <v>#NAME?</v>
      </c>
      <c r="I2172" t="s">
        <v>1765</v>
      </c>
      <c r="J2172">
        <v>8.69</v>
      </c>
      <c r="K2172" s="4">
        <v>-0.84750000000000003</v>
      </c>
      <c r="L2172">
        <v>4.2</v>
      </c>
      <c r="M2172">
        <v>184</v>
      </c>
      <c r="O2172" t="s">
        <v>25</v>
      </c>
      <c r="P2172" t="s">
        <v>1766</v>
      </c>
      <c r="Q2172" t="s">
        <v>1767</v>
      </c>
    </row>
    <row r="2173" spans="1:17" ht="15.5" x14ac:dyDescent="0.35">
      <c r="A2173" s="3" t="str">
        <f>HYPERLINK("https://edmondsonsupply.com/collections/hvac/products/fluke-62-max-mini-infrared-thermometer", "https://edmondsonsupply.com/collections/hvac/products/fluke-62-max-mini-infrared-thermometer")</f>
        <v>https://edmondsonsupply.com/collections/hvac/products/fluke-62-max-mini-infrared-thermometer</v>
      </c>
      <c r="B2173" s="3" t="str">
        <f>HYPERLINK("https://edmondsonsupply.com/products/fluke-62-max-mini-infrared-thermometer", "https://edmondsonsupply.com/products/fluke-62-max-mini-infrared-thermometer")</f>
        <v>https://edmondsonsupply.com/products/fluke-62-max-mini-infrared-thermometer</v>
      </c>
      <c r="C2173" t="s">
        <v>2312</v>
      </c>
      <c r="D2173" t="s">
        <v>5704</v>
      </c>
      <c r="E2173" s="3" t="str">
        <f>HYPERLINK("https://www.amazon.com/Aproca-Storage-Travel-Fluke-Thermometer/dp/B07WMQ8G1Q/ref=sr_1_9?keywords=Fluke+62+MAX+Mini+Infrared+Thermometer&amp;qid=1695173532&amp;sr=8-9", "https://www.amazon.com/Aproca-Storage-Travel-Fluke-Thermometer/dp/B07WMQ8G1Q/ref=sr_1_9?keywords=Fluke+62+MAX+Mini+Infrared+Thermometer&amp;qid=1695173532&amp;sr=8-9")</f>
        <v>https://www.amazon.com/Aproca-Storage-Travel-Fluke-Thermometer/dp/B07WMQ8G1Q/ref=sr_1_9?keywords=Fluke+62+MAX+Mini+Infrared+Thermometer&amp;qid=1695173532&amp;sr=8-9</v>
      </c>
      <c r="F2173" t="s">
        <v>5705</v>
      </c>
      <c r="G2173" t="e">
        <f ca="1">_xludf.IMAGE("https://edmondsonsupply.com/cdn/shop/products/62max.jpg?v=1633030769")</f>
        <v>#NAME?</v>
      </c>
      <c r="H2173" t="e">
        <f ca="1">_xludf.IMAGE("https://m.media-amazon.com/images/I/81nOJJ+KQaL._AC_UY218_.jpg")</f>
        <v>#NAME?</v>
      </c>
      <c r="I2173" t="s">
        <v>2315</v>
      </c>
      <c r="J2173">
        <v>16.989999999999998</v>
      </c>
      <c r="K2173" s="4">
        <v>-0.8619</v>
      </c>
      <c r="L2173">
        <v>4.7</v>
      </c>
      <c r="M2173">
        <v>58</v>
      </c>
      <c r="O2173" t="s">
        <v>171</v>
      </c>
      <c r="P2173" t="s">
        <v>460</v>
      </c>
      <c r="Q2173" t="s">
        <v>2316</v>
      </c>
    </row>
    <row r="2174" spans="1:17" ht="15.5" x14ac:dyDescent="0.35">
      <c r="A2174" s="3" t="str">
        <f>HYPERLINK("https://edmondsonsupply.com/collections/hvac/products/fluke-62-max-mini-infrared-thermometer", "https://edmondsonsupply.com/collections/hvac/products/fluke-62-max-mini-infrared-thermometer")</f>
        <v>https://edmondsonsupply.com/collections/hvac/products/fluke-62-max-mini-infrared-thermometer</v>
      </c>
      <c r="B2174" s="3" t="str">
        <f>HYPERLINK("https://edmondsonsupply.com/products/fluke-62-max-mini-infrared-thermometer", "https://edmondsonsupply.com/products/fluke-62-max-mini-infrared-thermometer")</f>
        <v>https://edmondsonsupply.com/products/fluke-62-max-mini-infrared-thermometer</v>
      </c>
      <c r="C2174" t="s">
        <v>2312</v>
      </c>
      <c r="D2174" t="s">
        <v>5706</v>
      </c>
      <c r="E2174" s="3" t="str">
        <f>HYPERLINK("https://www.amazon.com/co2crea-Travel-Infrared-Thermometer-Yellow/dp/B08FHPGX3X/ref=sr_1_2?keywords=Fluke+62+MAX+Mini+Infrared+Thermometer&amp;qid=1695173532&amp;sr=8-2", "https://www.amazon.com/co2crea-Travel-Infrared-Thermometer-Yellow/dp/B08FHPGX3X/ref=sr_1_2?keywords=Fluke+62+MAX+Mini+Infrared+Thermometer&amp;qid=1695173532&amp;sr=8-2")</f>
        <v>https://www.amazon.com/co2crea-Travel-Infrared-Thermometer-Yellow/dp/B08FHPGX3X/ref=sr_1_2?keywords=Fluke+62+MAX+Mini+Infrared+Thermometer&amp;qid=1695173532&amp;sr=8-2</v>
      </c>
      <c r="F2174" t="s">
        <v>5707</v>
      </c>
      <c r="G2174" t="e">
        <f ca="1">_xludf.IMAGE("https://edmondsonsupply.com/cdn/shop/products/62max.jpg?v=1633030769")</f>
        <v>#NAME?</v>
      </c>
      <c r="H2174" t="e">
        <f ca="1">_xludf.IMAGE("https://m.media-amazon.com/images/I/819lhKmR58L._AC_UY218_.jpg")</f>
        <v>#NAME?</v>
      </c>
      <c r="I2174" t="s">
        <v>2315</v>
      </c>
      <c r="J2174">
        <v>16.989999999999998</v>
      </c>
      <c r="K2174" s="4">
        <v>-0.8619</v>
      </c>
      <c r="L2174">
        <v>4.5999999999999996</v>
      </c>
      <c r="M2174">
        <v>519</v>
      </c>
      <c r="O2174" t="s">
        <v>171</v>
      </c>
      <c r="P2174" t="s">
        <v>460</v>
      </c>
      <c r="Q2174" t="s">
        <v>2316</v>
      </c>
    </row>
    <row r="2175" spans="1:17" ht="15.5" x14ac:dyDescent="0.35">
      <c r="A2175" s="3" t="str">
        <f>HYPERLINK("https://edmondsonsupply.com/collections/hvac/products/yellow-jacket-61001-hydrocarbon-charging-kit", "https://edmondsonsupply.com/collections/hvac/products/yellow-jacket-61001-hydrocarbon-charging-kit")</f>
        <v>https://edmondsonsupply.com/collections/hvac/products/yellow-jacket-61001-hydrocarbon-charging-kit</v>
      </c>
      <c r="B2175" s="3" t="str">
        <f>HYPERLINK("https://edmondsonsupply.com/products/yellow-jacket-61001-hydrocarbon-charging-kit", "https://edmondsonsupply.com/products/yellow-jacket-61001-hydrocarbon-charging-kit")</f>
        <v>https://edmondsonsupply.com/products/yellow-jacket-61001-hydrocarbon-charging-kit</v>
      </c>
      <c r="C2175" t="s">
        <v>5708</v>
      </c>
      <c r="D2175" t="s">
        <v>5709</v>
      </c>
      <c r="E2175" s="3" t="str">
        <f>HYPERLINK("https://www.amazon.com/Yellow-Jacket-Digital-Hydrocarbon-Charging/dp/B091H63CYZ/ref=sr_1_fkmr0_1?keywords=Yellow+Jacket+61001+Hydrocarbon+Charging+Kit&amp;qid=1695173365&amp;sr=8-1-fkmr0", "https://www.amazon.com/Yellow-Jacket-Digital-Hydrocarbon-Charging/dp/B091H63CYZ/ref=sr_1_fkmr0_1?keywords=Yellow+Jacket+61001+Hydrocarbon+Charging+Kit&amp;qid=1695173365&amp;sr=8-1-fkmr0")</f>
        <v>https://www.amazon.com/Yellow-Jacket-Digital-Hydrocarbon-Charging/dp/B091H63CYZ/ref=sr_1_fkmr0_1?keywords=Yellow+Jacket+61001+Hydrocarbon+Charging+Kit&amp;qid=1695173365&amp;sr=8-1-fkmr0</v>
      </c>
      <c r="F2175" t="s">
        <v>5710</v>
      </c>
      <c r="G2175" t="e">
        <f ca="1">_xludf.IMAGE("https://edmondsonsupply.com/cdn/shop/products/61001-Hydrobarbon-Kit-OPEN-CASE-2048x1553.jpg?v=1633030964")</f>
        <v>#NAME?</v>
      </c>
      <c r="H2175" t="e">
        <f ca="1">_xludf.IMAGE("https://m.media-amazon.com/images/I/61Cc4L6rDVL._AC_UL320_.jpg")</f>
        <v>#NAME?</v>
      </c>
      <c r="I2175" t="s">
        <v>5711</v>
      </c>
      <c r="J2175">
        <v>64</v>
      </c>
      <c r="K2175" s="4">
        <v>-0.86899999999999999</v>
      </c>
      <c r="L2175">
        <v>4.0999999999999996</v>
      </c>
      <c r="M2175">
        <v>4</v>
      </c>
      <c r="O2175" t="s">
        <v>25</v>
      </c>
      <c r="P2175" t="s">
        <v>138</v>
      </c>
      <c r="Q2175" t="s">
        <v>5712</v>
      </c>
    </row>
    <row r="2176" spans="1:17" ht="15.5" x14ac:dyDescent="0.35">
      <c r="A2176" s="3" t="str">
        <f>HYPERLINK("https://edmondsonsupply.com/collections/hvac/products/klein-tools-et450-advanced-circuit-tracer-kit", "https://edmondsonsupply.com/collections/hvac/products/klein-tools-et450-advanced-circuit-tracer-kit")</f>
        <v>https://edmondsonsupply.com/collections/hvac/products/klein-tools-et450-advanced-circuit-tracer-kit</v>
      </c>
      <c r="B2176" s="3" t="str">
        <f>HYPERLINK("https://edmondsonsupply.com/products/klein-tools-et450-advanced-circuit-tracer-kit", "https://edmondsonsupply.com/products/klein-tools-et450-advanced-circuit-tracer-kit")</f>
        <v>https://edmondsonsupply.com/products/klein-tools-et450-advanced-circuit-tracer-kit</v>
      </c>
      <c r="C2176" t="s">
        <v>2849</v>
      </c>
      <c r="D2176" t="s">
        <v>5713</v>
      </c>
      <c r="E2176" s="3" t="str">
        <f>HYPERLINK("https://www.amazon.com/RLSOCO-Advanced-Circuit-Kit-Compact-Organizer/dp/B0BVVRMV9H/ref=sr_1_2?keywords=Klein+Tools+ET450+Advanced+Circuit+Tracer+Kit&amp;qid=1695173503&amp;sr=8-2", "https://www.amazon.com/RLSOCO-Advanced-Circuit-Kit-Compact-Organizer/dp/B0BVVRMV9H/ref=sr_1_2?keywords=Klein+Tools+ET450+Advanced+Circuit+Tracer+Kit&amp;qid=1695173503&amp;sr=8-2")</f>
        <v>https://www.amazon.com/RLSOCO-Advanced-Circuit-Kit-Compact-Organizer/dp/B0BVVRMV9H/ref=sr_1_2?keywords=Klein+Tools+ET450+Advanced+Circuit+Tracer+Kit&amp;qid=1695173503&amp;sr=8-2</v>
      </c>
      <c r="F2176" t="s">
        <v>5714</v>
      </c>
      <c r="G2176" t="e">
        <f ca="1">_xludf.IMAGE("https://edmondsonsupply.com/cdn/shop/products/et450.jpg?v=1660165248")</f>
        <v>#NAME?</v>
      </c>
      <c r="H2176" t="e">
        <f ca="1">_xludf.IMAGE("https://m.media-amazon.com/images/I/81VXJWrj4rL._AC_UL320_.jpg")</f>
        <v>#NAME?</v>
      </c>
      <c r="I2176" t="s">
        <v>759</v>
      </c>
      <c r="J2176">
        <v>28.99</v>
      </c>
      <c r="K2176" s="4">
        <v>-0.87919999999999998</v>
      </c>
      <c r="L2176">
        <v>4.4000000000000004</v>
      </c>
      <c r="M2176">
        <v>17</v>
      </c>
      <c r="O2176" t="s">
        <v>25</v>
      </c>
      <c r="P2176" t="s">
        <v>2852</v>
      </c>
      <c r="Q2176" t="s">
        <v>2853</v>
      </c>
    </row>
    <row r="2177" spans="1:17" ht="15.5" x14ac:dyDescent="0.35">
      <c r="A2177" s="3" t="str">
        <f>HYPERLINK("https://edmondsonsupply.com/collections/hvac/products/klein-tools-80028-electricians-tool-kit-28-piece", "https://edmondsonsupply.com/collections/hvac/products/klein-tools-80028-electricians-tool-kit-28-piece")</f>
        <v>https://edmondsonsupply.com/collections/hvac/products/klein-tools-80028-electricians-tool-kit-28-piece</v>
      </c>
      <c r="B2177" s="3" t="str">
        <f>HYPERLINK("https://edmondsonsupply.com/products/klein-tools-80028-electricians-tool-kit-28-piece", "https://edmondsonsupply.com/products/klein-tools-80028-electricians-tool-kit-28-piece")</f>
        <v>https://edmondsonsupply.com/products/klein-tools-80028-electricians-tool-kit-28-piece</v>
      </c>
      <c r="C2177" t="s">
        <v>4066</v>
      </c>
      <c r="D2177" t="s">
        <v>5715</v>
      </c>
      <c r="E2177" s="3" t="str">
        <f>HYPERLINK("https://www.amazon.com/Klein-Tools-80019-Screwdriver-Industrial/dp/B08VW84W2G/ref=sr_1_6?keywords=Klein+Tools+80028+Electrician%27s+Tool+Kit%2C+28-Piece&amp;qid=1695173551&amp;sr=8-6", "https://www.amazon.com/Klein-Tools-80019-Screwdriver-Industrial/dp/B08VW84W2G/ref=sr_1_6?keywords=Klein+Tools+80028+Electrician%27s+Tool+Kit%2C+28-Piece&amp;qid=1695173551&amp;sr=8-6")</f>
        <v>https://www.amazon.com/Klein-Tools-80019-Screwdriver-Industrial/dp/B08VW84W2G/ref=sr_1_6?keywords=Klein+Tools+80028+Electrician%27s+Tool+Kit%2C+28-Piece&amp;qid=1695173551&amp;sr=8-6</v>
      </c>
      <c r="F2177" t="s">
        <v>5716</v>
      </c>
      <c r="G2177" t="e">
        <f ca="1">_xludf.IMAGE("https://edmondsonsupply.com/cdn/shop/files/80028_d.jpg?v=1686062794")</f>
        <v>#NAME?</v>
      </c>
      <c r="H2177" t="e">
        <f ca="1">_xludf.IMAGE("https://m.media-amazon.com/images/I/61UoMiQVT8L._AC_UL320_.jpg")</f>
        <v>#NAME?</v>
      </c>
      <c r="I2177" t="s">
        <v>4069</v>
      </c>
      <c r="J2177">
        <v>49.99</v>
      </c>
      <c r="K2177" s="4">
        <v>-0.87949999999999995</v>
      </c>
      <c r="L2177">
        <v>4.8</v>
      </c>
      <c r="M2177">
        <v>1119</v>
      </c>
      <c r="O2177" t="s">
        <v>25</v>
      </c>
      <c r="P2177" t="s">
        <v>4070</v>
      </c>
      <c r="Q2177" t="s">
        <v>4071</v>
      </c>
    </row>
    <row r="2178" spans="1:17" ht="15.5" x14ac:dyDescent="0.35">
      <c r="A2178" s="3" t="str">
        <f>HYPERLINK("https://edmondsonsupply.com/collections/hvac/products/fresh-aire-uv-apco-tuv-apco-rt-er2-18-32-vac-2-year-uv-lamp", "https://edmondsonsupply.com/collections/hvac/products/fresh-aire-uv-apco-tuv-apco-rt-er2-18-32-vac-2-year-uv-lamp")</f>
        <v>https://edmondsonsupply.com/collections/hvac/products/fresh-aire-uv-apco-tuv-apco-rt-er2-18-32-vac-2-year-uv-lamp</v>
      </c>
      <c r="B2178" s="3" t="str">
        <f>HYPERLINK("https://edmondsonsupply.com/products/fresh-aire-uv-apco-tuv-apco-rt-er2-18-32-vac-2-year-uv-lamp", "https://edmondsonsupply.com/products/fresh-aire-uv-apco-tuv-apco-rt-er2-18-32-vac-2-year-uv-lamp")</f>
        <v>https://edmondsonsupply.com/products/fresh-aire-uv-apco-tuv-apco-rt-er2-18-32-vac-2-year-uv-lamp</v>
      </c>
      <c r="C2178" t="s">
        <v>5581</v>
      </c>
      <c r="D2178" t="s">
        <v>5610</v>
      </c>
      <c r="E2178" s="3" t="str">
        <f>HYPERLINK("https://www.amazon.com/LSE-Lighting-TUV-APCO-DER2-TUV-APCO-SI2P-TUV-APCO-DI2P/dp/B0BFSSHTT5/ref=sr_1_1?keywords=Fresh-Aire+UV+APCO+TUV-APCO-RT-ER2+18-32+VAC%2C+2-Year+UV+Lamp&amp;qid=1695173467&amp;sr=8-1", "https://www.amazon.com/LSE-Lighting-TUV-APCO-DER2-TUV-APCO-SI2P-TUV-APCO-DI2P/dp/B0BFSSHTT5/ref=sr_1_1?keywords=Fresh-Aire+UV+APCO+TUV-APCO-RT-ER2+18-32+VAC%2C+2-Year+UV+Lamp&amp;qid=1695173467&amp;sr=8-1")</f>
        <v>https://www.amazon.com/LSE-Lighting-TUV-APCO-DER2-TUV-APCO-SI2P-TUV-APCO-DI2P/dp/B0BFSSHTT5/ref=sr_1_1?keywords=Fresh-Aire+UV+APCO+TUV-APCO-RT-ER2+18-32+VAC%2C+2-Year+UV+Lamp&amp;qid=1695173467&amp;sr=8-1</v>
      </c>
      <c r="F2178" t="s">
        <v>5611</v>
      </c>
      <c r="G2178" t="e">
        <f ca="1">_xludf.IMAGE("https://edmondsonsupply.com/cdn/shop/products/APCO-RT-front.jpg?v=1664831717")</f>
        <v>#NAME?</v>
      </c>
      <c r="H2178" t="e">
        <f ca="1">_xludf.IMAGE("https://m.media-amazon.com/images/I/31MNaScLYrS._AC_UL320_.jpg")</f>
        <v>#NAME?</v>
      </c>
      <c r="I2178" t="s">
        <v>5582</v>
      </c>
      <c r="J2178">
        <v>48</v>
      </c>
      <c r="K2178" s="4">
        <v>-0.88290000000000002</v>
      </c>
      <c r="L2178">
        <v>4.4000000000000004</v>
      </c>
      <c r="M2178">
        <v>26</v>
      </c>
      <c r="O2178" t="s">
        <v>25</v>
      </c>
      <c r="P2178" t="s">
        <v>5583</v>
      </c>
      <c r="Q2178" t="s">
        <v>5584</v>
      </c>
    </row>
    <row r="2179" spans="1:17" ht="15.5" x14ac:dyDescent="0.35">
      <c r="A2179" s="3" t="str">
        <f>HYPERLINK("https://edmondsonsupply.com/collections/hvac/products/milwaukee-0970-20-m18-fuel%E2%84%A2-packout%E2%84%A2-2-5-gallon-wet-dry-vacuum", "https://edmondsonsupply.com/collections/hvac/products/milwaukee-0970-20-m18-fuel%E2%84%A2-packout%E2%84%A2-2-5-gallon-wet-dry-vacuum")</f>
        <v>https://edmondsonsupply.com/collections/hvac/products/milwaukee-0970-20-m18-fuel%E2%84%A2-packout%E2%84%A2-2-5-gallon-wet-dry-vacuum</v>
      </c>
      <c r="B2179"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2179" t="s">
        <v>4882</v>
      </c>
      <c r="D2179" t="s">
        <v>5717</v>
      </c>
      <c r="E2179" s="3" t="str">
        <f>HYPERLINK("https://www.amazon.com/KitchenKipper-14-37-0016-Assembly-Compatible-Milwaukee/dp/B0C5QLZ8LK/ref=sr_1_3?keywords=Milwaukee+0970-20+M18+FUEL%E2%84%A2+PACKOUT%E2%84%A2+2.5+Gallon+Wet%2FDry+Vacuum&amp;qid=1695173611&amp;sr=8-3", "https://www.amazon.com/KitchenKipper-14-37-0016-Assembly-Compatible-Milwaukee/dp/B0C5QLZ8LK/ref=sr_1_3?keywords=Milwaukee+0970-20+M18+FUEL%E2%84%A2+PACKOUT%E2%84%A2+2.5+Gallon+Wet%2FDry+Vacuum&amp;qid=1695173611&amp;sr=8-3")</f>
        <v>https://www.amazon.com/KitchenKipper-14-37-0016-Assembly-Compatible-Milwaukee/dp/B0C5QLZ8LK/ref=sr_1_3?keywords=Milwaukee+0970-20+M18+FUEL%E2%84%A2+PACKOUT%E2%84%A2+2.5+Gallon+Wet%2FDry+Vacuum&amp;qid=1695173611&amp;sr=8-3</v>
      </c>
      <c r="F2179" t="s">
        <v>5718</v>
      </c>
      <c r="G2179" t="e">
        <f ca="1">_xludf.IMAGE("https://edmondsonsupply.com/cdn/shop/products/0970-20_3webp.webp?v=1668442362")</f>
        <v>#NAME?</v>
      </c>
      <c r="H2179" t="e">
        <f ca="1">_xludf.IMAGE("https://m.media-amazon.com/images/I/51+EmXP9D+L._AC_UL320_.jpg")</f>
        <v>#NAME?</v>
      </c>
      <c r="I2179" t="s">
        <v>715</v>
      </c>
      <c r="J2179">
        <v>22.99</v>
      </c>
      <c r="K2179" s="4">
        <v>-0.88449999999999995</v>
      </c>
      <c r="L2179">
        <v>5</v>
      </c>
      <c r="M2179">
        <v>3</v>
      </c>
      <c r="O2179" t="s">
        <v>171</v>
      </c>
      <c r="P2179" t="s">
        <v>4885</v>
      </c>
      <c r="Q2179" t="s">
        <v>4886</v>
      </c>
    </row>
    <row r="2180" spans="1:17" ht="15.5" x14ac:dyDescent="0.35">
      <c r="A2180" s="3" t="str">
        <f>HYPERLINK("https://edmondsonsupply.com/collections/hvac/products/inficon-whisper%C2%AE-ultrasonic-leak-detector-with-accessory-kit", "https://edmondsonsupply.com/collections/hvac/products/inficon-whisper%C2%AE-ultrasonic-leak-detector-with-accessory-kit")</f>
        <v>https://edmondsonsupply.com/collections/hvac/products/inficon-whisper%C2%AE-ultrasonic-leak-detector-with-accessory-kit</v>
      </c>
      <c r="B2180" s="3" t="str">
        <f>HYPERLINK("https://edmondsonsupply.com/products/inficon-whisper%c2%ae-ultrasonic-leak-detector-with-accessory-kit", "https://edmondsonsupply.com/products/inficon-whisper%c2%ae-ultrasonic-leak-detector-with-accessory-kit")</f>
        <v>https://edmondsonsupply.com/products/inficon-whisper%c2%ae-ultrasonic-leak-detector-with-accessory-kit</v>
      </c>
      <c r="C2180" t="s">
        <v>4413</v>
      </c>
      <c r="D2180" t="s">
        <v>5719</v>
      </c>
      <c r="E2180" s="3" t="str">
        <f>HYPERLINK("https://www.amazon.com/Tools%EF%BC%8CUltrasonic-Transmitter-Refrigeration-Automotive-Inspection/dp/B07MC2QSFX/ref=sr_1_6?keywords=Inficon+Whisper%C2%AE+Ultrasonic+Leak+Detector+with+Accessory+Kit&amp;qid=1695173527&amp;sr=8-6", "https://www.amazon.com/Tools%EF%BC%8CUltrasonic-Transmitter-Refrigeration-Automotive-Inspection/dp/B07MC2QSFX/ref=sr_1_6?keywords=Inficon+Whisper%C2%AE+Ultrasonic+Leak+Detector+with+Accessory+Kit&amp;qid=1695173527&amp;sr=8-6")</f>
        <v>https://www.amazon.com/Tools%EF%BC%8CUltrasonic-Transmitter-Refrigeration-Automotive-Inspection/dp/B07MC2QSFX/ref=sr_1_6?keywords=Inficon+Whisper%C2%AE+Ultrasonic+Leak+Detector+with+Accessory+Kit&amp;qid=1695173527&amp;sr=8-6</v>
      </c>
      <c r="F2180" t="s">
        <v>5720</v>
      </c>
      <c r="G2180" t="e">
        <f ca="1">_xludf.IMAGE("https://edmondsonsupply.com/cdn/shop/products/t5rPU4FQ.png?v=1633030885")</f>
        <v>#NAME?</v>
      </c>
      <c r="H2180" t="e">
        <f ca="1">_xludf.IMAGE("https://m.media-amazon.com/images/I/71amNq-kF2L._AC_UY218_.jpg")</f>
        <v>#NAME?</v>
      </c>
      <c r="I2180" t="s">
        <v>4416</v>
      </c>
      <c r="J2180">
        <v>45.99</v>
      </c>
      <c r="K2180" s="4">
        <v>-0.88759999999999994</v>
      </c>
      <c r="L2180">
        <v>3.6</v>
      </c>
      <c r="M2180">
        <v>59</v>
      </c>
      <c r="O2180" t="s">
        <v>25</v>
      </c>
      <c r="P2180" t="s">
        <v>4417</v>
      </c>
      <c r="Q2180" t="s">
        <v>4418</v>
      </c>
    </row>
    <row r="2181" spans="1:17" ht="15.5" x14ac:dyDescent="0.35">
      <c r="A2181" s="3" t="str">
        <f>HYPERLINK("https://edmondsonsupply.com/collections/hvac/products/inficon-d-tek-3", "https://edmondsonsupply.com/collections/hvac/products/inficon-d-tek-3")</f>
        <v>https://edmondsonsupply.com/collections/hvac/products/inficon-d-tek-3</v>
      </c>
      <c r="B2181" s="3" t="str">
        <f>HYPERLINK("https://edmondsonsupply.com/products/inficon-d-tek-3", "https://edmondsonsupply.com/products/inficon-d-tek-3")</f>
        <v>https://edmondsonsupply.com/products/inficon-d-tek-3</v>
      </c>
      <c r="C2181" t="s">
        <v>2260</v>
      </c>
      <c r="D2181" t="s">
        <v>5721</v>
      </c>
      <c r="E2181" s="3" t="str">
        <f>HYPERLINK("https://www.amazon.com/Inficon-712-700-G1-Replacement-Refrigerant-Detectors/dp/B008FM7YLI/ref=sr_1_9?keywords=Inficon+D-TEK%C2%AE+3+Refrigerant+Leak+Detector&amp;qid=1695173442&amp;sr=8-9", "https://www.amazon.com/Inficon-712-700-G1-Replacement-Refrigerant-Detectors/dp/B008FM7YLI/ref=sr_1_9?keywords=Inficon+D-TEK%C2%AE+3+Refrigerant+Leak+Detector&amp;qid=1695173442&amp;sr=8-9")</f>
        <v>https://www.amazon.com/Inficon-712-700-G1-Replacement-Refrigerant-Detectors/dp/B008FM7YLI/ref=sr_1_9?keywords=Inficon+D-TEK%C2%AE+3+Refrigerant+Leak+Detector&amp;qid=1695173442&amp;sr=8-9</v>
      </c>
      <c r="F2181" t="s">
        <v>5722</v>
      </c>
      <c r="G2181" t="e">
        <f ca="1">_xludf.IMAGE("https://edmondsonsupply.com/cdn/shop/products/dtek3.png?v=1633030772")</f>
        <v>#NAME?</v>
      </c>
      <c r="H2181" t="e">
        <f ca="1">_xludf.IMAGE("https://m.media-amazon.com/images/I/81WcESaQB3L._AC_UL320_.jpg")</f>
        <v>#NAME?</v>
      </c>
      <c r="I2181" t="s">
        <v>2263</v>
      </c>
      <c r="J2181">
        <v>55</v>
      </c>
      <c r="K2181" s="4">
        <v>-0.89359999999999995</v>
      </c>
      <c r="L2181">
        <v>4</v>
      </c>
      <c r="M2181">
        <v>80</v>
      </c>
      <c r="O2181" t="s">
        <v>25</v>
      </c>
      <c r="P2181" t="s">
        <v>2264</v>
      </c>
      <c r="Q2181" t="s">
        <v>2265</v>
      </c>
    </row>
    <row r="2182" spans="1:17" ht="15.5" x14ac:dyDescent="0.35">
      <c r="A2182" s="3" t="str">
        <f>HYPERLINK("https://edmondsonsupply.com/collections/hvac/products/spin-tools-s6000-swaging-drill-bit-set-1-4-3-8-1-2-5-8-3-4-7-8", "https://edmondsonsupply.com/collections/hvac/products/spin-tools-s6000-swaging-drill-bit-set-1-4-3-8-1-2-5-8-3-4-7-8")</f>
        <v>https://edmondsonsupply.com/collections/hvac/products/spin-tools-s6000-swaging-drill-bit-set-1-4-3-8-1-2-5-8-3-4-7-8</v>
      </c>
      <c r="B2182" s="3" t="str">
        <f>HYPERLINK("https://edmondsonsupply.com/products/spin-tools-s6000-swaging-drill-bit-set-1-4-3-8-1-2-5-8-3-4-7-8", "https://edmondsonsupply.com/products/spin-tools-s6000-swaging-drill-bit-set-1-4-3-8-1-2-5-8-3-4-7-8")</f>
        <v>https://edmondsonsupply.com/products/spin-tools-s6000-swaging-drill-bit-set-1-4-3-8-1-2-5-8-3-4-7-8</v>
      </c>
      <c r="C2182" t="s">
        <v>5723</v>
      </c>
      <c r="D2182" t="s">
        <v>5724</v>
      </c>
      <c r="E2182" s="3" t="str">
        <f>HYPERLINK("https://www.amazon.com/Swaging-Repairing-Conditioner-Copper-Expander/dp/B09TFVWT1F/ref=sr_1_4?keywords=SPIN+Tools+S6000+Swaging+Drill+Bit+Set%2C+1%2F4%22%2C+3%2F8%22%2C+1%2F2%22%2C+5%2F8%22%2C+3%2F4%22+%26+7%2F8%22&amp;qid=1695173333&amp;sr=8-4", "https://www.amazon.com/Swaging-Repairing-Conditioner-Copper-Expander/dp/B09TFVWT1F/ref=sr_1_4?keywords=SPIN+Tools+S6000+Swaging+Drill+Bit+Set%2C+1%2F4%22%2C+3%2F8%22%2C+1%2F2%22%2C+5%2F8%22%2C+3%2F4%22+%26+7%2F8%22&amp;qid=1695173333&amp;sr=8-4")</f>
        <v>https://www.amazon.com/Swaging-Repairing-Conditioner-Copper-Expander/dp/B09TFVWT1F/ref=sr_1_4?keywords=SPIN+Tools+S6000+Swaging+Drill+Bit+Set%2C+1%2F4%22%2C+3%2F8%22%2C+1%2F2%22%2C+5%2F8%22%2C+3%2F4%22+%26+7%2F8%22&amp;qid=1695173333&amp;sr=8-4</v>
      </c>
      <c r="F2182" t="s">
        <v>5725</v>
      </c>
      <c r="G2182" t="e">
        <f ca="1">_xludf.IMAGE("https://edmondsonsupply.com/cdn/shop/products/s6000-1.jpg?v=1587147463")</f>
        <v>#NAME?</v>
      </c>
      <c r="H2182" t="e">
        <f ca="1">_xludf.IMAGE("https://m.media-amazon.com/images/I/4141nE6I6eL._AC_UL320_.jpg")</f>
        <v>#NAME?</v>
      </c>
      <c r="I2182" t="s">
        <v>4917</v>
      </c>
      <c r="J2182">
        <v>8.99</v>
      </c>
      <c r="K2182" s="4">
        <v>-0.90369999999999995</v>
      </c>
      <c r="L2182">
        <v>3.8</v>
      </c>
      <c r="M2182">
        <v>124</v>
      </c>
      <c r="O2182" t="s">
        <v>171</v>
      </c>
      <c r="P2182" t="s">
        <v>138</v>
      </c>
      <c r="Q2182" t="s">
        <v>5726</v>
      </c>
    </row>
    <row r="2183" spans="1:17" ht="15.5" x14ac:dyDescent="0.35">
      <c r="A2183" s="3" t="str">
        <f>HYPERLINK("https://edmondsonsupply.com/collections/hvac/products/milwaukee-0970-20-m18-fuel%E2%84%A2-packout%E2%84%A2-2-5-gallon-wet-dry-vacuum", "https://edmondsonsupply.com/collections/hvac/products/milwaukee-0970-20-m18-fuel%E2%84%A2-packout%E2%84%A2-2-5-gallon-wet-dry-vacuum")</f>
        <v>https://edmondsonsupply.com/collections/hvac/products/milwaukee-0970-20-m18-fuel%E2%84%A2-packout%E2%84%A2-2-5-gallon-wet-dry-vacuum</v>
      </c>
      <c r="B2183"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2183" t="s">
        <v>4882</v>
      </c>
      <c r="D2183" t="s">
        <v>5727</v>
      </c>
      <c r="E2183" s="3" t="str">
        <f>HYPERLINK("https://www.amazon.com/Aryavos-Replacement-49-90-1900-Compatible-Milwaukee/dp/B0B7M6DM8K/ref=sr_1_4?keywords=Milwaukee+0970-20+M18+FUEL%E2%84%A2+PACKOUT%E2%84%A2+2.5+Gallon+Wet%2FDry+Vacuum&amp;qid=1695173611&amp;sr=8-4", "https://www.amazon.com/Aryavos-Replacement-49-90-1900-Compatible-Milwaukee/dp/B0B7M6DM8K/ref=sr_1_4?keywords=Milwaukee+0970-20+M18+FUEL%E2%84%A2+PACKOUT%E2%84%A2+2.5+Gallon+Wet%2FDry+Vacuum&amp;qid=1695173611&amp;sr=8-4")</f>
        <v>https://www.amazon.com/Aryavos-Replacement-49-90-1900-Compatible-Milwaukee/dp/B0B7M6DM8K/ref=sr_1_4?keywords=Milwaukee+0970-20+M18+FUEL%E2%84%A2+PACKOUT%E2%84%A2+2.5+Gallon+Wet%2FDry+Vacuum&amp;qid=1695173611&amp;sr=8-4</v>
      </c>
      <c r="F2183" t="s">
        <v>5728</v>
      </c>
      <c r="G2183" t="e">
        <f ca="1">_xludf.IMAGE("https://edmondsonsupply.com/cdn/shop/products/0970-20_3webp.webp?v=1668442362")</f>
        <v>#NAME?</v>
      </c>
      <c r="H2183" t="e">
        <f ca="1">_xludf.IMAGE("https://m.media-amazon.com/images/I/61qFe9bSfoL._AC_UL320_.jpg")</f>
        <v>#NAME?</v>
      </c>
      <c r="I2183" t="s">
        <v>715</v>
      </c>
      <c r="J2183">
        <v>18.989999999999998</v>
      </c>
      <c r="K2183" s="4">
        <v>-0.90459999999999996</v>
      </c>
      <c r="L2183">
        <v>4.4000000000000004</v>
      </c>
      <c r="M2183">
        <v>17</v>
      </c>
      <c r="O2183" t="s">
        <v>171</v>
      </c>
      <c r="P2183" t="s">
        <v>4885</v>
      </c>
      <c r="Q2183" t="s">
        <v>4886</v>
      </c>
    </row>
    <row r="2184" spans="1:17" ht="15.5" x14ac:dyDescent="0.35">
      <c r="A2184" s="3" t="str">
        <f>HYPERLINK("https://edmondsonsupply.com/collections/hvac/products/inficon-d-tek-3", "https://edmondsonsupply.com/collections/hvac/products/inficon-d-tek-3")</f>
        <v>https://edmondsonsupply.com/collections/hvac/products/inficon-d-tek-3</v>
      </c>
      <c r="B2184" s="3" t="str">
        <f>HYPERLINK("https://edmondsonsupply.com/products/inficon-d-tek-3", "https://edmondsonsupply.com/products/inficon-d-tek-3")</f>
        <v>https://edmondsonsupply.com/products/inficon-d-tek-3</v>
      </c>
      <c r="C2184" t="s">
        <v>2260</v>
      </c>
      <c r="D2184" t="s">
        <v>5729</v>
      </c>
      <c r="E2184" s="3" t="str">
        <f>HYPERLINK("https://www.amazon.com/712-707-G1-Replacement-Cartridges-Refrigerant-Detector/dp/B0086AO5CU/ref=sr_1_5?keywords=Inficon+D-TEK%C2%AE+3+Refrigerant+Leak+Detector&amp;qid=1695173442&amp;sr=8-5", "https://www.amazon.com/712-707-G1-Replacement-Cartridges-Refrigerant-Detector/dp/B0086AO5CU/ref=sr_1_5?keywords=Inficon+D-TEK%C2%AE+3+Refrigerant+Leak+Detector&amp;qid=1695173442&amp;sr=8-5")</f>
        <v>https://www.amazon.com/712-707-G1-Replacement-Cartridges-Refrigerant-Detector/dp/B0086AO5CU/ref=sr_1_5?keywords=Inficon+D-TEK%C2%AE+3+Refrigerant+Leak+Detector&amp;qid=1695173442&amp;sr=8-5</v>
      </c>
      <c r="F2184" t="s">
        <v>5730</v>
      </c>
      <c r="G2184" t="e">
        <f ca="1">_xludf.IMAGE("https://edmondsonsupply.com/cdn/shop/products/dtek3.png?v=1633030772")</f>
        <v>#NAME?</v>
      </c>
      <c r="H2184" t="e">
        <f ca="1">_xludf.IMAGE("https://m.media-amazon.com/images/I/81rHIWaKwnL._AC_UL320_.jpg")</f>
        <v>#NAME?</v>
      </c>
      <c r="I2184" t="s">
        <v>2263</v>
      </c>
      <c r="J2184">
        <v>31.99</v>
      </c>
      <c r="K2184" s="4">
        <v>-0.93810000000000004</v>
      </c>
      <c r="L2184">
        <v>4.5999999999999996</v>
      </c>
      <c r="M2184">
        <v>28</v>
      </c>
      <c r="O2184" t="s">
        <v>25</v>
      </c>
      <c r="P2184" t="s">
        <v>2264</v>
      </c>
      <c r="Q2184" t="s">
        <v>2265</v>
      </c>
    </row>
    <row r="2185" spans="1:17" ht="15.5" x14ac:dyDescent="0.35">
      <c r="A2185" s="3" t="str">
        <f>HYPERLINK("https://edmondsonsupply.com/collections/hvac/products/inficon-d-tek-3", "https://edmondsonsupply.com/collections/hvac/products/inficon-d-tek-3")</f>
        <v>https://edmondsonsupply.com/collections/hvac/products/inficon-d-tek-3</v>
      </c>
      <c r="B2185" s="3" t="str">
        <f>HYPERLINK("https://edmondsonsupply.com/products/inficon-d-tek-3", "https://edmondsonsupply.com/products/inficon-d-tek-3")</f>
        <v>https://edmondsonsupply.com/products/inficon-d-tek-3</v>
      </c>
      <c r="C2185" t="s">
        <v>2260</v>
      </c>
      <c r="D2185" t="s">
        <v>5731</v>
      </c>
      <c r="E2185" s="3" t="str">
        <f>HYPERLINK("https://www.amazon.com/Elitech-WJL-6000-Detector-Refrigerant-Condition/dp/B015FK1EH2/ref=sr_1_10?keywords=Inficon+D-TEK%C2%AE+3+Refrigerant+Leak+Detector&amp;qid=1695173442&amp;sr=8-10", "https://www.amazon.com/Elitech-WJL-6000-Detector-Refrigerant-Condition/dp/B015FK1EH2/ref=sr_1_10?keywords=Inficon+D-TEK%C2%AE+3+Refrigerant+Leak+Detector&amp;qid=1695173442&amp;sr=8-10")</f>
        <v>https://www.amazon.com/Elitech-WJL-6000-Detector-Refrigerant-Condition/dp/B015FK1EH2/ref=sr_1_10?keywords=Inficon+D-TEK%C2%AE+3+Refrigerant+Leak+Detector&amp;qid=1695173442&amp;sr=8-10</v>
      </c>
      <c r="F2185" t="s">
        <v>5732</v>
      </c>
      <c r="G2185" t="e">
        <f ca="1">_xludf.IMAGE("https://edmondsonsupply.com/cdn/shop/products/dtek3.png?v=1633030772")</f>
        <v>#NAME?</v>
      </c>
      <c r="H2185" t="e">
        <f ca="1">_xludf.IMAGE("https://m.media-amazon.com/images/I/51KVjsgUidL._AC_UL320_.jpg")</f>
        <v>#NAME?</v>
      </c>
      <c r="I2185" t="s">
        <v>2263</v>
      </c>
      <c r="J2185">
        <v>21.99</v>
      </c>
      <c r="K2185" s="4">
        <v>-0.95750000000000002</v>
      </c>
      <c r="L2185">
        <v>4.2</v>
      </c>
      <c r="M2185">
        <v>4605</v>
      </c>
      <c r="O2185" t="s">
        <v>25</v>
      </c>
      <c r="P2185" t="s">
        <v>2264</v>
      </c>
      <c r="Q2185" t="s">
        <v>2265</v>
      </c>
    </row>
    <row r="2186" spans="1:17" ht="15.5" x14ac:dyDescent="0.35">
      <c r="A2186"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2186" s="3" t="str">
        <f>HYPERLINK("https://edmondsonsupply.com/products/bacharach-h-10-pro-refrigerant-leak-detector", "https://edmondsonsupply.com/products/bacharach-h-10-pro-refrigerant-leak-detector")</f>
        <v>https://edmondsonsupply.com/products/bacharach-h-10-pro-refrigerant-leak-detector</v>
      </c>
      <c r="C2186" t="s">
        <v>3179</v>
      </c>
      <c r="D2186" t="s">
        <v>5733</v>
      </c>
      <c r="E2186" s="3" t="str">
        <f>HYPERLINK("https://www.amazon.com/Xetron-Refrigerant-Automotive-Adjustable-Sensitivity/dp/B0BCPWJ9P4/ref=sr_1_8?keywords=Bacharach+H-10+PRO+Refrigerant+Leak+Detector&amp;qid=1695173531&amp;sr=8-8", "https://www.amazon.com/Xetron-Refrigerant-Automotive-Adjustable-Sensitivity/dp/B0BCPWJ9P4/ref=sr_1_8?keywords=Bacharach+H-10+PRO+Refrigerant+Leak+Detector&amp;qid=1695173531&amp;sr=8-8")</f>
        <v>https://www.amazon.com/Xetron-Refrigerant-Automotive-Adjustable-Sensitivity/dp/B0BCPWJ9P4/ref=sr_1_8?keywords=Bacharach+H-10+PRO+Refrigerant+Leak+Detector&amp;qid=1695173531&amp;sr=8-8</v>
      </c>
      <c r="F2186" t="s">
        <v>5734</v>
      </c>
      <c r="G2186" t="e">
        <f ca="1">_xludf.IMAGE("https://edmondsonsupply.com/cdn/shop/products/featured-h-10-pro-refrigerant-leak-detector.jpg?v=1635555994")</f>
        <v>#NAME?</v>
      </c>
      <c r="H2186" t="e">
        <f ca="1">_xludf.IMAGE("https://m.media-amazon.com/images/I/51ZKJK9FPkL._AC_UL320_.jpg")</f>
        <v>#NAME?</v>
      </c>
      <c r="I2186" t="s">
        <v>3180</v>
      </c>
      <c r="J2186">
        <v>25</v>
      </c>
      <c r="K2186" s="4">
        <v>-0.96199999999999997</v>
      </c>
      <c r="L2186">
        <v>4.3</v>
      </c>
      <c r="M2186">
        <v>578</v>
      </c>
      <c r="O2186" t="s">
        <v>25</v>
      </c>
      <c r="P2186" t="s">
        <v>138</v>
      </c>
      <c r="Q2186" t="s">
        <v>3181</v>
      </c>
    </row>
    <row r="2187" spans="1:17" ht="15.5" x14ac:dyDescent="0.35">
      <c r="A2187" s="3" t="str">
        <f>HYPERLINK("https://edmondsonsupply.com/collections/hvac/products/bacharach-h-10-pro-refrigerant-leak-detector", "https://edmondsonsupply.com/collections/hvac/products/bacharach-h-10-pro-refrigerant-leak-detector")</f>
        <v>https://edmondsonsupply.com/collections/hvac/products/bacharach-h-10-pro-refrigerant-leak-detector</v>
      </c>
      <c r="B2187" s="3" t="str">
        <f>HYPERLINK("https://edmondsonsupply.com/products/bacharach-h-10-pro-refrigerant-leak-detector", "https://edmondsonsupply.com/products/bacharach-h-10-pro-refrigerant-leak-detector")</f>
        <v>https://edmondsonsupply.com/products/bacharach-h-10-pro-refrigerant-leak-detector</v>
      </c>
      <c r="C2187" t="s">
        <v>3179</v>
      </c>
      <c r="D2187" t="s">
        <v>5735</v>
      </c>
      <c r="E2187" s="3" t="str">
        <f>HYPERLINK("https://www.amazon.com/Elitech-WJL-6000-Detector-Halogen-Refrigerant/dp/B0BX26TPL6/ref=sr_1_10?keywords=Bacharach+H-10+PRO+Refrigerant+Leak+Detector&amp;qid=1695173531&amp;sr=8-10", "https://www.amazon.com/Elitech-WJL-6000-Detector-Halogen-Refrigerant/dp/B0BX26TPL6/ref=sr_1_10?keywords=Bacharach+H-10+PRO+Refrigerant+Leak+Detector&amp;qid=1695173531&amp;sr=8-10")</f>
        <v>https://www.amazon.com/Elitech-WJL-6000-Detector-Halogen-Refrigerant/dp/B0BX26TPL6/ref=sr_1_10?keywords=Bacharach+H-10+PRO+Refrigerant+Leak+Detector&amp;qid=1695173531&amp;sr=8-10</v>
      </c>
      <c r="F2187" t="s">
        <v>5736</v>
      </c>
      <c r="G2187" t="e">
        <f ca="1">_xludf.IMAGE("https://edmondsonsupply.com/cdn/shop/products/featured-h-10-pro-refrigerant-leak-detector.jpg?v=1635555994")</f>
        <v>#NAME?</v>
      </c>
      <c r="H2187" t="e">
        <f ca="1">_xludf.IMAGE("https://m.media-amazon.com/images/I/61wDq7c8bvL._AC_UL320_.jpg")</f>
        <v>#NAME?</v>
      </c>
      <c r="I2187" t="s">
        <v>3180</v>
      </c>
      <c r="J2187">
        <v>24.99</v>
      </c>
      <c r="K2187" s="4">
        <v>-0.96199999999999997</v>
      </c>
      <c r="L2187">
        <v>4.3</v>
      </c>
      <c r="M2187">
        <v>11</v>
      </c>
      <c r="O2187" t="s">
        <v>25</v>
      </c>
      <c r="P2187" t="s">
        <v>138</v>
      </c>
      <c r="Q2187" t="s">
        <v>3181</v>
      </c>
    </row>
    <row r="2188" spans="1:17" ht="15.5" x14ac:dyDescent="0.35">
      <c r="A2188" s="3" t="str">
        <f>HYPERLINK("https://edmondsonsupply.com/collections/hvac/products/fieldpiece-dr82-infrared-refrigerant-leak-detector", "https://edmondsonsupply.com/collections/hvac/products/fieldpiece-dr82-infrared-refrigerant-leak-detector")</f>
        <v>https://edmondsonsupply.com/collections/hvac/products/fieldpiece-dr82-infrared-refrigerant-leak-detector</v>
      </c>
      <c r="B2188" s="3" t="str">
        <f>HYPERLINK("https://edmondsonsupply.com/products/fieldpiece-dr82-infrared-refrigerant-leak-detector", "https://edmondsonsupply.com/products/fieldpiece-dr82-infrared-refrigerant-leak-detector")</f>
        <v>https://edmondsonsupply.com/products/fieldpiece-dr82-infrared-refrigerant-leak-detector</v>
      </c>
      <c r="C2188" t="s">
        <v>4602</v>
      </c>
      <c r="D2188" t="s">
        <v>5737</v>
      </c>
      <c r="E2188" s="3" t="str">
        <f>HYPERLINK("https://www.amazon.com/Compatible-Fieldpiece-Infrared-Refrigerant-Detectors/dp/B09VFRYYHX/ref=sr_1_2?keywords=Fieldpiece+DR82+Infrared+Refrigerant+Leak+Detector&amp;qid=1695173454&amp;sr=8-2", "https://www.amazon.com/Compatible-Fieldpiece-Infrared-Refrigerant-Detectors/dp/B09VFRYYHX/ref=sr_1_2?keywords=Fieldpiece+DR82+Infrared+Refrigerant+Leak+Detector&amp;qid=1695173454&amp;sr=8-2")</f>
        <v>https://www.amazon.com/Compatible-Fieldpiece-Infrared-Refrigerant-Detectors/dp/B09VFRYYHX/ref=sr_1_2?keywords=Fieldpiece+DR82+Infrared+Refrigerant+Leak+Detector&amp;qid=1695173454&amp;sr=8-2</v>
      </c>
      <c r="F2188" t="s">
        <v>5738</v>
      </c>
      <c r="G2188" t="e">
        <f ca="1">_xludf.IMAGE("https://edmondsonsupply.com/cdn/shop/products/DR82-Product-01-300dpi-scaled.jpg?v=1633031061")</f>
        <v>#NAME?</v>
      </c>
      <c r="H2188" t="e">
        <f ca="1">_xludf.IMAGE("https://m.media-amazon.com/images/I/51zwt7Fkn+L._AC_UL320_.jpg")</f>
        <v>#NAME?</v>
      </c>
      <c r="I2188" t="s">
        <v>4605</v>
      </c>
      <c r="J2188">
        <v>15.38</v>
      </c>
      <c r="K2188" s="4">
        <v>-0.9677</v>
      </c>
      <c r="L2188">
        <v>5</v>
      </c>
      <c r="M2188">
        <v>2</v>
      </c>
      <c r="O2188" t="s">
        <v>25</v>
      </c>
      <c r="P2188" t="s">
        <v>4606</v>
      </c>
      <c r="Q2188" t="s">
        <v>4607</v>
      </c>
    </row>
    <row r="2189" spans="1:17" ht="15.5" x14ac:dyDescent="0.35">
      <c r="A2189" s="3" t="str">
        <f>HYPERLINK("https://edmondsonsupply.com/collections/hvac/products/inficon-d-tek-stratus", "https://edmondsonsupply.com/collections/hvac/products/inficon-d-tek-stratus")</f>
        <v>https://edmondsonsupply.com/collections/hvac/products/inficon-d-tek-stratus</v>
      </c>
      <c r="B2189" s="3" t="str">
        <f>HYPERLINK("https://edmondsonsupply.com/products/inficon-d-tek-stratus", "https://edmondsonsupply.com/products/inficon-d-tek-stratus")</f>
        <v>https://edmondsonsupply.com/products/inficon-d-tek-stratus</v>
      </c>
      <c r="C2189" t="s">
        <v>4811</v>
      </c>
      <c r="D2189" t="s">
        <v>5729</v>
      </c>
      <c r="E2189" s="3" t="str">
        <f>HYPERLINK("https://www.amazon.com/712-707-G1-Replacement-Cartridges-Refrigerant-Detector/dp/B0086AO5CU/ref=sr_1_2?keywords=Inficon+D-TEK+Stratus%C2%AE+Refrigerant+Leak+Detector+and+Portable+Monitor&amp;qid=1695173412&amp;sr=8-2", "https://www.amazon.com/712-707-G1-Replacement-Cartridges-Refrigerant-Detector/dp/B0086AO5CU/ref=sr_1_2?keywords=Inficon+D-TEK+Stratus%C2%AE+Refrigerant+Leak+Detector+and+Portable+Monitor&amp;qid=1695173412&amp;sr=8-2")</f>
        <v>https://www.amazon.com/712-707-G1-Replacement-Cartridges-Refrigerant-Detector/dp/B0086AO5CU/ref=sr_1_2?keywords=Inficon+D-TEK+Stratus%C2%AE+Refrigerant+Leak+Detector+and+Portable+Monitor&amp;qid=1695173412&amp;sr=8-2</v>
      </c>
      <c r="F2189" t="s">
        <v>5730</v>
      </c>
      <c r="G2189" t="e">
        <f ca="1">_xludf.IMAGE("https://edmondsonsupply.com/cdn/shop/products/stratus.png?v=1633030783")</f>
        <v>#NAME?</v>
      </c>
      <c r="H2189" t="e">
        <f ca="1">_xludf.IMAGE("https://m.media-amazon.com/images/I/81rHIWaKwnL._AC_UL320_.jpg")</f>
        <v>#NAME?</v>
      </c>
      <c r="I2189" t="s">
        <v>4812</v>
      </c>
      <c r="J2189">
        <v>31.99</v>
      </c>
      <c r="K2189" s="4">
        <v>-0.96879999999999999</v>
      </c>
      <c r="L2189">
        <v>4.5999999999999996</v>
      </c>
      <c r="M2189">
        <v>28</v>
      </c>
      <c r="O2189" t="s">
        <v>25</v>
      </c>
      <c r="P2189" t="s">
        <v>4813</v>
      </c>
      <c r="Q2189" t="s">
        <v>4814</v>
      </c>
    </row>
    <row r="2190" spans="1:17" ht="15.5" x14ac:dyDescent="0.35">
      <c r="A2190" s="3" t="str">
        <f>HYPERLINK("https://edmondsonsupply.com/collections/hvac/products/fluke-1587-fc-insulation-multimeter", "https://edmondsonsupply.com/collections/hvac/products/fluke-1587-fc-insulation-multimeter")</f>
        <v>https://edmondsonsupply.com/collections/hvac/products/fluke-1587-fc-insulation-multimeter</v>
      </c>
      <c r="B2190" s="3" t="str">
        <f>HYPERLINK("https://edmondsonsupply.com/products/fluke-1587-fc-insulation-multimeter", "https://edmondsonsupply.com/products/fluke-1587-fc-insulation-multimeter")</f>
        <v>https://edmondsonsupply.com/products/fluke-1587-fc-insulation-multimeter</v>
      </c>
      <c r="C2190" t="s">
        <v>4074</v>
      </c>
      <c r="D2190" t="s">
        <v>5739</v>
      </c>
      <c r="E2190" s="3" t="str">
        <f>HYPERLINK("https://www.amazon.com/RLSOCO-Multimeter-Megohmmeter-Insulation-Resistance/dp/B086MC4V89/ref=sr_1_6?keywords=Fluke+1587+FC+Insulation+Multimeter&amp;qid=1695173471&amp;sr=8-6", "https://www.amazon.com/RLSOCO-Multimeter-Megohmmeter-Insulation-Resistance/dp/B086MC4V89/ref=sr_1_6?keywords=Fluke+1587+FC+Insulation+Multimeter&amp;qid=1695173471&amp;sr=8-6")</f>
        <v>https://www.amazon.com/RLSOCO-Multimeter-Megohmmeter-Insulation-Resistance/dp/B086MC4V89/ref=sr_1_6?keywords=Fluke+1587+FC+Insulation+Multimeter&amp;qid=1695173471&amp;sr=8-6</v>
      </c>
      <c r="F2190" t="s">
        <v>5740</v>
      </c>
      <c r="G2190" t="e">
        <f ca="1">_xludf.IMAGE("https://edmondsonsupply.com/cdn/shop/products/Fluke_1587_FC_True-rms_Insulation_Multimeter__1280x1006px_E_NR-20298.jpg?v=1633031188")</f>
        <v>#NAME?</v>
      </c>
      <c r="H2190" t="e">
        <f ca="1">_xludf.IMAGE("https://m.media-amazon.com/images/I/81t3qhimpSL._AC_UL320_.jpg")</f>
        <v>#NAME?</v>
      </c>
      <c r="I2190" t="s">
        <v>4077</v>
      </c>
      <c r="J2190">
        <v>23.99</v>
      </c>
      <c r="K2190" s="4">
        <v>-0.97419999999999995</v>
      </c>
      <c r="L2190">
        <v>4.4000000000000004</v>
      </c>
      <c r="M2190">
        <v>70</v>
      </c>
      <c r="O2190" t="s">
        <v>25</v>
      </c>
      <c r="P2190" t="s">
        <v>4078</v>
      </c>
      <c r="Q2190" t="s">
        <v>4079</v>
      </c>
    </row>
    <row r="2191" spans="1:17" ht="15.5" x14ac:dyDescent="0.35">
      <c r="A2191" s="3" t="str">
        <f>HYPERLINK("https://edmondsonsupply.com/collections/hvac/products/holyoke-1057b-brass-garden-hose-cap", "https://edmondsonsupply.com/collections/hvac/products/holyoke-1057b-brass-garden-hose-cap")</f>
        <v>https://edmondsonsupply.com/collections/hvac/products/holyoke-1057b-brass-garden-hose-cap</v>
      </c>
      <c r="B2191" s="3" t="str">
        <f>HYPERLINK("https://edmondsonsupply.com/products/holyoke-1057b-brass-garden-hose-cap", "https://edmondsonsupply.com/products/holyoke-1057b-brass-garden-hose-cap")</f>
        <v>https://edmondsonsupply.com/products/holyoke-1057b-brass-garden-hose-cap</v>
      </c>
      <c r="C2191" t="s">
        <v>5741</v>
      </c>
      <c r="D2191" t="s">
        <v>5742</v>
      </c>
      <c r="E2191" s="3"/>
      <c r="F2191" t="s">
        <v>5743</v>
      </c>
      <c r="G2191" t="e">
        <f ca="1">_xludf.IMAGE("https://edmondsonsupply.com/cdn/shop/files/1057B.jpg?v=1686081820")</f>
        <v>#NAME?</v>
      </c>
      <c r="H2191" t="e">
        <f ca="1">_xludf.IMAGE("https://m.media-amazon.com/images/I/81Xyj4+YMuL._AC_UL320_.jpg")</f>
        <v>#NAME?</v>
      </c>
      <c r="I2191" t="s">
        <v>5744</v>
      </c>
      <c r="J2191">
        <v>29.99</v>
      </c>
      <c r="K2191" s="4">
        <v>16.851199999999999</v>
      </c>
      <c r="L2191">
        <v>4.0999999999999996</v>
      </c>
      <c r="M2191">
        <v>5</v>
      </c>
      <c r="O2191" t="s">
        <v>25</v>
      </c>
      <c r="P2191" t="s">
        <v>5745</v>
      </c>
      <c r="Q2191" t="s">
        <v>5746</v>
      </c>
    </row>
    <row r="2192" spans="1:17" ht="15.5" x14ac:dyDescent="0.35">
      <c r="A2192" s="3" t="str">
        <f>HYPERLINK("https://edmondsonsupply.com/collections/hvac/products/holyoke-fittings-41fp-4-1-4-forged-flare-nut", "https://edmondsonsupply.com/collections/hvac/products/holyoke-fittings-41fp-4-1-4-forged-flare-nut")</f>
        <v>https://edmondsonsupply.com/collections/hvac/products/holyoke-fittings-41fp-4-1-4-forged-flare-nut</v>
      </c>
      <c r="B2192" s="3" t="str">
        <f>HYPERLINK("https://edmondsonsupply.com/products/holyoke-fittings-41fp-4-1-4-forged-flare-nut", "https://edmondsonsupply.com/products/holyoke-fittings-41fp-4-1-4-forged-flare-nut")</f>
        <v>https://edmondsonsupply.com/products/holyoke-fittings-41fp-4-1-4-forged-flare-nut</v>
      </c>
      <c r="C2192" t="s">
        <v>5747</v>
      </c>
      <c r="D2192" t="s">
        <v>1611</v>
      </c>
      <c r="E2192" s="3" t="str">
        <f>HYPERLINK("https://www.amazon.com/Highcraft-G41GT-14-10-Forged-Fittings-Connection/dp/B09JTTYXCY/ref=sr_1_2?keywords=Holyoke+Fittings+41FP-4+1%2F4%22+Forged+Flare+Nut&amp;qid=1695173773&amp;sr=8-2", "https://www.amazon.com/Highcraft-G41GT-14-10-Forged-Fittings-Connection/dp/B09JTTYXCY/ref=sr_1_2?keywords=Holyoke+Fittings+41FP-4+1%2F4%22+Forged+Flare+Nut&amp;qid=1695173773&amp;sr=8-2")</f>
        <v>https://www.amazon.com/Highcraft-G41GT-14-10-Forged-Fittings-Connection/dp/B09JTTYXCY/ref=sr_1_2?keywords=Holyoke+Fittings+41FP-4+1%2F4%22+Forged+Flare+Nut&amp;qid=1695173773&amp;sr=8-2</v>
      </c>
      <c r="F2192" t="s">
        <v>1612</v>
      </c>
      <c r="G2192" t="e">
        <f ca="1">_xludf.IMAGE("https://edmondsonsupply.com/cdn/shop/files/41FP.jpg?v=1686586951")</f>
        <v>#NAME?</v>
      </c>
      <c r="H2192" t="e">
        <f ca="1">_xludf.IMAGE("https://m.media-amazon.com/images/I/71wOkzziXwL._AC_UY218_.jpg")</f>
        <v>#NAME?</v>
      </c>
      <c r="I2192" t="s">
        <v>5748</v>
      </c>
      <c r="J2192">
        <v>14.32</v>
      </c>
      <c r="K2192" s="4">
        <v>10.456</v>
      </c>
      <c r="L2192">
        <v>5</v>
      </c>
      <c r="M2192">
        <v>3</v>
      </c>
      <c r="O2192" t="s">
        <v>25</v>
      </c>
      <c r="P2192" t="s">
        <v>5749</v>
      </c>
      <c r="Q2192" t="s">
        <v>5750</v>
      </c>
    </row>
    <row r="2193" spans="1:17" ht="15.5" x14ac:dyDescent="0.35">
      <c r="A2193" s="3" t="str">
        <f>HYPERLINK("https://edmondsonsupply.com/collections/hvac/products/kroil-ks102-original-penetrant-aerosol-10oz-can", "https://edmondsonsupply.com/collections/hvac/products/kroil-ks102-original-penetrant-aerosol-10oz-can")</f>
        <v>https://edmondsonsupply.com/collections/hvac/products/kroil-ks102-original-penetrant-aerosol-10oz-can</v>
      </c>
      <c r="B2193" s="3" t="str">
        <f>HYPERLINK("https://edmondsonsupply.com/products/kroil-ks102-original-penetrant-aerosol-10oz-can", "https://edmondsonsupply.com/products/kroil-ks102-original-penetrant-aerosol-10oz-can")</f>
        <v>https://edmondsonsupply.com/products/kroil-ks102-original-penetrant-aerosol-10oz-can</v>
      </c>
      <c r="C2193" t="s">
        <v>5751</v>
      </c>
      <c r="D2193" t="s">
        <v>5752</v>
      </c>
      <c r="E2193" s="3" t="str">
        <f>HYPERLINK("https://www.amazon.com/Kroil-Penetrating-Aerokroil-16-5-Aerosol/dp/B08ZM6LQV6/ref=sr_1_10?keywords=Kroil+KS102+Original+Penetrant+Aerosol+10oz+can&amp;qid=1695173773&amp;sr=8-10", "https://www.amazon.com/Kroil-Penetrating-Aerokroil-16-5-Aerosol/dp/B08ZM6LQV6/ref=sr_1_10?keywords=Kroil+KS102+Original+Penetrant+Aerosol+10oz+can&amp;qid=1695173773&amp;sr=8-10")</f>
        <v>https://www.amazon.com/Kroil-Penetrating-Aerokroil-16-5-Aerosol/dp/B08ZM6LQV6/ref=sr_1_10?keywords=Kroil+KS102+Original+Penetrant+Aerosol+10oz+can&amp;qid=1695173773&amp;sr=8-10</v>
      </c>
      <c r="F2193" t="s">
        <v>5753</v>
      </c>
      <c r="G2193" t="e">
        <f ca="1">_xludf.IMAGE("https://edmondsonsupply.com/cdn/shop/files/KS102.webp?v=1686779653")</f>
        <v>#NAME?</v>
      </c>
      <c r="H2193" t="e">
        <f ca="1">_xludf.IMAGE("https://m.media-amazon.com/images/I/6177CLeKRaL._AC_UY218_.jpg")</f>
        <v>#NAME?</v>
      </c>
      <c r="I2193" t="s">
        <v>3867</v>
      </c>
      <c r="J2193">
        <v>199.99</v>
      </c>
      <c r="K2193" s="4">
        <v>9.0094999999999992</v>
      </c>
      <c r="L2193">
        <v>5</v>
      </c>
      <c r="M2193">
        <v>2</v>
      </c>
      <c r="O2193" t="s">
        <v>25</v>
      </c>
      <c r="P2193" t="s">
        <v>5754</v>
      </c>
      <c r="Q2193" t="s">
        <v>5755</v>
      </c>
    </row>
    <row r="2194" spans="1:17" ht="15.5" x14ac:dyDescent="0.35">
      <c r="A2194" s="3" t="str">
        <f>HYPERLINK("https://edmondsonsupply.com/collections/hvac/products/holyoke-1051-12mpmh-3-4-male-pipe-thread-male-garden-hose-to-male-pipe-adapter", "https://edmondsonsupply.com/collections/hvac/products/holyoke-1051-12mpmh-3-4-male-pipe-thread-male-garden-hose-to-male-pipe-adapter")</f>
        <v>https://edmondsonsupply.com/collections/hvac/products/holyoke-1051-12mpmh-3-4-male-pipe-thread-male-garden-hose-to-male-pipe-adapter</v>
      </c>
      <c r="B2194" s="3" t="str">
        <f>HYPERLINK("https://edmondsonsupply.com/products/holyoke-1051-12mpmh-3-4-male-pipe-thread-male-garden-hose-to-male-pipe-adapter", "https://edmondsonsupply.com/products/holyoke-1051-12mpmh-3-4-male-pipe-thread-male-garden-hose-to-male-pipe-adapter")</f>
        <v>https://edmondsonsupply.com/products/holyoke-1051-12mpmh-3-4-male-pipe-thread-male-garden-hose-to-male-pipe-adapter</v>
      </c>
      <c r="C2194" t="s">
        <v>5756</v>
      </c>
      <c r="D2194" t="s">
        <v>5757</v>
      </c>
      <c r="E2194" s="3" t="str">
        <f>HYPERLINK("https://www.amazon.com/STYDDI-Connector-Convert-Adapter-Fitting/dp/B09336JH6L/ref=sr_1_1?keywords=Holyoke+Fittings+1051-12MPMH+3%2F4%22+Male+Pipe+Thread+to+Male+Garden+Hose+Adapter&amp;qid=1695173782&amp;sr=8-1", "https://www.amazon.com/STYDDI-Connector-Convert-Adapter-Fitting/dp/B09336JH6L/ref=sr_1_1?keywords=Holyoke+Fittings+1051-12MPMH+3%2F4%22+Male+Pipe+Thread+to+Male+Garden+Hose+Adapter&amp;qid=1695173782&amp;sr=8-1")</f>
        <v>https://www.amazon.com/STYDDI-Connector-Convert-Adapter-Fitting/dp/B09336JH6L/ref=sr_1_1?keywords=Holyoke+Fittings+1051-12MPMH+3%2F4%22+Male+Pipe+Thread+to+Male+Garden+Hose+Adapter&amp;qid=1695173782&amp;sr=8-1</v>
      </c>
      <c r="F2194" t="s">
        <v>5758</v>
      </c>
      <c r="G2194" t="e">
        <f ca="1">_xludf.IMAGE("https://edmondsonsupply.com/cdn/shop/files/1051-12MPMH.jpg?v=1686082879")</f>
        <v>#NAME?</v>
      </c>
      <c r="H2194" t="e">
        <f ca="1">_xludf.IMAGE("https://m.media-amazon.com/images/I/71T63vY2R8S._AC_UY218_.jpg")</f>
        <v>#NAME?</v>
      </c>
      <c r="I2194" t="s">
        <v>5759</v>
      </c>
      <c r="J2194">
        <v>14.99</v>
      </c>
      <c r="K2194" s="4">
        <v>4.3727999999999998</v>
      </c>
      <c r="L2194">
        <v>4.7</v>
      </c>
      <c r="M2194">
        <v>307</v>
      </c>
      <c r="O2194" t="s">
        <v>25</v>
      </c>
      <c r="P2194" t="s">
        <v>5760</v>
      </c>
      <c r="Q2194" t="s">
        <v>5761</v>
      </c>
    </row>
    <row r="2195" spans="1:17" ht="15.5" x14ac:dyDescent="0.35">
      <c r="A2195" s="3" t="str">
        <f>HYPERLINK("https://edmondsonsupply.com/collections/hvac/products/kroil-ks102-original-penetrant-aerosol-10oz-can", "https://edmondsonsupply.com/collections/hvac/products/kroil-ks102-original-penetrant-aerosol-10oz-can")</f>
        <v>https://edmondsonsupply.com/collections/hvac/products/kroil-ks102-original-penetrant-aerosol-10oz-can</v>
      </c>
      <c r="B2195" s="3" t="str">
        <f>HYPERLINK("https://edmondsonsupply.com/products/kroil-ks102-original-penetrant-aerosol-10oz-can", "https://edmondsonsupply.com/products/kroil-ks102-original-penetrant-aerosol-10oz-can")</f>
        <v>https://edmondsonsupply.com/products/kroil-ks102-original-penetrant-aerosol-10oz-can</v>
      </c>
      <c r="C2195" t="s">
        <v>5751</v>
      </c>
      <c r="D2195" t="s">
        <v>1672</v>
      </c>
      <c r="E2195" s="3" t="str">
        <f>HYPERLINK("https://www.amazon.com/Penetrating-Spray-10oz-Penetrant-Lubricant-AZSK102C4/dp/B08ZM6ND3L/ref=sr_1_8?keywords=Kroil+KS102+Original+Penetrant+Aerosol+10oz+can&amp;qid=1695173773&amp;sr=8-8", "https://www.amazon.com/Penetrating-Spray-10oz-Penetrant-Lubricant-AZSK102C4/dp/B08ZM6ND3L/ref=sr_1_8?keywords=Kroil+KS102+Original+Penetrant+Aerosol+10oz+can&amp;qid=1695173773&amp;sr=8-8")</f>
        <v>https://www.amazon.com/Penetrating-Spray-10oz-Penetrant-Lubricant-AZSK102C4/dp/B08ZM6ND3L/ref=sr_1_8?keywords=Kroil+KS102+Original+Penetrant+Aerosol+10oz+can&amp;qid=1695173773&amp;sr=8-8</v>
      </c>
      <c r="F2195" t="s">
        <v>1673</v>
      </c>
      <c r="G2195" t="e">
        <f ca="1">_xludf.IMAGE("https://edmondsonsupply.com/cdn/shop/files/KS102.webp?v=1686779653")</f>
        <v>#NAME?</v>
      </c>
      <c r="H2195" t="e">
        <f ca="1">_xludf.IMAGE("https://m.media-amazon.com/images/I/71MJwRmkqzS._AC_UY218_.jpg")</f>
        <v>#NAME?</v>
      </c>
      <c r="I2195" t="s">
        <v>3867</v>
      </c>
      <c r="J2195">
        <v>99.99</v>
      </c>
      <c r="K2195" s="4">
        <v>4.0045000000000002</v>
      </c>
      <c r="L2195">
        <v>4.5</v>
      </c>
      <c r="M2195">
        <v>16</v>
      </c>
      <c r="O2195" t="s">
        <v>25</v>
      </c>
      <c r="P2195" t="s">
        <v>5754</v>
      </c>
      <c r="Q2195" t="s">
        <v>5755</v>
      </c>
    </row>
    <row r="2196" spans="1:17" ht="15.5" x14ac:dyDescent="0.35">
      <c r="A2196" s="3" t="str">
        <f>HYPERLINK("https://edmondsonsupply.com/collections/hvac/products/kroil-ks162-original-penetrant-aerosol-16oz-can", "https://edmondsonsupply.com/collections/hvac/products/kroil-ks162-original-penetrant-aerosol-16oz-can")</f>
        <v>https://edmondsonsupply.com/collections/hvac/products/kroil-ks162-original-penetrant-aerosol-16oz-can</v>
      </c>
      <c r="B2196" s="3" t="str">
        <f>HYPERLINK("https://edmondsonsupply.com/products/kroil-ks162-original-penetrant-aerosol-16oz-can", "https://edmondsonsupply.com/products/kroil-ks162-original-penetrant-aerosol-16oz-can")</f>
        <v>https://edmondsonsupply.com/products/kroil-ks162-original-penetrant-aerosol-16oz-can</v>
      </c>
      <c r="C2196" t="s">
        <v>5762</v>
      </c>
      <c r="D2196" t="s">
        <v>5763</v>
      </c>
      <c r="E2196" s="3" t="str">
        <f>HYPERLINK("https://www.amazon.com/Kroil-Penetrating-Aerokroil-16-5-Aerosol/dp/B08ZM7TTGC/ref=sr_1_9?keywords=Kroil+KS162+Original+Penetrant+Aerosol+16.5oz+can&amp;qid=1695173803&amp;sr=8-9", "https://www.amazon.com/Kroil-Penetrating-Aerokroil-16-5-Aerosol/dp/B08ZM7TTGC/ref=sr_1_9?keywords=Kroil+KS162+Original+Penetrant+Aerosol+16.5oz+can&amp;qid=1695173803&amp;sr=8-9")</f>
        <v>https://www.amazon.com/Kroil-Penetrating-Aerokroil-16-5-Aerosol/dp/B08ZM7TTGC/ref=sr_1_9?keywords=Kroil+KS162+Original+Penetrant+Aerosol+16.5oz+can&amp;qid=1695173803&amp;sr=8-9</v>
      </c>
      <c r="F2196" t="s">
        <v>5764</v>
      </c>
      <c r="G2196" t="e">
        <f ca="1">_xludf.IMAGE("https://edmondsonsupply.com/cdn/shop/files/KS162.webp?v=1686779895")</f>
        <v>#NAME?</v>
      </c>
      <c r="H2196" t="e">
        <f ca="1">_xludf.IMAGE("https://m.media-amazon.com/images/I/71qQPtiwIDL._AC_UY218_.jpg")</f>
        <v>#NAME?</v>
      </c>
      <c r="I2196" t="s">
        <v>5765</v>
      </c>
      <c r="J2196">
        <v>129.99</v>
      </c>
      <c r="K2196" s="4">
        <v>3.6608000000000001</v>
      </c>
      <c r="L2196">
        <v>5</v>
      </c>
      <c r="M2196">
        <v>30</v>
      </c>
      <c r="O2196" t="s">
        <v>25</v>
      </c>
      <c r="P2196" t="s">
        <v>4475</v>
      </c>
      <c r="Q2196" t="s">
        <v>5766</v>
      </c>
    </row>
    <row r="2197" spans="1:17" ht="15.5" x14ac:dyDescent="0.35">
      <c r="A2197" s="3" t="str">
        <f>HYPERLINK("https://edmondsonsupply.com/collections/hvac/products/holyoke-1051-12mpmh-3-4-male-pipe-thread-male-garden-hose-to-male-pipe-adapter", "https://edmondsonsupply.com/collections/hvac/products/holyoke-1051-12mpmh-3-4-male-pipe-thread-male-garden-hose-to-male-pipe-adapter")</f>
        <v>https://edmondsonsupply.com/collections/hvac/products/holyoke-1051-12mpmh-3-4-male-pipe-thread-male-garden-hose-to-male-pipe-adapter</v>
      </c>
      <c r="B2197" s="3" t="str">
        <f>HYPERLINK("https://edmondsonsupply.com/products/holyoke-1051-12mpmh-3-4-male-pipe-thread-male-garden-hose-to-male-pipe-adapter", "https://edmondsonsupply.com/products/holyoke-1051-12mpmh-3-4-male-pipe-thread-male-garden-hose-to-male-pipe-adapter")</f>
        <v>https://edmondsonsupply.com/products/holyoke-1051-12mpmh-3-4-male-pipe-thread-male-garden-hose-to-male-pipe-adapter</v>
      </c>
      <c r="C2197" t="s">
        <v>5756</v>
      </c>
      <c r="D2197" t="s">
        <v>5767</v>
      </c>
      <c r="E2197" s="3" t="str">
        <f>HYPERLINK("https://www.amazon.com/JOEJET-Garden-Connector-Adapters-Fittings/dp/B09NJHPXL8/ref=sr_1_6?keywords=Holyoke+Fittings+1051-12MPMH+3%2F4%22+Male+Pipe+Thread+to+Male+Garden+Hose+Adapter&amp;qid=1695173782&amp;sr=8-6", "https://www.amazon.com/JOEJET-Garden-Connector-Adapters-Fittings/dp/B09NJHPXL8/ref=sr_1_6?keywords=Holyoke+Fittings+1051-12MPMH+3%2F4%22+Male+Pipe+Thread+to+Male+Garden+Hose+Adapter&amp;qid=1695173782&amp;sr=8-6")</f>
        <v>https://www.amazon.com/JOEJET-Garden-Connector-Adapters-Fittings/dp/B09NJHPXL8/ref=sr_1_6?keywords=Holyoke+Fittings+1051-12MPMH+3%2F4%22+Male+Pipe+Thread+to+Male+Garden+Hose+Adapter&amp;qid=1695173782&amp;sr=8-6</v>
      </c>
      <c r="F2197" t="s">
        <v>5768</v>
      </c>
      <c r="G2197" t="e">
        <f ca="1">_xludf.IMAGE("https://edmondsonsupply.com/cdn/shop/files/1051-12MPMH.jpg?v=1686082879")</f>
        <v>#NAME?</v>
      </c>
      <c r="H2197" t="e">
        <f ca="1">_xludf.IMAGE("https://m.media-amazon.com/images/I/81LqnebhZyL._AC_UY218_.jpg")</f>
        <v>#NAME?</v>
      </c>
      <c r="I2197" t="s">
        <v>5759</v>
      </c>
      <c r="J2197">
        <v>12.99</v>
      </c>
      <c r="K2197" s="4">
        <v>3.6558999999999999</v>
      </c>
      <c r="L2197">
        <v>4.5999999999999996</v>
      </c>
      <c r="M2197">
        <v>176</v>
      </c>
      <c r="O2197" t="s">
        <v>25</v>
      </c>
      <c r="P2197" t="s">
        <v>5760</v>
      </c>
      <c r="Q2197" t="s">
        <v>5761</v>
      </c>
    </row>
    <row r="2198" spans="1:17" ht="15.5" x14ac:dyDescent="0.35">
      <c r="A2198"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198"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198" t="s">
        <v>5769</v>
      </c>
      <c r="D2198" t="s">
        <v>5770</v>
      </c>
      <c r="E2198" s="3" t="str">
        <f>HYPERLINK("https://www.amazon.com/Hooshing-Garden-Swivel-Adapter-Connector/dp/B09H2DXSMD/ref=sr_1_10?keywords=Holyoke+Fittings+1055-FHFH+3%2F4%22+Garden+Hose+Thread+Fitting+-+Brass+Female+Garden+Hose+to+Hose+Swivel+Adapter&amp;qid=1695173784&amp;sr=8-10", "https://www.amazon.com/Hooshing-Garden-Swivel-Adapter-Connector/dp/B09H2DXSMD/ref=sr_1_10?keywords=Holyoke+Fittings+1055-FHFH+3%2F4%22+Garden+Hose+Thread+Fitting+-+Brass+Female+Garden+Hose+to+Hose+Swivel+Adapter&amp;qid=1695173784&amp;sr=8-10")</f>
        <v>https://www.amazon.com/Hooshing-Garden-Swivel-Adapter-Connector/dp/B09H2DXSMD/ref=sr_1_10?keywords=Holyoke+Fittings+1055-FHFH+3%2F4%22+Garden+Hose+Thread+Fitting+-+Brass+Female+Garden+Hose+to+Hose+Swivel+Adapter&amp;qid=1695173784&amp;sr=8-10</v>
      </c>
      <c r="F2198" t="s">
        <v>5771</v>
      </c>
      <c r="G2198" t="e">
        <f ca="1">_xludf.IMAGE("https://edmondsonsupply.com/cdn/shop/files/1055-FHFH.jpg?v=1686083814")</f>
        <v>#NAME?</v>
      </c>
      <c r="H2198" t="e">
        <f ca="1">_xludf.IMAGE("https://m.media-amazon.com/images/I/51KU+phUSIL._AC_UL320_.jpg")</f>
        <v>#NAME?</v>
      </c>
      <c r="I2198" t="s">
        <v>1492</v>
      </c>
      <c r="J2198">
        <v>13.99</v>
      </c>
      <c r="K2198" s="4">
        <v>2.8969</v>
      </c>
      <c r="L2198">
        <v>4.3</v>
      </c>
      <c r="M2198">
        <v>115</v>
      </c>
      <c r="O2198" t="s">
        <v>25</v>
      </c>
      <c r="P2198" t="s">
        <v>5772</v>
      </c>
      <c r="Q2198" t="s">
        <v>5773</v>
      </c>
    </row>
    <row r="2199" spans="1:17" ht="15.5" x14ac:dyDescent="0.35">
      <c r="A2199" s="3" t="str">
        <f>HYPERLINK("https://edmondsonsupply.com/collections/hvac/products/kroil-ks162-original-penetrant-aerosol-16oz-can", "https://edmondsonsupply.com/collections/hvac/products/kroil-ks162-original-penetrant-aerosol-16oz-can")</f>
        <v>https://edmondsonsupply.com/collections/hvac/products/kroil-ks162-original-penetrant-aerosol-16oz-can</v>
      </c>
      <c r="B2199" s="3" t="str">
        <f>HYPERLINK("https://edmondsonsupply.com/products/kroil-ks162-original-penetrant-aerosol-16oz-can", "https://edmondsonsupply.com/products/kroil-ks162-original-penetrant-aerosol-16oz-can")</f>
        <v>https://edmondsonsupply.com/products/kroil-ks162-original-penetrant-aerosol-16oz-can</v>
      </c>
      <c r="C2199" t="s">
        <v>5762</v>
      </c>
      <c r="D2199" t="s">
        <v>1665</v>
      </c>
      <c r="E2199" s="3" t="str">
        <f>HYPERLINK("https://www.amazon.com/Penetrating-Spray-13oz-Penetrant-Corrosion-AZKS132C4/dp/B08ZM7198N/ref=sr_1_8?keywords=Kroil+KS162+Original+Penetrant+Aerosol+16.5oz+can&amp;qid=1695173803&amp;sr=8-8", "https://www.amazon.com/Penetrating-Spray-13oz-Penetrant-Corrosion-AZKS132C4/dp/B08ZM7198N/ref=sr_1_8?keywords=Kroil+KS162+Original+Penetrant+Aerosol+16.5oz+can&amp;qid=1695173803&amp;sr=8-8")</f>
        <v>https://www.amazon.com/Penetrating-Spray-13oz-Penetrant-Corrosion-AZKS132C4/dp/B08ZM7198N/ref=sr_1_8?keywords=Kroil+KS162+Original+Penetrant+Aerosol+16.5oz+can&amp;qid=1695173803&amp;sr=8-8</v>
      </c>
      <c r="F2199" t="s">
        <v>1666</v>
      </c>
      <c r="G2199" t="e">
        <f ca="1">_xludf.IMAGE("https://edmondsonsupply.com/cdn/shop/files/KS162.webp?v=1686779895")</f>
        <v>#NAME?</v>
      </c>
      <c r="H2199" t="e">
        <f ca="1">_xludf.IMAGE("https://m.media-amazon.com/images/I/61LjyRT-EEL._AC_UY218_.jpg")</f>
        <v>#NAME?</v>
      </c>
      <c r="I2199" t="s">
        <v>5765</v>
      </c>
      <c r="J2199">
        <v>105.99</v>
      </c>
      <c r="K2199" s="4">
        <v>2.8003</v>
      </c>
      <c r="L2199">
        <v>4.8</v>
      </c>
      <c r="M2199">
        <v>24</v>
      </c>
      <c r="O2199" t="s">
        <v>25</v>
      </c>
      <c r="P2199" t="s">
        <v>4475</v>
      </c>
      <c r="Q2199" t="s">
        <v>5766</v>
      </c>
    </row>
    <row r="2200" spans="1:17" ht="15.5" x14ac:dyDescent="0.35">
      <c r="A2200" s="3" t="str">
        <f>HYPERLINK("https://edmondsonsupply.com/collections/hvac/products/kroil-fl132-floway-degreaser-aerosol-13oz-can", "https://edmondsonsupply.com/collections/hvac/products/kroil-fl132-floway-degreaser-aerosol-13oz-can")</f>
        <v>https://edmondsonsupply.com/collections/hvac/products/kroil-fl132-floway-degreaser-aerosol-13oz-can</v>
      </c>
      <c r="B2200" s="3" t="str">
        <f>HYPERLINK("https://edmondsonsupply.com/products/kroil-fl132-floway-degreaser-aerosol-13oz-can", "https://edmondsonsupply.com/products/kroil-fl132-floway-degreaser-aerosol-13oz-can")</f>
        <v>https://edmondsonsupply.com/products/kroil-fl132-floway-degreaser-aerosol-13oz-can</v>
      </c>
      <c r="C2200" t="s">
        <v>5774</v>
      </c>
      <c r="D2200" t="s">
        <v>5775</v>
      </c>
      <c r="E2200" s="3" t="str">
        <f>HYPERLINK("https://www.amazon.com/Floway-Aerosol-13oz-Amazon-Case/dp/B0B31ZHRHN/ref=sr_1_2?keywords=Kroil+FL132+Floway+Degreaser+Aerosol+13oz+can&amp;qid=1695173774&amp;sr=8-2", "https://www.amazon.com/Floway-Aerosol-13oz-Amazon-Case/dp/B0B31ZHRHN/ref=sr_1_2?keywords=Kroil+FL132+Floway+Degreaser+Aerosol+13oz+can&amp;qid=1695173774&amp;sr=8-2")</f>
        <v>https://www.amazon.com/Floway-Aerosol-13oz-Amazon-Case/dp/B0B31ZHRHN/ref=sr_1_2?keywords=Kroil+FL132+Floway+Degreaser+Aerosol+13oz+can&amp;qid=1695173774&amp;sr=8-2</v>
      </c>
      <c r="F2200" t="s">
        <v>5776</v>
      </c>
      <c r="G2200" t="e">
        <f ca="1">_xludf.IMAGE("https://edmondsonsupply.com/cdn/shop/files/bottle-floway-13-313x800_png.webp?v=1686782369")</f>
        <v>#NAME?</v>
      </c>
      <c r="H2200" t="e">
        <f ca="1">_xludf.IMAGE("https://m.media-amazon.com/images/I/611KOI22HdL._AC_UY218_.jpg")</f>
        <v>#NAME?</v>
      </c>
      <c r="I2200" t="s">
        <v>5777</v>
      </c>
      <c r="J2200">
        <v>79.989999999999995</v>
      </c>
      <c r="K2200" s="4">
        <v>2.7290999999999999</v>
      </c>
      <c r="L2200">
        <v>5</v>
      </c>
      <c r="M2200">
        <v>1</v>
      </c>
      <c r="O2200" t="s">
        <v>25</v>
      </c>
      <c r="P2200" t="s">
        <v>5778</v>
      </c>
      <c r="Q2200" t="s">
        <v>5779</v>
      </c>
    </row>
    <row r="2201" spans="1:17" ht="15.5" x14ac:dyDescent="0.35">
      <c r="A2201" s="3" t="str">
        <f>HYPERLINK("https://edmondsonsupply.com/collections/hvac/products/kroil-ex161-exrust-rust-remover-16oz-bottle", "https://edmondsonsupply.com/collections/hvac/products/kroil-ex161-exrust-rust-remover-16oz-bottle")</f>
        <v>https://edmondsonsupply.com/collections/hvac/products/kroil-ex161-exrust-rust-remover-16oz-bottle</v>
      </c>
      <c r="B2201" s="3" t="str">
        <f>HYPERLINK("https://edmondsonsupply.com/products/kroil-ex161-exrust-rust-remover-16oz-bottle", "https://edmondsonsupply.com/products/kroil-ex161-exrust-rust-remover-16oz-bottle")</f>
        <v>https://edmondsonsupply.com/products/kroil-ex161-exrust-rust-remover-16oz-bottle</v>
      </c>
      <c r="C2201" t="s">
        <v>5780</v>
      </c>
      <c r="D2201" t="s">
        <v>5781</v>
      </c>
      <c r="E2201" s="3" t="str">
        <f>HYPERLINK("https://www.amazon.com/KROIL-PENETRANT-Silicone-DEGREASER-Treatment/dp/B0BVLLZ81M/ref=sr_1_2?keywords=kroil+ex161+exhaust+rust+remover+16+oz+bottle&amp;qid=1695173773&amp;sr=8-2", "https://www.amazon.com/KROIL-PENETRANT-Silicone-DEGREASER-Treatment/dp/B0BVLLZ81M/ref=sr_1_2?keywords=kroil+ex161+exhaust+rust+remover+16+oz+bottle&amp;qid=1695173773&amp;sr=8-2")</f>
        <v>https://www.amazon.com/KROIL-PENETRANT-Silicone-DEGREASER-Treatment/dp/B0BVLLZ81M/ref=sr_1_2?keywords=kroil+ex161+exhaust+rust+remover+16+oz+bottle&amp;qid=1695173773&amp;sr=8-2</v>
      </c>
      <c r="F2201" t="s">
        <v>5782</v>
      </c>
      <c r="G2201" t="e">
        <f ca="1">_xludf.IMAGE("https://edmondsonsupply.com/cdn/shop/files/EX161.webp?v=1686782019")</f>
        <v>#NAME?</v>
      </c>
      <c r="H2201" t="e">
        <f ca="1">_xludf.IMAGE("https://m.media-amazon.com/images/I/61Vau-jNJtL._AC_UL320_.jpg")</f>
        <v>#NAME?</v>
      </c>
      <c r="I2201" t="s">
        <v>5783</v>
      </c>
      <c r="J2201">
        <v>119.99</v>
      </c>
      <c r="K2201" s="4">
        <v>2.3302999999999998</v>
      </c>
      <c r="L2201">
        <v>5</v>
      </c>
      <c r="M2201">
        <v>1</v>
      </c>
      <c r="O2201" t="s">
        <v>25</v>
      </c>
      <c r="P2201" t="s">
        <v>138</v>
      </c>
      <c r="Q2201" t="s">
        <v>5784</v>
      </c>
    </row>
    <row r="2202" spans="1:17" ht="15.5" x14ac:dyDescent="0.35">
      <c r="A2202"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202"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202" t="s">
        <v>5769</v>
      </c>
      <c r="D2202" t="s">
        <v>5785</v>
      </c>
      <c r="E2202" s="3" t="str">
        <f>HYPERLINK("https://www.amazon.com/Minimprover-Swivel-Connector-Adapter-Fitting/dp/B08ML1MZNC/ref=sr_1_8?keywords=Holyoke+Fittings+1055-FHFH+3%2F4%22+Garden+Hose+Thread+Fitting+-+Brass+Female+Garden+Hose+to+Hose+Swivel+Adapter&amp;qid=1695173784&amp;sr=8-8", "https://www.amazon.com/Minimprover-Swivel-Connector-Adapter-Fitting/dp/B08ML1MZNC/ref=sr_1_8?keywords=Holyoke+Fittings+1055-FHFH+3%2F4%22+Garden+Hose+Thread+Fitting+-+Brass+Female+Garden+Hose+to+Hose+Swivel+Adapter&amp;qid=1695173784&amp;sr=8-8")</f>
        <v>https://www.amazon.com/Minimprover-Swivel-Connector-Adapter-Fitting/dp/B08ML1MZNC/ref=sr_1_8?keywords=Holyoke+Fittings+1055-FHFH+3%2F4%22+Garden+Hose+Thread+Fitting+-+Brass+Female+Garden+Hose+to+Hose+Swivel+Adapter&amp;qid=1695173784&amp;sr=8-8</v>
      </c>
      <c r="F2202" t="s">
        <v>5786</v>
      </c>
      <c r="G2202" t="e">
        <f ca="1">_xludf.IMAGE("https://edmondsonsupply.com/cdn/shop/files/1055-FHFH.jpg?v=1686083814")</f>
        <v>#NAME?</v>
      </c>
      <c r="H2202" t="e">
        <f ca="1">_xludf.IMAGE("https://m.media-amazon.com/images/I/612jDEqxCNL._AC_UL320_.jpg")</f>
        <v>#NAME?</v>
      </c>
      <c r="I2202" t="s">
        <v>1492</v>
      </c>
      <c r="J2202">
        <v>10.99</v>
      </c>
      <c r="K2202" s="4">
        <v>2.0613000000000001</v>
      </c>
      <c r="L2202">
        <v>4.7</v>
      </c>
      <c r="M2202">
        <v>265</v>
      </c>
      <c r="O2202" t="s">
        <v>25</v>
      </c>
      <c r="P2202" t="s">
        <v>5772</v>
      </c>
      <c r="Q2202" t="s">
        <v>5773</v>
      </c>
    </row>
    <row r="2203" spans="1:17" ht="15.5" x14ac:dyDescent="0.35">
      <c r="A2203"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203"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203" t="s">
        <v>5769</v>
      </c>
      <c r="D2203" t="s">
        <v>5787</v>
      </c>
      <c r="E2203" s="3" t="str">
        <f>HYPERLINK("https://www.amazon.com/Litorange-Lead-Free-Connector-Adapter-Extension/dp/B09QFJYGNS/ref=sr_1_6?keywords=Holyoke+Fittings+1055-FHFH+3%2F4%22+Garden+Hose+Thread+Fitting+-+Brass+Female+Garden+Hose+to+Hose+Swivel+Adapter&amp;qid=1695173784&amp;sr=8-6", "https://www.amazon.com/Litorange-Lead-Free-Connector-Adapter-Extension/dp/B09QFJYGNS/ref=sr_1_6?keywords=Holyoke+Fittings+1055-FHFH+3%2F4%22+Garden+Hose+Thread+Fitting+-+Brass+Female+Garden+Hose+to+Hose+Swivel+Adapter&amp;qid=1695173784&amp;sr=8-6")</f>
        <v>https://www.amazon.com/Litorange-Lead-Free-Connector-Adapter-Extension/dp/B09QFJYGNS/ref=sr_1_6?keywords=Holyoke+Fittings+1055-FHFH+3%2F4%22+Garden+Hose+Thread+Fitting+-+Brass+Female+Garden+Hose+to+Hose+Swivel+Adapter&amp;qid=1695173784&amp;sr=8-6</v>
      </c>
      <c r="F2203" t="s">
        <v>5788</v>
      </c>
      <c r="G2203" t="e">
        <f ca="1">_xludf.IMAGE("https://edmondsonsupply.com/cdn/shop/files/1055-FHFH.jpg?v=1686083814")</f>
        <v>#NAME?</v>
      </c>
      <c r="H2203" t="e">
        <f ca="1">_xludf.IMAGE("https://m.media-amazon.com/images/I/61LyJrbohvL._AC_UL320_.jpg")</f>
        <v>#NAME?</v>
      </c>
      <c r="I2203" t="s">
        <v>1492</v>
      </c>
      <c r="J2203">
        <v>10.99</v>
      </c>
      <c r="K2203" s="4">
        <v>2.0613000000000001</v>
      </c>
      <c r="L2203">
        <v>4.7</v>
      </c>
      <c r="M2203">
        <v>17</v>
      </c>
      <c r="O2203" t="s">
        <v>25</v>
      </c>
      <c r="P2203" t="s">
        <v>5772</v>
      </c>
      <c r="Q2203" t="s">
        <v>5773</v>
      </c>
    </row>
    <row r="2204" spans="1:17" ht="15.5" x14ac:dyDescent="0.35">
      <c r="A2204" s="3" t="str">
        <f>HYPERLINK("https://edmondsonsupply.com/collections/hvac/products/boss-products-326-hi-temp-red-silicone-sealant-3-oz-tube", "https://edmondsonsupply.com/collections/hvac/products/boss-products-326-hi-temp-red-silicone-sealant-3-oz-tube")</f>
        <v>https://edmondsonsupply.com/collections/hvac/products/boss-products-326-hi-temp-red-silicone-sealant-3-oz-tube</v>
      </c>
      <c r="B2204" s="3" t="str">
        <f>HYPERLINK("https://edmondsonsupply.com/products/boss-products-326-hi-temp-red-silicone-sealant-3-oz-tube", "https://edmondsonsupply.com/products/boss-products-326-hi-temp-red-silicone-sealant-3-oz-tube")</f>
        <v>https://edmondsonsupply.com/products/boss-products-326-hi-temp-red-silicone-sealant-3-oz-tube</v>
      </c>
      <c r="C2204" t="s">
        <v>5789</v>
      </c>
      <c r="D2204" t="s">
        <v>5790</v>
      </c>
      <c r="E2204" s="3" t="str">
        <f>HYPERLINK("https://www.amazon.com/Boss-Products-Hi-Temp-Silicone-Sealant/dp/B00M8FPE10/ref=sr_1_1?keywords=Boss+Products+326+Hi-Temp+Red+Silicone+Sealant%2C+3+oz+Tube&amp;qid=1695173780&amp;sr=8-1", "https://www.amazon.com/Boss-Products-Hi-Temp-Silicone-Sealant/dp/B00M8FPE10/ref=sr_1_1?keywords=Boss+Products+326+Hi-Temp+Red+Silicone+Sealant%2C+3+oz+Tube&amp;qid=1695173780&amp;sr=8-1")</f>
        <v>https://www.amazon.com/Boss-Products-Hi-Temp-Silicone-Sealant/dp/B00M8FPE10/ref=sr_1_1?keywords=Boss+Products+326+Hi-Temp+Red+Silicone+Sealant%2C+3+oz+Tube&amp;qid=1695173780&amp;sr=8-1</v>
      </c>
      <c r="F2204" t="s">
        <v>5791</v>
      </c>
      <c r="G2204" t="e">
        <f ca="1">_xludf.IMAGE("https://edmondsonsupply.com/cdn/shop/files/326-179201995210AM.jpg?v=1686501997")</f>
        <v>#NAME?</v>
      </c>
      <c r="H2204" t="e">
        <f ca="1">_xludf.IMAGE("https://m.media-amazon.com/images/I/41mU3Bpg4oL._AC_UY218_.jpg")</f>
        <v>#NAME?</v>
      </c>
      <c r="I2204" t="s">
        <v>5792</v>
      </c>
      <c r="J2204">
        <v>16.72</v>
      </c>
      <c r="K2204" s="4">
        <v>1.6581999999999999</v>
      </c>
      <c r="L2204">
        <v>5</v>
      </c>
      <c r="M2204">
        <v>2</v>
      </c>
      <c r="O2204" t="s">
        <v>25</v>
      </c>
      <c r="P2204" t="s">
        <v>138</v>
      </c>
      <c r="Q2204" t="s">
        <v>5793</v>
      </c>
    </row>
    <row r="2205" spans="1:17" ht="15.5" x14ac:dyDescent="0.35">
      <c r="A2205" s="3" t="str">
        <f>HYPERLINK("https://edmondsonsupply.com/collections/hvac/products/holyoke-fittings-1055-12fpfh-3-4-garden-hose-thread-fitting-die-cast-nut-female-to-female-pipe-swivel-adapter", "https://edmondsonsupply.com/collections/hvac/products/holyoke-fittings-1055-12fpfh-3-4-garden-hose-thread-fitting-die-cast-nut-female-to-female-pipe-swivel-adapter")</f>
        <v>https://edmondsonsupply.com/collections/hvac/products/holyoke-fittings-1055-12fpfh-3-4-garden-hose-thread-fitting-die-cast-nut-female-to-female-pipe-swivel-adapter</v>
      </c>
      <c r="B2205" s="3" t="str">
        <f>HYPERLINK("https://edmondsonsupply.com/products/holyoke-fittings-1055-12fpfh-3-4-garden-hose-thread-fitting-die-cast-nut-female-to-female-pipe-swivel-adapter", "https://edmondsonsupply.com/products/holyoke-fittings-1055-12fpfh-3-4-garden-hose-thread-fitting-die-cast-nut-female-to-female-pipe-swivel-adapter")</f>
        <v>https://edmondsonsupply.com/products/holyoke-fittings-1055-12fpfh-3-4-garden-hose-thread-fitting-die-cast-nut-female-to-female-pipe-swivel-adapter</v>
      </c>
      <c r="C2205" t="s">
        <v>5794</v>
      </c>
      <c r="D2205" t="s">
        <v>5795</v>
      </c>
      <c r="E2205" s="3" t="str">
        <f>HYPERLINK("https://www.amazon.com/Litorange-Industrial-Fitting-Connect-Connector/dp/B07GCLGQWL/ref=sr_1_7?keywords=Holyoke+Fittings+1055-12FPFH+3%2F4%22+Garden+Hose+Thread+Fitting+-+Brass+Nut+Female+to+Female+Pipe+Swivel+Adapter&amp;qid=1695173781&amp;sr=8-7", "https://www.amazon.com/Litorange-Industrial-Fitting-Connect-Connector/dp/B07GCLGQWL/ref=sr_1_7?keywords=Holyoke+Fittings+1055-12FPFH+3%2F4%22+Garden+Hose+Thread+Fitting+-+Brass+Nut+Female+to+Female+Pipe+Swivel+Adapter&amp;qid=1695173781&amp;sr=8-7")</f>
        <v>https://www.amazon.com/Litorange-Industrial-Fitting-Connect-Connector/dp/B07GCLGQWL/ref=sr_1_7?keywords=Holyoke+Fittings+1055-12FPFH+3%2F4%22+Garden+Hose+Thread+Fitting+-+Brass+Nut+Female+to+Female+Pipe+Swivel+Adapter&amp;qid=1695173781&amp;sr=8-7</v>
      </c>
      <c r="F2205" t="s">
        <v>5796</v>
      </c>
      <c r="G2205" t="e">
        <f ca="1">_xludf.IMAGE("https://edmondsonsupply.com/cdn/shop/files/1055-12FPFH_1.jpg?v=1686089478")</f>
        <v>#NAME?</v>
      </c>
      <c r="H2205" t="e">
        <f ca="1">_xludf.IMAGE("https://m.media-amazon.com/images/I/61n9ibW+tnL._AC_UL320_.jpg")</f>
        <v>#NAME?</v>
      </c>
      <c r="I2205" t="s">
        <v>5797</v>
      </c>
      <c r="J2205">
        <v>10.99</v>
      </c>
      <c r="K2205" s="4">
        <v>1.5618000000000001</v>
      </c>
      <c r="L2205">
        <v>4.5</v>
      </c>
      <c r="M2205">
        <v>265</v>
      </c>
      <c r="O2205" t="s">
        <v>25</v>
      </c>
      <c r="P2205" t="s">
        <v>5798</v>
      </c>
      <c r="Q2205" t="s">
        <v>5799</v>
      </c>
    </row>
    <row r="2206" spans="1:17" ht="15.5" x14ac:dyDescent="0.35">
      <c r="A2206" s="3" t="str">
        <f>HYPERLINK("https://edmondsonsupply.com/collections/hvac/products/holyoke-fittings-1055-12fpfh-3-4-garden-hose-thread-fitting-die-cast-nut-female-to-female-pipe-swivel-adapter", "https://edmondsonsupply.com/collections/hvac/products/holyoke-fittings-1055-12fpfh-3-4-garden-hose-thread-fitting-die-cast-nut-female-to-female-pipe-swivel-adapter")</f>
        <v>https://edmondsonsupply.com/collections/hvac/products/holyoke-fittings-1055-12fpfh-3-4-garden-hose-thread-fitting-die-cast-nut-female-to-female-pipe-swivel-adapter</v>
      </c>
      <c r="B2206" s="3" t="str">
        <f>HYPERLINK("https://edmondsonsupply.com/products/holyoke-fittings-1055-12fpfh-3-4-garden-hose-thread-fitting-die-cast-nut-female-to-female-pipe-swivel-adapter", "https://edmondsonsupply.com/products/holyoke-fittings-1055-12fpfh-3-4-garden-hose-thread-fitting-die-cast-nut-female-to-female-pipe-swivel-adapter")</f>
        <v>https://edmondsonsupply.com/products/holyoke-fittings-1055-12fpfh-3-4-garden-hose-thread-fitting-die-cast-nut-female-to-female-pipe-swivel-adapter</v>
      </c>
      <c r="C2206" t="s">
        <v>5794</v>
      </c>
      <c r="D2206" t="s">
        <v>5785</v>
      </c>
      <c r="E2206" s="3" t="str">
        <f>HYPERLINK("https://www.amazon.com/Minimprover-Swivel-Connector-Adapter-Fitting/dp/B08ML1MZNC/ref=sr_1_2?keywords=Holyoke+Fittings+1055-12FPFH+3%2F4%22+Garden+Hose+Thread+Fitting+-+Brass+Nut+Female+to+Female+Pipe+Swivel+Adapter&amp;qid=1695173781&amp;sr=8-2", "https://www.amazon.com/Minimprover-Swivel-Connector-Adapter-Fitting/dp/B08ML1MZNC/ref=sr_1_2?keywords=Holyoke+Fittings+1055-12FPFH+3%2F4%22+Garden+Hose+Thread+Fitting+-+Brass+Nut+Female+to+Female+Pipe+Swivel+Adapter&amp;qid=1695173781&amp;sr=8-2")</f>
        <v>https://www.amazon.com/Minimprover-Swivel-Connector-Adapter-Fitting/dp/B08ML1MZNC/ref=sr_1_2?keywords=Holyoke+Fittings+1055-12FPFH+3%2F4%22+Garden+Hose+Thread+Fitting+-+Brass+Nut+Female+to+Female+Pipe+Swivel+Adapter&amp;qid=1695173781&amp;sr=8-2</v>
      </c>
      <c r="F2206" t="s">
        <v>5786</v>
      </c>
      <c r="G2206" t="e">
        <f ca="1">_xludf.IMAGE("https://edmondsonsupply.com/cdn/shop/files/1055-12FPFH_1.jpg?v=1686089478")</f>
        <v>#NAME?</v>
      </c>
      <c r="H2206" t="e">
        <f ca="1">_xludf.IMAGE("https://m.media-amazon.com/images/I/612jDEqxCNL._AC_UL320_.jpg")</f>
        <v>#NAME?</v>
      </c>
      <c r="I2206" t="s">
        <v>5797</v>
      </c>
      <c r="J2206">
        <v>10.99</v>
      </c>
      <c r="K2206" s="4">
        <v>1.5618000000000001</v>
      </c>
      <c r="L2206">
        <v>4.7</v>
      </c>
      <c r="M2206">
        <v>265</v>
      </c>
      <c r="O2206" t="s">
        <v>25</v>
      </c>
      <c r="P2206" t="s">
        <v>5798</v>
      </c>
      <c r="Q2206" t="s">
        <v>5799</v>
      </c>
    </row>
    <row r="2207" spans="1:17" ht="15.5" x14ac:dyDescent="0.35">
      <c r="A2207"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207"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207" t="s">
        <v>5769</v>
      </c>
      <c r="D2207" t="s">
        <v>5800</v>
      </c>
      <c r="E2207" s="3" t="str">
        <f>HYPERLINK("https://www.amazon.com/MINGLE-Adapter-Fittings-Pressure-Connector/dp/B09P322DT8/ref=sr_1_4?keywords=Holyoke+Fittings+1055-FHFH+3%2F4%22+Garden+Hose+Thread+Fitting+-+Brass+Female+Garden+Hose+to+Hose+Swivel+Adapter&amp;qid=1695173784&amp;sr=8-4", "https://www.amazon.com/MINGLE-Adapter-Fittings-Pressure-Connector/dp/B09P322DT8/ref=sr_1_4?keywords=Holyoke+Fittings+1055-FHFH+3%2F4%22+Garden+Hose+Thread+Fitting+-+Brass+Female+Garden+Hose+to+Hose+Swivel+Adapter&amp;qid=1695173784&amp;sr=8-4")</f>
        <v>https://www.amazon.com/MINGLE-Adapter-Fittings-Pressure-Connector/dp/B09P322DT8/ref=sr_1_4?keywords=Holyoke+Fittings+1055-FHFH+3%2F4%22+Garden+Hose+Thread+Fitting+-+Brass+Female+Garden+Hose+to+Hose+Swivel+Adapter&amp;qid=1695173784&amp;sr=8-4</v>
      </c>
      <c r="F2207" t="s">
        <v>5801</v>
      </c>
      <c r="G2207" t="e">
        <f ca="1">_xludf.IMAGE("https://edmondsonsupply.com/cdn/shop/files/1055-FHFH.jpg?v=1686083814")</f>
        <v>#NAME?</v>
      </c>
      <c r="H2207" t="e">
        <f ca="1">_xludf.IMAGE("https://m.media-amazon.com/images/I/81pvDhu1smL._AC_UL320_.jpg")</f>
        <v>#NAME?</v>
      </c>
      <c r="I2207" t="s">
        <v>1492</v>
      </c>
      <c r="J2207">
        <v>8.99</v>
      </c>
      <c r="K2207" s="4">
        <v>1.5042</v>
      </c>
      <c r="L2207">
        <v>4.5</v>
      </c>
      <c r="M2207">
        <v>262</v>
      </c>
      <c r="O2207" t="s">
        <v>25</v>
      </c>
      <c r="P2207" t="s">
        <v>5772</v>
      </c>
      <c r="Q2207" t="s">
        <v>5773</v>
      </c>
    </row>
    <row r="2208" spans="1:17" ht="15.5" x14ac:dyDescent="0.35">
      <c r="A2208"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208"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208" t="s">
        <v>5769</v>
      </c>
      <c r="D2208" t="s">
        <v>5802</v>
      </c>
      <c r="E2208" s="3" t="str">
        <f>HYPERLINK("https://www.amazon.com/ceaeso-2-piece-threaded-connection-adapter/dp/B0BYC7NQJ1/ref=sr_1_2?keywords=Holyoke+Fittings+1055-FHFH+3%2F4%22+Garden+Hose+Thread+Fitting+-+Brass+Female+Garden+Hose+to+Hose+Swivel+Adapter&amp;qid=1695173784&amp;sr=8-2", "https://www.amazon.com/ceaeso-2-piece-threaded-connection-adapter/dp/B0BYC7NQJ1/ref=sr_1_2?keywords=Holyoke+Fittings+1055-FHFH+3%2F4%22+Garden+Hose+Thread+Fitting+-+Brass+Female+Garden+Hose+to+Hose+Swivel+Adapter&amp;qid=1695173784&amp;sr=8-2")</f>
        <v>https://www.amazon.com/ceaeso-2-piece-threaded-connection-adapter/dp/B0BYC7NQJ1/ref=sr_1_2?keywords=Holyoke+Fittings+1055-FHFH+3%2F4%22+Garden+Hose+Thread+Fitting+-+Brass+Female+Garden+Hose+to+Hose+Swivel+Adapter&amp;qid=1695173784&amp;sr=8-2</v>
      </c>
      <c r="F2208" t="s">
        <v>5803</v>
      </c>
      <c r="G2208" t="e">
        <f ca="1">_xludf.IMAGE("https://edmondsonsupply.com/cdn/shop/files/1055-FHFH.jpg?v=1686083814")</f>
        <v>#NAME?</v>
      </c>
      <c r="H2208" t="e">
        <f ca="1">_xludf.IMAGE("https://m.media-amazon.com/images/I/61i9FHc6cFL._AC_UL320_.jpg")</f>
        <v>#NAME?</v>
      </c>
      <c r="I2208" t="s">
        <v>1492</v>
      </c>
      <c r="J2208">
        <v>8.99</v>
      </c>
      <c r="K2208" s="4">
        <v>1.5042</v>
      </c>
      <c r="L2208">
        <v>4.8</v>
      </c>
      <c r="M2208">
        <v>37</v>
      </c>
      <c r="O2208" t="s">
        <v>25</v>
      </c>
      <c r="P2208" t="s">
        <v>5772</v>
      </c>
      <c r="Q2208" t="s">
        <v>5773</v>
      </c>
    </row>
    <row r="2209" spans="1:17" ht="15.5" x14ac:dyDescent="0.35">
      <c r="A2209"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209"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209" t="s">
        <v>5769</v>
      </c>
      <c r="D2209" t="s">
        <v>5804</v>
      </c>
      <c r="E2209" s="3" t="str">
        <f>HYPERLINK("https://www.amazon.com/Enochs-Land-Fittings-Connectors-Adapter/dp/B0C1NHYLZC/ref=sr_1_1?keywords=Holyoke+Fittings+1055-FHFH+3%2F4%22+Garden+Hose+Thread+Fitting+-+Brass+Female+Garden+Hose+to+Hose+Swivel+Adapter&amp;qid=1695173784&amp;sr=8-1", "https://www.amazon.com/Enochs-Land-Fittings-Connectors-Adapter/dp/B0C1NHYLZC/ref=sr_1_1?keywords=Holyoke+Fittings+1055-FHFH+3%2F4%22+Garden+Hose+Thread+Fitting+-+Brass+Female+Garden+Hose+to+Hose+Swivel+Adapter&amp;qid=1695173784&amp;sr=8-1")</f>
        <v>https://www.amazon.com/Enochs-Land-Fittings-Connectors-Adapter/dp/B0C1NHYLZC/ref=sr_1_1?keywords=Holyoke+Fittings+1055-FHFH+3%2F4%22+Garden+Hose+Thread+Fitting+-+Brass+Female+Garden+Hose+to+Hose+Swivel+Adapter&amp;qid=1695173784&amp;sr=8-1</v>
      </c>
      <c r="F2209" t="s">
        <v>5805</v>
      </c>
      <c r="G2209" t="e">
        <f ca="1">_xludf.IMAGE("https://edmondsonsupply.com/cdn/shop/files/1055-FHFH.jpg?v=1686083814")</f>
        <v>#NAME?</v>
      </c>
      <c r="H2209" t="e">
        <f ca="1">_xludf.IMAGE("https://m.media-amazon.com/images/I/61FDN00UzUL._AC_UL320_.jpg")</f>
        <v>#NAME?</v>
      </c>
      <c r="I2209" t="s">
        <v>1492</v>
      </c>
      <c r="J2209">
        <v>8.99</v>
      </c>
      <c r="K2209" s="4">
        <v>1.5042</v>
      </c>
      <c r="L2209">
        <v>5</v>
      </c>
      <c r="M2209">
        <v>6</v>
      </c>
      <c r="O2209" t="s">
        <v>25</v>
      </c>
      <c r="P2209" t="s">
        <v>5772</v>
      </c>
      <c r="Q2209" t="s">
        <v>5773</v>
      </c>
    </row>
    <row r="2210" spans="1:17" ht="15.5" x14ac:dyDescent="0.35">
      <c r="A2210" s="3" t="str">
        <f>HYPERLINK("https://edmondsonsupply.com/collections/hvac/products/holyoke-3-4-garden-hose-thread-fitting-brass-female-garden-hose-to-hose-barb-swivel-adapter", "https://edmondsonsupply.com/collections/hvac/products/holyoke-3-4-garden-hose-thread-fitting-brass-female-garden-hose-to-hose-barb-swivel-adapter")</f>
        <v>https://edmondsonsupply.com/collections/hvac/products/holyoke-3-4-garden-hose-thread-fitting-brass-female-garden-hose-to-hose-barb-swivel-adapter</v>
      </c>
      <c r="B2210" s="3" t="str">
        <f>HYPERLINK("https://edmondsonsupply.com/products/holyoke-3-4-garden-hose-thread-fitting-brass-female-garden-hose-to-hose-barb-swivel-adapter", "https://edmondsonsupply.com/products/holyoke-3-4-garden-hose-thread-fitting-brass-female-garden-hose-to-hose-barb-swivel-adapter")</f>
        <v>https://edmondsonsupply.com/products/holyoke-3-4-garden-hose-thread-fitting-brass-female-garden-hose-to-hose-barb-swivel-adapter</v>
      </c>
      <c r="C2210" t="s">
        <v>5769</v>
      </c>
      <c r="D2210" t="s">
        <v>5806</v>
      </c>
      <c r="E2210" s="3" t="str">
        <f>HYPERLINK("https://www.amazon.com/YELUN-Fittings-Connectors-Adapter-connector/dp/B092HZLXPD/ref=sr_1_9?keywords=Holyoke+Fittings+1055-FHFH+3%2F4%22+Garden+Hose+Thread+Fitting+-+Brass+Female+Garden+Hose+to+Hose+Swivel+Adapter&amp;qid=1695173784&amp;sr=8-9", "https://www.amazon.com/YELUN-Fittings-Connectors-Adapter-connector/dp/B092HZLXPD/ref=sr_1_9?keywords=Holyoke+Fittings+1055-FHFH+3%2F4%22+Garden+Hose+Thread+Fitting+-+Brass+Female+Garden+Hose+to+Hose+Swivel+Adapter&amp;qid=1695173784&amp;sr=8-9")</f>
        <v>https://www.amazon.com/YELUN-Fittings-Connectors-Adapter-connector/dp/B092HZLXPD/ref=sr_1_9?keywords=Holyoke+Fittings+1055-FHFH+3%2F4%22+Garden+Hose+Thread+Fitting+-+Brass+Female+Garden+Hose+to+Hose+Swivel+Adapter&amp;qid=1695173784&amp;sr=8-9</v>
      </c>
      <c r="F2210" t="s">
        <v>5807</v>
      </c>
      <c r="G2210" t="e">
        <f ca="1">_xludf.IMAGE("https://edmondsonsupply.com/cdn/shop/files/1055-FHFH.jpg?v=1686083814")</f>
        <v>#NAME?</v>
      </c>
      <c r="H2210" t="e">
        <f ca="1">_xludf.IMAGE("https://m.media-amazon.com/images/I/7154E3TizmL._AC_UL320_.jpg")</f>
        <v>#NAME?</v>
      </c>
      <c r="I2210" t="s">
        <v>1492</v>
      </c>
      <c r="J2210">
        <v>8.99</v>
      </c>
      <c r="K2210" s="4">
        <v>1.5042</v>
      </c>
      <c r="L2210">
        <v>4.5999999999999996</v>
      </c>
      <c r="M2210">
        <v>609</v>
      </c>
      <c r="O2210" t="s">
        <v>25</v>
      </c>
      <c r="P2210" t="s">
        <v>5772</v>
      </c>
      <c r="Q2210" t="s">
        <v>5773</v>
      </c>
    </row>
    <row r="2211" spans="1:17" ht="15.5" x14ac:dyDescent="0.35">
      <c r="A2211" s="3" t="str">
        <f>HYPERLINK("https://edmondsonsupply.com/collections/hvac/products/milwaukee-48-22-8045-packout%E2%84%A2-tool-tray", "https://edmondsonsupply.com/collections/hvac/products/milwaukee-48-22-8045-packout%E2%84%A2-tool-tray")</f>
        <v>https://edmondsonsupply.com/collections/hvac/products/milwaukee-48-22-8045-packout%E2%84%A2-tool-tray</v>
      </c>
      <c r="B2211" s="3" t="str">
        <f>HYPERLINK("https://edmondsonsupply.com/products/milwaukee-48-22-8045-packout%e2%84%a2-tool-tray", "https://edmondsonsupply.com/products/milwaukee-48-22-8045-packout%e2%84%a2-tool-tray")</f>
        <v>https://edmondsonsupply.com/products/milwaukee-48-22-8045-packout%e2%84%a2-tool-tray</v>
      </c>
      <c r="C2211" t="s">
        <v>322</v>
      </c>
      <c r="D2211" t="s">
        <v>323</v>
      </c>
      <c r="E2211" s="3" t="str">
        <f>HYPERLINK("https://www.amazon.com/Compatible-48-22-8045-Quick-Adjust-Compartments-Dimensions/dp/B0BKGBDJMW/ref=sr_1_2?keywords=Milwaukee+48-22-8045+PACKOUT%E2%84%A2+Tool+Tray&amp;qid=1695173783&amp;sr=8-2", "https://www.amazon.com/Compatible-48-22-8045-Quick-Adjust-Compartments-Dimensions/dp/B0BKGBDJMW/ref=sr_1_2?keywords=Milwaukee+48-22-8045+PACKOUT%E2%84%A2+Tool+Tray&amp;qid=1695173783&amp;sr=8-2")</f>
        <v>https://www.amazon.com/Compatible-48-22-8045-Quick-Adjust-Compartments-Dimensions/dp/B0BKGBDJMW/ref=sr_1_2?keywords=Milwaukee+48-22-8045+PACKOUT%E2%84%A2+Tool+Tray&amp;qid=1695173783&amp;sr=8-2</v>
      </c>
      <c r="F2211" t="s">
        <v>324</v>
      </c>
      <c r="G2211" t="e">
        <f ca="1">_xludf.IMAGE("https://edmondsonsupply.com/cdn/shop/files/48-22-8045_4.webp?v=1686230573")</f>
        <v>#NAME?</v>
      </c>
      <c r="H2211" t="e">
        <f ca="1">_xludf.IMAGE("https://m.media-amazon.com/images/I/51JDkp3VI+L._AC_UL320_.jpg")</f>
        <v>#NAME?</v>
      </c>
      <c r="I2211" t="s">
        <v>246</v>
      </c>
      <c r="J2211">
        <v>88.47</v>
      </c>
      <c r="K2211" s="4">
        <v>1.2134</v>
      </c>
      <c r="L2211">
        <v>3</v>
      </c>
      <c r="M2211">
        <v>1</v>
      </c>
      <c r="O2211" t="s">
        <v>25</v>
      </c>
      <c r="P2211" t="s">
        <v>325</v>
      </c>
      <c r="Q2211" t="s">
        <v>326</v>
      </c>
    </row>
    <row r="2212" spans="1:17" ht="15.5" x14ac:dyDescent="0.35">
      <c r="A2212" s="3" t="str">
        <f>HYPERLINK("https://edmondsonsupply.com/collections/hvac/products/milwaukee-49-56-7000-small-thread-arbor-7-16-shank", "https://edmondsonsupply.com/collections/hvac/products/milwaukee-49-56-7000-small-thread-arbor-7-16-shank")</f>
        <v>https://edmondsonsupply.com/collections/hvac/products/milwaukee-49-56-7000-small-thread-arbor-7-16-shank</v>
      </c>
      <c r="B2212" s="3" t="str">
        <f>HYPERLINK("https://edmondsonsupply.com/products/milwaukee-49-56-7000-small-thread-arbor-7-16-shank", "https://edmondsonsupply.com/products/milwaukee-49-56-7000-small-thread-arbor-7-16-shank")</f>
        <v>https://edmondsonsupply.com/products/milwaukee-49-56-7000-small-thread-arbor-7-16-shank</v>
      </c>
      <c r="C2212" t="s">
        <v>5808</v>
      </c>
      <c r="D2212" t="s">
        <v>5809</v>
      </c>
      <c r="E2212" s="3" t="str">
        <f>HYPERLINK("https://www.amazon.com/Milwaukee-49-56-9100-16-Inch-Hole-Arbor/dp/B0019VAV2G/ref=sr_1_1?keywords=Milwaukee+49-56-7000+Small+Thread+Arbor%2C+7%2F16%22+Shank&amp;qid=1695173782&amp;sr=8-1", "https://www.amazon.com/Milwaukee-49-56-9100-16-Inch-Hole-Arbor/dp/B0019VAV2G/ref=sr_1_1?keywords=Milwaukee+49-56-7000+Small+Thread+Arbor%2C+7%2F16%22+Shank&amp;qid=1695173782&amp;sr=8-1")</f>
        <v>https://www.amazon.com/Milwaukee-49-56-9100-16-Inch-Hole-Arbor/dp/B0019VAV2G/ref=sr_1_1?keywords=Milwaukee+49-56-7000+Small+Thread+Arbor%2C+7%2F16%22+Shank&amp;qid=1695173782&amp;sr=8-1</v>
      </c>
      <c r="F2212" t="s">
        <v>5810</v>
      </c>
      <c r="G2212" t="e">
        <f ca="1">_xludf.IMAGE("https://edmondsonsupply.com/cdn/shop/files/51029_49-56-7000-lg.jpg?v=1686151660")</f>
        <v>#NAME?</v>
      </c>
      <c r="H2212" t="e">
        <f ca="1">_xludf.IMAGE("https://m.media-amazon.com/images/I/41OTK6p0M-S._AC_UL320_.jpg")</f>
        <v>#NAME?</v>
      </c>
      <c r="I2212" t="s">
        <v>5811</v>
      </c>
      <c r="J2212">
        <v>23.97</v>
      </c>
      <c r="K2212" s="4">
        <v>1.1851</v>
      </c>
      <c r="L2212">
        <v>4.5999999999999996</v>
      </c>
      <c r="M2212">
        <v>93</v>
      </c>
      <c r="O2212" t="s">
        <v>25</v>
      </c>
      <c r="P2212" t="s">
        <v>5812</v>
      </c>
      <c r="Q2212" t="s">
        <v>5813</v>
      </c>
    </row>
    <row r="2213" spans="1:17" ht="15.5" x14ac:dyDescent="0.35">
      <c r="A2213" s="3" t="str">
        <f>HYPERLINK("https://edmondsonsupply.com/collections/hvac/products/diablo-tools-dsp3050-7-8-in-x-16-in-spade-bit", "https://edmondsonsupply.com/collections/hvac/products/diablo-tools-dsp3050-7-8-in-x-16-in-spade-bit")</f>
        <v>https://edmondsonsupply.com/collections/hvac/products/diablo-tools-dsp3050-7-8-in-x-16-in-spade-bit</v>
      </c>
      <c r="B2213" s="3" t="str">
        <f>HYPERLINK("https://edmondsonsupply.com/products/diablo-tools-dsp3050-7-8-in-x-16-in-spade-bit", "https://edmondsonsupply.com/products/diablo-tools-dsp3050-7-8-in-x-16-in-spade-bit")</f>
        <v>https://edmondsonsupply.com/products/diablo-tools-dsp3050-7-8-in-x-16-in-spade-bit</v>
      </c>
      <c r="C2213" t="s">
        <v>5814</v>
      </c>
      <c r="D2213" t="s">
        <v>5815</v>
      </c>
      <c r="E2213" s="3" t="str">
        <f>HYPERLINK("https://www.amazon.com/DEWALT-DW1594-8-Inch-16-Inch-Spade/dp/B0001LQYW6/ref=sr_1_6?keywords=Diablo+Tools+DSP3050+7%2F8+in.+x+16+in.+Spade+Bit&amp;qid=1695173782&amp;sr=8-6", "https://www.amazon.com/DEWALT-DW1594-8-Inch-16-Inch-Spade/dp/B0001LQYW6/ref=sr_1_6?keywords=Diablo+Tools+DSP3050+7%2F8+in.+x+16+in.+Spade+Bit&amp;qid=1695173782&amp;sr=8-6")</f>
        <v>https://www.amazon.com/DEWALT-DW1594-8-Inch-16-Inch-Spade/dp/B0001LQYW6/ref=sr_1_6?keywords=Diablo+Tools+DSP3050+7%2F8+in.+x+16+in.+Spade+Bit&amp;qid=1695173782&amp;sr=8-6</v>
      </c>
      <c r="F2213" t="s">
        <v>5816</v>
      </c>
      <c r="G2213" t="e">
        <f ca="1">_xludf.IMAGE("https://edmondsonsupply.com/cdn/shop/files/y2jtkhe6p1ztkurhqyvu.webp?v=1685722260")</f>
        <v>#NAME?</v>
      </c>
      <c r="H2213" t="e">
        <f ca="1">_xludf.IMAGE("https://m.media-amazon.com/images/I/51C03iSkKAS._AC_UL320_.jpg")</f>
        <v>#NAME?</v>
      </c>
      <c r="I2213" t="s">
        <v>2347</v>
      </c>
      <c r="J2213">
        <v>13.02</v>
      </c>
      <c r="K2213" s="4">
        <v>0.86270000000000002</v>
      </c>
      <c r="L2213">
        <v>4.5999999999999996</v>
      </c>
      <c r="M2213">
        <v>93</v>
      </c>
      <c r="O2213" t="s">
        <v>25</v>
      </c>
      <c r="P2213" t="s">
        <v>5817</v>
      </c>
      <c r="Q2213" t="s">
        <v>5818</v>
      </c>
    </row>
    <row r="2214" spans="1:17" ht="15.5" x14ac:dyDescent="0.35">
      <c r="A2214" s="3" t="str">
        <f>HYPERLINK("https://edmondsonsupply.com/collections/hvac/products/milwaukee-48-22-8430-packout%E2%84%A2-organizer", "https://edmondsonsupply.com/collections/hvac/products/milwaukee-48-22-8430-packout%E2%84%A2-organizer")</f>
        <v>https://edmondsonsupply.com/collections/hvac/products/milwaukee-48-22-8430-packout%E2%84%A2-organizer</v>
      </c>
      <c r="B2214" s="3" t="str">
        <f>HYPERLINK("https://edmondsonsupply.com/products/milwaukee-48-22-8430-packout%e2%84%a2-organizer", "https://edmondsonsupply.com/products/milwaukee-48-22-8430-packout%e2%84%a2-organizer")</f>
        <v>https://edmondsonsupply.com/products/milwaukee-48-22-8430-packout%e2%84%a2-organizer</v>
      </c>
      <c r="C2214" t="s">
        <v>377</v>
      </c>
      <c r="D2214" t="s">
        <v>378</v>
      </c>
      <c r="E2214" s="3" t="str">
        <f>HYPERLINK("https://www.amazon.com/48-22-8430-Milwaukee-Tool-Packout-Organizer/dp/B0C16HMS14/ref=sr_1_2?keywords=Milwaukee+48-22-8430+PACKOUT%E2%84%A2+Organizer&amp;qid=1695173774&amp;sr=8-2", "https://www.amazon.com/48-22-8430-Milwaukee-Tool-Packout-Organizer/dp/B0C16HMS14/ref=sr_1_2?keywords=Milwaukee+48-22-8430+PACKOUT%E2%84%A2+Organizer&amp;qid=1695173774&amp;sr=8-2")</f>
        <v>https://www.amazon.com/48-22-8430-Milwaukee-Tool-Packout-Organizer/dp/B0C16HMS14/ref=sr_1_2?keywords=Milwaukee+48-22-8430+PACKOUT%E2%84%A2+Organizer&amp;qid=1695173774&amp;sr=8-2</v>
      </c>
      <c r="F2214" t="s">
        <v>379</v>
      </c>
      <c r="G2214" t="e">
        <f ca="1">_xludf.IMAGE("https://edmondsonsupply.com/cdn/shop/files/48-22-8430_1.png?v=1686667521")</f>
        <v>#NAME?</v>
      </c>
      <c r="H2214" t="e">
        <f ca="1">_xludf.IMAGE("https://m.media-amazon.com/images/I/31E7ZbWtMqL._AC_UL320_.jpg")</f>
        <v>#NAME?</v>
      </c>
      <c r="I2214" t="s">
        <v>380</v>
      </c>
      <c r="J2214">
        <v>87.99</v>
      </c>
      <c r="K2214" s="4">
        <v>0.76090000000000002</v>
      </c>
      <c r="L2214">
        <v>3.7</v>
      </c>
      <c r="M2214">
        <v>4</v>
      </c>
      <c r="O2214" t="s">
        <v>171</v>
      </c>
      <c r="P2214" t="s">
        <v>381</v>
      </c>
      <c r="Q2214" t="s">
        <v>382</v>
      </c>
    </row>
    <row r="2215" spans="1:17" ht="15.5" x14ac:dyDescent="0.35">
      <c r="A2215" s="3" t="str">
        <f>HYPERLINK("https://edmondsonsupply.com/collections/hvac/products/diablo-tools-dsp2090-3-4-in-x-6-in-spade-bit", "https://edmondsonsupply.com/collections/hvac/products/diablo-tools-dsp2090-3-4-in-x-6-in-spade-bit")</f>
        <v>https://edmondsonsupply.com/collections/hvac/products/diablo-tools-dsp2090-3-4-in-x-6-in-spade-bit</v>
      </c>
      <c r="B2215" s="3" t="str">
        <f>HYPERLINK("https://edmondsonsupply.com/products/diablo-tools-dsp2090-3-4-in-x-6-in-spade-bit", "https://edmondsonsupply.com/products/diablo-tools-dsp2090-3-4-in-x-6-in-spade-bit")</f>
        <v>https://edmondsonsupply.com/products/diablo-tools-dsp2090-3-4-in-x-6-in-spade-bit</v>
      </c>
      <c r="C2215" t="s">
        <v>5819</v>
      </c>
      <c r="D2215" t="s">
        <v>5820</v>
      </c>
      <c r="E2215" s="3" t="str">
        <f>HYPERLINK("https://www.amazon.com/DEWALT-DW1578-4-Inch-6-Inch-Spade/dp/B0001LQYGM/ref=sr_1_3?keywords=Diablo+Tools+DSP2090+3%2F4+in.+x+6+in.+Spade+Bit&amp;qid=1695173773&amp;sr=8-3", "https://www.amazon.com/DEWALT-DW1578-4-Inch-6-Inch-Spade/dp/B0001LQYGM/ref=sr_1_3?keywords=Diablo+Tools+DSP2090+3%2F4+in.+x+6+in.+Spade+Bit&amp;qid=1695173773&amp;sr=8-3")</f>
        <v>https://www.amazon.com/DEWALT-DW1578-4-Inch-6-Inch-Spade/dp/B0001LQYGM/ref=sr_1_3?keywords=Diablo+Tools+DSP2090+3%2F4+in.+x+6+in.+Spade+Bit&amp;qid=1695173773&amp;sr=8-3</v>
      </c>
      <c r="F2215" t="s">
        <v>5821</v>
      </c>
      <c r="G2215" t="e">
        <f ca="1">_xludf.IMAGE("https://edmondsonsupply.com/cdn/shop/files/hg4rmyretai2aybkajqp.webp?v=1686587275")</f>
        <v>#NAME?</v>
      </c>
      <c r="H2215" t="e">
        <f ca="1">_xludf.IMAGE("https://m.media-amazon.com/images/I/61oA5ym2OLS._AC_UL320_.jpg")</f>
        <v>#NAME?</v>
      </c>
      <c r="I2215" t="s">
        <v>5822</v>
      </c>
      <c r="J2215">
        <v>9.43</v>
      </c>
      <c r="K2215" s="4">
        <v>0.75609999999999999</v>
      </c>
      <c r="L2215">
        <v>4.5999999999999996</v>
      </c>
      <c r="M2215">
        <v>6815</v>
      </c>
      <c r="O2215" t="s">
        <v>25</v>
      </c>
      <c r="P2215" t="s">
        <v>138</v>
      </c>
      <c r="Q2215" t="s">
        <v>5823</v>
      </c>
    </row>
    <row r="2216" spans="1:17" ht="15.5" x14ac:dyDescent="0.35">
      <c r="A2216" s="3" t="str">
        <f>HYPERLINK("https://edmondsonsupply.com/collections/hvac/products/diablo-tools-dsp3050-7-8-in-x-16-in-spade-bit", "https://edmondsonsupply.com/collections/hvac/products/diablo-tools-dsp3050-7-8-in-x-16-in-spade-bit")</f>
        <v>https://edmondsonsupply.com/collections/hvac/products/diablo-tools-dsp3050-7-8-in-x-16-in-spade-bit</v>
      </c>
      <c r="B2216" s="3" t="str">
        <f>HYPERLINK("https://edmondsonsupply.com/products/diablo-tools-dsp3050-7-8-in-x-16-in-spade-bit", "https://edmondsonsupply.com/products/diablo-tools-dsp3050-7-8-in-x-16-in-spade-bit")</f>
        <v>https://edmondsonsupply.com/products/diablo-tools-dsp3050-7-8-in-x-16-in-spade-bit</v>
      </c>
      <c r="C2216" t="s">
        <v>5814</v>
      </c>
      <c r="D2216" t="s">
        <v>5824</v>
      </c>
      <c r="E2216" s="3" t="str">
        <f>HYPERLINK("https://www.amazon.com/Bosch-Daredevil-DLSB1011-Extended-Length/dp/B002BYQPJI/ref=sr_1_8?keywords=Diablo+Tools+DSP3050+7%2F8+in.+x+16+in.+Spade+Bit&amp;qid=1695173782&amp;sr=8-8", "https://www.amazon.com/Bosch-Daredevil-DLSB1011-Extended-Length/dp/B002BYQPJI/ref=sr_1_8?keywords=Diablo+Tools+DSP3050+7%2F8+in.+x+16+in.+Spade+Bit&amp;qid=1695173782&amp;sr=8-8")</f>
        <v>https://www.amazon.com/Bosch-Daredevil-DLSB1011-Extended-Length/dp/B002BYQPJI/ref=sr_1_8?keywords=Diablo+Tools+DSP3050+7%2F8+in.+x+16+in.+Spade+Bit&amp;qid=1695173782&amp;sr=8-8</v>
      </c>
      <c r="F2216" t="s">
        <v>5825</v>
      </c>
      <c r="G2216" t="e">
        <f ca="1">_xludf.IMAGE("https://edmondsonsupply.com/cdn/shop/files/y2jtkhe6p1ztkurhqyvu.webp?v=1685722260")</f>
        <v>#NAME?</v>
      </c>
      <c r="H2216" t="e">
        <f ca="1">_xludf.IMAGE("https://m.media-amazon.com/images/I/413x00GsBPL._AC_UL320_.jpg")</f>
        <v>#NAME?</v>
      </c>
      <c r="I2216" t="s">
        <v>2347</v>
      </c>
      <c r="J2216">
        <v>11.99</v>
      </c>
      <c r="K2216" s="4">
        <v>0.71530000000000005</v>
      </c>
      <c r="L2216">
        <v>4.5999999999999996</v>
      </c>
      <c r="M2216">
        <v>1263</v>
      </c>
      <c r="O2216" t="s">
        <v>25</v>
      </c>
      <c r="P2216" t="s">
        <v>5817</v>
      </c>
      <c r="Q2216" t="s">
        <v>5818</v>
      </c>
    </row>
    <row r="2217" spans="1:17" ht="15.5" x14ac:dyDescent="0.35">
      <c r="A2217" s="3" t="str">
        <f>HYPERLINK("https://edmondsonsupply.com/collections/hvac/products/kroil-ks102-original-penetrant-aerosol-10oz-can", "https://edmondsonsupply.com/collections/hvac/products/kroil-ks102-original-penetrant-aerosol-10oz-can")</f>
        <v>https://edmondsonsupply.com/collections/hvac/products/kroil-ks102-original-penetrant-aerosol-10oz-can</v>
      </c>
      <c r="B2217" s="3" t="str">
        <f>HYPERLINK("https://edmondsonsupply.com/products/kroil-ks102-original-penetrant-aerosol-10oz-can", "https://edmondsonsupply.com/products/kroil-ks102-original-penetrant-aerosol-10oz-can")</f>
        <v>https://edmondsonsupply.com/products/kroil-ks102-original-penetrant-aerosol-10oz-can</v>
      </c>
      <c r="C2217" t="s">
        <v>5751</v>
      </c>
      <c r="D2217" t="s">
        <v>3299</v>
      </c>
      <c r="E2217" s="3" t="str">
        <f>HYPERLINK("https://www.amazon.com/Penetrating-Spray-16-5oz-Can-Single-Penetrant-Corrosion/dp/B005ESIHZI/ref=sr_1_6?keywords=Kroil+KS102+Original+Penetrant+Aerosol+10oz+can&amp;qid=1695173773&amp;sr=8-6", "https://www.amazon.com/Penetrating-Spray-16-5oz-Can-Single-Penetrant-Corrosion/dp/B005ESIHZI/ref=sr_1_6?keywords=Kroil+KS102+Original+Penetrant+Aerosol+10oz+can&amp;qid=1695173773&amp;sr=8-6")</f>
        <v>https://www.amazon.com/Penetrating-Spray-16-5oz-Can-Single-Penetrant-Corrosion/dp/B005ESIHZI/ref=sr_1_6?keywords=Kroil+KS102+Original+Penetrant+Aerosol+10oz+can&amp;qid=1695173773&amp;sr=8-6</v>
      </c>
      <c r="F2217" t="s">
        <v>3300</v>
      </c>
      <c r="G2217" t="e">
        <f ca="1">_xludf.IMAGE("https://edmondsonsupply.com/cdn/shop/files/KS102.webp?v=1686779653")</f>
        <v>#NAME?</v>
      </c>
      <c r="H2217" t="e">
        <f ca="1">_xludf.IMAGE("https://m.media-amazon.com/images/I/51mtHxiqoDL._AC_UY218_.jpg")</f>
        <v>#NAME?</v>
      </c>
      <c r="I2217" t="s">
        <v>3867</v>
      </c>
      <c r="J2217">
        <v>33.78</v>
      </c>
      <c r="K2217" s="4">
        <v>0.69069999999999998</v>
      </c>
      <c r="L2217">
        <v>4.8</v>
      </c>
      <c r="M2217">
        <v>2793</v>
      </c>
      <c r="O2217" t="s">
        <v>25</v>
      </c>
      <c r="P2217" t="s">
        <v>5754</v>
      </c>
      <c r="Q2217" t="s">
        <v>5755</v>
      </c>
    </row>
    <row r="2218" spans="1:17" ht="15.5" x14ac:dyDescent="0.35">
      <c r="A2218" s="3" t="str">
        <f>HYPERLINK("https://edmondsonsupply.com/collections/hvac/products/fluke-373-true-rms-ac-clamp-meter", "https://edmondsonsupply.com/collections/hvac/products/fluke-373-true-rms-ac-clamp-meter")</f>
        <v>https://edmondsonsupply.com/collections/hvac/products/fluke-373-true-rms-ac-clamp-meter</v>
      </c>
      <c r="B2218" s="3" t="str">
        <f>HYPERLINK("https://edmondsonsupply.com/products/fluke-373-true-rms-ac-clamp-meter", "https://edmondsonsupply.com/products/fluke-373-true-rms-ac-clamp-meter")</f>
        <v>https://edmondsonsupply.com/products/fluke-373-true-rms-ac-clamp-meter</v>
      </c>
      <c r="C2218" t="s">
        <v>5826</v>
      </c>
      <c r="D2218" t="s">
        <v>5827</v>
      </c>
      <c r="E2218" s="3" t="str">
        <f>HYPERLINK("https://www.amazon.com/Fluke-374-FC-AMZN-NIST-Traceable-Calibration-Certificate/dp/B01CFXIMCC/ref=sr_1_9?keywords=Fluke+373+True-RMS+AC+Clamp+Meter&amp;qid=1695173782&amp;sr=8-9", "https://www.amazon.com/Fluke-374-FC-AMZN-NIST-Traceable-Calibration-Certificate/dp/B01CFXIMCC/ref=sr_1_9?keywords=Fluke+373+True-RMS+AC+Clamp+Meter&amp;qid=1695173782&amp;sr=8-9")</f>
        <v>https://www.amazon.com/Fluke-374-FC-AMZN-NIST-Traceable-Calibration-Certificate/dp/B01CFXIMCC/ref=sr_1_9?keywords=Fluke+373+True-RMS+AC+Clamp+Meter&amp;qid=1695173782&amp;sr=8-9</v>
      </c>
      <c r="F2218" t="s">
        <v>5828</v>
      </c>
      <c r="G2218" t="e">
        <f ca="1">_xludf.IMAGE("https://edmondsonsupply.com/cdn/shop/files/f-373-01d-1500x1000.webp?v=1689369435")</f>
        <v>#NAME?</v>
      </c>
      <c r="H2218" t="e">
        <f ca="1">_xludf.IMAGE("https://m.media-amazon.com/images/I/61cUiZ0qhwL._AC_UY218_.jpg")</f>
        <v>#NAME?</v>
      </c>
      <c r="I2218" t="s">
        <v>5829</v>
      </c>
      <c r="J2218">
        <v>490</v>
      </c>
      <c r="K2218" s="4">
        <v>0.68940000000000001</v>
      </c>
      <c r="L2218">
        <v>3.8</v>
      </c>
      <c r="M2218">
        <v>12</v>
      </c>
      <c r="O2218" t="s">
        <v>25</v>
      </c>
      <c r="P2218" t="s">
        <v>138</v>
      </c>
      <c r="Q2218" t="s">
        <v>5830</v>
      </c>
    </row>
    <row r="2219" spans="1:17" ht="15.5" x14ac:dyDescent="0.35">
      <c r="A2219" s="3" t="str">
        <f>HYPERLINK("https://edmondsonsupply.com/collections/hvac/products/milwaukee-49-90-1900-hepa-filter", "https://edmondsonsupply.com/collections/hvac/products/milwaukee-49-90-1900-hepa-filter")</f>
        <v>https://edmondsonsupply.com/collections/hvac/products/milwaukee-49-90-1900-hepa-filter</v>
      </c>
      <c r="B2219" s="3" t="str">
        <f>HYPERLINK("https://edmondsonsupply.com/products/milwaukee-49-90-1900-hepa-filter", "https://edmondsonsupply.com/products/milwaukee-49-90-1900-hepa-filter")</f>
        <v>https://edmondsonsupply.com/products/milwaukee-49-90-1900-hepa-filter</v>
      </c>
      <c r="C2219" t="s">
        <v>5831</v>
      </c>
      <c r="D2219" t="s">
        <v>5832</v>
      </c>
      <c r="E2219" s="3" t="str">
        <f>HYPERLINK("https://www.amazon.com/Fette-Filter-HEPA-Filter-Compatible-49-90-1900/dp/B08296RWMV/ref=sr_1_3?keywords=Milwaukee+49-90-1900+HEPA+Filter&amp;qid=1695173776&amp;sr=8-3", "https://www.amazon.com/Fette-Filter-HEPA-Filter-Compatible-49-90-1900/dp/B08296RWMV/ref=sr_1_3?keywords=Milwaukee+49-90-1900+HEPA+Filter&amp;qid=1695173776&amp;sr=8-3")</f>
        <v>https://www.amazon.com/Fette-Filter-HEPA-Filter-Compatible-49-90-1900/dp/B08296RWMV/ref=sr_1_3?keywords=Milwaukee+49-90-1900+HEPA+Filter&amp;qid=1695173776&amp;sr=8-3</v>
      </c>
      <c r="F2219" t="s">
        <v>5833</v>
      </c>
      <c r="G2219" t="e">
        <f ca="1">_xludf.IMAGE("https://edmondsonsupply.com/cdn/shop/files/49-90-1900_1.png?v=1686234774")</f>
        <v>#NAME?</v>
      </c>
      <c r="H2219" t="e">
        <f ca="1">_xludf.IMAGE("https://m.media-amazon.com/images/I/812bkkRRuQL._AC_UL320_.jpg")</f>
        <v>#NAME?</v>
      </c>
      <c r="I2219" t="s">
        <v>2170</v>
      </c>
      <c r="J2219">
        <v>39.99</v>
      </c>
      <c r="K2219" s="4">
        <v>0.60089999999999999</v>
      </c>
      <c r="L2219">
        <v>4.7</v>
      </c>
      <c r="M2219">
        <v>150</v>
      </c>
      <c r="O2219" t="s">
        <v>25</v>
      </c>
      <c r="P2219" t="s">
        <v>2470</v>
      </c>
      <c r="Q2219" t="s">
        <v>5834</v>
      </c>
    </row>
    <row r="2220" spans="1:17" ht="15.5" x14ac:dyDescent="0.35">
      <c r="A2220" s="3" t="str">
        <f>HYPERLINK("https://edmondsonsupply.com/collections/hvac/products/diablo-tools-dsp2090-3-4-in-x-6-in-spade-bit", "https://edmondsonsupply.com/collections/hvac/products/diablo-tools-dsp2090-3-4-in-x-6-in-spade-bit")</f>
        <v>https://edmondsonsupply.com/collections/hvac/products/diablo-tools-dsp2090-3-4-in-x-6-in-spade-bit</v>
      </c>
      <c r="B2220" s="3" t="str">
        <f>HYPERLINK("https://edmondsonsupply.com/products/diablo-tools-dsp2090-3-4-in-x-6-in-spade-bit", "https://edmondsonsupply.com/products/diablo-tools-dsp2090-3-4-in-x-6-in-spade-bit")</f>
        <v>https://edmondsonsupply.com/products/diablo-tools-dsp2090-3-4-in-x-6-in-spade-bit</v>
      </c>
      <c r="C2220" t="s">
        <v>5819</v>
      </c>
      <c r="D2220" t="s">
        <v>5835</v>
      </c>
      <c r="E2220" s="3" t="str">
        <f>HYPERLINK("https://www.amazon.com/Diablo-SPEEDemon-Spade-Bit-2-Pack/dp/B089KV8K7W/ref=sr_1_1?keywords=Diablo+Tools+DSP2090+3%2F4+in.+x+6+in.+Spade+Bit&amp;qid=1695173773&amp;sr=8-1", "https://www.amazon.com/Diablo-SPEEDemon-Spade-Bit-2-Pack/dp/B089KV8K7W/ref=sr_1_1?keywords=Diablo+Tools+DSP2090+3%2F4+in.+x+6+in.+Spade+Bit&amp;qid=1695173773&amp;sr=8-1")</f>
        <v>https://www.amazon.com/Diablo-SPEEDemon-Spade-Bit-2-Pack/dp/B089KV8K7W/ref=sr_1_1?keywords=Diablo+Tools+DSP2090+3%2F4+in.+x+6+in.+Spade+Bit&amp;qid=1695173773&amp;sr=8-1</v>
      </c>
      <c r="F2220" t="s">
        <v>5836</v>
      </c>
      <c r="G2220" t="e">
        <f ca="1">_xludf.IMAGE("https://edmondsonsupply.com/cdn/shop/files/hg4rmyretai2aybkajqp.webp?v=1686587275")</f>
        <v>#NAME?</v>
      </c>
      <c r="H2220" t="e">
        <f ca="1">_xludf.IMAGE("https://m.media-amazon.com/images/I/610FU8LQY+L._AC_UL320_.jpg")</f>
        <v>#NAME?</v>
      </c>
      <c r="I2220" t="s">
        <v>5822</v>
      </c>
      <c r="J2220">
        <v>8.3800000000000008</v>
      </c>
      <c r="K2220" s="4">
        <v>0.5605</v>
      </c>
      <c r="L2220">
        <v>4.7</v>
      </c>
      <c r="M2220">
        <v>40</v>
      </c>
      <c r="O2220" t="s">
        <v>25</v>
      </c>
      <c r="P2220" t="s">
        <v>138</v>
      </c>
      <c r="Q2220" t="s">
        <v>5823</v>
      </c>
    </row>
    <row r="2221" spans="1:17" ht="15.5" x14ac:dyDescent="0.35">
      <c r="A2221" s="3" t="str">
        <f>HYPERLINK("https://edmondsonsupply.com/collections/hvac/products/diablo-tools-dmamxcc5010-2-in-x-7-in-sds-max-carbide-tipped-core-bit", "https://edmondsonsupply.com/collections/hvac/products/diablo-tools-dmamxcc5010-2-in-x-7-in-sds-max-carbide-tipped-core-bit")</f>
        <v>https://edmondsonsupply.com/collections/hvac/products/diablo-tools-dmamxcc5010-2-in-x-7-in-sds-max-carbide-tipped-core-bit</v>
      </c>
      <c r="B2221"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221" t="s">
        <v>5837</v>
      </c>
      <c r="D2221" t="s">
        <v>5838</v>
      </c>
      <c r="E2221" s="3" t="str">
        <f>HYPERLINK("https://www.amazon.com/Diablo-SDS-Max-4-Cutter-Carbide-Tipped-Hammer/dp/B089LHKFQ2/ref=sr_1_3?keywords=Diablo+Tools+DMAMXCC5010+2+in.+x+7+in.+SDS-Max+Carbide+Tipped+Core+Bit&amp;qid=1695173774&amp;sr=8-3", "https://www.amazon.com/Diablo-SDS-Max-4-Cutter-Carbide-Tipped-Hammer/dp/B089LHKFQ2/ref=sr_1_3?keywords=Diablo+Tools+DMAMXCC5010+2+in.+x+7+in.+SDS-Max+Carbide+Tipped+Core+Bit&amp;qid=1695173774&amp;sr=8-3")</f>
        <v>https://www.amazon.com/Diablo-SDS-Max-4-Cutter-Carbide-Tipped-Hammer/dp/B089LHKFQ2/ref=sr_1_3?keywords=Diablo+Tools+DMAMXCC5010+2+in.+x+7+in.+SDS-Max+Carbide+Tipped+Core+Bit&amp;qid=1695173774&amp;sr=8-3</v>
      </c>
      <c r="F2221" t="s">
        <v>5839</v>
      </c>
      <c r="G2221" t="e">
        <f ca="1">_xludf.IMAGE("https://edmondsonsupply.com/cdn/shop/files/kbs61qpkymnshwvx13k1.webp?v=1686583113")</f>
        <v>#NAME?</v>
      </c>
      <c r="H2221" t="e">
        <f ca="1">_xludf.IMAGE("https://m.media-amazon.com/images/I/61p4Q032qYL._AC_UL320_.jpg")</f>
        <v>#NAME?</v>
      </c>
      <c r="I2221" t="s">
        <v>5840</v>
      </c>
      <c r="J2221">
        <v>151.99</v>
      </c>
      <c r="K2221" s="4">
        <v>0.49759999999999999</v>
      </c>
      <c r="L2221">
        <v>4.4000000000000004</v>
      </c>
      <c r="M2221">
        <v>4</v>
      </c>
      <c r="O2221" t="s">
        <v>25</v>
      </c>
      <c r="P2221" t="s">
        <v>5841</v>
      </c>
      <c r="Q2221" t="s">
        <v>5842</v>
      </c>
    </row>
    <row r="2222" spans="1:17" ht="15.5" x14ac:dyDescent="0.35">
      <c r="A2222" s="3" t="str">
        <f>HYPERLINK("https://edmondsonsupply.com/collections/hvac/products/milwaukee-48-39-0521-18-tpi-band-saw-blade-deep-cut-3-pack", "https://edmondsonsupply.com/collections/hvac/products/milwaukee-48-39-0521-18-tpi-band-saw-blade-deep-cut-3-pack")</f>
        <v>https://edmondsonsupply.com/collections/hvac/products/milwaukee-48-39-0521-18-tpi-band-saw-blade-deep-cut-3-pack</v>
      </c>
      <c r="B2222" s="3" t="str">
        <f>HYPERLINK("https://edmondsonsupply.com/products/milwaukee-48-39-0521-18-tpi-band-saw-blade-deep-cut-3-pack", "https://edmondsonsupply.com/products/milwaukee-48-39-0521-18-tpi-band-saw-blade-deep-cut-3-pack")</f>
        <v>https://edmondsonsupply.com/products/milwaukee-48-39-0521-18-tpi-band-saw-blade-deep-cut-3-pack</v>
      </c>
      <c r="C2222" t="s">
        <v>5843</v>
      </c>
      <c r="D2222" t="s">
        <v>5844</v>
      </c>
      <c r="E2222" s="3" t="str">
        <f>HYPERLINK("https://www.amazon.com/Milwaukee-48-39-0521-Compact-Portable-Blade/dp/B002ZC81DO/ref=sr_1_1?keywords=Milwaukee+48-39-0521+18+TPI+Band+Saw+Blade%2C+Deep+Cut-+3+Pack&amp;qid=1695173781&amp;sr=8-1", "https://www.amazon.com/Milwaukee-48-39-0521-Compact-Portable-Blade/dp/B002ZC81DO/ref=sr_1_1?keywords=Milwaukee+48-39-0521+18+TPI+Band+Saw+Blade%2C+Deep+Cut-+3+Pack&amp;qid=1695173781&amp;sr=8-1")</f>
        <v>https://www.amazon.com/Milwaukee-48-39-0521-Compact-Portable-Blade/dp/B002ZC81DO/ref=sr_1_1?keywords=Milwaukee+48-39-0521+18+TPI+Band+Saw+Blade%2C+Deep+Cut-+3+Pack&amp;qid=1695173781&amp;sr=8-1</v>
      </c>
      <c r="F2222" t="s">
        <v>5845</v>
      </c>
      <c r="G2222" t="e">
        <f ca="1">_xludf.IMAGE("https://edmondsonsupply.com/cdn/shop/files/21432_48-39-0510_1.jpg?v=1686932969")</f>
        <v>#NAME?</v>
      </c>
      <c r="H2222" t="e">
        <f ca="1">_xludf.IMAGE("https://m.media-amazon.com/images/I/41tfNWcm0oL._AC_UL320_.jpg")</f>
        <v>#NAME?</v>
      </c>
      <c r="I2222" t="s">
        <v>2247</v>
      </c>
      <c r="J2222">
        <v>32.9</v>
      </c>
      <c r="K2222" s="4">
        <v>0.4975</v>
      </c>
      <c r="L2222">
        <v>4.3</v>
      </c>
      <c r="M2222">
        <v>32</v>
      </c>
      <c r="O2222" t="s">
        <v>25</v>
      </c>
      <c r="P2222" t="s">
        <v>5846</v>
      </c>
      <c r="Q2222" t="s">
        <v>5847</v>
      </c>
    </row>
    <row r="2223" spans="1:17" ht="15.5" x14ac:dyDescent="0.35">
      <c r="A2223" s="3" t="str">
        <f>HYPERLINK("https://edmondsonsupply.com/collections/hvac/products/fluke-373-true-rms-ac-clamp-meter", "https://edmondsonsupply.com/collections/hvac/products/fluke-373-true-rms-ac-clamp-meter")</f>
        <v>https://edmondsonsupply.com/collections/hvac/products/fluke-373-true-rms-ac-clamp-meter</v>
      </c>
      <c r="B2223" s="3" t="str">
        <f>HYPERLINK("https://edmondsonsupply.com/products/fluke-373-true-rms-ac-clamp-meter", "https://edmondsonsupply.com/products/fluke-373-true-rms-ac-clamp-meter")</f>
        <v>https://edmondsonsupply.com/products/fluke-373-true-rms-ac-clamp-meter</v>
      </c>
      <c r="C2223" t="s">
        <v>5826</v>
      </c>
      <c r="D2223" t="s">
        <v>5260</v>
      </c>
      <c r="E2223" s="3" t="str">
        <f>HYPERLINK("https://www.amazon.com/Fluke-381-Remote-Display-True-RMS/dp/B004BF5ZEQ/ref=sr_1_7?keywords=Fluke+373+True-RMS+AC+Clamp+Meter&amp;qid=1695173782&amp;sr=8-7", "https://www.amazon.com/Fluke-381-Remote-Display-True-RMS/dp/B004BF5ZEQ/ref=sr_1_7?keywords=Fluke+373+True-RMS+AC+Clamp+Meter&amp;qid=1695173782&amp;sr=8-7")</f>
        <v>https://www.amazon.com/Fluke-381-Remote-Display-True-RMS/dp/B004BF5ZEQ/ref=sr_1_7?keywords=Fluke+373+True-RMS+AC+Clamp+Meter&amp;qid=1695173782&amp;sr=8-7</v>
      </c>
      <c r="F2223" t="s">
        <v>5261</v>
      </c>
      <c r="G2223" t="e">
        <f ca="1">_xludf.IMAGE("https://edmondsonsupply.com/cdn/shop/files/f-373-01d-1500x1000.webp?v=1689369435")</f>
        <v>#NAME?</v>
      </c>
      <c r="H2223" t="e">
        <f ca="1">_xludf.IMAGE("https://m.media-amazon.com/images/I/617Nx0NswWL._AC_UY218_.jpg")</f>
        <v>#NAME?</v>
      </c>
      <c r="I2223" t="s">
        <v>5829</v>
      </c>
      <c r="J2223">
        <v>430</v>
      </c>
      <c r="K2223" s="4">
        <v>0.48249999999999998</v>
      </c>
      <c r="L2223">
        <v>4.5</v>
      </c>
      <c r="M2223">
        <v>160</v>
      </c>
      <c r="O2223" t="s">
        <v>25</v>
      </c>
      <c r="P2223" t="s">
        <v>138</v>
      </c>
      <c r="Q2223" t="s">
        <v>5830</v>
      </c>
    </row>
    <row r="2224" spans="1:17" ht="15.5" x14ac:dyDescent="0.35">
      <c r="A2224" s="3" t="str">
        <f>HYPERLINK("https://edmondsonsupply.com/collections/hvac/products/kroil-ks102-original-penetrant-aerosol-10oz-can", "https://edmondsonsupply.com/collections/hvac/products/kroil-ks102-original-penetrant-aerosol-10oz-can")</f>
        <v>https://edmondsonsupply.com/collections/hvac/products/kroil-ks102-original-penetrant-aerosol-10oz-can</v>
      </c>
      <c r="B2224" s="3" t="str">
        <f>HYPERLINK("https://edmondsonsupply.com/products/kroil-ks102-original-penetrant-aerosol-10oz-can", "https://edmondsonsupply.com/products/kroil-ks102-original-penetrant-aerosol-10oz-can")</f>
        <v>https://edmondsonsupply.com/products/kroil-ks102-original-penetrant-aerosol-10oz-can</v>
      </c>
      <c r="C2224" t="s">
        <v>5751</v>
      </c>
      <c r="D2224" t="s">
        <v>3764</v>
      </c>
      <c r="E2224" s="3" t="str">
        <f>HYPERLINK("https://www.amazon.com/Penetrating-Spray-10oz-Can-Single-Penetrant-KS102/dp/B00GM6NQLG/ref=sr_1_1?keywords=Kroil+KS102+Original+Penetrant+Aerosol+10oz+can&amp;qid=1695173773&amp;sr=8-1", "https://www.amazon.com/Penetrating-Spray-10oz-Can-Single-Penetrant-KS102/dp/B00GM6NQLG/ref=sr_1_1?keywords=Kroil+KS102+Original+Penetrant+Aerosol+10oz+can&amp;qid=1695173773&amp;sr=8-1")</f>
        <v>https://www.amazon.com/Penetrating-Spray-10oz-Can-Single-Penetrant-KS102/dp/B00GM6NQLG/ref=sr_1_1?keywords=Kroil+KS102+Original+Penetrant+Aerosol+10oz+can&amp;qid=1695173773&amp;sr=8-1</v>
      </c>
      <c r="F2224" t="s">
        <v>3765</v>
      </c>
      <c r="G2224" t="e">
        <f ca="1">_xludf.IMAGE("https://edmondsonsupply.com/cdn/shop/files/KS102.webp?v=1686779653")</f>
        <v>#NAME?</v>
      </c>
      <c r="H2224" t="e">
        <f ca="1">_xludf.IMAGE("https://m.media-amazon.com/images/I/515tEg7cFcL._AC_UY218_.jpg")</f>
        <v>#NAME?</v>
      </c>
      <c r="I2224" t="s">
        <v>3867</v>
      </c>
      <c r="J2224">
        <v>29.5</v>
      </c>
      <c r="K2224" s="4">
        <v>0.47649999999999998</v>
      </c>
      <c r="L2224">
        <v>4.9000000000000004</v>
      </c>
      <c r="M2224">
        <v>47</v>
      </c>
      <c r="O2224" t="s">
        <v>25</v>
      </c>
      <c r="P2224" t="s">
        <v>5754</v>
      </c>
      <c r="Q2224" t="s">
        <v>5755</v>
      </c>
    </row>
    <row r="2225" spans="1:17" ht="15.5" x14ac:dyDescent="0.35">
      <c r="A2225" s="3" t="str">
        <f>HYPERLINK("https://edmondsonsupply.com/collections/hvac/products/fluke-373-true-rms-ac-clamp-meter", "https://edmondsonsupply.com/collections/hvac/products/fluke-373-true-rms-ac-clamp-meter")</f>
        <v>https://edmondsonsupply.com/collections/hvac/products/fluke-373-true-rms-ac-clamp-meter</v>
      </c>
      <c r="B2225" s="3" t="str">
        <f>HYPERLINK("https://edmondsonsupply.com/products/fluke-373-true-rms-ac-clamp-meter", "https://edmondsonsupply.com/products/fluke-373-true-rms-ac-clamp-meter")</f>
        <v>https://edmondsonsupply.com/products/fluke-373-true-rms-ac-clamp-meter</v>
      </c>
      <c r="C2225" t="s">
        <v>5826</v>
      </c>
      <c r="D2225" t="s">
        <v>5848</v>
      </c>
      <c r="E2225" s="3" t="str">
        <f>HYPERLINK("https://www.amazon.com/Fluke-True-RMS-Measures-Batteries-Carrying/dp/B017OVC1U4/ref=sr_1_6?keywords=Fluke+373+True-RMS+AC+Clamp+Meter&amp;qid=1695173782&amp;sr=8-6", "https://www.amazon.com/Fluke-True-RMS-Measures-Batteries-Carrying/dp/B017OVC1U4/ref=sr_1_6?keywords=Fluke+373+True-RMS+AC+Clamp+Meter&amp;qid=1695173782&amp;sr=8-6")</f>
        <v>https://www.amazon.com/Fluke-True-RMS-Measures-Batteries-Carrying/dp/B017OVC1U4/ref=sr_1_6?keywords=Fluke+373+True-RMS+AC+Clamp+Meter&amp;qid=1695173782&amp;sr=8-6</v>
      </c>
      <c r="F2225" t="s">
        <v>5849</v>
      </c>
      <c r="G2225" t="e">
        <f ca="1">_xludf.IMAGE("https://edmondsonsupply.com/cdn/shop/files/f-373-01d-1500x1000.webp?v=1689369435")</f>
        <v>#NAME?</v>
      </c>
      <c r="H2225" t="e">
        <f ca="1">_xludf.IMAGE("https://m.media-amazon.com/images/I/71-9RICQeuL._AC_UY218_.jpg")</f>
        <v>#NAME?</v>
      </c>
      <c r="I2225" t="s">
        <v>5829</v>
      </c>
      <c r="J2225">
        <v>420</v>
      </c>
      <c r="K2225" s="4">
        <v>0.44800000000000001</v>
      </c>
      <c r="L2225">
        <v>4.8</v>
      </c>
      <c r="M2225">
        <v>283</v>
      </c>
      <c r="O2225" t="s">
        <v>25</v>
      </c>
      <c r="P2225" t="s">
        <v>138</v>
      </c>
      <c r="Q2225" t="s">
        <v>5830</v>
      </c>
    </row>
    <row r="2226" spans="1:17" ht="15.5" x14ac:dyDescent="0.35">
      <c r="A2226" s="3" t="str">
        <f>HYPERLINK("https://edmondsonsupply.com/collections/hvac/products/diablo-tools-dsp3050-7-8-in-x-16-in-spade-bit", "https://edmondsonsupply.com/collections/hvac/products/diablo-tools-dsp3050-7-8-in-x-16-in-spade-bit")</f>
        <v>https://edmondsonsupply.com/collections/hvac/products/diablo-tools-dsp3050-7-8-in-x-16-in-spade-bit</v>
      </c>
      <c r="B2226" s="3" t="str">
        <f>HYPERLINK("https://edmondsonsupply.com/products/diablo-tools-dsp3050-7-8-in-x-16-in-spade-bit", "https://edmondsonsupply.com/products/diablo-tools-dsp3050-7-8-in-x-16-in-spade-bit")</f>
        <v>https://edmondsonsupply.com/products/diablo-tools-dsp3050-7-8-in-x-16-in-spade-bit</v>
      </c>
      <c r="C2226" t="s">
        <v>5814</v>
      </c>
      <c r="D2226" t="s">
        <v>5850</v>
      </c>
      <c r="E2226" s="3" t="str">
        <f>HYPERLINK("https://www.amazon.com/Diablo-16-SPEEDemon-Spade-Bit/dp/B089LKXD6Z/ref=sr_1_5?keywords=Diablo+Tools+DSP3050+7%2F8+in.+x+16+in.+Spade+Bit&amp;qid=1695173782&amp;sr=8-5", "https://www.amazon.com/Diablo-16-SPEEDemon-Spade-Bit/dp/B089LKXD6Z/ref=sr_1_5?keywords=Diablo+Tools+DSP3050+7%2F8+in.+x+16+in.+Spade+Bit&amp;qid=1695173782&amp;sr=8-5")</f>
        <v>https://www.amazon.com/Diablo-16-SPEEDemon-Spade-Bit/dp/B089LKXD6Z/ref=sr_1_5?keywords=Diablo+Tools+DSP3050+7%2F8+in.+x+16+in.+Spade+Bit&amp;qid=1695173782&amp;sr=8-5</v>
      </c>
      <c r="F2226" t="s">
        <v>5851</v>
      </c>
      <c r="G2226" t="e">
        <f ca="1">_xludf.IMAGE("https://edmondsonsupply.com/cdn/shop/files/y2jtkhe6p1ztkurhqyvu.webp?v=1685722260")</f>
        <v>#NAME?</v>
      </c>
      <c r="H2226" t="e">
        <f ca="1">_xludf.IMAGE("https://m.media-amazon.com/images/I/616SIXUQ4mL._AC_UL320_.jpg")</f>
        <v>#NAME?</v>
      </c>
      <c r="I2226" t="s">
        <v>2347</v>
      </c>
      <c r="J2226">
        <v>9.93</v>
      </c>
      <c r="K2226" s="4">
        <v>0.42059999999999997</v>
      </c>
      <c r="L2226">
        <v>4.3</v>
      </c>
      <c r="M2226">
        <v>10</v>
      </c>
      <c r="O2226" t="s">
        <v>25</v>
      </c>
      <c r="P2226" t="s">
        <v>5817</v>
      </c>
      <c r="Q2226" t="s">
        <v>5818</v>
      </c>
    </row>
    <row r="2227" spans="1:17" ht="15.5" x14ac:dyDescent="0.35">
      <c r="A2227" s="3" t="str">
        <f>HYPERLINK("https://edmondsonsupply.com/collections/hvac/products/diablo-tools-dmapl4250-3-4-in-x-8-in-x-10-in-rebar-demon%E2%84%A2-sds-plus-4-cutter-full-carbide-head-hammer-drill-bit", "https://edmondsonsupply.com/collections/hvac/products/diablo-tools-dmapl4250-3-4-in-x-8-in-x-10-in-rebar-demon%E2%84%A2-sds-plus-4-cutter-full-carbide-head-hammer-drill-bit")</f>
        <v>https://edmondsonsupply.com/collections/hvac/products/diablo-tools-dmapl4250-3-4-in-x-8-in-x-10-in-rebar-demon%E2%84%A2-sds-plus-4-cutter-full-carbide-head-hammer-drill-bit</v>
      </c>
      <c r="B2227"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2227" t="s">
        <v>5852</v>
      </c>
      <c r="D2227" t="s">
        <v>5560</v>
      </c>
      <c r="E2227" s="3" t="str">
        <f>HYPERLINK("https://www.amazon.com/Diablo-Freud-DMAPL4300-SDS-Plus-4-Cutter/dp/B089LL8JD8/ref=sr_1_1?keywords=Diablo+Tools+DMAPL4250+3%2F4+in.+x+8+in.+x+10+in.+Rebar+Demon%E2%84%A2+SDS-Plus+4-Cutter+Full+Carbide+Head+Hammer+Drill+Bit&amp;qid=1695173779&amp;sr=8-1", "https://www.amazon.com/Diablo-Freud-DMAPL4300-SDS-Plus-4-Cutter/dp/B089LL8JD8/ref=sr_1_1?keywords=Diablo+Tools+DMAPL4250+3%2F4+in.+x+8+in.+x+10+in.+Rebar+Demon%E2%84%A2+SDS-Plus+4-Cutter+Full+Carbide+Head+Hammer+Drill+Bit&amp;qid=1695173779&amp;sr=8-1")</f>
        <v>https://www.amazon.com/Diablo-Freud-DMAPL4300-SDS-Plus-4-Cutter/dp/B089LL8JD8/ref=sr_1_1?keywords=Diablo+Tools+DMAPL4250+3%2F4+in.+x+8+in.+x+10+in.+Rebar+Demon%E2%84%A2+SDS-Plus+4-Cutter+Full+Carbide+Head+Hammer+Drill+Bit&amp;qid=1695173779&amp;sr=8-1</v>
      </c>
      <c r="F2227" t="s">
        <v>5561</v>
      </c>
      <c r="G2227" t="e">
        <f ca="1">_xludf.IMAGE("https://edmondsonsupply.com/cdn/shop/files/rltcbi253wmfv6otmtz6.webp?v=1686576913")</f>
        <v>#NAME?</v>
      </c>
      <c r="H2227" t="e">
        <f ca="1">_xludf.IMAGE("https://m.media-amazon.com/images/I/616UiJGsK1L._AC_UL320_.jpg")</f>
        <v>#NAME?</v>
      </c>
      <c r="I2227" t="s">
        <v>5853</v>
      </c>
      <c r="J2227">
        <v>33.950000000000003</v>
      </c>
      <c r="K2227" s="4">
        <v>0.38740000000000002</v>
      </c>
      <c r="L2227">
        <v>4.5</v>
      </c>
      <c r="M2227">
        <v>16</v>
      </c>
      <c r="O2227" t="s">
        <v>25</v>
      </c>
      <c r="P2227" t="s">
        <v>5854</v>
      </c>
      <c r="Q2227" t="s">
        <v>5855</v>
      </c>
    </row>
    <row r="2228" spans="1:17" ht="15.5" x14ac:dyDescent="0.35">
      <c r="A2228" s="3" t="str">
        <f>HYPERLINK("https://edmondsonsupply.com/collections/hvac/products/fluke-373-true-rms-ac-clamp-meter", "https://edmondsonsupply.com/collections/hvac/products/fluke-373-true-rms-ac-clamp-meter")</f>
        <v>https://edmondsonsupply.com/collections/hvac/products/fluke-373-true-rms-ac-clamp-meter</v>
      </c>
      <c r="B2228" s="3" t="str">
        <f>HYPERLINK("https://edmondsonsupply.com/products/fluke-373-true-rms-ac-clamp-meter", "https://edmondsonsupply.com/products/fluke-373-true-rms-ac-clamp-meter")</f>
        <v>https://edmondsonsupply.com/products/fluke-373-true-rms-ac-clamp-meter</v>
      </c>
      <c r="C2228" t="s">
        <v>5826</v>
      </c>
      <c r="D2228" t="s">
        <v>5378</v>
      </c>
      <c r="E2228" s="3" t="str">
        <f>HYPERLINK("https://www.amazon.com/Fluke-True-Clamp-Meter-iFlex/dp/B0086963VC/ref=sr_1_10?keywords=Fluke+373+True-RMS+AC+Clamp+Meter&amp;qid=1695173782&amp;sr=8-10", "https://www.amazon.com/Fluke-True-Clamp-Meter-iFlex/dp/B0086963VC/ref=sr_1_10?keywords=Fluke+373+True-RMS+AC+Clamp+Meter&amp;qid=1695173782&amp;sr=8-10")</f>
        <v>https://www.amazon.com/Fluke-True-Clamp-Meter-iFlex/dp/B0086963VC/ref=sr_1_10?keywords=Fluke+373+True-RMS+AC+Clamp+Meter&amp;qid=1695173782&amp;sr=8-10</v>
      </c>
      <c r="F2228" t="s">
        <v>5379</v>
      </c>
      <c r="G2228" t="e">
        <f ca="1">_xludf.IMAGE("https://edmondsonsupply.com/cdn/shop/files/f-373-01d-1500x1000.webp?v=1689369435")</f>
        <v>#NAME?</v>
      </c>
      <c r="H2228" t="e">
        <f ca="1">_xludf.IMAGE("https://m.media-amazon.com/images/I/51g0DI2hCPL._AC_UY218_.jpg")</f>
        <v>#NAME?</v>
      </c>
      <c r="I2228" t="s">
        <v>5829</v>
      </c>
      <c r="J2228">
        <v>393</v>
      </c>
      <c r="K2228" s="4">
        <v>0.35489999999999999</v>
      </c>
      <c r="L2228">
        <v>4.5</v>
      </c>
      <c r="M2228">
        <v>102</v>
      </c>
      <c r="O2228" t="s">
        <v>25</v>
      </c>
      <c r="P2228" t="s">
        <v>138</v>
      </c>
      <c r="Q2228" t="s">
        <v>5830</v>
      </c>
    </row>
    <row r="2229" spans="1:17" ht="15.5" x14ac:dyDescent="0.35">
      <c r="A2229" s="3" t="str">
        <f>HYPERLINK("https://edmondsonsupply.com/collections/hvac/products/milwaukee-49-90-1900-hepa-filter", "https://edmondsonsupply.com/collections/hvac/products/milwaukee-49-90-1900-hepa-filter")</f>
        <v>https://edmondsonsupply.com/collections/hvac/products/milwaukee-49-90-1900-hepa-filter</v>
      </c>
      <c r="B2229" s="3" t="str">
        <f>HYPERLINK("https://edmondsonsupply.com/products/milwaukee-49-90-1900-hepa-filter", "https://edmondsonsupply.com/products/milwaukee-49-90-1900-hepa-filter")</f>
        <v>https://edmondsonsupply.com/products/milwaukee-49-90-1900-hepa-filter</v>
      </c>
      <c r="C2229" t="s">
        <v>5831</v>
      </c>
      <c r="D2229" t="s">
        <v>5856</v>
      </c>
      <c r="E2229" s="3" t="str">
        <f>HYPERLINK("https://www.amazon.com/49-90-1900-Milwaukee-Compatible-Cordless-0780-20/dp/B0CB5BCMWC/ref=sr_1_2?keywords=Milwaukee+49-90-1900+HEPA+Filter&amp;qid=1695173776&amp;sr=8-2", "https://www.amazon.com/49-90-1900-Milwaukee-Compatible-Cordless-0780-20/dp/B0CB5BCMWC/ref=sr_1_2?keywords=Milwaukee+49-90-1900+HEPA+Filter&amp;qid=1695173776&amp;sr=8-2")</f>
        <v>https://www.amazon.com/49-90-1900-Milwaukee-Compatible-Cordless-0780-20/dp/B0CB5BCMWC/ref=sr_1_2?keywords=Milwaukee+49-90-1900+HEPA+Filter&amp;qid=1695173776&amp;sr=8-2</v>
      </c>
      <c r="F2229" t="s">
        <v>5857</v>
      </c>
      <c r="G2229" t="e">
        <f ca="1">_xludf.IMAGE("https://edmondsonsupply.com/cdn/shop/files/49-90-1900_1.png?v=1686234774")</f>
        <v>#NAME?</v>
      </c>
      <c r="H2229" t="e">
        <f ca="1">_xludf.IMAGE("https://m.media-amazon.com/images/I/71C38zY2mIL._AC_UL320_.jpg")</f>
        <v>#NAME?</v>
      </c>
      <c r="I2229" t="s">
        <v>2170</v>
      </c>
      <c r="J2229">
        <v>32.99</v>
      </c>
      <c r="K2229" s="4">
        <v>0.32069999999999999</v>
      </c>
      <c r="L2229">
        <v>4.5999999999999996</v>
      </c>
      <c r="M2229">
        <v>47</v>
      </c>
      <c r="O2229" t="s">
        <v>25</v>
      </c>
      <c r="P2229" t="s">
        <v>2470</v>
      </c>
      <c r="Q2229" t="s">
        <v>5834</v>
      </c>
    </row>
    <row r="2230" spans="1:17" ht="15.5" x14ac:dyDescent="0.35">
      <c r="A2230" s="3" t="str">
        <f>HYPERLINK("https://edmondsonsupply.com/collections/hvac/products/milwaukee-49-90-1900-hepa-filter", "https://edmondsonsupply.com/collections/hvac/products/milwaukee-49-90-1900-hepa-filter")</f>
        <v>https://edmondsonsupply.com/collections/hvac/products/milwaukee-49-90-1900-hepa-filter</v>
      </c>
      <c r="B2230" s="3" t="str">
        <f>HYPERLINK("https://edmondsonsupply.com/products/milwaukee-49-90-1900-hepa-filter", "https://edmondsonsupply.com/products/milwaukee-49-90-1900-hepa-filter")</f>
        <v>https://edmondsonsupply.com/products/milwaukee-49-90-1900-hepa-filter</v>
      </c>
      <c r="C2230" t="s">
        <v>5831</v>
      </c>
      <c r="D2230" t="s">
        <v>5858</v>
      </c>
      <c r="E2230" s="3" t="str">
        <f>HYPERLINK("https://www.amazon.com/Anewise-49-90-1900-Replacement-Milwaukee-0880-20/dp/B0C149NC9Q/ref=sr_1_9?keywords=Milwaukee+49-90-1900+HEPA+Filter&amp;qid=1695173776&amp;sr=8-9", "https://www.amazon.com/Anewise-49-90-1900-Replacement-Milwaukee-0880-20/dp/B0C149NC9Q/ref=sr_1_9?keywords=Milwaukee+49-90-1900+HEPA+Filter&amp;qid=1695173776&amp;sr=8-9")</f>
        <v>https://www.amazon.com/Anewise-49-90-1900-Replacement-Milwaukee-0880-20/dp/B0C149NC9Q/ref=sr_1_9?keywords=Milwaukee+49-90-1900+HEPA+Filter&amp;qid=1695173776&amp;sr=8-9</v>
      </c>
      <c r="F2230" t="s">
        <v>5859</v>
      </c>
      <c r="G2230" t="e">
        <f ca="1">_xludf.IMAGE("https://edmondsonsupply.com/cdn/shop/files/49-90-1900_1.png?v=1686234774")</f>
        <v>#NAME?</v>
      </c>
      <c r="H2230" t="e">
        <f ca="1">_xludf.IMAGE("https://m.media-amazon.com/images/I/713gthAL4TL._AC_UL320_.jpg")</f>
        <v>#NAME?</v>
      </c>
      <c r="I2230" t="s">
        <v>2170</v>
      </c>
      <c r="J2230">
        <v>32.99</v>
      </c>
      <c r="K2230" s="4">
        <v>0.32069999999999999</v>
      </c>
      <c r="L2230">
        <v>5</v>
      </c>
      <c r="M2230">
        <v>6</v>
      </c>
      <c r="O2230" t="s">
        <v>25</v>
      </c>
      <c r="P2230" t="s">
        <v>2470</v>
      </c>
      <c r="Q2230" t="s">
        <v>5834</v>
      </c>
    </row>
    <row r="2231" spans="1:17" ht="15.5" x14ac:dyDescent="0.35">
      <c r="A2231" s="3" t="str">
        <f>HYPERLINK("https://edmondsonsupply.com/collections/hvac/products/diablo-tools-dmapl2290-7-16-in-x-10-in-x-12-in-sds-plus-2-cutter", "https://edmondsonsupply.com/collections/hvac/products/diablo-tools-dmapl2290-7-16-in-x-10-in-x-12-in-sds-plus-2-cutter")</f>
        <v>https://edmondsonsupply.com/collections/hvac/products/diablo-tools-dmapl2290-7-16-in-x-10-in-x-12-in-sds-plus-2-cutter</v>
      </c>
      <c r="B2231" s="3" t="str">
        <f>HYPERLINK("https://edmondsonsupply.com/products/diablo-tools-dmapl2290-7-16-in-x-10-in-x-12-in-sds-plus-2-cutter", "https://edmondsonsupply.com/products/diablo-tools-dmapl2290-7-16-in-x-10-in-x-12-in-sds-plus-2-cutter")</f>
        <v>https://edmondsonsupply.com/products/diablo-tools-dmapl2290-7-16-in-x-10-in-x-12-in-sds-plus-2-cutter</v>
      </c>
      <c r="C2231" t="s">
        <v>5860</v>
      </c>
      <c r="D2231" t="s">
        <v>5861</v>
      </c>
      <c r="E2231" s="3" t="str">
        <f>HYPERLINK("https://www.amazon.com/Diablo-DMAPL2380-16-SDS-Plus-2-Cutter/dp/B089LGWH7X/ref=sr_1_4?keywords=Diablo+Tools+DMAPL2290+7%2F16+in.+x+10+in.+x+12+in.+SDS-Plus+2-Cutter&amp;qid=1695173778&amp;sr=8-4", "https://www.amazon.com/Diablo-DMAPL2380-16-SDS-Plus-2-Cutter/dp/B089LGWH7X/ref=sr_1_4?keywords=Diablo+Tools+DMAPL2290+7%2F16+in.+x+10+in.+x+12+in.+SDS-Plus+2-Cutter&amp;qid=1695173778&amp;sr=8-4")</f>
        <v>https://www.amazon.com/Diablo-DMAPL2380-16-SDS-Plus-2-Cutter/dp/B089LGWH7X/ref=sr_1_4?keywords=Diablo+Tools+DMAPL2290+7%2F16+in.+x+10+in.+x+12+in.+SDS-Plus+2-Cutter&amp;qid=1695173778&amp;sr=8-4</v>
      </c>
      <c r="F2231" t="s">
        <v>5862</v>
      </c>
      <c r="G2231" t="e">
        <f ca="1">_xludf.IMAGE("https://edmondsonsupply.com/cdn/shop/files/lgvfccwvf9ikjakt8qfb.webp?v=1686146379")</f>
        <v>#NAME?</v>
      </c>
      <c r="H2231" t="e">
        <f ca="1">_xludf.IMAGE("https://m.media-amazon.com/images/I/6120+2+rRTL._AC_UL320_.jpg")</f>
        <v>#NAME?</v>
      </c>
      <c r="I2231" t="s">
        <v>1140</v>
      </c>
      <c r="J2231">
        <v>13.73</v>
      </c>
      <c r="K2231" s="4">
        <v>0.30759999999999998</v>
      </c>
      <c r="L2231">
        <v>5</v>
      </c>
      <c r="M2231">
        <v>1</v>
      </c>
      <c r="O2231" t="s">
        <v>25</v>
      </c>
      <c r="P2231" t="s">
        <v>5863</v>
      </c>
      <c r="Q2231" t="s">
        <v>5864</v>
      </c>
    </row>
    <row r="2232" spans="1:17" ht="15.5" x14ac:dyDescent="0.35">
      <c r="A2232" s="3" t="str">
        <f>HYPERLINK("https://edmondsonsupply.com/collections/hvac/products/diablo-tools-dmapl4250-3-4-in-x-8-in-x-10-in-rebar-demon%E2%84%A2-sds-plus-4-cutter-full-carbide-head-hammer-drill-bit", "https://edmondsonsupply.com/collections/hvac/products/diablo-tools-dmapl4250-3-4-in-x-8-in-x-10-in-rebar-demon%E2%84%A2-sds-plus-4-cutter-full-carbide-head-hammer-drill-bit")</f>
        <v>https://edmondsonsupply.com/collections/hvac/products/diablo-tools-dmapl4250-3-4-in-x-8-in-x-10-in-rebar-demon%E2%84%A2-sds-plus-4-cutter-full-carbide-head-hammer-drill-bit</v>
      </c>
      <c r="B2232"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2232" t="s">
        <v>5852</v>
      </c>
      <c r="D2232" t="s">
        <v>5865</v>
      </c>
      <c r="E2232" s="3" t="str">
        <f>HYPERLINK("https://www.amazon.com/Diablo-Freud-DMAPL4270-SDS-Plus-4-Cutter/dp/B089KXBGLM/ref=sr_1_2?keywords=Diablo+Tools+DMAPL4250+3%2F4+in.+x+8+in.+x+10+in.+Rebar+Demon%E2%84%A2+SDS-Plus+4-Cutter+Full+Carbide+Head+Hammer+Drill+Bit&amp;qid=1695173779&amp;sr=8-2", "https://www.amazon.com/Diablo-Freud-DMAPL4270-SDS-Plus-4-Cutter/dp/B089KXBGLM/ref=sr_1_2?keywords=Diablo+Tools+DMAPL4250+3%2F4+in.+x+8+in.+x+10+in.+Rebar+Demon%E2%84%A2+SDS-Plus+4-Cutter+Full+Carbide+Head+Hammer+Drill+Bit&amp;qid=1695173779&amp;sr=8-2")</f>
        <v>https://www.amazon.com/Diablo-Freud-DMAPL4270-SDS-Plus-4-Cutter/dp/B089KXBGLM/ref=sr_1_2?keywords=Diablo+Tools+DMAPL4250+3%2F4+in.+x+8+in.+x+10+in.+Rebar+Demon%E2%84%A2+SDS-Plus+4-Cutter+Full+Carbide+Head+Hammer+Drill+Bit&amp;qid=1695173779&amp;sr=8-2</v>
      </c>
      <c r="F2232" t="s">
        <v>5866</v>
      </c>
      <c r="G2232" t="e">
        <f ca="1">_xludf.IMAGE("https://edmondsonsupply.com/cdn/shop/files/rltcbi253wmfv6otmtz6.webp?v=1686576913")</f>
        <v>#NAME?</v>
      </c>
      <c r="H2232" t="e">
        <f ca="1">_xludf.IMAGE("https://m.media-amazon.com/images/I/611A6sphG9L._AC_UL320_.jpg")</f>
        <v>#NAME?</v>
      </c>
      <c r="I2232" t="s">
        <v>5853</v>
      </c>
      <c r="J2232">
        <v>31.85</v>
      </c>
      <c r="K2232" s="4">
        <v>0.30159999999999998</v>
      </c>
      <c r="L2232">
        <v>5</v>
      </c>
      <c r="M2232">
        <v>2</v>
      </c>
      <c r="O2232" t="s">
        <v>25</v>
      </c>
      <c r="P2232" t="s">
        <v>5854</v>
      </c>
      <c r="Q2232" t="s">
        <v>5855</v>
      </c>
    </row>
    <row r="2233" spans="1:17" ht="15.5" x14ac:dyDescent="0.35">
      <c r="A2233" s="3" t="str">
        <f>HYPERLINK("https://edmondsonsupply.com/collections/hvac/products/milwaukee-49-90-1900-hepa-filter", "https://edmondsonsupply.com/collections/hvac/products/milwaukee-49-90-1900-hepa-filter")</f>
        <v>https://edmondsonsupply.com/collections/hvac/products/milwaukee-49-90-1900-hepa-filter</v>
      </c>
      <c r="B2233" s="3" t="str">
        <f>HYPERLINK("https://edmondsonsupply.com/products/milwaukee-49-90-1900-hepa-filter", "https://edmondsonsupply.com/products/milwaukee-49-90-1900-hepa-filter")</f>
        <v>https://edmondsonsupply.com/products/milwaukee-49-90-1900-hepa-filter</v>
      </c>
      <c r="C2233" t="s">
        <v>5831</v>
      </c>
      <c r="D2233" t="s">
        <v>5867</v>
      </c>
      <c r="E2233" s="3" t="str">
        <f>HYPERLINK("https://www.amazon.com/PUREBURG-Replacement-49-90-1900-Compatible-Gallon-0960-20/dp/B09TQMH51M/ref=sr_1_5?keywords=Milwaukee+49-90-1900+HEPA+Filter&amp;qid=1695173776&amp;sr=8-5", "https://www.amazon.com/PUREBURG-Replacement-49-90-1900-Compatible-Gallon-0960-20/dp/B09TQMH51M/ref=sr_1_5?keywords=Milwaukee+49-90-1900+HEPA+Filter&amp;qid=1695173776&amp;sr=8-5")</f>
        <v>https://www.amazon.com/PUREBURG-Replacement-49-90-1900-Compatible-Gallon-0960-20/dp/B09TQMH51M/ref=sr_1_5?keywords=Milwaukee+49-90-1900+HEPA+Filter&amp;qid=1695173776&amp;sr=8-5</v>
      </c>
      <c r="F2233" t="s">
        <v>5868</v>
      </c>
      <c r="G2233" t="e">
        <f ca="1">_xludf.IMAGE("https://edmondsonsupply.com/cdn/shop/files/49-90-1900_1.png?v=1686234774")</f>
        <v>#NAME?</v>
      </c>
      <c r="H2233" t="e">
        <f ca="1">_xludf.IMAGE("https://m.media-amazon.com/images/I/61QaPzKVdpL._AC_UL320_.jpg")</f>
        <v>#NAME?</v>
      </c>
      <c r="I2233" t="s">
        <v>2170</v>
      </c>
      <c r="J2233">
        <v>32.49</v>
      </c>
      <c r="K2233" s="4">
        <v>0.30059999999999998</v>
      </c>
      <c r="L2233">
        <v>4.5999999999999996</v>
      </c>
      <c r="M2233">
        <v>21</v>
      </c>
      <c r="O2233" t="s">
        <v>25</v>
      </c>
      <c r="P2233" t="s">
        <v>2470</v>
      </c>
      <c r="Q2233" t="s">
        <v>5834</v>
      </c>
    </row>
    <row r="2234" spans="1:17" ht="15.5" x14ac:dyDescent="0.35">
      <c r="A2234" s="3" t="str">
        <f>HYPERLINK("https://edmondsonsupply.com/collections/hvac/products/diablo-tools-dmamxcc5010-2-in-x-7-in-sds-max-carbide-tipped-core-bit", "https://edmondsonsupply.com/collections/hvac/products/diablo-tools-dmamxcc5010-2-in-x-7-in-sds-max-carbide-tipped-core-bit")</f>
        <v>https://edmondsonsupply.com/collections/hvac/products/diablo-tools-dmamxcc5010-2-in-x-7-in-sds-max-carbide-tipped-core-bit</v>
      </c>
      <c r="B2234"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234" t="s">
        <v>5837</v>
      </c>
      <c r="D2234" t="s">
        <v>5869</v>
      </c>
      <c r="E2234" s="3" t="str">
        <f>HYPERLINK("https://www.amazon.com/Diablo-DMAMX1390-SDS-Max-4-Cutter-Carbide-Tipped/dp/B089KW6C8V/ref=sr_1_4?keywords=Diablo+Tools+DMAMXCC5010+2+in.+x+7+in.+SDS-Max+Carbide+Tipped+Core+Bit&amp;qid=1695173774&amp;sr=8-4", "https://www.amazon.com/Diablo-DMAMX1390-SDS-Max-4-Cutter-Carbide-Tipped/dp/B089KW6C8V/ref=sr_1_4?keywords=Diablo+Tools+DMAMXCC5010+2+in.+x+7+in.+SDS-Max+Carbide+Tipped+Core+Bit&amp;qid=1695173774&amp;sr=8-4")</f>
        <v>https://www.amazon.com/Diablo-DMAMX1390-SDS-Max-4-Cutter-Carbide-Tipped/dp/B089KW6C8V/ref=sr_1_4?keywords=Diablo+Tools+DMAMXCC5010+2+in.+x+7+in.+SDS-Max+Carbide+Tipped+Core+Bit&amp;qid=1695173774&amp;sr=8-4</v>
      </c>
      <c r="F2234" t="s">
        <v>5870</v>
      </c>
      <c r="G2234" t="e">
        <f ca="1">_xludf.IMAGE("https://edmondsonsupply.com/cdn/shop/files/kbs61qpkymnshwvx13k1.webp?v=1686583113")</f>
        <v>#NAME?</v>
      </c>
      <c r="H2234" t="e">
        <f ca="1">_xludf.IMAGE("https://m.media-amazon.com/images/I/61J-83UaGmL._AC_UL320_.jpg")</f>
        <v>#NAME?</v>
      </c>
      <c r="I2234" t="s">
        <v>5840</v>
      </c>
      <c r="J2234">
        <v>130.66999999999999</v>
      </c>
      <c r="K2234" s="4">
        <v>0.28749999999999998</v>
      </c>
      <c r="L2234">
        <v>4.8</v>
      </c>
      <c r="M2234">
        <v>10</v>
      </c>
      <c r="O2234" t="s">
        <v>25</v>
      </c>
      <c r="P2234" t="s">
        <v>5841</v>
      </c>
      <c r="Q2234" t="s">
        <v>5842</v>
      </c>
    </row>
    <row r="2235" spans="1:17" ht="15.5" x14ac:dyDescent="0.35">
      <c r="A2235" s="3" t="str">
        <f>HYPERLINK("https://edmondsonsupply.com/collections/hvac/products/boss-products-315-100-rtv-silicone-sealant-10-1-oz-cartridge-clear", "https://edmondsonsupply.com/collections/hvac/products/boss-products-315-100-rtv-silicone-sealant-10-1-oz-cartridge-clear")</f>
        <v>https://edmondsonsupply.com/collections/hvac/products/boss-products-315-100-rtv-silicone-sealant-10-1-oz-cartridge-clear</v>
      </c>
      <c r="B2235" s="3" t="str">
        <f>HYPERLINK("https://edmondsonsupply.com/products/boss-products-315-100-rtv-silicone-sealant-10-1-oz-cartridge-clear", "https://edmondsonsupply.com/products/boss-products-315-100-rtv-silicone-sealant-10-1-oz-cartridge-clear")</f>
        <v>https://edmondsonsupply.com/products/boss-products-315-100-rtv-silicone-sealant-10-1-oz-cartridge-clear</v>
      </c>
      <c r="C2235" t="s">
        <v>5871</v>
      </c>
      <c r="D2235" t="s">
        <v>5872</v>
      </c>
      <c r="E2235" s="3" t="str">
        <f>HYPERLINK("https://www.amazon.com/Boss-Silicone-315-Clear-Sealant/dp/B00X521W1G/ref=sr_1_2?keywords=Boss+Products+315+100%25+RTV+Silicone+Sealant%2C+10.1+oz+Cartridge%2C+Clear&amp;qid=1695173774&amp;sr=8-2", "https://www.amazon.com/Boss-Silicone-315-Clear-Sealant/dp/B00X521W1G/ref=sr_1_2?keywords=Boss+Products+315+100%25+RTV+Silicone+Sealant%2C+10.1+oz+Cartridge%2C+Clear&amp;qid=1695173774&amp;sr=8-2")</f>
        <v>https://www.amazon.com/Boss-Silicone-315-Clear-Sealant/dp/B00X521W1G/ref=sr_1_2?keywords=Boss+Products+315+100%25+RTV+Silicone+Sealant%2C+10.1+oz+Cartridge%2C+Clear&amp;qid=1695173774&amp;sr=8-2</v>
      </c>
      <c r="F2235" t="s">
        <v>5873</v>
      </c>
      <c r="G2235" t="e">
        <f ca="1">_xludf.IMAGE("https://edmondsonsupply.com/cdn/shop/files/315-1217202330448PM.png?v=1686443142")</f>
        <v>#NAME?</v>
      </c>
      <c r="H2235" t="e">
        <f ca="1">_xludf.IMAGE("https://m.media-amazon.com/images/I/61tVTRGK2mL._AC_UY218_.jpg")</f>
        <v>#NAME?</v>
      </c>
      <c r="I2235" t="s">
        <v>5874</v>
      </c>
      <c r="J2235">
        <v>9.99</v>
      </c>
      <c r="K2235" s="4">
        <v>0.28739999999999999</v>
      </c>
      <c r="L2235">
        <v>4.7</v>
      </c>
      <c r="M2235">
        <v>92</v>
      </c>
      <c r="O2235" t="s">
        <v>25</v>
      </c>
      <c r="P2235" t="s">
        <v>138</v>
      </c>
      <c r="Q2235" t="s">
        <v>5875</v>
      </c>
    </row>
    <row r="2236" spans="1:17" ht="15.5" x14ac:dyDescent="0.35">
      <c r="A2236" s="3" t="str">
        <f>HYPERLINK("https://edmondsonsupply.com/collections/hvac/products/kroil-ks162-original-penetrant-aerosol-16oz-can", "https://edmondsonsupply.com/collections/hvac/products/kroil-ks162-original-penetrant-aerosol-16oz-can")</f>
        <v>https://edmondsonsupply.com/collections/hvac/products/kroil-ks162-original-penetrant-aerosol-16oz-can</v>
      </c>
      <c r="B2236" s="3" t="str">
        <f>HYPERLINK("https://edmondsonsupply.com/products/kroil-ks162-original-penetrant-aerosol-16oz-can", "https://edmondsonsupply.com/products/kroil-ks162-original-penetrant-aerosol-16oz-can")</f>
        <v>https://edmondsonsupply.com/products/kroil-ks162-original-penetrant-aerosol-16oz-can</v>
      </c>
      <c r="C2236" t="s">
        <v>5762</v>
      </c>
      <c r="D2236" t="s">
        <v>5876</v>
      </c>
      <c r="E2236" s="3"/>
      <c r="F2236" t="s">
        <v>5877</v>
      </c>
      <c r="G2236" t="e">
        <f ca="1">_xludf.IMAGE("https://edmondsonsupply.com/cdn/shop/files/KS162.webp?v=1686779895")</f>
        <v>#NAME?</v>
      </c>
      <c r="H2236" t="e">
        <f ca="1">_xludf.IMAGE("https://m.media-amazon.com/images/I/61iFrPMrlNL._AC_UY218_.jpg")</f>
        <v>#NAME?</v>
      </c>
      <c r="I2236" t="s">
        <v>5765</v>
      </c>
      <c r="J2236">
        <v>35.5</v>
      </c>
      <c r="K2236" s="4">
        <v>0.27289999999999998</v>
      </c>
      <c r="L2236">
        <v>4.8</v>
      </c>
      <c r="M2236">
        <v>1020</v>
      </c>
      <c r="O2236" t="s">
        <v>25</v>
      </c>
      <c r="P2236" t="s">
        <v>4475</v>
      </c>
      <c r="Q2236" t="s">
        <v>5766</v>
      </c>
    </row>
    <row r="2237" spans="1:17" ht="15.5" x14ac:dyDescent="0.35">
      <c r="A2237" s="3" t="str">
        <f>HYPERLINK("https://edmondsonsupply.com/collections/hvac/products/kroil-ks102-original-penetrant-aerosol-10oz-can", "https://edmondsonsupply.com/collections/hvac/products/kroil-ks102-original-penetrant-aerosol-10oz-can")</f>
        <v>https://edmondsonsupply.com/collections/hvac/products/kroil-ks102-original-penetrant-aerosol-10oz-can</v>
      </c>
      <c r="B2237" s="3" t="str">
        <f>HYPERLINK("https://edmondsonsupply.com/products/kroil-ks102-original-penetrant-aerosol-10oz-can", "https://edmondsonsupply.com/products/kroil-ks102-original-penetrant-aerosol-10oz-can")</f>
        <v>https://edmondsonsupply.com/products/kroil-ks102-original-penetrant-aerosol-10oz-can</v>
      </c>
      <c r="C2237" t="s">
        <v>5751</v>
      </c>
      <c r="D2237" t="s">
        <v>5878</v>
      </c>
      <c r="E2237" s="3" t="str">
        <f>HYPERLINK("https://www.amazon.com/Kano-Aerokroil-Penetrating-aerosol-AEROKROIL/dp/B000F09CEA/ref=sr_1_3?keywords=Kroil+KS102+Original+Penetrant+Aerosol+10oz+can&amp;qid=1695173773&amp;sr=8-3", "https://www.amazon.com/Kano-Aerokroil-Penetrating-aerosol-AEROKROIL/dp/B000F09CEA/ref=sr_1_3?keywords=Kroil+KS102+Original+Penetrant+Aerosol+10oz+can&amp;qid=1695173773&amp;sr=8-3")</f>
        <v>https://www.amazon.com/Kano-Aerokroil-Penetrating-aerosol-AEROKROIL/dp/B000F09CEA/ref=sr_1_3?keywords=Kroil+KS102+Original+Penetrant+Aerosol+10oz+can&amp;qid=1695173773&amp;sr=8-3</v>
      </c>
      <c r="F2237" t="s">
        <v>5879</v>
      </c>
      <c r="G2237" t="e">
        <f ca="1">_xludf.IMAGE("https://edmondsonsupply.com/cdn/shop/files/KS102.webp?v=1686779653")</f>
        <v>#NAME?</v>
      </c>
      <c r="H2237" t="e">
        <f ca="1">_xludf.IMAGE("https://m.media-amazon.com/images/I/81PG+9teC8L._AC_UY218_.jpg")</f>
        <v>#NAME?</v>
      </c>
      <c r="I2237" t="s">
        <v>3867</v>
      </c>
      <c r="J2237">
        <v>25.43</v>
      </c>
      <c r="K2237" s="4">
        <v>0.27279999999999999</v>
      </c>
      <c r="L2237">
        <v>4.8</v>
      </c>
      <c r="M2237">
        <v>2756</v>
      </c>
      <c r="O2237" t="s">
        <v>25</v>
      </c>
      <c r="P2237" t="s">
        <v>5754</v>
      </c>
      <c r="Q2237" t="s">
        <v>5755</v>
      </c>
    </row>
    <row r="2238" spans="1:17" ht="15.5" x14ac:dyDescent="0.35">
      <c r="A2238" s="3" t="str">
        <f>HYPERLINK("https://edmondsonsupply.com/collections/hvac/products/diablo-tools-dmamxcc5030-3-1-4-in-x-7-in-sds-max-carbide-tipped-core-bit", "https://edmondsonsupply.com/collections/hvac/products/diablo-tools-dmamxcc5030-3-1-4-in-x-7-in-sds-max-carbide-tipped-core-bit")</f>
        <v>https://edmondsonsupply.com/collections/hvac/products/diablo-tools-dmamxcc5030-3-1-4-in-x-7-in-sds-max-carbide-tipped-core-bit</v>
      </c>
      <c r="B2238"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2238" t="s">
        <v>5880</v>
      </c>
      <c r="D2238" t="s">
        <v>5881</v>
      </c>
      <c r="E2238" s="3" t="str">
        <f>HYPERLINK("https://www.amazon.com/Diablo-SDS-Max-Carbide-Tipped-Core/dp/B089M8ST7R/ref=sr_1_5?keywords=Diablo+Tools+DMAMXCC5030+3-1%2F4+in.+x+7+in.+SDS-Max+Carbide+Tipped+Core+Bit&amp;qid=1695173779&amp;sr=8-5", "https://www.amazon.com/Diablo-SDS-Max-Carbide-Tipped-Core/dp/B089M8ST7R/ref=sr_1_5?keywords=Diablo+Tools+DMAMXCC5030+3-1%2F4+in.+x+7+in.+SDS-Max+Carbide+Tipped+Core+Bit&amp;qid=1695173779&amp;sr=8-5")</f>
        <v>https://www.amazon.com/Diablo-SDS-Max-Carbide-Tipped-Core/dp/B089M8ST7R/ref=sr_1_5?keywords=Diablo+Tools+DMAMXCC5030+3-1%2F4+in.+x+7+in.+SDS-Max+Carbide+Tipped+Core+Bit&amp;qid=1695173779&amp;sr=8-5</v>
      </c>
      <c r="F2238" t="s">
        <v>5882</v>
      </c>
      <c r="G2238" t="e">
        <f ca="1">_xludf.IMAGE("https://edmondsonsupply.com/cdn/shop/files/gtygiwnduxetozty2qne.webp?v=1686585332")</f>
        <v>#NAME?</v>
      </c>
      <c r="H2238" t="e">
        <f ca="1">_xludf.IMAGE("https://m.media-amazon.com/images/I/71bh3TRvqmL._AC_UL320_.jpg")</f>
        <v>#NAME?</v>
      </c>
      <c r="I2238" t="s">
        <v>5883</v>
      </c>
      <c r="J2238">
        <v>157.44</v>
      </c>
      <c r="K2238" s="4">
        <v>0.24959999999999999</v>
      </c>
      <c r="L2238">
        <v>4.7</v>
      </c>
      <c r="M2238">
        <v>8</v>
      </c>
      <c r="O2238" t="s">
        <v>25</v>
      </c>
      <c r="P2238" t="s">
        <v>5884</v>
      </c>
      <c r="Q2238" t="s">
        <v>5885</v>
      </c>
    </row>
    <row r="2239" spans="1:17" ht="15.5" x14ac:dyDescent="0.35">
      <c r="A2239" s="3" t="str">
        <f>HYPERLINK("https://edmondsonsupply.com/collections/hvac/products/diablo-tools-dou125cgp-1-1-4-in-universal-fit-carbide-oscillating-blade-for-general-purpose-cuts", "https://edmondsonsupply.com/collections/hvac/products/diablo-tools-dou125cgp-1-1-4-in-universal-fit-carbide-oscillating-blade-for-general-purpose-cuts")</f>
        <v>https://edmondsonsupply.com/collections/hvac/products/diablo-tools-dou125cgp-1-1-4-in-universal-fit-carbide-oscillating-blade-for-general-purpose-cuts</v>
      </c>
      <c r="B2239"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2239" t="s">
        <v>5886</v>
      </c>
      <c r="D2239" t="s">
        <v>5887</v>
      </c>
      <c r="E2239" s="3" t="str">
        <f>HYPERLINK("https://www.amazon.com/Diablo-Freud-DOU125CGP3-Universal-Oscillating/dp/B089KW6C8Q/ref=sr_1_3?keywords=Diablo+Tools+DOU125CGP+1-1%2F4+in.+Universal+Fit+Carbide+Oscillating+Blade+for+General+Purpose+Cuts&amp;qid=1695173778&amp;sr=8-3", "https://www.amazon.com/Diablo-Freud-DOU125CGP3-Universal-Oscillating/dp/B089KW6C8Q/ref=sr_1_3?keywords=Diablo+Tools+DOU125CGP+1-1%2F4+in.+Universal+Fit+Carbide+Oscillating+Blade+for+General+Purpose+Cuts&amp;qid=1695173778&amp;sr=8-3")</f>
        <v>https://www.amazon.com/Diablo-Freud-DOU125CGP3-Universal-Oscillating/dp/B089KW6C8Q/ref=sr_1_3?keywords=Diablo+Tools+DOU125CGP+1-1%2F4+in.+Universal+Fit+Carbide+Oscillating+Blade+for+General+Purpose+Cuts&amp;qid=1695173778&amp;sr=8-3</v>
      </c>
      <c r="F2239" t="s">
        <v>5888</v>
      </c>
      <c r="G2239" t="e">
        <f ca="1">_xludf.IMAGE("https://edmondsonsupply.com/cdn/shop/files/htobgrjt150mygkkk6to_dca17485-ff4c-4cd2-9345-f1b96a9206f3.webp?v=1686146827")</f>
        <v>#NAME?</v>
      </c>
      <c r="H2239" t="e">
        <f ca="1">_xludf.IMAGE("https://m.media-amazon.com/images/I/71lNEMXVnHL._AC_UL320_.jpg")</f>
        <v>#NAME?</v>
      </c>
      <c r="I2239" t="s">
        <v>1716</v>
      </c>
      <c r="J2239">
        <v>27.99</v>
      </c>
      <c r="K2239" s="4">
        <v>0.2185</v>
      </c>
      <c r="L2239">
        <v>4.5</v>
      </c>
      <c r="M2239">
        <v>139</v>
      </c>
      <c r="O2239" t="s">
        <v>25</v>
      </c>
      <c r="P2239" t="s">
        <v>5889</v>
      </c>
      <c r="Q2239" t="s">
        <v>5890</v>
      </c>
    </row>
    <row r="2240" spans="1:17" ht="15.5" x14ac:dyDescent="0.35">
      <c r="A2240" s="3" t="str">
        <f>HYPERLINK("https://edmondsonsupply.com/collections/hvac/products/kroil-ks162-original-penetrant-aerosol-16oz-can", "https://edmondsonsupply.com/collections/hvac/products/kroil-ks162-original-penetrant-aerosol-16oz-can")</f>
        <v>https://edmondsonsupply.com/collections/hvac/products/kroil-ks162-original-penetrant-aerosol-16oz-can</v>
      </c>
      <c r="B2240" s="3" t="str">
        <f>HYPERLINK("https://edmondsonsupply.com/products/kroil-ks162-original-penetrant-aerosol-16oz-can", "https://edmondsonsupply.com/products/kroil-ks162-original-penetrant-aerosol-16oz-can")</f>
        <v>https://edmondsonsupply.com/products/kroil-ks162-original-penetrant-aerosol-16oz-can</v>
      </c>
      <c r="C2240" t="s">
        <v>5762</v>
      </c>
      <c r="D2240" t="s">
        <v>3299</v>
      </c>
      <c r="E2240" s="3"/>
      <c r="F2240" t="s">
        <v>3300</v>
      </c>
      <c r="G2240" t="e">
        <f ca="1">_xludf.IMAGE("https://edmondsonsupply.com/cdn/shop/files/KS162.webp?v=1686779895")</f>
        <v>#NAME?</v>
      </c>
      <c r="H2240" t="e">
        <f ca="1">_xludf.IMAGE("https://m.media-amazon.com/images/I/51mtHxiqoDL._AC_UY218_.jpg")</f>
        <v>#NAME?</v>
      </c>
      <c r="I2240" t="s">
        <v>5765</v>
      </c>
      <c r="J2240">
        <v>33.78</v>
      </c>
      <c r="K2240" s="4">
        <v>0.2112</v>
      </c>
      <c r="L2240">
        <v>4.8</v>
      </c>
      <c r="M2240">
        <v>2793</v>
      </c>
      <c r="O2240" t="s">
        <v>25</v>
      </c>
      <c r="P2240" t="s">
        <v>4475</v>
      </c>
      <c r="Q2240" t="s">
        <v>5766</v>
      </c>
    </row>
    <row r="2241" spans="1:17" ht="15.5" x14ac:dyDescent="0.35">
      <c r="A2241" s="3" t="str">
        <f>HYPERLINK("https://edmondsonsupply.com/collections/hvac/products/kroil-ks162-original-penetrant-aerosol-16oz-can", "https://edmondsonsupply.com/collections/hvac/products/kroil-ks162-original-penetrant-aerosol-16oz-can")</f>
        <v>https://edmondsonsupply.com/collections/hvac/products/kroil-ks162-original-penetrant-aerosol-16oz-can</v>
      </c>
      <c r="B2241" s="3" t="str">
        <f>HYPERLINK("https://edmondsonsupply.com/products/kroil-ks162-original-penetrant-aerosol-16oz-can", "https://edmondsonsupply.com/products/kroil-ks162-original-penetrant-aerosol-16oz-can")</f>
        <v>https://edmondsonsupply.com/products/kroil-ks162-original-penetrant-aerosol-16oz-can</v>
      </c>
      <c r="C2241" t="s">
        <v>5762</v>
      </c>
      <c r="D2241" t="s">
        <v>3299</v>
      </c>
      <c r="E2241" s="3" t="str">
        <f>HYPERLINK("https://www.amazon.com/Penetrating-Spray-16-5oz-Can-Single-Penetrant-Corrosion/dp/B005ESIHZI/ref=sr_1_3?keywords=Kroil+KS162+Original+Penetrant+Aerosol+16.5oz+can&amp;qid=1695173803&amp;sr=8-3", "https://www.amazon.com/Penetrating-Spray-16-5oz-Can-Single-Penetrant-Corrosion/dp/B005ESIHZI/ref=sr_1_3?keywords=Kroil+KS162+Original+Penetrant+Aerosol+16.5oz+can&amp;qid=1695173803&amp;sr=8-3")</f>
        <v>https://www.amazon.com/Penetrating-Spray-16-5oz-Can-Single-Penetrant-Corrosion/dp/B005ESIHZI/ref=sr_1_3?keywords=Kroil+KS162+Original+Penetrant+Aerosol+16.5oz+can&amp;qid=1695173803&amp;sr=8-3</v>
      </c>
      <c r="F2241" t="s">
        <v>3300</v>
      </c>
      <c r="G2241" t="e">
        <f ca="1">_xludf.IMAGE("https://edmondsonsupply.com/cdn/shop/files/KS162.webp?v=1686779895")</f>
        <v>#NAME?</v>
      </c>
      <c r="H2241" t="e">
        <f ca="1">_xludf.IMAGE("https://m.media-amazon.com/images/I/51mtHxiqoDL._AC_UY218_.jpg")</f>
        <v>#NAME?</v>
      </c>
      <c r="I2241" t="s">
        <v>5765</v>
      </c>
      <c r="J2241">
        <v>33.78</v>
      </c>
      <c r="K2241" s="4">
        <v>0.2112</v>
      </c>
      <c r="L2241">
        <v>4.8</v>
      </c>
      <c r="M2241">
        <v>2793</v>
      </c>
      <c r="O2241" t="s">
        <v>25</v>
      </c>
      <c r="P2241" t="s">
        <v>4475</v>
      </c>
      <c r="Q2241" t="s">
        <v>5766</v>
      </c>
    </row>
    <row r="2242" spans="1:17" ht="15.5" x14ac:dyDescent="0.35">
      <c r="A2242" s="3" t="str">
        <f>HYPERLINK("https://edmondsonsupply.com/collections/hvac/products/diablo-tools-dmamxcc5010-2-in-x-7-in-sds-max-carbide-tipped-core-bit", "https://edmondsonsupply.com/collections/hvac/products/diablo-tools-dmamxcc5010-2-in-x-7-in-sds-max-carbide-tipped-core-bit")</f>
        <v>https://edmondsonsupply.com/collections/hvac/products/diablo-tools-dmamxcc5010-2-in-x-7-in-sds-max-carbide-tipped-core-bit</v>
      </c>
      <c r="B2242"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242" t="s">
        <v>5837</v>
      </c>
      <c r="D2242" t="s">
        <v>5891</v>
      </c>
      <c r="E2242" s="3" t="str">
        <f>HYPERLINK("https://www.amazon.com/Diablo-DMAMXCC5020-SDS-Max-Carbide-Tipped/dp/B089M7TYBC/ref=sr_1_2?keywords=Diablo+Tools+DMAMXCC5010+2+in.+x+7+in.+SDS-Max+Carbide+Tipped+Core+Bit&amp;qid=1695173774&amp;sr=8-2", "https://www.amazon.com/Diablo-DMAMXCC5020-SDS-Max-Carbide-Tipped/dp/B089M7TYBC/ref=sr_1_2?keywords=Diablo+Tools+DMAMXCC5010+2+in.+x+7+in.+SDS-Max+Carbide+Tipped+Core+Bit&amp;qid=1695173774&amp;sr=8-2")</f>
        <v>https://www.amazon.com/Diablo-DMAMXCC5020-SDS-Max-Carbide-Tipped/dp/B089M7TYBC/ref=sr_1_2?keywords=Diablo+Tools+DMAMXCC5010+2+in.+x+7+in.+SDS-Max+Carbide+Tipped+Core+Bit&amp;qid=1695173774&amp;sr=8-2</v>
      </c>
      <c r="F2242" t="s">
        <v>5892</v>
      </c>
      <c r="G2242" t="e">
        <f ca="1">_xludf.IMAGE("https://edmondsonsupply.com/cdn/shop/files/kbs61qpkymnshwvx13k1.webp?v=1686583113")</f>
        <v>#NAME?</v>
      </c>
      <c r="H2242" t="e">
        <f ca="1">_xludf.IMAGE("https://m.media-amazon.com/images/I/61fu3xDsk5L._AC_UL320_.jpg")</f>
        <v>#NAME?</v>
      </c>
      <c r="I2242" t="s">
        <v>5840</v>
      </c>
      <c r="J2242">
        <v>120.46</v>
      </c>
      <c r="K2242" s="4">
        <v>0.18690000000000001</v>
      </c>
      <c r="L2242">
        <v>4.8</v>
      </c>
      <c r="M2242">
        <v>5</v>
      </c>
      <c r="O2242" t="s">
        <v>25</v>
      </c>
      <c r="P2242" t="s">
        <v>5841</v>
      </c>
      <c r="Q2242" t="s">
        <v>5842</v>
      </c>
    </row>
    <row r="2243" spans="1:17" ht="15.5" x14ac:dyDescent="0.35">
      <c r="A2243" s="3" t="str">
        <f>HYPERLINK("https://edmondsonsupply.com/collections/hvac/products/diablo-tools-dmapl4250-3-4-in-x-8-in-x-10-in-rebar-demon%E2%84%A2-sds-plus-4-cutter-full-carbide-head-hammer-drill-bit", "https://edmondsonsupply.com/collections/hvac/products/diablo-tools-dmapl4250-3-4-in-x-8-in-x-10-in-rebar-demon%E2%84%A2-sds-plus-4-cutter-full-carbide-head-hammer-drill-bit")</f>
        <v>https://edmondsonsupply.com/collections/hvac/products/diablo-tools-dmapl4250-3-4-in-x-8-in-x-10-in-rebar-demon%E2%84%A2-sds-plus-4-cutter-full-carbide-head-hammer-drill-bit</v>
      </c>
      <c r="B2243"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2243" t="s">
        <v>5852</v>
      </c>
      <c r="D2243" t="s">
        <v>5893</v>
      </c>
      <c r="E2243" s="3" t="str">
        <f>HYPERLINK("https://www.amazon.com/Diablo-Freud-DMAPL4250-SDS-Plus-4-Cutter/dp/B089KX6X16/ref=sr_1_6?keywords=Diablo+Tools+DMAPL4250+3%2F4+in.+x+8+in.+x+10+in.+Rebar+Demon%E2%84%A2+SDS-Plus+4-Cutter+Full+Carbide+Head+Hammer+Drill+Bit&amp;qid=1695173779&amp;sr=8-6", "https://www.amazon.com/Diablo-Freud-DMAPL4250-SDS-Plus-4-Cutter/dp/B089KX6X16/ref=sr_1_6?keywords=Diablo+Tools+DMAPL4250+3%2F4+in.+x+8+in.+x+10+in.+Rebar+Demon%E2%84%A2+SDS-Plus+4-Cutter+Full+Carbide+Head+Hammer+Drill+Bit&amp;qid=1695173779&amp;sr=8-6")</f>
        <v>https://www.amazon.com/Diablo-Freud-DMAPL4250-SDS-Plus-4-Cutter/dp/B089KX6X16/ref=sr_1_6?keywords=Diablo+Tools+DMAPL4250+3%2F4+in.+x+8+in.+x+10+in.+Rebar+Demon%E2%84%A2+SDS-Plus+4-Cutter+Full+Carbide+Head+Hammer+Drill+Bit&amp;qid=1695173779&amp;sr=8-6</v>
      </c>
      <c r="F2243" t="s">
        <v>5894</v>
      </c>
      <c r="G2243" t="e">
        <f ca="1">_xludf.IMAGE("https://edmondsonsupply.com/cdn/shop/files/rltcbi253wmfv6otmtz6.webp?v=1686576913")</f>
        <v>#NAME?</v>
      </c>
      <c r="H2243" t="e">
        <f ca="1">_xludf.IMAGE("https://m.media-amazon.com/images/I/61s0RHCLXEL._AC_UL320_.jpg")</f>
        <v>#NAME?</v>
      </c>
      <c r="I2243" t="s">
        <v>5853</v>
      </c>
      <c r="J2243">
        <v>27.97</v>
      </c>
      <c r="K2243" s="4">
        <v>0.14299999999999999</v>
      </c>
      <c r="L2243">
        <v>4.4000000000000004</v>
      </c>
      <c r="M2243">
        <v>83</v>
      </c>
      <c r="O2243" t="s">
        <v>25</v>
      </c>
      <c r="P2243" t="s">
        <v>5854</v>
      </c>
      <c r="Q2243" t="s">
        <v>5855</v>
      </c>
    </row>
    <row r="2244" spans="1:17" ht="15.5" x14ac:dyDescent="0.35">
      <c r="A2244" s="3" t="str">
        <f>HYPERLINK("https://edmondsonsupply.com/collections/hvac/products/diablo-tools-dmamxcc5020-2-5-8-in-x-7-in-sds-max-carbide-tipped-core-bit", "https://edmondsonsupply.com/collections/hvac/products/diablo-tools-dmamxcc5020-2-5-8-in-x-7-in-sds-max-carbide-tipped-core-bit")</f>
        <v>https://edmondsonsupply.com/collections/hvac/products/diablo-tools-dmamxcc5020-2-5-8-in-x-7-in-sds-max-carbide-tipped-core-bit</v>
      </c>
      <c r="B2244" s="3" t="str">
        <f>HYPERLINK("https://edmondsonsupply.com/products/diablo-tools-dmamxcc5020-2-5-8-in-x-7-in-sds-max-carbide-tipped-core-bit", "https://edmondsonsupply.com/products/diablo-tools-dmamxcc5020-2-5-8-in-x-7-in-sds-max-carbide-tipped-core-bit")</f>
        <v>https://edmondsonsupply.com/products/diablo-tools-dmamxcc5020-2-5-8-in-x-7-in-sds-max-carbide-tipped-core-bit</v>
      </c>
      <c r="C2244" t="s">
        <v>5895</v>
      </c>
      <c r="D2244" t="s">
        <v>5891</v>
      </c>
      <c r="E2244" s="3" t="str">
        <f>HYPERLINK("https://www.amazon.com/Diablo-DMAMXCC5020-SDS-Max-Carbide-Tipped/dp/B089M7TYBC/ref=sr_1_1?keywords=Diablo+Tools+DMAMXCC5020+2-5%2F8+in.+x+7+in.+SDS-Max+Carbide+Tipped+Core+Bit&amp;qid=1695173775&amp;sr=8-1", "https://www.amazon.com/Diablo-DMAMXCC5020-SDS-Max-Carbide-Tipped/dp/B089M7TYBC/ref=sr_1_1?keywords=Diablo+Tools+DMAMXCC5020+2-5%2F8+in.+x+7+in.+SDS-Max+Carbide+Tipped+Core+Bit&amp;qid=1695173775&amp;sr=8-1")</f>
        <v>https://www.amazon.com/Diablo-DMAMXCC5020-SDS-Max-Carbide-Tipped/dp/B089M7TYBC/ref=sr_1_1?keywords=Diablo+Tools+DMAMXCC5020+2-5%2F8+in.+x+7+in.+SDS-Max+Carbide+Tipped+Core+Bit&amp;qid=1695173775&amp;sr=8-1</v>
      </c>
      <c r="F2244" t="s">
        <v>5892</v>
      </c>
      <c r="G2244" t="e">
        <f ca="1">_xludf.IMAGE("https://edmondsonsupply.com/cdn/shop/files/vashcrdlazsqjug8tmyc.webp?v=1686584484")</f>
        <v>#NAME?</v>
      </c>
      <c r="H2244" t="e">
        <f ca="1">_xludf.IMAGE("https://m.media-amazon.com/images/I/61fu3xDsk5L._AC_UL320_.jpg")</f>
        <v>#NAME?</v>
      </c>
      <c r="I2244" t="s">
        <v>525</v>
      </c>
      <c r="J2244">
        <v>120.46</v>
      </c>
      <c r="K2244" s="4">
        <v>0.11550000000000001</v>
      </c>
      <c r="L2244">
        <v>4.8</v>
      </c>
      <c r="M2244">
        <v>5</v>
      </c>
      <c r="O2244" t="s">
        <v>25</v>
      </c>
      <c r="P2244" t="s">
        <v>5896</v>
      </c>
      <c r="Q2244" t="s">
        <v>5897</v>
      </c>
    </row>
    <row r="2245" spans="1:17" ht="15.5" x14ac:dyDescent="0.35">
      <c r="A2245" s="3" t="str">
        <f>HYPERLINK("https://edmondsonsupply.com/collections/hvac/products/milwaukee-48-39-0521-18-tpi-band-saw-blade-deep-cut-3-pack", "https://edmondsonsupply.com/collections/hvac/products/milwaukee-48-39-0521-18-tpi-band-saw-blade-deep-cut-3-pack")</f>
        <v>https://edmondsonsupply.com/collections/hvac/products/milwaukee-48-39-0521-18-tpi-band-saw-blade-deep-cut-3-pack</v>
      </c>
      <c r="B2245" s="3" t="str">
        <f>HYPERLINK("https://edmondsonsupply.com/products/milwaukee-48-39-0521-18-tpi-band-saw-blade-deep-cut-3-pack", "https://edmondsonsupply.com/products/milwaukee-48-39-0521-18-tpi-band-saw-blade-deep-cut-3-pack")</f>
        <v>https://edmondsonsupply.com/products/milwaukee-48-39-0521-18-tpi-band-saw-blade-deep-cut-3-pack</v>
      </c>
      <c r="C2245" t="s">
        <v>5843</v>
      </c>
      <c r="D2245" t="s">
        <v>5898</v>
      </c>
      <c r="E2245" s="3" t="str">
        <f>HYPERLINK("https://www.amazon.com/FOXBC-Bandsaw-Milwaukee-48-39-0529-Portable/dp/B0C3C69BHQ/ref=sr_1_4?keywords=Milwaukee+48-39-0521+18+TPI+Band+Saw+Blade%2C+Deep+Cut-+3+Pack&amp;qid=1695173781&amp;sr=8-4", "https://www.amazon.com/FOXBC-Bandsaw-Milwaukee-48-39-0529-Portable/dp/B0C3C69BHQ/ref=sr_1_4?keywords=Milwaukee+48-39-0521+18+TPI+Band+Saw+Blade%2C+Deep+Cut-+3+Pack&amp;qid=1695173781&amp;sr=8-4")</f>
        <v>https://www.amazon.com/FOXBC-Bandsaw-Milwaukee-48-39-0529-Portable/dp/B0C3C69BHQ/ref=sr_1_4?keywords=Milwaukee+48-39-0521+18+TPI+Band+Saw+Blade%2C+Deep+Cut-+3+Pack&amp;qid=1695173781&amp;sr=8-4</v>
      </c>
      <c r="F2245" t="s">
        <v>5899</v>
      </c>
      <c r="G2245" t="e">
        <f ca="1">_xludf.IMAGE("https://edmondsonsupply.com/cdn/shop/files/21432_48-39-0510_1.jpg?v=1686932969")</f>
        <v>#NAME?</v>
      </c>
      <c r="H2245" t="e">
        <f ca="1">_xludf.IMAGE("https://m.media-amazon.com/images/I/612OX4NJuxL._AC_UL320_.jpg")</f>
        <v>#NAME?</v>
      </c>
      <c r="I2245" t="s">
        <v>2247</v>
      </c>
      <c r="J2245">
        <v>23.99</v>
      </c>
      <c r="K2245" s="4">
        <v>9.1899999999999996E-2</v>
      </c>
      <c r="L2245">
        <v>4.7</v>
      </c>
      <c r="M2245">
        <v>21</v>
      </c>
      <c r="O2245" t="s">
        <v>25</v>
      </c>
      <c r="P2245" t="s">
        <v>5846</v>
      </c>
      <c r="Q2245" t="s">
        <v>5847</v>
      </c>
    </row>
    <row r="2246" spans="1:17" ht="15.5" x14ac:dyDescent="0.35">
      <c r="A2246" s="3" t="str">
        <f>HYPERLINK("https://edmondsonsupply.com/collections/hvac/products/diablo-tools-dmamxcc5010-2-in-x-7-in-sds-max-carbide-tipped-core-bit", "https://edmondsonsupply.com/collections/hvac/products/diablo-tools-dmamxcc5010-2-in-x-7-in-sds-max-carbide-tipped-core-bit")</f>
        <v>https://edmondsonsupply.com/collections/hvac/products/diablo-tools-dmamxcc5010-2-in-x-7-in-sds-max-carbide-tipped-core-bit</v>
      </c>
      <c r="B2246"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246" t="s">
        <v>5837</v>
      </c>
      <c r="D2246" t="s">
        <v>5900</v>
      </c>
      <c r="E2246" s="3" t="str">
        <f>HYPERLINK("https://www.amazon.com/Diablo-DMAMXCC5030-SDS-Max-Carbide-Tipped/dp/B089M8K3HG/ref=sr_1_1?keywords=Diablo+Tools+DMAMXCC5010+2+in.+x+7+in.+SDS-Max+Carbide+Tipped+Core+Bit&amp;qid=1695173774&amp;sr=8-1", "https://www.amazon.com/Diablo-DMAMXCC5030-SDS-Max-Carbide-Tipped/dp/B089M8K3HG/ref=sr_1_1?keywords=Diablo+Tools+DMAMXCC5010+2+in.+x+7+in.+SDS-Max+Carbide+Tipped+Core+Bit&amp;qid=1695173774&amp;sr=8-1")</f>
        <v>https://www.amazon.com/Diablo-DMAMXCC5030-SDS-Max-Carbide-Tipped/dp/B089M8K3HG/ref=sr_1_1?keywords=Diablo+Tools+DMAMXCC5010+2+in.+x+7+in.+SDS-Max+Carbide+Tipped+Core+Bit&amp;qid=1695173774&amp;sr=8-1</v>
      </c>
      <c r="F2246" t="s">
        <v>5901</v>
      </c>
      <c r="G2246" t="e">
        <f ca="1">_xludf.IMAGE("https://edmondsonsupply.com/cdn/shop/files/kbs61qpkymnshwvx13k1.webp?v=1686583113")</f>
        <v>#NAME?</v>
      </c>
      <c r="H2246" t="e">
        <f ca="1">_xludf.IMAGE("https://m.media-amazon.com/images/I/71U1Um--OXL._AC_UL320_.jpg")</f>
        <v>#NAME?</v>
      </c>
      <c r="I2246" t="s">
        <v>5840</v>
      </c>
      <c r="J2246">
        <v>110</v>
      </c>
      <c r="K2246" s="4">
        <v>8.3900000000000002E-2</v>
      </c>
      <c r="L2246">
        <v>5</v>
      </c>
      <c r="M2246">
        <v>3</v>
      </c>
      <c r="O2246" t="s">
        <v>25</v>
      </c>
      <c r="P2246" t="s">
        <v>5841</v>
      </c>
      <c r="Q2246" t="s">
        <v>5842</v>
      </c>
    </row>
    <row r="2247" spans="1:17" ht="15.5" x14ac:dyDescent="0.35">
      <c r="A2247" s="3" t="str">
        <f>HYPERLINK("https://edmondsonsupply.com/collections/hvac/products/diablo-tools-dsp2090-p2-3-4-in-x-6-in-spade-bit-2-pack", "https://edmondsonsupply.com/collections/hvac/products/diablo-tools-dsp2090-p2-3-4-in-x-6-in-spade-bit-2-pack")</f>
        <v>https://edmondsonsupply.com/collections/hvac/products/diablo-tools-dsp2090-p2-3-4-in-x-6-in-spade-bit-2-pack</v>
      </c>
      <c r="B2247" s="3" t="str">
        <f>HYPERLINK("https://edmondsonsupply.com/products/diablo-tools-dsp2090-p2-3-4-in-x-6-in-spade-bit-2-pack", "https://edmondsonsupply.com/products/diablo-tools-dsp2090-p2-3-4-in-x-6-in-spade-bit-2-pack")</f>
        <v>https://edmondsonsupply.com/products/diablo-tools-dsp2090-p2-3-4-in-x-6-in-spade-bit-2-pack</v>
      </c>
      <c r="C2247" t="s">
        <v>5902</v>
      </c>
      <c r="D2247" t="s">
        <v>5835</v>
      </c>
      <c r="E2247" s="3" t="str">
        <f>HYPERLINK("https://www.amazon.com/Diablo-SPEEDemon-Spade-Bit-2-Pack/dp/B089KV8K7W/ref=sr_1_1?keywords=Diablo+Tools+DSP2090-P2+3%2F4+in.+x+6+in.+Spade+Bit+%282+Pack%29&amp;qid=1695173784&amp;sr=8-1", "https://www.amazon.com/Diablo-SPEEDemon-Spade-Bit-2-Pack/dp/B089KV8K7W/ref=sr_1_1?keywords=Diablo+Tools+DSP2090-P2+3%2F4+in.+x+6+in.+Spade+Bit+%282+Pack%29&amp;qid=1695173784&amp;sr=8-1")</f>
        <v>https://www.amazon.com/Diablo-SPEEDemon-Spade-Bit-2-Pack/dp/B089KV8K7W/ref=sr_1_1?keywords=Diablo+Tools+DSP2090-P2+3%2F4+in.+x+6+in.+Spade+Bit+%282+Pack%29&amp;qid=1695173784&amp;sr=8-1</v>
      </c>
      <c r="F2247" t="s">
        <v>5836</v>
      </c>
      <c r="G2247" t="e">
        <f ca="1">_xludf.IMAGE("https://edmondsonsupply.com/cdn/shop/files/hg4rmyretai2aybkajqp_48ccaf8c-0943-4015-b125-9dac62e31e3c.webp?v=1686587544")</f>
        <v>#NAME?</v>
      </c>
      <c r="H2247" t="e">
        <f ca="1">_xludf.IMAGE("https://m.media-amazon.com/images/I/610FU8LQY+L._AC_UL320_.jpg")</f>
        <v>#NAME?</v>
      </c>
      <c r="I2247" t="s">
        <v>1003</v>
      </c>
      <c r="J2247">
        <v>8.3800000000000008</v>
      </c>
      <c r="K2247" s="4">
        <v>4.8800000000000003E-2</v>
      </c>
      <c r="L2247">
        <v>4.7</v>
      </c>
      <c r="M2247">
        <v>40</v>
      </c>
      <c r="O2247" t="s">
        <v>25</v>
      </c>
      <c r="P2247" t="s">
        <v>138</v>
      </c>
      <c r="Q2247" t="s">
        <v>5903</v>
      </c>
    </row>
    <row r="2248" spans="1:17" ht="15.5" x14ac:dyDescent="0.35">
      <c r="A2248" s="3" t="str">
        <f>HYPERLINK("https://edmondsonsupply.com/collections/hvac/products/diablo-tools-dmapl2290-7-16-in-x-10-in-x-12-in-sds-plus-2-cutter", "https://edmondsonsupply.com/collections/hvac/products/diablo-tools-dmapl2290-7-16-in-x-10-in-x-12-in-sds-plus-2-cutter")</f>
        <v>https://edmondsonsupply.com/collections/hvac/products/diablo-tools-dmapl2290-7-16-in-x-10-in-x-12-in-sds-plus-2-cutter</v>
      </c>
      <c r="B2248" s="3" t="str">
        <f>HYPERLINK("https://edmondsonsupply.com/products/diablo-tools-dmapl2290-7-16-in-x-10-in-x-12-in-sds-plus-2-cutter", "https://edmondsonsupply.com/products/diablo-tools-dmapl2290-7-16-in-x-10-in-x-12-in-sds-plus-2-cutter")</f>
        <v>https://edmondsonsupply.com/products/diablo-tools-dmapl2290-7-16-in-x-10-in-x-12-in-sds-plus-2-cutter</v>
      </c>
      <c r="C2248" t="s">
        <v>5860</v>
      </c>
      <c r="D2248" t="s">
        <v>5904</v>
      </c>
      <c r="E2248" s="3" t="str">
        <f>HYPERLINK("https://www.amazon.com/Diablo-10-12-SDS-Plus-2-Cutter/dp/B089KVWDFV/ref=sr_1_2?keywords=Diablo+Tools+DMAPL2290+7%2F16+in.+x+10+in.+x+12+in.+SDS-Plus+2-Cutter&amp;qid=1695173778&amp;sr=8-2", "https://www.amazon.com/Diablo-10-12-SDS-Plus-2-Cutter/dp/B089KVWDFV/ref=sr_1_2?keywords=Diablo+Tools+DMAPL2290+7%2F16+in.+x+10+in.+x+12+in.+SDS-Plus+2-Cutter&amp;qid=1695173778&amp;sr=8-2")</f>
        <v>https://www.amazon.com/Diablo-10-12-SDS-Plus-2-Cutter/dp/B089KVWDFV/ref=sr_1_2?keywords=Diablo+Tools+DMAPL2290+7%2F16+in.+x+10+in.+x+12+in.+SDS-Plus+2-Cutter&amp;qid=1695173778&amp;sr=8-2</v>
      </c>
      <c r="F2248" t="s">
        <v>5905</v>
      </c>
      <c r="G2248" t="e">
        <f ca="1">_xludf.IMAGE("https://edmondsonsupply.com/cdn/shop/files/lgvfccwvf9ikjakt8qfb.webp?v=1686146379")</f>
        <v>#NAME?</v>
      </c>
      <c r="H2248" t="e">
        <f ca="1">_xludf.IMAGE("https://m.media-amazon.com/images/I/61jSXDDK72L._AC_UL320_.jpg")</f>
        <v>#NAME?</v>
      </c>
      <c r="I2248" t="s">
        <v>1140</v>
      </c>
      <c r="J2248">
        <v>10.97</v>
      </c>
      <c r="K2248" s="4">
        <v>4.48E-2</v>
      </c>
      <c r="L2248">
        <v>5</v>
      </c>
      <c r="M2248">
        <v>1</v>
      </c>
      <c r="O2248" t="s">
        <v>25</v>
      </c>
      <c r="P2248" t="s">
        <v>5863</v>
      </c>
      <c r="Q2248" t="s">
        <v>5864</v>
      </c>
    </row>
    <row r="2249" spans="1:17" ht="15.5" x14ac:dyDescent="0.35">
      <c r="A2249"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49"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49" t="s">
        <v>5906</v>
      </c>
      <c r="D2249" t="s">
        <v>5881</v>
      </c>
      <c r="E2249" s="3" t="str">
        <f>HYPERLINK("https://www.amazon.com/Diablo-SDS-Max-Carbide-Tipped-Core/dp/B089M8ST7R/ref=sr_1_1?keywords=Diablo+Tools+DMAMXCC5050+4+in.+x+7+in.+SDS-Max+Carbide+Tipped+Core+Bit&amp;qid=1695173774&amp;sr=8-1", "https://www.amazon.com/Diablo-SDS-Max-Carbide-Tipped-Core/dp/B089M8ST7R/ref=sr_1_1?keywords=Diablo+Tools+DMAMXCC5050+4+in.+x+7+in.+SDS-Max+Carbide+Tipped+Core+Bit&amp;qid=1695173774&amp;sr=8-1")</f>
        <v>https://www.amazon.com/Diablo-SDS-Max-Carbide-Tipped-Core/dp/B089M8ST7R/ref=sr_1_1?keywords=Diablo+Tools+DMAMXCC5050+4+in.+x+7+in.+SDS-Max+Carbide+Tipped+Core+Bit&amp;qid=1695173774&amp;sr=8-1</v>
      </c>
      <c r="F2249" t="s">
        <v>5882</v>
      </c>
      <c r="G2249" t="e">
        <f ca="1">_xludf.IMAGE("https://edmondsonsupply.com/cdn/shop/files/yghx7uqdjxchri5fikny.webp?v=1686586834")</f>
        <v>#NAME?</v>
      </c>
      <c r="H2249" t="e">
        <f ca="1">_xludf.IMAGE("https://m.media-amazon.com/images/I/71bh3TRvqmL._AC_UL320_.jpg")</f>
        <v>#NAME?</v>
      </c>
      <c r="I2249" t="s">
        <v>5907</v>
      </c>
      <c r="J2249">
        <v>157.44</v>
      </c>
      <c r="K2249" s="4">
        <v>3.9899999999999998E-2</v>
      </c>
      <c r="L2249">
        <v>4.7</v>
      </c>
      <c r="M2249">
        <v>8</v>
      </c>
      <c r="O2249" t="s">
        <v>25</v>
      </c>
      <c r="P2249" t="s">
        <v>5908</v>
      </c>
      <c r="Q2249" t="s">
        <v>5909</v>
      </c>
    </row>
    <row r="2250" spans="1:17" ht="15.5" x14ac:dyDescent="0.35">
      <c r="A2250" s="3" t="str">
        <f>HYPERLINK("https://edmondsonsupply.com/collections/hvac/products/diablo-tools-dmamxcc5030-3-1-4-in-x-7-in-sds-max-carbide-tipped-core-bit", "https://edmondsonsupply.com/collections/hvac/products/diablo-tools-dmamxcc5030-3-1-4-in-x-7-in-sds-max-carbide-tipped-core-bit")</f>
        <v>https://edmondsonsupply.com/collections/hvac/products/diablo-tools-dmamxcc5030-3-1-4-in-x-7-in-sds-max-carbide-tipped-core-bit</v>
      </c>
      <c r="B2250"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2250" t="s">
        <v>5880</v>
      </c>
      <c r="D2250" t="s">
        <v>5869</v>
      </c>
      <c r="E2250" s="3" t="str">
        <f>HYPERLINK("https://www.amazon.com/Diablo-DMAMX1390-SDS-Max-4-Cutter-Carbide-Tipped/dp/B089KW6C8V/ref=sr_1_7?keywords=Diablo+Tools+DMAMXCC5030+3-1%2F4+in.+x+7+in.+SDS-Max+Carbide+Tipped+Core+Bit&amp;qid=1695173779&amp;sr=8-7", "https://www.amazon.com/Diablo-DMAMX1390-SDS-Max-4-Cutter-Carbide-Tipped/dp/B089KW6C8V/ref=sr_1_7?keywords=Diablo+Tools+DMAMXCC5030+3-1%2F4+in.+x+7+in.+SDS-Max+Carbide+Tipped+Core+Bit&amp;qid=1695173779&amp;sr=8-7")</f>
        <v>https://www.amazon.com/Diablo-DMAMX1390-SDS-Max-4-Cutter-Carbide-Tipped/dp/B089KW6C8V/ref=sr_1_7?keywords=Diablo+Tools+DMAMXCC5030+3-1%2F4+in.+x+7+in.+SDS-Max+Carbide+Tipped+Core+Bit&amp;qid=1695173779&amp;sr=8-7</v>
      </c>
      <c r="F2250" t="s">
        <v>5870</v>
      </c>
      <c r="G2250" t="e">
        <f ca="1">_xludf.IMAGE("https://edmondsonsupply.com/cdn/shop/files/gtygiwnduxetozty2qne.webp?v=1686585332")</f>
        <v>#NAME?</v>
      </c>
      <c r="H2250" t="e">
        <f ca="1">_xludf.IMAGE("https://m.media-amazon.com/images/I/61J-83UaGmL._AC_UL320_.jpg")</f>
        <v>#NAME?</v>
      </c>
      <c r="I2250" t="s">
        <v>5883</v>
      </c>
      <c r="J2250">
        <v>130.66999999999999</v>
      </c>
      <c r="K2250" s="4">
        <v>3.7100000000000001E-2</v>
      </c>
      <c r="L2250">
        <v>4.8</v>
      </c>
      <c r="M2250">
        <v>10</v>
      </c>
      <c r="O2250" t="s">
        <v>25</v>
      </c>
      <c r="P2250" t="s">
        <v>5884</v>
      </c>
      <c r="Q2250" t="s">
        <v>5885</v>
      </c>
    </row>
    <row r="2251" spans="1:17" ht="15.5" x14ac:dyDescent="0.35">
      <c r="A2251" s="3" t="str">
        <f>HYPERLINK("https://edmondsonsupply.com/collections/hvac/products/diablo-tools-dmamxcc5020-2-5-8-in-x-7-in-sds-max-carbide-tipped-core-bit", "https://edmondsonsupply.com/collections/hvac/products/diablo-tools-dmamxcc5020-2-5-8-in-x-7-in-sds-max-carbide-tipped-core-bit")</f>
        <v>https://edmondsonsupply.com/collections/hvac/products/diablo-tools-dmamxcc5020-2-5-8-in-x-7-in-sds-max-carbide-tipped-core-bit</v>
      </c>
      <c r="B2251" s="3" t="str">
        <f>HYPERLINK("https://edmondsonsupply.com/products/diablo-tools-dmamxcc5020-2-5-8-in-x-7-in-sds-max-carbide-tipped-core-bit", "https://edmondsonsupply.com/products/diablo-tools-dmamxcc5020-2-5-8-in-x-7-in-sds-max-carbide-tipped-core-bit")</f>
        <v>https://edmondsonsupply.com/products/diablo-tools-dmamxcc5020-2-5-8-in-x-7-in-sds-max-carbide-tipped-core-bit</v>
      </c>
      <c r="C2251" t="s">
        <v>5895</v>
      </c>
      <c r="D2251" t="s">
        <v>5900</v>
      </c>
      <c r="E2251" s="3" t="str">
        <f>HYPERLINK("https://www.amazon.com/Diablo-DMAMXCC5030-SDS-Max-Carbide-Tipped/dp/B089M8K3HG/ref=sr_1_2?keywords=Diablo+Tools+DMAMXCC5020+2-5%2F8+in.+x+7+in.+SDS-Max+Carbide+Tipped+Core+Bit&amp;qid=1695173775&amp;sr=8-2", "https://www.amazon.com/Diablo-DMAMXCC5030-SDS-Max-Carbide-Tipped/dp/B089M8K3HG/ref=sr_1_2?keywords=Diablo+Tools+DMAMXCC5020+2-5%2F8+in.+x+7+in.+SDS-Max+Carbide+Tipped+Core+Bit&amp;qid=1695173775&amp;sr=8-2")</f>
        <v>https://www.amazon.com/Diablo-DMAMXCC5030-SDS-Max-Carbide-Tipped/dp/B089M8K3HG/ref=sr_1_2?keywords=Diablo+Tools+DMAMXCC5020+2-5%2F8+in.+x+7+in.+SDS-Max+Carbide+Tipped+Core+Bit&amp;qid=1695173775&amp;sr=8-2</v>
      </c>
      <c r="F2251" t="s">
        <v>5901</v>
      </c>
      <c r="G2251" t="e">
        <f ca="1">_xludf.IMAGE("https://edmondsonsupply.com/cdn/shop/files/vashcrdlazsqjug8tmyc.webp?v=1686584484")</f>
        <v>#NAME?</v>
      </c>
      <c r="H2251" t="e">
        <f ca="1">_xludf.IMAGE("https://m.media-amazon.com/images/I/71U1Um--OXL._AC_UL320_.jpg")</f>
        <v>#NAME?</v>
      </c>
      <c r="I2251" t="s">
        <v>525</v>
      </c>
      <c r="J2251">
        <v>110</v>
      </c>
      <c r="K2251" s="4">
        <v>1.8599999999999998E-2</v>
      </c>
      <c r="L2251">
        <v>5</v>
      </c>
      <c r="M2251">
        <v>3</v>
      </c>
      <c r="O2251" t="s">
        <v>25</v>
      </c>
      <c r="P2251" t="s">
        <v>5896</v>
      </c>
      <c r="Q2251" t="s">
        <v>5897</v>
      </c>
    </row>
    <row r="2252" spans="1:17" ht="15.5" x14ac:dyDescent="0.35">
      <c r="A2252" s="3" t="str">
        <f>HYPERLINK("https://edmondsonsupply.com/collections/hvac/products/fluke-373-true-rms-ac-clamp-meter", "https://edmondsonsupply.com/collections/hvac/products/fluke-373-true-rms-ac-clamp-meter")</f>
        <v>https://edmondsonsupply.com/collections/hvac/products/fluke-373-true-rms-ac-clamp-meter</v>
      </c>
      <c r="B2252" s="3" t="str">
        <f>HYPERLINK("https://edmondsonsupply.com/products/fluke-373-true-rms-ac-clamp-meter", "https://edmondsonsupply.com/products/fluke-373-true-rms-ac-clamp-meter")</f>
        <v>https://edmondsonsupply.com/products/fluke-373-true-rms-ac-clamp-meter</v>
      </c>
      <c r="C2252" t="s">
        <v>5826</v>
      </c>
      <c r="D2252" t="s">
        <v>5910</v>
      </c>
      <c r="E2252" s="3" t="str">
        <f>HYPERLINK("https://www.amazon.com/Fluke-True-RMS-Clamp-Meter-600A/dp/B004E248XA/ref=sr_1_3?keywords=Fluke+373+True-RMS+AC+Clamp+Meter&amp;qid=1695173782&amp;sr=8-3", "https://www.amazon.com/Fluke-True-RMS-Clamp-Meter-600A/dp/B004E248XA/ref=sr_1_3?keywords=Fluke+373+True-RMS+AC+Clamp+Meter&amp;qid=1695173782&amp;sr=8-3")</f>
        <v>https://www.amazon.com/Fluke-True-RMS-Clamp-Meter-600A/dp/B004E248XA/ref=sr_1_3?keywords=Fluke+373+True-RMS+AC+Clamp+Meter&amp;qid=1695173782&amp;sr=8-3</v>
      </c>
      <c r="F2252" t="s">
        <v>5911</v>
      </c>
      <c r="G2252" t="e">
        <f ca="1">_xludf.IMAGE("https://edmondsonsupply.com/cdn/shop/files/f-373-01d-1500x1000.webp?v=1689369435")</f>
        <v>#NAME?</v>
      </c>
      <c r="H2252" t="e">
        <f ca="1">_xludf.IMAGE("https://m.media-amazon.com/images/I/51dRRtycxZL._AC_UY218_.jpg")</f>
        <v>#NAME?</v>
      </c>
      <c r="I2252" t="s">
        <v>5829</v>
      </c>
      <c r="J2252">
        <v>294</v>
      </c>
      <c r="K2252" s="4">
        <v>1.3599999999999999E-2</v>
      </c>
      <c r="L2252">
        <v>4</v>
      </c>
      <c r="M2252">
        <v>64</v>
      </c>
      <c r="O2252" t="s">
        <v>25</v>
      </c>
      <c r="P2252" t="s">
        <v>138</v>
      </c>
      <c r="Q2252" t="s">
        <v>5830</v>
      </c>
    </row>
    <row r="2253" spans="1:17" ht="15.5" x14ac:dyDescent="0.35">
      <c r="A2253"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53"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53" t="s">
        <v>5906</v>
      </c>
      <c r="D2253" t="s">
        <v>5838</v>
      </c>
      <c r="E2253" s="3" t="str">
        <f>HYPERLINK("https://www.amazon.com/Diablo-SDS-Max-4-Cutter-Carbide-Tipped-Hammer/dp/B089LHKFQ2/ref=sr_1_9?keywords=Diablo+Tools+DMAMXCC5050+4+in.+x+7+in.+SDS-Max+Carbide+Tipped+Core+Bit&amp;qid=1695173774&amp;sr=8-9", "https://www.amazon.com/Diablo-SDS-Max-4-Cutter-Carbide-Tipped-Hammer/dp/B089LHKFQ2/ref=sr_1_9?keywords=Diablo+Tools+DMAMXCC5050+4+in.+x+7+in.+SDS-Max+Carbide+Tipped+Core+Bit&amp;qid=1695173774&amp;sr=8-9")</f>
        <v>https://www.amazon.com/Diablo-SDS-Max-4-Cutter-Carbide-Tipped-Hammer/dp/B089LHKFQ2/ref=sr_1_9?keywords=Diablo+Tools+DMAMXCC5050+4+in.+x+7+in.+SDS-Max+Carbide+Tipped+Core+Bit&amp;qid=1695173774&amp;sr=8-9</v>
      </c>
      <c r="F2253" t="s">
        <v>5839</v>
      </c>
      <c r="G2253" t="e">
        <f ca="1">_xludf.IMAGE("https://edmondsonsupply.com/cdn/shop/files/yghx7uqdjxchri5fikny.webp?v=1686586834")</f>
        <v>#NAME?</v>
      </c>
      <c r="H2253" t="e">
        <f ca="1">_xludf.IMAGE("https://m.media-amazon.com/images/I/61p4Q032qYL._AC_UL320_.jpg")</f>
        <v>#NAME?</v>
      </c>
      <c r="I2253" t="s">
        <v>5907</v>
      </c>
      <c r="J2253">
        <v>151.99</v>
      </c>
      <c r="K2253" s="4">
        <v>3.8999999999999998E-3</v>
      </c>
      <c r="L2253">
        <v>4.4000000000000004</v>
      </c>
      <c r="M2253">
        <v>4</v>
      </c>
      <c r="O2253" t="s">
        <v>25</v>
      </c>
      <c r="P2253" t="s">
        <v>5908</v>
      </c>
      <c r="Q2253" t="s">
        <v>5909</v>
      </c>
    </row>
    <row r="2254" spans="1:17" ht="15.5" x14ac:dyDescent="0.35">
      <c r="A2254" s="3" t="str">
        <f>HYPERLINK("https://edmondsonsupply.com/collections/hvac/products/diablo-tools-dmapl2290-7-16-in-x-10-in-x-12-in-sds-plus-2-cutter", "https://edmondsonsupply.com/collections/hvac/products/diablo-tools-dmapl2290-7-16-in-x-10-in-x-12-in-sds-plus-2-cutter")</f>
        <v>https://edmondsonsupply.com/collections/hvac/products/diablo-tools-dmapl2290-7-16-in-x-10-in-x-12-in-sds-plus-2-cutter</v>
      </c>
      <c r="B2254" s="3" t="str">
        <f>HYPERLINK("https://edmondsonsupply.com/products/diablo-tools-dmapl2290-7-16-in-x-10-in-x-12-in-sds-plus-2-cutter", "https://edmondsonsupply.com/products/diablo-tools-dmapl2290-7-16-in-x-10-in-x-12-in-sds-plus-2-cutter")</f>
        <v>https://edmondsonsupply.com/products/diablo-tools-dmapl2290-7-16-in-x-10-in-x-12-in-sds-plus-2-cutter</v>
      </c>
      <c r="C2254" t="s">
        <v>5860</v>
      </c>
      <c r="D2254" t="s">
        <v>5912</v>
      </c>
      <c r="E2254" s="3" t="str">
        <f>HYPERLINK("https://www.amazon.com/Diablo-DMAPL2290-16-SDS-Plus-2-Cutter/dp/B089KVPSVG/ref=sr_1_1?keywords=Diablo+Tools+DMAPL2290+7%2F16+in.+x+10+in.+x+12+in.+SDS-Plus+2-Cutter&amp;qid=1695173778&amp;sr=8-1", "https://www.amazon.com/Diablo-DMAPL2290-16-SDS-Plus-2-Cutter/dp/B089KVPSVG/ref=sr_1_1?keywords=Diablo+Tools+DMAPL2290+7%2F16+in.+x+10+in.+x+12+in.+SDS-Plus+2-Cutter&amp;qid=1695173778&amp;sr=8-1")</f>
        <v>https://www.amazon.com/Diablo-DMAPL2290-16-SDS-Plus-2-Cutter/dp/B089KVPSVG/ref=sr_1_1?keywords=Diablo+Tools+DMAPL2290+7%2F16+in.+x+10+in.+x+12+in.+SDS-Plus+2-Cutter&amp;qid=1695173778&amp;sr=8-1</v>
      </c>
      <c r="F2254" t="s">
        <v>5913</v>
      </c>
      <c r="G2254" t="e">
        <f ca="1">_xludf.IMAGE("https://edmondsonsupply.com/cdn/shop/files/lgvfccwvf9ikjakt8qfb.webp?v=1686146379")</f>
        <v>#NAME?</v>
      </c>
      <c r="H2254" t="e">
        <f ca="1">_xludf.IMAGE("https://m.media-amazon.com/images/I/61fcva10QfL._AC_UL320_.jpg")</f>
        <v>#NAME?</v>
      </c>
      <c r="I2254" t="s">
        <v>1140</v>
      </c>
      <c r="J2254">
        <v>10.54</v>
      </c>
      <c r="K2254" s="4">
        <v>3.8E-3</v>
      </c>
      <c r="L2254">
        <v>4.7</v>
      </c>
      <c r="M2254">
        <v>6</v>
      </c>
      <c r="O2254" t="s">
        <v>25</v>
      </c>
      <c r="P2254" t="s">
        <v>5863</v>
      </c>
      <c r="Q2254" t="s">
        <v>5864</v>
      </c>
    </row>
    <row r="2255" spans="1:17" ht="15.5" x14ac:dyDescent="0.35">
      <c r="A2255" s="3" t="str">
        <f>HYPERLINK("https://edmondsonsupply.com/collections/hvac/products/diablo-tools-dou125cgp-1-1-4-in-universal-fit-carbide-oscillating-blade-for-general-purpose-cuts", "https://edmondsonsupply.com/collections/hvac/products/diablo-tools-dou125cgp-1-1-4-in-universal-fit-carbide-oscillating-blade-for-general-purpose-cuts")</f>
        <v>https://edmondsonsupply.com/collections/hvac/products/diablo-tools-dou125cgp-1-1-4-in-universal-fit-carbide-oscillating-blade-for-general-purpose-cuts</v>
      </c>
      <c r="B2255"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2255" t="s">
        <v>5886</v>
      </c>
      <c r="D2255" t="s">
        <v>5914</v>
      </c>
      <c r="E2255" s="3" t="str">
        <f>HYPERLINK("https://www.amazon.com/Diablo-Universal-Carbide-Oscillating-General/dp/B089LHJYGQ/ref=sr_1_2?keywords=Diablo+Tools+DOU125CGP+1-1%2F4+in.+Universal+Fit+Carbide+Oscillating+Blade+for+General+Purpose+Cuts&amp;qid=1695173778&amp;sr=8-2", "https://www.amazon.com/Diablo-Universal-Carbide-Oscillating-General/dp/B089LHJYGQ/ref=sr_1_2?keywords=Diablo+Tools+DOU125CGP+1-1%2F4+in.+Universal+Fit+Carbide+Oscillating+Blade+for+General+Purpose+Cuts&amp;qid=1695173778&amp;sr=8-2")</f>
        <v>https://www.amazon.com/Diablo-Universal-Carbide-Oscillating-General/dp/B089LHJYGQ/ref=sr_1_2?keywords=Diablo+Tools+DOU125CGP+1-1%2F4+in.+Universal+Fit+Carbide+Oscillating+Blade+for+General+Purpose+Cuts&amp;qid=1695173778&amp;sr=8-2</v>
      </c>
      <c r="F2255" t="s">
        <v>5915</v>
      </c>
      <c r="G2255" t="e">
        <f ca="1">_xludf.IMAGE("https://edmondsonsupply.com/cdn/shop/files/htobgrjt150mygkkk6to_dca17485-ff4c-4cd2-9345-f1b96a9206f3.webp?v=1686146827")</f>
        <v>#NAME?</v>
      </c>
      <c r="H2255" t="e">
        <f ca="1">_xludf.IMAGE("https://m.media-amazon.com/images/I/71wZoc77rAL._AC_UL320_.jpg")</f>
        <v>#NAME?</v>
      </c>
      <c r="I2255" t="s">
        <v>1716</v>
      </c>
      <c r="J2255">
        <v>23</v>
      </c>
      <c r="K2255" s="4">
        <v>1.2999999999999999E-3</v>
      </c>
      <c r="L2255">
        <v>4.5</v>
      </c>
      <c r="M2255">
        <v>30</v>
      </c>
      <c r="O2255" t="s">
        <v>25</v>
      </c>
      <c r="P2255" t="s">
        <v>5889</v>
      </c>
      <c r="Q2255" t="s">
        <v>5890</v>
      </c>
    </row>
    <row r="2256" spans="1:17" ht="15.5" x14ac:dyDescent="0.35">
      <c r="A2256" s="3" t="str">
        <f>HYPERLINK("https://edmondsonsupply.com/collections/hvac/products/milwaukee-48-39-0521-18-tpi-band-saw-blade-deep-cut-3-pack", "https://edmondsonsupply.com/collections/hvac/products/milwaukee-48-39-0521-18-tpi-band-saw-blade-deep-cut-3-pack")</f>
        <v>https://edmondsonsupply.com/collections/hvac/products/milwaukee-48-39-0521-18-tpi-band-saw-blade-deep-cut-3-pack</v>
      </c>
      <c r="B2256" s="3" t="str">
        <f>HYPERLINK("https://edmondsonsupply.com/products/milwaukee-48-39-0521-18-tpi-band-saw-blade-deep-cut-3-pack", "https://edmondsonsupply.com/products/milwaukee-48-39-0521-18-tpi-band-saw-blade-deep-cut-3-pack")</f>
        <v>https://edmondsonsupply.com/products/milwaukee-48-39-0521-18-tpi-band-saw-blade-deep-cut-3-pack</v>
      </c>
      <c r="C2256" t="s">
        <v>5843</v>
      </c>
      <c r="D2256" t="s">
        <v>5916</v>
      </c>
      <c r="E2256" s="3" t="str">
        <f>HYPERLINK("https://www.amazon.com/FOXBC-Replacement-Milwaukee-48-39-0521-Portable/dp/B0C3C8Q6K1/ref=sr_1_5?keywords=Milwaukee+48-39-0521+18+TPI+Band+Saw+Blade%2C+Deep+Cut-+3+Pack&amp;qid=1695173781&amp;sr=8-5", "https://www.amazon.com/FOXBC-Replacement-Milwaukee-48-39-0521-Portable/dp/B0C3C8Q6K1/ref=sr_1_5?keywords=Milwaukee+48-39-0521+18+TPI+Band+Saw+Blade%2C+Deep+Cut-+3+Pack&amp;qid=1695173781&amp;sr=8-5")</f>
        <v>https://www.amazon.com/FOXBC-Replacement-Milwaukee-48-39-0521-Portable/dp/B0C3C8Q6K1/ref=sr_1_5?keywords=Milwaukee+48-39-0521+18+TPI+Band+Saw+Blade%2C+Deep+Cut-+3+Pack&amp;qid=1695173781&amp;sr=8-5</v>
      </c>
      <c r="F2256" t="s">
        <v>5917</v>
      </c>
      <c r="G2256" t="e">
        <f ca="1">_xludf.IMAGE("https://edmondsonsupply.com/cdn/shop/files/21432_48-39-0510_1.jpg?v=1686932969")</f>
        <v>#NAME?</v>
      </c>
      <c r="H2256" t="e">
        <f ca="1">_xludf.IMAGE("https://m.media-amazon.com/images/I/61VscaX1XdL._AC_UL320_.jpg")</f>
        <v>#NAME?</v>
      </c>
      <c r="I2256" t="s">
        <v>2247</v>
      </c>
      <c r="J2256">
        <v>21.99</v>
      </c>
      <c r="K2256" s="4">
        <v>8.9999999999999998E-4</v>
      </c>
      <c r="L2256">
        <v>4.4000000000000004</v>
      </c>
      <c r="M2256">
        <v>43</v>
      </c>
      <c r="O2256" t="s">
        <v>25</v>
      </c>
      <c r="P2256" t="s">
        <v>5846</v>
      </c>
      <c r="Q2256" t="s">
        <v>5847</v>
      </c>
    </row>
    <row r="2257" spans="1:17" ht="15.5" x14ac:dyDescent="0.35">
      <c r="A2257" s="3" t="str">
        <f>HYPERLINK("https://edmondsonsupply.com/collections/hvac/products/milwaukee-49-90-1900-hepa-filter", "https://edmondsonsupply.com/collections/hvac/products/milwaukee-49-90-1900-hepa-filter")</f>
        <v>https://edmondsonsupply.com/collections/hvac/products/milwaukee-49-90-1900-hepa-filter</v>
      </c>
      <c r="B2257" s="3" t="str">
        <f>HYPERLINK("https://edmondsonsupply.com/products/milwaukee-49-90-1900-hepa-filter", "https://edmondsonsupply.com/products/milwaukee-49-90-1900-hepa-filter")</f>
        <v>https://edmondsonsupply.com/products/milwaukee-49-90-1900-hepa-filter</v>
      </c>
      <c r="C2257" t="s">
        <v>5831</v>
      </c>
      <c r="D2257" t="s">
        <v>5918</v>
      </c>
      <c r="E2257" s="3" t="str">
        <f>HYPERLINK("https://www.amazon.com/SpaceTent-49-90-1900-Filters-Milwaukee-0880-20/dp/B0C8HF1NGW/ref=sr_1_8?keywords=Milwaukee+49-90-1900+HEPA+Filter&amp;qid=1695173776&amp;sr=8-8", "https://www.amazon.com/SpaceTent-49-90-1900-Filters-Milwaukee-0880-20/dp/B0C8HF1NGW/ref=sr_1_8?keywords=Milwaukee+49-90-1900+HEPA+Filter&amp;qid=1695173776&amp;sr=8-8")</f>
        <v>https://www.amazon.com/SpaceTent-49-90-1900-Filters-Milwaukee-0880-20/dp/B0C8HF1NGW/ref=sr_1_8?keywords=Milwaukee+49-90-1900+HEPA+Filter&amp;qid=1695173776&amp;sr=8-8</v>
      </c>
      <c r="F2257" t="s">
        <v>5919</v>
      </c>
      <c r="G2257" t="e">
        <f ca="1">_xludf.IMAGE("https://edmondsonsupply.com/cdn/shop/files/49-90-1900_1.png?v=1686234774")</f>
        <v>#NAME?</v>
      </c>
      <c r="H2257" t="e">
        <f ca="1">_xludf.IMAGE("https://m.media-amazon.com/images/I/61cxD0+NfyL._AC_UL320_.jpg")</f>
        <v>#NAME?</v>
      </c>
      <c r="I2257" t="s">
        <v>2170</v>
      </c>
      <c r="J2257">
        <v>24.99</v>
      </c>
      <c r="K2257" s="4">
        <v>4.0000000000000002E-4</v>
      </c>
      <c r="L2257">
        <v>4.7</v>
      </c>
      <c r="M2257">
        <v>11</v>
      </c>
      <c r="O2257" t="s">
        <v>25</v>
      </c>
      <c r="P2257" t="s">
        <v>2470</v>
      </c>
      <c r="Q2257" t="s">
        <v>5834</v>
      </c>
    </row>
    <row r="2258" spans="1:17" ht="15.5" x14ac:dyDescent="0.35">
      <c r="A2258" s="3" t="str">
        <f>HYPERLINK("https://edmondsonsupply.com/collections/hvac/products/milwaukee-48-22-8045-packout%E2%84%A2-tool-tray", "https://edmondsonsupply.com/collections/hvac/products/milwaukee-48-22-8045-packout%E2%84%A2-tool-tray")</f>
        <v>https://edmondsonsupply.com/collections/hvac/products/milwaukee-48-22-8045-packout%E2%84%A2-tool-tray</v>
      </c>
      <c r="B2258" s="3" t="str">
        <f>HYPERLINK("https://edmondsonsupply.com/products/milwaukee-48-22-8045-packout%e2%84%a2-tool-tray", "https://edmondsonsupply.com/products/milwaukee-48-22-8045-packout%e2%84%a2-tool-tray")</f>
        <v>https://edmondsonsupply.com/products/milwaukee-48-22-8045-packout%e2%84%a2-tool-tray</v>
      </c>
      <c r="C2258" t="s">
        <v>322</v>
      </c>
      <c r="D2258" t="s">
        <v>591</v>
      </c>
      <c r="E2258" s="3" t="str">
        <f>HYPERLINK("https://www.amazon.com/Milwaukee-48-22-8045-PACKOUT-Tool-Tray/dp/B0BL868CRC/ref=sr_1_8?keywords=Milwaukee+48-22-8045+PACKOUT%E2%84%A2+Tool+Tray&amp;qid=1695173783&amp;sr=8-8", "https://www.amazon.com/Milwaukee-48-22-8045-PACKOUT-Tool-Tray/dp/B0BL868CRC/ref=sr_1_8?keywords=Milwaukee+48-22-8045+PACKOUT%E2%84%A2+Tool+Tray&amp;qid=1695173783&amp;sr=8-8")</f>
        <v>https://www.amazon.com/Milwaukee-48-22-8045-PACKOUT-Tool-Tray/dp/B0BL868CRC/ref=sr_1_8?keywords=Milwaukee+48-22-8045+PACKOUT%E2%84%A2+Tool+Tray&amp;qid=1695173783&amp;sr=8-8</v>
      </c>
      <c r="F2258" t="s">
        <v>592</v>
      </c>
      <c r="G2258" t="e">
        <f ca="1">_xludf.IMAGE("https://edmondsonsupply.com/cdn/shop/files/48-22-8045_4.webp?v=1686230573")</f>
        <v>#NAME?</v>
      </c>
      <c r="H2258" t="e">
        <f ca="1">_xludf.IMAGE("https://m.media-amazon.com/images/I/61YqlKZZwJL._AC_UL320_.jpg")</f>
        <v>#NAME?</v>
      </c>
      <c r="I2258" t="s">
        <v>246</v>
      </c>
      <c r="J2258">
        <v>39.97</v>
      </c>
      <c r="K2258" s="4">
        <v>0</v>
      </c>
      <c r="L2258">
        <v>4.4000000000000004</v>
      </c>
      <c r="M2258">
        <v>9</v>
      </c>
      <c r="O2258" t="s">
        <v>25</v>
      </c>
      <c r="P2258" t="s">
        <v>325</v>
      </c>
      <c r="Q2258" t="s">
        <v>326</v>
      </c>
    </row>
    <row r="2259" spans="1:17" ht="15.5" x14ac:dyDescent="0.35">
      <c r="A2259" s="3" t="str">
        <f>HYPERLINK("https://edmondsonsupply.com/collections/hvac/products/diablo-tools-dmamxcc5030-3-1-4-in-x-7-in-sds-max-carbide-tipped-core-bit", "https://edmondsonsupply.com/collections/hvac/products/diablo-tools-dmamxcc5030-3-1-4-in-x-7-in-sds-max-carbide-tipped-core-bit")</f>
        <v>https://edmondsonsupply.com/collections/hvac/products/diablo-tools-dmamxcc5030-3-1-4-in-x-7-in-sds-max-carbide-tipped-core-bit</v>
      </c>
      <c r="B2259"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2259" t="s">
        <v>5880</v>
      </c>
      <c r="D2259" t="s">
        <v>5920</v>
      </c>
      <c r="E2259" s="3" t="str">
        <f>HYPERLINK("https://www.amazon.com/Diablo-DMAMXCC5040-SDS-Max-Carbide-Tipped/dp/B089M9SDDV/ref=sr_1_3?keywords=Diablo+Tools+DMAMXCC5030+3-1%2F4+in.+x+7+in.+SDS-Max+Carbide+Tipped+Core+Bit&amp;qid=1695173779&amp;sr=8-3", "https://www.amazon.com/Diablo-DMAMXCC5040-SDS-Max-Carbide-Tipped/dp/B089M9SDDV/ref=sr_1_3?keywords=Diablo+Tools+DMAMXCC5030+3-1%2F4+in.+x+7+in.+SDS-Max+Carbide+Tipped+Core+Bit&amp;qid=1695173779&amp;sr=8-3")</f>
        <v>https://www.amazon.com/Diablo-DMAMXCC5040-SDS-Max-Carbide-Tipped/dp/B089M9SDDV/ref=sr_1_3?keywords=Diablo+Tools+DMAMXCC5030+3-1%2F4+in.+x+7+in.+SDS-Max+Carbide+Tipped+Core+Bit&amp;qid=1695173779&amp;sr=8-3</v>
      </c>
      <c r="F2259" t="s">
        <v>5921</v>
      </c>
      <c r="G2259" t="e">
        <f ca="1">_xludf.IMAGE("https://edmondsonsupply.com/cdn/shop/files/gtygiwnduxetozty2qne.webp?v=1686585332")</f>
        <v>#NAME?</v>
      </c>
      <c r="H2259" t="e">
        <f ca="1">_xludf.IMAGE("https://m.media-amazon.com/images/I/71hVl4OIfrL._AC_UL320_.jpg")</f>
        <v>#NAME?</v>
      </c>
      <c r="I2259" t="s">
        <v>5883</v>
      </c>
      <c r="J2259">
        <v>112.99</v>
      </c>
      <c r="K2259" s="4">
        <v>-0.1032</v>
      </c>
      <c r="L2259">
        <v>4</v>
      </c>
      <c r="M2259">
        <v>1</v>
      </c>
      <c r="O2259" t="s">
        <v>25</v>
      </c>
      <c r="P2259" t="s">
        <v>5884</v>
      </c>
      <c r="Q2259" t="s">
        <v>5885</v>
      </c>
    </row>
    <row r="2260" spans="1:17" ht="15.5" x14ac:dyDescent="0.35">
      <c r="A2260" s="3" t="str">
        <f>HYPERLINK("https://edmondsonsupply.com/collections/hvac/products/nu-calgon-4900-20-iwave-r-residential-air-ionization-system", "https://edmondsonsupply.com/collections/hvac/products/nu-calgon-4900-20-iwave-r-residential-air-ionization-system")</f>
        <v>https://edmondsonsupply.com/collections/hvac/products/nu-calgon-4900-20-iwave-r-residential-air-ionization-system</v>
      </c>
      <c r="B2260" s="3" t="str">
        <f>HYPERLINK("https://edmondsonsupply.com/products/nu-calgon-4900-20-iwave-r-residential-air-ionization-system", "https://edmondsonsupply.com/products/nu-calgon-4900-20-iwave-r-residential-air-ionization-system")</f>
        <v>https://edmondsonsupply.com/products/nu-calgon-4900-20-iwave-r-residential-air-ionization-system</v>
      </c>
      <c r="C2260" t="s">
        <v>5922</v>
      </c>
      <c r="D2260" t="s">
        <v>2485</v>
      </c>
      <c r="E2260" s="3" t="str">
        <f>HYPERLINK("https://www.amazon.com/Nu-Calgon-4900-20-Self-Cleaning-Ionization-Generator/dp/B07YYN1QRW/ref=sr_1_1?keywords=Nu-Calgon+4900-20+iWave-R+Residential+Air+Ionization+System&amp;qid=1695173773&amp;sr=8-1", "https://www.amazon.com/Nu-Calgon-4900-20-Self-Cleaning-Ionization-Generator/dp/B07YYN1QRW/ref=sr_1_1?keywords=Nu-Calgon+4900-20+iWave-R+Residential+Air+Ionization+System&amp;qid=1695173773&amp;sr=8-1")</f>
        <v>https://www.amazon.com/Nu-Calgon-4900-20-Self-Cleaning-Ionization-Generator/dp/B07YYN1QRW/ref=sr_1_1?keywords=Nu-Calgon+4900-20+iWave-R+Residential+Air+Ionization+System&amp;qid=1695173773&amp;sr=8-1</v>
      </c>
      <c r="F2260" t="s">
        <v>2486</v>
      </c>
      <c r="G2260" t="e">
        <f ca="1">_xludf.IMAGE("https://edmondsonsupply.com/cdn/shop/files/4900-20.jpg?v=1687444929")</f>
        <v>#NAME?</v>
      </c>
      <c r="H2260" t="e">
        <f ca="1">_xludf.IMAGE("https://m.media-amazon.com/images/I/41bYOWAF1uL._AC_UY218_.jpg")</f>
        <v>#NAME?</v>
      </c>
      <c r="I2260" t="s">
        <v>5923</v>
      </c>
      <c r="J2260">
        <v>367</v>
      </c>
      <c r="K2260" s="4">
        <v>-0.1065</v>
      </c>
      <c r="L2260">
        <v>4.5</v>
      </c>
      <c r="M2260">
        <v>368</v>
      </c>
      <c r="O2260" t="s">
        <v>25</v>
      </c>
      <c r="P2260" t="s">
        <v>5924</v>
      </c>
      <c r="Q2260" t="s">
        <v>5925</v>
      </c>
    </row>
    <row r="2261" spans="1:17" ht="15.5" x14ac:dyDescent="0.35">
      <c r="A2261" s="3" t="str">
        <f>HYPERLINK("https://edmondsonsupply.com/collections/hvac/products/diablo-tools-dmamxcc5030-3-1-4-in-x-7-in-sds-max-carbide-tipped-core-bit", "https://edmondsonsupply.com/collections/hvac/products/diablo-tools-dmamxcc5030-3-1-4-in-x-7-in-sds-max-carbide-tipped-core-bit")</f>
        <v>https://edmondsonsupply.com/collections/hvac/products/diablo-tools-dmamxcc5030-3-1-4-in-x-7-in-sds-max-carbide-tipped-core-bit</v>
      </c>
      <c r="B2261"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2261" t="s">
        <v>5880</v>
      </c>
      <c r="D2261" t="s">
        <v>5900</v>
      </c>
      <c r="E2261" s="3" t="str">
        <f>HYPERLINK("https://www.amazon.com/Diablo-DMAMXCC5030-SDS-Max-Carbide-Tipped/dp/B089M8K3HG/ref=sr_1_1?keywords=Diablo+Tools+DMAMXCC5030+3-1%2F4+in.+x+7+in.+SDS-Max+Carbide+Tipped+Core+Bit&amp;qid=1695173779&amp;sr=8-1", "https://www.amazon.com/Diablo-DMAMXCC5030-SDS-Max-Carbide-Tipped/dp/B089M8K3HG/ref=sr_1_1?keywords=Diablo+Tools+DMAMXCC5030+3-1%2F4+in.+x+7+in.+SDS-Max+Carbide+Tipped+Core+Bit&amp;qid=1695173779&amp;sr=8-1")</f>
        <v>https://www.amazon.com/Diablo-DMAMXCC5030-SDS-Max-Carbide-Tipped/dp/B089M8K3HG/ref=sr_1_1?keywords=Diablo+Tools+DMAMXCC5030+3-1%2F4+in.+x+7+in.+SDS-Max+Carbide+Tipped+Core+Bit&amp;qid=1695173779&amp;sr=8-1</v>
      </c>
      <c r="F2261" t="s">
        <v>5901</v>
      </c>
      <c r="G2261" t="e">
        <f ca="1">_xludf.IMAGE("https://edmondsonsupply.com/cdn/shop/files/gtygiwnduxetozty2qne.webp?v=1686585332")</f>
        <v>#NAME?</v>
      </c>
      <c r="H2261" t="e">
        <f ca="1">_xludf.IMAGE("https://m.media-amazon.com/images/I/71U1Um--OXL._AC_UL320_.jpg")</f>
        <v>#NAME?</v>
      </c>
      <c r="I2261" t="s">
        <v>5883</v>
      </c>
      <c r="J2261">
        <v>110</v>
      </c>
      <c r="K2261" s="4">
        <v>-0.12690000000000001</v>
      </c>
      <c r="L2261">
        <v>5</v>
      </c>
      <c r="M2261">
        <v>3</v>
      </c>
      <c r="O2261" t="s">
        <v>25</v>
      </c>
      <c r="P2261" t="s">
        <v>5884</v>
      </c>
      <c r="Q2261" t="s">
        <v>5885</v>
      </c>
    </row>
    <row r="2262" spans="1:17" ht="15.5" x14ac:dyDescent="0.35">
      <c r="A2262" s="3" t="str">
        <f>HYPERLINK("https://edmondsonsupply.com/collections/hvac/products/diablo-tools-dmapl2290-7-16-in-x-10-in-x-12-in-sds-plus-2-cutter", "https://edmondsonsupply.com/collections/hvac/products/diablo-tools-dmapl2290-7-16-in-x-10-in-x-12-in-sds-plus-2-cutter")</f>
        <v>https://edmondsonsupply.com/collections/hvac/products/diablo-tools-dmapl2290-7-16-in-x-10-in-x-12-in-sds-plus-2-cutter</v>
      </c>
      <c r="B2262" s="3" t="str">
        <f>HYPERLINK("https://edmondsonsupply.com/products/diablo-tools-dmapl2290-7-16-in-x-10-in-x-12-in-sds-plus-2-cutter", "https://edmondsonsupply.com/products/diablo-tools-dmapl2290-7-16-in-x-10-in-x-12-in-sds-plus-2-cutter")</f>
        <v>https://edmondsonsupply.com/products/diablo-tools-dmapl2290-7-16-in-x-10-in-x-12-in-sds-plus-2-cutter</v>
      </c>
      <c r="C2262" t="s">
        <v>5860</v>
      </c>
      <c r="D2262" t="s">
        <v>5926</v>
      </c>
      <c r="E2262" s="3" t="str">
        <f>HYPERLINK("https://www.amazon.com/Sabre-Tools-Carbide-Concrete-Version/dp/B0BL1JRTCP/ref=sr_1_9?keywords=Diablo+Tools+DMAPL2290+7%2F16+in.+x+10+in.+x+12+in.+SDS-Plus+2-Cutter&amp;qid=1695173778&amp;sr=8-9", "https://www.amazon.com/Sabre-Tools-Carbide-Concrete-Version/dp/B0BL1JRTCP/ref=sr_1_9?keywords=Diablo+Tools+DMAPL2290+7%2F16+in.+x+10+in.+x+12+in.+SDS-Plus+2-Cutter&amp;qid=1695173778&amp;sr=8-9")</f>
        <v>https://www.amazon.com/Sabre-Tools-Carbide-Concrete-Version/dp/B0BL1JRTCP/ref=sr_1_9?keywords=Diablo+Tools+DMAPL2290+7%2F16+in.+x+10+in.+x+12+in.+SDS-Plus+2-Cutter&amp;qid=1695173778&amp;sr=8-9</v>
      </c>
      <c r="F2262" t="s">
        <v>5927</v>
      </c>
      <c r="G2262" t="e">
        <f ca="1">_xludf.IMAGE("https://edmondsonsupply.com/cdn/shop/files/lgvfccwvf9ikjakt8qfb.webp?v=1686146379")</f>
        <v>#NAME?</v>
      </c>
      <c r="H2262" t="e">
        <f ca="1">_xludf.IMAGE("https://m.media-amazon.com/images/I/61EC+ASb3oL._AC_UL320_.jpg")</f>
        <v>#NAME?</v>
      </c>
      <c r="I2262" t="s">
        <v>1140</v>
      </c>
      <c r="J2262">
        <v>8.99</v>
      </c>
      <c r="K2262" s="4">
        <v>-0.14380000000000001</v>
      </c>
      <c r="L2262">
        <v>4.5999999999999996</v>
      </c>
      <c r="M2262">
        <v>800</v>
      </c>
      <c r="O2262" t="s">
        <v>25</v>
      </c>
      <c r="P2262" t="s">
        <v>5863</v>
      </c>
      <c r="Q2262" t="s">
        <v>5864</v>
      </c>
    </row>
    <row r="2263" spans="1:17" ht="15.5" x14ac:dyDescent="0.35">
      <c r="A2263" s="3" t="str">
        <f>HYPERLINK("https://edmondsonsupply.com/collections/hvac/products/milwaukee-49-90-1900-hepa-filter", "https://edmondsonsupply.com/collections/hvac/products/milwaukee-49-90-1900-hepa-filter")</f>
        <v>https://edmondsonsupply.com/collections/hvac/products/milwaukee-49-90-1900-hepa-filter</v>
      </c>
      <c r="B2263" s="3" t="str">
        <f>HYPERLINK("https://edmondsonsupply.com/products/milwaukee-49-90-1900-hepa-filter", "https://edmondsonsupply.com/products/milwaukee-49-90-1900-hepa-filter")</f>
        <v>https://edmondsonsupply.com/products/milwaukee-49-90-1900-hepa-filter</v>
      </c>
      <c r="C2263" t="s">
        <v>5831</v>
      </c>
      <c r="D2263" t="s">
        <v>5928</v>
      </c>
      <c r="E2263" s="3" t="str">
        <f>HYPERLINK("https://www.amazon.com/Cabiclean-Replacement-Compatible-Milwaukee-49-90-1900/dp/B081V5362Z/ref=sr_1_1?keywords=Milwaukee+49-90-1900+HEPA+Filter&amp;qid=1695173776&amp;sr=8-1", "https://www.amazon.com/Cabiclean-Replacement-Compatible-Milwaukee-49-90-1900/dp/B081V5362Z/ref=sr_1_1?keywords=Milwaukee+49-90-1900+HEPA+Filter&amp;qid=1695173776&amp;sr=8-1")</f>
        <v>https://www.amazon.com/Cabiclean-Replacement-Compatible-Milwaukee-49-90-1900/dp/B081V5362Z/ref=sr_1_1?keywords=Milwaukee+49-90-1900+HEPA+Filter&amp;qid=1695173776&amp;sr=8-1</v>
      </c>
      <c r="F2263" t="s">
        <v>5929</v>
      </c>
      <c r="G2263" t="e">
        <f ca="1">_xludf.IMAGE("https://edmondsonsupply.com/cdn/shop/files/49-90-1900_1.png?v=1686234774")</f>
        <v>#NAME?</v>
      </c>
      <c r="H2263" t="e">
        <f ca="1">_xludf.IMAGE("https://m.media-amazon.com/images/I/617tGPzavaL._AC_UL320_.jpg")</f>
        <v>#NAME?</v>
      </c>
      <c r="I2263" t="s">
        <v>2170</v>
      </c>
      <c r="J2263">
        <v>20.96</v>
      </c>
      <c r="K2263" s="4">
        <v>-0.16089999999999999</v>
      </c>
      <c r="L2263">
        <v>4.7</v>
      </c>
      <c r="M2263">
        <v>724</v>
      </c>
      <c r="O2263" t="s">
        <v>25</v>
      </c>
      <c r="P2263" t="s">
        <v>2470</v>
      </c>
      <c r="Q2263" t="s">
        <v>5834</v>
      </c>
    </row>
    <row r="2264" spans="1:17" ht="15.5" x14ac:dyDescent="0.35">
      <c r="A2264" s="3" t="str">
        <f>HYPERLINK("https://edmondsonsupply.com/collections/hvac/products/diablo-tools-dmamxcc5040-3-9-16-in-x-7-in-sds-max-carbide-tipped-core-bit", "https://edmondsonsupply.com/collections/hvac/products/diablo-tools-dmamxcc5040-3-9-16-in-x-7-in-sds-max-carbide-tipped-core-bit")</f>
        <v>https://edmondsonsupply.com/collections/hvac/products/diablo-tools-dmamxcc5040-3-9-16-in-x-7-in-sds-max-carbide-tipped-core-bit</v>
      </c>
      <c r="B2264" s="3" t="str">
        <f>HYPERLINK("https://edmondsonsupply.com/products/diablo-tools-dmamxcc5040-3-9-16-in-x-7-in-sds-max-carbide-tipped-core-bit", "https://edmondsonsupply.com/products/diablo-tools-dmamxcc5040-3-9-16-in-x-7-in-sds-max-carbide-tipped-core-bit")</f>
        <v>https://edmondsonsupply.com/products/diablo-tools-dmamxcc5040-3-9-16-in-x-7-in-sds-max-carbide-tipped-core-bit</v>
      </c>
      <c r="C2264" t="s">
        <v>5930</v>
      </c>
      <c r="D2264" t="s">
        <v>5900</v>
      </c>
      <c r="E2264" s="3" t="str">
        <f>HYPERLINK("https://www.amazon.com/Diablo-DMAMXCC5030-SDS-Max-Carbide-Tipped/dp/B089M8K3HG/ref=sr_1_1?keywords=Diablo+Tools+DMAMXCC5040+3-9%2F16+in.+x+7+in.+SDS-Max+Carbide+Tipped+Core+Bit&amp;qid=1695173776&amp;sr=8-1", "https://www.amazon.com/Diablo-DMAMXCC5030-SDS-Max-Carbide-Tipped/dp/B089M8K3HG/ref=sr_1_1?keywords=Diablo+Tools+DMAMXCC5040+3-9%2F16+in.+x+7+in.+SDS-Max+Carbide+Tipped+Core+Bit&amp;qid=1695173776&amp;sr=8-1")</f>
        <v>https://www.amazon.com/Diablo-DMAMXCC5030-SDS-Max-Carbide-Tipped/dp/B089M8K3HG/ref=sr_1_1?keywords=Diablo+Tools+DMAMXCC5040+3-9%2F16+in.+x+7+in.+SDS-Max+Carbide+Tipped+Core+Bit&amp;qid=1695173776&amp;sr=8-1</v>
      </c>
      <c r="F2264" t="s">
        <v>5901</v>
      </c>
      <c r="G2264" t="e">
        <f ca="1">_xludf.IMAGE("https://edmondsonsupply.com/cdn/shop/files/a3uovbbd2u7b0jmabzl1.webp?v=1686586245")</f>
        <v>#NAME?</v>
      </c>
      <c r="H2264" t="e">
        <f ca="1">_xludf.IMAGE("https://m.media-amazon.com/images/I/71U1Um--OXL._AC_UL320_.jpg")</f>
        <v>#NAME?</v>
      </c>
      <c r="I2264" t="s">
        <v>5931</v>
      </c>
      <c r="J2264">
        <v>110</v>
      </c>
      <c r="K2264" s="4">
        <v>-0.17899999999999999</v>
      </c>
      <c r="L2264">
        <v>5</v>
      </c>
      <c r="M2264">
        <v>3</v>
      </c>
      <c r="O2264" t="s">
        <v>25</v>
      </c>
      <c r="P2264" t="s">
        <v>5932</v>
      </c>
      <c r="Q2264" t="s">
        <v>5933</v>
      </c>
    </row>
    <row r="2265" spans="1:17" ht="15.5" x14ac:dyDescent="0.35">
      <c r="A2265" s="3" t="str">
        <f>HYPERLINK("https://edmondsonsupply.com/collections/hvac/products/milwaukee-49-90-1900-hepa-filter", "https://edmondsonsupply.com/collections/hvac/products/milwaukee-49-90-1900-hepa-filter")</f>
        <v>https://edmondsonsupply.com/collections/hvac/products/milwaukee-49-90-1900-hepa-filter</v>
      </c>
      <c r="B2265" s="3" t="str">
        <f>HYPERLINK("https://edmondsonsupply.com/products/milwaukee-49-90-1900-hepa-filter", "https://edmondsonsupply.com/products/milwaukee-49-90-1900-hepa-filter")</f>
        <v>https://edmondsonsupply.com/products/milwaukee-49-90-1900-hepa-filter</v>
      </c>
      <c r="C2265" t="s">
        <v>5831</v>
      </c>
      <c r="D2265" t="s">
        <v>5934</v>
      </c>
      <c r="E2265" s="3" t="str">
        <f>HYPERLINK("https://www.amazon.com/Funmit-49-90-1900-Replacement-Milwaukee-Cordless/dp/B08QMJWVP1/ref=sr_1_7?keywords=Milwaukee+49-90-1900+HEPA+Filter&amp;qid=1695173776&amp;sr=8-7", "https://www.amazon.com/Funmit-49-90-1900-Replacement-Milwaukee-Cordless/dp/B08QMJWVP1/ref=sr_1_7?keywords=Milwaukee+49-90-1900+HEPA+Filter&amp;qid=1695173776&amp;sr=8-7")</f>
        <v>https://www.amazon.com/Funmit-49-90-1900-Replacement-Milwaukee-Cordless/dp/B08QMJWVP1/ref=sr_1_7?keywords=Milwaukee+49-90-1900+HEPA+Filter&amp;qid=1695173776&amp;sr=8-7</v>
      </c>
      <c r="F2265" t="s">
        <v>5935</v>
      </c>
      <c r="G2265" t="e">
        <f ca="1">_xludf.IMAGE("https://edmondsonsupply.com/cdn/shop/files/49-90-1900_1.png?v=1686234774")</f>
        <v>#NAME?</v>
      </c>
      <c r="H2265" t="e">
        <f ca="1">_xludf.IMAGE("https://m.media-amazon.com/images/I/718M0N1GX-L._AC_UL320_.jpg")</f>
        <v>#NAME?</v>
      </c>
      <c r="I2265" t="s">
        <v>2170</v>
      </c>
      <c r="J2265">
        <v>20.47</v>
      </c>
      <c r="K2265" s="4">
        <v>-0.18049999999999999</v>
      </c>
      <c r="L2265">
        <v>4.5</v>
      </c>
      <c r="M2265">
        <v>173</v>
      </c>
      <c r="O2265" t="s">
        <v>25</v>
      </c>
      <c r="P2265" t="s">
        <v>2470</v>
      </c>
      <c r="Q2265" t="s">
        <v>5834</v>
      </c>
    </row>
    <row r="2266" spans="1:17" ht="15.5" x14ac:dyDescent="0.35">
      <c r="A2266" s="3" t="str">
        <f>HYPERLINK("https://edmondsonsupply.com/collections/hvac/products/fluke-373-true-rms-ac-clamp-meter", "https://edmondsonsupply.com/collections/hvac/products/fluke-373-true-rms-ac-clamp-meter")</f>
        <v>https://edmondsonsupply.com/collections/hvac/products/fluke-373-true-rms-ac-clamp-meter</v>
      </c>
      <c r="B2266" s="3" t="str">
        <f>HYPERLINK("https://edmondsonsupply.com/products/fluke-373-true-rms-ac-clamp-meter", "https://edmondsonsupply.com/products/fluke-373-true-rms-ac-clamp-meter")</f>
        <v>https://edmondsonsupply.com/products/fluke-373-true-rms-ac-clamp-meter</v>
      </c>
      <c r="C2266" t="s">
        <v>5826</v>
      </c>
      <c r="D2266" t="s">
        <v>5826</v>
      </c>
      <c r="E2266" s="3" t="str">
        <f>HYPERLINK("https://www.amazon.com/Fluke-373-True-RMS-Clamp-Meter/dp/B004DZCWIQ/ref=sr_1_1?keywords=Fluke+373+True-RMS+AC+Clamp+Meter&amp;qid=1695173782&amp;sr=8-1", "https://www.amazon.com/Fluke-373-True-RMS-Clamp-Meter/dp/B004DZCWIQ/ref=sr_1_1?keywords=Fluke+373+True-RMS+AC+Clamp+Meter&amp;qid=1695173782&amp;sr=8-1")</f>
        <v>https://www.amazon.com/Fluke-373-True-RMS-Clamp-Meter/dp/B004DZCWIQ/ref=sr_1_1?keywords=Fluke+373+True-RMS+AC+Clamp+Meter&amp;qid=1695173782&amp;sr=8-1</v>
      </c>
      <c r="F2266" t="s">
        <v>5936</v>
      </c>
      <c r="G2266" t="e">
        <f ca="1">_xludf.IMAGE("https://edmondsonsupply.com/cdn/shop/files/f-373-01d-1500x1000.webp?v=1689369435")</f>
        <v>#NAME?</v>
      </c>
      <c r="H2266" t="e">
        <f ca="1">_xludf.IMAGE("https://m.media-amazon.com/images/I/617BjfkzIaL._AC_UY218_.jpg")</f>
        <v>#NAME?</v>
      </c>
      <c r="I2266" t="s">
        <v>5829</v>
      </c>
      <c r="J2266">
        <v>236.46</v>
      </c>
      <c r="K2266" s="4">
        <v>-0.18479999999999999</v>
      </c>
      <c r="L2266">
        <v>4.7</v>
      </c>
      <c r="M2266">
        <v>84</v>
      </c>
      <c r="O2266" t="s">
        <v>25</v>
      </c>
      <c r="P2266" t="s">
        <v>138</v>
      </c>
      <c r="Q2266" t="s">
        <v>5830</v>
      </c>
    </row>
    <row r="2267" spans="1:17" ht="15.5" x14ac:dyDescent="0.35">
      <c r="A2267" s="3" t="str">
        <f>HYPERLINK("https://edmondsonsupply.com/collections/hvac/products/diablo-tools-dou250bw3-2-1-2-in-universal-fit-bi-metal-oscillating-blades-for-nail-embedded-wood-3-pack", "https://edmondsonsupply.com/collections/hvac/products/diablo-tools-dou250bw3-2-1-2-in-universal-fit-bi-metal-oscillating-blades-for-nail-embedded-wood-3-pack")</f>
        <v>https://edmondsonsupply.com/collections/hvac/products/diablo-tools-dou250bw3-2-1-2-in-universal-fit-bi-metal-oscillating-blades-for-nail-embedded-wood-3-pack</v>
      </c>
      <c r="B2267"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2267" t="s">
        <v>5937</v>
      </c>
      <c r="D2267" t="s">
        <v>5938</v>
      </c>
      <c r="E2267" s="3" t="str">
        <f>HYPERLINK("https://www.amazon.com/Diablo-Universal-Bi-Metal-Blades-Nail-Embedded/dp/B089KW2WVD/ref=sr_1_2?keywords=Diablo+Tools+DOU250BW3+2-1%2F2+in.+Universal+Fit+Bi-Metal+Oscillating+Blades+for+Nail-Embedded+Wood+%283+pack%29&amp;qid=1695173781&amp;sr=8-2", "https://www.amazon.com/Diablo-Universal-Bi-Metal-Blades-Nail-Embedded/dp/B089KW2WVD/ref=sr_1_2?keywords=Diablo+Tools+DOU250BW3+2-1%2F2+in.+Universal+Fit+Bi-Metal+Oscillating+Blades+for+Nail-Embedded+Wood+%283+pack%29&amp;qid=1695173781&amp;sr=8-2")</f>
        <v>https://www.amazon.com/Diablo-Universal-Bi-Metal-Blades-Nail-Embedded/dp/B089KW2WVD/ref=sr_1_2?keywords=Diablo+Tools+DOU250BW3+2-1%2F2+in.+Universal+Fit+Bi-Metal+Oscillating+Blades+for+Nail-Embedded+Wood+%283+pack%29&amp;qid=1695173781&amp;sr=8-2</v>
      </c>
      <c r="F2267" t="s">
        <v>5939</v>
      </c>
      <c r="G2267" t="e">
        <f ca="1">_xludf.IMAGE("https://edmondsonsupply.com/cdn/shop/files/xcched1uye7bv2s0ryod_fbd674d3-3cd9-4e2a-a920-451af57abfde.webp?v=1686149226")</f>
        <v>#NAME?</v>
      </c>
      <c r="H2267" t="e">
        <f ca="1">_xludf.IMAGE("https://m.media-amazon.com/images/I/613ig7mNjfL._AC_UL320_.jpg")</f>
        <v>#NAME?</v>
      </c>
      <c r="I2267" t="s">
        <v>5940</v>
      </c>
      <c r="J2267">
        <v>25.49</v>
      </c>
      <c r="K2267" s="4">
        <v>-0.18609999999999999</v>
      </c>
      <c r="L2267">
        <v>4.5999999999999996</v>
      </c>
      <c r="M2267">
        <v>148</v>
      </c>
      <c r="O2267" t="s">
        <v>25</v>
      </c>
      <c r="P2267" t="s">
        <v>5941</v>
      </c>
      <c r="Q2267" t="s">
        <v>5942</v>
      </c>
    </row>
    <row r="2268" spans="1:17" ht="15.5" x14ac:dyDescent="0.35">
      <c r="A2268" s="3" t="str">
        <f>HYPERLINK("https://edmondsonsupply.com/collections/hvac/products/milwaukee-49-90-1900-hepa-filter", "https://edmondsonsupply.com/collections/hvac/products/milwaukee-49-90-1900-hepa-filter")</f>
        <v>https://edmondsonsupply.com/collections/hvac/products/milwaukee-49-90-1900-hepa-filter</v>
      </c>
      <c r="B2268" s="3" t="str">
        <f>HYPERLINK("https://edmondsonsupply.com/products/milwaukee-49-90-1900-hepa-filter", "https://edmondsonsupply.com/products/milwaukee-49-90-1900-hepa-filter")</f>
        <v>https://edmondsonsupply.com/products/milwaukee-49-90-1900-hepa-filter</v>
      </c>
      <c r="C2268" t="s">
        <v>5831</v>
      </c>
      <c r="D2268" t="s">
        <v>5943</v>
      </c>
      <c r="E2268" s="3" t="str">
        <f>HYPERLINK("https://www.amazon.com/49-90-1900-Replacement-Compatible-Milwaukee-Cordless/dp/B082Y7JPM4/ref=sr_1_4?keywords=Milwaukee+49-90-1900+HEPA+Filter&amp;qid=1695173776&amp;sr=8-4", "https://www.amazon.com/49-90-1900-Replacement-Compatible-Milwaukee-Cordless/dp/B082Y7JPM4/ref=sr_1_4?keywords=Milwaukee+49-90-1900+HEPA+Filter&amp;qid=1695173776&amp;sr=8-4")</f>
        <v>https://www.amazon.com/49-90-1900-Replacement-Compatible-Milwaukee-Cordless/dp/B082Y7JPM4/ref=sr_1_4?keywords=Milwaukee+49-90-1900+HEPA+Filter&amp;qid=1695173776&amp;sr=8-4</v>
      </c>
      <c r="F2268" t="s">
        <v>5944</v>
      </c>
      <c r="G2268" t="e">
        <f ca="1">_xludf.IMAGE("https://edmondsonsupply.com/cdn/shop/files/49-90-1900_1.png?v=1686234774")</f>
        <v>#NAME?</v>
      </c>
      <c r="H2268" t="e">
        <f ca="1">_xludf.IMAGE("https://m.media-amazon.com/images/I/61AU5p8goyL._AC_UL320_.jpg")</f>
        <v>#NAME?</v>
      </c>
      <c r="I2268" t="s">
        <v>2170</v>
      </c>
      <c r="J2268">
        <v>19.989999999999998</v>
      </c>
      <c r="K2268" s="4">
        <v>-0.19980000000000001</v>
      </c>
      <c r="L2268">
        <v>4.5</v>
      </c>
      <c r="M2268">
        <v>106</v>
      </c>
      <c r="O2268" t="s">
        <v>25</v>
      </c>
      <c r="P2268" t="s">
        <v>2470</v>
      </c>
      <c r="Q2268" t="s">
        <v>5834</v>
      </c>
    </row>
    <row r="2269" spans="1:17" ht="15.5" x14ac:dyDescent="0.35">
      <c r="A2269" s="3" t="str">
        <f>HYPERLINK("https://edmondsonsupply.com/collections/hvac/products/milwaukee-49-90-1900-hepa-filter", "https://edmondsonsupply.com/collections/hvac/products/milwaukee-49-90-1900-hepa-filter")</f>
        <v>https://edmondsonsupply.com/collections/hvac/products/milwaukee-49-90-1900-hepa-filter</v>
      </c>
      <c r="B2269" s="3" t="str">
        <f>HYPERLINK("https://edmondsonsupply.com/products/milwaukee-49-90-1900-hepa-filter", "https://edmondsonsupply.com/products/milwaukee-49-90-1900-hepa-filter")</f>
        <v>https://edmondsonsupply.com/products/milwaukee-49-90-1900-hepa-filter</v>
      </c>
      <c r="C2269" t="s">
        <v>5831</v>
      </c>
      <c r="D2269" t="s">
        <v>5945</v>
      </c>
      <c r="E2269" s="3" t="str">
        <f>HYPERLINK("https://www.amazon.com/EZ-SPARES-Replacements-49-90-1900-Attachment/dp/B07SGPWPBF/ref=sr_1_10?keywords=Milwaukee+49-90-1900+HEPA+Filter&amp;qid=1695173776&amp;sr=8-10", "https://www.amazon.com/EZ-SPARES-Replacements-49-90-1900-Attachment/dp/B07SGPWPBF/ref=sr_1_10?keywords=Milwaukee+49-90-1900+HEPA+Filter&amp;qid=1695173776&amp;sr=8-10")</f>
        <v>https://www.amazon.com/EZ-SPARES-Replacements-49-90-1900-Attachment/dp/B07SGPWPBF/ref=sr_1_10?keywords=Milwaukee+49-90-1900+HEPA+Filter&amp;qid=1695173776&amp;sr=8-10</v>
      </c>
      <c r="F2269" t="s">
        <v>5946</v>
      </c>
      <c r="G2269" t="e">
        <f ca="1">_xludf.IMAGE("https://edmondsonsupply.com/cdn/shop/files/49-90-1900_1.png?v=1686234774")</f>
        <v>#NAME?</v>
      </c>
      <c r="H2269" t="e">
        <f ca="1">_xludf.IMAGE("https://m.media-amazon.com/images/I/619i3MWyyYL._AC_UL320_.jpg")</f>
        <v>#NAME?</v>
      </c>
      <c r="I2269" t="s">
        <v>2170</v>
      </c>
      <c r="J2269">
        <v>19.98</v>
      </c>
      <c r="K2269" s="4">
        <v>-0.20019999999999999</v>
      </c>
      <c r="L2269">
        <v>4.5</v>
      </c>
      <c r="M2269">
        <v>54</v>
      </c>
      <c r="O2269" t="s">
        <v>25</v>
      </c>
      <c r="P2269" t="s">
        <v>2470</v>
      </c>
      <c r="Q2269" t="s">
        <v>5834</v>
      </c>
    </row>
    <row r="2270" spans="1:17" ht="15.5" x14ac:dyDescent="0.35">
      <c r="A2270"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70"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70" t="s">
        <v>5906</v>
      </c>
      <c r="D2270" t="s">
        <v>5891</v>
      </c>
      <c r="E2270" s="3" t="str">
        <f>HYPERLINK("https://www.amazon.com/Diablo-DMAMXCC5020-SDS-Max-Carbide-Tipped/dp/B089M7TYBC/ref=sr_1_4?keywords=Diablo+Tools+DMAMXCC5050+4+in.+x+7+in.+SDS-Max+Carbide+Tipped+Core+Bit&amp;qid=1695173774&amp;sr=8-4", "https://www.amazon.com/Diablo-DMAMXCC5020-SDS-Max-Carbide-Tipped/dp/B089M7TYBC/ref=sr_1_4?keywords=Diablo+Tools+DMAMXCC5050+4+in.+x+7+in.+SDS-Max+Carbide+Tipped+Core+Bit&amp;qid=1695173774&amp;sr=8-4")</f>
        <v>https://www.amazon.com/Diablo-DMAMXCC5020-SDS-Max-Carbide-Tipped/dp/B089M7TYBC/ref=sr_1_4?keywords=Diablo+Tools+DMAMXCC5050+4+in.+x+7+in.+SDS-Max+Carbide+Tipped+Core+Bit&amp;qid=1695173774&amp;sr=8-4</v>
      </c>
      <c r="F2270" t="s">
        <v>5892</v>
      </c>
      <c r="G2270" t="e">
        <f ca="1">_xludf.IMAGE("https://edmondsonsupply.com/cdn/shop/files/yghx7uqdjxchri5fikny.webp?v=1686586834")</f>
        <v>#NAME?</v>
      </c>
      <c r="H2270" t="e">
        <f ca="1">_xludf.IMAGE("https://m.media-amazon.com/images/I/61fu3xDsk5L._AC_UL320_.jpg")</f>
        <v>#NAME?</v>
      </c>
      <c r="I2270" t="s">
        <v>5907</v>
      </c>
      <c r="J2270">
        <v>120.46</v>
      </c>
      <c r="K2270" s="4">
        <v>-0.2044</v>
      </c>
      <c r="L2270">
        <v>4.8</v>
      </c>
      <c r="M2270">
        <v>5</v>
      </c>
      <c r="O2270" t="s">
        <v>25</v>
      </c>
      <c r="P2270" t="s">
        <v>5908</v>
      </c>
      <c r="Q2270" t="s">
        <v>5909</v>
      </c>
    </row>
    <row r="2271" spans="1:17" ht="15.5" x14ac:dyDescent="0.35">
      <c r="A2271" s="3" t="str">
        <f>HYPERLINK("https://edmondsonsupply.com/collections/hvac/products/fluke-373-true-rms-ac-clamp-meter", "https://edmondsonsupply.com/collections/hvac/products/fluke-373-true-rms-ac-clamp-meter")</f>
        <v>https://edmondsonsupply.com/collections/hvac/products/fluke-373-true-rms-ac-clamp-meter</v>
      </c>
      <c r="B2271" s="3" t="str">
        <f>HYPERLINK("https://edmondsonsupply.com/products/fluke-373-true-rms-ac-clamp-meter", "https://edmondsonsupply.com/products/fluke-373-true-rms-ac-clamp-meter")</f>
        <v>https://edmondsonsupply.com/products/fluke-373-true-rms-ac-clamp-meter</v>
      </c>
      <c r="C2271" t="s">
        <v>5826</v>
      </c>
      <c r="D2271" t="s">
        <v>5947</v>
      </c>
      <c r="E2271" s="3" t="str">
        <f>HYPERLINK("https://www.amazon.com/Fluke-365-Detachable-True-RMS-Clamp/dp/B004I2ZSLC/ref=sr_1_5?keywords=Fluke+373+True-RMS+AC+Clamp+Meter&amp;qid=1695173782&amp;sr=8-5", "https://www.amazon.com/Fluke-365-Detachable-True-RMS-Clamp/dp/B004I2ZSLC/ref=sr_1_5?keywords=Fluke+373+True-RMS+AC+Clamp+Meter&amp;qid=1695173782&amp;sr=8-5")</f>
        <v>https://www.amazon.com/Fluke-365-Detachable-True-RMS-Clamp/dp/B004I2ZSLC/ref=sr_1_5?keywords=Fluke+373+True-RMS+AC+Clamp+Meter&amp;qid=1695173782&amp;sr=8-5</v>
      </c>
      <c r="F2271" t="s">
        <v>5948</v>
      </c>
      <c r="G2271" t="e">
        <f ca="1">_xludf.IMAGE("https://edmondsonsupply.com/cdn/shop/files/f-373-01d-1500x1000.webp?v=1689369435")</f>
        <v>#NAME?</v>
      </c>
      <c r="H2271" t="e">
        <f ca="1">_xludf.IMAGE("https://m.media-amazon.com/images/I/61gtdMPNAyL._AC_UY218_.jpg")</f>
        <v>#NAME?</v>
      </c>
      <c r="I2271" t="s">
        <v>5829</v>
      </c>
      <c r="J2271">
        <v>225</v>
      </c>
      <c r="K2271" s="4">
        <v>-0.2243</v>
      </c>
      <c r="L2271">
        <v>4.5999999999999996</v>
      </c>
      <c r="M2271">
        <v>121</v>
      </c>
      <c r="O2271" t="s">
        <v>25</v>
      </c>
      <c r="P2271" t="s">
        <v>138</v>
      </c>
      <c r="Q2271" t="s">
        <v>5830</v>
      </c>
    </row>
    <row r="2272" spans="1:17" ht="15.5" x14ac:dyDescent="0.35">
      <c r="A2272"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72"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72" t="s">
        <v>5906</v>
      </c>
      <c r="D2272" t="s">
        <v>5920</v>
      </c>
      <c r="E2272" s="3" t="str">
        <f>HYPERLINK("https://www.amazon.com/Diablo-DMAMXCC5040-SDS-Max-Carbide-Tipped/dp/B089M9SDDV/ref=sr_1_5?keywords=Diablo+Tools+DMAMXCC5050+4+in.+x+7+in.+SDS-Max+Carbide+Tipped+Core+Bit&amp;qid=1695173774&amp;sr=8-5", "https://www.amazon.com/Diablo-DMAMXCC5040-SDS-Max-Carbide-Tipped/dp/B089M9SDDV/ref=sr_1_5?keywords=Diablo+Tools+DMAMXCC5050+4+in.+x+7+in.+SDS-Max+Carbide+Tipped+Core+Bit&amp;qid=1695173774&amp;sr=8-5")</f>
        <v>https://www.amazon.com/Diablo-DMAMXCC5040-SDS-Max-Carbide-Tipped/dp/B089M9SDDV/ref=sr_1_5?keywords=Diablo+Tools+DMAMXCC5050+4+in.+x+7+in.+SDS-Max+Carbide+Tipped+Core+Bit&amp;qid=1695173774&amp;sr=8-5</v>
      </c>
      <c r="F2272" t="s">
        <v>5921</v>
      </c>
      <c r="G2272" t="e">
        <f ca="1">_xludf.IMAGE("https://edmondsonsupply.com/cdn/shop/files/yghx7uqdjxchri5fikny.webp?v=1686586834")</f>
        <v>#NAME?</v>
      </c>
      <c r="H2272" t="e">
        <f ca="1">_xludf.IMAGE("https://m.media-amazon.com/images/I/71hVl4OIfrL._AC_UL320_.jpg")</f>
        <v>#NAME?</v>
      </c>
      <c r="I2272" t="s">
        <v>5907</v>
      </c>
      <c r="J2272">
        <v>112.99</v>
      </c>
      <c r="K2272" s="4">
        <v>-0.25369999999999998</v>
      </c>
      <c r="L2272">
        <v>4</v>
      </c>
      <c r="M2272">
        <v>1</v>
      </c>
      <c r="O2272" t="s">
        <v>25</v>
      </c>
      <c r="P2272" t="s">
        <v>5908</v>
      </c>
      <c r="Q2272" t="s">
        <v>5909</v>
      </c>
    </row>
    <row r="2273" spans="1:17" ht="15.5" x14ac:dyDescent="0.35">
      <c r="A2273" s="3" t="str">
        <f>HYPERLINK("https://edmondsonsupply.com/collections/hvac/products/diablo-tools-dou125cgp-1-1-4-in-universal-fit-carbide-oscillating-blade-for-general-purpose-cuts", "https://edmondsonsupply.com/collections/hvac/products/diablo-tools-dou125cgp-1-1-4-in-universal-fit-carbide-oscillating-blade-for-general-purpose-cuts")</f>
        <v>https://edmondsonsupply.com/collections/hvac/products/diablo-tools-dou125cgp-1-1-4-in-universal-fit-carbide-oscillating-blade-for-general-purpose-cuts</v>
      </c>
      <c r="B2273"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2273" t="s">
        <v>5886</v>
      </c>
      <c r="D2273" t="s">
        <v>5949</v>
      </c>
      <c r="E2273" s="3" t="str">
        <f>HYPERLINK("https://www.amazon.com/Diablo-Freud-DOU125CGP-Universal-Oscillating/dp/B089LGJV4X/ref=sr_1_1?keywords=Diablo+Tools+DOU125CGP+1-1%2F4+in.+Universal+Fit+Carbide+Oscillating+Blade+for+General+Purpose+Cuts&amp;qid=1695173778&amp;sr=8-1", "https://www.amazon.com/Diablo-Freud-DOU125CGP-Universal-Oscillating/dp/B089LGJV4X/ref=sr_1_1?keywords=Diablo+Tools+DOU125CGP+1-1%2F4+in.+Universal+Fit+Carbide+Oscillating+Blade+for+General+Purpose+Cuts&amp;qid=1695173778&amp;sr=8-1")</f>
        <v>https://www.amazon.com/Diablo-Freud-DOU125CGP-Universal-Oscillating/dp/B089LGJV4X/ref=sr_1_1?keywords=Diablo+Tools+DOU125CGP+1-1%2F4+in.+Universal+Fit+Carbide+Oscillating+Blade+for+General+Purpose+Cuts&amp;qid=1695173778&amp;sr=8-1</v>
      </c>
      <c r="F2273" t="s">
        <v>5950</v>
      </c>
      <c r="G2273" t="e">
        <f ca="1">_xludf.IMAGE("https://edmondsonsupply.com/cdn/shop/files/htobgrjt150mygkkk6to_dca17485-ff4c-4cd2-9345-f1b96a9206f3.webp?v=1686146827")</f>
        <v>#NAME?</v>
      </c>
      <c r="H2273" t="e">
        <f ca="1">_xludf.IMAGE("https://m.media-amazon.com/images/I/71lNEMXVnHL._AC_UL320_.jpg")</f>
        <v>#NAME?</v>
      </c>
      <c r="I2273" t="s">
        <v>1716</v>
      </c>
      <c r="J2273">
        <v>16.989999999999998</v>
      </c>
      <c r="K2273" s="4">
        <v>-0.26029999999999998</v>
      </c>
      <c r="L2273">
        <v>4.5999999999999996</v>
      </c>
      <c r="M2273">
        <v>38</v>
      </c>
      <c r="O2273" t="s">
        <v>25</v>
      </c>
      <c r="P2273" t="s">
        <v>5889</v>
      </c>
      <c r="Q2273" t="s">
        <v>5890</v>
      </c>
    </row>
    <row r="2274" spans="1:17" ht="15.5" x14ac:dyDescent="0.35">
      <c r="A2274" s="3" t="str">
        <f>HYPERLINK("https://edmondsonsupply.com/collections/hvac/products/fluke-373-true-rms-ac-clamp-meter", "https://edmondsonsupply.com/collections/hvac/products/fluke-373-true-rms-ac-clamp-meter")</f>
        <v>https://edmondsonsupply.com/collections/hvac/products/fluke-373-true-rms-ac-clamp-meter</v>
      </c>
      <c r="B2274" s="3" t="str">
        <f>HYPERLINK("https://edmondsonsupply.com/products/fluke-373-true-rms-ac-clamp-meter", "https://edmondsonsupply.com/products/fluke-373-true-rms-ac-clamp-meter")</f>
        <v>https://edmondsonsupply.com/products/fluke-373-true-rms-ac-clamp-meter</v>
      </c>
      <c r="C2274" t="s">
        <v>5826</v>
      </c>
      <c r="D2274" t="s">
        <v>5951</v>
      </c>
      <c r="E2274" s="3" t="str">
        <f>HYPERLINK("https://www.amazon.com/Fluke-324-Temperature-Capacitance-Measurements/dp/B009AZ0TXE/ref=sr_1_2?keywords=Fluke+373+True-RMS+AC+Clamp+Meter&amp;qid=1695173782&amp;sr=8-2", "https://www.amazon.com/Fluke-324-Temperature-Capacitance-Measurements/dp/B009AZ0TXE/ref=sr_1_2?keywords=Fluke+373+True-RMS+AC+Clamp+Meter&amp;qid=1695173782&amp;sr=8-2")</f>
        <v>https://www.amazon.com/Fluke-324-Temperature-Capacitance-Measurements/dp/B009AZ0TXE/ref=sr_1_2?keywords=Fluke+373+True-RMS+AC+Clamp+Meter&amp;qid=1695173782&amp;sr=8-2</v>
      </c>
      <c r="F2274" t="s">
        <v>5952</v>
      </c>
      <c r="G2274" t="e">
        <f ca="1">_xludf.IMAGE("https://edmondsonsupply.com/cdn/shop/files/f-373-01d-1500x1000.webp?v=1689369435")</f>
        <v>#NAME?</v>
      </c>
      <c r="H2274" t="e">
        <f ca="1">_xludf.IMAGE("https://m.media-amazon.com/images/I/51R3UJ4M4OL._AC_UY218_.jpg")</f>
        <v>#NAME?</v>
      </c>
      <c r="I2274" t="s">
        <v>5829</v>
      </c>
      <c r="J2274">
        <v>211.68</v>
      </c>
      <c r="K2274" s="4">
        <v>-0.2702</v>
      </c>
      <c r="L2274">
        <v>4.7</v>
      </c>
      <c r="M2274">
        <v>1254</v>
      </c>
      <c r="O2274" t="s">
        <v>25</v>
      </c>
      <c r="P2274" t="s">
        <v>138</v>
      </c>
      <c r="Q2274" t="s">
        <v>5830</v>
      </c>
    </row>
    <row r="2275" spans="1:17" ht="15.5" x14ac:dyDescent="0.35">
      <c r="A2275"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75"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75" t="s">
        <v>5906</v>
      </c>
      <c r="D2275" t="s">
        <v>5900</v>
      </c>
      <c r="E2275" s="3" t="str">
        <f>HYPERLINK("https://www.amazon.com/Diablo-DMAMXCC5030-SDS-Max-Carbide-Tipped/dp/B089M8K3HG/ref=sr_1_2?keywords=Diablo+Tools+DMAMXCC5050+4+in.+x+7+in.+SDS-Max+Carbide+Tipped+Core+Bit&amp;qid=1695173774&amp;sr=8-2", "https://www.amazon.com/Diablo-DMAMXCC5030-SDS-Max-Carbide-Tipped/dp/B089M8K3HG/ref=sr_1_2?keywords=Diablo+Tools+DMAMXCC5050+4+in.+x+7+in.+SDS-Max+Carbide+Tipped+Core+Bit&amp;qid=1695173774&amp;sr=8-2")</f>
        <v>https://www.amazon.com/Diablo-DMAMXCC5030-SDS-Max-Carbide-Tipped/dp/B089M8K3HG/ref=sr_1_2?keywords=Diablo+Tools+DMAMXCC5050+4+in.+x+7+in.+SDS-Max+Carbide+Tipped+Core+Bit&amp;qid=1695173774&amp;sr=8-2</v>
      </c>
      <c r="F2275" t="s">
        <v>5901</v>
      </c>
      <c r="G2275" t="e">
        <f ca="1">_xludf.IMAGE("https://edmondsonsupply.com/cdn/shop/files/yghx7uqdjxchri5fikny.webp?v=1686586834")</f>
        <v>#NAME?</v>
      </c>
      <c r="H2275" t="e">
        <f ca="1">_xludf.IMAGE("https://m.media-amazon.com/images/I/71U1Um--OXL._AC_UL320_.jpg")</f>
        <v>#NAME?</v>
      </c>
      <c r="I2275" t="s">
        <v>5907</v>
      </c>
      <c r="J2275">
        <v>110</v>
      </c>
      <c r="K2275" s="4">
        <v>-0.27339999999999998</v>
      </c>
      <c r="L2275">
        <v>5</v>
      </c>
      <c r="M2275">
        <v>3</v>
      </c>
      <c r="O2275" t="s">
        <v>25</v>
      </c>
      <c r="P2275" t="s">
        <v>5908</v>
      </c>
      <c r="Q2275" t="s">
        <v>5909</v>
      </c>
    </row>
    <row r="2276" spans="1:17" ht="15.5" x14ac:dyDescent="0.35">
      <c r="A2276" s="3" t="str">
        <f>HYPERLINK("https://edmondsonsupply.com/collections/hvac/products/diablo-tools-dmapl4250-3-4-in-x-8-in-x-10-in-rebar-demon%E2%84%A2-sds-plus-4-cutter-full-carbide-head-hammer-drill-bit", "https://edmondsonsupply.com/collections/hvac/products/diablo-tools-dmapl4250-3-4-in-x-8-in-x-10-in-rebar-demon%E2%84%A2-sds-plus-4-cutter-full-carbide-head-hammer-drill-bit")</f>
        <v>https://edmondsonsupply.com/collections/hvac/products/diablo-tools-dmapl4250-3-4-in-x-8-in-x-10-in-rebar-demon%E2%84%A2-sds-plus-4-cutter-full-carbide-head-hammer-drill-bit</v>
      </c>
      <c r="B2276"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2276" t="s">
        <v>5852</v>
      </c>
      <c r="D2276" t="s">
        <v>5953</v>
      </c>
      <c r="E2276" s="3" t="str">
        <f>HYPERLINK("https://www.amazon.com/Diablo-DMAPL4055-SDS-Plus-4-Cutter-Carbide/dp/B089LJCD42/ref=sr_1_4?keywords=Diablo+Tools+DMAPL4250+3%2F4+in.+x+8+in.+x+10+in.+Rebar+Demon%E2%84%A2+SDS-Plus+4-Cutter+Full+Carbide+Head+Hammer+Drill+Bit&amp;qid=1695173779&amp;sr=8-4", "https://www.amazon.com/Diablo-DMAPL4055-SDS-Plus-4-Cutter-Carbide/dp/B089LJCD42/ref=sr_1_4?keywords=Diablo+Tools+DMAPL4250+3%2F4+in.+x+8+in.+x+10+in.+Rebar+Demon%E2%84%A2+SDS-Plus+4-Cutter+Full+Carbide+Head+Hammer+Drill+Bit&amp;qid=1695173779&amp;sr=8-4")</f>
        <v>https://www.amazon.com/Diablo-DMAPL4055-SDS-Plus-4-Cutter-Carbide/dp/B089LJCD42/ref=sr_1_4?keywords=Diablo+Tools+DMAPL4250+3%2F4+in.+x+8+in.+x+10+in.+Rebar+Demon%E2%84%A2+SDS-Plus+4-Cutter+Full+Carbide+Head+Hammer+Drill+Bit&amp;qid=1695173779&amp;sr=8-4</v>
      </c>
      <c r="F2276" t="s">
        <v>5954</v>
      </c>
      <c r="G2276" t="e">
        <f ca="1">_xludf.IMAGE("https://edmondsonsupply.com/cdn/shop/files/rltcbi253wmfv6otmtz6.webp?v=1686576913")</f>
        <v>#NAME?</v>
      </c>
      <c r="H2276" t="e">
        <f ca="1">_xludf.IMAGE("https://m.media-amazon.com/images/I/61cDOAhkb4L._AC_UL320_.jpg")</f>
        <v>#NAME?</v>
      </c>
      <c r="I2276" t="s">
        <v>5853</v>
      </c>
      <c r="J2276">
        <v>15.76</v>
      </c>
      <c r="K2276" s="4">
        <v>-0.35589999999999999</v>
      </c>
      <c r="L2276">
        <v>2</v>
      </c>
      <c r="M2276">
        <v>1</v>
      </c>
      <c r="O2276" t="s">
        <v>25</v>
      </c>
      <c r="P2276" t="s">
        <v>5854</v>
      </c>
      <c r="Q2276" t="s">
        <v>5855</v>
      </c>
    </row>
    <row r="2277" spans="1:17" ht="15.5" x14ac:dyDescent="0.35">
      <c r="A2277"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77"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77" t="s">
        <v>5906</v>
      </c>
      <c r="D2277" t="s">
        <v>5955</v>
      </c>
      <c r="E2277" s="3" t="str">
        <f>HYPERLINK("https://www.amazon.com/Diablo-DMAMXCC5010-SDS-Max-Carbide-Tipped/dp/B089M8SC7R/ref=sr_1_3?keywords=Diablo+Tools+DMAMXCC5050+4+in.+x+7+in.+SDS-Max+Carbide+Tipped+Core+Bit&amp;qid=1695173774&amp;sr=8-3", "https://www.amazon.com/Diablo-DMAMXCC5010-SDS-Max-Carbide-Tipped/dp/B089M8SC7R/ref=sr_1_3?keywords=Diablo+Tools+DMAMXCC5050+4+in.+x+7+in.+SDS-Max+Carbide+Tipped+Core+Bit&amp;qid=1695173774&amp;sr=8-3")</f>
        <v>https://www.amazon.com/Diablo-DMAMXCC5010-SDS-Max-Carbide-Tipped/dp/B089M8SC7R/ref=sr_1_3?keywords=Diablo+Tools+DMAMXCC5050+4+in.+x+7+in.+SDS-Max+Carbide+Tipped+Core+Bit&amp;qid=1695173774&amp;sr=8-3</v>
      </c>
      <c r="F2277" t="s">
        <v>5956</v>
      </c>
      <c r="G2277" t="e">
        <f ca="1">_xludf.IMAGE("https://edmondsonsupply.com/cdn/shop/files/yghx7uqdjxchri5fikny.webp?v=1686586834")</f>
        <v>#NAME?</v>
      </c>
      <c r="H2277" t="e">
        <f ca="1">_xludf.IMAGE("https://m.media-amazon.com/images/I/61bqzHyefdL._AC_UL320_.jpg")</f>
        <v>#NAME?</v>
      </c>
      <c r="I2277" t="s">
        <v>5907</v>
      </c>
      <c r="J2277">
        <v>94.99</v>
      </c>
      <c r="K2277" s="4">
        <v>-0.37259999999999999</v>
      </c>
      <c r="L2277">
        <v>4.0999999999999996</v>
      </c>
      <c r="M2277">
        <v>3</v>
      </c>
      <c r="O2277" t="s">
        <v>25</v>
      </c>
      <c r="P2277" t="s">
        <v>5908</v>
      </c>
      <c r="Q2277" t="s">
        <v>5909</v>
      </c>
    </row>
    <row r="2278" spans="1:17" ht="15.5" x14ac:dyDescent="0.35">
      <c r="A2278" s="3" t="str">
        <f>HYPERLINK("https://edmondsonsupply.com/collections/hvac/products/diablo-tools-dou125cgp3-1-1-4-in-universal-fit-carbide-oscillating-blades-for-general-purpose-cuts-3-pack", "https://edmondsonsupply.com/collections/hvac/products/diablo-tools-dou125cgp3-1-1-4-in-universal-fit-carbide-oscillating-blades-for-general-purpose-cuts-3-pack")</f>
        <v>https://edmondsonsupply.com/collections/hvac/products/diablo-tools-dou125cgp3-1-1-4-in-universal-fit-carbide-oscillating-blades-for-general-purpose-cuts-3-pack</v>
      </c>
      <c r="B2278" s="3" t="str">
        <f>HYPERLINK("https://edmondsonsupply.com/products/diablo-tools-dou125cgp3-1-1-4-in-universal-fit-carbide-oscillating-blades-for-general-purpose-cuts-3-pack", "https://edmondsonsupply.com/products/diablo-tools-dou125cgp3-1-1-4-in-universal-fit-carbide-oscillating-blades-for-general-purpose-cuts-3-pack")</f>
        <v>https://edmondsonsupply.com/products/diablo-tools-dou125cgp3-1-1-4-in-universal-fit-carbide-oscillating-blades-for-general-purpose-cuts-3-pack</v>
      </c>
      <c r="C2278" t="s">
        <v>5957</v>
      </c>
      <c r="D2278" t="s">
        <v>5887</v>
      </c>
      <c r="E2278" s="3" t="str">
        <f>HYPERLINK("https://www.amazon.com/Diablo-Freud-DOU125CGP3-Universal-Oscillating/dp/B089KW6C8Q/ref=sr_1_3?keywords=Diablo+Tools+DOU125CGP3+1-1%2F4+in.+Universal+Fit+Carbide+Oscillating+Blades+for+General+Purpose+Cuts+%283+Pack%29&amp;qid=1695173780&amp;sr=8-3", "https://www.amazon.com/Diablo-Freud-DOU125CGP3-Universal-Oscillating/dp/B089KW6C8Q/ref=sr_1_3?keywords=Diablo+Tools+DOU125CGP3+1-1%2F4+in.+Universal+Fit+Carbide+Oscillating+Blades+for+General+Purpose+Cuts+%283+Pack%29&amp;qid=1695173780&amp;sr=8-3")</f>
        <v>https://www.amazon.com/Diablo-Freud-DOU125CGP3-Universal-Oscillating/dp/B089KW6C8Q/ref=sr_1_3?keywords=Diablo+Tools+DOU125CGP3+1-1%2F4+in.+Universal+Fit+Carbide+Oscillating+Blades+for+General+Purpose+Cuts+%283+Pack%29&amp;qid=1695173780&amp;sr=8-3</v>
      </c>
      <c r="F2278" t="s">
        <v>5888</v>
      </c>
      <c r="G2278" t="e">
        <f ca="1">_xludf.IMAGE("https://edmondsonsupply.com/cdn/shop/files/htobgrjt150mygkkk6to_1.webp?v=1686147205")</f>
        <v>#NAME?</v>
      </c>
      <c r="H2278" t="e">
        <f ca="1">_xludf.IMAGE("https://m.media-amazon.com/images/I/71lNEMXVnHL._AC_UL320_.jpg")</f>
        <v>#NAME?</v>
      </c>
      <c r="I2278" t="s">
        <v>4108</v>
      </c>
      <c r="J2278">
        <v>27.99</v>
      </c>
      <c r="K2278" s="4">
        <v>-0.37759999999999999</v>
      </c>
      <c r="L2278">
        <v>4.5</v>
      </c>
      <c r="M2278">
        <v>139</v>
      </c>
      <c r="O2278" t="s">
        <v>25</v>
      </c>
      <c r="P2278" t="s">
        <v>5958</v>
      </c>
      <c r="Q2278" t="s">
        <v>5959</v>
      </c>
    </row>
    <row r="2279" spans="1:17" ht="15.5" x14ac:dyDescent="0.35">
      <c r="A2279" s="3" t="str">
        <f>HYPERLINK("https://edmondsonsupply.com/collections/hvac/products/diablo-tools-dou250bw3-2-1-2-in-universal-fit-bi-metal-oscillating-blades-for-nail-embedded-wood-3-pack", "https://edmondsonsupply.com/collections/hvac/products/diablo-tools-dou250bw3-2-1-2-in-universal-fit-bi-metal-oscillating-blades-for-nail-embedded-wood-3-pack")</f>
        <v>https://edmondsonsupply.com/collections/hvac/products/diablo-tools-dou250bw3-2-1-2-in-universal-fit-bi-metal-oscillating-blades-for-nail-embedded-wood-3-pack</v>
      </c>
      <c r="B2279"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2279" t="s">
        <v>5937</v>
      </c>
      <c r="D2279" t="s">
        <v>5960</v>
      </c>
      <c r="E2279" s="3" t="str">
        <f>HYPERLINK("https://www.amazon.com/Diablo-Freud-DOU250BW-Oscillating-Nail-Embedded/dp/B089KWP5Z2/ref=sr_1_3?keywords=Diablo+Tools+DOU250BW3+2-1%2F2+in.+Universal+Fit+Bi-Metal+Oscillating+Blades+for+Nail-Embedded+Wood+%283+pack%29&amp;qid=1695173781&amp;sr=8-3", "https://www.amazon.com/Diablo-Freud-DOU250BW-Oscillating-Nail-Embedded/dp/B089KWP5Z2/ref=sr_1_3?keywords=Diablo+Tools+DOU250BW3+2-1%2F2+in.+Universal+Fit+Bi-Metal+Oscillating+Blades+for+Nail-Embedded+Wood+%283+pack%29&amp;qid=1695173781&amp;sr=8-3")</f>
        <v>https://www.amazon.com/Diablo-Freud-DOU250BW-Oscillating-Nail-Embedded/dp/B089KWP5Z2/ref=sr_1_3?keywords=Diablo+Tools+DOU250BW3+2-1%2F2+in.+Universal+Fit+Bi-Metal+Oscillating+Blades+for+Nail-Embedded+Wood+%283+pack%29&amp;qid=1695173781&amp;sr=8-3</v>
      </c>
      <c r="F2279" t="s">
        <v>5961</v>
      </c>
      <c r="G2279" t="e">
        <f ca="1">_xludf.IMAGE("https://edmondsonsupply.com/cdn/shop/files/xcched1uye7bv2s0ryod_fbd674d3-3cd9-4e2a-a920-451af57abfde.webp?v=1686149226")</f>
        <v>#NAME?</v>
      </c>
      <c r="H2279" t="e">
        <f ca="1">_xludf.IMAGE("https://m.media-amazon.com/images/I/71fhfiK3NaL._AC_UL320_.jpg")</f>
        <v>#NAME?</v>
      </c>
      <c r="I2279" t="s">
        <v>5940</v>
      </c>
      <c r="J2279">
        <v>16.96</v>
      </c>
      <c r="K2279" s="4">
        <v>-0.45850000000000002</v>
      </c>
      <c r="L2279">
        <v>4.5999999999999996</v>
      </c>
      <c r="M2279">
        <v>31</v>
      </c>
      <c r="O2279" t="s">
        <v>25</v>
      </c>
      <c r="P2279" t="s">
        <v>5941</v>
      </c>
      <c r="Q2279" t="s">
        <v>5942</v>
      </c>
    </row>
    <row r="2280" spans="1:17" ht="15.5" x14ac:dyDescent="0.35">
      <c r="A2280" s="3" t="str">
        <f>HYPERLINK("https://edmondsonsupply.com/collections/hvac/products/diablo-tools-dmamxcc5010-2-in-x-7-in-sds-max-carbide-tipped-core-bit", "https://edmondsonsupply.com/collections/hvac/products/diablo-tools-dmamxcc5010-2-in-x-7-in-sds-max-carbide-tipped-core-bit")</f>
        <v>https://edmondsonsupply.com/collections/hvac/products/diablo-tools-dmamxcc5010-2-in-x-7-in-sds-max-carbide-tipped-core-bit</v>
      </c>
      <c r="B2280"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280" t="s">
        <v>5837</v>
      </c>
      <c r="D2280" t="s">
        <v>5298</v>
      </c>
      <c r="E2280" s="3" t="str">
        <f>HYPERLINK("https://www.amazon.com/Diablo-SDS-Max-4-Cutter-Carbide-Hammer/dp/B089KWFF8B/ref=sr_1_9?keywords=Diablo+Tools+DMAMXCC5010+2+in.+x+7+in.+SDS-Max+Carbide+Tipped+Core+Bit&amp;qid=1695173774&amp;sr=8-9", "https://www.amazon.com/Diablo-SDS-Max-4-Cutter-Carbide-Hammer/dp/B089KWFF8B/ref=sr_1_9?keywords=Diablo+Tools+DMAMXCC5010+2+in.+x+7+in.+SDS-Max+Carbide+Tipped+Core+Bit&amp;qid=1695173774&amp;sr=8-9")</f>
        <v>https://www.amazon.com/Diablo-SDS-Max-4-Cutter-Carbide-Hammer/dp/B089KWFF8B/ref=sr_1_9?keywords=Diablo+Tools+DMAMXCC5010+2+in.+x+7+in.+SDS-Max+Carbide+Tipped+Core+Bit&amp;qid=1695173774&amp;sr=8-9</v>
      </c>
      <c r="F2280" t="s">
        <v>5299</v>
      </c>
      <c r="G2280" t="e">
        <f ca="1">_xludf.IMAGE("https://edmondsonsupply.com/cdn/shop/files/kbs61qpkymnshwvx13k1.webp?v=1686583113")</f>
        <v>#NAME?</v>
      </c>
      <c r="H2280" t="e">
        <f ca="1">_xludf.IMAGE("https://m.media-amazon.com/images/I/611fTcYRNFL._AC_UL320_.jpg")</f>
        <v>#NAME?</v>
      </c>
      <c r="I2280" t="s">
        <v>5840</v>
      </c>
      <c r="J2280">
        <v>52.51</v>
      </c>
      <c r="K2280" s="4">
        <v>-0.48259999999999997</v>
      </c>
      <c r="L2280">
        <v>3.5</v>
      </c>
      <c r="M2280">
        <v>3</v>
      </c>
      <c r="O2280" t="s">
        <v>25</v>
      </c>
      <c r="P2280" t="s">
        <v>5841</v>
      </c>
      <c r="Q2280" t="s">
        <v>5842</v>
      </c>
    </row>
    <row r="2281" spans="1:17" ht="15.5" x14ac:dyDescent="0.35">
      <c r="A2281" s="3" t="str">
        <f>HYPERLINK("https://edmondsonsupply.com/collections/hvac/products/milwaukee-49-90-1900-hepa-filter", "https://edmondsonsupply.com/collections/hvac/products/milwaukee-49-90-1900-hepa-filter")</f>
        <v>https://edmondsonsupply.com/collections/hvac/products/milwaukee-49-90-1900-hepa-filter</v>
      </c>
      <c r="B2281" s="3" t="str">
        <f>HYPERLINK("https://edmondsonsupply.com/products/milwaukee-49-90-1900-hepa-filter", "https://edmondsonsupply.com/products/milwaukee-49-90-1900-hepa-filter")</f>
        <v>https://edmondsonsupply.com/products/milwaukee-49-90-1900-hepa-filter</v>
      </c>
      <c r="C2281" t="s">
        <v>5831</v>
      </c>
      <c r="D2281" t="s">
        <v>5962</v>
      </c>
      <c r="E2281" s="3" t="str">
        <f>HYPERLINK("https://www.amazon.com/49-90-1900-Replacement-Compatible-Milwaukee-Cordless/dp/B07VTP5MF3/ref=sr_1_6?keywords=Milwaukee+49-90-1900+HEPA+Filter&amp;qid=1695173776&amp;sr=8-6", "https://www.amazon.com/49-90-1900-Replacement-Compatible-Milwaukee-Cordless/dp/B07VTP5MF3/ref=sr_1_6?keywords=Milwaukee+49-90-1900+HEPA+Filter&amp;qid=1695173776&amp;sr=8-6")</f>
        <v>https://www.amazon.com/49-90-1900-Replacement-Compatible-Milwaukee-Cordless/dp/B07VTP5MF3/ref=sr_1_6?keywords=Milwaukee+49-90-1900+HEPA+Filter&amp;qid=1695173776&amp;sr=8-6</v>
      </c>
      <c r="F2281" t="s">
        <v>5963</v>
      </c>
      <c r="G2281" t="e">
        <f ca="1">_xludf.IMAGE("https://edmondsonsupply.com/cdn/shop/files/49-90-1900_1.png?v=1686234774")</f>
        <v>#NAME?</v>
      </c>
      <c r="H2281" t="e">
        <f ca="1">_xludf.IMAGE("https://m.media-amazon.com/images/I/61dXZ7mr8BL._AC_UL320_.jpg")</f>
        <v>#NAME?</v>
      </c>
      <c r="I2281" t="s">
        <v>2170</v>
      </c>
      <c r="J2281">
        <v>12.68</v>
      </c>
      <c r="K2281" s="4">
        <v>-0.4924</v>
      </c>
      <c r="L2281">
        <v>4.5999999999999996</v>
      </c>
      <c r="M2281">
        <v>287</v>
      </c>
      <c r="O2281" t="s">
        <v>25</v>
      </c>
      <c r="P2281" t="s">
        <v>2470</v>
      </c>
      <c r="Q2281" t="s">
        <v>5834</v>
      </c>
    </row>
    <row r="2282" spans="1:17" ht="15.5" x14ac:dyDescent="0.35">
      <c r="A2282" s="3" t="str">
        <f>HYPERLINK("https://edmondsonsupply.com/collections/hvac/products/milwaukee-2829-22-m18-fuel%E2%84%A2-compact-band-saw-kit", "https://edmondsonsupply.com/collections/hvac/products/milwaukee-2829-22-m18-fuel%E2%84%A2-compact-band-saw-kit")</f>
        <v>https://edmondsonsupply.com/collections/hvac/products/milwaukee-2829-22-m18-fuel%E2%84%A2-compact-band-saw-kit</v>
      </c>
      <c r="B2282" s="3" t="str">
        <f>HYPERLINK("https://edmondsonsupply.com/products/milwaukee-2829-22-m18-fuel%e2%84%a2-compact-band-saw-kit", "https://edmondsonsupply.com/products/milwaukee-2829-22-m18-fuel%e2%84%a2-compact-band-saw-kit")</f>
        <v>https://edmondsonsupply.com/products/milwaukee-2829-22-m18-fuel%e2%84%a2-compact-band-saw-kit</v>
      </c>
      <c r="C2282" t="s">
        <v>5964</v>
      </c>
      <c r="D2282" t="s">
        <v>5965</v>
      </c>
      <c r="E2282" s="3" t="str">
        <f>HYPERLINK("https://www.amazon.com/Milwaukee-2829-22-FUEL-Compact-Band/dp/B09PQBHPNH/ref=sr_1_1?keywords=Milwaukee+2829-22+M18+FUEL%E2%84%A2+Compact+Band+Saw+Kit&amp;qid=1695173797&amp;sr=8-1", "https://www.amazon.com/Milwaukee-2829-22-FUEL-Compact-Band/dp/B09PQBHPNH/ref=sr_1_1?keywords=Milwaukee+2829-22+M18+FUEL%E2%84%A2+Compact+Band+Saw+Kit&amp;qid=1695173797&amp;sr=8-1")</f>
        <v>https://www.amazon.com/Milwaukee-2829-22-FUEL-Compact-Band/dp/B09PQBHPNH/ref=sr_1_1?keywords=Milwaukee+2829-22+M18+FUEL%E2%84%A2+Compact+Band+Saw+Kit&amp;qid=1695173797&amp;sr=8-1</v>
      </c>
      <c r="F2282" t="s">
        <v>5966</v>
      </c>
      <c r="G2282" t="e">
        <f ca="1">_xludf.IMAGE("https://edmondsonsupply.com/cdn/shop/files/2829-22_1.png?v=1686231471")</f>
        <v>#NAME?</v>
      </c>
      <c r="H2282" t="e">
        <f ca="1">_xludf.IMAGE("https://m.media-amazon.com/images/I/51miXQepRJL._AC_UL320_.jpg")</f>
        <v>#NAME?</v>
      </c>
      <c r="I2282" t="s">
        <v>5967</v>
      </c>
      <c r="J2282">
        <v>253.99</v>
      </c>
      <c r="K2282" s="4">
        <v>-0.51060000000000005</v>
      </c>
      <c r="L2282">
        <v>5</v>
      </c>
      <c r="M2282">
        <v>1</v>
      </c>
      <c r="O2282" t="s">
        <v>25</v>
      </c>
      <c r="P2282" t="s">
        <v>5968</v>
      </c>
      <c r="Q2282" t="s">
        <v>5969</v>
      </c>
    </row>
    <row r="2283" spans="1:17" ht="15.5" x14ac:dyDescent="0.35">
      <c r="A2283" s="3" t="str">
        <f>HYPERLINK("https://edmondsonsupply.com/collections/hvac/products/diablo-tools-dou250bw3-2-1-2-in-universal-fit-bi-metal-oscillating-blades-for-nail-embedded-wood-3-pack", "https://edmondsonsupply.com/collections/hvac/products/diablo-tools-dou250bw3-2-1-2-in-universal-fit-bi-metal-oscillating-blades-for-nail-embedded-wood-3-pack")</f>
        <v>https://edmondsonsupply.com/collections/hvac/products/diablo-tools-dou250bw3-2-1-2-in-universal-fit-bi-metal-oscillating-blades-for-nail-embedded-wood-3-pack</v>
      </c>
      <c r="B2283"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2283" t="s">
        <v>5937</v>
      </c>
      <c r="D2283" t="s">
        <v>5970</v>
      </c>
      <c r="E2283" s="3" t="str">
        <f>HYPERLINK("https://www.amazon.com/Diablo-Universal-Bi-Metal-Oscillating-Nail-Embedded/dp/B089LDN2LT/ref=sr_1_4?keywords=Diablo+Tools+DOU250BW3+2-1%2F2+in.+Universal+Fit+Bi-Metal+Oscillating+Blades+for+Nail-Embedded+Wood+%283+pack%29&amp;qid=1695173781&amp;sr=8-4", "https://www.amazon.com/Diablo-Universal-Bi-Metal-Oscillating-Nail-Embedded/dp/B089LDN2LT/ref=sr_1_4?keywords=Diablo+Tools+DOU250BW3+2-1%2F2+in.+Universal+Fit+Bi-Metal+Oscillating+Blades+for+Nail-Embedded+Wood+%283+pack%29&amp;qid=1695173781&amp;sr=8-4")</f>
        <v>https://www.amazon.com/Diablo-Universal-Bi-Metal-Oscillating-Nail-Embedded/dp/B089LDN2LT/ref=sr_1_4?keywords=Diablo+Tools+DOU250BW3+2-1%2F2+in.+Universal+Fit+Bi-Metal+Oscillating+Blades+for+Nail-Embedded+Wood+%283+pack%29&amp;qid=1695173781&amp;sr=8-4</v>
      </c>
      <c r="F2283" t="s">
        <v>5971</v>
      </c>
      <c r="G2283" t="e">
        <f ca="1">_xludf.IMAGE("https://edmondsonsupply.com/cdn/shop/files/xcched1uye7bv2s0ryod_fbd674d3-3cd9-4e2a-a920-451af57abfde.webp?v=1686149226")</f>
        <v>#NAME?</v>
      </c>
      <c r="H2283" t="e">
        <f ca="1">_xludf.IMAGE("https://m.media-amazon.com/images/I/613ig7mNjfL._AC_UL320_.jpg")</f>
        <v>#NAME?</v>
      </c>
      <c r="I2283" t="s">
        <v>5940</v>
      </c>
      <c r="J2283">
        <v>12.14</v>
      </c>
      <c r="K2283" s="4">
        <v>-0.61240000000000006</v>
      </c>
      <c r="L2283">
        <v>4.8</v>
      </c>
      <c r="M2283">
        <v>12</v>
      </c>
      <c r="O2283" t="s">
        <v>25</v>
      </c>
      <c r="P2283" t="s">
        <v>5941</v>
      </c>
      <c r="Q2283" t="s">
        <v>5942</v>
      </c>
    </row>
    <row r="2284" spans="1:17" ht="15.5" x14ac:dyDescent="0.35">
      <c r="A2284" s="3" t="str">
        <f>HYPERLINK("https://edmondsonsupply.com/collections/hvac/products/diablo-tools-dou125cgp3-1-1-4-in-universal-fit-carbide-oscillating-blades-for-general-purpose-cuts-3-pack", "https://edmondsonsupply.com/collections/hvac/products/diablo-tools-dou125cgp3-1-1-4-in-universal-fit-carbide-oscillating-blades-for-general-purpose-cuts-3-pack")</f>
        <v>https://edmondsonsupply.com/collections/hvac/products/diablo-tools-dou125cgp3-1-1-4-in-universal-fit-carbide-oscillating-blades-for-general-purpose-cuts-3-pack</v>
      </c>
      <c r="B2284" s="3" t="str">
        <f>HYPERLINK("https://edmondsonsupply.com/products/diablo-tools-dou125cgp3-1-1-4-in-universal-fit-carbide-oscillating-blades-for-general-purpose-cuts-3-pack", "https://edmondsonsupply.com/products/diablo-tools-dou125cgp3-1-1-4-in-universal-fit-carbide-oscillating-blades-for-general-purpose-cuts-3-pack")</f>
        <v>https://edmondsonsupply.com/products/diablo-tools-dou125cgp3-1-1-4-in-universal-fit-carbide-oscillating-blades-for-general-purpose-cuts-3-pack</v>
      </c>
      <c r="C2284" t="s">
        <v>5957</v>
      </c>
      <c r="D2284" t="s">
        <v>5949</v>
      </c>
      <c r="E2284" s="3" t="str">
        <f>HYPERLINK("https://www.amazon.com/Diablo-Freud-DOU125CGP-Universal-Oscillating/dp/B089LGJV4X/ref=sr_1_4?keywords=Diablo+Tools+DOU125CGP3+1-1%2F4+in.+Universal+Fit+Carbide+Oscillating+Blades+for+General+Purpose+Cuts+%283+Pack%29&amp;qid=1695173780&amp;sr=8-4", "https://www.amazon.com/Diablo-Freud-DOU125CGP-Universal-Oscillating/dp/B089LGJV4X/ref=sr_1_4?keywords=Diablo+Tools+DOU125CGP3+1-1%2F4+in.+Universal+Fit+Carbide+Oscillating+Blades+for+General+Purpose+Cuts+%283+Pack%29&amp;qid=1695173780&amp;sr=8-4")</f>
        <v>https://www.amazon.com/Diablo-Freud-DOU125CGP-Universal-Oscillating/dp/B089LGJV4X/ref=sr_1_4?keywords=Diablo+Tools+DOU125CGP3+1-1%2F4+in.+Universal+Fit+Carbide+Oscillating+Blades+for+General+Purpose+Cuts+%283+Pack%29&amp;qid=1695173780&amp;sr=8-4</v>
      </c>
      <c r="F2284" t="s">
        <v>5950</v>
      </c>
      <c r="G2284" t="e">
        <f ca="1">_xludf.IMAGE("https://edmondsonsupply.com/cdn/shop/files/htobgrjt150mygkkk6to_1.webp?v=1686147205")</f>
        <v>#NAME?</v>
      </c>
      <c r="H2284" t="e">
        <f ca="1">_xludf.IMAGE("https://m.media-amazon.com/images/I/71lNEMXVnHL._AC_UL320_.jpg")</f>
        <v>#NAME?</v>
      </c>
      <c r="I2284" t="s">
        <v>4108</v>
      </c>
      <c r="J2284">
        <v>16.989999999999998</v>
      </c>
      <c r="K2284" s="4">
        <v>-0.62219999999999998</v>
      </c>
      <c r="L2284">
        <v>4.5999999999999996</v>
      </c>
      <c r="M2284">
        <v>38</v>
      </c>
      <c r="O2284" t="s">
        <v>25</v>
      </c>
      <c r="P2284" t="s">
        <v>5958</v>
      </c>
      <c r="Q2284" t="s">
        <v>5959</v>
      </c>
    </row>
    <row r="2285" spans="1:17" ht="15.5" x14ac:dyDescent="0.35">
      <c r="A2285" s="3" t="str">
        <f>HYPERLINK("https://edmondsonsupply.com/collections/hvac/products/diablo-tools-dmapl4250-3-4-in-x-8-in-x-10-in-rebar-demon%E2%84%A2-sds-plus-4-cutter-full-carbide-head-hammer-drill-bit", "https://edmondsonsupply.com/collections/hvac/products/diablo-tools-dmapl4250-3-4-in-x-8-in-x-10-in-rebar-demon%E2%84%A2-sds-plus-4-cutter-full-carbide-head-hammer-drill-bit")</f>
        <v>https://edmondsonsupply.com/collections/hvac/products/diablo-tools-dmapl4250-3-4-in-x-8-in-x-10-in-rebar-demon%E2%84%A2-sds-plus-4-cutter-full-carbide-head-hammer-drill-bit</v>
      </c>
      <c r="B2285"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2285" t="s">
        <v>5852</v>
      </c>
      <c r="D2285" t="s">
        <v>5972</v>
      </c>
      <c r="E2285" s="3" t="str">
        <f>HYPERLINK("https://www.amazon.com/Diablo-SDS-Plus-4-Cutter-Carbide-Hammer/dp/B089LKWR9L/ref=sr_1_5?keywords=Diablo+Tools+DMAPL4250+3%2F4+in.+x+8+in.+x+10+in.+Rebar+Demon%E2%84%A2+SDS-Plus+4-Cutter+Full+Carbide+Head+Hammer+Drill+Bit&amp;qid=1695173779&amp;sr=8-5", "https://www.amazon.com/Diablo-SDS-Plus-4-Cutter-Carbide-Hammer/dp/B089LKWR9L/ref=sr_1_5?keywords=Diablo+Tools+DMAPL4250+3%2F4+in.+x+8+in.+x+10+in.+Rebar+Demon%E2%84%A2+SDS-Plus+4-Cutter+Full+Carbide+Head+Hammer+Drill+Bit&amp;qid=1695173779&amp;sr=8-5")</f>
        <v>https://www.amazon.com/Diablo-SDS-Plus-4-Cutter-Carbide-Hammer/dp/B089LKWR9L/ref=sr_1_5?keywords=Diablo+Tools+DMAPL4250+3%2F4+in.+x+8+in.+x+10+in.+Rebar+Demon%E2%84%A2+SDS-Plus+4-Cutter+Full+Carbide+Head+Hammer+Drill+Bit&amp;qid=1695173779&amp;sr=8-5</v>
      </c>
      <c r="F2285" t="s">
        <v>5973</v>
      </c>
      <c r="G2285" t="e">
        <f ca="1">_xludf.IMAGE("https://edmondsonsupply.com/cdn/shop/files/rltcbi253wmfv6otmtz6.webp?v=1686576913")</f>
        <v>#NAME?</v>
      </c>
      <c r="H2285" t="e">
        <f ca="1">_xludf.IMAGE("https://m.media-amazon.com/images/I/61uukuKzJeL._AC_UL320_.jpg")</f>
        <v>#NAME?</v>
      </c>
      <c r="I2285" t="s">
        <v>5853</v>
      </c>
      <c r="J2285">
        <v>8.99</v>
      </c>
      <c r="K2285" s="4">
        <v>-0.63260000000000005</v>
      </c>
      <c r="L2285">
        <v>3.7</v>
      </c>
      <c r="M2285">
        <v>10</v>
      </c>
      <c r="O2285" t="s">
        <v>25</v>
      </c>
      <c r="P2285" t="s">
        <v>5854</v>
      </c>
      <c r="Q2285" t="s">
        <v>5855</v>
      </c>
    </row>
    <row r="2286" spans="1:17" ht="15.5" x14ac:dyDescent="0.35">
      <c r="A2286" s="3" t="str">
        <f>HYPERLINK("https://edmondsonsupply.com/collections/hvac/products/diablo-tools-dmapl2290-7-16-in-x-10-in-x-12-in-sds-plus-2-cutter", "https://edmondsonsupply.com/collections/hvac/products/diablo-tools-dmapl2290-7-16-in-x-10-in-x-12-in-sds-plus-2-cutter")</f>
        <v>https://edmondsonsupply.com/collections/hvac/products/diablo-tools-dmapl2290-7-16-in-x-10-in-x-12-in-sds-plus-2-cutter</v>
      </c>
      <c r="B2286" s="3" t="str">
        <f>HYPERLINK("https://edmondsonsupply.com/products/diablo-tools-dmapl2290-7-16-in-x-10-in-x-12-in-sds-plus-2-cutter", "https://edmondsonsupply.com/products/diablo-tools-dmapl2290-7-16-in-x-10-in-x-12-in-sds-plus-2-cutter")</f>
        <v>https://edmondsonsupply.com/products/diablo-tools-dmapl2290-7-16-in-x-10-in-x-12-in-sds-plus-2-cutter</v>
      </c>
      <c r="C2286" t="s">
        <v>5860</v>
      </c>
      <c r="D2286" t="s">
        <v>5974</v>
      </c>
      <c r="E2286" s="3" t="str">
        <f>HYPERLINK("https://www.amazon.com/Bosch-HC2074-SDS-plus-Bulldog-Rotary/dp/B000AMXOF6/ref=sr_1_10?keywords=Diablo+Tools+DMAPL2290+7%2F16+in.+x+10+in.+x+12+in.+SDS-Plus+2-Cutter&amp;qid=1695173778&amp;sr=8-10", "https://www.amazon.com/Bosch-HC2074-SDS-plus-Bulldog-Rotary/dp/B000AMXOF6/ref=sr_1_10?keywords=Diablo+Tools+DMAPL2290+7%2F16+in.+x+10+in.+x+12+in.+SDS-Plus+2-Cutter&amp;qid=1695173778&amp;sr=8-10")</f>
        <v>https://www.amazon.com/Bosch-HC2074-SDS-plus-Bulldog-Rotary/dp/B000AMXOF6/ref=sr_1_10?keywords=Diablo+Tools+DMAPL2290+7%2F16+in.+x+10+in.+x+12+in.+SDS-Plus+2-Cutter&amp;qid=1695173778&amp;sr=8-10</v>
      </c>
      <c r="F2286" t="s">
        <v>5975</v>
      </c>
      <c r="G2286" t="e">
        <f ca="1">_xludf.IMAGE("https://edmondsonsupply.com/cdn/shop/files/lgvfccwvf9ikjakt8qfb.webp?v=1686146379")</f>
        <v>#NAME?</v>
      </c>
      <c r="H2286" t="e">
        <f ca="1">_xludf.IMAGE("https://m.media-amazon.com/images/I/61UHBPkvguL._AC_UL320_.jpg")</f>
        <v>#NAME?</v>
      </c>
      <c r="I2286" t="s">
        <v>1140</v>
      </c>
      <c r="J2286">
        <v>3.7</v>
      </c>
      <c r="K2286" s="4">
        <v>-0.64759999999999995</v>
      </c>
      <c r="L2286">
        <v>4.7</v>
      </c>
      <c r="M2286">
        <v>9693</v>
      </c>
      <c r="O2286" t="s">
        <v>25</v>
      </c>
      <c r="P2286" t="s">
        <v>5863</v>
      </c>
      <c r="Q2286" t="s">
        <v>5864</v>
      </c>
    </row>
    <row r="2287" spans="1:17" ht="15.5" x14ac:dyDescent="0.35">
      <c r="A2287" s="3" t="str">
        <f>HYPERLINK("https://edmondsonsupply.com/collections/hvac/products/diablo-tools-dmamxcc5050-4-in-x-7-in-sds-max-carbide-tipped-core-bit", "https://edmondsonsupply.com/collections/hvac/products/diablo-tools-dmamxcc5050-4-in-x-7-in-sds-max-carbide-tipped-core-bit")</f>
        <v>https://edmondsonsupply.com/collections/hvac/products/diablo-tools-dmamxcc5050-4-in-x-7-in-sds-max-carbide-tipped-core-bit</v>
      </c>
      <c r="B2287"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2287" t="s">
        <v>5906</v>
      </c>
      <c r="D2287" t="s">
        <v>5298</v>
      </c>
      <c r="E2287" s="3" t="str">
        <f>HYPERLINK("https://www.amazon.com/Diablo-SDS-Max-4-Cutter-Carbide-Hammer/dp/B089KWFF8B/ref=sr_1_10?keywords=Diablo+Tools+DMAMXCC5050+4+in.+x+7+in.+SDS-Max+Carbide+Tipped+Core+Bit&amp;qid=1695173774&amp;sr=8-10", "https://www.amazon.com/Diablo-SDS-Max-4-Cutter-Carbide-Hammer/dp/B089KWFF8B/ref=sr_1_10?keywords=Diablo+Tools+DMAMXCC5050+4+in.+x+7+in.+SDS-Max+Carbide+Tipped+Core+Bit&amp;qid=1695173774&amp;sr=8-10")</f>
        <v>https://www.amazon.com/Diablo-SDS-Max-4-Cutter-Carbide-Hammer/dp/B089KWFF8B/ref=sr_1_10?keywords=Diablo+Tools+DMAMXCC5050+4+in.+x+7+in.+SDS-Max+Carbide+Tipped+Core+Bit&amp;qid=1695173774&amp;sr=8-10</v>
      </c>
      <c r="F2287" t="s">
        <v>5299</v>
      </c>
      <c r="G2287" t="e">
        <f ca="1">_xludf.IMAGE("https://edmondsonsupply.com/cdn/shop/files/yghx7uqdjxchri5fikny.webp?v=1686586834")</f>
        <v>#NAME?</v>
      </c>
      <c r="H2287" t="e">
        <f ca="1">_xludf.IMAGE("https://m.media-amazon.com/images/I/611fTcYRNFL._AC_UL320_.jpg")</f>
        <v>#NAME?</v>
      </c>
      <c r="I2287" t="s">
        <v>5907</v>
      </c>
      <c r="J2287">
        <v>52.26</v>
      </c>
      <c r="K2287" s="4">
        <v>-0.65480000000000005</v>
      </c>
      <c r="L2287">
        <v>3.5</v>
      </c>
      <c r="M2287">
        <v>3</v>
      </c>
      <c r="O2287" t="s">
        <v>25</v>
      </c>
      <c r="P2287" t="s">
        <v>5908</v>
      </c>
      <c r="Q2287" t="s">
        <v>5909</v>
      </c>
    </row>
    <row r="2288" spans="1:17" ht="15.5" x14ac:dyDescent="0.35">
      <c r="A2288" s="3" t="str">
        <f>HYPERLINK("https://edmondsonsupply.com/collections/hvac/products/milwaukee-2980-22-m18-fuel%E2%84%A2-4-1-2-6-braking-grinder-kit-paddle-switch-no-lock", "https://edmondsonsupply.com/collections/hvac/products/milwaukee-2980-22-m18-fuel%E2%84%A2-4-1-2-6-braking-grinder-kit-paddle-switch-no-lock")</f>
        <v>https://edmondsonsupply.com/collections/hvac/products/milwaukee-2980-22-m18-fuel%E2%84%A2-4-1-2-6-braking-grinder-kit-paddle-switch-no-lock</v>
      </c>
      <c r="B2288" s="3" t="str">
        <f>HYPERLINK("https://edmondsonsupply.com/products/milwaukee-2980-22-m18-fuel%e2%84%a2-4-1-2-6-braking-grinder-kit-paddle-switch-no-lock", "https://edmondsonsupply.com/products/milwaukee-2980-22-m18-fuel%e2%84%a2-4-1-2-6-braking-grinder-kit-paddle-switch-no-lock")</f>
        <v>https://edmondsonsupply.com/products/milwaukee-2980-22-m18-fuel%e2%84%a2-4-1-2-6-braking-grinder-kit-paddle-switch-no-lock</v>
      </c>
      <c r="C2288" t="s">
        <v>5976</v>
      </c>
      <c r="D2288" t="s">
        <v>5977</v>
      </c>
      <c r="E2288" s="3" t="str">
        <f>HYPERLINK("https://www.amazon.com/Milwaukee-2980-20-M18-FUEL-4-1/dp/B07VXK6NBC/ref=sr_1_1?keywords=Milwaukee+2980-22+M18+FUEL%E2%84%A2+4-1%2F2%E2%80%9D+-+6%E2%80%9D+Braking+Grinder+Kit%2C+Paddle+Switch+No-Lock&amp;qid=1695173783&amp;sr=8-1", "https://www.amazon.com/Milwaukee-2980-20-M18-FUEL-4-1/dp/B07VXK6NBC/ref=sr_1_1?keywords=Milwaukee+2980-22+M18+FUEL%E2%84%A2+4-1%2F2%E2%80%9D+-+6%E2%80%9D+Braking+Grinder+Kit%2C+Paddle+Switch+No-Lock&amp;qid=1695173783&amp;sr=8-1")</f>
        <v>https://www.amazon.com/Milwaukee-2980-20-M18-FUEL-4-1/dp/B07VXK6NBC/ref=sr_1_1?keywords=Milwaukee+2980-22+M18+FUEL%E2%84%A2+4-1%2F2%E2%80%9D+-+6%E2%80%9D+Braking+Grinder+Kit%2C+Paddle+Switch+No-Lock&amp;qid=1695173783&amp;sr=8-1</v>
      </c>
      <c r="F2288" t="s">
        <v>5978</v>
      </c>
      <c r="G2288" t="e">
        <f ca="1">_xludf.IMAGE("https://edmondsonsupply.com/cdn/shop/files/2980-21_2.webp?v=1686157900")</f>
        <v>#NAME?</v>
      </c>
      <c r="H2288" t="e">
        <f ca="1">_xludf.IMAGE("https://m.media-amazon.com/images/I/31Kt4bbcseL._AC_UL320_.jpg")</f>
        <v>#NAME?</v>
      </c>
      <c r="I2288" t="s">
        <v>5967</v>
      </c>
      <c r="J2288">
        <v>168.87</v>
      </c>
      <c r="K2288" s="4">
        <v>-0.67459999999999998</v>
      </c>
      <c r="L2288">
        <v>4.8</v>
      </c>
      <c r="M2288">
        <v>359</v>
      </c>
      <c r="O2288" t="s">
        <v>25</v>
      </c>
      <c r="P2288" t="s">
        <v>5968</v>
      </c>
      <c r="Q2288" t="s">
        <v>5979</v>
      </c>
    </row>
    <row r="2289" spans="1:17" ht="15.5" x14ac:dyDescent="0.35">
      <c r="A2289" s="3" t="str">
        <f>HYPERLINK("https://edmondsonsupply.com/collections/hvac/products/diablo-tools-dmamxcc5010-2-in-x-7-in-sds-max-carbide-tipped-core-bit", "https://edmondsonsupply.com/collections/hvac/products/diablo-tools-dmamxcc5010-2-in-x-7-in-sds-max-carbide-tipped-core-bit")</f>
        <v>https://edmondsonsupply.com/collections/hvac/products/diablo-tools-dmamxcc5010-2-in-x-7-in-sds-max-carbide-tipped-core-bit</v>
      </c>
      <c r="B2289"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289" t="s">
        <v>5837</v>
      </c>
      <c r="D2289" t="s">
        <v>5980</v>
      </c>
      <c r="E2289" s="3" t="str">
        <f>HYPERLINK("https://www.amazon.com/Sabre-U-Flute-Carbide-Concrete-Drivers/dp/B0BF5T89Y5/ref=sr_1_10?keywords=Diablo+Tools+DMAMXCC5010+2+in.+x+7+in.+SDS-Max+Carbide+Tipped+Core+Bit&amp;qid=1695173774&amp;sr=8-10", "https://www.amazon.com/Sabre-U-Flute-Carbide-Concrete-Drivers/dp/B0BF5T89Y5/ref=sr_1_10?keywords=Diablo+Tools+DMAMXCC5010+2+in.+x+7+in.+SDS-Max+Carbide+Tipped+Core+Bit&amp;qid=1695173774&amp;sr=8-10")</f>
        <v>https://www.amazon.com/Sabre-U-Flute-Carbide-Concrete-Drivers/dp/B0BF5T89Y5/ref=sr_1_10?keywords=Diablo+Tools+DMAMXCC5010+2+in.+x+7+in.+SDS-Max+Carbide+Tipped+Core+Bit&amp;qid=1695173774&amp;sr=8-10</v>
      </c>
      <c r="F2289" t="s">
        <v>5981</v>
      </c>
      <c r="G2289" t="e">
        <f ca="1">_xludf.IMAGE("https://edmondsonsupply.com/cdn/shop/files/kbs61qpkymnshwvx13k1.webp?v=1686583113")</f>
        <v>#NAME?</v>
      </c>
      <c r="H2289" t="e">
        <f ca="1">_xludf.IMAGE("https://m.media-amazon.com/images/I/61K848Vxn2L._AC_UL320_.jpg")</f>
        <v>#NAME?</v>
      </c>
      <c r="I2289" t="s">
        <v>5840</v>
      </c>
      <c r="J2289">
        <v>24.99</v>
      </c>
      <c r="K2289" s="4">
        <v>-0.75380000000000003</v>
      </c>
      <c r="L2289">
        <v>4.5999999999999996</v>
      </c>
      <c r="M2289">
        <v>180</v>
      </c>
      <c r="O2289" t="s">
        <v>25</v>
      </c>
      <c r="P2289" t="s">
        <v>5841</v>
      </c>
      <c r="Q2289" t="s">
        <v>5842</v>
      </c>
    </row>
    <row r="2290" spans="1:17" ht="15.5" x14ac:dyDescent="0.35">
      <c r="A2290" s="3" t="str">
        <f>HYPERLINK("https://edmondsonsupply.com/collections/electricians-tools/products/diablo-tools-dmapl4060-1-4-in-x-2-in-x-4-in-rebar-demon%E2%84%A2-sds-plus-4-cutter-full-carbide-head-hammer-bit", "https://edmondsonsupply.com/collections/electricians-tools/products/diablo-tools-dmapl4060-1-4-in-x-2-in-x-4-in-rebar-demon%E2%84%A2-sds-plus-4-cutter-full-carbide-head-hammer-bit")</f>
        <v>https://edmondsonsupply.com/collections/electricians-tools/products/diablo-tools-dmapl4060-1-4-in-x-2-in-x-4-in-rebar-demon%E2%84%A2-sds-plus-4-cutter-full-carbide-head-hammer-bit</v>
      </c>
      <c r="B2290" s="3" t="str">
        <f>HYPERLINK("https://edmondsonsupply.com/products/diablo-tools-dmapl4060-1-4-in-x-2-in-x-4-in-rebar-demon%e2%84%a2-sds-plus-4-cutter-full-carbide-head-hammer-bit", "https://edmondsonsupply.com/products/diablo-tools-dmapl4060-1-4-in-x-2-in-x-4-in-rebar-demon%e2%84%a2-sds-plus-4-cutter-full-carbide-head-hammer-bit")</f>
        <v>https://edmondsonsupply.com/products/diablo-tools-dmapl4060-1-4-in-x-2-in-x-4-in-rebar-demon%e2%84%a2-sds-plus-4-cutter-full-carbide-head-hammer-bit</v>
      </c>
      <c r="C2290" t="s">
        <v>5982</v>
      </c>
      <c r="D2290" t="s">
        <v>1425</v>
      </c>
      <c r="E2290" s="3" t="str">
        <f>HYPERLINK("https://www.amazon.com/Diablo-Rebar-4-Cutter-Carbide-Hammer/dp/B089LGWV7F/ref=sr_1_7?keywords=Diablo+Tools+DMAPL4060+1%2F4+in.+x+2+in.+x+4+in.+Rebar+Demon%E2%84%A2+SDS%E2%80%91Plus+4%E2%80%91Cutter+Full+Carbide+Head+Hammer+Bit&amp;qid=1695174225&amp;sr=8-7", "https://www.amazon.com/Diablo-Rebar-4-Cutter-Carbide-Hammer/dp/B089LGWV7F/ref=sr_1_7?keywords=Diablo+Tools+DMAPL4060+1%2F4+in.+x+2+in.+x+4+in.+Rebar+Demon%E2%84%A2+SDS%E2%80%91Plus+4%E2%80%91Cutter+Full+Carbide+Head+Hammer+Bit&amp;qid=1695174225&amp;sr=8-7")</f>
        <v>https://www.amazon.com/Diablo-Rebar-4-Cutter-Carbide-Hammer/dp/B089LGWV7F/ref=sr_1_7?keywords=Diablo+Tools+DMAPL4060+1%2F4+in.+x+2+in.+x+4+in.+Rebar+Demon%E2%84%A2+SDS%E2%80%91Plus+4%E2%80%91Cutter+Full+Carbide+Head+Hammer+Bit&amp;qid=1695174225&amp;sr=8-7</v>
      </c>
      <c r="F2290" t="s">
        <v>1426</v>
      </c>
      <c r="G2290" t="e">
        <f ca="1">_xludf.IMAGE("https://edmondsonsupply.com/cdn/shop/products/4060.webp?v=1647637028")</f>
        <v>#NAME?</v>
      </c>
      <c r="H2290" t="e">
        <f ca="1">_xludf.IMAGE("https://m.media-amazon.com/images/I/61q9iw+mKpL._AC_UL320_.jpg")</f>
        <v>#NAME?</v>
      </c>
      <c r="I2290" t="s">
        <v>5983</v>
      </c>
      <c r="J2290">
        <v>99.99</v>
      </c>
      <c r="K2290" s="4">
        <v>27.8156</v>
      </c>
      <c r="L2290">
        <v>5</v>
      </c>
      <c r="M2290">
        <v>2</v>
      </c>
      <c r="O2290" t="s">
        <v>25</v>
      </c>
      <c r="P2290" t="s">
        <v>5984</v>
      </c>
      <c r="Q2290" t="s">
        <v>5985</v>
      </c>
    </row>
    <row r="2291" spans="1:17" ht="15.5" x14ac:dyDescent="0.35">
      <c r="A2291" s="3" t="str">
        <f>HYPERLINK("https://edmondsonsupply.com/collections/electricians-tools/products/klein-tools-60177-breakaway-lanyard-for-safety-glasses", "https://edmondsonsupply.com/collections/electricians-tools/products/klein-tools-60177-breakaway-lanyard-for-safety-glasses")</f>
        <v>https://edmondsonsupply.com/collections/electricians-tools/products/klein-tools-60177-breakaway-lanyard-for-safety-glasses</v>
      </c>
      <c r="B2291" s="3" t="str">
        <f>HYPERLINK("https://edmondsonsupply.com/products/klein-tools-60177-breakaway-lanyard-for-safety-glasses", "https://edmondsonsupply.com/products/klein-tools-60177-breakaway-lanyard-for-safety-glasses")</f>
        <v>https://edmondsonsupply.com/products/klein-tools-60177-breakaway-lanyard-for-safety-glasses</v>
      </c>
      <c r="C2291" t="s">
        <v>815</v>
      </c>
      <c r="D2291" t="s">
        <v>816</v>
      </c>
      <c r="E2291" s="3" t="str">
        <f>HYPERLINK("https://www.amazon.com/Klein-80055-Glasses-Professional-Breakaway/dp/B09HR9RV4H/ref=sr_1_2?keywords=Klein+Tools+60177+Breakaway+Lanyard+for+Safety+Glasses&amp;qid=1695173883&amp;sr=8-2", "https://www.amazon.com/Klein-80055-Glasses-Professional-Breakaway/dp/B09HR9RV4H/ref=sr_1_2?keywords=Klein+Tools+60177+Breakaway+Lanyard+for+Safety+Glasses&amp;qid=1695173883&amp;sr=8-2")</f>
        <v>https://www.amazon.com/Klein-80055-Glasses-Professional-Breakaway/dp/B09HR9RV4H/ref=sr_1_2?keywords=Klein+Tools+60177+Breakaway+Lanyard+for+Safety+Glasses&amp;qid=1695173883&amp;sr=8-2</v>
      </c>
      <c r="F2291" t="s">
        <v>817</v>
      </c>
      <c r="G2291" t="e">
        <f ca="1">_xludf.IMAGE("https://edmondsonsupply.com/cdn/shop/products/60177.jpg?v=1633030858")</f>
        <v>#NAME?</v>
      </c>
      <c r="H2291" t="e">
        <f ca="1">_xludf.IMAGE("https://m.media-amazon.com/images/I/61L5l7dmmiL._AC_UL320_.jpg")</f>
        <v>#NAME?</v>
      </c>
      <c r="I2291" t="s">
        <v>818</v>
      </c>
      <c r="J2291">
        <v>49.99</v>
      </c>
      <c r="K2291" s="4">
        <v>24.1206</v>
      </c>
      <c r="L2291">
        <v>4.5</v>
      </c>
      <c r="M2291">
        <v>13</v>
      </c>
      <c r="O2291" t="s">
        <v>25</v>
      </c>
      <c r="P2291" t="s">
        <v>819</v>
      </c>
      <c r="Q2291" t="s">
        <v>820</v>
      </c>
    </row>
    <row r="2292" spans="1:17" ht="15.5" x14ac:dyDescent="0.35">
      <c r="A2292" s="3" t="str">
        <f>HYPERLINK("https://edmondsonsupply.com/collections/electricians-tools/products/klein-5416tfr", "https://edmondsonsupply.com/collections/electricians-tools/products/klein-5416tfr")</f>
        <v>https://edmondsonsupply.com/collections/electricians-tools/products/klein-5416tfr</v>
      </c>
      <c r="B2292" s="3" t="str">
        <f>HYPERLINK("https://edmondsonsupply.com/products/klein-5416tfr", "https://edmondsonsupply.com/products/klein-5416tfr")</f>
        <v>https://edmondsonsupply.com/products/klein-5416tfr</v>
      </c>
      <c r="C2292" t="s">
        <v>5986</v>
      </c>
      <c r="D2292" t="s">
        <v>5987</v>
      </c>
      <c r="E2292" s="3" t="str">
        <f>HYPERLINK("https://www.amazon.com/Occidental-Leather-5416TFR-Resistant-Reinforced/dp/B08ZNLG8FB/ref=sr_1_4?keywords=Klein+Tools+5416TFR+Tool+Bag%2C+Flame+Resistant+Bolt+Bag%2C+No.+4+Canvas%2C+5+x+10+x+9-Inch&amp;qid=1695173952&amp;sr=8-4", "https://www.amazon.com/Occidental-Leather-5416TFR-Resistant-Reinforced/dp/B08ZNLG8FB/ref=sr_1_4?keywords=Klein+Tools+5416TFR+Tool+Bag%2C+Flame+Resistant+Bolt+Bag%2C+No.+4+Canvas%2C+5+x+10+x+9-Inch&amp;qid=1695173952&amp;sr=8-4")</f>
        <v>https://www.amazon.com/Occidental-Leather-5416TFR-Resistant-Reinforced/dp/B08ZNLG8FB/ref=sr_1_4?keywords=Klein+Tools+5416TFR+Tool+Bag%2C+Flame+Resistant+Bolt+Bag%2C+No.+4+Canvas%2C+5+x+10+x+9-Inch&amp;qid=1695173952&amp;sr=8-4</v>
      </c>
      <c r="F2292" t="s">
        <v>5988</v>
      </c>
      <c r="G2292" t="e">
        <f ca="1">_xludf.IMAGE("https://edmondsonsupply.com/cdn/shop/products/5416tfr.jpg?v=1587149359")</f>
        <v>#NAME?</v>
      </c>
      <c r="H2292" t="e">
        <f ca="1">_xludf.IMAGE("https://m.media-amazon.com/images/I/61C6VApN0nL._AC_UL320_.jpg")</f>
        <v>#NAME?</v>
      </c>
      <c r="I2292" t="s">
        <v>577</v>
      </c>
      <c r="J2292">
        <v>369.89</v>
      </c>
      <c r="K2292" s="4">
        <v>17.503799999999998</v>
      </c>
      <c r="L2292">
        <v>5</v>
      </c>
      <c r="M2292">
        <v>1</v>
      </c>
      <c r="O2292" t="s">
        <v>25</v>
      </c>
      <c r="P2292" t="s">
        <v>5989</v>
      </c>
      <c r="Q2292" t="s">
        <v>5990</v>
      </c>
    </row>
    <row r="2293" spans="1:17" ht="15.5" x14ac:dyDescent="0.35">
      <c r="A2293" s="3" t="str">
        <f>HYPERLINK("https://edmondsonsupply.com/collections/electricians-tools/products/klein-tools-55437-tradesman-pro%E2%84%A2-work-light", "https://edmondsonsupply.com/collections/electricians-tools/products/klein-tools-55437-tradesman-pro%E2%84%A2-work-light")</f>
        <v>https://edmondsonsupply.com/collections/electricians-tools/products/klein-tools-55437-tradesman-pro%E2%84%A2-work-light</v>
      </c>
      <c r="B2293" s="3" t="str">
        <f>HYPERLINK("https://edmondsonsupply.com/products/klein-tools-55437-tradesman-pro%e2%84%a2-work-light", "https://edmondsonsupply.com/products/klein-tools-55437-tradesman-pro%e2%84%a2-work-light")</f>
        <v>https://edmondsonsupply.com/products/klein-tools-55437-tradesman-pro%e2%84%a2-work-light</v>
      </c>
      <c r="C2293" t="s">
        <v>1388</v>
      </c>
      <c r="D2293" t="s">
        <v>1389</v>
      </c>
      <c r="E2293" s="3" t="str">
        <f>HYPERLINK("https://www.amazon.com/Klein-Tools-55473RTB-Rolling-Tradesman/dp/B0BC83F3HC/ref=sr_1_3?keywords=Klein+Tools+55437+Tradesman+Pro%E2%84%A2+Work+Light+%2F+Tool+Bag+Light+%2F+Cooler+Light&amp;qid=1695173957&amp;sr=8-3", "https://www.amazon.com/Klein-Tools-55473RTB-Rolling-Tradesman/dp/B0BC83F3HC/ref=sr_1_3?keywords=Klein+Tools+55437+Tradesman+Pro%E2%84%A2+Work+Light+%2F+Tool+Bag+Light+%2F+Cooler+Light&amp;qid=1695173957&amp;sr=8-3")</f>
        <v>https://www.amazon.com/Klein-Tools-55473RTB-Rolling-Tradesman/dp/B0BC83F3HC/ref=sr_1_3?keywords=Klein+Tools+55437+Tradesman+Pro%E2%84%A2+Work+Light+%2F+Tool+Bag+Light+%2F+Cooler+Light&amp;qid=1695173957&amp;sr=8-3</v>
      </c>
      <c r="F2293" t="s">
        <v>1390</v>
      </c>
      <c r="G2293" t="e">
        <f ca="1">_xludf.IMAGE("https://edmondsonsupply.com/cdn/shop/products/55437.jpg?v=1587143511")</f>
        <v>#NAME?</v>
      </c>
      <c r="H2293" t="e">
        <f ca="1">_xludf.IMAGE("https://m.media-amazon.com/images/I/412ptACTswL._AC_UL320_.jpg")</f>
        <v>#NAME?</v>
      </c>
      <c r="I2293" t="s">
        <v>1391</v>
      </c>
      <c r="J2293">
        <v>271.99</v>
      </c>
      <c r="K2293" s="4">
        <v>13.210599999999999</v>
      </c>
      <c r="L2293">
        <v>5</v>
      </c>
      <c r="M2293">
        <v>1</v>
      </c>
      <c r="O2293" t="s">
        <v>25</v>
      </c>
      <c r="P2293" t="s">
        <v>1391</v>
      </c>
      <c r="Q2293" t="s">
        <v>1392</v>
      </c>
    </row>
    <row r="2294" spans="1:17" ht="15.5" x14ac:dyDescent="0.35">
      <c r="A2294"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2294" s="3" t="str">
        <f>HYPERLINK("https://edmondsonsupply.com/products/klein-tools-69445-rare-earth-magnetic-hanger-no-strap", "https://edmondsonsupply.com/products/klein-tools-69445-rare-earth-magnetic-hanger-no-strap")</f>
        <v>https://edmondsonsupply.com/products/klein-tools-69445-rare-earth-magnetic-hanger-no-strap</v>
      </c>
      <c r="C2294" t="s">
        <v>1408</v>
      </c>
      <c r="D2294" t="s">
        <v>1409</v>
      </c>
      <c r="E2294" s="3" t="str">
        <f>HYPERLINK("https://www.amazon.com/Klein-Tools-Megohmmeter-Insulation-Ohms-Resistance-Auto-Ranging/dp/B0B7NFMBPZ/ref=sr_1_7?keywords=Klein+Tools+69445+Rare+Earth+Magnetic+Hanger%2C+no+Strap&amp;qid=1695173881&amp;sr=8-7", "https://www.amazon.com/Klein-Tools-Megohmmeter-Insulation-Ohms-Resistance-Auto-Ranging/dp/B0B7NFMBPZ/ref=sr_1_7?keywords=Klein+Tools+69445+Rare+Earth+Magnetic+Hanger%2C+no+Strap&amp;qid=1695173881&amp;sr=8-7")</f>
        <v>https://www.amazon.com/Klein-Tools-Megohmmeter-Insulation-Ohms-Resistance-Auto-Ranging/dp/B0B7NFMBPZ/ref=sr_1_7?keywords=Klein+Tools+69445+Rare+Earth+Magnetic+Hanger%2C+no+Strap&amp;qid=1695173881&amp;sr=8-7</v>
      </c>
      <c r="F2294" t="s">
        <v>1410</v>
      </c>
      <c r="G2294" t="e">
        <f ca="1">_xludf.IMAGE("https://edmondsonsupply.com/cdn/shop/products/69445.jpg?v=1633030859")</f>
        <v>#NAME?</v>
      </c>
      <c r="H2294" t="e">
        <f ca="1">_xludf.IMAGE("https://m.media-amazon.com/images/I/61U-LeAD05L._AC_UL320_.jpg")</f>
        <v>#NAME?</v>
      </c>
      <c r="I2294" t="s">
        <v>252</v>
      </c>
      <c r="J2294">
        <v>183.24</v>
      </c>
      <c r="K2294" s="4">
        <v>10.4597</v>
      </c>
      <c r="L2294">
        <v>4.3</v>
      </c>
      <c r="M2294">
        <v>4</v>
      </c>
      <c r="O2294" t="s">
        <v>25</v>
      </c>
      <c r="P2294" t="s">
        <v>1411</v>
      </c>
      <c r="Q2294" t="s">
        <v>1412</v>
      </c>
    </row>
    <row r="2295" spans="1:17" ht="15.5" x14ac:dyDescent="0.35">
      <c r="A2295"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295" s="3" t="str">
        <f>HYPERLINK("https://edmondsonsupply.com/products/klein-tools-69417-rare-earth-magnetic-meter-hanger", "https://edmondsonsupply.com/products/klein-tools-69417-rare-earth-magnetic-meter-hanger")</f>
        <v>https://edmondsonsupply.com/products/klein-tools-69417-rare-earth-magnetic-meter-hanger</v>
      </c>
      <c r="C2295" t="s">
        <v>1413</v>
      </c>
      <c r="D2295" t="s">
        <v>1414</v>
      </c>
      <c r="E2295" s="3" t="str">
        <f>HYPERLINK("https://www.amazon.com/Klein-Tools-Autoranging-Splitter-Rare-Earth/dp/B0C99CGRNM/ref=sr_1_6?keywords=Klein+Tools+69417+Rare+Earth+Magnetic+Meter+Hanger%2C+with+Strap&amp;qid=1695173948&amp;sr=8-6", "https://www.amazon.com/Klein-Tools-Autoranging-Splitter-Rare-Earth/dp/B0C99CGRNM/ref=sr_1_6?keywords=Klein+Tools+69417+Rare+Earth+Magnetic+Meter+Hanger%2C+with+Strap&amp;qid=1695173948&amp;sr=8-6")</f>
        <v>https://www.amazon.com/Klein-Tools-Autoranging-Splitter-Rare-Earth/dp/B0C99CGRNM/ref=sr_1_6?keywords=Klein+Tools+69417+Rare+Earth+Magnetic+Meter+Hanger%2C+with+Strap&amp;qid=1695173948&amp;sr=8-6</v>
      </c>
      <c r="F2295" t="s">
        <v>1415</v>
      </c>
      <c r="G2295" t="e">
        <f ca="1">_xludf.IMAGE("https://edmondsonsupply.com/cdn/shop/products/69417.jpg?v=1587150163")</f>
        <v>#NAME?</v>
      </c>
      <c r="H2295" t="e">
        <f ca="1">_xludf.IMAGE("https://m.media-amazon.com/images/I/51cRT-bTN5L._AC_UL320_.jpg")</f>
        <v>#NAME?</v>
      </c>
      <c r="I2295" t="s">
        <v>288</v>
      </c>
      <c r="J2295">
        <v>159.93</v>
      </c>
      <c r="K2295" s="4">
        <v>10.431699999999999</v>
      </c>
      <c r="L2295">
        <v>5</v>
      </c>
      <c r="M2295">
        <v>3</v>
      </c>
      <c r="O2295" t="s">
        <v>25</v>
      </c>
      <c r="P2295" t="s">
        <v>845</v>
      </c>
      <c r="Q2295" t="s">
        <v>1416</v>
      </c>
    </row>
    <row r="2296" spans="1:17" ht="15.5" x14ac:dyDescent="0.35">
      <c r="A2296" s="3" t="str">
        <f>HYPERLINK("https://edmondsonsupply.com/collections/electricians-tools/products/klein-5416tfr", "https://edmondsonsupply.com/collections/electricians-tools/products/klein-5416tfr")</f>
        <v>https://edmondsonsupply.com/collections/electricians-tools/products/klein-5416tfr</v>
      </c>
      <c r="B2296" s="3" t="str">
        <f>HYPERLINK("https://edmondsonsupply.com/products/klein-5416tfr", "https://edmondsonsupply.com/products/klein-5416tfr")</f>
        <v>https://edmondsonsupply.com/products/klein-5416tfr</v>
      </c>
      <c r="C2296" t="s">
        <v>5986</v>
      </c>
      <c r="D2296" t="s">
        <v>5991</v>
      </c>
      <c r="E2296" s="3" t="str">
        <f>HYPERLINK("https://www.amazon.com/Guardian-Cyclone-Construction-Resistant-Reinforced/dp/B0BC86NRSH/ref=sr_1_10?keywords=Klein+Tools+5416TFR+Tool+Bag%2C+Flame+Resistant+Bolt+Bag%2C+No.+4+Canvas%2C+5+x+10+x+9-Inch&amp;qid=1695173952&amp;sr=8-10", "https://www.amazon.com/Guardian-Cyclone-Construction-Resistant-Reinforced/dp/B0BC86NRSH/ref=sr_1_10?keywords=Klein+Tools+5416TFR+Tool+Bag%2C+Flame+Resistant+Bolt+Bag%2C+No.+4+Canvas%2C+5+x+10+x+9-Inch&amp;qid=1695173952&amp;sr=8-10")</f>
        <v>https://www.amazon.com/Guardian-Cyclone-Construction-Resistant-Reinforced/dp/B0BC86NRSH/ref=sr_1_10?keywords=Klein+Tools+5416TFR+Tool+Bag%2C+Flame+Resistant+Bolt+Bag%2C+No.+4+Canvas%2C+5+x+10+x+9-Inch&amp;qid=1695173952&amp;sr=8-10</v>
      </c>
      <c r="F2296" t="s">
        <v>5992</v>
      </c>
      <c r="G2296" t="e">
        <f ca="1">_xludf.IMAGE("https://edmondsonsupply.com/cdn/shop/products/5416tfr.jpg?v=1587149359")</f>
        <v>#NAME?</v>
      </c>
      <c r="H2296" t="e">
        <f ca="1">_xludf.IMAGE("https://m.media-amazon.com/images/I/51UrrYtt7nL._AC_UL320_.jpg")</f>
        <v>#NAME?</v>
      </c>
      <c r="I2296" t="s">
        <v>577</v>
      </c>
      <c r="J2296">
        <v>226.24</v>
      </c>
      <c r="K2296" s="4">
        <v>10.3177</v>
      </c>
      <c r="L2296">
        <v>4.5</v>
      </c>
      <c r="M2296">
        <v>380</v>
      </c>
      <c r="O2296" t="s">
        <v>25</v>
      </c>
      <c r="P2296" t="s">
        <v>5989</v>
      </c>
      <c r="Q2296" t="s">
        <v>5990</v>
      </c>
    </row>
    <row r="2297" spans="1:17" ht="15.5" x14ac:dyDescent="0.35">
      <c r="A2297" s="3" t="str">
        <f>HYPERLINK("https://edmondsonsupply.com/collections/electricians-tools/products/clc-1100-3", "https://edmondsonsupply.com/collections/electricians-tools/products/clc-1100-3")</f>
        <v>https://edmondsonsupply.com/collections/electricians-tools/products/clc-1100-3</v>
      </c>
      <c r="B2297" s="3" t="str">
        <f>HYPERLINK("https://edmondsonsupply.com/products/clc-1100-3", "https://edmondsonsupply.com/products/clc-1100-3")</f>
        <v>https://edmondsonsupply.com/products/clc-1100-3</v>
      </c>
      <c r="C2297" t="s">
        <v>231</v>
      </c>
      <c r="D2297" t="s">
        <v>232</v>
      </c>
      <c r="E2297" s="3" t="str">
        <f>HYPERLINK("https://www.amazon.com/Custom-Leathercraft-Lighted-Multi-Purpose-Zippered/dp/B0B3DXHXHS/ref=sr_1_3?keywords=CLC+1100+3+Multi-Purpose%2C+Clip-on%2C+Zippered+Bags&amp;qid=1695173929&amp;sr=8-3", "https://www.amazon.com/Custom-Leathercraft-Lighted-Multi-Purpose-Zippered/dp/B0B3DXHXHS/ref=sr_1_3?keywords=CLC+1100+3+Multi-Purpose%2C+Clip-on%2C+Zippered+Bags&amp;qid=1695173929&amp;sr=8-3")</f>
        <v>https://www.amazon.com/Custom-Leathercraft-Lighted-Multi-Purpose-Zippered/dp/B0B3DXHXHS/ref=sr_1_3?keywords=CLC+1100+3+Multi-Purpose%2C+Clip-on%2C+Zippered+Bags&amp;qid=1695173929&amp;sr=8-3</v>
      </c>
      <c r="F2297" t="s">
        <v>233</v>
      </c>
      <c r="G2297" t="e">
        <f ca="1">_xludf.IMAGE("https://edmondsonsupply.com/cdn/shop/products/1100_REV17_2.jpg?v=1633030333")</f>
        <v>#NAME?</v>
      </c>
      <c r="H2297" t="e">
        <f ca="1">_xludf.IMAGE("https://m.media-amazon.com/images/I/51Q1Ss7kq9L._AC_UL320_.jpg")</f>
        <v>#NAME?</v>
      </c>
      <c r="I2297" t="s">
        <v>234</v>
      </c>
      <c r="J2297">
        <v>128.99</v>
      </c>
      <c r="K2297" s="4">
        <v>9.9779</v>
      </c>
      <c r="L2297">
        <v>4.5</v>
      </c>
      <c r="M2297">
        <v>1372</v>
      </c>
      <c r="O2297" t="s">
        <v>25</v>
      </c>
      <c r="P2297" t="s">
        <v>235</v>
      </c>
      <c r="Q2297" t="s">
        <v>236</v>
      </c>
    </row>
    <row r="2298" spans="1:17" ht="15.5" x14ac:dyDescent="0.35">
      <c r="A2298" s="3" t="str">
        <f>HYPERLINK("https://edmondsonsupply.com/collections/electricians-tools/products/clc-1100-3", "https://edmondsonsupply.com/collections/electricians-tools/products/clc-1100-3")</f>
        <v>https://edmondsonsupply.com/collections/electricians-tools/products/clc-1100-3</v>
      </c>
      <c r="B2298" s="3" t="str">
        <f>HYPERLINK("https://edmondsonsupply.com/products/clc-1100-3", "https://edmondsonsupply.com/products/clc-1100-3")</f>
        <v>https://edmondsonsupply.com/products/clc-1100-3</v>
      </c>
      <c r="C2298" t="s">
        <v>231</v>
      </c>
      <c r="D2298" t="s">
        <v>237</v>
      </c>
      <c r="E2298" s="3" t="str">
        <f>HYPERLINK("https://www.amazon.com/PB1133-Pocket-Backpack-Multi-Purpose-Zippered/dp/B09Z92LJFF/ref=sr_1_8?keywords=CLC+1100+3+Multi-Purpose%2C+Clip-on%2C+Zippered+Bags&amp;qid=1695173929&amp;sr=8-8", "https://www.amazon.com/PB1133-Pocket-Backpack-Multi-Purpose-Zippered/dp/B09Z92LJFF/ref=sr_1_8?keywords=CLC+1100+3+Multi-Purpose%2C+Clip-on%2C+Zippered+Bags&amp;qid=1695173929&amp;sr=8-8")</f>
        <v>https://www.amazon.com/PB1133-Pocket-Backpack-Multi-Purpose-Zippered/dp/B09Z92LJFF/ref=sr_1_8?keywords=CLC+1100+3+Multi-Purpose%2C+Clip-on%2C+Zippered+Bags&amp;qid=1695173929&amp;sr=8-8</v>
      </c>
      <c r="F2298" t="s">
        <v>238</v>
      </c>
      <c r="G2298" t="e">
        <f ca="1">_xludf.IMAGE("https://edmondsonsupply.com/cdn/shop/products/1100_REV17_2.jpg?v=1633030333")</f>
        <v>#NAME?</v>
      </c>
      <c r="H2298" t="e">
        <f ca="1">_xludf.IMAGE("https://m.media-amazon.com/images/I/510j+91N6EL._AC_UL320_.jpg")</f>
        <v>#NAME?</v>
      </c>
      <c r="I2298" t="s">
        <v>234</v>
      </c>
      <c r="J2298">
        <v>128.97999999999999</v>
      </c>
      <c r="K2298" s="4">
        <v>9.9770000000000003</v>
      </c>
      <c r="L2298">
        <v>4.2</v>
      </c>
      <c r="M2298">
        <v>4</v>
      </c>
      <c r="O2298" t="s">
        <v>25</v>
      </c>
      <c r="P2298" t="s">
        <v>235</v>
      </c>
      <c r="Q2298" t="s">
        <v>236</v>
      </c>
    </row>
    <row r="2299" spans="1:17" ht="15.5" x14ac:dyDescent="0.35">
      <c r="A2299" s="3" t="str">
        <f>HYPERLINK("https://edmondsonsupply.com/collections/electricians-tools/products/diablo-tools-dmapl4210-5-8-in-x-4-in-x-6-in-rebar-demon%E2%84%A2-sds-plus-4-cutter-full-carbide-head-hammer-bit", "https://edmondsonsupply.com/collections/electricians-tools/products/diablo-tools-dmapl4210-5-8-in-x-4-in-x-6-in-rebar-demon%E2%84%A2-sds-plus-4-cutter-full-carbide-head-hammer-bit")</f>
        <v>https://edmondsonsupply.com/collections/electricians-tools/products/diablo-tools-dmapl4210-5-8-in-x-4-in-x-6-in-rebar-demon%E2%84%A2-sds-plus-4-cutter-full-carbide-head-hammer-bit</v>
      </c>
      <c r="B2299"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2299" t="s">
        <v>1424</v>
      </c>
      <c r="D2299" t="s">
        <v>1425</v>
      </c>
      <c r="E2299" s="3" t="str">
        <f>HYPERLINK("https://www.amazon.com/Diablo-Rebar-4-Cutter-Carbide-Hammer/dp/B089LGWV7F/ref=sr_1_6?keywords=Diablo+Tools+DMAPL4210+5%2F8+in.+x+4+in.+x+6+in.+Rebar+Demon%E2%84%A2+SDS%E2%80%91Plus+4%E2%80%91Cutter+Full+Carbide+Head+Hammer+Bit&amp;qid=1695173888&amp;sr=8-6", "https://www.amazon.com/Diablo-Rebar-4-Cutter-Carbide-Hammer/dp/B089LGWV7F/ref=sr_1_6?keywords=Diablo+Tools+DMAPL4210+5%2F8+in.+x+4+in.+x+6+in.+Rebar+Demon%E2%84%A2+SDS%E2%80%91Plus+4%E2%80%91Cutter+Full+Carbide+Head+Hammer+Bit&amp;qid=1695173888&amp;sr=8-6")</f>
        <v>https://www.amazon.com/Diablo-Rebar-4-Cutter-Carbide-Hammer/dp/B089LGWV7F/ref=sr_1_6?keywords=Diablo+Tools+DMAPL4210+5%2F8+in.+x+4+in.+x+6+in.+Rebar+Demon%E2%84%A2+SDS%E2%80%91Plus+4%E2%80%91Cutter+Full+Carbide+Head+Hammer+Bit&amp;qid=1695173888&amp;sr=8-6</v>
      </c>
      <c r="F2299" t="s">
        <v>1426</v>
      </c>
      <c r="G2299" t="e">
        <f ca="1">_xludf.IMAGE("https://edmondsonsupply.com/cdn/shop/products/DMAPL4210_Main-Image20200701.png?v=1633030426")</f>
        <v>#NAME?</v>
      </c>
      <c r="H2299" t="e">
        <f ca="1">_xludf.IMAGE("https://m.media-amazon.com/images/I/61q9iw+mKpL._AC_UL320_.jpg")</f>
        <v>#NAME?</v>
      </c>
      <c r="I2299" t="s">
        <v>1427</v>
      </c>
      <c r="J2299">
        <v>99.99</v>
      </c>
      <c r="K2299" s="4">
        <v>9.0290999999999997</v>
      </c>
      <c r="L2299">
        <v>5</v>
      </c>
      <c r="M2299">
        <v>2</v>
      </c>
      <c r="O2299" t="s">
        <v>25</v>
      </c>
      <c r="P2299" t="s">
        <v>1428</v>
      </c>
      <c r="Q2299" t="s">
        <v>1429</v>
      </c>
    </row>
    <row r="2300" spans="1:17" ht="15.5" x14ac:dyDescent="0.35">
      <c r="A2300" s="3" t="str">
        <f>HYPERLINK("https://edmondsonsupply.com/collections/electricians-tools/products/klein-tools-9125-tape-measure-25-foot-single-hook", "https://edmondsonsupply.com/collections/electricians-tools/products/klein-tools-9125-tape-measure-25-foot-single-hook")</f>
        <v>https://edmondsonsupply.com/collections/electricians-tools/products/klein-tools-9125-tape-measure-25-foot-single-hook</v>
      </c>
      <c r="B2300" s="3" t="str">
        <f>HYPERLINK("https://edmondsonsupply.com/products/klein-tools-9125-tape-measure-25-foot-single-hook", "https://edmondsonsupply.com/products/klein-tools-9125-tape-measure-25-foot-single-hook")</f>
        <v>https://edmondsonsupply.com/products/klein-tools-9125-tape-measure-25-foot-single-hook</v>
      </c>
      <c r="C2300" t="s">
        <v>5993</v>
      </c>
      <c r="D2300" t="s">
        <v>5994</v>
      </c>
      <c r="E2300" s="3" t="str">
        <f>HYPERLINK("https://www.amazon.com/Klein-Tools-Apprentice-Heavy-Duty-Single-Hook/dp/B0CF2H8PTH/ref=sr_1_3?keywords=Klein+Tools+9125+Tape+Measure%2C+25-Foot+Single-Hook&amp;qid=1695174185&amp;sr=8-3", "https://www.amazon.com/Klein-Tools-Apprentice-Heavy-Duty-Single-Hook/dp/B0CF2H8PTH/ref=sr_1_3?keywords=Klein+Tools+9125+Tape+Measure%2C+25-Foot+Single-Hook&amp;qid=1695174185&amp;sr=8-3")</f>
        <v>https://www.amazon.com/Klein-Tools-Apprentice-Heavy-Duty-Single-Hook/dp/B0CF2H8PTH/ref=sr_1_3?keywords=Klein+Tools+9125+Tape+Measure%2C+25-Foot+Single-Hook&amp;qid=1695174185&amp;sr=8-3</v>
      </c>
      <c r="F2300" t="s">
        <v>5995</v>
      </c>
      <c r="G2300" t="e">
        <f ca="1">_xludf.IMAGE("https://edmondsonsupply.com/cdn/shop/products/9125.jpg?v=1587148575")</f>
        <v>#NAME?</v>
      </c>
      <c r="H2300" t="e">
        <f ca="1">_xludf.IMAGE("https://m.media-amazon.com/images/I/51zTBOk6P+L._AC_UL320_.jpg")</f>
        <v>#NAME?</v>
      </c>
      <c r="I2300" t="s">
        <v>577</v>
      </c>
      <c r="J2300">
        <v>199.98</v>
      </c>
      <c r="K2300" s="4">
        <v>9.0039999999999996</v>
      </c>
      <c r="L2300">
        <v>4.8</v>
      </c>
      <c r="M2300">
        <v>204</v>
      </c>
      <c r="O2300" t="s">
        <v>25</v>
      </c>
      <c r="P2300" t="s">
        <v>894</v>
      </c>
      <c r="Q2300" t="s">
        <v>5996</v>
      </c>
    </row>
    <row r="2301" spans="1:17" ht="15.5" x14ac:dyDescent="0.35">
      <c r="A2301" s="3" t="str">
        <f>HYPERLINK("https://edmondsonsupply.com/collections/electricians-tools/products/diablo-tools-dmapl4060-1-4-in-x-2-in-x-4-in-rebar-demon%E2%84%A2-sds-plus-4-cutter-full-carbide-head-hammer-bit", "https://edmondsonsupply.com/collections/electricians-tools/products/diablo-tools-dmapl4060-1-4-in-x-2-in-x-4-in-rebar-demon%E2%84%A2-sds-plus-4-cutter-full-carbide-head-hammer-bit")</f>
        <v>https://edmondsonsupply.com/collections/electricians-tools/products/diablo-tools-dmapl4060-1-4-in-x-2-in-x-4-in-rebar-demon%E2%84%A2-sds-plus-4-cutter-full-carbide-head-hammer-bit</v>
      </c>
      <c r="B2301" s="3" t="str">
        <f>HYPERLINK("https://edmondsonsupply.com/products/diablo-tools-dmapl4060-1-4-in-x-2-in-x-4-in-rebar-demon%e2%84%a2-sds-plus-4-cutter-full-carbide-head-hammer-bit", "https://edmondsonsupply.com/products/diablo-tools-dmapl4060-1-4-in-x-2-in-x-4-in-rebar-demon%e2%84%a2-sds-plus-4-cutter-full-carbide-head-hammer-bit")</f>
        <v>https://edmondsonsupply.com/products/diablo-tools-dmapl4060-1-4-in-x-2-in-x-4-in-rebar-demon%e2%84%a2-sds-plus-4-cutter-full-carbide-head-hammer-bit</v>
      </c>
      <c r="C2301" t="s">
        <v>5982</v>
      </c>
      <c r="D2301" t="s">
        <v>5560</v>
      </c>
      <c r="E2301" s="3" t="str">
        <f>HYPERLINK("https://www.amazon.com/Diablo-Freud-DMAPL4300-SDS-Plus-4-Cutter/dp/B089LL8JD8/ref=sr_1_10?keywords=Diablo+Tools+DMAPL4060+1%2F4+in.+x+2+in.+x+4+in.+Rebar+Demon%E2%84%A2+SDS%E2%80%91Plus+4%E2%80%91Cutter+Full+Carbide+Head+Hammer+Bit&amp;qid=1695174225&amp;sr=8-10", "https://www.amazon.com/Diablo-Freud-DMAPL4300-SDS-Plus-4-Cutter/dp/B089LL8JD8/ref=sr_1_10?keywords=Diablo+Tools+DMAPL4060+1%2F4+in.+x+2+in.+x+4+in.+Rebar+Demon%E2%84%A2+SDS%E2%80%91Plus+4%E2%80%91Cutter+Full+Carbide+Head+Hammer+Bit&amp;qid=1695174225&amp;sr=8-10")</f>
        <v>https://www.amazon.com/Diablo-Freud-DMAPL4300-SDS-Plus-4-Cutter/dp/B089LL8JD8/ref=sr_1_10?keywords=Diablo+Tools+DMAPL4060+1%2F4+in.+x+2+in.+x+4+in.+Rebar+Demon%E2%84%A2+SDS%E2%80%91Plus+4%E2%80%91Cutter+Full+Carbide+Head+Hammer+Bit&amp;qid=1695174225&amp;sr=8-10</v>
      </c>
      <c r="F2301" t="s">
        <v>5561</v>
      </c>
      <c r="G2301" t="e">
        <f ca="1">_xludf.IMAGE("https://edmondsonsupply.com/cdn/shop/products/4060.webp?v=1647637028")</f>
        <v>#NAME?</v>
      </c>
      <c r="H2301" t="e">
        <f ca="1">_xludf.IMAGE("https://m.media-amazon.com/images/I/616UiJGsK1L._AC_UL320_.jpg")</f>
        <v>#NAME?</v>
      </c>
      <c r="I2301" t="s">
        <v>5983</v>
      </c>
      <c r="J2301">
        <v>33.950000000000003</v>
      </c>
      <c r="K2301" s="4">
        <v>8.7838999999999992</v>
      </c>
      <c r="L2301">
        <v>4.5</v>
      </c>
      <c r="M2301">
        <v>16</v>
      </c>
      <c r="O2301" t="s">
        <v>25</v>
      </c>
      <c r="P2301" t="s">
        <v>5984</v>
      </c>
      <c r="Q2301" t="s">
        <v>5985</v>
      </c>
    </row>
    <row r="2302" spans="1:17" ht="15.5" x14ac:dyDescent="0.35">
      <c r="A2302"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302" s="3" t="str">
        <f>HYPERLINK("https://edmondsonsupply.com/products/klein-tools-69417-rare-earth-magnetic-meter-hanger", "https://edmondsonsupply.com/products/klein-tools-69417-rare-earth-magnetic-meter-hanger")</f>
        <v>https://edmondsonsupply.com/products/klein-tools-69417-rare-earth-magnetic-meter-hanger</v>
      </c>
      <c r="C2302" t="s">
        <v>1413</v>
      </c>
      <c r="D2302" t="s">
        <v>5997</v>
      </c>
      <c r="E2302" s="3" t="str">
        <f>HYPERLINK("https://www.amazon.com/Klein-Tools-Auto-Ranging-Impedance-Measures/dp/B08MG1RGM4/ref=sr_1_7?keywords=Klein+Tools+69417+Rare+Earth+Magnetic+Meter+Hanger%2C+with+Strap&amp;qid=1695173948&amp;sr=8-7", "https://www.amazon.com/Klein-Tools-Auto-Ranging-Impedance-Measures/dp/B08MG1RGM4/ref=sr_1_7?keywords=Klein+Tools+69417+Rare+Earth+Magnetic+Meter+Hanger%2C+with+Strap&amp;qid=1695173948&amp;sr=8-7")</f>
        <v>https://www.amazon.com/Klein-Tools-Auto-Ranging-Impedance-Measures/dp/B08MG1RGM4/ref=sr_1_7?keywords=Klein+Tools+69417+Rare+Earth+Magnetic+Meter+Hanger%2C+with+Strap&amp;qid=1695173948&amp;sr=8-7</v>
      </c>
      <c r="F2302" t="s">
        <v>5998</v>
      </c>
      <c r="G2302" t="e">
        <f ca="1">_xludf.IMAGE("https://edmondsonsupply.com/cdn/shop/products/69417.jpg?v=1587150163")</f>
        <v>#NAME?</v>
      </c>
      <c r="H2302" t="e">
        <f ca="1">_xludf.IMAGE("https://m.media-amazon.com/images/I/51zWKsjrJKL._AC_UL320_.jpg")</f>
        <v>#NAME?</v>
      </c>
      <c r="I2302" t="s">
        <v>288</v>
      </c>
      <c r="J2302">
        <v>131.80000000000001</v>
      </c>
      <c r="K2302" s="4">
        <v>8.4209999999999994</v>
      </c>
      <c r="L2302">
        <v>4.7</v>
      </c>
      <c r="M2302">
        <v>44</v>
      </c>
      <c r="O2302" t="s">
        <v>25</v>
      </c>
      <c r="P2302" t="s">
        <v>845</v>
      </c>
      <c r="Q2302" t="s">
        <v>1416</v>
      </c>
    </row>
    <row r="2303" spans="1:17" ht="15.5" x14ac:dyDescent="0.35">
      <c r="A2303" s="3" t="str">
        <f>HYPERLINK("https://edmondsonsupply.com/collections/electricians-tools/products/tajima-vrb2-5b-v-rex%E2%84%A2-ii-premium-tempered-steel-utility-knife-blades-5-blade-pack", "https://edmondsonsupply.com/collections/electricians-tools/products/tajima-vrb2-5b-v-rex%E2%84%A2-ii-premium-tempered-steel-utility-knife-blades-5-blade-pack")</f>
        <v>https://edmondsonsupply.com/collections/electricians-tools/products/tajima-vrb2-5b-v-rex%E2%84%A2-ii-premium-tempered-steel-utility-knife-blades-5-blade-pack</v>
      </c>
      <c r="B2303" s="3" t="str">
        <f>HYPERLINK("https://edmondsonsupply.com/products/tajima-vrb2-5b-v-rex%e2%84%a2-ii-premium-tempered-steel-utility-knife-blades-5-blade-pack", "https://edmondsonsupply.com/products/tajima-vrb2-5b-v-rex%e2%84%a2-ii-premium-tempered-steel-utility-knife-blades-5-blade-pack")</f>
        <v>https://edmondsonsupply.com/products/tajima-vrb2-5b-v-rex%e2%84%a2-ii-premium-tempered-steel-utility-knife-blades-5-blade-pack</v>
      </c>
      <c r="C2303" t="s">
        <v>5999</v>
      </c>
      <c r="D2303" t="s">
        <v>4948</v>
      </c>
      <c r="E2303" s="3" t="str">
        <f>HYPERLINK("https://www.amazon.com/Tajima-VRB2-100B-Premium-Tempered-100-Pack/dp/B00NY8R9OU/ref=sr_1_2?keywords=Tajima+VRB2-5B+V-REX%E2%84%A2+II%2C+Premium+Tempered+Steel+Utility+Knife+Blades%2C+5-Blade+Pack&amp;qid=1695174251&amp;sr=8-2", "https://www.amazon.com/Tajima-VRB2-100B-Premium-Tempered-100-Pack/dp/B00NY8R9OU/ref=sr_1_2?keywords=Tajima+VRB2-5B+V-REX%E2%84%A2+II%2C+Premium+Tempered+Steel+Utility+Knife+Blades%2C+5-Blade+Pack&amp;qid=1695174251&amp;sr=8-2")</f>
        <v>https://www.amazon.com/Tajima-VRB2-100B-Premium-Tempered-100-Pack/dp/B00NY8R9OU/ref=sr_1_2?keywords=Tajima+VRB2-5B+V-REX%E2%84%A2+II%2C+Premium+Tempered+Steel+Utility+Knife+Blades%2C+5-Blade+Pack&amp;qid=1695174251&amp;sr=8-2</v>
      </c>
      <c r="F2303" t="s">
        <v>4949</v>
      </c>
      <c r="G2303" t="e">
        <f ca="1">_xludf.IMAGE("https://edmondsonsupply.com/cdn/shop/products/VRB2-5B.jpg?v=1633031167")</f>
        <v>#NAME?</v>
      </c>
      <c r="H2303" t="e">
        <f ca="1">_xludf.IMAGE("https://m.media-amazon.com/images/I/818qmSUapWL._AC_UL320_.jpg")</f>
        <v>#NAME?</v>
      </c>
      <c r="I2303" t="s">
        <v>1386</v>
      </c>
      <c r="J2303">
        <v>32.869999999999997</v>
      </c>
      <c r="K2303" s="4">
        <v>8.4183000000000003</v>
      </c>
      <c r="L2303">
        <v>4.8</v>
      </c>
      <c r="M2303">
        <v>236</v>
      </c>
      <c r="O2303" t="s">
        <v>25</v>
      </c>
      <c r="P2303" t="s">
        <v>138</v>
      </c>
      <c r="Q2303" t="s">
        <v>6000</v>
      </c>
    </row>
    <row r="2304" spans="1:17" ht="15.5" x14ac:dyDescent="0.35">
      <c r="A2304"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2304" s="3" t="str">
        <f>HYPERLINK("https://edmondsonsupply.com/products/klein-tools-31918-bi-metal-hole-saw-1-1-8-inch", "https://edmondsonsupply.com/products/klein-tools-31918-bi-metal-hole-saw-1-1-8-inch")</f>
        <v>https://edmondsonsupply.com/products/klein-tools-31918-bi-metal-hole-saw-1-1-8-inch</v>
      </c>
      <c r="C2304" t="s">
        <v>6001</v>
      </c>
      <c r="D2304" t="s">
        <v>6002</v>
      </c>
      <c r="E2304" s="3" t="str">
        <f>HYPERLINK("https://www.amazon.com/Bi-Metal-8-Piece-Klein-Tools-31902/dp/B014WEBAO4/ref=sr_1_7?keywords=Klein+Tools+31918+Bi-Metal+Hole+Saw%2C+1-1%2F8-Inch&amp;qid=1695174116&amp;sr=8-7", "https://www.amazon.com/Bi-Metal-8-Piece-Klein-Tools-31902/dp/B014WEBAO4/ref=sr_1_7?keywords=Klein+Tools+31918+Bi-Metal+Hole+Saw%2C+1-1%2F8-Inch&amp;qid=1695174116&amp;sr=8-7")</f>
        <v>https://www.amazon.com/Bi-Metal-8-Piece-Klein-Tools-31902/dp/B014WEBAO4/ref=sr_1_7?keywords=Klein+Tools+31918+Bi-Metal+Hole+Saw%2C+1-1%2F8-Inch&amp;qid=1695174116&amp;sr=8-7</v>
      </c>
      <c r="F2304" t="s">
        <v>6003</v>
      </c>
      <c r="G2304" t="e">
        <f ca="1">_xludf.IMAGE("https://edmondsonsupply.com/cdn/shop/products/31918.jpg?v=1669739998")</f>
        <v>#NAME?</v>
      </c>
      <c r="H2304" t="e">
        <f ca="1">_xludf.IMAGE("https://m.media-amazon.com/images/I/51JZIdZrBtL._AC_UL320_.jpg")</f>
        <v>#NAME?</v>
      </c>
      <c r="I2304" t="s">
        <v>1003</v>
      </c>
      <c r="J2304">
        <v>74.989999999999995</v>
      </c>
      <c r="K2304" s="4">
        <v>8.3855000000000004</v>
      </c>
      <c r="L2304">
        <v>4.2</v>
      </c>
      <c r="M2304">
        <v>124</v>
      </c>
      <c r="O2304" t="s">
        <v>25</v>
      </c>
      <c r="P2304" t="s">
        <v>2841</v>
      </c>
      <c r="Q2304" t="s">
        <v>6004</v>
      </c>
    </row>
    <row r="2305" spans="1:17" ht="15.5" x14ac:dyDescent="0.35">
      <c r="A2305"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2305" s="3" t="str">
        <f>HYPERLINK("https://edmondsonsupply.com/products/klein-tools-69445-rare-earth-magnetic-hanger-no-strap", "https://edmondsonsupply.com/products/klein-tools-69445-rare-earth-magnetic-hanger-no-strap")</f>
        <v>https://edmondsonsupply.com/products/klein-tools-69445-rare-earth-magnetic-hanger-no-strap</v>
      </c>
      <c r="C2305" t="s">
        <v>1408</v>
      </c>
      <c r="D2305" t="s">
        <v>1438</v>
      </c>
      <c r="E2305" s="3" t="str">
        <f>HYPERLINK("https://www.amazon.com/Klein-Tools-Autoranging-Continuity-Capacitance/dp/B0BFXMP222/ref=sr_1_3?keywords=Klein+Tools+69445+Rare+Earth+Magnetic+Hanger%2C+no+Strap&amp;qid=1695173881&amp;sr=8-3", "https://www.amazon.com/Klein-Tools-Autoranging-Continuity-Capacitance/dp/B0BFXMP222/ref=sr_1_3?keywords=Klein+Tools+69445+Rare+Earth+Magnetic+Hanger%2C+no+Strap&amp;qid=1695173881&amp;sr=8-3")</f>
        <v>https://www.amazon.com/Klein-Tools-Autoranging-Continuity-Capacitance/dp/B0BFXMP222/ref=sr_1_3?keywords=Klein+Tools+69445+Rare+Earth+Magnetic+Hanger%2C+no+Strap&amp;qid=1695173881&amp;sr=8-3</v>
      </c>
      <c r="F2305" t="s">
        <v>1439</v>
      </c>
      <c r="G2305" t="e">
        <f ca="1">_xludf.IMAGE("https://edmondsonsupply.com/cdn/shop/products/69445.jpg?v=1633030859")</f>
        <v>#NAME?</v>
      </c>
      <c r="H2305" t="e">
        <f ca="1">_xludf.IMAGE("https://m.media-amazon.com/images/I/61-gHKKfiPL._AC_UL320_.jpg")</f>
        <v>#NAME?</v>
      </c>
      <c r="I2305" t="s">
        <v>252</v>
      </c>
      <c r="J2305">
        <v>148.22</v>
      </c>
      <c r="K2305" s="4">
        <v>8.2695000000000007</v>
      </c>
      <c r="L2305">
        <v>4.7</v>
      </c>
      <c r="M2305">
        <v>15</v>
      </c>
      <c r="O2305" t="s">
        <v>25</v>
      </c>
      <c r="P2305" t="s">
        <v>1411</v>
      </c>
      <c r="Q2305" t="s">
        <v>1412</v>
      </c>
    </row>
    <row r="2306" spans="1:17" ht="15.5" x14ac:dyDescent="0.35">
      <c r="A2306" s="3" t="str">
        <f>HYPERLINK("https://edmondsonsupply.com/collections/electricians-tools/products/diablo-tools-dmarg1010-1-8-in-x-2-in-x-3-in-speedemon%E2%84%A2-red-granite-carbide-tipped-hammer-drill-bit", "https://edmondsonsupply.com/collections/electricians-tools/products/diablo-tools-dmarg1010-1-8-in-x-2-in-x-3-in-speedemon%E2%84%A2-red-granite-carbide-tipped-hammer-drill-bit")</f>
        <v>https://edmondsonsupply.com/collections/electricians-tools/products/diablo-tools-dmarg1010-1-8-in-x-2-in-x-3-in-speedemon%E2%84%A2-red-granite-carbide-tipped-hammer-drill-bit</v>
      </c>
      <c r="B2306" s="3" t="str">
        <f>HYPERLINK("https://edmondsonsupply.com/products/diablo-tools-dmarg1010-1-8-in-x-2-in-x-3-in-speedemon%e2%84%a2-red-granite-carbide-tipped-hammer-drill-bit", "https://edmondsonsupply.com/products/diablo-tools-dmarg1010-1-8-in-x-2-in-x-3-in-speedemon%e2%84%a2-red-granite-carbide-tipped-hammer-drill-bit")</f>
        <v>https://edmondsonsupply.com/products/diablo-tools-dmarg1010-1-8-in-x-2-in-x-3-in-speedemon%e2%84%a2-red-granite-carbide-tipped-hammer-drill-bit</v>
      </c>
      <c r="C2306" t="s">
        <v>6005</v>
      </c>
      <c r="D2306" t="s">
        <v>6006</v>
      </c>
      <c r="E2306" s="3" t="str">
        <f>HYPERLINK("https://www.amazon.com/Diablo-Freud-DMARG1210-SPEEDemon-Granite/dp/B089KW1B5V/ref=sr_1_4?keywords=Diablo+Tools+DMARG1010+1%2F8+in.+x+2+in.+x+3+in.+SPEEDemon%E2%84%A2+Red+Granite+Carbide+Tipped+Hammer+Drill+Bit&amp;qid=1695174243&amp;sr=8-4", "https://www.amazon.com/Diablo-Freud-DMARG1210-SPEEDemon-Granite/dp/B089KW1B5V/ref=sr_1_4?keywords=Diablo+Tools+DMARG1010+1%2F8+in.+x+2+in.+x+3+in.+SPEEDemon%E2%84%A2+Red+Granite+Carbide+Tipped+Hammer+Drill+Bit&amp;qid=1695174243&amp;sr=8-4")</f>
        <v>https://www.amazon.com/Diablo-Freud-DMARG1210-SPEEDemon-Granite/dp/B089KW1B5V/ref=sr_1_4?keywords=Diablo+Tools+DMARG1010+1%2F8+in.+x+2+in.+x+3+in.+SPEEDemon%E2%84%A2+Red+Granite+Carbide+Tipped+Hammer+Drill+Bit&amp;qid=1695174243&amp;sr=8-4</v>
      </c>
      <c r="F2306" t="s">
        <v>6007</v>
      </c>
      <c r="G2306" t="e">
        <f ca="1">_xludf.IMAGE("https://edmondsonsupply.com/cdn/shop/products/DMARG1010_Main-Image20200706.png?v=1633031180")</f>
        <v>#NAME?</v>
      </c>
      <c r="H2306" t="e">
        <f ca="1">_xludf.IMAGE("https://m.media-amazon.com/images/I/61+EqrM-43L._AC_UL320_.jpg")</f>
        <v>#NAME?</v>
      </c>
      <c r="I2306" t="s">
        <v>6008</v>
      </c>
      <c r="J2306">
        <v>26.49</v>
      </c>
      <c r="K2306" s="4">
        <v>7.8594999999999997</v>
      </c>
      <c r="L2306">
        <v>4.7</v>
      </c>
      <c r="M2306">
        <v>31</v>
      </c>
      <c r="O2306" t="s">
        <v>25</v>
      </c>
      <c r="P2306" t="s">
        <v>6009</v>
      </c>
      <c r="Q2306" t="s">
        <v>6010</v>
      </c>
    </row>
    <row r="2307" spans="1:17" ht="15.5" x14ac:dyDescent="0.35">
      <c r="A2307" s="3" t="str">
        <f>HYPERLINK("https://edmondsonsupply.com/collections/electricians-tools/products/clc-1100-3", "https://edmondsonsupply.com/collections/electricians-tools/products/clc-1100-3")</f>
        <v>https://edmondsonsupply.com/collections/electricians-tools/products/clc-1100-3</v>
      </c>
      <c r="B2307" s="3" t="str">
        <f>HYPERLINK("https://edmondsonsupply.com/products/clc-1100-3", "https://edmondsonsupply.com/products/clc-1100-3")</f>
        <v>https://edmondsonsupply.com/products/clc-1100-3</v>
      </c>
      <c r="C2307" t="s">
        <v>231</v>
      </c>
      <c r="D2307" t="s">
        <v>239</v>
      </c>
      <c r="E2307" s="3" t="str">
        <f>HYPERLINK("https://www.amazon.com/Pockets-Custom-Leathercraft-Multi-Purpose-Zippered/dp/B09Z931QC2/ref=sr_1_7?keywords=CLC+1100+3+Multi-Purpose%2C+Clip-on%2C+Zippered+Bags&amp;qid=1695173929&amp;sr=8-7", "https://www.amazon.com/Pockets-Custom-Leathercraft-Multi-Purpose-Zippered/dp/B09Z931QC2/ref=sr_1_7?keywords=CLC+1100+3+Multi-Purpose%2C+Clip-on%2C+Zippered+Bags&amp;qid=1695173929&amp;sr=8-7")</f>
        <v>https://www.amazon.com/Pockets-Custom-Leathercraft-Multi-Purpose-Zippered/dp/B09Z931QC2/ref=sr_1_7?keywords=CLC+1100+3+Multi-Purpose%2C+Clip-on%2C+Zippered+Bags&amp;qid=1695173929&amp;sr=8-7</v>
      </c>
      <c r="F2307" t="s">
        <v>240</v>
      </c>
      <c r="G2307" t="e">
        <f ca="1">_xludf.IMAGE("https://edmondsonsupply.com/cdn/shop/products/1100_REV17_2.jpg?v=1633030333")</f>
        <v>#NAME?</v>
      </c>
      <c r="H2307" t="e">
        <f ca="1">_xludf.IMAGE("https://m.media-amazon.com/images/I/41tNKTffzhL._AC_UL320_.jpg")</f>
        <v>#NAME?</v>
      </c>
      <c r="I2307" t="s">
        <v>234</v>
      </c>
      <c r="J2307">
        <v>102.06</v>
      </c>
      <c r="K2307" s="4">
        <v>7.6859999999999999</v>
      </c>
      <c r="L2307">
        <v>4.8</v>
      </c>
      <c r="M2307">
        <v>10</v>
      </c>
      <c r="O2307" t="s">
        <v>25</v>
      </c>
      <c r="P2307" t="s">
        <v>235</v>
      </c>
      <c r="Q2307" t="s">
        <v>236</v>
      </c>
    </row>
    <row r="2308" spans="1:17" ht="15.5" x14ac:dyDescent="0.35">
      <c r="A2308"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2308" s="3" t="str">
        <f>HYPERLINK("https://edmondsonsupply.com/products/diablo-tools-d0760x-7-1-4-in-x-60-tooth-ultra-finish-saw-blade", "https://edmondsonsupply.com/products/diablo-tools-d0760x-7-1-4-in-x-60-tooth-ultra-finish-saw-blade")</f>
        <v>https://edmondsonsupply.com/products/diablo-tools-d0760x-7-1-4-in-x-60-tooth-ultra-finish-saw-blade</v>
      </c>
      <c r="C2308" t="s">
        <v>6011</v>
      </c>
      <c r="D2308" t="s">
        <v>6012</v>
      </c>
      <c r="E2308" s="3" t="str">
        <f>HYPERLINK("https://www.amazon.com/Diablo-Freud-D0760A-10-Fine-Finishing-Circular/dp/B078YBD4L1/ref=sr_1_9?keywords=Diablo+Tools+D0760X+7-1%2F4+in.+x+60+Tooth+Ultra+Finish+Saw+Blade&amp;qid=1695174054&amp;sr=8-9", "https://www.amazon.com/Diablo-Freud-D0760A-10-Fine-Finishing-Circular/dp/B078YBD4L1/ref=sr_1_9?keywords=Diablo+Tools+D0760X+7-1%2F4+in.+x+60+Tooth+Ultra+Finish+Saw+Blade&amp;qid=1695174054&amp;sr=8-9")</f>
        <v>https://www.amazon.com/Diablo-Freud-D0760A-10-Fine-Finishing-Circular/dp/B078YBD4L1/ref=sr_1_9?keywords=Diablo+Tools+D0760X+7-1%2F4+in.+x+60+Tooth+Ultra+Finish+Saw+Blade&amp;qid=1695174054&amp;sr=8-9</v>
      </c>
      <c r="F2308" t="s">
        <v>6013</v>
      </c>
      <c r="G2308" t="e">
        <f ca="1">_xludf.IMAGE("https://edmondsonsupply.com/cdn/shop/products/vlfiqrihhfwf5bxirasx.webp?v=1678977162")</f>
        <v>#NAME?</v>
      </c>
      <c r="H2308" t="e">
        <f ca="1">_xludf.IMAGE("https://m.media-amazon.com/images/I/71uZlLj0O1L._AC_UL320_.jpg")</f>
        <v>#NAME?</v>
      </c>
      <c r="I2308" t="s">
        <v>893</v>
      </c>
      <c r="J2308">
        <v>170.08</v>
      </c>
      <c r="K2308" s="4">
        <v>7.5167999999999999</v>
      </c>
      <c r="L2308">
        <v>4</v>
      </c>
      <c r="M2308">
        <v>4</v>
      </c>
      <c r="O2308" t="s">
        <v>25</v>
      </c>
      <c r="P2308" t="s">
        <v>6014</v>
      </c>
      <c r="Q2308" t="s">
        <v>6015</v>
      </c>
    </row>
    <row r="2309" spans="1:17" ht="15.5" x14ac:dyDescent="0.35">
      <c r="A2309" s="3" t="str">
        <f>HYPERLINK("https://edmondsonsupply.com/collections/electricians-tools/products/clc-1100-3", "https://edmondsonsupply.com/collections/electricians-tools/products/clc-1100-3")</f>
        <v>https://edmondsonsupply.com/collections/electricians-tools/products/clc-1100-3</v>
      </c>
      <c r="B2309" s="3" t="str">
        <f>HYPERLINK("https://edmondsonsupply.com/products/clc-1100-3", "https://edmondsonsupply.com/products/clc-1100-3")</f>
        <v>https://edmondsonsupply.com/products/clc-1100-3</v>
      </c>
      <c r="C2309" t="s">
        <v>231</v>
      </c>
      <c r="D2309" t="s">
        <v>241</v>
      </c>
      <c r="E2309" s="3" t="str">
        <f>HYPERLINK("https://www.amazon.com/Custom-LeatherCraft-Multi-Compartment-Leathercraft-Multi-Purpose/dp/B093Q4S183/ref=sr_1_5?keywords=CLC+1100+3+Multi-Purpose%2C+Clip-on%2C+Zippered+Bags&amp;qid=1695173929&amp;sr=8-5", "https://www.amazon.com/Custom-LeatherCraft-Multi-Compartment-Leathercraft-Multi-Purpose/dp/B093Q4S183/ref=sr_1_5?keywords=CLC+1100+3+Multi-Purpose%2C+Clip-on%2C+Zippered+Bags&amp;qid=1695173929&amp;sr=8-5")</f>
        <v>https://www.amazon.com/Custom-LeatherCraft-Multi-Compartment-Leathercraft-Multi-Purpose/dp/B093Q4S183/ref=sr_1_5?keywords=CLC+1100+3+Multi-Purpose%2C+Clip-on%2C+Zippered+Bags&amp;qid=1695173929&amp;sr=8-5</v>
      </c>
      <c r="F2309" t="s">
        <v>242</v>
      </c>
      <c r="G2309" t="e">
        <f ca="1">_xludf.IMAGE("https://edmondsonsupply.com/cdn/shop/products/1100_REV17_2.jpg?v=1633030333")</f>
        <v>#NAME?</v>
      </c>
      <c r="H2309" t="e">
        <f ca="1">_xludf.IMAGE("https://m.media-amazon.com/images/I/41hBhRQDbtS._AC_UL320_.jpg")</f>
        <v>#NAME?</v>
      </c>
      <c r="I2309" t="s">
        <v>234</v>
      </c>
      <c r="J2309">
        <v>99.94</v>
      </c>
      <c r="K2309" s="4">
        <v>7.5054999999999996</v>
      </c>
      <c r="L2309">
        <v>4.7</v>
      </c>
      <c r="M2309">
        <v>2571</v>
      </c>
      <c r="O2309" t="s">
        <v>25</v>
      </c>
      <c r="P2309" t="s">
        <v>235</v>
      </c>
      <c r="Q2309" t="s">
        <v>236</v>
      </c>
    </row>
    <row r="2310" spans="1:17" ht="15.5" x14ac:dyDescent="0.35">
      <c r="A2310" s="3" t="str">
        <f>HYPERLINK("https://edmondsonsupply.com/collections/electricians-tools/products/diablo-tools-dmapl4210-5-8-in-x-4-in-x-6-in-rebar-demon%E2%84%A2-sds-plus-4-cutter-full-carbide-head-hammer-bit", "https://edmondsonsupply.com/collections/electricians-tools/products/diablo-tools-dmapl4210-5-8-in-x-4-in-x-6-in-rebar-demon%E2%84%A2-sds-plus-4-cutter-full-carbide-head-hammer-bit")</f>
        <v>https://edmondsonsupply.com/collections/electricians-tools/products/diablo-tools-dmapl4210-5-8-in-x-4-in-x-6-in-rebar-demon%E2%84%A2-sds-plus-4-cutter-full-carbide-head-hammer-bit</v>
      </c>
      <c r="B2310"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2310" t="s">
        <v>1424</v>
      </c>
      <c r="D2310" t="s">
        <v>1452</v>
      </c>
      <c r="E2310" s="3"/>
      <c r="F2310" t="s">
        <v>1453</v>
      </c>
      <c r="G2310" t="e">
        <f ca="1">_xludf.IMAGE("https://edmondsonsupply.com/cdn/shop/products/DMAPL4210_Main-Image20200701.png?v=1633030426")</f>
        <v>#NAME?</v>
      </c>
      <c r="H2310" t="e">
        <f ca="1">_xludf.IMAGE("https://m.media-amazon.com/images/I/61WAyx865hL._AC_UL320_.jpg")</f>
        <v>#NAME?</v>
      </c>
      <c r="I2310" t="s">
        <v>1427</v>
      </c>
      <c r="J2310">
        <v>81.97</v>
      </c>
      <c r="K2310" s="4">
        <v>7.2217000000000002</v>
      </c>
      <c r="L2310">
        <v>5</v>
      </c>
      <c r="M2310">
        <v>2</v>
      </c>
      <c r="O2310" t="s">
        <v>25</v>
      </c>
      <c r="P2310" t="s">
        <v>1428</v>
      </c>
      <c r="Q2310" t="s">
        <v>1429</v>
      </c>
    </row>
    <row r="2311" spans="1:17" ht="15.5" x14ac:dyDescent="0.35">
      <c r="A2311"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2311" s="3" t="str">
        <f>HYPERLINK("https://edmondsonsupply.com/products/klein-tools-11045-wire-stripper-cutter-10-18-awg-solid", "https://edmondsonsupply.com/products/klein-tools-11045-wire-stripper-cutter-10-18-awg-solid")</f>
        <v>https://edmondsonsupply.com/products/klein-tools-11045-wire-stripper-cutter-10-18-awg-solid</v>
      </c>
      <c r="C2311" t="s">
        <v>6016</v>
      </c>
      <c r="D2311" t="s">
        <v>6017</v>
      </c>
      <c r="E2311" s="3" t="str">
        <f>HYPERLINK("https://www.amazon.com/Klein-Tools-11045-Stripper-Cutter/dp/B002YE5L9K/ref=sr_1_2?keywords=Klein+Tools+11045+Wire+Stripper%2FCutter+%2810-18+AWG+Solid%29&amp;qid=1695174263&amp;sr=8-2", "https://www.amazon.com/Klein-Tools-11045-Stripper-Cutter/dp/B002YE5L9K/ref=sr_1_2?keywords=Klein+Tools+11045+Wire+Stripper%2FCutter+%2810-18+AWG+Solid%29&amp;qid=1695174263&amp;sr=8-2")</f>
        <v>https://www.amazon.com/Klein-Tools-11045-Stripper-Cutter/dp/B002YE5L9K/ref=sr_1_2?keywords=Klein+Tools+11045+Wire+Stripper%2FCutter+%2810-18+AWG+Solid%29&amp;qid=1695174263&amp;sr=8-2</v>
      </c>
      <c r="F2311" t="s">
        <v>6018</v>
      </c>
      <c r="G2311" t="e">
        <f ca="1">_xludf.IMAGE("https://edmondsonsupply.com/cdn/shop/products/11045.jpg?v=1633031022")</f>
        <v>#NAME?</v>
      </c>
      <c r="H2311" t="e">
        <f ca="1">_xludf.IMAGE("https://m.media-amazon.com/images/I/31JS1KzwvaL._AC_UL320_.jpg")</f>
        <v>#NAME?</v>
      </c>
      <c r="I2311" t="s">
        <v>143</v>
      </c>
      <c r="J2311">
        <v>129</v>
      </c>
      <c r="K2311" s="4">
        <v>7.0776000000000003</v>
      </c>
      <c r="L2311">
        <v>1</v>
      </c>
      <c r="M2311">
        <v>2</v>
      </c>
      <c r="O2311" t="s">
        <v>25</v>
      </c>
      <c r="P2311" t="s">
        <v>6019</v>
      </c>
      <c r="Q2311" t="s">
        <v>6020</v>
      </c>
    </row>
    <row r="2312" spans="1:17" ht="15.5" x14ac:dyDescent="0.35">
      <c r="A2312"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2312" s="3" t="str">
        <f>HYPERLINK("https://edmondsonsupply.com/products/klein-tools-rt110-receptacle-tester", "https://edmondsonsupply.com/products/klein-tools-rt110-receptacle-tester")</f>
        <v>https://edmondsonsupply.com/products/klein-tools-rt110-receptacle-tester</v>
      </c>
      <c r="C2312" t="s">
        <v>6021</v>
      </c>
      <c r="D2312" t="s">
        <v>6022</v>
      </c>
      <c r="E2312" s="3" t="str">
        <f>HYPERLINK("https://www.amazon.com/Klein-Tools-Receptacle-Testers-Multimeter/dp/B0B7817ZG5/ref=sr_1_4?keywords=Klein+Tools+RT110+Receptacle+Tester&amp;qid=1695174267&amp;sr=8-4", "https://www.amazon.com/Klein-Tools-Receptacle-Testers-Multimeter/dp/B0B7817ZG5/ref=sr_1_4?keywords=Klein+Tools+RT110+Receptacle+Tester&amp;qid=1695174267&amp;sr=8-4")</f>
        <v>https://www.amazon.com/Klein-Tools-Receptacle-Testers-Multimeter/dp/B0B7817ZG5/ref=sr_1_4?keywords=Klein+Tools+RT110+Receptacle+Tester&amp;qid=1695174267&amp;sr=8-4</v>
      </c>
      <c r="F2312" t="s">
        <v>6023</v>
      </c>
      <c r="G2312" t="e">
        <f ca="1">_xludf.IMAGE("https://edmondsonsupply.com/cdn/shop/products/rt110.jpg?v=1633031036")</f>
        <v>#NAME?</v>
      </c>
      <c r="H2312" t="e">
        <f ca="1">_xludf.IMAGE("https://m.media-amazon.com/images/I/61wZRMpKAcL._AC_UL320_.jpg")</f>
        <v>#NAME?</v>
      </c>
      <c r="I2312" t="s">
        <v>1427</v>
      </c>
      <c r="J2312">
        <v>79.989999999999995</v>
      </c>
      <c r="K2312" s="4">
        <v>7.0231000000000003</v>
      </c>
      <c r="L2312">
        <v>4.7</v>
      </c>
      <c r="M2312">
        <v>406</v>
      </c>
      <c r="O2312" t="s">
        <v>25</v>
      </c>
      <c r="P2312" t="s">
        <v>6024</v>
      </c>
      <c r="Q2312" t="s">
        <v>6025</v>
      </c>
    </row>
    <row r="2313" spans="1:17" ht="15.5" x14ac:dyDescent="0.35">
      <c r="A2313"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313" s="3" t="str">
        <f>HYPERLINK("https://edmondsonsupply.com/products/klein-tools-69417-rare-earth-magnetic-meter-hanger", "https://edmondsonsupply.com/products/klein-tools-69417-rare-earth-magnetic-meter-hanger")</f>
        <v>https://edmondsonsupply.com/products/klein-tools-69417-rare-earth-magnetic-meter-hanger</v>
      </c>
      <c r="C2313" t="s">
        <v>1413</v>
      </c>
      <c r="D2313" t="s">
        <v>6026</v>
      </c>
      <c r="E2313" s="3" t="str">
        <f>HYPERLINK("https://www.amazon.com/Klein-Tools-Contrast-Microamps-Rare-Earth/dp/B09T72LQCJ/ref=sr_1_9?keywords=Klein+Tools+69417+Rare+Earth+Magnetic+Meter+Hanger%2C+with+Strap&amp;qid=1695173948&amp;sr=8-9", "https://www.amazon.com/Klein-Tools-Contrast-Microamps-Rare-Earth/dp/B09T72LQCJ/ref=sr_1_9?keywords=Klein+Tools+69417+Rare+Earth+Magnetic+Meter+Hanger%2C+with+Strap&amp;qid=1695173948&amp;sr=8-9")</f>
        <v>https://www.amazon.com/Klein-Tools-Contrast-Microamps-Rare-Earth/dp/B09T72LQCJ/ref=sr_1_9?keywords=Klein+Tools+69417+Rare+Earth+Magnetic+Meter+Hanger%2C+with+Strap&amp;qid=1695173948&amp;sr=8-9</v>
      </c>
      <c r="F2313" t="s">
        <v>6027</v>
      </c>
      <c r="G2313" t="e">
        <f ca="1">_xludf.IMAGE("https://edmondsonsupply.com/cdn/shop/products/69417.jpg?v=1587150163")</f>
        <v>#NAME?</v>
      </c>
      <c r="H2313" t="e">
        <f ca="1">_xludf.IMAGE("https://m.media-amazon.com/images/I/51sNOvZYe9L._AC_UL320_.jpg")</f>
        <v>#NAME?</v>
      </c>
      <c r="I2313" t="s">
        <v>288</v>
      </c>
      <c r="J2313">
        <v>111.24</v>
      </c>
      <c r="K2313" s="4">
        <v>6.9513999999999996</v>
      </c>
      <c r="L2313">
        <v>4.5999999999999996</v>
      </c>
      <c r="M2313">
        <v>7</v>
      </c>
      <c r="O2313" t="s">
        <v>25</v>
      </c>
      <c r="P2313" t="s">
        <v>845</v>
      </c>
      <c r="Q2313" t="s">
        <v>1416</v>
      </c>
    </row>
    <row r="2314" spans="1:17" ht="15.5" x14ac:dyDescent="0.35">
      <c r="A2314" s="3" t="str">
        <f>HYPERLINK("https://edmondsonsupply.com/collections/electricians-tools/products/klein-5416tfr", "https://edmondsonsupply.com/collections/electricians-tools/products/klein-5416tfr")</f>
        <v>https://edmondsonsupply.com/collections/electricians-tools/products/klein-5416tfr</v>
      </c>
      <c r="B2314" s="3" t="str">
        <f>HYPERLINK("https://edmondsonsupply.com/products/klein-5416tfr", "https://edmondsonsupply.com/products/klein-5416tfr")</f>
        <v>https://edmondsonsupply.com/products/klein-5416tfr</v>
      </c>
      <c r="C2314" t="s">
        <v>5986</v>
      </c>
      <c r="D2314" t="s">
        <v>6028</v>
      </c>
      <c r="E2314" s="3" t="str">
        <f>HYPERLINK("https://www.amazon.com/Occidental-Leather-Stronghold-Suspension-Resistant/dp/B09Y8Y6ZND/ref=sr_1_8?keywords=Klein+Tools+5416TFR+Tool+Bag%2C+Flame+Resistant+Bolt+Bag%2C+No.+4+Canvas%2C+5+x+10+x+9-Inch&amp;qid=1695173952&amp;sr=8-8", "https://www.amazon.com/Occidental-Leather-Stronghold-Suspension-Resistant/dp/B09Y8Y6ZND/ref=sr_1_8?keywords=Klein+Tools+5416TFR+Tool+Bag%2C+Flame+Resistant+Bolt+Bag%2C+No.+4+Canvas%2C+5+x+10+x+9-Inch&amp;qid=1695173952&amp;sr=8-8")</f>
        <v>https://www.amazon.com/Occidental-Leather-Stronghold-Suspension-Resistant/dp/B09Y8Y6ZND/ref=sr_1_8?keywords=Klein+Tools+5416TFR+Tool+Bag%2C+Flame+Resistant+Bolt+Bag%2C+No.+4+Canvas%2C+5+x+10+x+9-Inch&amp;qid=1695173952&amp;sr=8-8</v>
      </c>
      <c r="F2314" t="s">
        <v>6029</v>
      </c>
      <c r="G2314" t="e">
        <f ca="1">_xludf.IMAGE("https://edmondsonsupply.com/cdn/shop/products/5416tfr.jpg?v=1587149359")</f>
        <v>#NAME?</v>
      </c>
      <c r="H2314" t="e">
        <f ca="1">_xludf.IMAGE("https://m.media-amazon.com/images/I/61IJVL6YlKL._AC_UL320_.jpg")</f>
        <v>#NAME?</v>
      </c>
      <c r="I2314" t="s">
        <v>577</v>
      </c>
      <c r="J2314">
        <v>158.88999999999999</v>
      </c>
      <c r="K2314" s="4">
        <v>6.9485000000000001</v>
      </c>
      <c r="L2314">
        <v>4.7</v>
      </c>
      <c r="M2314">
        <v>3472</v>
      </c>
      <c r="O2314" t="s">
        <v>25</v>
      </c>
      <c r="P2314" t="s">
        <v>5989</v>
      </c>
      <c r="Q2314" t="s">
        <v>5990</v>
      </c>
    </row>
    <row r="2315" spans="1:17" ht="15.5" x14ac:dyDescent="0.35">
      <c r="A2315"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2315" s="3" t="str">
        <f>HYPERLINK("https://edmondsonsupply.com/products/gorilla-glue-107450-original-gorilla-glue-20z-bottle", "https://edmondsonsupply.com/products/gorilla-glue-107450-original-gorilla-glue-20z-bottle")</f>
        <v>https://edmondsonsupply.com/products/gorilla-glue-107450-original-gorilla-glue-20z-bottle</v>
      </c>
      <c r="C2315" t="s">
        <v>6030</v>
      </c>
      <c r="D2315" t="s">
        <v>6031</v>
      </c>
      <c r="E2315" s="3" t="str">
        <f>HYPERLINK("https://www.amazon.com/Gorilla-Original-Waterproof-Polyurethane-Bottle/dp/B01M3VNMNB/ref=sr_1_10?keywords=Gorilla+Glue+107450+Original+Gorilla+Glue%2C+2oz.+bottle&amp;qid=1695174069&amp;sr=8-10", "https://www.amazon.com/Gorilla-Original-Waterproof-Polyurethane-Bottle/dp/B01M3VNMNB/ref=sr_1_10?keywords=Gorilla+Glue+107450+Original+Gorilla+Glue%2C+2oz.+bottle&amp;qid=1695174069&amp;sr=8-10")</f>
        <v>https://www.amazon.com/Gorilla-Original-Waterproof-Polyurethane-Bottle/dp/B01M3VNMNB/ref=sr_1_10?keywords=Gorilla+Glue+107450+Original+Gorilla+Glue%2C+2oz.+bottle&amp;qid=1695174069&amp;sr=8-10</v>
      </c>
      <c r="F2315" t="s">
        <v>6032</v>
      </c>
      <c r="G2315" t="e">
        <f ca="1">_xludf.IMAGE("https://edmondsonsupply.com/cdn/shop/products/original_gorilla_glue_white_bg_v2-450x450-c-default.webp?v=1678801122")</f>
        <v>#NAME?</v>
      </c>
      <c r="H2315" t="e">
        <f ca="1">_xludf.IMAGE("https://m.media-amazon.com/images/I/61CiRQcJm9L._AC_UY218_.jpg")</f>
        <v>#NAME?</v>
      </c>
      <c r="I2315" t="s">
        <v>6033</v>
      </c>
      <c r="J2315">
        <v>54.54</v>
      </c>
      <c r="K2315" s="4">
        <v>6.8137999999999996</v>
      </c>
      <c r="L2315">
        <v>4.7</v>
      </c>
      <c r="M2315">
        <v>23</v>
      </c>
      <c r="O2315" t="s">
        <v>25</v>
      </c>
      <c r="P2315" t="s">
        <v>138</v>
      </c>
      <c r="Q2315" t="s">
        <v>6034</v>
      </c>
    </row>
    <row r="2316" spans="1:17" ht="15.5" x14ac:dyDescent="0.35">
      <c r="A2316"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2316" s="3" t="str">
        <f>HYPERLINK("https://edmondsonsupply.com/products/klein-tools-31856-1-1-8-inch-carbide-hole-cutter", "https://edmondsonsupply.com/products/klein-tools-31856-1-1-8-inch-carbide-hole-cutter")</f>
        <v>https://edmondsonsupply.com/products/klein-tools-31856-1-1-8-inch-carbide-hole-cutter</v>
      </c>
      <c r="C2316" t="s">
        <v>6035</v>
      </c>
      <c r="D2316" t="s">
        <v>6036</v>
      </c>
      <c r="E2316" s="3" t="str">
        <f>HYPERLINK("https://www.amazon.com/Electricians-8-Piece-Klein-Tools-31873/dp/B003CCRCM2/ref=sr_1_4?keywords=Klein+Tools+31856+1-1%2F8-Inch+Carbide+Hole+Cutter&amp;qid=1695174011&amp;sr=8-4", "https://www.amazon.com/Electricians-8-Piece-Klein-Tools-31873/dp/B003CCRCM2/ref=sr_1_4?keywords=Klein+Tools+31856+1-1%2F8-Inch+Carbide+Hole+Cutter&amp;qid=1695174011&amp;sr=8-4")</f>
        <v>https://www.amazon.com/Electricians-8-Piece-Klein-Tools-31873/dp/B003CCRCM2/ref=sr_1_4?keywords=Klein+Tools+31856+1-1%2F8-Inch+Carbide+Hole+Cutter&amp;qid=1695174011&amp;sr=8-4</v>
      </c>
      <c r="F2316" t="s">
        <v>6037</v>
      </c>
      <c r="G2316" t="e">
        <f ca="1">_xludf.IMAGE("https://edmondsonsupply.com/cdn/shop/files/31856.jpg?v=1685712345")</f>
        <v>#NAME?</v>
      </c>
      <c r="H2316" t="e">
        <f ca="1">_xludf.IMAGE("https://m.media-amazon.com/images/I/61G-oQvGZTL._AC_UL320_.jpg")</f>
        <v>#NAME?</v>
      </c>
      <c r="I2316" t="s">
        <v>261</v>
      </c>
      <c r="J2316">
        <v>279.99</v>
      </c>
      <c r="K2316" s="4">
        <v>6.7797000000000001</v>
      </c>
      <c r="L2316">
        <v>4.5999999999999996</v>
      </c>
      <c r="M2316">
        <v>64</v>
      </c>
      <c r="O2316" t="s">
        <v>25</v>
      </c>
      <c r="P2316" t="s">
        <v>6038</v>
      </c>
      <c r="Q2316" t="s">
        <v>6039</v>
      </c>
    </row>
    <row r="2317" spans="1:17" ht="15.5" x14ac:dyDescent="0.35">
      <c r="A2317"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2317" s="3" t="str">
        <f>HYPERLINK("https://edmondsonsupply.com/products/greenlee-dtap1-4-20-drill-tap-1-4-20", "https://edmondsonsupply.com/products/greenlee-dtap1-4-20-drill-tap-1-4-20")</f>
        <v>https://edmondsonsupply.com/products/greenlee-dtap1-4-20-drill-tap-1-4-20</v>
      </c>
      <c r="C2317" t="s">
        <v>2854</v>
      </c>
      <c r="D2317" t="s">
        <v>6040</v>
      </c>
      <c r="E2317" s="3" t="str">
        <f>HYPERLINK("https://www.amazon.com/Greenlee-LDTAPKIT-Change-Adapter-6-Piece/dp/B00E62G68I/ref=sr_1_8?keywords=Greenlee+DTAP1%2F4-20+Drill%2FTap%2C+1%2F4-20&amp;qid=1695173937&amp;sr=8-8", "https://www.amazon.com/Greenlee-LDTAPKIT-Change-Adapter-6-Piece/dp/B00E62G68I/ref=sr_1_8?keywords=Greenlee+DTAP1%2F4-20+Drill%2FTap%2C+1%2F4-20&amp;qid=1695173937&amp;sr=8-8")</f>
        <v>https://www.amazon.com/Greenlee-LDTAPKIT-Change-Adapter-6-Piece/dp/B00E62G68I/ref=sr_1_8?keywords=Greenlee+DTAP1%2F4-20+Drill%2FTap%2C+1%2F4-20&amp;qid=1695173937&amp;sr=8-8</v>
      </c>
      <c r="F2317" t="s">
        <v>6041</v>
      </c>
      <c r="G2317" t="e">
        <f ca="1">_xludf.IMAGE("https://edmondsonsupply.com/cdn/shop/products/DTAP1-4-20.jpg?v=1587151009")</f>
        <v>#NAME?</v>
      </c>
      <c r="H2317" t="e">
        <f ca="1">_xludf.IMAGE("https://m.media-amazon.com/images/I/81u4qTDFlCL._AC_UL320_.jpg")</f>
        <v>#NAME?</v>
      </c>
      <c r="I2317" t="s">
        <v>924</v>
      </c>
      <c r="J2317">
        <v>69.03</v>
      </c>
      <c r="K2317" s="4">
        <v>6.6784999999999997</v>
      </c>
      <c r="L2317">
        <v>4.8</v>
      </c>
      <c r="M2317">
        <v>1309</v>
      </c>
      <c r="O2317" t="s">
        <v>25</v>
      </c>
      <c r="P2317" t="s">
        <v>2857</v>
      </c>
      <c r="Q2317" t="s">
        <v>2858</v>
      </c>
    </row>
    <row r="2318" spans="1:17" ht="15.5" x14ac:dyDescent="0.35">
      <c r="A2318" s="3" t="str">
        <f>HYPERLINK("https://edmondsonsupply.com/collections/electricians-tools/products/klein-tools-51612-3-4-inch-angle-setter%E2%84%A2", "https://edmondsonsupply.com/collections/electricians-tools/products/klein-tools-51612-3-4-inch-angle-setter%E2%84%A2")</f>
        <v>https://edmondsonsupply.com/collections/electricians-tools/products/klein-tools-51612-3-4-inch-angle-setter%E2%84%A2</v>
      </c>
      <c r="B2318" s="3" t="str">
        <f>HYPERLINK("https://edmondsonsupply.com/products/klein-tools-51612-3-4-inch-angle-setter%e2%84%a2", "https://edmondsonsupply.com/products/klein-tools-51612-3-4-inch-angle-setter%e2%84%a2")</f>
        <v>https://edmondsonsupply.com/products/klein-tools-51612-3-4-inch-angle-setter%e2%84%a2</v>
      </c>
      <c r="C2318" t="s">
        <v>6042</v>
      </c>
      <c r="D2318" t="s">
        <v>6043</v>
      </c>
      <c r="E2318" s="3" t="str">
        <f>HYPERLINK("https://www.amazon.com/Conduit-Bender-Klein-Tools-51610/dp/B08V8J5CX4/ref=sr_1_4?keywords=Klein+Tools+51612+3%2F4-Inch+Angle+Setter%E2%84%A2&amp;qid=1695174172&amp;sr=8-4", "https://www.amazon.com/Conduit-Bender-Klein-Tools-51610/dp/B08V8J5CX4/ref=sr_1_4?keywords=Klein+Tools+51612+3%2F4-Inch+Angle+Setter%E2%84%A2&amp;qid=1695174172&amp;sr=8-4")</f>
        <v>https://www.amazon.com/Conduit-Bender-Klein-Tools-51610/dp/B08V8J5CX4/ref=sr_1_4?keywords=Klein+Tools+51612+3%2F4-Inch+Angle+Setter%E2%84%A2&amp;qid=1695174172&amp;sr=8-4</v>
      </c>
      <c r="F2318" t="s">
        <v>6044</v>
      </c>
      <c r="G2318" t="e">
        <f ca="1">_xludf.IMAGE("https://edmondsonsupply.com/cdn/shop/products/51612.jpg?v=1661977736")</f>
        <v>#NAME?</v>
      </c>
      <c r="H2318" t="e">
        <f ca="1">_xludf.IMAGE("https://m.media-amazon.com/images/I/61jmGqozuVL._AC_UL320_.jpg")</f>
        <v>#NAME?</v>
      </c>
      <c r="I2318" t="s">
        <v>1427</v>
      </c>
      <c r="J2318">
        <v>74.989999999999995</v>
      </c>
      <c r="K2318" s="4">
        <v>6.5216000000000003</v>
      </c>
      <c r="L2318">
        <v>4.8</v>
      </c>
      <c r="M2318">
        <v>11</v>
      </c>
      <c r="O2318" t="s">
        <v>25</v>
      </c>
      <c r="P2318" t="s">
        <v>6045</v>
      </c>
      <c r="Q2318" t="s">
        <v>6046</v>
      </c>
    </row>
    <row r="2319" spans="1:17" ht="15.5" x14ac:dyDescent="0.35">
      <c r="A2319" s="3" t="str">
        <f>HYPERLINK("https://edmondsonsupply.com/collections/electricians-tools/products/klein-tools-51612-3-4-inch-angle-setter%E2%84%A2", "https://edmondsonsupply.com/collections/electricians-tools/products/klein-tools-51612-3-4-inch-angle-setter%E2%84%A2")</f>
        <v>https://edmondsonsupply.com/collections/electricians-tools/products/klein-tools-51612-3-4-inch-angle-setter%E2%84%A2</v>
      </c>
      <c r="B2319" s="3" t="str">
        <f>HYPERLINK("https://edmondsonsupply.com/products/klein-tools-51612-3-4-inch-angle-setter%e2%84%a2", "https://edmondsonsupply.com/products/klein-tools-51612-3-4-inch-angle-setter%e2%84%a2")</f>
        <v>https://edmondsonsupply.com/products/klein-tools-51612-3-4-inch-angle-setter%e2%84%a2</v>
      </c>
      <c r="C2319" t="s">
        <v>6042</v>
      </c>
      <c r="D2319" t="s">
        <v>6047</v>
      </c>
      <c r="E2319" s="3" t="str">
        <f>HYPERLINK("https://www.amazon.com/Conduit-Features-Klein-Tools-51604/dp/B08V8YVWH1/ref=sr_1_6?keywords=Klein+Tools+51612+3%2F4-Inch+Angle+Setter%E2%84%A2&amp;qid=1695174172&amp;sr=8-6", "https://www.amazon.com/Conduit-Features-Klein-Tools-51604/dp/B08V8YVWH1/ref=sr_1_6?keywords=Klein+Tools+51612+3%2F4-Inch+Angle+Setter%E2%84%A2&amp;qid=1695174172&amp;sr=8-6")</f>
        <v>https://www.amazon.com/Conduit-Features-Klein-Tools-51604/dp/B08V8YVWH1/ref=sr_1_6?keywords=Klein+Tools+51612+3%2F4-Inch+Angle+Setter%E2%84%A2&amp;qid=1695174172&amp;sr=8-6</v>
      </c>
      <c r="F2319" t="s">
        <v>6048</v>
      </c>
      <c r="G2319" t="e">
        <f ca="1">_xludf.IMAGE("https://edmondsonsupply.com/cdn/shop/products/51612.jpg?v=1661977736")</f>
        <v>#NAME?</v>
      </c>
      <c r="H2319" t="e">
        <f ca="1">_xludf.IMAGE("https://m.media-amazon.com/images/I/41DkDVmyczL._AC_UL320_.jpg")</f>
        <v>#NAME?</v>
      </c>
      <c r="I2319" t="s">
        <v>1427</v>
      </c>
      <c r="J2319">
        <v>74.989999999999995</v>
      </c>
      <c r="K2319" s="4">
        <v>6.5216000000000003</v>
      </c>
      <c r="L2319">
        <v>4.8</v>
      </c>
      <c r="M2319">
        <v>43</v>
      </c>
      <c r="O2319" t="s">
        <v>25</v>
      </c>
      <c r="P2319" t="s">
        <v>6045</v>
      </c>
      <c r="Q2319" t="s">
        <v>6046</v>
      </c>
    </row>
    <row r="2320" spans="1:17" ht="15.5" x14ac:dyDescent="0.35">
      <c r="A2320" s="3" t="str">
        <f>HYPERLINK("https://edmondsonsupply.com/collections/electricians-tools/products/klein-tools-31922-bi-metal-hole-saw-1-3-8-inch", "https://edmondsonsupply.com/collections/electricians-tools/products/klein-tools-31922-bi-metal-hole-saw-1-3-8-inch")</f>
        <v>https://edmondsonsupply.com/collections/electricians-tools/products/klein-tools-31922-bi-metal-hole-saw-1-3-8-inch</v>
      </c>
      <c r="B2320" s="3" t="str">
        <f>HYPERLINK("https://edmondsonsupply.com/products/klein-tools-31922-bi-metal-hole-saw-1-3-8-inch", "https://edmondsonsupply.com/products/klein-tools-31922-bi-metal-hole-saw-1-3-8-inch")</f>
        <v>https://edmondsonsupply.com/products/klein-tools-31922-bi-metal-hole-saw-1-3-8-inch</v>
      </c>
      <c r="C2320" t="s">
        <v>6049</v>
      </c>
      <c r="D2320" t="s">
        <v>6002</v>
      </c>
      <c r="E2320" s="3" t="str">
        <f>HYPERLINK("https://www.amazon.com/Bi-Metal-8-Piece-Klein-Tools-31902/dp/B014WEBAO4/ref=sr_1_4?keywords=Klein+Tools+31922+Bi-Metal+Hole+Saw%2C+1-3%2F8-Inch&amp;qid=1695174231&amp;sr=8-4", "https://www.amazon.com/Bi-Metal-8-Piece-Klein-Tools-31902/dp/B014WEBAO4/ref=sr_1_4?keywords=Klein+Tools+31922+Bi-Metal+Hole+Saw%2C+1-3%2F8-Inch&amp;qid=1695174231&amp;sr=8-4")</f>
        <v>https://www.amazon.com/Bi-Metal-8-Piece-Klein-Tools-31902/dp/B014WEBAO4/ref=sr_1_4?keywords=Klein+Tools+31922+Bi-Metal+Hole+Saw%2C+1-3%2F8-Inch&amp;qid=1695174231&amp;sr=8-4</v>
      </c>
      <c r="F2320" t="s">
        <v>6003</v>
      </c>
      <c r="G2320" t="e">
        <f ca="1">_xludf.IMAGE("https://edmondsonsupply.com/cdn/shop/products/31922.jpg?v=1663943738")</f>
        <v>#NAME?</v>
      </c>
      <c r="H2320" t="e">
        <f ca="1">_xludf.IMAGE("https://m.media-amazon.com/images/I/51JZIdZrBtL._AC_UL320_.jpg")</f>
        <v>#NAME?</v>
      </c>
      <c r="I2320" t="s">
        <v>2577</v>
      </c>
      <c r="J2320">
        <v>74.989999999999995</v>
      </c>
      <c r="K2320" s="4">
        <v>6.5065</v>
      </c>
      <c r="L2320">
        <v>4.2</v>
      </c>
      <c r="M2320">
        <v>124</v>
      </c>
      <c r="O2320" t="s">
        <v>25</v>
      </c>
      <c r="P2320" t="s">
        <v>1271</v>
      </c>
      <c r="Q2320" t="s">
        <v>6050</v>
      </c>
    </row>
    <row r="2321" spans="1:17" ht="15.5" x14ac:dyDescent="0.35">
      <c r="A2321"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2321" s="3" t="str">
        <f>HYPERLINK("https://edmondsonsupply.com/products/klein-tools-5141-canvas-bag-4-pk-brown-black-gray-red", "https://edmondsonsupply.com/products/klein-tools-5141-canvas-bag-4-pk-brown-black-gray-red")</f>
        <v>https://edmondsonsupply.com/products/klein-tools-5141-canvas-bag-4-pk-brown-black-gray-red</v>
      </c>
      <c r="C2321" t="s">
        <v>243</v>
      </c>
      <c r="D2321" t="s">
        <v>244</v>
      </c>
      <c r="E2321" s="3" t="str">
        <f>HYPERLINK("https://www.amazon.com/Klein-Tools-55473RTB-Rolling-Utility/dp/B0BC868BJY/ref=sr_1_8?keywords=Klein+Tools+5141+Zipper+Bags%2C+Canvas+Tool+Pouches+Brown%2FBlack%2FGray%2FRed%2C+4-Pack&amp;qid=1695173934&amp;sr=8-8", "https://www.amazon.com/Klein-Tools-55473RTB-Rolling-Utility/dp/B0BC868BJY/ref=sr_1_8?keywords=Klein+Tools+5141+Zipper+Bags%2C+Canvas+Tool+Pouches+Brown%2FBlack%2FGray%2FRed%2C+4-Pack&amp;qid=1695173934&amp;sr=8-8")</f>
        <v>https://www.amazon.com/Klein-Tools-55473RTB-Rolling-Utility/dp/B0BC868BJY/ref=sr_1_8?keywords=Klein+Tools+5141+Zipper+Bags%2C+Canvas+Tool+Pouches+Brown%2FBlack%2FGray%2FRed%2C+4-Pack&amp;qid=1695173934&amp;sr=8-8</v>
      </c>
      <c r="F2321" t="s">
        <v>245</v>
      </c>
      <c r="G2321" t="e">
        <f ca="1">_xludf.IMAGE("https://edmondsonsupply.com/cdn/shop/products/5141.jpg?v=1633030517")</f>
        <v>#NAME?</v>
      </c>
      <c r="H2321" t="e">
        <f ca="1">_xludf.IMAGE("https://m.media-amazon.com/images/I/5136Of2hQEL._AC_UL320_.jpg")</f>
        <v>#NAME?</v>
      </c>
      <c r="I2321" t="s">
        <v>246</v>
      </c>
      <c r="J2321">
        <v>298</v>
      </c>
      <c r="K2321" s="4">
        <v>6.4555999999999996</v>
      </c>
      <c r="L2321">
        <v>5</v>
      </c>
      <c r="M2321">
        <v>1</v>
      </c>
      <c r="O2321" t="s">
        <v>25</v>
      </c>
      <c r="P2321" t="s">
        <v>247</v>
      </c>
      <c r="Q2321" t="s">
        <v>248</v>
      </c>
    </row>
    <row r="2322" spans="1:17" ht="15.5" x14ac:dyDescent="0.35">
      <c r="A2322"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2322"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2322" t="s">
        <v>6051</v>
      </c>
      <c r="D2322" t="s">
        <v>1834</v>
      </c>
      <c r="E2322" s="3" t="str">
        <f>HYPERLINK("https://www.amazon.com/Klein-Tools-66070-Sockets-Adapters/dp/B0B33XLXD1/ref=sr_1_3?keywords=Klein+Tools+66079+Flip+Impact+Socket+Adapter%2C+Small%2C+1%2F4+to+1%2F4-Inch&amp;qid=1695173882&amp;sr=8-3", "https://www.amazon.com/Klein-Tools-66070-Sockets-Adapters/dp/B0B33XLXD1/ref=sr_1_3?keywords=Klein+Tools+66079+Flip+Impact+Socket+Adapter%2C+Small%2C+1%2F4+to+1%2F4-Inch&amp;qid=1695173882&amp;sr=8-3")</f>
        <v>https://www.amazon.com/Klein-Tools-66070-Sockets-Adapters/dp/B0B33XLXD1/ref=sr_1_3?keywords=Klein+Tools+66079+Flip+Impact+Socket+Adapter%2C+Small%2C+1%2F4+to+1%2F4-Inch&amp;qid=1695173882&amp;sr=8-3</v>
      </c>
      <c r="F2322" t="s">
        <v>2106</v>
      </c>
      <c r="G2322" t="e">
        <f ca="1">_xludf.IMAGE("https://edmondsonsupply.com/cdn/shop/products/66079.jpg?v=1669735923")</f>
        <v>#NAME?</v>
      </c>
      <c r="H2322" t="e">
        <f ca="1">_xludf.IMAGE("https://m.media-amazon.com/images/I/71D23SffznL._AC_UL320_.jpg")</f>
        <v>#NAME?</v>
      </c>
      <c r="I2322" t="s">
        <v>6052</v>
      </c>
      <c r="J2322">
        <v>49.97</v>
      </c>
      <c r="K2322" s="4">
        <v>6.2843</v>
      </c>
      <c r="L2322">
        <v>4.8</v>
      </c>
      <c r="M2322">
        <v>1158</v>
      </c>
      <c r="O2322" t="s">
        <v>25</v>
      </c>
      <c r="P2322" t="s">
        <v>6053</v>
      </c>
      <c r="Q2322" t="s">
        <v>6054</v>
      </c>
    </row>
    <row r="2323" spans="1:17" ht="15.5" x14ac:dyDescent="0.35">
      <c r="A2323"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2323" s="3" t="str">
        <f>HYPERLINK("https://edmondsonsupply.com/products/klein-tools-630-3-8m-3-8-magnetic-tip-nut-driver-3-hollow-shank", "https://edmondsonsupply.com/products/klein-tools-630-3-8m-3-8-magnetic-tip-nut-driver-3-hollow-shank")</f>
        <v>https://edmondsonsupply.com/products/klein-tools-630-3-8m-3-8-magnetic-tip-nut-driver-3-hollow-shank</v>
      </c>
      <c r="C2323" t="s">
        <v>6055</v>
      </c>
      <c r="D2323" t="s">
        <v>1685</v>
      </c>
      <c r="E2323" s="3" t="str">
        <f>HYPERLINK("https://www.amazon.com/Heavy-Duty-Driver-6-Piece-Klein-Tools/dp/B01DKNDHGM/ref=sr_1_4?keywords=Klein+Tools+630-3%2F8M+3%2F8-Inch+Magnetic+Tip+Nut+Driver&amp;qid=1695174153&amp;sr=8-4", "https://www.amazon.com/Heavy-Duty-Driver-6-Piece-Klein-Tools/dp/B01DKNDHGM/ref=sr_1_4?keywords=Klein+Tools+630-3%2F8M+3%2F8-Inch+Magnetic+Tip+Nut+Driver&amp;qid=1695174153&amp;sr=8-4")</f>
        <v>https://www.amazon.com/Heavy-Duty-Driver-6-Piece-Klein-Tools/dp/B01DKNDHGM/ref=sr_1_4?keywords=Klein+Tools+630-3%2F8M+3%2F8-Inch+Magnetic+Tip+Nut+Driver&amp;qid=1695174153&amp;sr=8-4</v>
      </c>
      <c r="F2323" t="s">
        <v>1686</v>
      </c>
      <c r="G2323" t="e">
        <f ca="1">_xludf.IMAGE("https://edmondsonsupply.com/cdn/shop/products/630-3-8m.jpg?v=1587145139")</f>
        <v>#NAME?</v>
      </c>
      <c r="H2323" t="e">
        <f ca="1">_xludf.IMAGE("https://m.media-amazon.com/images/I/61eypCy1RLL._AC_UL320_.jpg")</f>
        <v>#NAME?</v>
      </c>
      <c r="I2323" t="s">
        <v>6056</v>
      </c>
      <c r="J2323">
        <v>79.989999999999995</v>
      </c>
      <c r="K2323" s="4">
        <v>6.2784000000000004</v>
      </c>
      <c r="L2323">
        <v>4.7</v>
      </c>
      <c r="M2323">
        <v>943</v>
      </c>
      <c r="O2323" t="s">
        <v>25</v>
      </c>
      <c r="P2323" t="s">
        <v>6057</v>
      </c>
      <c r="Q2323" t="s">
        <v>6058</v>
      </c>
    </row>
    <row r="2324" spans="1:17" ht="15.5" x14ac:dyDescent="0.35">
      <c r="A2324"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2324" s="3" t="str">
        <f>HYPERLINK("https://edmondsonsupply.com/products/klein-tools-630-3-8m-3-8-magnetic-tip-nut-driver-3-hollow-shank", "https://edmondsonsupply.com/products/klein-tools-630-3-8m-3-8-magnetic-tip-nut-driver-3-hollow-shank")</f>
        <v>https://edmondsonsupply.com/products/klein-tools-630-3-8m-3-8-magnetic-tip-nut-driver-3-hollow-shank</v>
      </c>
      <c r="C2324" t="s">
        <v>6055</v>
      </c>
      <c r="D2324" t="s">
        <v>1691</v>
      </c>
      <c r="E2324" s="3" t="str">
        <f>HYPERLINK("https://www.amazon.com/Klein-Tools-647M-Magnetic-7-Piece/dp/B000MKIUYQ/ref=sr_1_6?keywords=Klein+Tools+630-3%2F8M+3%2F8-Inch+Magnetic+Tip+Nut+Driver&amp;qid=1695174153&amp;sr=8-6", "https://www.amazon.com/Klein-Tools-647M-Magnetic-7-Piece/dp/B000MKIUYQ/ref=sr_1_6?keywords=Klein+Tools+630-3%2F8M+3%2F8-Inch+Magnetic+Tip+Nut+Driver&amp;qid=1695174153&amp;sr=8-6")</f>
        <v>https://www.amazon.com/Klein-Tools-647M-Magnetic-7-Piece/dp/B000MKIUYQ/ref=sr_1_6?keywords=Klein+Tools+630-3%2F8M+3%2F8-Inch+Magnetic+Tip+Nut+Driver&amp;qid=1695174153&amp;sr=8-6</v>
      </c>
      <c r="F2324" t="s">
        <v>1692</v>
      </c>
      <c r="G2324" t="e">
        <f ca="1">_xludf.IMAGE("https://edmondsonsupply.com/cdn/shop/products/630-3-8m.jpg?v=1587145139")</f>
        <v>#NAME?</v>
      </c>
      <c r="H2324" t="e">
        <f ca="1">_xludf.IMAGE("https://m.media-amazon.com/images/I/61PNUE211uL._AC_UL320_.jpg")</f>
        <v>#NAME?</v>
      </c>
      <c r="I2324" t="s">
        <v>6056</v>
      </c>
      <c r="J2324">
        <v>79.989999999999995</v>
      </c>
      <c r="K2324" s="4">
        <v>6.2784000000000004</v>
      </c>
      <c r="L2324">
        <v>4.8</v>
      </c>
      <c r="M2324">
        <v>985</v>
      </c>
      <c r="O2324" t="s">
        <v>25</v>
      </c>
      <c r="P2324" t="s">
        <v>6057</v>
      </c>
      <c r="Q2324" t="s">
        <v>6058</v>
      </c>
    </row>
    <row r="2325" spans="1:17" ht="15.5" x14ac:dyDescent="0.35">
      <c r="A2325"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2325" s="3" t="str">
        <f>HYPERLINK("https://edmondsonsupply.com/products/klein-tools-646-1-4-1-4-inch-nut-driver-with-6-inch-hollow-shaft", "https://edmondsonsupply.com/products/klein-tools-646-1-4-1-4-inch-nut-driver-with-6-inch-hollow-shaft")</f>
        <v>https://edmondsonsupply.com/products/klein-tools-646-1-4-1-4-inch-nut-driver-with-6-inch-hollow-shaft</v>
      </c>
      <c r="C2325" t="s">
        <v>1478</v>
      </c>
      <c r="D2325" t="s">
        <v>1479</v>
      </c>
      <c r="E2325" s="3" t="str">
        <f>HYPERLINK("https://www.amazon.com/Driver-6-Inch-Klein-Tools-647/dp/B0014KRVXO/ref=sr_1_9?keywords=Klein+Tools+646-1%2F4+1%2F4-Inch+Nut+Driver+with+6-Inch+Hollow+Shaft&amp;qid=1695173897&amp;sr=8-9", "https://www.amazon.com/Driver-6-Inch-Klein-Tools-647/dp/B0014KRVXO/ref=sr_1_9?keywords=Klein+Tools+646-1%2F4+1%2F4-Inch+Nut+Driver+with+6-Inch+Hollow+Shaft&amp;qid=1695173897&amp;sr=8-9")</f>
        <v>https://www.amazon.com/Driver-6-Inch-Klein-Tools-647/dp/B0014KRVXO/ref=sr_1_9?keywords=Klein+Tools+646-1%2F4+1%2F4-Inch+Nut+Driver+with+6-Inch+Hollow+Shaft&amp;qid=1695173897&amp;sr=8-9</v>
      </c>
      <c r="F2325" t="s">
        <v>1480</v>
      </c>
      <c r="G2325" t="e">
        <f ca="1">_xludf.IMAGE("https://edmondsonsupply.com/cdn/shop/products/646-1-2_08d87fa9-eac4-4869-8d3b-bb680d4b1d53.jpg?v=1587150676")</f>
        <v>#NAME?</v>
      </c>
      <c r="H2325" t="e">
        <f ca="1">_xludf.IMAGE("https://m.media-amazon.com/images/I/51usUk-EpGL._AC_UL320_.jpg")</f>
        <v>#NAME?</v>
      </c>
      <c r="I2325" t="s">
        <v>1003</v>
      </c>
      <c r="J2325">
        <v>57.99</v>
      </c>
      <c r="K2325" s="4">
        <v>6.2577999999999996</v>
      </c>
      <c r="L2325">
        <v>4.8</v>
      </c>
      <c r="M2325">
        <v>735</v>
      </c>
      <c r="O2325" t="s">
        <v>25</v>
      </c>
      <c r="P2325" t="s">
        <v>1481</v>
      </c>
      <c r="Q2325" t="s">
        <v>1482</v>
      </c>
    </row>
    <row r="2326" spans="1:17" ht="15.5" x14ac:dyDescent="0.35">
      <c r="A2326"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2326"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2326" t="s">
        <v>6059</v>
      </c>
      <c r="D2326" t="s">
        <v>6060</v>
      </c>
      <c r="E2326" s="3" t="str">
        <f>HYPERLINK("https://www.amazon.com/Komelon-Monster-MagGrip-Rubberized-Magnetic/dp/B00377BZL6/ref=sr_1_5?keywords=Komelon+7325+25%27+X+1%22+MagGrip%E2%84%A2+SpeedMark%E2%84%A2%2C+Magnetic+Tape+Measure&amp;qid=1695174274&amp;sr=8-5", "https://www.amazon.com/Komelon-Monster-MagGrip-Rubberized-Magnetic/dp/B00377BZL6/ref=sr_1_5?keywords=Komelon+7325+25%27+X+1%22+MagGrip%E2%84%A2+SpeedMark%E2%84%A2%2C+Magnetic+Tape+Measure&amp;qid=1695174274&amp;sr=8-5")</f>
        <v>https://www.amazon.com/Komelon-Monster-MagGrip-Rubberized-Magnetic/dp/B00377BZL6/ref=sr_1_5?keywords=Komelon+7325+25%27+X+1%22+MagGrip%E2%84%A2+SpeedMark%E2%84%A2%2C+Magnetic+Tape+Measure&amp;qid=1695174274&amp;sr=8-5</v>
      </c>
      <c r="F2326" t="s">
        <v>6061</v>
      </c>
      <c r="G2326" t="e">
        <f ca="1">_xludf.IMAGE("https://edmondsonsupply.com/cdn/shop/products/7325_angleExtended.jpg?v=1633030981")</f>
        <v>#NAME?</v>
      </c>
      <c r="H2326" t="e">
        <f ca="1">_xludf.IMAGE("https://m.media-amazon.com/images/I/61y2m37vFJL._AC_UL320_.jpg")</f>
        <v>#NAME?</v>
      </c>
      <c r="I2326" t="s">
        <v>288</v>
      </c>
      <c r="J2326">
        <v>98.38</v>
      </c>
      <c r="K2326" s="4">
        <v>6.0321999999999996</v>
      </c>
      <c r="L2326">
        <v>4.2</v>
      </c>
      <c r="M2326">
        <v>7</v>
      </c>
      <c r="O2326" t="s">
        <v>25</v>
      </c>
      <c r="P2326" t="s">
        <v>138</v>
      </c>
      <c r="Q2326" t="s">
        <v>6062</v>
      </c>
    </row>
    <row r="2327" spans="1:17" ht="15.5" x14ac:dyDescent="0.35">
      <c r="A2327"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2327" s="3" t="str">
        <f>HYPERLINK("https://edmondsonsupply.com/products/klein-tools-630-3-8m-3-8-magnetic-tip-nut-driver-3-hollow-shank", "https://edmondsonsupply.com/products/klein-tools-630-3-8m-3-8-magnetic-tip-nut-driver-3-hollow-shank")</f>
        <v>https://edmondsonsupply.com/products/klein-tools-630-3-8m-3-8-magnetic-tip-nut-driver-3-hollow-shank</v>
      </c>
      <c r="C2327" t="s">
        <v>6055</v>
      </c>
      <c r="D2327" t="s">
        <v>6063</v>
      </c>
      <c r="E2327" s="3" t="str">
        <f>HYPERLINK("https://www.amazon.com/Driver-Magnetic-3-Inch-Hollow-Klein/dp/B001BQ0DNG/ref=sr_1_3?keywords=Klein+Tools+630-3%2F8M+3%2F8-Inch+Magnetic+Tip+Nut+Driver&amp;qid=1695174153&amp;sr=8-3", "https://www.amazon.com/Driver-Magnetic-3-Inch-Hollow-Klein/dp/B001BQ0DNG/ref=sr_1_3?keywords=Klein+Tools+630-3%2F8M+3%2F8-Inch+Magnetic+Tip+Nut+Driver&amp;qid=1695174153&amp;sr=8-3")</f>
        <v>https://www.amazon.com/Driver-Magnetic-3-Inch-Hollow-Klein/dp/B001BQ0DNG/ref=sr_1_3?keywords=Klein+Tools+630-3%2F8M+3%2F8-Inch+Magnetic+Tip+Nut+Driver&amp;qid=1695174153&amp;sr=8-3</v>
      </c>
      <c r="F2327" t="s">
        <v>6064</v>
      </c>
      <c r="G2327" t="e">
        <f ca="1">_xludf.IMAGE("https://edmondsonsupply.com/cdn/shop/products/630-3-8m.jpg?v=1587145139")</f>
        <v>#NAME?</v>
      </c>
      <c r="H2327" t="e">
        <f ca="1">_xludf.IMAGE("https://m.media-amazon.com/images/I/61pMsoh2smL._AC_UL320_.jpg")</f>
        <v>#NAME?</v>
      </c>
      <c r="I2327" t="s">
        <v>6056</v>
      </c>
      <c r="J2327">
        <v>74.989999999999995</v>
      </c>
      <c r="K2327" s="4">
        <v>5.8235000000000001</v>
      </c>
      <c r="L2327">
        <v>4.8</v>
      </c>
      <c r="M2327">
        <v>1147</v>
      </c>
      <c r="O2327" t="s">
        <v>25</v>
      </c>
      <c r="P2327" t="s">
        <v>6057</v>
      </c>
      <c r="Q2327" t="s">
        <v>6058</v>
      </c>
    </row>
    <row r="2328" spans="1:17" ht="15.5" x14ac:dyDescent="0.35">
      <c r="A2328"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2328" s="3" t="str">
        <f>HYPERLINK("https://edmondsonsupply.com/products/klein-tools-vdv500-123-probe-pro-tracing-probe", "https://edmondsonsupply.com/products/klein-tools-vdv500-123-probe-pro-tracing-probe")</f>
        <v>https://edmondsonsupply.com/products/klein-tools-vdv500-123-probe-pro-tracing-probe</v>
      </c>
      <c r="C2328" t="s">
        <v>6065</v>
      </c>
      <c r="D2328" t="s">
        <v>6066</v>
      </c>
      <c r="E2328" s="3" t="str">
        <f>HYPERLINK("https://www.amazon.com/Klein-Tools-VDV501-853-CoaxialCable-Test-n-Map/dp/B09T71M6ZZ/ref=sr_1_8?keywords=Klein+Tools+VDV500-123+Probe-PRO+Tracing+Probe&amp;qid=1695173898&amp;sr=8-8", "https://www.amazon.com/Klein-Tools-VDV501-853-CoaxialCable-Test-n-Map/dp/B09T71M6ZZ/ref=sr_1_8?keywords=Klein+Tools+VDV500-123+Probe-PRO+Tracing+Probe&amp;qid=1695173898&amp;sr=8-8")</f>
        <v>https://www.amazon.com/Klein-Tools-VDV501-853-CoaxialCable-Test-n-Map/dp/B09T71M6ZZ/ref=sr_1_8?keywords=Klein+Tools+VDV500-123+Probe-PRO+Tracing+Probe&amp;qid=1695173898&amp;sr=8-8</v>
      </c>
      <c r="F2328" t="s">
        <v>6067</v>
      </c>
      <c r="G2328" t="e">
        <f ca="1">_xludf.IMAGE("https://edmondsonsupply.com/cdn/shop/products/vdv500123.jpg?v=1587142783")</f>
        <v>#NAME?</v>
      </c>
      <c r="H2328" t="e">
        <f ca="1">_xludf.IMAGE("https://m.media-amazon.com/images/I/51SXmtw0RaL._AC_UY218_.jpg")</f>
        <v>#NAME?</v>
      </c>
      <c r="I2328" t="s">
        <v>946</v>
      </c>
      <c r="J2328">
        <v>304.98</v>
      </c>
      <c r="K2328" s="4">
        <v>5.7788000000000004</v>
      </c>
      <c r="L2328">
        <v>4.2</v>
      </c>
      <c r="M2328">
        <v>7</v>
      </c>
      <c r="O2328" t="s">
        <v>25</v>
      </c>
      <c r="P2328" t="s">
        <v>6068</v>
      </c>
      <c r="Q2328" t="s">
        <v>6069</v>
      </c>
    </row>
    <row r="2329" spans="1:17" ht="15.5" x14ac:dyDescent="0.35">
      <c r="A2329"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2329" s="3" t="str">
        <f>HYPERLINK("https://edmondsonsupply.com/products/diablo-tools-d0624x-6-1-2-in-24-tooth-framing-saw-blade", "https://edmondsonsupply.com/products/diablo-tools-d0624x-6-1-2-in-24-tooth-framing-saw-blade")</f>
        <v>https://edmondsonsupply.com/products/diablo-tools-d0624x-6-1-2-in-24-tooth-framing-saw-blade</v>
      </c>
      <c r="C2329" t="s">
        <v>6070</v>
      </c>
      <c r="D2329" t="s">
        <v>6071</v>
      </c>
      <c r="E2329" s="3" t="str">
        <f>HYPERLINK("https://www.amazon.com/Freud-D0624A-Perma-Shield-Framing-10-Pack/dp/B00USCET84/ref=sr_1_10?keywords=Diablo+Tools+D0624X+6-1%2F2+in.+24-Tooth+Framing+Saw+Blade&amp;qid=1695174066&amp;sr=8-10", "https://www.amazon.com/Freud-D0624A-Perma-Shield-Framing-10-Pack/dp/B00USCET84/ref=sr_1_10?keywords=Diablo+Tools+D0624X+6-1%2F2+in.+24-Tooth+Framing+Saw+Blade&amp;qid=1695174066&amp;sr=8-10")</f>
        <v>https://www.amazon.com/Freud-D0624A-Perma-Shield-Framing-10-Pack/dp/B00USCET84/ref=sr_1_10?keywords=Diablo+Tools+D0624X+6-1%2F2+in.+24-Tooth+Framing+Saw+Blade&amp;qid=1695174066&amp;sr=8-10</v>
      </c>
      <c r="F2329" t="s">
        <v>6072</v>
      </c>
      <c r="G2329" t="e">
        <f ca="1">_xludf.IMAGE("https://edmondsonsupply.com/cdn/shop/products/mfin0gl4ono6qztsnrth.webp?v=1678982694")</f>
        <v>#NAME?</v>
      </c>
      <c r="H2329" t="e">
        <f ca="1">_xludf.IMAGE("https://m.media-amazon.com/images/I/71vnuUdm-FL._AC_UL320_.jpg")</f>
        <v>#NAME?</v>
      </c>
      <c r="I2329" t="s">
        <v>6073</v>
      </c>
      <c r="J2329">
        <v>80.95</v>
      </c>
      <c r="K2329" s="4">
        <v>5.7626999999999997</v>
      </c>
      <c r="L2329">
        <v>4.7</v>
      </c>
      <c r="M2329">
        <v>230</v>
      </c>
      <c r="O2329" t="s">
        <v>25</v>
      </c>
      <c r="P2329" t="s">
        <v>6074</v>
      </c>
      <c r="Q2329" t="s">
        <v>6075</v>
      </c>
    </row>
    <row r="2330" spans="1:17" ht="15.5" x14ac:dyDescent="0.35">
      <c r="A2330"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2330"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2330" t="s">
        <v>6076</v>
      </c>
      <c r="D2330" t="s">
        <v>6077</v>
      </c>
      <c r="E2330" s="3" t="str">
        <f>HYPERLINK("https://www.amazon.com/Klein-Tools-94130-Insulated-Screwdriver/dp/B088V99QGG/ref=sr_1_8?keywords=Klein+Tools+6926INS+Slim-Tip+1000V+Insulated+Screwdriver%2C+1%2F4-Inch+Cabinet%2C+6-Inch&amp;qid=1695174185&amp;sr=8-8", "https://www.amazon.com/Klein-Tools-94130-Insulated-Screwdriver/dp/B088V99QGG/ref=sr_1_8?keywords=Klein+Tools+6926INS+Slim-Tip+1000V+Insulated+Screwdriver%2C+1%2F4-Inch+Cabinet%2C+6-Inch&amp;qid=1695174185&amp;sr=8-8")</f>
        <v>https://www.amazon.com/Klein-Tools-94130-Insulated-Screwdriver/dp/B088V99QGG/ref=sr_1_8?keywords=Klein+Tools+6926INS+Slim-Tip+1000V+Insulated+Screwdriver%2C+1%2F4-Inch+Cabinet%2C+6-Inch&amp;qid=1695174185&amp;sr=8-8</v>
      </c>
      <c r="F2330" t="s">
        <v>6078</v>
      </c>
      <c r="G2330" t="e">
        <f ca="1">_xludf.IMAGE("https://edmondsonsupply.com/cdn/shop/products/6926ins.jpg?v=1664803626")</f>
        <v>#NAME?</v>
      </c>
      <c r="H2330" t="e">
        <f ca="1">_xludf.IMAGE("https://m.media-amazon.com/images/I/61m+izyWx1L._AC_UL320_.jpg")</f>
        <v>#NAME?</v>
      </c>
      <c r="I2330" t="s">
        <v>276</v>
      </c>
      <c r="J2330">
        <v>99.99</v>
      </c>
      <c r="K2330" s="4">
        <v>5.6703999999999999</v>
      </c>
      <c r="L2330">
        <v>4.8</v>
      </c>
      <c r="M2330">
        <v>1521</v>
      </c>
      <c r="O2330" t="s">
        <v>25</v>
      </c>
      <c r="P2330" t="s">
        <v>277</v>
      </c>
      <c r="Q2330" t="s">
        <v>6079</v>
      </c>
    </row>
    <row r="2331" spans="1:17" ht="15.5" x14ac:dyDescent="0.35">
      <c r="A2331"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331" s="3" t="str">
        <f>HYPERLINK("https://edmondsonsupply.com/products/klein-tools-et45-ac-dc-voltage-tester", "https://edmondsonsupply.com/products/klein-tools-et45-ac-dc-voltage-tester")</f>
        <v>https://edmondsonsupply.com/products/klein-tools-et45-ac-dc-voltage-tester</v>
      </c>
      <c r="C2331" t="s">
        <v>6080</v>
      </c>
      <c r="D2331" t="s">
        <v>6081</v>
      </c>
      <c r="E2331" s="3" t="str">
        <f>HYPERLINK("https://www.amazon.com/Auto-Ranging-Resistance-Klein-Tools-CL600/dp/B019QMRR08/ref=sr_1_4?keywords=Klein+Tools+ET45+AC%2FDC+Voltage+Tester&amp;qid=1695174290&amp;sr=8-4", "https://www.amazon.com/Auto-Ranging-Resistance-Klein-Tools-CL600/dp/B019QMRR08/ref=sr_1_4?keywords=Klein+Tools+ET45+AC%2FDC+Voltage+Tester&amp;qid=1695174290&amp;sr=8-4")</f>
        <v>https://www.amazon.com/Auto-Ranging-Resistance-Klein-Tools-CL600/dp/B019QMRR08/ref=sr_1_4?keywords=Klein+Tools+ET45+AC%2FDC+Voltage+Tester&amp;qid=1695174290&amp;sr=8-4</v>
      </c>
      <c r="F2331" t="s">
        <v>6082</v>
      </c>
      <c r="G2331" t="e">
        <f ca="1">_xludf.IMAGE("https://edmondsonsupply.com/cdn/shop/products/et45.jpg?v=1647786270")</f>
        <v>#NAME?</v>
      </c>
      <c r="H2331" t="e">
        <f ca="1">_xludf.IMAGE("https://m.media-amazon.com/images/I/710JKvq4MxL._AC_UL320_.jpg")</f>
        <v>#NAME?</v>
      </c>
      <c r="I2331" t="s">
        <v>2337</v>
      </c>
      <c r="J2331">
        <v>79.97</v>
      </c>
      <c r="K2331" s="4">
        <v>5.6696999999999997</v>
      </c>
      <c r="L2331">
        <v>4.7</v>
      </c>
      <c r="M2331">
        <v>707</v>
      </c>
      <c r="O2331" t="s">
        <v>25</v>
      </c>
      <c r="P2331" t="s">
        <v>6083</v>
      </c>
      <c r="Q2331" t="s">
        <v>6084</v>
      </c>
    </row>
    <row r="2332" spans="1:17" ht="15.5" x14ac:dyDescent="0.35">
      <c r="A2332" s="3" t="str">
        <f>HYPERLINK("https://edmondsonsupply.com/collections/electricians-tools/products/klein-tools-58889", "https://edmondsonsupply.com/collections/electricians-tools/products/klein-tools-58889")</f>
        <v>https://edmondsonsupply.com/collections/electricians-tools/products/klein-tools-58889</v>
      </c>
      <c r="B2332" s="3" t="str">
        <f>HYPERLINK("https://edmondsonsupply.com/products/klein-tools-58889", "https://edmondsonsupply.com/products/klein-tools-58889")</f>
        <v>https://edmondsonsupply.com/products/klein-tools-58889</v>
      </c>
      <c r="C2332" t="s">
        <v>249</v>
      </c>
      <c r="D2332" t="s">
        <v>250</v>
      </c>
      <c r="E2332" s="3" t="str">
        <f>HYPERLINK("https://www.amazon.com/Shoulder-Handles-Klein-Tools-55431/dp/B00MJNWO82/ref=sr_1_8?keywords=Klein+Tools+58889+Padded+Adjustable+Shoulder+Strap&amp;qid=1695174137&amp;sr=8-8", "https://www.amazon.com/Shoulder-Handles-Klein-Tools-55431/dp/B00MJNWO82/ref=sr_1_8?keywords=Klein+Tools+58889+Padded+Adjustable+Shoulder+Strap&amp;qid=1695174137&amp;sr=8-8")</f>
        <v>https://www.amazon.com/Shoulder-Handles-Klein-Tools-55431/dp/B00MJNWO82/ref=sr_1_8?keywords=Klein+Tools+58889+Padded+Adjustable+Shoulder+Strap&amp;qid=1695174137&amp;sr=8-8</v>
      </c>
      <c r="F2332" t="s">
        <v>251</v>
      </c>
      <c r="G2332" t="e">
        <f ca="1">_xludf.IMAGE("https://edmondsonsupply.com/cdn/shop/products/58889.jpg?v=1665591140")</f>
        <v>#NAME?</v>
      </c>
      <c r="H2332" t="e">
        <f ca="1">_xludf.IMAGE("https://m.media-amazon.com/images/I/71tbNRyKA9L._AC_UL320_.jpg")</f>
        <v>#NAME?</v>
      </c>
      <c r="I2332" t="s">
        <v>252</v>
      </c>
      <c r="J2332">
        <v>104.8</v>
      </c>
      <c r="K2332" s="4">
        <v>5.5541</v>
      </c>
      <c r="L2332">
        <v>4.5999999999999996</v>
      </c>
      <c r="M2332">
        <v>447</v>
      </c>
      <c r="O2332" t="s">
        <v>25</v>
      </c>
      <c r="P2332" t="s">
        <v>253</v>
      </c>
      <c r="Q2332" t="s">
        <v>254</v>
      </c>
    </row>
    <row r="2333" spans="1:17" ht="15.5" x14ac:dyDescent="0.35">
      <c r="A2333"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2333" s="3" t="str">
        <f>HYPERLINK("https://edmondsonsupply.com/products/klein-tools-66076-flip-impact-socket-9-16-and-1-2-inch", "https://edmondsonsupply.com/products/klein-tools-66076-flip-impact-socket-9-16-and-1-2-inch")</f>
        <v>https://edmondsonsupply.com/products/klein-tools-66076-flip-impact-socket-9-16-and-1-2-inch</v>
      </c>
      <c r="C2333" t="s">
        <v>6085</v>
      </c>
      <c r="D2333" t="s">
        <v>1834</v>
      </c>
      <c r="E2333" s="3" t="str">
        <f>HYPERLINK("https://www.amazon.com/Klein-Tools-66070-Impact-7-Piece/dp/B0BGZPWNJQ/ref=sr_1_3?keywords=Klein+Tools+66076+Flip+Impact+Socket%2C+9%2F16+and+1%2F2-Inch&amp;qid=1695174172&amp;sr=8-3", "https://www.amazon.com/Klein-Tools-66070-Impact-7-Piece/dp/B0BGZPWNJQ/ref=sr_1_3?keywords=Klein+Tools+66076+Flip+Impact+Socket%2C+9%2F16+and+1%2F2-Inch&amp;qid=1695174172&amp;sr=8-3")</f>
        <v>https://www.amazon.com/Klein-Tools-66070-Impact-7-Piece/dp/B0BGZPWNJQ/ref=sr_1_3?keywords=Klein+Tools+66076+Flip+Impact+Socket%2C+9%2F16+and+1%2F2-Inch&amp;qid=1695174172&amp;sr=8-3</v>
      </c>
      <c r="F2333" t="s">
        <v>1835</v>
      </c>
      <c r="G2333" t="e">
        <f ca="1">_xludf.IMAGE("https://edmondsonsupply.com/cdn/shop/products/66076.jpg?v=1663083814")</f>
        <v>#NAME?</v>
      </c>
      <c r="H2333" t="e">
        <f ca="1">_xludf.IMAGE("https://m.media-amazon.com/images/I/519cDb-A9oL._AC_UL320_.jpg")</f>
        <v>#NAME?</v>
      </c>
      <c r="I2333" t="s">
        <v>6086</v>
      </c>
      <c r="J2333">
        <v>69.959999999999994</v>
      </c>
      <c r="K2333" s="4">
        <v>5.5321999999999996</v>
      </c>
      <c r="L2333">
        <v>4.8</v>
      </c>
      <c r="M2333">
        <v>18</v>
      </c>
      <c r="O2333" t="s">
        <v>25</v>
      </c>
      <c r="P2333" t="s">
        <v>6087</v>
      </c>
      <c r="Q2333" t="s">
        <v>6088</v>
      </c>
    </row>
    <row r="2334" spans="1:17" ht="15.5" x14ac:dyDescent="0.35">
      <c r="A2334"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2334" s="3" t="str">
        <f>HYPERLINK("https://edmondsonsupply.com/products/klein-tools-69381-heavy-duty-alligator-clip-test-leads-3-foot", "https://edmondsonsupply.com/products/klein-tools-69381-heavy-duty-alligator-clip-test-leads-3-foot")</f>
        <v>https://edmondsonsupply.com/products/klein-tools-69381-heavy-duty-alligator-clip-test-leads-3-foot</v>
      </c>
      <c r="C2334" t="s">
        <v>6089</v>
      </c>
      <c r="D2334" t="s">
        <v>6090</v>
      </c>
      <c r="E2334" s="3" t="str">
        <f>HYPERLINK("https://www.amazon.com/Klein-Tools-Alligator-Heavy-Duty-Replacement/dp/B0CF2GZK45/ref=sr_1_8?keywords=Klein+Tools+69381+Heavy-Duty+Alligator+Clip+Test+Leads%2C+3-Foot&amp;qid=1695174138&amp;sr=8-8", "https://www.amazon.com/Klein-Tools-Alligator-Heavy-Duty-Replacement/dp/B0CF2GZK45/ref=sr_1_8?keywords=Klein+Tools+69381+Heavy-Duty+Alligator+Clip+Test+Leads%2C+3-Foot&amp;qid=1695174138&amp;sr=8-8")</f>
        <v>https://www.amazon.com/Klein-Tools-Alligator-Heavy-Duty-Replacement/dp/B0CF2GZK45/ref=sr_1_8?keywords=Klein+Tools+69381+Heavy-Duty+Alligator+Clip+Test+Leads%2C+3-Foot&amp;qid=1695174138&amp;sr=8-8</v>
      </c>
      <c r="F2334" t="s">
        <v>6091</v>
      </c>
      <c r="G2334" t="e">
        <f ca="1">_xludf.IMAGE("https://edmondsonsupply.com/cdn/shop/products/69381_photo.jpg?v=1666889006")</f>
        <v>#NAME?</v>
      </c>
      <c r="H2334" t="e">
        <f ca="1">_xludf.IMAGE("https://m.media-amazon.com/images/I/51Ex-IV+JwL._AC_UY218_.jpg")</f>
        <v>#NAME?</v>
      </c>
      <c r="I2334" t="s">
        <v>276</v>
      </c>
      <c r="J2334">
        <v>95.87</v>
      </c>
      <c r="K2334" s="4">
        <v>5.3956</v>
      </c>
      <c r="L2334">
        <v>4.5999999999999996</v>
      </c>
      <c r="M2334">
        <v>1097</v>
      </c>
      <c r="O2334" t="s">
        <v>25</v>
      </c>
      <c r="P2334" t="s">
        <v>277</v>
      </c>
      <c r="Q2334" t="s">
        <v>6092</v>
      </c>
    </row>
    <row r="2335" spans="1:17" ht="15.5" x14ac:dyDescent="0.35">
      <c r="A2335"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2335" s="3" t="str">
        <f>HYPERLINK("https://edmondsonsupply.com/products/klein-tools-65200-electricians-mini-ratchet-set-5-piece", "https://edmondsonsupply.com/products/klein-tools-65200-electricians-mini-ratchet-set-5-piece")</f>
        <v>https://edmondsonsupply.com/products/klein-tools-65200-electricians-mini-ratchet-set-5-piece</v>
      </c>
      <c r="C2335" t="s">
        <v>140</v>
      </c>
      <c r="D2335" t="s">
        <v>141</v>
      </c>
      <c r="E2335" s="3" t="str">
        <f>HYPERLINK("https://www.amazon.com/KNIPEX-Tools-9K0080121US-Ratchet-Phillips/dp/B0C9ZYJDDN/ref=sr_1_5?keywords=Klein+Tools+65200+Slim-Profile+Mini+Ratchet+Set%2C+5-Piece&amp;qid=1695173845&amp;sr=8-5", "https://www.amazon.com/KNIPEX-Tools-9K0080121US-Ratchet-Phillips/dp/B0C9ZYJDDN/ref=sr_1_5?keywords=Klein+Tools+65200+Slim-Profile+Mini+Ratchet+Set%2C+5-Piece&amp;qid=1695173845&amp;sr=8-5")</f>
        <v>https://www.amazon.com/KNIPEX-Tools-9K0080121US-Ratchet-Phillips/dp/B0C9ZYJDDN/ref=sr_1_5?keywords=Klein+Tools+65200+Slim-Profile+Mini+Ratchet+Set%2C+5-Piece&amp;qid=1695173845&amp;sr=8-5</v>
      </c>
      <c r="F2335" t="s">
        <v>142</v>
      </c>
      <c r="G2335" t="e">
        <f ca="1">_xludf.IMAGE("https://edmondsonsupply.com/cdn/shop/products/65200.jpg?v=1633030630")</f>
        <v>#NAME?</v>
      </c>
      <c r="H2335" t="e">
        <f ca="1">_xludf.IMAGE("https://m.media-amazon.com/images/I/516RxJHqDiL._AC_UL320_.jpg")</f>
        <v>#NAME?</v>
      </c>
      <c r="I2335" t="s">
        <v>143</v>
      </c>
      <c r="J2335">
        <v>100.02</v>
      </c>
      <c r="K2335" s="4">
        <v>5.2629999999999999</v>
      </c>
      <c r="L2335">
        <v>4.8</v>
      </c>
      <c r="M2335">
        <v>1148</v>
      </c>
      <c r="O2335" t="s">
        <v>25</v>
      </c>
      <c r="P2335" t="s">
        <v>144</v>
      </c>
      <c r="Q2335" t="s">
        <v>145</v>
      </c>
    </row>
    <row r="2336" spans="1:17" ht="15.5" x14ac:dyDescent="0.35">
      <c r="A2336" s="3" t="str">
        <f>HYPERLINK("https://edmondsonsupply.com/collections/electricians-tools/products/tajima-vrb2-5b-v-rex%E2%84%A2-ii-premium-tempered-steel-utility-knife-blades-5-blade-pack", "https://edmondsonsupply.com/collections/electricians-tools/products/tajima-vrb2-5b-v-rex%E2%84%A2-ii-premium-tempered-steel-utility-knife-blades-5-blade-pack")</f>
        <v>https://edmondsonsupply.com/collections/electricians-tools/products/tajima-vrb2-5b-v-rex%E2%84%A2-ii-premium-tempered-steel-utility-knife-blades-5-blade-pack</v>
      </c>
      <c r="B2336" s="3" t="str">
        <f>HYPERLINK("https://edmondsonsupply.com/products/tajima-vrb2-5b-v-rex%e2%84%a2-ii-premium-tempered-steel-utility-knife-blades-5-blade-pack", "https://edmondsonsupply.com/products/tajima-vrb2-5b-v-rex%e2%84%a2-ii-premium-tempered-steel-utility-knife-blades-5-blade-pack")</f>
        <v>https://edmondsonsupply.com/products/tajima-vrb2-5b-v-rex%e2%84%a2-ii-premium-tempered-steel-utility-knife-blades-5-blade-pack</v>
      </c>
      <c r="C2336" t="s">
        <v>5999</v>
      </c>
      <c r="D2336" t="s">
        <v>6093</v>
      </c>
      <c r="E2336" s="3" t="str">
        <f>HYPERLINK("https://www.amazon.com/Tajima-VRB2-50B-Premium-Tempered-Utility/dp/B00PX98JT2/ref=sr_1_3?keywords=Tajima+VRB2-5B+V-REX%E2%84%A2+II%2C+Premium+Tempered+Steel+Utility+Knife+Blades%2C+5-Blade+Pack&amp;qid=1695174251&amp;sr=8-3", "https://www.amazon.com/Tajima-VRB2-50B-Premium-Tempered-Utility/dp/B00PX98JT2/ref=sr_1_3?keywords=Tajima+VRB2-5B+V-REX%E2%84%A2+II%2C+Premium+Tempered+Steel+Utility+Knife+Blades%2C+5-Blade+Pack&amp;qid=1695174251&amp;sr=8-3")</f>
        <v>https://www.amazon.com/Tajima-VRB2-50B-Premium-Tempered-Utility/dp/B00PX98JT2/ref=sr_1_3?keywords=Tajima+VRB2-5B+V-REX%E2%84%A2+II%2C+Premium+Tempered+Steel+Utility+Knife+Blades%2C+5-Blade+Pack&amp;qid=1695174251&amp;sr=8-3</v>
      </c>
      <c r="F2336" t="s">
        <v>6094</v>
      </c>
      <c r="G2336" t="e">
        <f ca="1">_xludf.IMAGE("https://edmondsonsupply.com/cdn/shop/products/VRB2-5B.jpg?v=1633031167")</f>
        <v>#NAME?</v>
      </c>
      <c r="H2336" t="e">
        <f ca="1">_xludf.IMAGE("https://m.media-amazon.com/images/I/81TEYMuPR7L._AC_UL320_.jpg")</f>
        <v>#NAME?</v>
      </c>
      <c r="I2336" t="s">
        <v>1386</v>
      </c>
      <c r="J2336">
        <v>21.83</v>
      </c>
      <c r="K2336" s="4">
        <v>5.2549999999999999</v>
      </c>
      <c r="L2336">
        <v>4.7</v>
      </c>
      <c r="M2336">
        <v>122</v>
      </c>
      <c r="O2336" t="s">
        <v>25</v>
      </c>
      <c r="P2336" t="s">
        <v>138</v>
      </c>
      <c r="Q2336" t="s">
        <v>6000</v>
      </c>
    </row>
    <row r="2337" spans="1:17" ht="15.5" x14ac:dyDescent="0.35">
      <c r="A2337" s="3" t="str">
        <f>HYPERLINK("https://edmondsonsupply.com/collections/electricians-tools/products/greenlee-609-3-4-foam-conduit-piston", "https://edmondsonsupply.com/collections/electricians-tools/products/greenlee-609-3-4-foam-conduit-piston")</f>
        <v>https://edmondsonsupply.com/collections/electricians-tools/products/greenlee-609-3-4-foam-conduit-piston</v>
      </c>
      <c r="B2337" s="3" t="str">
        <f>HYPERLINK("https://edmondsonsupply.com/products/greenlee-609-3-4-foam-conduit-piston", "https://edmondsonsupply.com/products/greenlee-609-3-4-foam-conduit-piston")</f>
        <v>https://edmondsonsupply.com/products/greenlee-609-3-4-foam-conduit-piston</v>
      </c>
      <c r="C2337" t="s">
        <v>6095</v>
      </c>
      <c r="D2337" t="s">
        <v>6096</v>
      </c>
      <c r="E2337" s="3" t="str">
        <f>HYPERLINK("https://www.amazon.com/Greenlee-609-5-Piston-Conduit/dp/B01N55WU6M/ref=sr_1_2?keywords=Greenlee+609+3%2F4%22+Foam+Conduit+Piston&amp;qid=1695174000&amp;sr=8-2", "https://www.amazon.com/Greenlee-609-5-Piston-Conduit/dp/B01N55WU6M/ref=sr_1_2?keywords=Greenlee+609+3%2F4%22+Foam+Conduit+Piston&amp;qid=1695174000&amp;sr=8-2")</f>
        <v>https://www.amazon.com/Greenlee-609-5-Piston-Conduit/dp/B01N55WU6M/ref=sr_1_2?keywords=Greenlee+609+3%2F4%22+Foam+Conduit+Piston&amp;qid=1695174000&amp;sr=8-2</v>
      </c>
      <c r="F2337" t="s">
        <v>6097</v>
      </c>
      <c r="G2337" t="e">
        <f ca="1">_xludf.IMAGE("https://edmondsonsupply.com/cdn/shop/files/Greenlee-609_1.webp?v=1687448329")</f>
        <v>#NAME?</v>
      </c>
      <c r="H2337" t="e">
        <f ca="1">_xludf.IMAGE("https://m.media-amazon.com/images/I/51WubMHvWfL._AC_UL320_.jpg")</f>
        <v>#NAME?</v>
      </c>
      <c r="I2337" t="s">
        <v>6098</v>
      </c>
      <c r="J2337">
        <v>41.85</v>
      </c>
      <c r="K2337" s="4">
        <v>5.1364000000000001</v>
      </c>
      <c r="L2337">
        <v>5</v>
      </c>
      <c r="M2337">
        <v>1</v>
      </c>
      <c r="O2337" t="s">
        <v>25</v>
      </c>
      <c r="P2337" t="s">
        <v>138</v>
      </c>
      <c r="Q2337" t="s">
        <v>6099</v>
      </c>
    </row>
    <row r="2338" spans="1:17" ht="15.5" x14ac:dyDescent="0.35">
      <c r="A2338"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2338" s="3" t="str">
        <f>HYPERLINK("https://edmondsonsupply.com/products/klein-tools-51611-1-2-inch-angle-setter%e2%84%a2", "https://edmondsonsupply.com/products/klein-tools-51611-1-2-inch-angle-setter%e2%84%a2")</f>
        <v>https://edmondsonsupply.com/products/klein-tools-51611-1-2-inch-angle-setter%e2%84%a2</v>
      </c>
      <c r="C2338" t="s">
        <v>6100</v>
      </c>
      <c r="D2338" t="s">
        <v>6101</v>
      </c>
      <c r="E2338" s="3" t="str">
        <f>HYPERLINK("https://www.amazon.com/Klein-Tools-51603-Conduit-Features/dp/B08W6GJTHW/ref=sr_1_6?keywords=Klein+Tools+51611+1%2F2-Inch+Angle+Setter%E2%84%A2&amp;qid=1695174192&amp;sr=8-6", "https://www.amazon.com/Klein-Tools-51603-Conduit-Features/dp/B08W6GJTHW/ref=sr_1_6?keywords=Klein+Tools+51611+1%2F2-Inch+Angle+Setter%E2%84%A2&amp;qid=1695174192&amp;sr=8-6")</f>
        <v>https://www.amazon.com/Klein-Tools-51603-Conduit-Features/dp/B08W6GJTHW/ref=sr_1_6?keywords=Klein+Tools+51611+1%2F2-Inch+Angle+Setter%E2%84%A2&amp;qid=1695174192&amp;sr=8-6</v>
      </c>
      <c r="F2338" t="s">
        <v>6102</v>
      </c>
      <c r="G2338" t="e">
        <f ca="1">_xludf.IMAGE("https://edmondsonsupply.com/cdn/shop/products/51611.jpg?v=1661976456")</f>
        <v>#NAME?</v>
      </c>
      <c r="H2338" t="e">
        <f ca="1">_xludf.IMAGE("https://m.media-amazon.com/images/I/31lf3y-9bSL._AC_UL320_.jpg")</f>
        <v>#NAME?</v>
      </c>
      <c r="I2338" t="s">
        <v>1427</v>
      </c>
      <c r="J2338">
        <v>59.99</v>
      </c>
      <c r="K2338" s="4">
        <v>5.0171000000000001</v>
      </c>
      <c r="L2338">
        <v>4.9000000000000004</v>
      </c>
      <c r="M2338">
        <v>31</v>
      </c>
      <c r="O2338" t="s">
        <v>25</v>
      </c>
      <c r="P2338" t="s">
        <v>6045</v>
      </c>
      <c r="Q2338" t="s">
        <v>6103</v>
      </c>
    </row>
    <row r="2339" spans="1:17" ht="15.5" x14ac:dyDescent="0.35">
      <c r="A2339" s="3" t="str">
        <f>HYPERLINK("https://edmondsonsupply.com/collections/electricians-tools/products/klein-tools-mag2-magnetizer-demagnetizer", "https://edmondsonsupply.com/collections/electricians-tools/products/klein-tools-mag2-magnetizer-demagnetizer")</f>
        <v>https://edmondsonsupply.com/collections/electricians-tools/products/klein-tools-mag2-magnetizer-demagnetizer</v>
      </c>
      <c r="B2339" s="3" t="str">
        <f>HYPERLINK("https://edmondsonsupply.com/products/klein-tools-mag2-magnetizer-demagnetizer", "https://edmondsonsupply.com/products/klein-tools-mag2-magnetizer-demagnetizer")</f>
        <v>https://edmondsonsupply.com/products/klein-tools-mag2-magnetizer-demagnetizer</v>
      </c>
      <c r="C2339" t="s">
        <v>1520</v>
      </c>
      <c r="D2339" t="s">
        <v>1521</v>
      </c>
      <c r="E2339" s="3" t="str">
        <f>HYPERLINK("https://www.amazon.com/Klein-Tools-Screwdriver-Demagnetizer-Magnetizer/dp/B0BXK8RB9N/ref=sr_1_7?keywords=Klein+Tools+MAG2+Magnetizer+%2F+Demagnetizer&amp;qid=1695173850&amp;sr=8-7", "https://www.amazon.com/Klein-Tools-Screwdriver-Demagnetizer-Magnetizer/dp/B0BXK8RB9N/ref=sr_1_7?keywords=Klein+Tools+MAG2+Magnetizer+%2F+Demagnetizer&amp;qid=1695173850&amp;sr=8-7")</f>
        <v>https://www.amazon.com/Klein-Tools-Screwdriver-Demagnetizer-Magnetizer/dp/B0BXK8RB9N/ref=sr_1_7?keywords=Klein+Tools+MAG2+Magnetizer+%2F+Demagnetizer&amp;qid=1695173850&amp;sr=8-7</v>
      </c>
      <c r="F2339" t="s">
        <v>1522</v>
      </c>
      <c r="G2339" t="e">
        <f ca="1">_xludf.IMAGE("https://edmondsonsupply.com/cdn/shop/products/mag2.jpg?v=1587145008")</f>
        <v>#NAME?</v>
      </c>
      <c r="H2339" t="e">
        <f ca="1">_xludf.IMAGE("https://m.media-amazon.com/images/I/51OwgO9uq9L._AC_UL320_.jpg")</f>
        <v>#NAME?</v>
      </c>
      <c r="I2339" t="s">
        <v>1427</v>
      </c>
      <c r="J2339">
        <v>59.96</v>
      </c>
      <c r="K2339" s="4">
        <v>5.0140000000000002</v>
      </c>
      <c r="L2339">
        <v>4.5</v>
      </c>
      <c r="M2339">
        <v>11</v>
      </c>
      <c r="O2339" t="s">
        <v>25</v>
      </c>
      <c r="P2339" t="s">
        <v>1523</v>
      </c>
      <c r="Q2339" t="s">
        <v>1524</v>
      </c>
    </row>
    <row r="2340" spans="1:17" ht="15.5" x14ac:dyDescent="0.35">
      <c r="A2340"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2340" s="3" t="str">
        <f>HYPERLINK("https://edmondsonsupply.com/products/klein-tools-69410-replacement-test-lead-set-right-angle", "https://edmondsonsupply.com/products/klein-tools-69410-replacement-test-lead-set-right-angle")</f>
        <v>https://edmondsonsupply.com/products/klein-tools-69410-replacement-test-lead-set-right-angle</v>
      </c>
      <c r="C2340" t="s">
        <v>1463</v>
      </c>
      <c r="D2340" t="s">
        <v>1525</v>
      </c>
      <c r="E2340" s="3" t="str">
        <f>HYPERLINK("https://www.amazon.com/Klein-Tools-Multimeter-Autoranging-Capacitance/dp/B0BD3XZ29K/ref=sr_1_9?keywords=Klein+Tools+69410+Replacement+Test+Lead+Set%2C+Right+Angle&amp;qid=1695173944&amp;sr=8-9", "https://www.amazon.com/Klein-Tools-Multimeter-Autoranging-Capacitance/dp/B0BD3XZ29K/ref=sr_1_9?keywords=Klein+Tools+69410+Replacement+Test+Lead+Set%2C+Right+Angle&amp;qid=1695173944&amp;sr=8-9")</f>
        <v>https://www.amazon.com/Klein-Tools-Multimeter-Autoranging-Capacitance/dp/B0BD3XZ29K/ref=sr_1_9?keywords=Klein+Tools+69410+Replacement+Test+Lead+Set%2C+Right+Angle&amp;qid=1695173944&amp;sr=8-9</v>
      </c>
      <c r="F2340" t="s">
        <v>1526</v>
      </c>
      <c r="G2340" t="e">
        <f ca="1">_xludf.IMAGE("https://edmondsonsupply.com/cdn/shop/products/69410.jpg?v=1587143393")</f>
        <v>#NAME?</v>
      </c>
      <c r="H2340" t="e">
        <f ca="1">_xludf.IMAGE("https://m.media-amazon.com/images/I/61J30bl5fxL._AC_UY218_.jpg")</f>
        <v>#NAME?</v>
      </c>
      <c r="I2340" t="s">
        <v>893</v>
      </c>
      <c r="J2340">
        <v>119.94</v>
      </c>
      <c r="K2340" s="4">
        <v>5.0060000000000002</v>
      </c>
      <c r="L2340">
        <v>4.8</v>
      </c>
      <c r="M2340">
        <v>5</v>
      </c>
      <c r="O2340" t="s">
        <v>25</v>
      </c>
      <c r="P2340" t="s">
        <v>1466</v>
      </c>
      <c r="Q2340" t="s">
        <v>1467</v>
      </c>
    </row>
    <row r="2341" spans="1:17" ht="15.5" x14ac:dyDescent="0.35">
      <c r="A2341"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2341" s="3" t="str">
        <f>HYPERLINK("https://edmondsonsupply.com/products/klein-tools-69410-replacement-test-lead-set-right-angle", "https://edmondsonsupply.com/products/klein-tools-69410-replacement-test-lead-set-right-angle")</f>
        <v>https://edmondsonsupply.com/products/klein-tools-69410-replacement-test-lead-set-right-angle</v>
      </c>
      <c r="C2341" t="s">
        <v>1463</v>
      </c>
      <c r="D2341" t="s">
        <v>1527</v>
      </c>
      <c r="E2341" s="3" t="str">
        <f>HYPERLINK("https://www.amazon.com/Klein-Tools-Auto-Ranging-MOhms-Resistance-Replacement/dp/B0C7QB94HG/ref=sr_1_8?keywords=Klein+Tools+69410+Replacement+Test+Lead+Set%2C+Right+Angle&amp;qid=1695173944&amp;sr=8-8", "https://www.amazon.com/Klein-Tools-Auto-Ranging-MOhms-Resistance-Replacement/dp/B0C7QB94HG/ref=sr_1_8?keywords=Klein+Tools+69410+Replacement+Test+Lead+Set%2C+Right+Angle&amp;qid=1695173944&amp;sr=8-8")</f>
        <v>https://www.amazon.com/Klein-Tools-Auto-Ranging-MOhms-Resistance-Replacement/dp/B0C7QB94HG/ref=sr_1_8?keywords=Klein+Tools+69410+Replacement+Test+Lead+Set%2C+Right+Angle&amp;qid=1695173944&amp;sr=8-8</v>
      </c>
      <c r="F2341" t="s">
        <v>1528</v>
      </c>
      <c r="G2341" t="e">
        <f ca="1">_xludf.IMAGE("https://edmondsonsupply.com/cdn/shop/products/69410.jpg?v=1587143393")</f>
        <v>#NAME?</v>
      </c>
      <c r="H2341" t="e">
        <f ca="1">_xludf.IMAGE("https://m.media-amazon.com/images/I/51iZGkiWnZL._AC_UY218_.jpg")</f>
        <v>#NAME?</v>
      </c>
      <c r="I2341" t="s">
        <v>893</v>
      </c>
      <c r="J2341">
        <v>119.94</v>
      </c>
      <c r="K2341" s="4">
        <v>5.0060000000000002</v>
      </c>
      <c r="L2341">
        <v>5</v>
      </c>
      <c r="M2341">
        <v>1</v>
      </c>
      <c r="O2341" t="s">
        <v>25</v>
      </c>
      <c r="P2341" t="s">
        <v>1466</v>
      </c>
      <c r="Q2341" t="s">
        <v>1467</v>
      </c>
    </row>
    <row r="2342" spans="1:17" ht="15.5" x14ac:dyDescent="0.35">
      <c r="A2342" s="3" t="str">
        <f>HYPERLINK("https://edmondsonsupply.com/collections/electricians-tools/products/klein-tools-56119-illuminated-fish-rod-tip", "https://edmondsonsupply.com/collections/electricians-tools/products/klein-tools-56119-illuminated-fish-rod-tip")</f>
        <v>https://edmondsonsupply.com/collections/electricians-tools/products/klein-tools-56119-illuminated-fish-rod-tip</v>
      </c>
      <c r="B2342" s="3" t="str">
        <f>HYPERLINK("https://edmondsonsupply.com/products/klein-tools-56119-illuminated-fish-rod-tip", "https://edmondsonsupply.com/products/klein-tools-56119-illuminated-fish-rod-tip")</f>
        <v>https://edmondsonsupply.com/products/klein-tools-56119-illuminated-fish-rod-tip</v>
      </c>
      <c r="C2342" t="s">
        <v>6104</v>
      </c>
      <c r="D2342" t="s">
        <v>2468</v>
      </c>
      <c r="E2342" s="3" t="str">
        <f>HYPERLINK("https://www.amazon.com/Klein-Tools-50660-Stainless-Steel-Attachments/dp/B0BVJXRH9J/ref=sr_1_7?keywords=Klein+Tools+56119+Illuminated+Fish+Rod+Tip&amp;qid=1695174323&amp;sr=8-7", "https://www.amazon.com/Klein-Tools-50660-Stainless-Steel-Attachments/dp/B0BVJXRH9J/ref=sr_1_7?keywords=Klein+Tools+56119+Illuminated+Fish+Rod+Tip&amp;qid=1695174323&amp;sr=8-7")</f>
        <v>https://www.amazon.com/Klein-Tools-50660-Stainless-Steel-Attachments/dp/B0BVJXRH9J/ref=sr_1_7?keywords=Klein+Tools+56119+Illuminated+Fish+Rod+Tip&amp;qid=1695174323&amp;sr=8-7</v>
      </c>
      <c r="F2342" t="s">
        <v>2469</v>
      </c>
      <c r="G2342" t="e">
        <f ca="1">_xludf.IMAGE("https://edmondsonsupply.com/cdn/shop/products/56119.jpg?v=1633030794")</f>
        <v>#NAME?</v>
      </c>
      <c r="H2342" t="e">
        <f ca="1">_xludf.IMAGE("https://m.media-amazon.com/images/I/61TfZQjceGL._AC_UL320_.jpg")</f>
        <v>#NAME?</v>
      </c>
      <c r="I2342" t="s">
        <v>2577</v>
      </c>
      <c r="J2342">
        <v>59.97</v>
      </c>
      <c r="K2342" s="4">
        <v>5.0030000000000001</v>
      </c>
      <c r="L2342">
        <v>4.0999999999999996</v>
      </c>
      <c r="M2342">
        <v>6</v>
      </c>
      <c r="O2342" t="s">
        <v>25</v>
      </c>
      <c r="P2342" t="s">
        <v>6105</v>
      </c>
      <c r="Q2342" t="s">
        <v>6106</v>
      </c>
    </row>
    <row r="2343" spans="1:17" ht="15.5" x14ac:dyDescent="0.35">
      <c r="A2343"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2343" s="3" t="str">
        <f>HYPERLINK("https://edmondsonsupply.com/products/klein-tools-5141-canvas-bag-4-pk-brown-black-gray-red", "https://edmondsonsupply.com/products/klein-tools-5141-canvas-bag-4-pk-brown-black-gray-red")</f>
        <v>https://edmondsonsupply.com/products/klein-tools-5141-canvas-bag-4-pk-brown-black-gray-red</v>
      </c>
      <c r="C2343" t="s">
        <v>243</v>
      </c>
      <c r="D2343" t="s">
        <v>255</v>
      </c>
      <c r="E2343" s="3" t="str">
        <f>HYPERLINK("https://www.amazon.com/Klein-Tools-Backpack-Durable-Electrician/dp/B0BVGCG8DM/ref=sr_1_6?keywords=Klein+Tools+5141+Zipper+Bags%2C+Canvas+Tool+Pouches+Brown%2FBlack%2FGray%2FRed%2C+4-Pack&amp;qid=1695173934&amp;sr=8-6", "https://www.amazon.com/Klein-Tools-Backpack-Durable-Electrician/dp/B0BVGCG8DM/ref=sr_1_6?keywords=Klein+Tools+5141+Zipper+Bags%2C+Canvas+Tool+Pouches+Brown%2FBlack%2FGray%2FRed%2C+4-Pack&amp;qid=1695173934&amp;sr=8-6")</f>
        <v>https://www.amazon.com/Klein-Tools-Backpack-Durable-Electrician/dp/B0BVGCG8DM/ref=sr_1_6?keywords=Klein+Tools+5141+Zipper+Bags%2C+Canvas+Tool+Pouches+Brown%2FBlack%2FGray%2FRed%2C+4-Pack&amp;qid=1695173934&amp;sr=8-6</v>
      </c>
      <c r="F2343" t="s">
        <v>256</v>
      </c>
      <c r="G2343" t="e">
        <f ca="1">_xludf.IMAGE("https://edmondsonsupply.com/cdn/shop/products/5141.jpg?v=1633030517")</f>
        <v>#NAME?</v>
      </c>
      <c r="H2343" t="e">
        <f ca="1">_xludf.IMAGE("https://m.media-amazon.com/images/I/516y6qytWIL._AC_UL320_.jpg")</f>
        <v>#NAME?</v>
      </c>
      <c r="I2343" t="s">
        <v>246</v>
      </c>
      <c r="J2343">
        <v>238</v>
      </c>
      <c r="K2343" s="4">
        <v>4.9545000000000003</v>
      </c>
      <c r="L2343">
        <v>5</v>
      </c>
      <c r="M2343">
        <v>3</v>
      </c>
      <c r="O2343" t="s">
        <v>25</v>
      </c>
      <c r="P2343" t="s">
        <v>247</v>
      </c>
      <c r="Q2343" t="s">
        <v>248</v>
      </c>
    </row>
    <row r="2344" spans="1:17" ht="15.5" x14ac:dyDescent="0.35">
      <c r="A2344" s="3" t="str">
        <f>HYPERLINK("https://edmondsonsupply.com/collections/electricians-tools/products/diablo-tools-d0724da-7-1-4-in-24-tooth-%E2%84%A2-framing-demolition-saw-blade", "https://edmondsonsupply.com/collections/electricians-tools/products/diablo-tools-d0724da-7-1-4-in-24-tooth-%E2%84%A2-framing-demolition-saw-blade")</f>
        <v>https://edmondsonsupply.com/collections/electricians-tools/products/diablo-tools-d0724da-7-1-4-in-24-tooth-%E2%84%A2-framing-demolition-saw-blade</v>
      </c>
      <c r="B2344" s="3" t="str">
        <f>HYPERLINK("https://edmondsonsupply.com/products/diablo-tools-d0724da-7-1-4-in-24-tooth-%e2%84%a2-framing-demolition-saw-blade", "https://edmondsonsupply.com/products/diablo-tools-d0724da-7-1-4-in-24-tooth-%e2%84%a2-framing-demolition-saw-blade")</f>
        <v>https://edmondsonsupply.com/products/diablo-tools-d0724da-7-1-4-in-24-tooth-%e2%84%a2-framing-demolition-saw-blade</v>
      </c>
      <c r="C2344" t="s">
        <v>6107</v>
      </c>
      <c r="D2344" t="s">
        <v>6108</v>
      </c>
      <c r="E2344" s="3" t="str">
        <f>HYPERLINK("https://www.amazon.com/Diablo-D0724A-Circular-Framing-Blade/dp/B00M9IDPD0/ref=sr_1_7?keywords=Diablo+Tools+D0724DA+7-1%2F4+in.+24-Tooth+%E2%84%A2+Framing%2FDemolition+Saw+Blade&amp;qid=1695174061&amp;sr=8-7", "https://www.amazon.com/Diablo-D0724A-Circular-Framing-Blade/dp/B00M9IDPD0/ref=sr_1_7?keywords=Diablo+Tools+D0724DA+7-1%2F4+in.+24-Tooth+%E2%84%A2+Framing%2FDemolition+Saw+Blade&amp;qid=1695174061&amp;sr=8-7")</f>
        <v>https://www.amazon.com/Diablo-D0724A-Circular-Framing-Blade/dp/B00M9IDPD0/ref=sr_1_7?keywords=Diablo+Tools+D0724DA+7-1%2F4+in.+24-Tooth+%E2%84%A2+Framing%2FDemolition+Saw+Blade&amp;qid=1695174061&amp;sr=8-7</v>
      </c>
      <c r="F2344" t="s">
        <v>6109</v>
      </c>
      <c r="G2344" t="e">
        <f ca="1">_xludf.IMAGE("https://edmondsonsupply.com/cdn/shop/products/ms7ofgpqtqo0aptxxu1k.webp?v=1678973703")</f>
        <v>#NAME?</v>
      </c>
      <c r="H2344" t="e">
        <f ca="1">_xludf.IMAGE("https://m.media-amazon.com/images/I/71DFvox7T1L._AC_UL320_.jpg")</f>
        <v>#NAME?</v>
      </c>
      <c r="I2344" t="s">
        <v>2784</v>
      </c>
      <c r="J2344">
        <v>88.86</v>
      </c>
      <c r="K2344" s="4">
        <v>4.9359000000000002</v>
      </c>
      <c r="L2344">
        <v>4.5999999999999996</v>
      </c>
      <c r="M2344">
        <v>861</v>
      </c>
      <c r="O2344" t="s">
        <v>25</v>
      </c>
      <c r="P2344" t="s">
        <v>6110</v>
      </c>
      <c r="Q2344" t="s">
        <v>6111</v>
      </c>
    </row>
    <row r="2345" spans="1:17" ht="15.5" x14ac:dyDescent="0.35">
      <c r="A2345"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2345" s="3" t="str">
        <f>HYPERLINK("https://edmondsonsupply.com/products/diablo-tools-d0740x-7-1-4-in-x-40-tooth-finish-saw-blade", "https://edmondsonsupply.com/products/diablo-tools-d0740x-7-1-4-in-x-40-tooth-finish-saw-blade")</f>
        <v>https://edmondsonsupply.com/products/diablo-tools-d0740x-7-1-4-in-x-40-tooth-finish-saw-blade</v>
      </c>
      <c r="C2345" t="s">
        <v>6112</v>
      </c>
      <c r="D2345" t="s">
        <v>6113</v>
      </c>
      <c r="E2345" s="3" t="str">
        <f>HYPERLINK("https://www.amazon.com/Diablo-D0740A-Lumber-Finish-Circular/dp/B00VITLHO0/ref=sr_1_5?keywords=Diablo+Tools+D0740X+7-1%2F4+in.+x+40+Tooth+Finish+Saw+Blade&amp;qid=1695174073&amp;sr=8-5", "https://www.amazon.com/Diablo-D0740A-Lumber-Finish-Circular/dp/B00VITLHO0/ref=sr_1_5?keywords=Diablo+Tools+D0740X+7-1%2F4+in.+x+40+Tooth+Finish+Saw+Blade&amp;qid=1695174073&amp;sr=8-5")</f>
        <v>https://www.amazon.com/Diablo-D0740A-Lumber-Finish-Circular/dp/B00VITLHO0/ref=sr_1_5?keywords=Diablo+Tools+D0740X+7-1%2F4+in.+x+40+Tooth+Finish+Saw+Blade&amp;qid=1695174073&amp;sr=8-5</v>
      </c>
      <c r="F2345" t="s">
        <v>6114</v>
      </c>
      <c r="G2345" t="e">
        <f ca="1">_xludf.IMAGE("https://edmondsonsupply.com/cdn/shop/products/kdrkrhhsfpivsggxnkhy.webp?v=1678975834")</f>
        <v>#NAME?</v>
      </c>
      <c r="H2345" t="e">
        <f ca="1">_xludf.IMAGE("https://m.media-amazon.com/images/I/51Kjg9YnOML._AC_UL320_.jpg")</f>
        <v>#NAME?</v>
      </c>
      <c r="I2345" t="s">
        <v>2784</v>
      </c>
      <c r="J2345">
        <v>87.54</v>
      </c>
      <c r="K2345" s="4">
        <v>4.8476999999999997</v>
      </c>
      <c r="L2345">
        <v>5</v>
      </c>
      <c r="M2345">
        <v>1</v>
      </c>
      <c r="O2345" t="s">
        <v>25</v>
      </c>
      <c r="P2345" t="s">
        <v>6115</v>
      </c>
      <c r="Q2345" t="s">
        <v>6116</v>
      </c>
    </row>
    <row r="2346" spans="1:17" ht="15.5" x14ac:dyDescent="0.35">
      <c r="A2346" s="3" t="str">
        <f>HYPERLINK("https://edmondsonsupply.com/collections/electricians-tools/products/channellock-804", "https://edmondsonsupply.com/collections/electricians-tools/products/channellock-804")</f>
        <v>https://edmondsonsupply.com/collections/electricians-tools/products/channellock-804</v>
      </c>
      <c r="B2346" s="3" t="str">
        <f>HYPERLINK("https://edmondsonsupply.com/products/channellock-804", "https://edmondsonsupply.com/products/channellock-804")</f>
        <v>https://edmondsonsupply.com/products/channellock-804</v>
      </c>
      <c r="C2346" t="s">
        <v>1551</v>
      </c>
      <c r="D2346" t="s">
        <v>1552</v>
      </c>
      <c r="E2346" s="3" t="str">
        <f>HYPERLINK("https://www.amazon.com/CHANNELLOCK-Adjustable-Capacity-Laser-Etched-Measurement/dp/B0891JNCRL/ref=sr_1_2?keywords=Channellock+804+4-Inch+Chrome+Adjustable+Wrench&amp;qid=1695173945&amp;sr=8-2", "https://www.amazon.com/CHANNELLOCK-Adjustable-Capacity-Laser-Etched-Measurement/dp/B0891JNCRL/ref=sr_1_2?keywords=Channellock+804+4-Inch+Chrome+Adjustable+Wrench&amp;qid=1695173945&amp;sr=8-2")</f>
        <v>https://www.amazon.com/CHANNELLOCK-Adjustable-Capacity-Laser-Etched-Measurement/dp/B0891JNCRL/ref=sr_1_2?keywords=Channellock+804+4-Inch+Chrome+Adjustable+Wrench&amp;qid=1695173945&amp;sr=8-2</v>
      </c>
      <c r="F2346" t="s">
        <v>1553</v>
      </c>
      <c r="G2346" t="e">
        <f ca="1">_xludf.IMAGE("https://edmondsonsupply.com/cdn/shop/products/804-683x1024.jpg?v=1587145853")</f>
        <v>#NAME?</v>
      </c>
      <c r="H2346" t="e">
        <f ca="1">_xludf.IMAGE("https://m.media-amazon.com/images/I/51-CWTrf9CL._AC_UL320_.jpg")</f>
        <v>#NAME?</v>
      </c>
      <c r="I2346" t="s">
        <v>1554</v>
      </c>
      <c r="J2346">
        <v>97.88</v>
      </c>
      <c r="K2346" s="4">
        <v>4.7746000000000004</v>
      </c>
      <c r="L2346">
        <v>4.8</v>
      </c>
      <c r="M2346">
        <v>10</v>
      </c>
      <c r="O2346" t="s">
        <v>25</v>
      </c>
      <c r="P2346" t="s">
        <v>1555</v>
      </c>
      <c r="Q2346" t="s">
        <v>1556</v>
      </c>
    </row>
    <row r="2347" spans="1:17" ht="15.5" x14ac:dyDescent="0.35">
      <c r="A2347"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2347" s="3" t="str">
        <f>HYPERLINK("https://edmondsonsupply.com/products/gorilla-glue-107450-original-gorilla-glue-20z-bottle", "https://edmondsonsupply.com/products/gorilla-glue-107450-original-gorilla-glue-20z-bottle")</f>
        <v>https://edmondsonsupply.com/products/gorilla-glue-107450-original-gorilla-glue-20z-bottle</v>
      </c>
      <c r="C2347" t="s">
        <v>6030</v>
      </c>
      <c r="D2347" t="s">
        <v>6117</v>
      </c>
      <c r="E2347" s="3" t="str">
        <f>HYPERLINK("https://www.amazon.com/Gorilla-Original-Waterproof-Polyurethane-Bottle/dp/B00006LAAQ/ref=sr_1_7?keywords=Gorilla+Glue+107450+Original+Gorilla+Glue%2C+2oz.+bottle&amp;qid=1695174069&amp;sr=8-7", "https://www.amazon.com/Gorilla-Original-Waterproof-Polyurethane-Bottle/dp/B00006LAAQ/ref=sr_1_7?keywords=Gorilla+Glue+107450+Original+Gorilla+Glue%2C+2oz.+bottle&amp;qid=1695174069&amp;sr=8-7")</f>
        <v>https://www.amazon.com/Gorilla-Original-Waterproof-Polyurethane-Bottle/dp/B00006LAAQ/ref=sr_1_7?keywords=Gorilla+Glue+107450+Original+Gorilla+Glue%2C+2oz.+bottle&amp;qid=1695174069&amp;sr=8-7</v>
      </c>
      <c r="F2347" t="s">
        <v>6118</v>
      </c>
      <c r="G2347" t="e">
        <f ca="1">_xludf.IMAGE("https://edmondsonsupply.com/cdn/shop/products/original_gorilla_glue_white_bg_v2-450x450-c-default.webp?v=1678801122")</f>
        <v>#NAME?</v>
      </c>
      <c r="H2347" t="e">
        <f ca="1">_xludf.IMAGE("https://m.media-amazon.com/images/I/71x97lx3fEL._AC_UY218_.jpg")</f>
        <v>#NAME?</v>
      </c>
      <c r="I2347" t="s">
        <v>6033</v>
      </c>
      <c r="J2347">
        <v>39.840000000000003</v>
      </c>
      <c r="K2347" s="4">
        <v>4.7077</v>
      </c>
      <c r="L2347">
        <v>4.7</v>
      </c>
      <c r="M2347">
        <v>617</v>
      </c>
      <c r="O2347" t="s">
        <v>25</v>
      </c>
      <c r="P2347" t="s">
        <v>138</v>
      </c>
      <c r="Q2347" t="s">
        <v>6034</v>
      </c>
    </row>
    <row r="2348" spans="1:17" ht="15.5" x14ac:dyDescent="0.35">
      <c r="A2348"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2348"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2348" t="s">
        <v>1566</v>
      </c>
      <c r="D2348" t="s">
        <v>1567</v>
      </c>
      <c r="E2348" s="3" t="str">
        <f>HYPERLINK("https://www.amazon.com/Voltage-Tester-Klein-Tools-HVNCVT-1/dp/B015KU2EXU/ref=sr_1_8?keywords=Klein+Tools+NCVT-2PKIT+Dual+Range+Non-Contact+Voltage+Tester+with+Receptacle+Tester&amp;qid=1695173953&amp;sr=8-8", "https://www.amazon.com/Voltage-Tester-Klein-Tools-HVNCVT-1/dp/B015KU2EXU/ref=sr_1_8?keywords=Klein+Tools+NCVT-2PKIT+Dual+Range+Non-Contact+Voltage+Tester+with+Receptacle+Tester&amp;qid=1695173953&amp;sr=8-8")</f>
        <v>https://www.amazon.com/Voltage-Tester-Klein-Tools-HVNCVT-1/dp/B015KU2EXU/ref=sr_1_8?keywords=Klein+Tools+NCVT-2PKIT+Dual+Range+Non-Contact+Voltage+Tester+with+Receptacle+Tester&amp;qid=1695173953&amp;sr=8-8</v>
      </c>
      <c r="F2348" t="s">
        <v>1568</v>
      </c>
      <c r="G2348" t="e">
        <f ca="1">_xludf.IMAGE("https://edmondsonsupply.com/cdn/shop/products/ncvt2pkit.jpg?v=1633030827")</f>
        <v>#NAME?</v>
      </c>
      <c r="H2348" t="e">
        <f ca="1">_xludf.IMAGE("https://m.media-amazon.com/images/I/51vp8USEpSL._AC_UL320_.jpg")</f>
        <v>#NAME?</v>
      </c>
      <c r="I2348" t="s">
        <v>26</v>
      </c>
      <c r="J2348">
        <v>168.19</v>
      </c>
      <c r="K2348" s="4">
        <v>4.6082000000000001</v>
      </c>
      <c r="L2348">
        <v>4.4000000000000004</v>
      </c>
      <c r="M2348">
        <v>86</v>
      </c>
      <c r="O2348" t="s">
        <v>25</v>
      </c>
      <c r="P2348" t="s">
        <v>1569</v>
      </c>
      <c r="Q2348" t="s">
        <v>1570</v>
      </c>
    </row>
    <row r="2349" spans="1:17" ht="15.5" x14ac:dyDescent="0.35">
      <c r="A2349" s="3" t="str">
        <f>HYPERLINK("https://edmondsonsupply.com/collections/electricians-tools/products/greenlee-609-3-4-foam-conduit-piston", "https://edmondsonsupply.com/collections/electricians-tools/products/greenlee-609-3-4-foam-conduit-piston")</f>
        <v>https://edmondsonsupply.com/collections/electricians-tools/products/greenlee-609-3-4-foam-conduit-piston</v>
      </c>
      <c r="B2349" s="3" t="str">
        <f>HYPERLINK("https://edmondsonsupply.com/products/greenlee-609-3-4-foam-conduit-piston", "https://edmondsonsupply.com/products/greenlee-609-3-4-foam-conduit-piston")</f>
        <v>https://edmondsonsupply.com/products/greenlee-609-3-4-foam-conduit-piston</v>
      </c>
      <c r="C2349" t="s">
        <v>6095</v>
      </c>
      <c r="D2349" t="s">
        <v>6119</v>
      </c>
      <c r="E2349" s="3" t="str">
        <f>HYPERLINK("https://www.amazon.com/Greenlee-609-5-Piston-Conduit-Pack/dp/B002KM05F6/ref=sr_1_1?keywords=Greenlee+609+3%2F4%22+Foam+Conduit+Piston&amp;qid=1695174000&amp;sr=8-1", "https://www.amazon.com/Greenlee-609-5-Piston-Conduit-Pack/dp/B002KM05F6/ref=sr_1_1?keywords=Greenlee+609+3%2F4%22+Foam+Conduit+Piston&amp;qid=1695174000&amp;sr=8-1")</f>
        <v>https://www.amazon.com/Greenlee-609-5-Piston-Conduit-Pack/dp/B002KM05F6/ref=sr_1_1?keywords=Greenlee+609+3%2F4%22+Foam+Conduit+Piston&amp;qid=1695174000&amp;sr=8-1</v>
      </c>
      <c r="F2349" t="s">
        <v>6120</v>
      </c>
      <c r="G2349" t="e">
        <f ca="1">_xludf.IMAGE("https://edmondsonsupply.com/cdn/shop/files/Greenlee-609_1.webp?v=1687448329")</f>
        <v>#NAME?</v>
      </c>
      <c r="H2349" t="e">
        <f ca="1">_xludf.IMAGE("https://m.media-amazon.com/images/I/91oYW6LrVzL._AC_UL320_.jpg")</f>
        <v>#NAME?</v>
      </c>
      <c r="I2349" t="s">
        <v>6098</v>
      </c>
      <c r="J2349">
        <v>37.42</v>
      </c>
      <c r="K2349" s="4">
        <v>4.4867999999999997</v>
      </c>
      <c r="L2349">
        <v>4.4000000000000004</v>
      </c>
      <c r="M2349">
        <v>42</v>
      </c>
      <c r="O2349" t="s">
        <v>25</v>
      </c>
      <c r="P2349" t="s">
        <v>138</v>
      </c>
      <c r="Q2349" t="s">
        <v>6099</v>
      </c>
    </row>
    <row r="2350" spans="1:17" ht="15.5" x14ac:dyDescent="0.35">
      <c r="A2350"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2350" s="3" t="str">
        <f>HYPERLINK("https://edmondsonsupply.com/products/klein-tools-jth9m5-4-mm-hex-key-journeyman-t-handle-9-inch", "https://edmondsonsupply.com/products/klein-tools-jth9m5-4-mm-hex-key-journeyman-t-handle-9-inch")</f>
        <v>https://edmondsonsupply.com/products/klein-tools-jth9m5-4-mm-hex-key-journeyman-t-handle-9-inch</v>
      </c>
      <c r="C2350" t="s">
        <v>6121</v>
      </c>
      <c r="D2350" t="s">
        <v>3119</v>
      </c>
      <c r="E2350" s="3" t="str">
        <f>HYPERLINK("https://www.amazon.com/Journeyman-T-Handle-Klein-Tools-JTH9E17/dp/B004QV6NL4/ref=sr_1_8?keywords=Klein+Tools+JTH9M4+4+mm+Hex+Key%2C+Journeyman+T-Handle%2C+9-Inch&amp;qid=1695174234&amp;sr=8-8", "https://www.amazon.com/Journeyman-T-Handle-Klein-Tools-JTH9E17/dp/B004QV6NL4/ref=sr_1_8?keywords=Klein+Tools+JTH9M4+4+mm+Hex+Key%2C+Journeyman+T-Handle%2C+9-Inch&amp;qid=1695174234&amp;sr=8-8")</f>
        <v>https://www.amazon.com/Journeyman-T-Handle-Klein-Tools-JTH9E17/dp/B004QV6NL4/ref=sr_1_8?keywords=Klein+Tools+JTH9M4+4+mm+Hex+Key%2C+Journeyman+T-Handle%2C+9-Inch&amp;qid=1695174234&amp;sr=8-8</v>
      </c>
      <c r="F2350" t="s">
        <v>3120</v>
      </c>
      <c r="G2350" t="e">
        <f ca="1">_xludf.IMAGE("https://edmondsonsupply.com/cdn/shop/products/jth9m_fa8a641d-d03f-4191-ab24-b9045963e4f7.jpg?v=1640191121")</f>
        <v>#NAME?</v>
      </c>
      <c r="H2350" t="e">
        <f ca="1">_xludf.IMAGE("https://m.media-amazon.com/images/I/51Yb8h41vLL._AC_UL320_.jpg")</f>
        <v>#NAME?</v>
      </c>
      <c r="I2350" t="s">
        <v>6122</v>
      </c>
      <c r="J2350">
        <v>23.99</v>
      </c>
      <c r="K2350" s="4">
        <v>4.343</v>
      </c>
      <c r="L2350">
        <v>4.8</v>
      </c>
      <c r="M2350">
        <v>194</v>
      </c>
      <c r="O2350" t="s">
        <v>25</v>
      </c>
      <c r="P2350" t="s">
        <v>6123</v>
      </c>
      <c r="Q2350" t="s">
        <v>6124</v>
      </c>
    </row>
    <row r="2351" spans="1:17" ht="15.5" x14ac:dyDescent="0.35">
      <c r="A2351" s="3" t="str">
        <f>HYPERLINK("https://edmondsonsupply.com/collections/electricians-tools/products/klein-tools-66078-flip-impact-socket-adapter-large-1-2-to-1-2-inch", "https://edmondsonsupply.com/collections/electricians-tools/products/klein-tools-66078-flip-impact-socket-adapter-large-1-2-to-1-2-inch")</f>
        <v>https://edmondsonsupply.com/collections/electricians-tools/products/klein-tools-66078-flip-impact-socket-adapter-large-1-2-to-1-2-inch</v>
      </c>
      <c r="B2351" s="3" t="str">
        <f>HYPERLINK("https://edmondsonsupply.com/products/klein-tools-66078-flip-impact-socket-adapter-large-1-2-to-1-2-inch", "https://edmondsonsupply.com/products/klein-tools-66078-flip-impact-socket-adapter-large-1-2-to-1-2-inch")</f>
        <v>https://edmondsonsupply.com/products/klein-tools-66078-flip-impact-socket-adapter-large-1-2-to-1-2-inch</v>
      </c>
      <c r="C2351" t="s">
        <v>6125</v>
      </c>
      <c r="D2351" t="s">
        <v>6126</v>
      </c>
      <c r="E2351" s="3" t="str">
        <f>HYPERLINK("https://www.amazon.com/Klein-Tools-66031-Slotted-12-Point/dp/B08R6FL5P8/ref=sr_1_8?keywords=Klein+Tools+66078+Flip+Impact+Socket+Adapter%2C+Large%2C+1%2F2+to+1%2F2-Inch&amp;qid=1695174159&amp;sr=8-8", "https://www.amazon.com/Klein-Tools-66031-Slotted-12-Point/dp/B08R6FL5P8/ref=sr_1_8?keywords=Klein+Tools+66078+Flip+Impact+Socket+Adapter%2C+Large%2C+1%2F2+to+1%2F2-Inch&amp;qid=1695174159&amp;sr=8-8")</f>
        <v>https://www.amazon.com/Klein-Tools-66031-Slotted-12-Point/dp/B08R6FL5P8/ref=sr_1_8?keywords=Klein+Tools+66078+Flip+Impact+Socket+Adapter%2C+Large%2C+1%2F2+to+1%2F2-Inch&amp;qid=1695174159&amp;sr=8-8</v>
      </c>
      <c r="F2351" t="s">
        <v>6127</v>
      </c>
      <c r="G2351" t="e">
        <f ca="1">_xludf.IMAGE("https://edmondsonsupply.com/cdn/shop/products/66078.jpg?v=1674145294")</f>
        <v>#NAME?</v>
      </c>
      <c r="H2351" t="e">
        <f ca="1">_xludf.IMAGE("https://m.media-amazon.com/images/I/51mIf57QKuL._AC_UL320_.jpg")</f>
        <v>#NAME?</v>
      </c>
      <c r="I2351" t="s">
        <v>6128</v>
      </c>
      <c r="J2351">
        <v>49.99</v>
      </c>
      <c r="K2351" s="4">
        <v>4.3407999999999998</v>
      </c>
      <c r="L2351">
        <v>4.8</v>
      </c>
      <c r="M2351">
        <v>662</v>
      </c>
      <c r="O2351" t="s">
        <v>25</v>
      </c>
      <c r="P2351" t="s">
        <v>6129</v>
      </c>
      <c r="Q2351" t="s">
        <v>6130</v>
      </c>
    </row>
    <row r="2352" spans="1:17" ht="15.5" x14ac:dyDescent="0.35">
      <c r="A2352" s="3" t="str">
        <f>HYPERLINK("https://edmondsonsupply.com/collections/electricians-tools/products/klein-tools-66078-flip-impact-socket-adapter-large-1-2-to-1-2-inch", "https://edmondsonsupply.com/collections/electricians-tools/products/klein-tools-66078-flip-impact-socket-adapter-large-1-2-to-1-2-inch")</f>
        <v>https://edmondsonsupply.com/collections/electricians-tools/products/klein-tools-66078-flip-impact-socket-adapter-large-1-2-to-1-2-inch</v>
      </c>
      <c r="B2352" s="3" t="str">
        <f>HYPERLINK("https://edmondsonsupply.com/products/klein-tools-66078-flip-impact-socket-adapter-large-1-2-to-1-2-inch", "https://edmondsonsupply.com/products/klein-tools-66078-flip-impact-socket-adapter-large-1-2-to-1-2-inch")</f>
        <v>https://edmondsonsupply.com/products/klein-tools-66078-flip-impact-socket-adapter-large-1-2-to-1-2-inch</v>
      </c>
      <c r="C2352" t="s">
        <v>6125</v>
      </c>
      <c r="D2352" t="s">
        <v>1834</v>
      </c>
      <c r="E2352" s="3" t="str">
        <f>HYPERLINK("https://www.amazon.com/Klein-Tools-66070-Sockets-Adapters/dp/B0B33XLXD1/ref=sr_1_3?keywords=Klein+Tools+66078+Flip+Impact+Socket+Adapter%2C+Large%2C+1%2F2+to+1%2F2-Inch&amp;qid=1695174159&amp;sr=8-3", "https://www.amazon.com/Klein-Tools-66070-Sockets-Adapters/dp/B0B33XLXD1/ref=sr_1_3?keywords=Klein+Tools+66078+Flip+Impact+Socket+Adapter%2C+Large%2C+1%2F2+to+1%2F2-Inch&amp;qid=1695174159&amp;sr=8-3")</f>
        <v>https://www.amazon.com/Klein-Tools-66070-Sockets-Adapters/dp/B0B33XLXD1/ref=sr_1_3?keywords=Klein+Tools+66078+Flip+Impact+Socket+Adapter%2C+Large%2C+1%2F2+to+1%2F2-Inch&amp;qid=1695174159&amp;sr=8-3</v>
      </c>
      <c r="F2352" t="s">
        <v>2106</v>
      </c>
      <c r="G2352" t="e">
        <f ca="1">_xludf.IMAGE("https://edmondsonsupply.com/cdn/shop/products/66078.jpg?v=1674145294")</f>
        <v>#NAME?</v>
      </c>
      <c r="H2352" t="e">
        <f ca="1">_xludf.IMAGE("https://m.media-amazon.com/images/I/71D23SffznL._AC_UL320_.jpg")</f>
        <v>#NAME?</v>
      </c>
      <c r="I2352" t="s">
        <v>6128</v>
      </c>
      <c r="J2352">
        <v>49.97</v>
      </c>
      <c r="K2352" s="4">
        <v>4.3387000000000002</v>
      </c>
      <c r="L2352">
        <v>4.8</v>
      </c>
      <c r="M2352">
        <v>1158</v>
      </c>
      <c r="O2352" t="s">
        <v>25</v>
      </c>
      <c r="P2352" t="s">
        <v>6129</v>
      </c>
      <c r="Q2352" t="s">
        <v>6130</v>
      </c>
    </row>
    <row r="2353" spans="1:17" ht="15.5" x14ac:dyDescent="0.35">
      <c r="A2353"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2353" s="3" t="str">
        <f>HYPERLINK("https://edmondsonsupply.com/products/gorilla-glue-107450-original-gorilla-glue-20z-bottle", "https://edmondsonsupply.com/products/gorilla-glue-107450-original-gorilla-glue-20z-bottle")</f>
        <v>https://edmondsonsupply.com/products/gorilla-glue-107450-original-gorilla-glue-20z-bottle</v>
      </c>
      <c r="C2353" t="s">
        <v>6030</v>
      </c>
      <c r="D2353" t="s">
        <v>6131</v>
      </c>
      <c r="E2353" s="3" t="str">
        <f>HYPERLINK("https://www.amazon.com/Gorilla-5002801-2-Original-Glue-Brown/dp/B01M8O1Z3Y/ref=sr_1_5?keywords=Gorilla+Glue+107450+Original+Gorilla+Glue%2C+2oz.+bottle&amp;qid=1695174069&amp;sr=8-5", "https://www.amazon.com/Gorilla-5002801-2-Original-Glue-Brown/dp/B01M8O1Z3Y/ref=sr_1_5?keywords=Gorilla+Glue+107450+Original+Gorilla+Glue%2C+2oz.+bottle&amp;qid=1695174069&amp;sr=8-5")</f>
        <v>https://www.amazon.com/Gorilla-5002801-2-Original-Glue-Brown/dp/B01M8O1Z3Y/ref=sr_1_5?keywords=Gorilla+Glue+107450+Original+Gorilla+Glue%2C+2oz.+bottle&amp;qid=1695174069&amp;sr=8-5</v>
      </c>
      <c r="F2353" t="s">
        <v>6132</v>
      </c>
      <c r="G2353" t="e">
        <f ca="1">_xludf.IMAGE("https://edmondsonsupply.com/cdn/shop/products/original_gorilla_glue_white_bg_v2-450x450-c-default.webp?v=1678801122")</f>
        <v>#NAME?</v>
      </c>
      <c r="H2353" t="e">
        <f ca="1">_xludf.IMAGE("https://m.media-amazon.com/images/I/61X3vZAvDbL._AC_UY218_.jpg")</f>
        <v>#NAME?</v>
      </c>
      <c r="I2353" t="s">
        <v>6033</v>
      </c>
      <c r="J2353">
        <v>36.659999999999997</v>
      </c>
      <c r="K2353" s="4">
        <v>4.2521000000000004</v>
      </c>
      <c r="L2353">
        <v>4.4000000000000004</v>
      </c>
      <c r="M2353">
        <v>59</v>
      </c>
      <c r="O2353" t="s">
        <v>25</v>
      </c>
      <c r="P2353" t="s">
        <v>138</v>
      </c>
      <c r="Q2353" t="s">
        <v>6034</v>
      </c>
    </row>
    <row r="2354" spans="1:17" ht="15.5" x14ac:dyDescent="0.35">
      <c r="A2354" s="3" t="str">
        <f>HYPERLINK("https://edmondsonsupply.com/collections/electricians-tools/products/diablo-tools-dmarg1010-1-8-in-x-2-in-x-3-in-speedemon%E2%84%A2-red-granite-carbide-tipped-hammer-drill-bit", "https://edmondsonsupply.com/collections/electricians-tools/products/diablo-tools-dmarg1010-1-8-in-x-2-in-x-3-in-speedemon%E2%84%A2-red-granite-carbide-tipped-hammer-drill-bit")</f>
        <v>https://edmondsonsupply.com/collections/electricians-tools/products/diablo-tools-dmarg1010-1-8-in-x-2-in-x-3-in-speedemon%E2%84%A2-red-granite-carbide-tipped-hammer-drill-bit</v>
      </c>
      <c r="B2354" s="3" t="str">
        <f>HYPERLINK("https://edmondsonsupply.com/products/diablo-tools-dmarg1010-1-8-in-x-2-in-x-3-in-speedemon%e2%84%a2-red-granite-carbide-tipped-hammer-drill-bit", "https://edmondsonsupply.com/products/diablo-tools-dmarg1010-1-8-in-x-2-in-x-3-in-speedemon%e2%84%a2-red-granite-carbide-tipped-hammer-drill-bit")</f>
        <v>https://edmondsonsupply.com/products/diablo-tools-dmarg1010-1-8-in-x-2-in-x-3-in-speedemon%e2%84%a2-red-granite-carbide-tipped-hammer-drill-bit</v>
      </c>
      <c r="C2354" t="s">
        <v>6005</v>
      </c>
      <c r="D2354" t="s">
        <v>6133</v>
      </c>
      <c r="E2354" s="3" t="str">
        <f>HYPERLINK("https://www.amazon.com/Diablo-SPEEDemon-Granite-Carbide-Tipped/dp/B089LG6VXL/ref=sr_1_3?keywords=Diablo+Tools+DMARG1010+1%2F8+in.+x+2+in.+x+3+in.+SPEEDemon%E2%84%A2+Red+Granite+Carbide+Tipped+Hammer+Drill+Bit&amp;qid=1695174243&amp;sr=8-3", "https://www.amazon.com/Diablo-SPEEDemon-Granite-Carbide-Tipped/dp/B089LG6VXL/ref=sr_1_3?keywords=Diablo+Tools+DMARG1010+1%2F8+in.+x+2+in.+x+3+in.+SPEEDemon%E2%84%A2+Red+Granite+Carbide+Tipped+Hammer+Drill+Bit&amp;qid=1695174243&amp;sr=8-3")</f>
        <v>https://www.amazon.com/Diablo-SPEEDemon-Granite-Carbide-Tipped/dp/B089LG6VXL/ref=sr_1_3?keywords=Diablo+Tools+DMARG1010+1%2F8+in.+x+2+in.+x+3+in.+SPEEDemon%E2%84%A2+Red+Granite+Carbide+Tipped+Hammer+Drill+Bit&amp;qid=1695174243&amp;sr=8-3</v>
      </c>
      <c r="F2354" t="s">
        <v>6134</v>
      </c>
      <c r="G2354" t="e">
        <f ca="1">_xludf.IMAGE("https://edmondsonsupply.com/cdn/shop/products/DMARG1010_Main-Image20200706.png?v=1633031180")</f>
        <v>#NAME?</v>
      </c>
      <c r="H2354" t="e">
        <f ca="1">_xludf.IMAGE("https://m.media-amazon.com/images/I/61oQS6tt6EL._AC_UL320_.jpg")</f>
        <v>#NAME?</v>
      </c>
      <c r="I2354" t="s">
        <v>6008</v>
      </c>
      <c r="J2354">
        <v>15.53</v>
      </c>
      <c r="K2354" s="4">
        <v>4.194</v>
      </c>
      <c r="L2354">
        <v>4.7</v>
      </c>
      <c r="M2354">
        <v>5</v>
      </c>
      <c r="O2354" t="s">
        <v>25</v>
      </c>
      <c r="P2354" t="s">
        <v>6009</v>
      </c>
      <c r="Q2354" t="s">
        <v>6010</v>
      </c>
    </row>
    <row r="2355" spans="1:17" ht="15.5" x14ac:dyDescent="0.35">
      <c r="A2355" s="3" t="str">
        <f>HYPERLINK("https://edmondsonsupply.com/collections/electricians-tools/products/diablo-tools-dmarg1010-1-8-in-x-2-in-x-3-in-speedemon%E2%84%A2-red-granite-carbide-tipped-hammer-drill-bit", "https://edmondsonsupply.com/collections/electricians-tools/products/diablo-tools-dmarg1010-1-8-in-x-2-in-x-3-in-speedemon%E2%84%A2-red-granite-carbide-tipped-hammer-drill-bit")</f>
        <v>https://edmondsonsupply.com/collections/electricians-tools/products/diablo-tools-dmarg1010-1-8-in-x-2-in-x-3-in-speedemon%E2%84%A2-red-granite-carbide-tipped-hammer-drill-bit</v>
      </c>
      <c r="B2355" s="3" t="str">
        <f>HYPERLINK("https://edmondsonsupply.com/products/diablo-tools-dmarg1010-1-8-in-x-2-in-x-3-in-speedemon%e2%84%a2-red-granite-carbide-tipped-hammer-drill-bit", "https://edmondsonsupply.com/products/diablo-tools-dmarg1010-1-8-in-x-2-in-x-3-in-speedemon%e2%84%a2-red-granite-carbide-tipped-hammer-drill-bit")</f>
        <v>https://edmondsonsupply.com/products/diablo-tools-dmarg1010-1-8-in-x-2-in-x-3-in-speedemon%e2%84%a2-red-granite-carbide-tipped-hammer-drill-bit</v>
      </c>
      <c r="C2355" t="s">
        <v>6005</v>
      </c>
      <c r="D2355" t="s">
        <v>5145</v>
      </c>
      <c r="E2355" s="3" t="str">
        <f>HYPERLINK("https://www.amazon.com/Diablo-SPEEDemon-Granite-Carbide-Tipped/dp/B089KX38FF/ref=sr_1_2?keywords=Diablo+Tools+DMARG1010+1%2F8+in.+x+2+in.+x+3+in.+SPEEDemon%E2%84%A2+Red+Granite+Carbide+Tipped+Hammer+Drill+Bit&amp;qid=1695174243&amp;sr=8-2", "https://www.amazon.com/Diablo-SPEEDemon-Granite-Carbide-Tipped/dp/B089KX38FF/ref=sr_1_2?keywords=Diablo+Tools+DMARG1010+1%2F8+in.+x+2+in.+x+3+in.+SPEEDemon%E2%84%A2+Red+Granite+Carbide+Tipped+Hammer+Drill+Bit&amp;qid=1695174243&amp;sr=8-2")</f>
        <v>https://www.amazon.com/Diablo-SPEEDemon-Granite-Carbide-Tipped/dp/B089KX38FF/ref=sr_1_2?keywords=Diablo+Tools+DMARG1010+1%2F8+in.+x+2+in.+x+3+in.+SPEEDemon%E2%84%A2+Red+Granite+Carbide+Tipped+Hammer+Drill+Bit&amp;qid=1695174243&amp;sr=8-2</v>
      </c>
      <c r="F2355" t="s">
        <v>5146</v>
      </c>
      <c r="G2355" t="e">
        <f ca="1">_xludf.IMAGE("https://edmondsonsupply.com/cdn/shop/products/DMARG1010_Main-Image20200706.png?v=1633031180")</f>
        <v>#NAME?</v>
      </c>
      <c r="H2355" t="e">
        <f ca="1">_xludf.IMAGE("https://m.media-amazon.com/images/I/61BDYFEnTRL._AC_UL320_.jpg")</f>
        <v>#NAME?</v>
      </c>
      <c r="I2355" t="s">
        <v>6008</v>
      </c>
      <c r="J2355">
        <v>15.36</v>
      </c>
      <c r="K2355" s="4">
        <v>4.1371000000000002</v>
      </c>
      <c r="L2355">
        <v>4.5999999999999996</v>
      </c>
      <c r="M2355">
        <v>27</v>
      </c>
      <c r="O2355" t="s">
        <v>25</v>
      </c>
      <c r="P2355" t="s">
        <v>6009</v>
      </c>
      <c r="Q2355" t="s">
        <v>6010</v>
      </c>
    </row>
    <row r="2356" spans="1:17" ht="15.5" x14ac:dyDescent="0.35">
      <c r="A2356"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2356" s="3" t="str">
        <f>HYPERLINK("https://edmondsonsupply.com/products/klein-tools-vdv500-123-probe-pro-tracing-probe", "https://edmondsonsupply.com/products/klein-tools-vdv500-123-probe-pro-tracing-probe")</f>
        <v>https://edmondsonsupply.com/products/klein-tools-vdv500-123-probe-pro-tracing-probe</v>
      </c>
      <c r="C2356" t="s">
        <v>6065</v>
      </c>
      <c r="D2356" t="s">
        <v>6135</v>
      </c>
      <c r="E2356" s="3" t="str">
        <f>HYPERLINK("https://www.amazon.com/Klein-Tools-VDV501-852-Replaceable-Non-Metallic/dp/B09T71P1V2/ref=sr_1_6?keywords=Klein+Tools+VDV500-123+Probe-PRO+Tracing+Probe&amp;qid=1695173898&amp;sr=8-6", "https://www.amazon.com/Klein-Tools-VDV501-852-Replaceable-Non-Metallic/dp/B09T71P1V2/ref=sr_1_6?keywords=Klein+Tools+VDV500-123+Probe-PRO+Tracing+Probe&amp;qid=1695173898&amp;sr=8-6")</f>
        <v>https://www.amazon.com/Klein-Tools-VDV501-852-Replaceable-Non-Metallic/dp/B09T71P1V2/ref=sr_1_6?keywords=Klein+Tools+VDV500-123+Probe-PRO+Tracing+Probe&amp;qid=1695173898&amp;sr=8-6</v>
      </c>
      <c r="F2356" t="s">
        <v>6136</v>
      </c>
      <c r="G2356" t="e">
        <f ca="1">_xludf.IMAGE("https://edmondsonsupply.com/cdn/shop/products/vdv500123.jpg?v=1587142783")</f>
        <v>#NAME?</v>
      </c>
      <c r="H2356" t="e">
        <f ca="1">_xludf.IMAGE("https://m.media-amazon.com/images/I/51z8wwfmzML._AC_UY218_.jpg")</f>
        <v>#NAME?</v>
      </c>
      <c r="I2356" t="s">
        <v>946</v>
      </c>
      <c r="J2356">
        <v>229.98</v>
      </c>
      <c r="K2356" s="4">
        <v>4.1117999999999997</v>
      </c>
      <c r="L2356">
        <v>4.7</v>
      </c>
      <c r="M2356">
        <v>4</v>
      </c>
      <c r="O2356" t="s">
        <v>25</v>
      </c>
      <c r="P2356" t="s">
        <v>6068</v>
      </c>
      <c r="Q2356" t="s">
        <v>6069</v>
      </c>
    </row>
    <row r="2357" spans="1:17" ht="15.5" x14ac:dyDescent="0.35">
      <c r="A2357" s="3" t="str">
        <f>HYPERLINK("https://edmondsonsupply.com/collections/electricians-tools/products/veto-pro-pac-tp4-tool-pouch", "https://edmondsonsupply.com/collections/electricians-tools/products/veto-pro-pac-tp4-tool-pouch")</f>
        <v>https://edmondsonsupply.com/collections/electricians-tools/products/veto-pro-pac-tp4-tool-pouch</v>
      </c>
      <c r="B2357" s="3" t="str">
        <f>HYPERLINK("https://edmondsonsupply.com/products/veto-pro-pac-tp4-tool-pouch", "https://edmondsonsupply.com/products/veto-pro-pac-tp4-tool-pouch")</f>
        <v>https://edmondsonsupply.com/products/veto-pro-pac-tp4-tool-pouch</v>
      </c>
      <c r="C2357" t="s">
        <v>6137</v>
      </c>
      <c r="D2357" t="s">
        <v>6138</v>
      </c>
      <c r="E2357" s="3" t="str">
        <f>HYPERLINK("https://www.amazon.com/Veto-Pro-Pac-Xlt-Laptop-Tool/dp/B006B6IZT0/ref=sr_1_6?keywords=Veto+Pro+Pac+TP3+Tool+Bag&amp;qid=1695174238&amp;sr=8-6", "https://www.amazon.com/Veto-Pro-Pac-Xlt-Laptop-Tool/dp/B006B6IZT0/ref=sr_1_6?keywords=Veto+Pro+Pac+TP3+Tool+Bag&amp;qid=1695174238&amp;sr=8-6")</f>
        <v>https://www.amazon.com/Veto-Pro-Pac-Xlt-Laptop-Tool/dp/B006B6IZT0/ref=sr_1_6?keywords=Veto+Pro+Pac+TP3+Tool+Bag&amp;qid=1695174238&amp;sr=8-6</v>
      </c>
      <c r="F2357" t="s">
        <v>6139</v>
      </c>
      <c r="G2357" t="e">
        <f ca="1">_xludf.IMAGE("https://edmondsonsupply.com/cdn/shop/products/TP3_1.jpg?v=1587144391")</f>
        <v>#NAME?</v>
      </c>
      <c r="H2357" t="e">
        <f ca="1">_xludf.IMAGE("https://m.media-amazon.com/images/I/91ctCA+5GWL._AC_UL320_.jpg")</f>
        <v>#NAME?</v>
      </c>
      <c r="I2357" t="s">
        <v>905</v>
      </c>
      <c r="J2357">
        <v>304.95</v>
      </c>
      <c r="K2357" s="4">
        <v>4.0833000000000004</v>
      </c>
      <c r="L2357">
        <v>4.2</v>
      </c>
      <c r="M2357">
        <v>68</v>
      </c>
      <c r="O2357" t="s">
        <v>25</v>
      </c>
      <c r="P2357" t="s">
        <v>138</v>
      </c>
      <c r="Q2357" t="s">
        <v>6140</v>
      </c>
    </row>
    <row r="2358" spans="1:17" ht="15.5" x14ac:dyDescent="0.35">
      <c r="A2358" s="3" t="str">
        <f>HYPERLINK("https://edmondsonsupply.com/collections/electricians-tools/products/klein-tools-mag2-magnetizer-demagnetizer", "https://edmondsonsupply.com/collections/electricians-tools/products/klein-tools-mag2-magnetizer-demagnetizer")</f>
        <v>https://edmondsonsupply.com/collections/electricians-tools/products/klein-tools-mag2-magnetizer-demagnetizer</v>
      </c>
      <c r="B2358" s="3" t="str">
        <f>HYPERLINK("https://edmondsonsupply.com/products/klein-tools-mag2-magnetizer-demagnetizer", "https://edmondsonsupply.com/products/klein-tools-mag2-magnetizer-demagnetizer")</f>
        <v>https://edmondsonsupply.com/products/klein-tools-mag2-magnetizer-demagnetizer</v>
      </c>
      <c r="C2358" t="s">
        <v>1520</v>
      </c>
      <c r="D2358" t="s">
        <v>1603</v>
      </c>
      <c r="E2358" s="3" t="str">
        <f>HYPERLINK("https://www.amazon.com/Klein-Tools-Demagnetizer-Magnetizer-Screwdriver/dp/B09Z918LTW/ref=sr_1_8?keywords=Klein+Tools+MAG2+Magnetizer+%2F+Demagnetizer&amp;qid=1695173850&amp;sr=8-8", "https://www.amazon.com/Klein-Tools-Demagnetizer-Magnetizer-Screwdriver/dp/B09Z918LTW/ref=sr_1_8?keywords=Klein+Tools+MAG2+Magnetizer+%2F+Demagnetizer&amp;qid=1695173850&amp;sr=8-8")</f>
        <v>https://www.amazon.com/Klein-Tools-Demagnetizer-Magnetizer-Screwdriver/dp/B09Z918LTW/ref=sr_1_8?keywords=Klein+Tools+MAG2+Magnetizer+%2F+Demagnetizer&amp;qid=1695173850&amp;sr=8-8</v>
      </c>
      <c r="F2358" t="s">
        <v>1604</v>
      </c>
      <c r="G2358" t="e">
        <f ca="1">_xludf.IMAGE("https://edmondsonsupply.com/cdn/shop/products/mag2.jpg?v=1587145008")</f>
        <v>#NAME?</v>
      </c>
      <c r="H2358" t="e">
        <f ca="1">_xludf.IMAGE("https://m.media-amazon.com/images/I/51W0D7+MmSL._AC_UL320_.jpg")</f>
        <v>#NAME?</v>
      </c>
      <c r="I2358" t="s">
        <v>1427</v>
      </c>
      <c r="J2358">
        <v>49.94</v>
      </c>
      <c r="K2358" s="4">
        <v>4.0090000000000003</v>
      </c>
      <c r="L2358">
        <v>5</v>
      </c>
      <c r="M2358">
        <v>2</v>
      </c>
      <c r="O2358" t="s">
        <v>25</v>
      </c>
      <c r="P2358" t="s">
        <v>1523</v>
      </c>
      <c r="Q2358" t="s">
        <v>1524</v>
      </c>
    </row>
    <row r="2359" spans="1:17" ht="15.5" x14ac:dyDescent="0.35">
      <c r="A2359" s="3" t="str">
        <f>HYPERLINK("https://edmondsonsupply.com/collections/electricians-tools/products/klein-tools-56119-illuminated-fish-rod-tip", "https://edmondsonsupply.com/collections/electricians-tools/products/klein-tools-56119-illuminated-fish-rod-tip")</f>
        <v>https://edmondsonsupply.com/collections/electricians-tools/products/klein-tools-56119-illuminated-fish-rod-tip</v>
      </c>
      <c r="B2359" s="3" t="str">
        <f>HYPERLINK("https://edmondsonsupply.com/products/klein-tools-56119-illuminated-fish-rod-tip", "https://edmondsonsupply.com/products/klein-tools-56119-illuminated-fish-rod-tip")</f>
        <v>https://edmondsonsupply.com/products/klein-tools-56119-illuminated-fish-rod-tip</v>
      </c>
      <c r="C2359" t="s">
        <v>6104</v>
      </c>
      <c r="D2359" t="s">
        <v>6141</v>
      </c>
      <c r="E2359" s="3" t="str">
        <f>HYPERLINK("https://www.amazon.com/Illuminated-Attachments-Klein-Tools-80050/dp/B09FRBGCZD/ref=sr_1_4?keywords=Klein+Tools+56119+Illuminated+Fish+Rod+Tip&amp;qid=1695174323&amp;sr=8-4", "https://www.amazon.com/Illuminated-Attachments-Klein-Tools-80050/dp/B09FRBGCZD/ref=sr_1_4?keywords=Klein+Tools+56119+Illuminated+Fish+Rod+Tip&amp;qid=1695174323&amp;sr=8-4")</f>
        <v>https://www.amazon.com/Illuminated-Attachments-Klein-Tools-80050/dp/B09FRBGCZD/ref=sr_1_4?keywords=Klein+Tools+56119+Illuminated+Fish+Rod+Tip&amp;qid=1695174323&amp;sr=8-4</v>
      </c>
      <c r="F2359" t="s">
        <v>6142</v>
      </c>
      <c r="G2359" t="e">
        <f ca="1">_xludf.IMAGE("https://edmondsonsupply.com/cdn/shop/products/56119.jpg?v=1633030794")</f>
        <v>#NAME?</v>
      </c>
      <c r="H2359" t="e">
        <f ca="1">_xludf.IMAGE("https://m.media-amazon.com/images/I/51K8WFeudSL._AC_UL320_.jpg")</f>
        <v>#NAME?</v>
      </c>
      <c r="I2359" t="s">
        <v>2577</v>
      </c>
      <c r="J2359">
        <v>49.99</v>
      </c>
      <c r="K2359" s="4">
        <v>4.0039999999999996</v>
      </c>
      <c r="L2359">
        <v>4.3</v>
      </c>
      <c r="M2359">
        <v>22</v>
      </c>
      <c r="O2359" t="s">
        <v>25</v>
      </c>
      <c r="P2359" t="s">
        <v>6105</v>
      </c>
      <c r="Q2359" t="s">
        <v>6106</v>
      </c>
    </row>
    <row r="2360" spans="1:17" ht="15.5" x14ac:dyDescent="0.35">
      <c r="A2360" s="3" t="str">
        <f>HYPERLINK("https://edmondsonsupply.com/collections/electricians-tools/products/klein-tools-25964-step-drill-bit-spiral-double-fluted-1-8-inch-to-1-2-inch-vaco", "https://edmondsonsupply.com/collections/electricians-tools/products/klein-tools-25964-step-drill-bit-spiral-double-fluted-1-8-inch-to-1-2-inch-vaco")</f>
        <v>https://edmondsonsupply.com/collections/electricians-tools/products/klein-tools-25964-step-drill-bit-spiral-double-fluted-1-8-inch-to-1-2-inch-vaco</v>
      </c>
      <c r="B2360" s="3" t="str">
        <f>HYPERLINK("https://edmondsonsupply.com/products/klein-tools-25964-step-drill-bit-spiral-double-fluted-1-8-inch-to-1-2-inch-vaco", "https://edmondsonsupply.com/products/klein-tools-25964-step-drill-bit-spiral-double-fluted-1-8-inch-to-1-2-inch-vaco")</f>
        <v>https://edmondsonsupply.com/products/klein-tools-25964-step-drill-bit-spiral-double-fluted-1-8-inch-to-1-2-inch-vaco</v>
      </c>
      <c r="C2360" t="s">
        <v>6143</v>
      </c>
      <c r="D2360" t="s">
        <v>1979</v>
      </c>
      <c r="E2360" s="3" t="str">
        <f>HYPERLINK("https://www.amazon.com/Klein-Tools-25951-Electricians-Titanium/dp/B0BLFRJLDX/ref=sr_1_1?keywords=Klein+Tools+25964+Step+Drill+Bit%2C+Spiral+Double-Fluted%2C+1%2F8-Inch+to+1%2F2-Inch%2C+VACO&amp;qid=1695174098&amp;sr=8-1", "https://www.amazon.com/Klein-Tools-25951-Electricians-Titanium/dp/B0BLFRJLDX/ref=sr_1_1?keywords=Klein+Tools+25964+Step+Drill+Bit%2C+Spiral+Double-Fluted%2C+1%2F8-Inch+to+1%2F2-Inch%2C+VACO&amp;qid=1695174098&amp;sr=8-1")</f>
        <v>https://www.amazon.com/Klein-Tools-25951-Electricians-Titanium/dp/B0BLFRJLDX/ref=sr_1_1?keywords=Klein+Tools+25964+Step+Drill+Bit%2C+Spiral+Double-Fluted%2C+1%2F8-Inch+to+1%2F2-Inch%2C+VACO&amp;qid=1695174098&amp;sr=8-1</v>
      </c>
      <c r="F2360" t="s">
        <v>1980</v>
      </c>
      <c r="G2360" t="e">
        <f ca="1">_xludf.IMAGE("https://edmondsonsupply.com/cdn/shop/products/25964_b.jpg?v=1670940646")</f>
        <v>#NAME?</v>
      </c>
      <c r="H2360" t="e">
        <f ca="1">_xludf.IMAGE("https://m.media-amazon.com/images/I/61dZd3WvlgL._AC_UY218_.jpg")</f>
        <v>#NAME?</v>
      </c>
      <c r="I2360" t="s">
        <v>577</v>
      </c>
      <c r="J2360">
        <v>99.99</v>
      </c>
      <c r="K2360" s="4">
        <v>4.0019999999999998</v>
      </c>
      <c r="L2360">
        <v>3.8</v>
      </c>
      <c r="M2360">
        <v>6</v>
      </c>
      <c r="O2360" t="s">
        <v>25</v>
      </c>
      <c r="P2360" t="s">
        <v>6144</v>
      </c>
      <c r="Q2360" t="s">
        <v>6145</v>
      </c>
    </row>
    <row r="2361" spans="1:17" ht="15.5" x14ac:dyDescent="0.35">
      <c r="A2361"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2361"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2361" t="s">
        <v>6146</v>
      </c>
      <c r="D2361" t="s">
        <v>6147</v>
      </c>
      <c r="E2361" s="3" t="str">
        <f>HYPERLINK("https://www.amazon.com/Klein-Tools-Electrician-Screwdriver-Interchangeable/dp/B09P83P6C1/ref=sr_1_10?keywords=Klein+Tools+32288+8-in-1+Insulated+Interchangeable+Screwdriver+Set&amp;qid=1695173864&amp;sr=8-10", "https://www.amazon.com/Klein-Tools-Electrician-Screwdriver-Interchangeable/dp/B09P83P6C1/ref=sr_1_10?keywords=Klein+Tools+32288+8-in-1+Insulated+Interchangeable+Screwdriver+Set&amp;qid=1695173864&amp;sr=8-10")</f>
        <v>https://www.amazon.com/Klein-Tools-Electrician-Screwdriver-Interchangeable/dp/B09P83P6C1/ref=sr_1_10?keywords=Klein+Tools+32288+8-in-1+Insulated+Interchangeable+Screwdriver+Set&amp;qid=1695173864&amp;sr=8-10</v>
      </c>
      <c r="F2361" t="s">
        <v>6148</v>
      </c>
      <c r="G2361" t="e">
        <f ca="1">_xludf.IMAGE("https://edmondsonsupply.com/cdn/shop/products/32288.jpg?v=1587146849")</f>
        <v>#NAME?</v>
      </c>
      <c r="H2361" t="e">
        <f ca="1">_xludf.IMAGE("https://m.media-amazon.com/images/I/51oSa6ggF3L._AC_UL320_.jpg")</f>
        <v>#NAME?</v>
      </c>
      <c r="I2361" t="s">
        <v>1931</v>
      </c>
      <c r="J2361">
        <v>248.99</v>
      </c>
      <c r="K2361" s="4">
        <v>3.9807999999999999</v>
      </c>
      <c r="L2361">
        <v>5</v>
      </c>
      <c r="M2361">
        <v>14</v>
      </c>
      <c r="O2361" t="s">
        <v>25</v>
      </c>
      <c r="P2361" t="s">
        <v>1114</v>
      </c>
      <c r="Q2361" t="s">
        <v>6149</v>
      </c>
    </row>
    <row r="2362" spans="1:17" ht="15.5" x14ac:dyDescent="0.35">
      <c r="A2362"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2362" s="3" t="str">
        <f>HYPERLINK("https://edmondsonsupply.com/products/klein-tools-630-3-8-3-8-inch-nut-driver-with-3-inch-hollow-shaft", "https://edmondsonsupply.com/products/klein-tools-630-3-8-3-8-inch-nut-driver-with-3-inch-hollow-shaft")</f>
        <v>https://edmondsonsupply.com/products/klein-tools-630-3-8-3-8-inch-nut-driver-with-3-inch-hollow-shaft</v>
      </c>
      <c r="C2362" t="s">
        <v>6150</v>
      </c>
      <c r="D2362" t="s">
        <v>6151</v>
      </c>
      <c r="E2362" s="3" t="str">
        <f>HYPERLINK("https://www.amazon.com/Cushion-4-Piece-Klein-Tools-633/dp/B00508QS5I/ref=sr_1_10?keywords=Klein+Tools+630-3%2F8+3%2F8-Inch+Nut+Driver+with+3-Inch+Hollow+Shaft&amp;qid=1695174289&amp;sr=8-10", "https://www.amazon.com/Cushion-4-Piece-Klein-Tools-633/dp/B00508QS5I/ref=sr_1_10?keywords=Klein+Tools+630-3%2F8+3%2F8-Inch+Nut+Driver+with+3-Inch+Hollow+Shaft&amp;qid=1695174289&amp;sr=8-10")</f>
        <v>https://www.amazon.com/Cushion-4-Piece-Klein-Tools-633/dp/B00508QS5I/ref=sr_1_10?keywords=Klein+Tools+630-3%2F8+3%2F8-Inch+Nut+Driver+with+3-Inch+Hollow+Shaft&amp;qid=1695174289&amp;sr=8-10</v>
      </c>
      <c r="F2362" t="s">
        <v>6152</v>
      </c>
      <c r="G2362" t="e">
        <f ca="1">_xludf.IMAGE("https://edmondsonsupply.com/cdn/shop/products/630-1-2_e23f9fbd-a282-44d7-b743-2cfe0f84edfa.jpg?v=1633030906")</f>
        <v>#NAME?</v>
      </c>
      <c r="H2362" t="e">
        <f ca="1">_xludf.IMAGE("https://m.media-amazon.com/images/I/61yug3exhUS._AC_UL320_.jpg")</f>
        <v>#NAME?</v>
      </c>
      <c r="I2362" t="s">
        <v>924</v>
      </c>
      <c r="J2362">
        <v>44.05</v>
      </c>
      <c r="K2362" s="4">
        <v>3.8999000000000001</v>
      </c>
      <c r="L2362">
        <v>4.8</v>
      </c>
      <c r="M2362">
        <v>735</v>
      </c>
      <c r="O2362" t="s">
        <v>25</v>
      </c>
      <c r="P2362" t="s">
        <v>6153</v>
      </c>
      <c r="Q2362" t="s">
        <v>6154</v>
      </c>
    </row>
    <row r="2363" spans="1:17" ht="15.5" x14ac:dyDescent="0.35">
      <c r="A2363" s="3" t="str">
        <f>HYPERLINK("https://edmondsonsupply.com/collections/electricians-tools/products/klein-tools-450-001-staples-1-4-inch-x-5-16-inch-insulated", "https://edmondsonsupply.com/collections/electricians-tools/products/klein-tools-450-001-staples-1-4-inch-x-5-16-inch-insulated")</f>
        <v>https://edmondsonsupply.com/collections/electricians-tools/products/klein-tools-450-001-staples-1-4-inch-x-5-16-inch-insulated</v>
      </c>
      <c r="B2363" s="3" t="str">
        <f>HYPERLINK("https://edmondsonsupply.com/products/klein-tools-450-001-staples-1-4-inch-x-5-16-inch-insulated", "https://edmondsonsupply.com/products/klein-tools-450-001-staples-1-4-inch-x-5-16-inch-insulated")</f>
        <v>https://edmondsonsupply.com/products/klein-tools-450-001-staples-1-4-inch-x-5-16-inch-insulated</v>
      </c>
      <c r="C2363" t="s">
        <v>6155</v>
      </c>
      <c r="D2363" t="s">
        <v>6156</v>
      </c>
      <c r="E2363" s="3" t="str">
        <f>HYPERLINK("https://www.amazon.com/Klein-Tools-Insulated-Nonmetallic-Sheathed/dp/B0C1BZK9RJ/ref=sr_1_2?keywords=Klein+Tools+450-001+Staples%2C+1%2F4-Inch+x+5%2F16-Inch+Insulated&amp;qid=1695173921&amp;sr=8-2", "https://www.amazon.com/Klein-Tools-Insulated-Nonmetallic-Sheathed/dp/B0C1BZK9RJ/ref=sr_1_2?keywords=Klein+Tools+450-001+Staples%2C+1%2F4-Inch+x+5%2F16-Inch+Insulated&amp;qid=1695173921&amp;sr=8-2")</f>
        <v>https://www.amazon.com/Klein-Tools-Insulated-Nonmetallic-Sheathed/dp/B0C1BZK9RJ/ref=sr_1_2?keywords=Klein+Tools+450-001+Staples%2C+1%2F4-Inch+x+5%2F16-Inch+Insulated&amp;qid=1695173921&amp;sr=8-2</v>
      </c>
      <c r="F2363" t="s">
        <v>6157</v>
      </c>
      <c r="G2363" t="e">
        <f ca="1">_xludf.IMAGE("https://edmondsonsupply.com/cdn/shop/products/450001.jpg?v=1633030470")</f>
        <v>#NAME?</v>
      </c>
      <c r="H2363" t="e">
        <f ca="1">_xludf.IMAGE("https://m.media-amazon.com/images/I/51fityOLgOL._AC_UL320_.jpg")</f>
        <v>#NAME?</v>
      </c>
      <c r="I2363" t="s">
        <v>2577</v>
      </c>
      <c r="J2363">
        <v>48.6</v>
      </c>
      <c r="K2363" s="4">
        <v>3.8649</v>
      </c>
      <c r="L2363">
        <v>5</v>
      </c>
      <c r="M2363">
        <v>1</v>
      </c>
      <c r="O2363" t="s">
        <v>25</v>
      </c>
      <c r="P2363" t="s">
        <v>2434</v>
      </c>
      <c r="Q2363" t="s">
        <v>6158</v>
      </c>
    </row>
    <row r="2364" spans="1:17" ht="15.5" x14ac:dyDescent="0.35">
      <c r="A2364" s="3" t="str">
        <f>HYPERLINK("https://edmondsonsupply.com/collections/electricians-tools/products/klein-tools-450-002-staples-5-16-inch-x-5-16-inch-insulated", "https://edmondsonsupply.com/collections/electricians-tools/products/klein-tools-450-002-staples-5-16-inch-x-5-16-inch-insulated")</f>
        <v>https://edmondsonsupply.com/collections/electricians-tools/products/klein-tools-450-002-staples-5-16-inch-x-5-16-inch-insulated</v>
      </c>
      <c r="B2364" s="3" t="str">
        <f>HYPERLINK("https://edmondsonsupply.com/products/klein-tools-450-002-staples-5-16-inch-x-5-16-inch-insulated", "https://edmondsonsupply.com/products/klein-tools-450-002-staples-5-16-inch-x-5-16-inch-insulated")</f>
        <v>https://edmondsonsupply.com/products/klein-tools-450-002-staples-5-16-inch-x-5-16-inch-insulated</v>
      </c>
      <c r="C2364" t="s">
        <v>6159</v>
      </c>
      <c r="D2364" t="s">
        <v>6156</v>
      </c>
      <c r="E2364" s="3" t="str">
        <f>HYPERLINK("https://www.amazon.com/Klein-Tools-Insulated-Nonmetallic-Sheathed/dp/B0C1BZK9RJ/ref=sr_1_2?keywords=Klein+Tools+450-002+Staples%2C+5%2F16-Inch+x+5%2F16-Inch+Insulated&amp;qid=1695173921&amp;sr=8-2", "https://www.amazon.com/Klein-Tools-Insulated-Nonmetallic-Sheathed/dp/B0C1BZK9RJ/ref=sr_1_2?keywords=Klein+Tools+450-002+Staples%2C+5%2F16-Inch+x+5%2F16-Inch+Insulated&amp;qid=1695173921&amp;sr=8-2")</f>
        <v>https://www.amazon.com/Klein-Tools-Insulated-Nonmetallic-Sheathed/dp/B0C1BZK9RJ/ref=sr_1_2?keywords=Klein+Tools+450-002+Staples%2C+5%2F16-Inch+x+5%2F16-Inch+Insulated&amp;qid=1695173921&amp;sr=8-2</v>
      </c>
      <c r="F2364" t="s">
        <v>6157</v>
      </c>
      <c r="G2364" t="e">
        <f ca="1">_xludf.IMAGE("https://edmondsonsupply.com/cdn/shop/products/450002.jpg?v=1633030471")</f>
        <v>#NAME?</v>
      </c>
      <c r="H2364" t="e">
        <f ca="1">_xludf.IMAGE("https://m.media-amazon.com/images/I/51fityOLgOL._AC_UL320_.jpg")</f>
        <v>#NAME?</v>
      </c>
      <c r="I2364" t="s">
        <v>2577</v>
      </c>
      <c r="J2364">
        <v>48.6</v>
      </c>
      <c r="K2364" s="4">
        <v>3.8649</v>
      </c>
      <c r="L2364">
        <v>5</v>
      </c>
      <c r="M2364">
        <v>1</v>
      </c>
      <c r="O2364" t="s">
        <v>25</v>
      </c>
      <c r="P2364" t="s">
        <v>2434</v>
      </c>
      <c r="Q2364" t="s">
        <v>6160</v>
      </c>
    </row>
    <row r="2365" spans="1:17" ht="15.5" x14ac:dyDescent="0.35">
      <c r="A2365"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2365" s="3" t="str">
        <f>HYPERLINK("https://edmondsonsupply.com/products/diablo-tools-d0824x-8-1-4-in-x-24-tooth-framing-saw-blade", "https://edmondsonsupply.com/products/diablo-tools-d0824x-8-1-4-in-x-24-tooth-framing-saw-blade")</f>
        <v>https://edmondsonsupply.com/products/diablo-tools-d0824x-8-1-4-in-x-24-tooth-framing-saw-blade</v>
      </c>
      <c r="C2365" t="s">
        <v>6161</v>
      </c>
      <c r="D2365" t="s">
        <v>6162</v>
      </c>
      <c r="E2365" s="3" t="str">
        <f>HYPERLINK("https://www.amazon.com/Freud-D0824X-Diablo-4-inch-Framing/dp/B00W698NZW/ref=sr_1_3?keywords=Diablo+Tools+D0824X+8-1%2F4+in.+x+24+Tooth+Framing+Saw+Blade&amp;qid=1695174053&amp;sr=8-3", "https://www.amazon.com/Freud-D0824X-Diablo-4-inch-Framing/dp/B00W698NZW/ref=sr_1_3?keywords=Diablo+Tools+D0824X+8-1%2F4+in.+x+24+Tooth+Framing+Saw+Blade&amp;qid=1695174053&amp;sr=8-3")</f>
        <v>https://www.amazon.com/Freud-D0824X-Diablo-4-inch-Framing/dp/B00W698NZW/ref=sr_1_3?keywords=Diablo+Tools+D0824X+8-1%2F4+in.+x+24+Tooth+Framing+Saw+Blade&amp;qid=1695174053&amp;sr=8-3</v>
      </c>
      <c r="F2365" t="s">
        <v>6163</v>
      </c>
      <c r="G2365" t="e">
        <f ca="1">_xludf.IMAGE("https://edmondsonsupply.com/cdn/shop/products/waqxzlwfclzed6nt6ziy.webp?v=1678979454")</f>
        <v>#NAME?</v>
      </c>
      <c r="H2365" t="e">
        <f ca="1">_xludf.IMAGE("https://m.media-amazon.com/images/I/71yDyT660tL._AC_UL320_.jpg")</f>
        <v>#NAME?</v>
      </c>
      <c r="I2365" t="s">
        <v>6164</v>
      </c>
      <c r="J2365">
        <v>92.11</v>
      </c>
      <c r="K2365" s="4">
        <v>3.8555999999999999</v>
      </c>
      <c r="L2365">
        <v>4.8</v>
      </c>
      <c r="M2365">
        <v>8</v>
      </c>
      <c r="O2365" t="s">
        <v>25</v>
      </c>
      <c r="P2365" t="s">
        <v>6165</v>
      </c>
      <c r="Q2365" t="s">
        <v>6166</v>
      </c>
    </row>
    <row r="2366" spans="1:17" ht="15.5" x14ac:dyDescent="0.35">
      <c r="A2366" s="3" t="str">
        <f>HYPERLINK("https://edmondsonsupply.com/collections/electricians-tools/products/wiha-tools-70486-6-piece-color-coded-magnetic-nut-setter-sae-set", "https://edmondsonsupply.com/collections/electricians-tools/products/wiha-tools-70486-6-piece-color-coded-magnetic-nut-setter-sae-set")</f>
        <v>https://edmondsonsupply.com/collections/electricians-tools/products/wiha-tools-70486-6-piece-color-coded-magnetic-nut-setter-sae-set</v>
      </c>
      <c r="B2366"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2366" t="s">
        <v>1625</v>
      </c>
      <c r="D2366" t="s">
        <v>1626</v>
      </c>
      <c r="E2366" s="3" t="str">
        <f>HYPERLINK("https://www.amazon.com/Wiha-Phillips-Insulated-Screwdriver-Magnetic/dp/B0CB14SYQX/ref=sr_1_9?keywords=Wiha+Tools+70486+6+Piece+Color+Coded+Magnetic+Nut+Setter+SAE+Set&amp;qid=1695173976&amp;sr=8-9", "https://www.amazon.com/Wiha-Phillips-Insulated-Screwdriver-Magnetic/dp/B0CB14SYQX/ref=sr_1_9?keywords=Wiha+Tools+70486+6+Piece+Color+Coded+Magnetic+Nut+Setter+SAE+Set&amp;qid=1695173976&amp;sr=8-9")</f>
        <v>https://www.amazon.com/Wiha-Phillips-Insulated-Screwdriver-Magnetic/dp/B0CB14SYQX/ref=sr_1_9?keywords=Wiha+Tools+70486+6+Piece+Color+Coded+Magnetic+Nut+Setter+SAE+Set&amp;qid=1695173976&amp;sr=8-9</v>
      </c>
      <c r="F2366" t="s">
        <v>1627</v>
      </c>
      <c r="G2366" t="e">
        <f ca="1">_xludf.IMAGE("https://edmondsonsupply.com/cdn/shop/files/yd5nbnqyuwli1mnwhztl_1000x_327efac2-5e06-44b8-a018-f96fc21e85ad.webp?v=1690908507")</f>
        <v>#NAME?</v>
      </c>
      <c r="H2366" t="e">
        <f ca="1">_xludf.IMAGE("https://m.media-amazon.com/images/I/511D0NYOQgL._AC_UL320_.jpg")</f>
        <v>#NAME?</v>
      </c>
      <c r="I2366" t="s">
        <v>1628</v>
      </c>
      <c r="J2366">
        <v>192.85</v>
      </c>
      <c r="K2366" s="4">
        <v>3.8237000000000001</v>
      </c>
      <c r="L2366">
        <v>4.8</v>
      </c>
      <c r="M2366">
        <v>58</v>
      </c>
      <c r="O2366" t="s">
        <v>25</v>
      </c>
      <c r="P2366" t="s">
        <v>1629</v>
      </c>
      <c r="Q2366" t="s">
        <v>1630</v>
      </c>
    </row>
    <row r="2367" spans="1:17" ht="15.5" x14ac:dyDescent="0.35">
      <c r="A2367"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2367" s="3" t="str">
        <f>HYPERLINK("https://edmondsonsupply.com/products/klein-tools-jth9m5-5-mm-hex-key-journeyman-t-handle-9-inch", "https://edmondsonsupply.com/products/klein-tools-jth9m5-5-mm-hex-key-journeyman-t-handle-9-inch")</f>
        <v>https://edmondsonsupply.com/products/klein-tools-jth9m5-5-mm-hex-key-journeyman-t-handle-9-inch</v>
      </c>
      <c r="C2367" t="s">
        <v>6167</v>
      </c>
      <c r="D2367" t="s">
        <v>3119</v>
      </c>
      <c r="E2367" s="3" t="str">
        <f>HYPERLINK("https://www.amazon.com/Journeyman-T-Handle-Klein-Tools-JTH9E17/dp/B004QV6NL4/ref=sr_1_8?keywords=Klein+Tools+JTH9M5+5+mm+Hex+Key%2C+Journeyman+T-Handle+9-Inch&amp;qid=1695174264&amp;sr=8-8", "https://www.amazon.com/Journeyman-T-Handle-Klein-Tools-JTH9E17/dp/B004QV6NL4/ref=sr_1_8?keywords=Klein+Tools+JTH9M5+5+mm+Hex+Key%2C+Journeyman+T-Handle+9-Inch&amp;qid=1695174264&amp;sr=8-8")</f>
        <v>https://www.amazon.com/Journeyman-T-Handle-Klein-Tools-JTH9E17/dp/B004QV6NL4/ref=sr_1_8?keywords=Klein+Tools+JTH9M5+5+mm+Hex+Key%2C+Journeyman+T-Handle+9-Inch&amp;qid=1695174264&amp;sr=8-8</v>
      </c>
      <c r="F2367" t="s">
        <v>3120</v>
      </c>
      <c r="G2367" t="e">
        <f ca="1">_xludf.IMAGE("https://edmondsonsupply.com/cdn/shop/products/jth9m_84ad507b-889a-4b5c-80a2-9633c898cd48.jpg?v=1633031048")</f>
        <v>#NAME?</v>
      </c>
      <c r="H2367" t="e">
        <f ca="1">_xludf.IMAGE("https://m.media-amazon.com/images/I/51Yb8h41vLL._AC_UL320_.jpg")</f>
        <v>#NAME?</v>
      </c>
      <c r="I2367" t="s">
        <v>2388</v>
      </c>
      <c r="J2367">
        <v>23.99</v>
      </c>
      <c r="K2367" s="4">
        <v>3.8075999999999999</v>
      </c>
      <c r="L2367">
        <v>4.8</v>
      </c>
      <c r="M2367">
        <v>194</v>
      </c>
      <c r="O2367" t="s">
        <v>25</v>
      </c>
      <c r="P2367" t="s">
        <v>6168</v>
      </c>
      <c r="Q2367" t="s">
        <v>6169</v>
      </c>
    </row>
    <row r="2368" spans="1:17" ht="15.5" x14ac:dyDescent="0.35">
      <c r="A2368" s="3" t="str">
        <f>HYPERLINK("https://edmondsonsupply.com/collections/electricians-tools/products/rack-a-tiers-65300-ladder-mate", "https://edmondsonsupply.com/collections/electricians-tools/products/rack-a-tiers-65300-ladder-mate")</f>
        <v>https://edmondsonsupply.com/collections/electricians-tools/products/rack-a-tiers-65300-ladder-mate</v>
      </c>
      <c r="B2368" s="3" t="str">
        <f>HYPERLINK("https://edmondsonsupply.com/products/rack-a-tiers-65300-ladder-mate", "https://edmondsonsupply.com/products/rack-a-tiers-65300-ladder-mate")</f>
        <v>https://edmondsonsupply.com/products/rack-a-tiers-65300-ladder-mate</v>
      </c>
      <c r="C2368" t="s">
        <v>257</v>
      </c>
      <c r="D2368" t="s">
        <v>258</v>
      </c>
      <c r="E2368" s="3" t="str">
        <f>HYPERLINK("https://www.amazon.com/Rack-Tiers-Ladder-Mate-Robust/dp/B09XLRBG8D/ref=sr_1_3?keywords=Rack-A-Tiers+65300+Ladder+Mate&amp;qid=1695173847&amp;sr=8-3", "https://www.amazon.com/Rack-Tiers-Ladder-Mate-Robust/dp/B09XLRBG8D/ref=sr_1_3?keywords=Rack-A-Tiers+65300+Ladder+Mate&amp;qid=1695173847&amp;sr=8-3")</f>
        <v>https://www.amazon.com/Rack-Tiers-Ladder-Mate-Robust/dp/B09XLRBG8D/ref=sr_1_3?keywords=Rack-A-Tiers+65300+Ladder+Mate&amp;qid=1695173847&amp;sr=8-3</v>
      </c>
      <c r="F2368" t="s">
        <v>259</v>
      </c>
      <c r="G2368" t="e">
        <f ca="1">_xludf.IMAGE("https://edmondsonsupply.com/cdn/shop/products/65300-Ladder-Mate.png?v=1633031066")</f>
        <v>#NAME?</v>
      </c>
      <c r="H2368" t="e">
        <f ca="1">_xludf.IMAGE("https://m.media-amazon.com/images/I/41fRbR1BozL._AC_UL320_.jpg")</f>
        <v>#NAME?</v>
      </c>
      <c r="I2368" t="s">
        <v>260</v>
      </c>
      <c r="J2368">
        <v>160.35</v>
      </c>
      <c r="K2368" s="4">
        <v>3.7879999999999998</v>
      </c>
      <c r="L2368">
        <v>5</v>
      </c>
      <c r="M2368">
        <v>2</v>
      </c>
      <c r="O2368" t="s">
        <v>25</v>
      </c>
      <c r="P2368" t="s">
        <v>261</v>
      </c>
      <c r="Q2368" t="s">
        <v>262</v>
      </c>
    </row>
    <row r="2369" spans="1:17" ht="15.5" x14ac:dyDescent="0.35">
      <c r="A2369"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369" s="3" t="str">
        <f>HYPERLINK("https://edmondsonsupply.com/products/klein-tools-69417-rare-earth-magnetic-meter-hanger", "https://edmondsonsupply.com/products/klein-tools-69417-rare-earth-magnetic-meter-hanger")</f>
        <v>https://edmondsonsupply.com/products/klein-tools-69417-rare-earth-magnetic-meter-hanger</v>
      </c>
      <c r="C2369" t="s">
        <v>1413</v>
      </c>
      <c r="D2369" t="s">
        <v>1642</v>
      </c>
      <c r="E2369" s="3" t="str">
        <f>HYPERLINK("https://www.amazon.com/Multimeter-Electrical-Non-Contact-Klein-Tools/dp/B0CF2CFS1D/ref=sr_1_2?keywords=Klein+Tools+69417+Rare+Earth+Magnetic+Meter+Hanger%2C+with+Strap&amp;qid=1695173948&amp;sr=8-2", "https://www.amazon.com/Multimeter-Electrical-Non-Contact-Klein-Tools/dp/B0CF2CFS1D/ref=sr_1_2?keywords=Klein+Tools+69417+Rare+Earth+Magnetic+Meter+Hanger%2C+with+Strap&amp;qid=1695173948&amp;sr=8-2")</f>
        <v>https://www.amazon.com/Multimeter-Electrical-Non-Contact-Klein-Tools/dp/B0CF2CFS1D/ref=sr_1_2?keywords=Klein+Tools+69417+Rare+Earth+Magnetic+Meter+Hanger%2C+with+Strap&amp;qid=1695173948&amp;sr=8-2</v>
      </c>
      <c r="F2369" t="s">
        <v>1643</v>
      </c>
      <c r="G2369" t="e">
        <f ca="1">_xludf.IMAGE("https://edmondsonsupply.com/cdn/shop/products/69417.jpg?v=1587150163")</f>
        <v>#NAME?</v>
      </c>
      <c r="H2369" t="e">
        <f ca="1">_xludf.IMAGE("https://m.media-amazon.com/images/I/5182bo0BHaL._AC_UL320_.jpg")</f>
        <v>#NAME?</v>
      </c>
      <c r="I2369" t="s">
        <v>288</v>
      </c>
      <c r="J2369">
        <v>66.48</v>
      </c>
      <c r="K2369" s="4">
        <v>3.7519999999999998</v>
      </c>
      <c r="L2369">
        <v>4.8</v>
      </c>
      <c r="M2369">
        <v>1458</v>
      </c>
      <c r="O2369" t="s">
        <v>25</v>
      </c>
      <c r="P2369" t="s">
        <v>845</v>
      </c>
      <c r="Q2369" t="s">
        <v>1416</v>
      </c>
    </row>
    <row r="2370" spans="1:17" ht="15.5" x14ac:dyDescent="0.35">
      <c r="A2370"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2370" s="3" t="str">
        <f>HYPERLINK("https://edmondsonsupply.com/products/klein-tools-66076-flip-impact-socket-9-16-and-1-2-inch", "https://edmondsonsupply.com/products/klein-tools-66076-flip-impact-socket-9-16-and-1-2-inch")</f>
        <v>https://edmondsonsupply.com/products/klein-tools-66076-flip-impact-socket-9-16-and-1-2-inch</v>
      </c>
      <c r="C2370" t="s">
        <v>6085</v>
      </c>
      <c r="D2370" t="s">
        <v>6126</v>
      </c>
      <c r="E2370" s="3" t="str">
        <f>HYPERLINK("https://www.amazon.com/Klein-Tools-66031-Slotted-12-Point/dp/B08R6FL5P8/ref=sr_1_4?keywords=Klein+Tools+66076+Flip+Impact+Socket%2C+9%2F16+and+1%2F2-Inch&amp;qid=1695174172&amp;sr=8-4", "https://www.amazon.com/Klein-Tools-66031-Slotted-12-Point/dp/B08R6FL5P8/ref=sr_1_4?keywords=Klein+Tools+66076+Flip+Impact+Socket%2C+9%2F16+and+1%2F2-Inch&amp;qid=1695174172&amp;sr=8-4")</f>
        <v>https://www.amazon.com/Klein-Tools-66031-Slotted-12-Point/dp/B08R6FL5P8/ref=sr_1_4?keywords=Klein+Tools+66076+Flip+Impact+Socket%2C+9%2F16+and+1%2F2-Inch&amp;qid=1695174172&amp;sr=8-4</v>
      </c>
      <c r="F2370" t="s">
        <v>6127</v>
      </c>
      <c r="G2370" t="e">
        <f ca="1">_xludf.IMAGE("https://edmondsonsupply.com/cdn/shop/products/66076.jpg?v=1663083814")</f>
        <v>#NAME?</v>
      </c>
      <c r="H2370" t="e">
        <f ca="1">_xludf.IMAGE("https://m.media-amazon.com/images/I/51mIf57QKuL._AC_UL320_.jpg")</f>
        <v>#NAME?</v>
      </c>
      <c r="I2370" t="s">
        <v>6086</v>
      </c>
      <c r="J2370">
        <v>49.99</v>
      </c>
      <c r="K2370" s="4">
        <v>3.6676000000000002</v>
      </c>
      <c r="L2370">
        <v>4.8</v>
      </c>
      <c r="M2370">
        <v>662</v>
      </c>
      <c r="O2370" t="s">
        <v>25</v>
      </c>
      <c r="P2370" t="s">
        <v>6087</v>
      </c>
      <c r="Q2370" t="s">
        <v>6088</v>
      </c>
    </row>
    <row r="2371" spans="1:17" ht="15.5" x14ac:dyDescent="0.35">
      <c r="A2371"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2371" s="3" t="str">
        <f>HYPERLINK("https://edmondsonsupply.com/products/klein-tools-66076-flip-impact-socket-9-16-and-1-2-inch", "https://edmondsonsupply.com/products/klein-tools-66076-flip-impact-socket-9-16-and-1-2-inch")</f>
        <v>https://edmondsonsupply.com/products/klein-tools-66076-flip-impact-socket-9-16-and-1-2-inch</v>
      </c>
      <c r="C2371" t="s">
        <v>6085</v>
      </c>
      <c r="D2371" t="s">
        <v>1834</v>
      </c>
      <c r="E2371" s="3" t="str">
        <f>HYPERLINK("https://www.amazon.com/Klein-Tools-66070-Sockets-Adapters/dp/B0B33XLXD1/ref=sr_1_1?keywords=Klein+Tools+66076+Flip+Impact+Socket%2C+9%2F16+and+1%2F2-Inch&amp;qid=1695174172&amp;sr=8-1", "https://www.amazon.com/Klein-Tools-66070-Sockets-Adapters/dp/B0B33XLXD1/ref=sr_1_1?keywords=Klein+Tools+66076+Flip+Impact+Socket%2C+9%2F16+and+1%2F2-Inch&amp;qid=1695174172&amp;sr=8-1")</f>
        <v>https://www.amazon.com/Klein-Tools-66070-Sockets-Adapters/dp/B0B33XLXD1/ref=sr_1_1?keywords=Klein+Tools+66076+Flip+Impact+Socket%2C+9%2F16+and+1%2F2-Inch&amp;qid=1695174172&amp;sr=8-1</v>
      </c>
      <c r="F2371" t="s">
        <v>2106</v>
      </c>
      <c r="G2371" t="e">
        <f ca="1">_xludf.IMAGE("https://edmondsonsupply.com/cdn/shop/products/66076.jpg?v=1663083814")</f>
        <v>#NAME?</v>
      </c>
      <c r="H2371" t="e">
        <f ca="1">_xludf.IMAGE("https://m.media-amazon.com/images/I/71D23SffznL._AC_UL320_.jpg")</f>
        <v>#NAME?</v>
      </c>
      <c r="I2371" t="s">
        <v>6086</v>
      </c>
      <c r="J2371">
        <v>49.97</v>
      </c>
      <c r="K2371" s="4">
        <v>3.6657000000000002</v>
      </c>
      <c r="L2371">
        <v>4.8</v>
      </c>
      <c r="M2371">
        <v>1158</v>
      </c>
      <c r="O2371" t="s">
        <v>25</v>
      </c>
      <c r="P2371" t="s">
        <v>6087</v>
      </c>
      <c r="Q2371" t="s">
        <v>6088</v>
      </c>
    </row>
    <row r="2372" spans="1:17" ht="15.5" x14ac:dyDescent="0.35">
      <c r="A2372" s="3" t="str">
        <f>HYPERLINK("https://edmondsonsupply.com/collections/electricians-tools/products/greenlee-608-1-2-foam-conduit-piston", "https://edmondsonsupply.com/collections/electricians-tools/products/greenlee-608-1-2-foam-conduit-piston")</f>
        <v>https://edmondsonsupply.com/collections/electricians-tools/products/greenlee-608-1-2-foam-conduit-piston</v>
      </c>
      <c r="B2372" s="3" t="str">
        <f>HYPERLINK("https://edmondsonsupply.com/products/greenlee-608-1-2-foam-conduit-piston", "https://edmondsonsupply.com/products/greenlee-608-1-2-foam-conduit-piston")</f>
        <v>https://edmondsonsupply.com/products/greenlee-608-1-2-foam-conduit-piston</v>
      </c>
      <c r="C2372" t="s">
        <v>6170</v>
      </c>
      <c r="D2372" t="s">
        <v>6171</v>
      </c>
      <c r="E2372" s="3" t="str">
        <f>HYPERLINK("https://www.amazon.com/Greenlee-613-Piston-Conduit-Pack/dp/B0184XZKN6/ref=sr_1_8?keywords=Greenlee+608+1%2F2%22+Foam+Conduit+Piston&amp;qid=1695173994&amp;sr=8-8", "https://www.amazon.com/Greenlee-613-Piston-Conduit-Pack/dp/B0184XZKN6/ref=sr_1_8?keywords=Greenlee+608+1%2F2%22+Foam+Conduit+Piston&amp;qid=1695173994&amp;sr=8-8")</f>
        <v>https://www.amazon.com/Greenlee-613-Piston-Conduit-Pack/dp/B0184XZKN6/ref=sr_1_8?keywords=Greenlee+608+1%2F2%22+Foam+Conduit+Piston&amp;qid=1695173994&amp;sr=8-8</v>
      </c>
      <c r="F2372" t="s">
        <v>6172</v>
      </c>
      <c r="G2372" t="e">
        <f ca="1">_xludf.IMAGE("https://edmondsonsupply.com/cdn/shop/files/608_2.png?v=1687446700")</f>
        <v>#NAME?</v>
      </c>
      <c r="H2372" t="e">
        <f ca="1">_xludf.IMAGE("https://m.media-amazon.com/images/I/51w6IU+nu3L._AC_UL320_.jpg")</f>
        <v>#NAME?</v>
      </c>
      <c r="I2372" t="s">
        <v>2639</v>
      </c>
      <c r="J2372">
        <v>27.79</v>
      </c>
      <c r="K2372" s="4">
        <v>3.6394000000000002</v>
      </c>
      <c r="L2372">
        <v>5</v>
      </c>
      <c r="M2372">
        <v>5</v>
      </c>
      <c r="O2372" t="s">
        <v>25</v>
      </c>
      <c r="P2372" t="s">
        <v>138</v>
      </c>
      <c r="Q2372" t="s">
        <v>6173</v>
      </c>
    </row>
    <row r="2373" spans="1:17" ht="15.5" x14ac:dyDescent="0.35">
      <c r="A2373" s="3" t="str">
        <f>HYPERLINK("https://edmondsonsupply.com/collections/electricians-tools/products/greenlee-608-1-2-foam-conduit-piston", "https://edmondsonsupply.com/collections/electricians-tools/products/greenlee-608-1-2-foam-conduit-piston")</f>
        <v>https://edmondsonsupply.com/collections/electricians-tools/products/greenlee-608-1-2-foam-conduit-piston</v>
      </c>
      <c r="B2373" s="3" t="str">
        <f>HYPERLINK("https://edmondsonsupply.com/products/greenlee-608-1-2-foam-conduit-piston", "https://edmondsonsupply.com/products/greenlee-608-1-2-foam-conduit-piston")</f>
        <v>https://edmondsonsupply.com/products/greenlee-608-1-2-foam-conduit-piston</v>
      </c>
      <c r="C2373" t="s">
        <v>6170</v>
      </c>
      <c r="D2373" t="s">
        <v>6174</v>
      </c>
      <c r="E2373" s="3" t="str">
        <f>HYPERLINK("https://www.amazon.com/Greenlee-608-5-Piston-Conduit-Types/dp/B002KLW92E/ref=sr_1_1?keywords=Greenlee+608+1%2F2%22+Foam+Conduit+Piston&amp;qid=1695173994&amp;sr=8-1", "https://www.amazon.com/Greenlee-608-5-Piston-Conduit-Types/dp/B002KLW92E/ref=sr_1_1?keywords=Greenlee+608+1%2F2%22+Foam+Conduit+Piston&amp;qid=1695173994&amp;sr=8-1")</f>
        <v>https://www.amazon.com/Greenlee-608-5-Piston-Conduit-Types/dp/B002KLW92E/ref=sr_1_1?keywords=Greenlee+608+1%2F2%22+Foam+Conduit+Piston&amp;qid=1695173994&amp;sr=8-1</v>
      </c>
      <c r="F2373" t="s">
        <v>6175</v>
      </c>
      <c r="G2373" t="e">
        <f ca="1">_xludf.IMAGE("https://edmondsonsupply.com/cdn/shop/files/608_2.png?v=1687446700")</f>
        <v>#NAME?</v>
      </c>
      <c r="H2373" t="e">
        <f ca="1">_xludf.IMAGE("https://m.media-amazon.com/images/I/91OtGaHrzYL._AC_UL320_.jpg")</f>
        <v>#NAME?</v>
      </c>
      <c r="I2373" t="s">
        <v>2639</v>
      </c>
      <c r="J2373">
        <v>27.35</v>
      </c>
      <c r="K2373" s="4">
        <v>3.5659000000000001</v>
      </c>
      <c r="L2373">
        <v>4.5</v>
      </c>
      <c r="M2373">
        <v>24</v>
      </c>
      <c r="O2373" t="s">
        <v>25</v>
      </c>
      <c r="P2373" t="s">
        <v>138</v>
      </c>
      <c r="Q2373" t="s">
        <v>6173</v>
      </c>
    </row>
    <row r="2374" spans="1:17" ht="15.5" x14ac:dyDescent="0.35">
      <c r="A2374"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2374" s="3" t="str">
        <f>HYPERLINK("https://edmondsonsupply.com/products/klein-tools-51611-1-2-inch-angle-setter%e2%84%a2", "https://edmondsonsupply.com/products/klein-tools-51611-1-2-inch-angle-setter%e2%84%a2")</f>
        <v>https://edmondsonsupply.com/products/klein-tools-51611-1-2-inch-angle-setter%e2%84%a2</v>
      </c>
      <c r="C2374" t="s">
        <v>6100</v>
      </c>
      <c r="D2374" t="s">
        <v>6176</v>
      </c>
      <c r="E2374" s="3" t="str">
        <f>HYPERLINK("https://www.amazon.com/Aluminum-Benchmark-Technology-Klein-Tools/dp/B08L41G5G5/ref=sr_1_7?keywords=Klein+Tools+51611+1%2F2-Inch+Angle+Setter%E2%84%A2&amp;qid=1695174192&amp;sr=8-7", "https://www.amazon.com/Aluminum-Benchmark-Technology-Klein-Tools/dp/B08L41G5G5/ref=sr_1_7?keywords=Klein+Tools+51611+1%2F2-Inch+Angle+Setter%E2%84%A2&amp;qid=1695174192&amp;sr=8-7")</f>
        <v>https://www.amazon.com/Aluminum-Benchmark-Technology-Klein-Tools/dp/B08L41G5G5/ref=sr_1_7?keywords=Klein+Tools+51611+1%2F2-Inch+Angle+Setter%E2%84%A2&amp;qid=1695174192&amp;sr=8-7</v>
      </c>
      <c r="F2374" t="s">
        <v>6177</v>
      </c>
      <c r="G2374" t="e">
        <f ca="1">_xludf.IMAGE("https://edmondsonsupply.com/cdn/shop/products/51611.jpg?v=1661976456")</f>
        <v>#NAME?</v>
      </c>
      <c r="H2374" t="e">
        <f ca="1">_xludf.IMAGE("https://m.media-amazon.com/images/I/419ZjlOD69L._AC_UL320_.jpg")</f>
        <v>#NAME?</v>
      </c>
      <c r="I2374" t="s">
        <v>1427</v>
      </c>
      <c r="J2374">
        <v>44.99</v>
      </c>
      <c r="K2374" s="4">
        <v>3.5125000000000002</v>
      </c>
      <c r="L2374">
        <v>4.7</v>
      </c>
      <c r="M2374">
        <v>343</v>
      </c>
      <c r="O2374" t="s">
        <v>25</v>
      </c>
      <c r="P2374" t="s">
        <v>6045</v>
      </c>
      <c r="Q2374" t="s">
        <v>6103</v>
      </c>
    </row>
    <row r="2375" spans="1:17" ht="15.5" x14ac:dyDescent="0.35">
      <c r="A2375" s="3" t="str">
        <f>HYPERLINK("https://edmondsonsupply.com/collections/electricians-tools/products/klein-tools-51612-3-4-inch-angle-setter%E2%84%A2", "https://edmondsonsupply.com/collections/electricians-tools/products/klein-tools-51612-3-4-inch-angle-setter%E2%84%A2")</f>
        <v>https://edmondsonsupply.com/collections/electricians-tools/products/klein-tools-51612-3-4-inch-angle-setter%E2%84%A2</v>
      </c>
      <c r="B2375" s="3" t="str">
        <f>HYPERLINK("https://edmondsonsupply.com/products/klein-tools-51612-3-4-inch-angle-setter%e2%84%a2", "https://edmondsonsupply.com/products/klein-tools-51612-3-4-inch-angle-setter%e2%84%a2")</f>
        <v>https://edmondsonsupply.com/products/klein-tools-51612-3-4-inch-angle-setter%e2%84%a2</v>
      </c>
      <c r="C2375" t="s">
        <v>6042</v>
      </c>
      <c r="D2375" t="s">
        <v>6178</v>
      </c>
      <c r="E2375" s="3" t="str">
        <f>HYPERLINK("https://www.amazon.com/Conduit-Bender-Klein-Tools-51609/dp/B08VYFHL9J/ref=sr_1_2?keywords=Klein+Tools+51612+3%2F4-Inch+Angle+Setter%E2%84%A2&amp;qid=1695174172&amp;sr=8-2", "https://www.amazon.com/Conduit-Bender-Klein-Tools-51609/dp/B08VYFHL9J/ref=sr_1_2?keywords=Klein+Tools+51612+3%2F4-Inch+Angle+Setter%E2%84%A2&amp;qid=1695174172&amp;sr=8-2")</f>
        <v>https://www.amazon.com/Conduit-Bender-Klein-Tools-51609/dp/B08VYFHL9J/ref=sr_1_2?keywords=Klein+Tools+51612+3%2F4-Inch+Angle+Setter%E2%84%A2&amp;qid=1695174172&amp;sr=8-2</v>
      </c>
      <c r="F2375" t="s">
        <v>6179</v>
      </c>
      <c r="G2375" t="e">
        <f ca="1">_xludf.IMAGE("https://edmondsonsupply.com/cdn/shop/products/51612.jpg?v=1661977736")</f>
        <v>#NAME?</v>
      </c>
      <c r="H2375" t="e">
        <f ca="1">_xludf.IMAGE("https://m.media-amazon.com/images/I/61KifnC2xML._AC_UL320_.jpg")</f>
        <v>#NAME?</v>
      </c>
      <c r="I2375" t="s">
        <v>1427</v>
      </c>
      <c r="J2375">
        <v>44.99</v>
      </c>
      <c r="K2375" s="4">
        <v>3.5125000000000002</v>
      </c>
      <c r="L2375">
        <v>4.2</v>
      </c>
      <c r="M2375">
        <v>31</v>
      </c>
      <c r="O2375" t="s">
        <v>25</v>
      </c>
      <c r="P2375" t="s">
        <v>6045</v>
      </c>
      <c r="Q2375" t="s">
        <v>6046</v>
      </c>
    </row>
    <row r="2376" spans="1:17" ht="15.5" x14ac:dyDescent="0.35">
      <c r="A2376" s="3" t="str">
        <f>HYPERLINK("https://edmondsonsupply.com/collections/electricians-tools/products/veto-pro-pac-tp4-tool-pouch", "https://edmondsonsupply.com/collections/electricians-tools/products/veto-pro-pac-tp4-tool-pouch")</f>
        <v>https://edmondsonsupply.com/collections/electricians-tools/products/veto-pro-pac-tp4-tool-pouch</v>
      </c>
      <c r="B2376" s="3" t="str">
        <f>HYPERLINK("https://edmondsonsupply.com/products/veto-pro-pac-tp4-tool-pouch", "https://edmondsonsupply.com/products/veto-pro-pac-tp4-tool-pouch")</f>
        <v>https://edmondsonsupply.com/products/veto-pro-pac-tp4-tool-pouch</v>
      </c>
      <c r="C2376" t="s">
        <v>6137</v>
      </c>
      <c r="D2376" t="s">
        <v>748</v>
      </c>
      <c r="E2376" s="3" t="str">
        <f>HYPERLINK("https://www.amazon.com/VETO-PRO-PAC-OT-XL-Tool/dp/B000VKSAQK/ref=sr_1_5?keywords=Veto+Pro+Pac+TP3+Tool+Bag&amp;qid=1695174238&amp;sr=8-5", "https://www.amazon.com/VETO-PRO-PAC-OT-XL-Tool/dp/B000VKSAQK/ref=sr_1_5?keywords=Veto+Pro+Pac+TP3+Tool+Bag&amp;qid=1695174238&amp;sr=8-5")</f>
        <v>https://www.amazon.com/VETO-PRO-PAC-OT-XL-Tool/dp/B000VKSAQK/ref=sr_1_5?keywords=Veto+Pro+Pac+TP3+Tool+Bag&amp;qid=1695174238&amp;sr=8-5</v>
      </c>
      <c r="F2376" t="s">
        <v>749</v>
      </c>
      <c r="G2376" t="e">
        <f ca="1">_xludf.IMAGE("https://edmondsonsupply.com/cdn/shop/products/TP3_1.jpg?v=1587144391")</f>
        <v>#NAME?</v>
      </c>
      <c r="H2376" t="e">
        <f ca="1">_xludf.IMAGE("https://m.media-amazon.com/images/I/61meVw9HeQL._AC_UL320_.jpg")</f>
        <v>#NAME?</v>
      </c>
      <c r="I2376" t="s">
        <v>905</v>
      </c>
      <c r="J2376">
        <v>269.95</v>
      </c>
      <c r="K2376" s="4">
        <v>3.4998999999999998</v>
      </c>
      <c r="L2376">
        <v>4.7</v>
      </c>
      <c r="M2376">
        <v>281</v>
      </c>
      <c r="O2376" t="s">
        <v>25</v>
      </c>
      <c r="P2376" t="s">
        <v>138</v>
      </c>
      <c r="Q2376" t="s">
        <v>6140</v>
      </c>
    </row>
    <row r="2377" spans="1:17" ht="15.5" x14ac:dyDescent="0.35">
      <c r="A2377"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2377" s="3" t="str">
        <f>HYPERLINK("https://edmondsonsupply.com/products/klein-tools-31918-bi-metal-hole-saw-1-1-8-inch", "https://edmondsonsupply.com/products/klein-tools-31918-bi-metal-hole-saw-1-1-8-inch")</f>
        <v>https://edmondsonsupply.com/products/klein-tools-31918-bi-metal-hole-saw-1-1-8-inch</v>
      </c>
      <c r="C2377" t="s">
        <v>6001</v>
      </c>
      <c r="D2377" t="s">
        <v>6180</v>
      </c>
      <c r="E2377" s="3" t="str">
        <f>HYPERLINK("https://www.amazon.com/8-Inch-Carbide-Klein-Tools-31856/dp/B00776T2XQ/ref=sr_1_2?keywords=Klein+Tools+31918+Bi-Metal+Hole+Saw%2C+1-1%2F8-Inch&amp;qid=1695174116&amp;sr=8-2", "https://www.amazon.com/8-Inch-Carbide-Klein-Tools-31856/dp/B00776T2XQ/ref=sr_1_2?keywords=Klein+Tools+31918+Bi-Metal+Hole+Saw%2C+1-1%2F8-Inch&amp;qid=1695174116&amp;sr=8-2")</f>
        <v>https://www.amazon.com/8-Inch-Carbide-Klein-Tools-31856/dp/B00776T2XQ/ref=sr_1_2?keywords=Klein+Tools+31918+Bi-Metal+Hole+Saw%2C+1-1%2F8-Inch&amp;qid=1695174116&amp;sr=8-2</v>
      </c>
      <c r="F2377" t="s">
        <v>6181</v>
      </c>
      <c r="G2377" t="e">
        <f ca="1">_xludf.IMAGE("https://edmondsonsupply.com/cdn/shop/products/31918.jpg?v=1669739998")</f>
        <v>#NAME?</v>
      </c>
      <c r="H2377" t="e">
        <f ca="1">_xludf.IMAGE("https://m.media-amazon.com/images/I/41TKex1GIjL._AC_UL320_.jpg")</f>
        <v>#NAME?</v>
      </c>
      <c r="I2377" t="s">
        <v>1003</v>
      </c>
      <c r="J2377">
        <v>34.99</v>
      </c>
      <c r="K2377" s="4">
        <v>3.3792</v>
      </c>
      <c r="L2377">
        <v>4.5</v>
      </c>
      <c r="M2377">
        <v>473</v>
      </c>
      <c r="O2377" t="s">
        <v>25</v>
      </c>
      <c r="P2377" t="s">
        <v>2841</v>
      </c>
      <c r="Q2377" t="s">
        <v>6004</v>
      </c>
    </row>
    <row r="2378" spans="1:17" ht="15.5" x14ac:dyDescent="0.35">
      <c r="A2378"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2378" s="3" t="str">
        <f>HYPERLINK("https://edmondsonsupply.com/products/gorilla-glue-107450-original-gorilla-glue-20z-bottle", "https://edmondsonsupply.com/products/gorilla-glue-107450-original-gorilla-glue-20z-bottle")</f>
        <v>https://edmondsonsupply.com/products/gorilla-glue-107450-original-gorilla-glue-20z-bottle</v>
      </c>
      <c r="C2378" t="s">
        <v>6030</v>
      </c>
      <c r="D2378" t="s">
        <v>6182</v>
      </c>
      <c r="E2378" s="3" t="str">
        <f>HYPERLINK("https://www.amazon.com/Gorilla-Original-Waterproof-Polyurethane-Bottle/dp/B0000223UU/ref=sr_1_8?keywords=Gorilla+Glue+107450+Original+Gorilla+Glue%2C+2oz.+bottle&amp;qid=1695174069&amp;sr=8-8", "https://www.amazon.com/Gorilla-Original-Waterproof-Polyurethane-Bottle/dp/B0000223UU/ref=sr_1_8?keywords=Gorilla+Glue+107450+Original+Gorilla+Glue%2C+2oz.+bottle&amp;qid=1695174069&amp;sr=8-8")</f>
        <v>https://www.amazon.com/Gorilla-Original-Waterproof-Polyurethane-Bottle/dp/B0000223UU/ref=sr_1_8?keywords=Gorilla+Glue+107450+Original+Gorilla+Glue%2C+2oz.+bottle&amp;qid=1695174069&amp;sr=8-8</v>
      </c>
      <c r="F2378" t="s">
        <v>6183</v>
      </c>
      <c r="G2378" t="e">
        <f ca="1">_xludf.IMAGE("https://edmondsonsupply.com/cdn/shop/products/original_gorilla_glue_white_bg_v2-450x450-c-default.webp?v=1678801122")</f>
        <v>#NAME?</v>
      </c>
      <c r="H2378" t="e">
        <f ca="1">_xludf.IMAGE("https://m.media-amazon.com/images/I/817vsV09M-L._AC_UY218_.jpg")</f>
        <v>#NAME?</v>
      </c>
      <c r="I2378" t="s">
        <v>6033</v>
      </c>
      <c r="J2378">
        <v>30.38</v>
      </c>
      <c r="K2378" s="4">
        <v>3.3523999999999998</v>
      </c>
      <c r="L2378">
        <v>4.5999999999999996</v>
      </c>
      <c r="M2378">
        <v>593</v>
      </c>
      <c r="O2378" t="s">
        <v>25</v>
      </c>
      <c r="P2378" t="s">
        <v>138</v>
      </c>
      <c r="Q2378" t="s">
        <v>6034</v>
      </c>
    </row>
    <row r="2379" spans="1:17" ht="15.5" x14ac:dyDescent="0.35">
      <c r="A2379"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379" s="3" t="str">
        <f>HYPERLINK("https://edmondsonsupply.com/products/klein-tools-69417-rare-earth-magnetic-meter-hanger", "https://edmondsonsupply.com/products/klein-tools-69417-rare-earth-magnetic-meter-hanger")</f>
        <v>https://edmondsonsupply.com/products/klein-tools-69417-rare-earth-magnetic-meter-hanger</v>
      </c>
      <c r="C2379" t="s">
        <v>1413</v>
      </c>
      <c r="D2379" t="s">
        <v>4119</v>
      </c>
      <c r="E2379" s="3" t="str">
        <f>HYPERLINK("https://www.amazon.com/Klein-Tools-Multimeter-Auto-Ranging-Magnetic/dp/B095RFF319/ref=sr_1_8?keywords=Klein+Tools+69417+Rare+Earth+Magnetic+Meter+Hanger%2C+with+Strap&amp;qid=1695173948&amp;sr=8-8", "https://www.amazon.com/Klein-Tools-Multimeter-Auto-Ranging-Magnetic/dp/B095RFF319/ref=sr_1_8?keywords=Klein+Tools+69417+Rare+Earth+Magnetic+Meter+Hanger%2C+with+Strap&amp;qid=1695173948&amp;sr=8-8")</f>
        <v>https://www.amazon.com/Klein-Tools-Multimeter-Auto-Ranging-Magnetic/dp/B095RFF319/ref=sr_1_8?keywords=Klein+Tools+69417+Rare+Earth+Magnetic+Meter+Hanger%2C+with+Strap&amp;qid=1695173948&amp;sr=8-8</v>
      </c>
      <c r="F2379" t="s">
        <v>4120</v>
      </c>
      <c r="G2379" t="e">
        <f ca="1">_xludf.IMAGE("https://edmondsonsupply.com/cdn/shop/products/69417.jpg?v=1587150163")</f>
        <v>#NAME?</v>
      </c>
      <c r="H2379" t="e">
        <f ca="1">_xludf.IMAGE("https://m.media-amazon.com/images/I/51JeRgf8UeS._AC_UL320_.jpg")</f>
        <v>#NAME?</v>
      </c>
      <c r="I2379" t="s">
        <v>288</v>
      </c>
      <c r="J2379">
        <v>60.89</v>
      </c>
      <c r="K2379" s="4">
        <v>3.3523999999999998</v>
      </c>
      <c r="L2379">
        <v>4.8</v>
      </c>
      <c r="M2379">
        <v>37</v>
      </c>
      <c r="O2379" t="s">
        <v>25</v>
      </c>
      <c r="P2379" t="s">
        <v>845</v>
      </c>
      <c r="Q2379" t="s">
        <v>1416</v>
      </c>
    </row>
    <row r="2380" spans="1:17" ht="15.5" x14ac:dyDescent="0.35">
      <c r="A2380"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380" s="3" t="str">
        <f>HYPERLINK("https://edmondsonsupply.com/products/klein-tools-32900-7-in-1-impact-flip-socket-with-handle", "https://edmondsonsupply.com/products/klein-tools-32900-7-in-1-impact-flip-socket-with-handle")</f>
        <v>https://edmondsonsupply.com/products/klein-tools-32900-7-in-1-impact-flip-socket-with-handle</v>
      </c>
      <c r="C2380" t="s">
        <v>6184</v>
      </c>
      <c r="D2380" t="s">
        <v>6185</v>
      </c>
      <c r="E2380" s="3" t="str">
        <f>HYPERLINK("https://www.amazon.com/Klein-Tools-Screwdriver-Driver-Assorted/dp/B0CF29SBCM/ref=sr_1_8?keywords=Klein+Tools+32900+7-in-1+Impact+Flip+Socket+with+Handle&amp;qid=1695174143&amp;sr=8-8", "https://www.amazon.com/Klein-Tools-Screwdriver-Driver-Assorted/dp/B0CF29SBCM/ref=sr_1_8?keywords=Klein+Tools+32900+7-in-1+Impact+Flip+Socket+with+Handle&amp;qid=1695174143&amp;sr=8-8")</f>
        <v>https://www.amazon.com/Klein-Tools-Screwdriver-Driver-Assorted/dp/B0CF29SBCM/ref=sr_1_8?keywords=Klein+Tools+32900+7-in-1+Impact+Flip+Socket+with+Handle&amp;qid=1695174143&amp;sr=8-8</v>
      </c>
      <c r="F2380" t="s">
        <v>6186</v>
      </c>
      <c r="G2380" t="e">
        <f ca="1">_xludf.IMAGE("https://edmondsonsupply.com/cdn/shop/products/32900_b.jpg?v=1666024787")</f>
        <v>#NAME?</v>
      </c>
      <c r="H2380" t="e">
        <f ca="1">_xludf.IMAGE("https://m.media-amazon.com/images/I/51h9TffKWqL._AC_UL320_.jpg")</f>
        <v>#NAME?</v>
      </c>
      <c r="I2380" t="s">
        <v>824</v>
      </c>
      <c r="J2380">
        <v>129.96</v>
      </c>
      <c r="K2380" s="4">
        <v>3.3363</v>
      </c>
      <c r="L2380">
        <v>4.9000000000000004</v>
      </c>
      <c r="M2380">
        <v>1819</v>
      </c>
      <c r="O2380" t="s">
        <v>25</v>
      </c>
      <c r="P2380" t="s">
        <v>73</v>
      </c>
      <c r="Q2380" t="s">
        <v>6187</v>
      </c>
    </row>
    <row r="2381" spans="1:17" ht="15.5" x14ac:dyDescent="0.35">
      <c r="A2381" s="3" t="str">
        <f>HYPERLINK("https://edmondsonsupply.com/collections/electricians-tools/products/milwaukee-49-56-0082-1-1-2-hole-dozer%E2%84%A2-hole-saw-bi-metal-cup", "https://edmondsonsupply.com/collections/electricians-tools/products/milwaukee-49-56-0082-1-1-2-hole-dozer%E2%84%A2-hole-saw-bi-metal-cup")</f>
        <v>https://edmondsonsupply.com/collections/electricians-tools/products/milwaukee-49-56-0082-1-1-2-hole-dozer%E2%84%A2-hole-saw-bi-metal-cup</v>
      </c>
      <c r="B2381" s="3" t="str">
        <f>HYPERLINK("https://edmondsonsupply.com/products/milwaukee-49-56-0082-1-1-2-hole-dozer%e2%84%a2-hole-saw-bi-metal-cup", "https://edmondsonsupply.com/products/milwaukee-49-56-0082-1-1-2-hole-dozer%e2%84%a2-hole-saw-bi-metal-cup")</f>
        <v>https://edmondsonsupply.com/products/milwaukee-49-56-0082-1-1-2-hole-dozer%e2%84%a2-hole-saw-bi-metal-cup</v>
      </c>
      <c r="C2381" t="s">
        <v>6188</v>
      </c>
      <c r="D2381" t="s">
        <v>6189</v>
      </c>
      <c r="E2381" s="3" t="str">
        <f>HYPERLINK("https://www.amazon.com/Milwaukee-49-56-0233-2-Inch-Hardened-Hole/dp/B0017WPX5M/ref=sr_1_7?keywords=Milwaukee+49-56-0082+1-1%2F2%22+HOLE+DOZER%E2%84%A2+Hole+Saw+Bi-Metal+Cup&amp;qid=1695174052&amp;sr=8-7", "https://www.amazon.com/Milwaukee-49-56-0233-2-Inch-Hardened-Hole/dp/B0017WPX5M/ref=sr_1_7?keywords=Milwaukee+49-56-0082+1-1%2F2%22+HOLE+DOZER%E2%84%A2+Hole+Saw+Bi-Metal+Cup&amp;qid=1695174052&amp;sr=8-7")</f>
        <v>https://www.amazon.com/Milwaukee-49-56-0233-2-Inch-Hardened-Hole/dp/B0017WPX5M/ref=sr_1_7?keywords=Milwaukee+49-56-0082+1-1%2F2%22+HOLE+DOZER%E2%84%A2+Hole+Saw+Bi-Metal+Cup&amp;qid=1695174052&amp;sr=8-7</v>
      </c>
      <c r="F2381" t="s">
        <v>6190</v>
      </c>
      <c r="G2381" t="e">
        <f ca="1">_xludf.IMAGE("https://edmondsonsupply.com/cdn/shop/products/49-56-0052_101_2_3e59b3b5-5134-4f73-a3fb-157d3c19d4d7.webp?v=1679416989")</f>
        <v>#NAME?</v>
      </c>
      <c r="H2381" t="e">
        <f ca="1">_xludf.IMAGE("https://m.media-amazon.com/images/I/513LvIL5ILL._AC_UL320_.jpg")</f>
        <v>#NAME?</v>
      </c>
      <c r="I2381" t="s">
        <v>2347</v>
      </c>
      <c r="J2381">
        <v>29.99</v>
      </c>
      <c r="K2381" s="4">
        <v>3.2904</v>
      </c>
      <c r="L2381">
        <v>4.8</v>
      </c>
      <c r="M2381">
        <v>201</v>
      </c>
      <c r="O2381" t="s">
        <v>25</v>
      </c>
      <c r="P2381" t="s">
        <v>3464</v>
      </c>
      <c r="Q2381" t="s">
        <v>6191</v>
      </c>
    </row>
    <row r="2382" spans="1:17" ht="15.5" x14ac:dyDescent="0.35">
      <c r="A2382" s="3" t="str">
        <f>HYPERLINK("https://edmondsonsupply.com/collections/electricians-tools/products/klein-tools-86602-3-8-inch-magnetic-hex-drivers-3-pack", "https://edmondsonsupply.com/collections/electricians-tools/products/klein-tools-86602-3-8-inch-magnetic-hex-drivers-3-pack")</f>
        <v>https://edmondsonsupply.com/collections/electricians-tools/products/klein-tools-86602-3-8-inch-magnetic-hex-drivers-3-pack</v>
      </c>
      <c r="B2382" s="3" t="str">
        <f>HYPERLINK("https://edmondsonsupply.com/products/klein-tools-86602-3-8-inch-magnetic-hex-drivers-3-pack", "https://edmondsonsupply.com/products/klein-tools-86602-3-8-inch-magnetic-hex-drivers-3-pack")</f>
        <v>https://edmondsonsupply.com/products/klein-tools-86602-3-8-inch-magnetic-hex-drivers-3-pack</v>
      </c>
      <c r="C2382" t="s">
        <v>6192</v>
      </c>
      <c r="D2382" t="s">
        <v>2599</v>
      </c>
      <c r="E2382" s="3" t="str">
        <f>HYPERLINK("https://www.amazon.com/Driver-Magnetic-Klein-Tools-32807MAG/dp/B07D4M51DQ/ref=sr_1_8?keywords=Klein+Tools+86602+3%2F8-Inch+Magnetic+Hex+Drivers%2C+3-Pack&amp;qid=1695174145&amp;sr=8-8", "https://www.amazon.com/Driver-Magnetic-Klein-Tools-32807MAG/dp/B07D4M51DQ/ref=sr_1_8?keywords=Klein+Tools+86602+3%2F8-Inch+Magnetic+Hex+Drivers%2C+3-Pack&amp;qid=1695174145&amp;sr=8-8")</f>
        <v>https://www.amazon.com/Driver-Magnetic-Klein-Tools-32807MAG/dp/B07D4M51DQ/ref=sr_1_8?keywords=Klein+Tools+86602+3%2F8-Inch+Magnetic+Hex+Drivers%2C+3-Pack&amp;qid=1695174145&amp;sr=8-8</v>
      </c>
      <c r="F2382" t="s">
        <v>2600</v>
      </c>
      <c r="G2382" t="e">
        <f ca="1">_xludf.IMAGE("https://edmondsonsupply.com/cdn/shop/products/86602.jpg?v=1664460860")</f>
        <v>#NAME?</v>
      </c>
      <c r="H2382" t="e">
        <f ca="1">_xludf.IMAGE("https://m.media-amazon.com/images/I/61gwAJBzDAL._AC_UL320_.jpg")</f>
        <v>#NAME?</v>
      </c>
      <c r="I2382" t="s">
        <v>2347</v>
      </c>
      <c r="J2382">
        <v>29.97</v>
      </c>
      <c r="K2382" s="4">
        <v>3.2875999999999999</v>
      </c>
      <c r="L2382">
        <v>4.7</v>
      </c>
      <c r="M2382">
        <v>9161</v>
      </c>
      <c r="O2382" t="s">
        <v>25</v>
      </c>
      <c r="P2382" t="s">
        <v>6193</v>
      </c>
      <c r="Q2382" t="s">
        <v>6194</v>
      </c>
    </row>
    <row r="2383" spans="1:17" ht="15.5" x14ac:dyDescent="0.35">
      <c r="A2383" s="3" t="str">
        <f>HYPERLINK("https://edmondsonsupply.com/collections/electricians-tools/products/greenlee-608-1-2-foam-conduit-piston", "https://edmondsonsupply.com/collections/electricians-tools/products/greenlee-608-1-2-foam-conduit-piston")</f>
        <v>https://edmondsonsupply.com/collections/electricians-tools/products/greenlee-608-1-2-foam-conduit-piston</v>
      </c>
      <c r="B2383" s="3" t="str">
        <f>HYPERLINK("https://edmondsonsupply.com/products/greenlee-608-1-2-foam-conduit-piston", "https://edmondsonsupply.com/products/greenlee-608-1-2-foam-conduit-piston")</f>
        <v>https://edmondsonsupply.com/products/greenlee-608-1-2-foam-conduit-piston</v>
      </c>
      <c r="C2383" t="s">
        <v>6170</v>
      </c>
      <c r="D2383" t="s">
        <v>6195</v>
      </c>
      <c r="E2383" s="3" t="str">
        <f>HYPERLINK("https://www.amazon.com/Greenlee-614-Piston-2-1-Conduit/dp/B0042T01W2/ref=sr_1_9?keywords=Greenlee+608+1%2F2%22+Foam+Conduit+Piston&amp;qid=1695173994&amp;sr=8-9", "https://www.amazon.com/Greenlee-614-Piston-2-1-Conduit/dp/B0042T01W2/ref=sr_1_9?keywords=Greenlee+608+1%2F2%22+Foam+Conduit+Piston&amp;qid=1695173994&amp;sr=8-9")</f>
        <v>https://www.amazon.com/Greenlee-614-Piston-2-1-Conduit/dp/B0042T01W2/ref=sr_1_9?keywords=Greenlee+608+1%2F2%22+Foam+Conduit+Piston&amp;qid=1695173994&amp;sr=8-9</v>
      </c>
      <c r="F2383" t="s">
        <v>6196</v>
      </c>
      <c r="G2383" t="e">
        <f ca="1">_xludf.IMAGE("https://edmondsonsupply.com/cdn/shop/files/608_2.png?v=1687446700")</f>
        <v>#NAME?</v>
      </c>
      <c r="H2383" t="e">
        <f ca="1">_xludf.IMAGE("https://m.media-amazon.com/images/I/A1x3jV0pkfL._AC_UL320_.jpg")</f>
        <v>#NAME?</v>
      </c>
      <c r="I2383" t="s">
        <v>2639</v>
      </c>
      <c r="J2383">
        <v>25.56</v>
      </c>
      <c r="K2383" s="4">
        <v>3.2671000000000001</v>
      </c>
      <c r="L2383">
        <v>4.3</v>
      </c>
      <c r="M2383">
        <v>11</v>
      </c>
      <c r="O2383" t="s">
        <v>25</v>
      </c>
      <c r="P2383" t="s">
        <v>138</v>
      </c>
      <c r="Q2383" t="s">
        <v>6173</v>
      </c>
    </row>
    <row r="2384" spans="1:17" ht="15.5" x14ac:dyDescent="0.35">
      <c r="A2384" s="3" t="str">
        <f>HYPERLINK("https://edmondsonsupply.com/collections/electricians-tools/products/clc-1100-3", "https://edmondsonsupply.com/collections/electricians-tools/products/clc-1100-3")</f>
        <v>https://edmondsonsupply.com/collections/electricians-tools/products/clc-1100-3</v>
      </c>
      <c r="B2384" s="3" t="str">
        <f>HYPERLINK("https://edmondsonsupply.com/products/clc-1100-3", "https://edmondsonsupply.com/products/clc-1100-3")</f>
        <v>https://edmondsonsupply.com/products/clc-1100-3</v>
      </c>
      <c r="C2384" t="s">
        <v>231</v>
      </c>
      <c r="D2384" t="s">
        <v>263</v>
      </c>
      <c r="E2384" s="3" t="str">
        <f>HYPERLINK("https://www.amazon.com/Custom-LeatherCraft-Center-Multi-Purpose-Zippered/dp/B0B3DYQ35F/ref=sr_1_2?keywords=CLC+1100+3+Multi-Purpose%2C+Clip-on%2C+Zippered+Bags&amp;qid=1695173929&amp;sr=8-2", "https://www.amazon.com/Custom-LeatherCraft-Center-Multi-Purpose-Zippered/dp/B0B3DYQ35F/ref=sr_1_2?keywords=CLC+1100+3+Multi-Purpose%2C+Clip-on%2C+Zippered+Bags&amp;qid=1695173929&amp;sr=8-2")</f>
        <v>https://www.amazon.com/Custom-LeatherCraft-Center-Multi-Purpose-Zippered/dp/B0B3DYQ35F/ref=sr_1_2?keywords=CLC+1100+3+Multi-Purpose%2C+Clip-on%2C+Zippered+Bags&amp;qid=1695173929&amp;sr=8-2</v>
      </c>
      <c r="F2384" t="s">
        <v>264</v>
      </c>
      <c r="G2384" t="e">
        <f ca="1">_xludf.IMAGE("https://edmondsonsupply.com/cdn/shop/products/1100_REV17_2.jpg?v=1633030333")</f>
        <v>#NAME?</v>
      </c>
      <c r="H2384" t="e">
        <f ca="1">_xludf.IMAGE("https://m.media-amazon.com/images/I/41GPP4FSVAL._AC_UL320_.jpg")</f>
        <v>#NAME?</v>
      </c>
      <c r="I2384" t="s">
        <v>234</v>
      </c>
      <c r="J2384">
        <v>49.99</v>
      </c>
      <c r="K2384" s="4">
        <v>3.2545000000000002</v>
      </c>
      <c r="L2384">
        <v>4.5</v>
      </c>
      <c r="M2384">
        <v>1803</v>
      </c>
      <c r="O2384" t="s">
        <v>25</v>
      </c>
      <c r="P2384" t="s">
        <v>235</v>
      </c>
      <c r="Q2384" t="s">
        <v>236</v>
      </c>
    </row>
    <row r="2385" spans="1:17" ht="15.5" x14ac:dyDescent="0.35">
      <c r="A2385"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2385" s="3" t="str">
        <f>HYPERLINK("https://edmondsonsupply.com/products/klein-tools-pnd-12-5-1-2-inch-power-nut-driver-5-inch-length", "https://edmondsonsupply.com/products/klein-tools-pnd-12-5-1-2-inch-power-nut-driver-5-inch-length")</f>
        <v>https://edmondsonsupply.com/products/klein-tools-pnd-12-5-1-2-inch-power-nut-driver-5-inch-length</v>
      </c>
      <c r="C2385" t="s">
        <v>1684</v>
      </c>
      <c r="D2385" t="s">
        <v>1685</v>
      </c>
      <c r="E2385" s="3" t="str">
        <f>HYPERLINK("https://www.amazon.com/Heavy-Duty-Driver-6-Piece-Klein-Tools/dp/B01DKNDHGM/ref=sr_1_8?keywords=Klein+Tools+PND-12-5+1%2F2-Inch+Power+Nut+Driver+5-Inch+Length&amp;qid=1695173880&amp;sr=8-8", "https://www.amazon.com/Heavy-Duty-Driver-6-Piece-Klein-Tools/dp/B01DKNDHGM/ref=sr_1_8?keywords=Klein+Tools+PND-12-5+1%2F2-Inch+Power+Nut+Driver+5-Inch+Length&amp;qid=1695173880&amp;sr=8-8")</f>
        <v>https://www.amazon.com/Heavy-Duty-Driver-6-Piece-Klein-Tools/dp/B01DKNDHGM/ref=sr_1_8?keywords=Klein+Tools+PND-12-5+1%2F2-Inch+Power+Nut+Driver+5-Inch+Length&amp;qid=1695173880&amp;sr=8-8</v>
      </c>
      <c r="F2385" t="s">
        <v>1686</v>
      </c>
      <c r="G2385" t="e">
        <f ca="1">_xludf.IMAGE("https://edmondsonsupply.com/cdn/shop/products/pnd125.jpg?v=1633031028")</f>
        <v>#NAME?</v>
      </c>
      <c r="H2385" t="e">
        <f ca="1">_xludf.IMAGE("https://m.media-amazon.com/images/I/61eypCy1RLL._AC_UL320_.jpg")</f>
        <v>#NAME?</v>
      </c>
      <c r="I2385" t="s">
        <v>1687</v>
      </c>
      <c r="J2385">
        <v>79.989999999999995</v>
      </c>
      <c r="K2385" s="4">
        <v>3.2122000000000002</v>
      </c>
      <c r="L2385">
        <v>4.7</v>
      </c>
      <c r="M2385">
        <v>943</v>
      </c>
      <c r="O2385" t="s">
        <v>25</v>
      </c>
      <c r="P2385" t="s">
        <v>1688</v>
      </c>
      <c r="Q2385" t="s">
        <v>1689</v>
      </c>
    </row>
    <row r="2386" spans="1:17" ht="15.5" x14ac:dyDescent="0.35">
      <c r="A2386"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2386" s="3" t="str">
        <f>HYPERLINK("https://edmondsonsupply.com/products/klein-tools-630m-magnetic-nut-driver-set-3-inch-shafts-2-piece", "https://edmondsonsupply.com/products/klein-tools-630m-magnetic-nut-driver-set-3-inch-shafts-2-piece")</f>
        <v>https://edmondsonsupply.com/products/klein-tools-630m-magnetic-nut-driver-set-3-inch-shafts-2-piece</v>
      </c>
      <c r="C2386" t="s">
        <v>1690</v>
      </c>
      <c r="D2386" t="s">
        <v>1691</v>
      </c>
      <c r="E2386" s="3" t="str">
        <f>HYPERLINK("https://www.amazon.com/Klein-Tools-647M-Magnetic-7-Piece/dp/B000MKIUYQ/ref=sr_1_6?keywords=Klein+Tools+630M+Magnetic+Nut+Driver+Set%2C+3-Inch+Shafts%2C+2-Piece&amp;qid=1695173928&amp;sr=8-6", "https://www.amazon.com/Klein-Tools-647M-Magnetic-7-Piece/dp/B000MKIUYQ/ref=sr_1_6?keywords=Klein+Tools+630M+Magnetic+Nut+Driver+Set%2C+3-Inch+Shafts%2C+2-Piece&amp;qid=1695173928&amp;sr=8-6")</f>
        <v>https://www.amazon.com/Klein-Tools-647M-Magnetic-7-Piece/dp/B000MKIUYQ/ref=sr_1_6?keywords=Klein+Tools+630M+Magnetic+Nut+Driver+Set%2C+3-Inch+Shafts%2C+2-Piece&amp;qid=1695173928&amp;sr=8-6</v>
      </c>
      <c r="F2386" t="s">
        <v>1692</v>
      </c>
      <c r="G2386" t="e">
        <f ca="1">_xludf.IMAGE("https://edmondsonsupply.com/cdn/shop/products/630m.jpg?v=1587143237")</f>
        <v>#NAME?</v>
      </c>
      <c r="H2386" t="e">
        <f ca="1">_xludf.IMAGE("https://m.media-amazon.com/images/I/61PNUE211uL._AC_UL320_.jpg")</f>
        <v>#NAME?</v>
      </c>
      <c r="I2386" t="s">
        <v>1687</v>
      </c>
      <c r="J2386">
        <v>79.989999999999995</v>
      </c>
      <c r="K2386" s="4">
        <v>3.2122000000000002</v>
      </c>
      <c r="L2386">
        <v>4.8</v>
      </c>
      <c r="M2386">
        <v>985</v>
      </c>
      <c r="O2386" t="s">
        <v>25</v>
      </c>
      <c r="P2386" t="s">
        <v>1693</v>
      </c>
      <c r="Q2386" t="s">
        <v>1694</v>
      </c>
    </row>
    <row r="2387" spans="1:17" ht="15.5" x14ac:dyDescent="0.35">
      <c r="A2387"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387" s="3" t="str">
        <f>HYPERLINK("https://edmondsonsupply.com/products/klein-tools-rt250-gfci-receptacle-tester-with-lcd", "https://edmondsonsupply.com/products/klein-tools-rt250-gfci-receptacle-tester-with-lcd")</f>
        <v>https://edmondsonsupply.com/products/klein-tools-rt250-gfci-receptacle-tester-with-lcd</v>
      </c>
      <c r="C2387" t="s">
        <v>6197</v>
      </c>
      <c r="D2387" t="s">
        <v>6198</v>
      </c>
      <c r="E2387" s="3" t="str">
        <f>HYPERLINK("https://www.amazon.com/Klein-Tools-Electric-Integrated-Accessory/dp/B0C9999Y7J/ref=sr_1_8?keywords=Klein+Tools+RT250+GFCI+Receptacle+Tester+with+LCD&amp;qid=1695174176&amp;sr=8-8", "https://www.amazon.com/Klein-Tools-Electric-Integrated-Accessory/dp/B0C9999Y7J/ref=sr_1_8?keywords=Klein+Tools+RT250+GFCI+Receptacle+Tester+with+LCD&amp;qid=1695174176&amp;sr=8-8")</f>
        <v>https://www.amazon.com/Klein-Tools-Electric-Integrated-Accessory/dp/B0C9999Y7J/ref=sr_1_8?keywords=Klein+Tools+RT250+GFCI+Receptacle+Tester+with+LCD&amp;qid=1695174176&amp;sr=8-8</v>
      </c>
      <c r="F2387" t="s">
        <v>6199</v>
      </c>
      <c r="G2387" t="e">
        <f ca="1">_xludf.IMAGE("https://edmondsonsupply.com/cdn/shop/products/rt250_photo_c.jpg?v=1661363824")</f>
        <v>#NAME?</v>
      </c>
      <c r="H2387" t="e">
        <f ca="1">_xludf.IMAGE("https://m.media-amazon.com/images/I/612+A-jAqtL._AC_UL320_.jpg")</f>
        <v>#NAME?</v>
      </c>
      <c r="I2387" t="s">
        <v>2247</v>
      </c>
      <c r="J2387">
        <v>91.37</v>
      </c>
      <c r="K2387" s="4">
        <v>3.1589</v>
      </c>
      <c r="L2387">
        <v>4.7</v>
      </c>
      <c r="M2387">
        <v>7</v>
      </c>
      <c r="O2387" t="s">
        <v>25</v>
      </c>
      <c r="P2387" t="s">
        <v>6200</v>
      </c>
      <c r="Q2387" t="s">
        <v>6201</v>
      </c>
    </row>
    <row r="2388" spans="1:17" ht="15.5" x14ac:dyDescent="0.35">
      <c r="A2388"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388" s="3" t="str">
        <f>HYPERLINK("https://edmondsonsupply.com/products/klein-tools-et45-ac-dc-voltage-tester", "https://edmondsonsupply.com/products/klein-tools-et45-ac-dc-voltage-tester")</f>
        <v>https://edmondsonsupply.com/products/klein-tools-et45-ac-dc-voltage-tester</v>
      </c>
      <c r="C2388" t="s">
        <v>6080</v>
      </c>
      <c r="D2388" t="s">
        <v>6202</v>
      </c>
      <c r="E2388" s="3" t="str">
        <f>HYPERLINK("https://www.amazon.com/Klein-Tools-Voltage-Electronic-Non-Contact/dp/B0C8JZWTZY/ref=sr_1_9?keywords=Klein+Tools+ET45+AC%2FDC+Voltage+Tester&amp;qid=1695174290&amp;sr=8-9", "https://www.amazon.com/Klein-Tools-Voltage-Electronic-Non-Contact/dp/B0C8JZWTZY/ref=sr_1_9?keywords=Klein+Tools+ET45+AC%2FDC+Voltage+Tester&amp;qid=1695174290&amp;sr=8-9")</f>
        <v>https://www.amazon.com/Klein-Tools-Voltage-Electronic-Non-Contact/dp/B0C8JZWTZY/ref=sr_1_9?keywords=Klein+Tools+ET45+AC%2FDC+Voltage+Tester&amp;qid=1695174290&amp;sr=8-9</v>
      </c>
      <c r="F2388" t="s">
        <v>6203</v>
      </c>
      <c r="G2388" t="e">
        <f ca="1">_xludf.IMAGE("https://edmondsonsupply.com/cdn/shop/products/et45.jpg?v=1647786270")</f>
        <v>#NAME?</v>
      </c>
      <c r="H2388" t="e">
        <f ca="1">_xludf.IMAGE("https://m.media-amazon.com/images/I/31V2UrptDcL._AC_UL320_.jpg")</f>
        <v>#NAME?</v>
      </c>
      <c r="I2388" t="s">
        <v>2337</v>
      </c>
      <c r="J2388">
        <v>49.66</v>
      </c>
      <c r="K2388" s="4">
        <v>3.1417999999999999</v>
      </c>
      <c r="L2388">
        <v>4.8</v>
      </c>
      <c r="M2388">
        <v>7922</v>
      </c>
      <c r="O2388" t="s">
        <v>25</v>
      </c>
      <c r="P2388" t="s">
        <v>6083</v>
      </c>
      <c r="Q2388" t="s">
        <v>6084</v>
      </c>
    </row>
    <row r="2389" spans="1:17" ht="15.5" x14ac:dyDescent="0.35">
      <c r="A2389" s="3" t="str">
        <f>HYPERLINK("https://edmondsonsupply.com/collections/electricians-tools/products/klein-tools-29025-modular-battery-for-klein-tools-cat-no-60155-hard-hat-cooling-fan", "https://edmondsonsupply.com/collections/electricians-tools/products/klein-tools-29025-modular-battery-for-klein-tools-cat-no-60155-hard-hat-cooling-fan")</f>
        <v>https://edmondsonsupply.com/collections/electricians-tools/products/klein-tools-29025-modular-battery-for-klein-tools-cat-no-60155-hard-hat-cooling-fan</v>
      </c>
      <c r="B2389"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2389" t="s">
        <v>827</v>
      </c>
      <c r="D2389" t="s">
        <v>828</v>
      </c>
      <c r="E2389" s="3" t="str">
        <f>HYPERLINK("https://www.amazon.com/Klein-Tools-Rechargeable-Lithium-ion-Portable/dp/B0B56RS25Q/ref=sr_1_4?keywords=Klein+Tools+29025+Modular+Battery+for+Klein+Tools+Cat.+No.+60155+Hard+Hat+Cooling+Fan&amp;qid=1695174158&amp;sr=8-4", "https://www.amazon.com/Klein-Tools-Rechargeable-Lithium-ion-Portable/dp/B0B56RS25Q/ref=sr_1_4?keywords=Klein+Tools+29025+Modular+Battery+for+Klein+Tools+Cat.+No.+60155+Hard+Hat+Cooling+Fan&amp;qid=1695174158&amp;sr=8-4")</f>
        <v>https://www.amazon.com/Klein-Tools-Rechargeable-Lithium-ion-Portable/dp/B0B56RS25Q/ref=sr_1_4?keywords=Klein+Tools+29025+Modular+Battery+for+Klein+Tools+Cat.+No.+60155+Hard+Hat+Cooling+Fan&amp;qid=1695174158&amp;sr=8-4</v>
      </c>
      <c r="F2389" t="s">
        <v>829</v>
      </c>
      <c r="G2389" t="e">
        <f ca="1">_xludf.IMAGE("https://edmondsonsupply.com/cdn/shop/products/29025.jpg?v=1664802987")</f>
        <v>#NAME?</v>
      </c>
      <c r="H2389" t="e">
        <f ca="1">_xludf.IMAGE("https://m.media-amazon.com/images/I/512adTKjRAL._AC_UL320_.jpg")</f>
        <v>#NAME?</v>
      </c>
      <c r="I2389" t="s">
        <v>830</v>
      </c>
      <c r="J2389">
        <v>151.87</v>
      </c>
      <c r="K2389" s="4">
        <v>3.1057000000000001</v>
      </c>
      <c r="L2389">
        <v>4.2</v>
      </c>
      <c r="M2389">
        <v>10</v>
      </c>
      <c r="O2389" t="s">
        <v>25</v>
      </c>
      <c r="P2389" t="s">
        <v>831</v>
      </c>
      <c r="Q2389" t="s">
        <v>832</v>
      </c>
    </row>
    <row r="2390" spans="1:17" ht="15.5" x14ac:dyDescent="0.35">
      <c r="A2390"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2390" s="3" t="str">
        <f>HYPERLINK("https://edmondsonsupply.com/products/klein-tools-51611-1-2-inch-angle-setter%e2%84%a2", "https://edmondsonsupply.com/products/klein-tools-51611-1-2-inch-angle-setter%e2%84%a2")</f>
        <v>https://edmondsonsupply.com/products/klein-tools-51611-1-2-inch-angle-setter%e2%84%a2</v>
      </c>
      <c r="C2390" t="s">
        <v>6100</v>
      </c>
      <c r="D2390" t="s">
        <v>6204</v>
      </c>
      <c r="E2390" s="3" t="str">
        <f>HYPERLINK("https://www.amazon.com/Conduit-Compatible-Klein-Tools-51608/dp/B08VYJMT3R/ref=sr_1_2?keywords=Klein+Tools+51611+1%2F2-Inch+Angle+Setter%E2%84%A2&amp;qid=1695174192&amp;sr=8-2", "https://www.amazon.com/Conduit-Compatible-Klein-Tools-51608/dp/B08VYJMT3R/ref=sr_1_2?keywords=Klein+Tools+51611+1%2F2-Inch+Angle+Setter%E2%84%A2&amp;qid=1695174192&amp;sr=8-2")</f>
        <v>https://www.amazon.com/Conduit-Compatible-Klein-Tools-51608/dp/B08VYJMT3R/ref=sr_1_2?keywords=Klein+Tools+51611+1%2F2-Inch+Angle+Setter%E2%84%A2&amp;qid=1695174192&amp;sr=8-2</v>
      </c>
      <c r="F2390" t="s">
        <v>6205</v>
      </c>
      <c r="G2390" t="e">
        <f ca="1">_xludf.IMAGE("https://edmondsonsupply.com/cdn/shop/products/51611.jpg?v=1661976456")</f>
        <v>#NAME?</v>
      </c>
      <c r="H2390" t="e">
        <f ca="1">_xludf.IMAGE("https://m.media-amazon.com/images/I/61mnVTiX18L._AC_UL320_.jpg")</f>
        <v>#NAME?</v>
      </c>
      <c r="I2390" t="s">
        <v>1427</v>
      </c>
      <c r="J2390">
        <v>40.909999999999997</v>
      </c>
      <c r="K2390" s="4">
        <v>3.1032999999999999</v>
      </c>
      <c r="L2390">
        <v>4.3</v>
      </c>
      <c r="M2390">
        <v>17</v>
      </c>
      <c r="O2390" t="s">
        <v>25</v>
      </c>
      <c r="P2390" t="s">
        <v>6045</v>
      </c>
      <c r="Q2390" t="s">
        <v>6103</v>
      </c>
    </row>
    <row r="2391" spans="1:17" ht="15.5" x14ac:dyDescent="0.35">
      <c r="A2391"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2391" s="3" t="str">
        <f>HYPERLINK("https://edmondsonsupply.com/products/fluke-c60-soft-carrying-case", "https://edmondsonsupply.com/products/fluke-c60-soft-carrying-case")</f>
        <v>https://edmondsonsupply.com/products/fluke-c60-soft-carrying-case</v>
      </c>
      <c r="C2391" t="s">
        <v>265</v>
      </c>
      <c r="D2391" t="s">
        <v>266</v>
      </c>
      <c r="E2391" s="3" t="str">
        <f>HYPERLINK("https://www.amazon.com/Fluke-C195-Polyester-Soft-Carrying/dp/B00011Q5S4/ref=sr_1_1?keywords=Fluke+C60+Soft+Carrying+Case&amp;qid=1695174290&amp;sr=8-1", "https://www.amazon.com/Fluke-C195-Polyester-Soft-Carrying/dp/B00011Q5S4/ref=sr_1_1?keywords=Fluke+C60+Soft+Carrying+Case&amp;qid=1695174290&amp;sr=8-1")</f>
        <v>https://www.amazon.com/Fluke-C195-Polyester-Soft-Carrying/dp/B00011Q5S4/ref=sr_1_1?keywords=Fluke+C60+Soft+Carrying+Case&amp;qid=1695174290&amp;sr=8-1</v>
      </c>
      <c r="F2391" t="s">
        <v>267</v>
      </c>
      <c r="G2391" t="e">
        <f ca="1">_xludf.IMAGE("https://edmondsonsupply.com/cdn/shop/products/c60.png?v=1633030926")</f>
        <v>#NAME?</v>
      </c>
      <c r="H2391" t="e">
        <f ca="1">_xludf.IMAGE("https://m.media-amazon.com/images/I/51og3g7z-eL._AC_UL320_.jpg")</f>
        <v>#NAME?</v>
      </c>
      <c r="I2391" t="s">
        <v>268</v>
      </c>
      <c r="J2391">
        <v>202.39</v>
      </c>
      <c r="K2391" s="4">
        <v>3.0895000000000001</v>
      </c>
      <c r="L2391">
        <v>3</v>
      </c>
      <c r="M2391">
        <v>2</v>
      </c>
      <c r="O2391" t="s">
        <v>25</v>
      </c>
      <c r="P2391" t="s">
        <v>269</v>
      </c>
      <c r="Q2391" t="s">
        <v>270</v>
      </c>
    </row>
    <row r="2392" spans="1:17" ht="15.5" x14ac:dyDescent="0.35">
      <c r="A2392"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2392" s="3" t="str">
        <f>HYPERLINK("https://edmondsonsupply.com/products/klein-tools-rt110-receptacle-tester", "https://edmondsonsupply.com/products/klein-tools-rt110-receptacle-tester")</f>
        <v>https://edmondsonsupply.com/products/klein-tools-rt110-receptacle-tester</v>
      </c>
      <c r="C2392" t="s">
        <v>6021</v>
      </c>
      <c r="D2392" t="s">
        <v>6206</v>
      </c>
      <c r="E2392" s="3" t="str">
        <f>HYPERLINK("https://www.amazon.com/Klein-Tools-RT310-Electrical-Receptacles/dp/B07PMDRHXB/ref=sr_1_6?keywords=Klein+Tools+RT110+Receptacle+Tester&amp;qid=1695174267&amp;sr=8-6", "https://www.amazon.com/Klein-Tools-RT310-Electrical-Receptacles/dp/B07PMDRHXB/ref=sr_1_6?keywords=Klein+Tools+RT110+Receptacle+Tester&amp;qid=1695174267&amp;sr=8-6")</f>
        <v>https://www.amazon.com/Klein-Tools-RT310-Electrical-Receptacles/dp/B07PMDRHXB/ref=sr_1_6?keywords=Klein+Tools+RT110+Receptacle+Tester&amp;qid=1695174267&amp;sr=8-6</v>
      </c>
      <c r="F2392" t="s">
        <v>6207</v>
      </c>
      <c r="G2392" t="e">
        <f ca="1">_xludf.IMAGE("https://edmondsonsupply.com/cdn/shop/products/rt110.jpg?v=1633031036")</f>
        <v>#NAME?</v>
      </c>
      <c r="H2392" t="e">
        <f ca="1">_xludf.IMAGE("https://m.media-amazon.com/images/I/51C46-kDFFL._AC_UL320_.jpg")</f>
        <v>#NAME?</v>
      </c>
      <c r="I2392" t="s">
        <v>1427</v>
      </c>
      <c r="J2392">
        <v>39.97</v>
      </c>
      <c r="K2392" s="4">
        <v>3.0089999999999999</v>
      </c>
      <c r="L2392">
        <v>4.7</v>
      </c>
      <c r="M2392">
        <v>1607</v>
      </c>
      <c r="O2392" t="s">
        <v>25</v>
      </c>
      <c r="P2392" t="s">
        <v>6024</v>
      </c>
      <c r="Q2392" t="s">
        <v>6025</v>
      </c>
    </row>
    <row r="2393" spans="1:17" ht="15.5" x14ac:dyDescent="0.35">
      <c r="A2393"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2393" s="3" t="str">
        <f>HYPERLINK("https://edmondsonsupply.com/products/klein-tools-51611-1-2-inch-angle-setter%e2%84%a2", "https://edmondsonsupply.com/products/klein-tools-51611-1-2-inch-angle-setter%e2%84%a2")</f>
        <v>https://edmondsonsupply.com/products/klein-tools-51611-1-2-inch-angle-setter%e2%84%a2</v>
      </c>
      <c r="C2393" t="s">
        <v>6100</v>
      </c>
      <c r="D2393" t="s">
        <v>6208</v>
      </c>
      <c r="E2393" s="3" t="str">
        <f>HYPERLINK("https://www.amazon.com/Aluminum-Benchmark-Technology-Klein-Tools/dp/B08L41DC9N/ref=sr_1_4?keywords=Klein+Tools+51611+1%2F2-Inch+Angle+Setter%E2%84%A2&amp;qid=1695174192&amp;sr=8-4", "https://www.amazon.com/Aluminum-Benchmark-Technology-Klein-Tools/dp/B08L41DC9N/ref=sr_1_4?keywords=Klein+Tools+51611+1%2F2-Inch+Angle+Setter%E2%84%A2&amp;qid=1695174192&amp;sr=8-4")</f>
        <v>https://www.amazon.com/Aluminum-Benchmark-Technology-Klein-Tools/dp/B08L41DC9N/ref=sr_1_4?keywords=Klein+Tools+51611+1%2F2-Inch+Angle+Setter%E2%84%A2&amp;qid=1695174192&amp;sr=8-4</v>
      </c>
      <c r="F2393" t="s">
        <v>6209</v>
      </c>
      <c r="G2393" t="e">
        <f ca="1">_xludf.IMAGE("https://edmondsonsupply.com/cdn/shop/products/51611.jpg?v=1661976456")</f>
        <v>#NAME?</v>
      </c>
      <c r="H2393" t="e">
        <f ca="1">_xludf.IMAGE("https://m.media-amazon.com/images/I/41JBDxEE8NL._AC_UL320_.jpg")</f>
        <v>#NAME?</v>
      </c>
      <c r="I2393" t="s">
        <v>1427</v>
      </c>
      <c r="J2393">
        <v>39.97</v>
      </c>
      <c r="K2393" s="4">
        <v>3.0089999999999999</v>
      </c>
      <c r="L2393">
        <v>4.8</v>
      </c>
      <c r="M2393">
        <v>258</v>
      </c>
      <c r="O2393" t="s">
        <v>25</v>
      </c>
      <c r="P2393" t="s">
        <v>6045</v>
      </c>
      <c r="Q2393" t="s">
        <v>6103</v>
      </c>
    </row>
    <row r="2394" spans="1:17" ht="15.5" x14ac:dyDescent="0.35">
      <c r="A2394"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2394" s="3" t="str">
        <f>HYPERLINK("https://edmondsonsupply.com/products/klein-tools-rt310-afci-gfci-outlet-tester", "https://edmondsonsupply.com/products/klein-tools-rt310-afci-gfci-outlet-tester")</f>
        <v>https://edmondsonsupply.com/products/klein-tools-rt310-afci-gfci-outlet-tester</v>
      </c>
      <c r="C2394" t="s">
        <v>6210</v>
      </c>
      <c r="D2394" t="s">
        <v>6211</v>
      </c>
      <c r="E2394" s="3" t="str">
        <f>HYPERLINK("https://www.amazon.com/Klein-Tools-Receptacle-Electrical-Receptacles/dp/B09Q65CGHR/ref=sr_1_8?keywords=Klein+Tools+RT310+AFCI+%2F+GFCI+Outlet+Tester&amp;qid=1695173970&amp;sr=8-8", "https://www.amazon.com/Klein-Tools-Receptacle-Electrical-Receptacles/dp/B09Q65CGHR/ref=sr_1_8?keywords=Klein+Tools+RT310+AFCI+%2F+GFCI+Outlet+Tester&amp;qid=1695173970&amp;sr=8-8")</f>
        <v>https://www.amazon.com/Klein-Tools-Receptacle-Electrical-Receptacles/dp/B09Q65CGHR/ref=sr_1_8?keywords=Klein+Tools+RT310+AFCI+%2F+GFCI+Outlet+Tester&amp;qid=1695173970&amp;sr=8-8</v>
      </c>
      <c r="F2394" t="s">
        <v>6212</v>
      </c>
      <c r="G2394" t="e">
        <f ca="1">_xludf.IMAGE("https://edmondsonsupply.com/cdn/shop/products/rt310.jpg?v=1587148552")</f>
        <v>#NAME?</v>
      </c>
      <c r="H2394" t="e">
        <f ca="1">_xludf.IMAGE("https://m.media-amazon.com/images/I/41MPamqttZL._AC_UL320_.jpg")</f>
        <v>#NAME?</v>
      </c>
      <c r="I2394" t="s">
        <v>246</v>
      </c>
      <c r="J2394">
        <v>159.96</v>
      </c>
      <c r="K2394" s="4">
        <v>3.0019999999999998</v>
      </c>
      <c r="L2394">
        <v>4.8</v>
      </c>
      <c r="M2394">
        <v>28</v>
      </c>
      <c r="O2394" t="s">
        <v>25</v>
      </c>
      <c r="P2394" t="s">
        <v>6213</v>
      </c>
      <c r="Q2394" t="s">
        <v>6214</v>
      </c>
    </row>
    <row r="2395" spans="1:17" ht="15.5" x14ac:dyDescent="0.35">
      <c r="A2395" s="3" t="str">
        <f>HYPERLINK("https://edmondsonsupply.com/collections/electricians-tools/products/klein-tools-25963-step-drill-bit-spiral-double-fluted-1-4-inch-to-3-4-inch-vaco", "https://edmondsonsupply.com/collections/electricians-tools/products/klein-tools-25963-step-drill-bit-spiral-double-fluted-1-4-inch-to-3-4-inch-vaco")</f>
        <v>https://edmondsonsupply.com/collections/electricians-tools/products/klein-tools-25963-step-drill-bit-spiral-double-fluted-1-4-inch-to-3-4-inch-vaco</v>
      </c>
      <c r="B2395" s="3" t="str">
        <f>HYPERLINK("https://edmondsonsupply.com/products/klein-tools-25963-step-drill-bit-spiral-double-fluted-1-4-inch-to-3-4-inch-vaco", "https://edmondsonsupply.com/products/klein-tools-25963-step-drill-bit-spiral-double-fluted-1-4-inch-to-3-4-inch-vaco")</f>
        <v>https://edmondsonsupply.com/products/klein-tools-25963-step-drill-bit-spiral-double-fluted-1-4-inch-to-3-4-inch-vaco</v>
      </c>
      <c r="C2395" t="s">
        <v>6215</v>
      </c>
      <c r="D2395" t="s">
        <v>1979</v>
      </c>
      <c r="E2395" s="3" t="str">
        <f>HYPERLINK("https://www.amazon.com/Klein-Tools-25951-Electricians-Titanium/dp/B0BLFRJLDX/ref=sr_1_1?keywords=Klein+Tools+25963+Step+Drill+Bit%2C+Spiral+Double-Fluted%2C+1%2F4-Inch+to+3%2F4-Inch%2C+VACO&amp;qid=1695174099&amp;sr=8-1", "https://www.amazon.com/Klein-Tools-25951-Electricians-Titanium/dp/B0BLFRJLDX/ref=sr_1_1?keywords=Klein+Tools+25963+Step+Drill+Bit%2C+Spiral+Double-Fluted%2C+1%2F4-Inch+to+3%2F4-Inch%2C+VACO&amp;qid=1695174099&amp;sr=8-1")</f>
        <v>https://www.amazon.com/Klein-Tools-25951-Electricians-Titanium/dp/B0BLFRJLDX/ref=sr_1_1?keywords=Klein+Tools+25963+Step+Drill+Bit%2C+Spiral+Double-Fluted%2C+1%2F4-Inch+to+3%2F4-Inch%2C+VACO&amp;qid=1695174099&amp;sr=8-1</v>
      </c>
      <c r="F2395" t="s">
        <v>1980</v>
      </c>
      <c r="G2395" t="e">
        <f ca="1">_xludf.IMAGE("https://edmondsonsupply.com/cdn/shop/products/25963_b.jpg?v=1670524306")</f>
        <v>#NAME?</v>
      </c>
      <c r="H2395" t="e">
        <f ca="1">_xludf.IMAGE("https://m.media-amazon.com/images/I/61dZd3WvlgL._AC_UY218_.jpg")</f>
        <v>#NAME?</v>
      </c>
      <c r="I2395" t="s">
        <v>471</v>
      </c>
      <c r="J2395">
        <v>99.99</v>
      </c>
      <c r="K2395" s="4">
        <v>3.0011999999999999</v>
      </c>
      <c r="L2395">
        <v>3.8</v>
      </c>
      <c r="M2395">
        <v>6</v>
      </c>
      <c r="O2395" t="s">
        <v>25</v>
      </c>
      <c r="P2395" t="s">
        <v>6216</v>
      </c>
      <c r="Q2395" t="s">
        <v>6217</v>
      </c>
    </row>
    <row r="2396" spans="1:17" ht="15.5" x14ac:dyDescent="0.35">
      <c r="A2396" s="3" t="str">
        <f>HYPERLINK("https://edmondsonsupply.com/collections/electricians-tools/products/klein-tools-450-002-staples-5-16-inch-x-5-16-inch-insulated", "https://edmondsonsupply.com/collections/electricians-tools/products/klein-tools-450-002-staples-5-16-inch-x-5-16-inch-insulated")</f>
        <v>https://edmondsonsupply.com/collections/electricians-tools/products/klein-tools-450-002-staples-5-16-inch-x-5-16-inch-insulated</v>
      </c>
      <c r="B2396" s="3" t="str">
        <f>HYPERLINK("https://edmondsonsupply.com/products/klein-tools-450-002-staples-5-16-inch-x-5-16-inch-insulated", "https://edmondsonsupply.com/products/klein-tools-450-002-staples-5-16-inch-x-5-16-inch-insulated")</f>
        <v>https://edmondsonsupply.com/products/klein-tools-450-002-staples-5-16-inch-x-5-16-inch-insulated</v>
      </c>
      <c r="C2396" t="s">
        <v>6159</v>
      </c>
      <c r="D2396" t="s">
        <v>6218</v>
      </c>
      <c r="E2396" s="3" t="str">
        <f>HYPERLINK("https://www.amazon.com/Klein-Tools-450-100-Nonmetallic-Sheathed/dp/B085RLW9XL/ref=sr_1_5?keywords=Klein+Tools+450-002+Staples%2C+5%2F16-Inch+x+5%2F16-Inch+Insulated&amp;qid=1695173921&amp;sr=8-5", "https://www.amazon.com/Klein-Tools-450-100-Nonmetallic-Sheathed/dp/B085RLW9XL/ref=sr_1_5?keywords=Klein+Tools+450-002+Staples%2C+5%2F16-Inch+x+5%2F16-Inch+Insulated&amp;qid=1695173921&amp;sr=8-5")</f>
        <v>https://www.amazon.com/Klein-Tools-450-100-Nonmetallic-Sheathed/dp/B085RLW9XL/ref=sr_1_5?keywords=Klein+Tools+450-002+Staples%2C+5%2F16-Inch+x+5%2F16-Inch+Insulated&amp;qid=1695173921&amp;sr=8-5</v>
      </c>
      <c r="F2396" t="s">
        <v>6219</v>
      </c>
      <c r="G2396" t="e">
        <f ca="1">_xludf.IMAGE("https://edmondsonsupply.com/cdn/shop/products/450002.jpg?v=1633030471")</f>
        <v>#NAME?</v>
      </c>
      <c r="H2396" t="e">
        <f ca="1">_xludf.IMAGE("https://m.media-amazon.com/images/I/61ykeA9CI3L._AC_UL320_.jpg")</f>
        <v>#NAME?</v>
      </c>
      <c r="I2396" t="s">
        <v>2577</v>
      </c>
      <c r="J2396">
        <v>39.97</v>
      </c>
      <c r="K2396" s="4">
        <v>3.0009999999999999</v>
      </c>
      <c r="L2396">
        <v>3.6</v>
      </c>
      <c r="M2396">
        <v>663</v>
      </c>
      <c r="O2396" t="s">
        <v>25</v>
      </c>
      <c r="P2396" t="s">
        <v>2434</v>
      </c>
      <c r="Q2396" t="s">
        <v>6160</v>
      </c>
    </row>
    <row r="2397" spans="1:17" ht="15.5" x14ac:dyDescent="0.35">
      <c r="A2397" s="3" t="str">
        <f>HYPERLINK("https://edmondsonsupply.com/collections/electricians-tools/products/klein-tools-450-001-staples-1-4-inch-x-5-16-inch-insulated", "https://edmondsonsupply.com/collections/electricians-tools/products/klein-tools-450-001-staples-1-4-inch-x-5-16-inch-insulated")</f>
        <v>https://edmondsonsupply.com/collections/electricians-tools/products/klein-tools-450-001-staples-1-4-inch-x-5-16-inch-insulated</v>
      </c>
      <c r="B2397" s="3" t="str">
        <f>HYPERLINK("https://edmondsonsupply.com/products/klein-tools-450-001-staples-1-4-inch-x-5-16-inch-insulated", "https://edmondsonsupply.com/products/klein-tools-450-001-staples-1-4-inch-x-5-16-inch-insulated")</f>
        <v>https://edmondsonsupply.com/products/klein-tools-450-001-staples-1-4-inch-x-5-16-inch-insulated</v>
      </c>
      <c r="C2397" t="s">
        <v>6155</v>
      </c>
      <c r="D2397" t="s">
        <v>6218</v>
      </c>
      <c r="E2397" s="3" t="str">
        <f>HYPERLINK("https://www.amazon.com/Klein-Tools-450-100-Nonmetallic-Sheathed/dp/B085RLW9XL/ref=sr_1_5?keywords=Klein+Tools+450-001+Staples%2C+1%2F4-Inch+x+5%2F16-Inch+Insulated&amp;qid=1695173921&amp;sr=8-5", "https://www.amazon.com/Klein-Tools-450-100-Nonmetallic-Sheathed/dp/B085RLW9XL/ref=sr_1_5?keywords=Klein+Tools+450-001+Staples%2C+1%2F4-Inch+x+5%2F16-Inch+Insulated&amp;qid=1695173921&amp;sr=8-5")</f>
        <v>https://www.amazon.com/Klein-Tools-450-100-Nonmetallic-Sheathed/dp/B085RLW9XL/ref=sr_1_5?keywords=Klein+Tools+450-001+Staples%2C+1%2F4-Inch+x+5%2F16-Inch+Insulated&amp;qid=1695173921&amp;sr=8-5</v>
      </c>
      <c r="F2397" t="s">
        <v>6219</v>
      </c>
      <c r="G2397" t="e">
        <f ca="1">_xludf.IMAGE("https://edmondsonsupply.com/cdn/shop/products/450001.jpg?v=1633030470")</f>
        <v>#NAME?</v>
      </c>
      <c r="H2397" t="e">
        <f ca="1">_xludf.IMAGE("https://m.media-amazon.com/images/I/61ykeA9CI3L._AC_UL320_.jpg")</f>
        <v>#NAME?</v>
      </c>
      <c r="I2397" t="s">
        <v>2577</v>
      </c>
      <c r="J2397">
        <v>39.97</v>
      </c>
      <c r="K2397" s="4">
        <v>3.0009999999999999</v>
      </c>
      <c r="L2397">
        <v>3.6</v>
      </c>
      <c r="M2397">
        <v>663</v>
      </c>
      <c r="O2397" t="s">
        <v>25</v>
      </c>
      <c r="P2397" t="s">
        <v>2434</v>
      </c>
      <c r="Q2397" t="s">
        <v>6158</v>
      </c>
    </row>
    <row r="2398" spans="1:17" ht="15.5" x14ac:dyDescent="0.35">
      <c r="A2398"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2398" s="3" t="str">
        <f>HYPERLINK("https://edmondsonsupply.com/products/klein-tools-51610-1-iron-conduit-bender-head", "https://edmondsonsupply.com/products/klein-tools-51610-1-iron-conduit-bender-head")</f>
        <v>https://edmondsonsupply.com/products/klein-tools-51610-1-iron-conduit-bender-head</v>
      </c>
      <c r="C2398" t="s">
        <v>6220</v>
      </c>
      <c r="D2398" t="s">
        <v>6221</v>
      </c>
      <c r="E2398" s="3" t="str">
        <f>HYPERLINK("https://www.amazon.com/Conduit-Bender-Klein-Tools-56211/dp/B00BEZWIBY/ref=sr_1_8?keywords=Klein+Tools+51610+1%22+Iron+Conduit+Bender+Head&amp;qid=1695174168&amp;sr=8-8", "https://www.amazon.com/Conduit-Bender-Klein-Tools-56211/dp/B00BEZWIBY/ref=sr_1_8?keywords=Klein+Tools+51610+1%22+Iron+Conduit+Bender+Head&amp;qid=1695174168&amp;sr=8-8")</f>
        <v>https://www.amazon.com/Conduit-Bender-Klein-Tools-56211/dp/B00BEZWIBY/ref=sr_1_8?keywords=Klein+Tools+51610+1%22+Iron+Conduit+Bender+Head&amp;qid=1695174168&amp;sr=8-8</v>
      </c>
      <c r="F2398" t="s">
        <v>6222</v>
      </c>
      <c r="G2398" t="e">
        <f ca="1">_xludf.IMAGE("https://edmondsonsupply.com/cdn/shop/products/51610.jpg?v=1661975879")</f>
        <v>#NAME?</v>
      </c>
      <c r="H2398" t="e">
        <f ca="1">_xludf.IMAGE("https://m.media-amazon.com/images/I/61PCC7U22PL._AC_UL320_.jpg")</f>
        <v>#NAME?</v>
      </c>
      <c r="I2398" t="s">
        <v>320</v>
      </c>
      <c r="J2398">
        <v>299.99</v>
      </c>
      <c r="K2398" s="4">
        <v>3.0004</v>
      </c>
      <c r="L2398">
        <v>4.5</v>
      </c>
      <c r="M2398">
        <v>7</v>
      </c>
      <c r="O2398" t="s">
        <v>25</v>
      </c>
      <c r="P2398" t="s">
        <v>6223</v>
      </c>
      <c r="Q2398" t="s">
        <v>6224</v>
      </c>
    </row>
    <row r="2399" spans="1:17" ht="15.5" x14ac:dyDescent="0.35">
      <c r="A2399"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2399"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2399" t="s">
        <v>6225</v>
      </c>
      <c r="D2399" t="s">
        <v>6226</v>
      </c>
      <c r="E2399" s="3" t="str">
        <f>HYPERLINK("https://www.amazon.com/Journeyman-T-Handle-Klein-Tools-JTH9M10/dp/B005G3HIA6/ref=sr_1_10?keywords=Klein+Tools+JTH4E09+9%2F64-Inch+Hex+Key+Journeyman+T-Handle+4-Inch&amp;qid=1695174238&amp;sr=8-10", "https://www.amazon.com/Journeyman-T-Handle-Klein-Tools-JTH9M10/dp/B005G3HIA6/ref=sr_1_10?keywords=Klein+Tools+JTH4E09+9%2F64-Inch+Hex+Key+Journeyman+T-Handle+4-Inch&amp;qid=1695174238&amp;sr=8-10")</f>
        <v>https://www.amazon.com/Journeyman-T-Handle-Klein-Tools-JTH9M10/dp/B005G3HIA6/ref=sr_1_10?keywords=Klein+Tools+JTH4E09+9%2F64-Inch+Hex+Key+Journeyman+T-Handle+4-Inch&amp;qid=1695174238&amp;sr=8-10</v>
      </c>
      <c r="F2399" t="s">
        <v>6227</v>
      </c>
      <c r="G2399" t="e">
        <f ca="1">_xludf.IMAGE("https://edmondsonsupply.com/cdn/shop/products/jth4e06_be5118a6-2e9d-44f5-81ad-c027572dd2d3.jpg?v=1635981570")</f>
        <v>#NAME?</v>
      </c>
      <c r="H2399" t="e">
        <f ca="1">_xludf.IMAGE("https://m.media-amazon.com/images/I/51+1x0vz9XL._AC_UL320_.jpg")</f>
        <v>#NAME?</v>
      </c>
      <c r="I2399" t="s">
        <v>6228</v>
      </c>
      <c r="J2399">
        <v>15.15</v>
      </c>
      <c r="K2399" s="4">
        <v>2.9973999999999998</v>
      </c>
      <c r="L2399">
        <v>5</v>
      </c>
      <c r="M2399">
        <v>2</v>
      </c>
      <c r="O2399" t="s">
        <v>25</v>
      </c>
      <c r="P2399" t="s">
        <v>6229</v>
      </c>
      <c r="Q2399" t="s">
        <v>6230</v>
      </c>
    </row>
    <row r="2400" spans="1:17" ht="15.5" x14ac:dyDescent="0.35">
      <c r="A2400"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2400"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2400" t="s">
        <v>6231</v>
      </c>
      <c r="D2400" t="s">
        <v>6232</v>
      </c>
      <c r="E2400" s="3" t="str">
        <f>HYPERLINK("https://www.amazon.com/Klein-Tools-Non-Contact-Receptacle-Accessories/dp/B0BC86DZ9N/ref=sr_1_10?keywords=Klein+Tools+NCVT1PKIT+Non-Contact+Voltage+and+GFCI+Receptacle+Test+Kit&amp;qid=1695174067&amp;sr=8-10", "https://www.amazon.com/Klein-Tools-Non-Contact-Receptacle-Accessories/dp/B0BC86DZ9N/ref=sr_1_10?keywords=Klein+Tools+NCVT1PKIT+Non-Contact+Voltage+and+GFCI+Receptacle+Test+Kit&amp;qid=1695174067&amp;sr=8-10")</f>
        <v>https://www.amazon.com/Klein-Tools-Non-Contact-Receptacle-Accessories/dp/B0BC86DZ9N/ref=sr_1_10?keywords=Klein+Tools+NCVT1PKIT+Non-Contact+Voltage+and+GFCI+Receptacle+Test+Kit&amp;qid=1695174067&amp;sr=8-10</v>
      </c>
      <c r="F2400" t="s">
        <v>6233</v>
      </c>
      <c r="G2400" t="e">
        <f ca="1">_xludf.IMAGE("https://edmondsonsupply.com/cdn/shop/products/ncvt1pkit.jpg?v=1677682920")</f>
        <v>#NAME?</v>
      </c>
      <c r="H2400" t="e">
        <f ca="1">_xludf.IMAGE("https://m.media-amazon.com/images/I/516iLL0IaEL._AC_UL320_.jpg")</f>
        <v>#NAME?</v>
      </c>
      <c r="I2400" t="s">
        <v>859</v>
      </c>
      <c r="J2400">
        <v>99.53</v>
      </c>
      <c r="K2400" s="4">
        <v>2.9860000000000002</v>
      </c>
      <c r="L2400">
        <v>4.7</v>
      </c>
      <c r="M2400">
        <v>32</v>
      </c>
      <c r="O2400" t="s">
        <v>25</v>
      </c>
      <c r="P2400" t="s">
        <v>6234</v>
      </c>
      <c r="Q2400" t="s">
        <v>6235</v>
      </c>
    </row>
    <row r="2401" spans="1:17" ht="15.5" x14ac:dyDescent="0.35">
      <c r="A2401"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2401"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2401" t="s">
        <v>6236</v>
      </c>
      <c r="D2401" t="s">
        <v>6237</v>
      </c>
      <c r="E2401" s="3" t="str">
        <f>HYPERLINK("https://www.amazon.com/Klein-Tools-Insulated-Screwdriver-Adjustable/dp/B09Y7XVMRK/ref=sr_1_6?keywords=Klein+Tools+32308+8-in-1+Multi-Bit+Adjustable+Length+Stubby+Screwdriver&amp;qid=1695174224&amp;sr=8-6", "https://www.amazon.com/Klein-Tools-Insulated-Screwdriver-Adjustable/dp/B09Y7XVMRK/ref=sr_1_6?keywords=Klein+Tools+32308+8-in-1+Multi-Bit+Adjustable+Length+Stubby+Screwdriver&amp;qid=1695174224&amp;sr=8-6")</f>
        <v>https://www.amazon.com/Klein-Tools-Insulated-Screwdriver-Adjustable/dp/B09Y7XVMRK/ref=sr_1_6?keywords=Klein+Tools+32308+8-in-1+Multi-Bit+Adjustable+Length+Stubby+Screwdriver&amp;qid=1695174224&amp;sr=8-6</v>
      </c>
      <c r="F2401" t="s">
        <v>6238</v>
      </c>
      <c r="G2401" t="e">
        <f ca="1">_xludf.IMAGE("https://edmondsonsupply.com/cdn/shop/products/32308_b.jpg?v=1647348209")</f>
        <v>#NAME?</v>
      </c>
      <c r="H2401" t="e">
        <f ca="1">_xludf.IMAGE("https://m.media-amazon.com/images/I/51vjWT86y0L._AC_UL320_.jpg")</f>
        <v>#NAME?</v>
      </c>
      <c r="I2401" t="s">
        <v>4985</v>
      </c>
      <c r="J2401">
        <v>66.959999999999994</v>
      </c>
      <c r="K2401" s="4">
        <v>2.9458000000000002</v>
      </c>
      <c r="L2401">
        <v>4.7</v>
      </c>
      <c r="M2401">
        <v>7</v>
      </c>
      <c r="O2401" t="s">
        <v>25</v>
      </c>
      <c r="P2401" t="s">
        <v>996</v>
      </c>
      <c r="Q2401" t="s">
        <v>6239</v>
      </c>
    </row>
    <row r="2402" spans="1:17" ht="15.5" x14ac:dyDescent="0.35">
      <c r="A2402" s="3" t="str">
        <f>HYPERLINK("https://edmondsonsupply.com/collections/electricians-tools/products/klein-tools-66074-flip-impact-socket-3-4-and-13-16-inch", "https://edmondsonsupply.com/collections/electricians-tools/products/klein-tools-66074-flip-impact-socket-3-4-and-13-16-inch")</f>
        <v>https://edmondsonsupply.com/collections/electricians-tools/products/klein-tools-66074-flip-impact-socket-3-4-and-13-16-inch</v>
      </c>
      <c r="B2402" s="3" t="str">
        <f>HYPERLINK("https://edmondsonsupply.com/products/klein-tools-66074-flip-impact-socket-3-4-and-13-16-inch", "https://edmondsonsupply.com/products/klein-tools-66074-flip-impact-socket-3-4-and-13-16-inch")</f>
        <v>https://edmondsonsupply.com/products/klein-tools-66074-flip-impact-socket-3-4-and-13-16-inch</v>
      </c>
      <c r="C2402" t="s">
        <v>6240</v>
      </c>
      <c r="D2402" t="s">
        <v>6126</v>
      </c>
      <c r="E2402" s="3" t="str">
        <f>HYPERLINK("https://www.amazon.com/Klein-Tools-66031-Slotted-12-Point/dp/B08R6FL5P8/ref=sr_1_4?keywords=Klein+Tools+66074+Flip+Impact+Socket%2C+3%2F4+and+13%2F16-Inch&amp;qid=1695174170&amp;sr=8-4", "https://www.amazon.com/Klein-Tools-66031-Slotted-12-Point/dp/B08R6FL5P8/ref=sr_1_4?keywords=Klein+Tools+66074+Flip+Impact+Socket%2C+3%2F4+and+13%2F16-Inch&amp;qid=1695174170&amp;sr=8-4")</f>
        <v>https://www.amazon.com/Klein-Tools-66031-Slotted-12-Point/dp/B08R6FL5P8/ref=sr_1_4?keywords=Klein+Tools+66074+Flip+Impact+Socket%2C+3%2F4+and+13%2F16-Inch&amp;qid=1695174170&amp;sr=8-4</v>
      </c>
      <c r="F2402" t="s">
        <v>6127</v>
      </c>
      <c r="G2402" t="e">
        <f ca="1">_xludf.IMAGE("https://edmondsonsupply.com/cdn/shop/products/66074.jpg?v=1663249251")</f>
        <v>#NAME?</v>
      </c>
      <c r="H2402" t="e">
        <f ca="1">_xludf.IMAGE("https://m.media-amazon.com/images/I/51mIf57QKuL._AC_UL320_.jpg")</f>
        <v>#NAME?</v>
      </c>
      <c r="I2402" t="s">
        <v>6241</v>
      </c>
      <c r="J2402">
        <v>49.99</v>
      </c>
      <c r="K2402" s="4">
        <v>2.9331</v>
      </c>
      <c r="L2402">
        <v>4.8</v>
      </c>
      <c r="M2402">
        <v>662</v>
      </c>
      <c r="O2402" t="s">
        <v>25</v>
      </c>
      <c r="P2402" t="s">
        <v>6242</v>
      </c>
      <c r="Q2402" t="s">
        <v>6243</v>
      </c>
    </row>
    <row r="2403" spans="1:17" ht="15.5" x14ac:dyDescent="0.35">
      <c r="A2403" s="3" t="str">
        <f>HYPERLINK("https://edmondsonsupply.com/collections/electricians-tools/products/milwaukee-48-22-6330-6-10-comfort-grip-straight-jaw-pliers-set", "https://edmondsonsupply.com/collections/electricians-tools/products/milwaukee-48-22-6330-6-10-comfort-grip-straight-jaw-pliers-set")</f>
        <v>https://edmondsonsupply.com/collections/electricians-tools/products/milwaukee-48-22-6330-6-10-comfort-grip-straight-jaw-pliers-set</v>
      </c>
      <c r="B2403" s="3" t="str">
        <f>HYPERLINK("https://edmondsonsupply.com/products/milwaukee-48-22-6330-6-10-comfort-grip-straight-jaw-pliers-set", "https://edmondsonsupply.com/products/milwaukee-48-22-6330-6-10-comfort-grip-straight-jaw-pliers-set")</f>
        <v>https://edmondsonsupply.com/products/milwaukee-48-22-6330-6-10-comfort-grip-straight-jaw-pliers-set</v>
      </c>
      <c r="C2403" t="s">
        <v>1713</v>
      </c>
      <c r="D2403" t="s">
        <v>1714</v>
      </c>
      <c r="E2403" s="3" t="str">
        <f>HYPERLINK("https://www.amazon.com/Milwaukee-48-22-6330-Punch-Straight-Pliers/dp/B0C1G32TDX/ref=sr_1_1?keywords=Milwaukee+48-22-6330+6&amp;qid=1695173896&amp;sr=8-1", "https://www.amazon.com/Milwaukee-48-22-6330-Punch-Straight-Pliers/dp/B0C1G32TDX/ref=sr_1_1?keywords=Milwaukee+48-22-6330+6&amp;qid=1695173896&amp;sr=8-1")</f>
        <v>https://www.amazon.com/Milwaukee-48-22-6330-Punch-Straight-Pliers/dp/B0C1G32TDX/ref=sr_1_1?keywords=Milwaukee+48-22-6330+6&amp;qid=1695173896&amp;sr=8-1</v>
      </c>
      <c r="F2403" t="s">
        <v>1715</v>
      </c>
      <c r="G2403" t="e">
        <f ca="1">_xludf.IMAGE("https://edmondsonsupply.com/cdn/shop/products/6330.png?v=1587146326")</f>
        <v>#NAME?</v>
      </c>
      <c r="H2403" t="e">
        <f ca="1">_xludf.IMAGE("https://m.media-amazon.com/images/I/31v2Xd2bbGL._AC_UL320_.jpg")</f>
        <v>#NAME?</v>
      </c>
      <c r="I2403" t="s">
        <v>1716</v>
      </c>
      <c r="J2403">
        <v>89.99</v>
      </c>
      <c r="K2403" s="4">
        <v>2.9177</v>
      </c>
      <c r="L2403">
        <v>3</v>
      </c>
      <c r="M2403">
        <v>2</v>
      </c>
      <c r="O2403" t="s">
        <v>25</v>
      </c>
      <c r="P2403" t="s">
        <v>1717</v>
      </c>
      <c r="Q2403" t="s">
        <v>1718</v>
      </c>
    </row>
    <row r="2404" spans="1:17" ht="15.5" x14ac:dyDescent="0.35">
      <c r="A2404"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2404" s="3" t="str">
        <f>HYPERLINK("https://edmondsonsupply.com/products/klein-tools-31932-bi-metal-hole-saw-2-inch", "https://edmondsonsupply.com/products/klein-tools-31932-bi-metal-hole-saw-2-inch")</f>
        <v>https://edmondsonsupply.com/products/klein-tools-31932-bi-metal-hole-saw-2-inch</v>
      </c>
      <c r="C2404" t="s">
        <v>6244</v>
      </c>
      <c r="D2404" t="s">
        <v>6245</v>
      </c>
      <c r="E2404" s="3" t="str">
        <f>HYPERLINK("https://www.amazon.com/Bi-Metal-8-Inch-Klein-Tools-31900/dp/B0171X0FXU/ref=sr_1_6?keywords=Klein+Tools+31932+Bi-Metal+Hole+Saw%2C+2-Inch&amp;qid=1695174279&amp;sr=8-6", "https://www.amazon.com/Bi-Metal-8-Inch-Klein-Tools-31900/dp/B0171X0FXU/ref=sr_1_6?keywords=Klein+Tools+31932+Bi-Metal+Hole+Saw%2C+2-Inch&amp;qid=1695174279&amp;sr=8-6")</f>
        <v>https://www.amazon.com/Bi-Metal-8-Inch-Klein-Tools-31900/dp/B0171X0FXU/ref=sr_1_6?keywords=Klein+Tools+31932+Bi-Metal+Hole+Saw%2C+2-Inch&amp;qid=1695174279&amp;sr=8-6</v>
      </c>
      <c r="F2404" t="s">
        <v>6246</v>
      </c>
      <c r="G2404" t="e">
        <f ca="1">_xludf.IMAGE("https://edmondsonsupply.com/cdn/shop/products/31932.jpg?v=1633030939")</f>
        <v>#NAME?</v>
      </c>
      <c r="H2404" t="e">
        <f ca="1">_xludf.IMAGE("https://m.media-amazon.com/images/I/51mfU+Jrr7L._AC_UL320_.jpg")</f>
        <v>#NAME?</v>
      </c>
      <c r="I2404" t="s">
        <v>6056</v>
      </c>
      <c r="J2404">
        <v>42.99</v>
      </c>
      <c r="K2404" s="4">
        <v>2.9117000000000002</v>
      </c>
      <c r="L2404">
        <v>4.5</v>
      </c>
      <c r="M2404">
        <v>211</v>
      </c>
      <c r="O2404" t="s">
        <v>25</v>
      </c>
      <c r="P2404" t="s">
        <v>1620</v>
      </c>
      <c r="Q2404" t="s">
        <v>6247</v>
      </c>
    </row>
    <row r="2405" spans="1:17" ht="15.5" x14ac:dyDescent="0.35">
      <c r="A2405"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2405" s="3" t="str">
        <f>HYPERLINK("https://edmondsonsupply.com/products/klein-tools-65200-electricians-mini-ratchet-set-5-piece", "https://edmondsonsupply.com/products/klein-tools-65200-electricians-mini-ratchet-set-5-piece")</f>
        <v>https://edmondsonsupply.com/products/klein-tools-65200-electricians-mini-ratchet-set-5-piece</v>
      </c>
      <c r="C2405" t="s">
        <v>140</v>
      </c>
      <c r="D2405" t="s">
        <v>6248</v>
      </c>
      <c r="E2405" s="3" t="str">
        <f>HYPERLINK("https://www.amazon.com/Sunex-RATCHET-Tools-Ratchet-Phillips/dp/B0C5TJQVQ5/ref=sr_1_7?keywords=Klein+Tools+65200+Slim-Profile+Mini+Ratchet+Set%2C+5-Piece&amp;qid=1695173845&amp;sr=8-7", "https://www.amazon.com/Sunex-RATCHET-Tools-Ratchet-Phillips/dp/B0C5TJQVQ5/ref=sr_1_7?keywords=Klein+Tools+65200+Slim-Profile+Mini+Ratchet+Set%2C+5-Piece&amp;qid=1695173845&amp;sr=8-7")</f>
        <v>https://www.amazon.com/Sunex-RATCHET-Tools-Ratchet-Phillips/dp/B0C5TJQVQ5/ref=sr_1_7?keywords=Klein+Tools+65200+Slim-Profile+Mini+Ratchet+Set%2C+5-Piece&amp;qid=1695173845&amp;sr=8-7</v>
      </c>
      <c r="F2405" t="s">
        <v>6249</v>
      </c>
      <c r="G2405" t="e">
        <f ca="1">_xludf.IMAGE("https://edmondsonsupply.com/cdn/shop/products/65200.jpg?v=1633030630")</f>
        <v>#NAME?</v>
      </c>
      <c r="H2405" t="e">
        <f ca="1">_xludf.IMAGE("https://m.media-amazon.com/images/I/512MIGy+pyL._AC_UL320_.jpg")</f>
        <v>#NAME?</v>
      </c>
      <c r="I2405" t="s">
        <v>143</v>
      </c>
      <c r="J2405">
        <v>62.31</v>
      </c>
      <c r="K2405" s="4">
        <v>2.9016999999999999</v>
      </c>
      <c r="L2405">
        <v>4.7</v>
      </c>
      <c r="M2405">
        <v>1236</v>
      </c>
      <c r="O2405" t="s">
        <v>25</v>
      </c>
      <c r="P2405" t="s">
        <v>144</v>
      </c>
      <c r="Q2405" t="s">
        <v>145</v>
      </c>
    </row>
    <row r="2406" spans="1:17" ht="15.5" x14ac:dyDescent="0.35">
      <c r="A2406" s="3" t="str">
        <f>HYPERLINK("https://edmondsonsupply.com/collections/electricians-tools/products/malco-mshc-2-inch-c-rhex-cleanable-reversible-magnetic-hex-driver-1-4-5-16", "https://edmondsonsupply.com/collections/electricians-tools/products/malco-mshc-2-inch-c-rhex-cleanable-reversible-magnetic-hex-driver-1-4-5-16")</f>
        <v>https://edmondsonsupply.com/collections/electricians-tools/products/malco-mshc-2-inch-c-rhex-cleanable-reversible-magnetic-hex-driver-1-4-5-16</v>
      </c>
      <c r="B2406"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2406" t="s">
        <v>134</v>
      </c>
      <c r="D2406" t="s">
        <v>153</v>
      </c>
      <c r="E2406" s="3" t="str">
        <f>HYPERLINK("https://www.amazon.com/Malco-MSH2XLC2-Construction-Cleanable-Reversible/dp/B0BX79N2BV/ref=sr_1_7?keywords=Malco+Tools+MSHC+2-Inch+C-Rhex+Cleanable%2C+Reversible+Magnetic+Hex+Driver%2C+1%2F4&amp;qid=1695173843&amp;sr=8-7", "https://www.amazon.com/Malco-MSH2XLC2-Construction-Cleanable-Reversible/dp/B0BX79N2BV/ref=sr_1_7?keywords=Malco+Tools+MSHC+2-Inch+C-Rhex+Cleanable%2C+Reversible+Magnetic+Hex+Driver%2C+1%2F4&amp;qid=1695173843&amp;sr=8-7")</f>
        <v>https://www.amazon.com/Malco-MSH2XLC2-Construction-Cleanable-Reversible/dp/B0BX79N2BV/ref=sr_1_7?keywords=Malco+Tools+MSHC+2-Inch+C-Rhex+Cleanable%2C+Reversible+Magnetic+Hex+Driver%2C+1%2F4&amp;qid=1695173843&amp;sr=8-7</v>
      </c>
      <c r="F2406" t="s">
        <v>154</v>
      </c>
      <c r="G2406" t="e">
        <f ca="1">_xludf.IMAGE("https://edmondsonsupply.com/cdn/shop/products/Malco-MSHC-CRHEX-Slim-Design.jpg?v=1646614493")</f>
        <v>#NAME?</v>
      </c>
      <c r="H2406" t="e">
        <f ca="1">_xludf.IMAGE("https://m.media-amazon.com/images/I/31odlSGS4kL._AC_UL320_.jpg")</f>
        <v>#NAME?</v>
      </c>
      <c r="I2406" t="s">
        <v>137</v>
      </c>
      <c r="J2406">
        <v>22.86</v>
      </c>
      <c r="K2406" s="4">
        <v>2.8812000000000002</v>
      </c>
      <c r="L2406">
        <v>5</v>
      </c>
      <c r="M2406">
        <v>1</v>
      </c>
      <c r="O2406" t="s">
        <v>25</v>
      </c>
      <c r="P2406" t="s">
        <v>138</v>
      </c>
      <c r="Q2406" t="s">
        <v>139</v>
      </c>
    </row>
    <row r="2407" spans="1:17" ht="15.5" x14ac:dyDescent="0.35">
      <c r="A2407"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2407" s="3" t="str">
        <f>HYPERLINK("https://edmondsonsupply.com/products/klein-tools-60162-professional-safety-glasses-gray-lens", "https://edmondsonsupply.com/products/klein-tools-60162-professional-safety-glasses-gray-lens")</f>
        <v>https://edmondsonsupply.com/products/klein-tools-60162-professional-safety-glasses-gray-lens</v>
      </c>
      <c r="C2407" t="s">
        <v>833</v>
      </c>
      <c r="D2407" t="s">
        <v>816</v>
      </c>
      <c r="E2407" s="3" t="str">
        <f>HYPERLINK("https://www.amazon.com/Klein-80055-Glasses-Professional-Breakaway/dp/B09HR9RV4H/ref=sr_1_4?keywords=Klein+Tools+60162+Professional+Safety+Glasses%2C+Gray+Lens&amp;qid=1695174302&amp;sr=8-4", "https://www.amazon.com/Klein-80055-Glasses-Professional-Breakaway/dp/B09HR9RV4H/ref=sr_1_4?keywords=Klein+Tools+60162+Professional+Safety+Glasses%2C+Gray+Lens&amp;qid=1695174302&amp;sr=8-4")</f>
        <v>https://www.amazon.com/Klein-80055-Glasses-Professional-Breakaway/dp/B09HR9RV4H/ref=sr_1_4?keywords=Klein+Tools+60162+Professional+Safety+Glasses%2C+Gray+Lens&amp;qid=1695174302&amp;sr=8-4</v>
      </c>
      <c r="F2407" t="s">
        <v>817</v>
      </c>
      <c r="G2407" t="e">
        <f ca="1">_xludf.IMAGE("https://edmondsonsupply.com/cdn/shop/products/60162.jpg?v=1633030847")</f>
        <v>#NAME?</v>
      </c>
      <c r="H2407" t="e">
        <f ca="1">_xludf.IMAGE("https://m.media-amazon.com/images/I/61L5l7dmmiL._AC_UL320_.jpg")</f>
        <v>#NAME?</v>
      </c>
      <c r="I2407" t="s">
        <v>834</v>
      </c>
      <c r="J2407">
        <v>49.99</v>
      </c>
      <c r="K2407" s="4">
        <v>2.8483000000000001</v>
      </c>
      <c r="L2407">
        <v>4.5</v>
      </c>
      <c r="M2407">
        <v>13</v>
      </c>
      <c r="O2407" t="s">
        <v>25</v>
      </c>
      <c r="P2407" t="s">
        <v>835</v>
      </c>
      <c r="Q2407" t="s">
        <v>836</v>
      </c>
    </row>
    <row r="2408" spans="1:17" ht="15.5" x14ac:dyDescent="0.35">
      <c r="A2408" s="3" t="str">
        <f>HYPERLINK("https://edmondsonsupply.com/collections/electricians-tools/products/clc-1100-3", "https://edmondsonsupply.com/collections/electricians-tools/products/clc-1100-3")</f>
        <v>https://edmondsonsupply.com/collections/electricians-tools/products/clc-1100-3</v>
      </c>
      <c r="B2408" s="3" t="str">
        <f>HYPERLINK("https://edmondsonsupply.com/products/clc-1100-3", "https://edmondsonsupply.com/products/clc-1100-3")</f>
        <v>https://edmondsonsupply.com/products/clc-1100-3</v>
      </c>
      <c r="C2408" t="s">
        <v>231</v>
      </c>
      <c r="D2408" t="s">
        <v>271</v>
      </c>
      <c r="E2408" s="3" t="str">
        <f>HYPERLINK("https://www.amazon.com/Custom-Leathercraft-BigMouth-Multi-Purpose-Zippered/dp/B0BFXQMPC7/ref=sr_1_6?keywords=CLC+1100+3+Multi-Purpose%2C+Clip-on%2C+Zippered+Bags&amp;qid=1695173929&amp;sr=8-6", "https://www.amazon.com/Custom-Leathercraft-BigMouth-Multi-Purpose-Zippered/dp/B0BFXQMPC7/ref=sr_1_6?keywords=CLC+1100+3+Multi-Purpose%2C+Clip-on%2C+Zippered+Bags&amp;qid=1695173929&amp;sr=8-6")</f>
        <v>https://www.amazon.com/Custom-Leathercraft-BigMouth-Multi-Purpose-Zippered/dp/B0BFXQMPC7/ref=sr_1_6?keywords=CLC+1100+3+Multi-Purpose%2C+Clip-on%2C+Zippered+Bags&amp;qid=1695173929&amp;sr=8-6</v>
      </c>
      <c r="F2408" t="s">
        <v>272</v>
      </c>
      <c r="G2408" t="e">
        <f ca="1">_xludf.IMAGE("https://edmondsonsupply.com/cdn/shop/products/1100_REV17_2.jpg?v=1633030333")</f>
        <v>#NAME?</v>
      </c>
      <c r="H2408" t="e">
        <f ca="1">_xludf.IMAGE("https://m.media-amazon.com/images/I/41lqDxz+4NL._AC_UL320_.jpg")</f>
        <v>#NAME?</v>
      </c>
      <c r="I2408" t="s">
        <v>234</v>
      </c>
      <c r="J2408">
        <v>44.94</v>
      </c>
      <c r="K2408" s="4">
        <v>2.8247</v>
      </c>
      <c r="L2408">
        <v>4.7</v>
      </c>
      <c r="M2408">
        <v>1488</v>
      </c>
      <c r="O2408" t="s">
        <v>25</v>
      </c>
      <c r="P2408" t="s">
        <v>235</v>
      </c>
      <c r="Q2408" t="s">
        <v>236</v>
      </c>
    </row>
    <row r="2409" spans="1:17" ht="15.5" x14ac:dyDescent="0.35">
      <c r="A2409"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409" s="3" t="str">
        <f>HYPERLINK("https://edmondsonsupply.com/products/klein-tools-32900-7-in-1-impact-flip-socket-with-handle", "https://edmondsonsupply.com/products/klein-tools-32900-7-in-1-impact-flip-socket-with-handle")</f>
        <v>https://edmondsonsupply.com/products/klein-tools-32900-7-in-1-impact-flip-socket-with-handle</v>
      </c>
      <c r="C2409" t="s">
        <v>6184</v>
      </c>
      <c r="D2409" t="s">
        <v>6250</v>
      </c>
      <c r="E2409" s="3" t="str">
        <f>HYPERLINK("https://www.amazon.com/KNIPEX-Tools-9K0080121US-7-1/dp/B0CB142X56/ref=sr_1_2?keywords=Klein+Tools+32900+7-in-1+Impact+Flip+Socket+with+Handle&amp;qid=1695174143&amp;sr=8-2", "https://www.amazon.com/KNIPEX-Tools-9K0080121US-7-1/dp/B0CB142X56/ref=sr_1_2?keywords=Klein+Tools+32900+7-in-1+Impact+Flip+Socket+with+Handle&amp;qid=1695174143&amp;sr=8-2")</f>
        <v>https://www.amazon.com/KNIPEX-Tools-9K0080121US-7-1/dp/B0CB142X56/ref=sr_1_2?keywords=Klein+Tools+32900+7-in-1+Impact+Flip+Socket+with+Handle&amp;qid=1695174143&amp;sr=8-2</v>
      </c>
      <c r="F2409" t="s">
        <v>6251</v>
      </c>
      <c r="G2409" t="e">
        <f ca="1">_xludf.IMAGE("https://edmondsonsupply.com/cdn/shop/products/32900_b.jpg?v=1666024787")</f>
        <v>#NAME?</v>
      </c>
      <c r="H2409" t="e">
        <f ca="1">_xludf.IMAGE("https://m.media-amazon.com/images/I/51f4IxPp8rL._AC_UL320_.jpg")</f>
        <v>#NAME?</v>
      </c>
      <c r="I2409" t="s">
        <v>824</v>
      </c>
      <c r="J2409">
        <v>114.03</v>
      </c>
      <c r="K2409" s="4">
        <v>2.8048000000000002</v>
      </c>
      <c r="L2409">
        <v>4.8</v>
      </c>
      <c r="M2409">
        <v>1148</v>
      </c>
      <c r="O2409" t="s">
        <v>25</v>
      </c>
      <c r="P2409" t="s">
        <v>73</v>
      </c>
      <c r="Q2409" t="s">
        <v>6187</v>
      </c>
    </row>
    <row r="2410" spans="1:17" ht="15.5" x14ac:dyDescent="0.35">
      <c r="A2410"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2410"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2410" t="s">
        <v>6225</v>
      </c>
      <c r="D2410" t="s">
        <v>6252</v>
      </c>
      <c r="E2410" s="3" t="str">
        <f>HYPERLINK("https://www.amazon.com/Klein-Tools-JTH6E09BE-Ball-End-Journeyman/dp/B0CGLVC75M/ref=sr_1_3?keywords=Klein+Tools+JTH4E09+9%2F64-Inch+Hex+Key+Journeyman+T-Handle+4-Inch&amp;qid=1695174238&amp;sr=8-3", "https://www.amazon.com/Klein-Tools-JTH6E09BE-Ball-End-Journeyman/dp/B0CGLVC75M/ref=sr_1_3?keywords=Klein+Tools+JTH4E09+9%2F64-Inch+Hex+Key+Journeyman+T-Handle+4-Inch&amp;qid=1695174238&amp;sr=8-3")</f>
        <v>https://www.amazon.com/Klein-Tools-JTH6E09BE-Ball-End-Journeyman/dp/B0CGLVC75M/ref=sr_1_3?keywords=Klein+Tools+JTH4E09+9%2F64-Inch+Hex+Key+Journeyman+T-Handle+4-Inch&amp;qid=1695174238&amp;sr=8-3</v>
      </c>
      <c r="F2410" t="s">
        <v>6253</v>
      </c>
      <c r="G2410" t="e">
        <f ca="1">_xludf.IMAGE("https://edmondsonsupply.com/cdn/shop/products/jth4e06_be5118a6-2e9d-44f5-81ad-c027572dd2d3.jpg?v=1635981570")</f>
        <v>#NAME?</v>
      </c>
      <c r="H2410" t="e">
        <f ca="1">_xludf.IMAGE("https://m.media-amazon.com/images/I/41bN+I19ReL._AC_UL320_.jpg")</f>
        <v>#NAME?</v>
      </c>
      <c r="I2410" t="s">
        <v>6228</v>
      </c>
      <c r="J2410">
        <v>14.36</v>
      </c>
      <c r="K2410" s="4">
        <v>2.7888999999999999</v>
      </c>
      <c r="L2410">
        <v>4.9000000000000004</v>
      </c>
      <c r="M2410">
        <v>65</v>
      </c>
      <c r="O2410" t="s">
        <v>25</v>
      </c>
      <c r="P2410" t="s">
        <v>6229</v>
      </c>
      <c r="Q2410" t="s">
        <v>6230</v>
      </c>
    </row>
    <row r="2411" spans="1:17" ht="15.5" x14ac:dyDescent="0.35">
      <c r="A2411"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2411"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2411" t="s">
        <v>6254</v>
      </c>
      <c r="D2411" t="s">
        <v>1587</v>
      </c>
      <c r="E2411" s="3" t="str">
        <f>HYPERLINK("https://www.amazon.com/Klein-Tools-Infrared-Thermometer-Targeting/dp/B0BGJ6JX2Q/ref=sr_1_10?keywords=Klein+Tools+IR1+Infrared+Digital+Thermometer+with+Targeting+Laser%2C+10%3A1&amp;qid=1695174178&amp;sr=8-10", "https://www.amazon.com/Klein-Tools-Infrared-Thermometer-Targeting/dp/B0BGJ6JX2Q/ref=sr_1_10?keywords=Klein+Tools+IR1+Infrared+Digital+Thermometer+with+Targeting+Laser%2C+10%3A1&amp;qid=1695174178&amp;sr=8-10")</f>
        <v>https://www.amazon.com/Klein-Tools-Infrared-Thermometer-Targeting/dp/B0BGJ6JX2Q/ref=sr_1_10?keywords=Klein+Tools+IR1+Infrared+Digital+Thermometer+with+Targeting+Laser%2C+10%3A1&amp;qid=1695174178&amp;sr=8-10</v>
      </c>
      <c r="F2411" t="s">
        <v>1588</v>
      </c>
      <c r="G2411" t="e">
        <f ca="1">_xludf.IMAGE("https://edmondsonsupply.com/cdn/shop/products/ir1.jpg?v=1659112251")</f>
        <v>#NAME?</v>
      </c>
      <c r="H2411" t="e">
        <f ca="1">_xludf.IMAGE("https://m.media-amazon.com/images/I/51I0Gu41RPL._AC_UY218_.jpg")</f>
        <v>#NAME?</v>
      </c>
      <c r="I2411" t="s">
        <v>3578</v>
      </c>
      <c r="J2411">
        <v>123.98</v>
      </c>
      <c r="K2411" s="4">
        <v>2.7581000000000002</v>
      </c>
      <c r="L2411">
        <v>5</v>
      </c>
      <c r="M2411">
        <v>2</v>
      </c>
      <c r="O2411" t="s">
        <v>25</v>
      </c>
      <c r="P2411" t="s">
        <v>6255</v>
      </c>
      <c r="Q2411" t="s">
        <v>6256</v>
      </c>
    </row>
    <row r="2412" spans="1:17" ht="15.5" x14ac:dyDescent="0.35">
      <c r="A2412" s="3" t="str">
        <f>HYPERLINK("https://edmondsonsupply.com/collections/electricians-tools/products/veto-pro-pac-tp4-tool-pouch", "https://edmondsonsupply.com/collections/electricians-tools/products/veto-pro-pac-tp4-tool-pouch")</f>
        <v>https://edmondsonsupply.com/collections/electricians-tools/products/veto-pro-pac-tp4-tool-pouch</v>
      </c>
      <c r="B2412" s="3" t="str">
        <f>HYPERLINK("https://edmondsonsupply.com/products/veto-pro-pac-tp4-tool-pouch", "https://edmondsonsupply.com/products/veto-pro-pac-tp4-tool-pouch")</f>
        <v>https://edmondsonsupply.com/products/veto-pro-pac-tp4-tool-pouch</v>
      </c>
      <c r="C2412" t="s">
        <v>6137</v>
      </c>
      <c r="D2412" t="s">
        <v>781</v>
      </c>
      <c r="E2412" s="3" t="str">
        <f>HYPERLINK("https://www.amazon.com/VETO-PRO-PAC-Model-XL/dp/B00009K77K/ref=sr_1_10?keywords=Veto+Pro+Pac+TP3+Tool+Bag&amp;qid=1695174238&amp;sr=8-10", "https://www.amazon.com/VETO-PRO-PAC-Model-XL/dp/B00009K77K/ref=sr_1_10?keywords=Veto+Pro+Pac+TP3+Tool+Bag&amp;qid=1695174238&amp;sr=8-10")</f>
        <v>https://www.amazon.com/VETO-PRO-PAC-Model-XL/dp/B00009K77K/ref=sr_1_10?keywords=Veto+Pro+Pac+TP3+Tool+Bag&amp;qid=1695174238&amp;sr=8-10</v>
      </c>
      <c r="F2412" t="s">
        <v>782</v>
      </c>
      <c r="G2412" t="e">
        <f ca="1">_xludf.IMAGE("https://edmondsonsupply.com/cdn/shop/products/TP3_1.jpg?v=1587144391")</f>
        <v>#NAME?</v>
      </c>
      <c r="H2412" t="e">
        <f ca="1">_xludf.IMAGE("https://m.media-amazon.com/images/I/51WvtSPKVtS._AC_UL320_.jpg")</f>
        <v>#NAME?</v>
      </c>
      <c r="I2412" t="s">
        <v>905</v>
      </c>
      <c r="J2412">
        <v>224.95</v>
      </c>
      <c r="K2412" s="4">
        <v>2.7498</v>
      </c>
      <c r="L2412">
        <v>4.7</v>
      </c>
      <c r="M2412">
        <v>343</v>
      </c>
      <c r="O2412" t="s">
        <v>25</v>
      </c>
      <c r="P2412" t="s">
        <v>138</v>
      </c>
      <c r="Q2412" t="s">
        <v>6140</v>
      </c>
    </row>
    <row r="2413" spans="1:17" ht="15.5" x14ac:dyDescent="0.35">
      <c r="A2413"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2413" s="3" t="str">
        <f>HYPERLINK("https://edmondsonsupply.com/products/klein-tools-66076-flip-impact-socket-9-16-and-1-2-inch", "https://edmondsonsupply.com/products/klein-tools-66076-flip-impact-socket-9-16-and-1-2-inch")</f>
        <v>https://edmondsonsupply.com/products/klein-tools-66076-flip-impact-socket-9-16-and-1-2-inch</v>
      </c>
      <c r="C2413" t="s">
        <v>6085</v>
      </c>
      <c r="D2413" t="s">
        <v>6257</v>
      </c>
      <c r="E2413" s="3" t="str">
        <f>HYPERLINK("https://www.amazon.com/Klein-Tools-66001-12-Point-16-Inch/dp/B078NHVXWK/ref=sr_1_6?keywords=Klein+Tools+66076+Flip+Impact+Socket%2C+9%2F16+and+1%2F2-Inch&amp;qid=1695174172&amp;sr=8-6", "https://www.amazon.com/Klein-Tools-66001-12-Point-16-Inch/dp/B078NHVXWK/ref=sr_1_6?keywords=Klein+Tools+66076+Flip+Impact+Socket%2C+9%2F16+and+1%2F2-Inch&amp;qid=1695174172&amp;sr=8-6")</f>
        <v>https://www.amazon.com/Klein-Tools-66001-12-Point-16-Inch/dp/B078NHVXWK/ref=sr_1_6?keywords=Klein+Tools+66076+Flip+Impact+Socket%2C+9%2F16+and+1%2F2-Inch&amp;qid=1695174172&amp;sr=8-6</v>
      </c>
      <c r="F2413" t="s">
        <v>6258</v>
      </c>
      <c r="G2413" t="e">
        <f ca="1">_xludf.IMAGE("https://edmondsonsupply.com/cdn/shop/products/66076.jpg?v=1663083814")</f>
        <v>#NAME?</v>
      </c>
      <c r="H2413" t="e">
        <f ca="1">_xludf.IMAGE("https://m.media-amazon.com/images/I/31AlECG12iL._AC_UL320_.jpg")</f>
        <v>#NAME?</v>
      </c>
      <c r="I2413" t="s">
        <v>6086</v>
      </c>
      <c r="J2413">
        <v>39.99</v>
      </c>
      <c r="K2413" s="4">
        <v>2.7339000000000002</v>
      </c>
      <c r="L2413">
        <v>4.8</v>
      </c>
      <c r="M2413">
        <v>753</v>
      </c>
      <c r="O2413" t="s">
        <v>25</v>
      </c>
      <c r="P2413" t="s">
        <v>6087</v>
      </c>
      <c r="Q2413" t="s">
        <v>6088</v>
      </c>
    </row>
    <row r="2414" spans="1:17" ht="15.5" x14ac:dyDescent="0.35">
      <c r="A2414"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2414" s="3" t="str">
        <f>HYPERLINK("https://edmondsonsupply.com/products/klein-tools-31902-bi-metal-hole-saw-kit-8-piece", "https://edmondsonsupply.com/products/klein-tools-31902-bi-metal-hole-saw-kit-8-piece")</f>
        <v>https://edmondsonsupply.com/products/klein-tools-31902-bi-metal-hole-saw-kit-8-piece</v>
      </c>
      <c r="C2414" t="s">
        <v>6259</v>
      </c>
      <c r="D2414" t="s">
        <v>6036</v>
      </c>
      <c r="E2414" s="3" t="str">
        <f>HYPERLINK("https://www.amazon.com/Electricians-8-Piece-Klein-Tools-31873/dp/B003CCRCM2/ref=sr_1_2?keywords=Klein+Tools+31902+Bi-Metal+Hole+Saw+Kit%2C+8-Piece&amp;qid=1695174040&amp;sr=8-2", "https://www.amazon.com/Electricians-8-Piece-Klein-Tools-31873/dp/B003CCRCM2/ref=sr_1_2?keywords=Klein+Tools+31902+Bi-Metal+Hole+Saw+Kit%2C+8-Piece&amp;qid=1695174040&amp;sr=8-2")</f>
        <v>https://www.amazon.com/Electricians-8-Piece-Klein-Tools-31873/dp/B003CCRCM2/ref=sr_1_2?keywords=Klein+Tools+31902+Bi-Metal+Hole+Saw+Kit%2C+8-Piece&amp;qid=1695174040&amp;sr=8-2</v>
      </c>
      <c r="F2414" t="s">
        <v>6037</v>
      </c>
      <c r="G2414" t="e">
        <f ca="1">_xludf.IMAGE("https://edmondsonsupply.com/cdn/shop/products/31902.jpg?v=1679665390")</f>
        <v>#NAME?</v>
      </c>
      <c r="H2414" t="e">
        <f ca="1">_xludf.IMAGE("https://m.media-amazon.com/images/I/61G-oQvGZTL._AC_UL320_.jpg")</f>
        <v>#NAME?</v>
      </c>
      <c r="I2414" t="s">
        <v>320</v>
      </c>
      <c r="J2414">
        <v>279.99</v>
      </c>
      <c r="K2414" s="4">
        <v>2.7336999999999998</v>
      </c>
      <c r="L2414">
        <v>4.5999999999999996</v>
      </c>
      <c r="M2414">
        <v>64</v>
      </c>
      <c r="O2414" t="s">
        <v>25</v>
      </c>
      <c r="P2414" t="s">
        <v>6260</v>
      </c>
      <c r="Q2414" t="s">
        <v>6261</v>
      </c>
    </row>
    <row r="2415" spans="1:17" ht="15.5" x14ac:dyDescent="0.35">
      <c r="A2415"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415" s="3" t="str">
        <f>HYPERLINK("https://edmondsonsupply.com/products/klein-tools-32305-15-in-1-multi-bit-ratcheting-screwdriver", "https://edmondsonsupply.com/products/klein-tools-32305-15-in-1-multi-bit-ratcheting-screwdriver")</f>
        <v>https://edmondsonsupply.com/products/klein-tools-32305-15-in-1-multi-bit-ratcheting-screwdriver</v>
      </c>
      <c r="C2415" t="s">
        <v>6262</v>
      </c>
      <c r="D2415" t="s">
        <v>6263</v>
      </c>
      <c r="E2415" s="3" t="str">
        <f>HYPERLINK("https://www.amazon.com/Klein-Tools-55419SP-14-Screwdrivers-Screwdriver/dp/B0CF2DT3WF/ref=sr_1_9?keywords=Klein+Tools+32305+15-in-1+Multi-Bit+Ratcheting+Screwdriver&amp;qid=1695174215&amp;sr=8-9", "https://www.amazon.com/Klein-Tools-55419SP-14-Screwdrivers-Screwdriver/dp/B0CF2DT3WF/ref=sr_1_9?keywords=Klein+Tools+32305+15-in-1+Multi-Bit+Ratcheting+Screwdriver&amp;qid=1695174215&amp;sr=8-9")</f>
        <v>https://www.amazon.com/Klein-Tools-55419SP-14-Screwdrivers-Screwdriver/dp/B0CF2DT3WF/ref=sr_1_9?keywords=Klein+Tools+32305+15-in-1+Multi-Bit+Ratcheting+Screwdriver&amp;qid=1695174215&amp;sr=8-9</v>
      </c>
      <c r="F2415" t="s">
        <v>6264</v>
      </c>
      <c r="G2415" t="e">
        <f ca="1">_xludf.IMAGE("https://edmondsonsupply.com/cdn/shop/products/32305.jpg?v=1646965475")</f>
        <v>#NAME?</v>
      </c>
      <c r="H2415" t="e">
        <f ca="1">_xludf.IMAGE("https://m.media-amazon.com/images/I/51IeNoRd0vL._AC_UL320_.jpg")</f>
        <v>#NAME?</v>
      </c>
      <c r="I2415" t="s">
        <v>2247</v>
      </c>
      <c r="J2415">
        <v>81.96</v>
      </c>
      <c r="K2415" s="4">
        <v>2.7305000000000001</v>
      </c>
      <c r="L2415">
        <v>4.8</v>
      </c>
      <c r="M2415">
        <v>2932</v>
      </c>
      <c r="O2415" t="s">
        <v>25</v>
      </c>
      <c r="P2415" t="s">
        <v>6200</v>
      </c>
      <c r="Q2415" t="s">
        <v>6265</v>
      </c>
    </row>
    <row r="2416" spans="1:17" ht="15.5" x14ac:dyDescent="0.35">
      <c r="A2416" s="3" t="str">
        <f>HYPERLINK("https://edmondsonsupply.com/collections/electricians-tools/products/klein-tools-ktsb01-step-drill-bit-double-fluted-1-1-8-to-1-2-inch", "https://edmondsonsupply.com/collections/electricians-tools/products/klein-tools-ktsb01-step-drill-bit-double-fluted-1-1-8-to-1-2-inch")</f>
        <v>https://edmondsonsupply.com/collections/electricians-tools/products/klein-tools-ktsb01-step-drill-bit-double-fluted-1-1-8-to-1-2-inch</v>
      </c>
      <c r="B2416" s="3" t="str">
        <f>HYPERLINK("https://edmondsonsupply.com/products/klein-tools-ktsb01-step-drill-bit-double-fluted-1-1-8-to-1-2-inch", "https://edmondsonsupply.com/products/klein-tools-ktsb01-step-drill-bit-double-fluted-1-1-8-to-1-2-inch")</f>
        <v>https://edmondsonsupply.com/products/klein-tools-ktsb01-step-drill-bit-double-fluted-1-1-8-to-1-2-inch</v>
      </c>
      <c r="C2416" t="s">
        <v>6266</v>
      </c>
      <c r="D2416" t="s">
        <v>1979</v>
      </c>
      <c r="E2416" s="3" t="str">
        <f>HYPERLINK("https://www.amazon.com/Klein-Tools-25951-Electricians-Titanium/dp/B0BLFRJLDX/ref=sr_1_3?keywords=Klein+Tools+KTSB01+Step+Drill+Bit+Double-Fluted+%231%2C+1%2F8+to+1%2F2-Inch&amp;qid=1695174255&amp;sr=8-3", "https://www.amazon.com/Klein-Tools-25951-Electricians-Titanium/dp/B0BLFRJLDX/ref=sr_1_3?keywords=Klein+Tools+KTSB01+Step+Drill+Bit+Double-Fluted+%231%2C+1%2F8+to+1%2F2-Inch&amp;qid=1695174255&amp;sr=8-3")</f>
        <v>https://www.amazon.com/Klein-Tools-25951-Electricians-Titanium/dp/B0BLFRJLDX/ref=sr_1_3?keywords=Klein+Tools+KTSB01+Step+Drill+Bit+Double-Fluted+%231%2C+1%2F8+to+1%2F2-Inch&amp;qid=1695174255&amp;sr=8-3</v>
      </c>
      <c r="F2416" t="s">
        <v>1980</v>
      </c>
      <c r="G2416" t="e">
        <f ca="1">_xludf.IMAGE("https://edmondsonsupply.com/cdn/shop/products/ktsb01.jpg?v=1633903640")</f>
        <v>#NAME?</v>
      </c>
      <c r="H2416" t="e">
        <f ca="1">_xludf.IMAGE("https://m.media-amazon.com/images/I/61dZd3WvlgL._AC_UY218_.jpg")</f>
        <v>#NAME?</v>
      </c>
      <c r="I2416" t="s">
        <v>967</v>
      </c>
      <c r="J2416">
        <v>99.99</v>
      </c>
      <c r="K2416" s="4">
        <v>2.7046999999999999</v>
      </c>
      <c r="L2416">
        <v>3.8</v>
      </c>
      <c r="M2416">
        <v>6</v>
      </c>
      <c r="O2416" t="s">
        <v>25</v>
      </c>
      <c r="P2416" t="s">
        <v>6267</v>
      </c>
      <c r="Q2416" t="s">
        <v>6268</v>
      </c>
    </row>
    <row r="2417" spans="1:17" ht="15.5" x14ac:dyDescent="0.35">
      <c r="A2417" s="3" t="str">
        <f>HYPERLINK("https://edmondsonsupply.com/collections/electricians-tools/products/klein-tools-31922-bi-metal-hole-saw-1-3-8-inch", "https://edmondsonsupply.com/collections/electricians-tools/products/klein-tools-31922-bi-metal-hole-saw-1-3-8-inch")</f>
        <v>https://edmondsonsupply.com/collections/electricians-tools/products/klein-tools-31922-bi-metal-hole-saw-1-3-8-inch</v>
      </c>
      <c r="B2417" s="3" t="str">
        <f>HYPERLINK("https://edmondsonsupply.com/products/klein-tools-31922-bi-metal-hole-saw-1-3-8-inch", "https://edmondsonsupply.com/products/klein-tools-31922-bi-metal-hole-saw-1-3-8-inch")</f>
        <v>https://edmondsonsupply.com/products/klein-tools-31922-bi-metal-hole-saw-1-3-8-inch</v>
      </c>
      <c r="C2417" t="s">
        <v>6049</v>
      </c>
      <c r="D2417" t="s">
        <v>6269</v>
      </c>
      <c r="E2417" s="3" t="str">
        <f>HYPERLINK("https://www.amazon.com/Carbide-Cutter-Klein-Tools-31860/dp/B0061J5B2Q/ref=sr_1_3?keywords=Klein+Tools+31922+Bi-Metal+Hole+Saw%2C+1-3%2F8-Inch&amp;qid=1695174231&amp;sr=8-3", "https://www.amazon.com/Carbide-Cutter-Klein-Tools-31860/dp/B0061J5B2Q/ref=sr_1_3?keywords=Klein+Tools+31922+Bi-Metal+Hole+Saw%2C+1-3%2F8-Inch&amp;qid=1695174231&amp;sr=8-3")</f>
        <v>https://www.amazon.com/Carbide-Cutter-Klein-Tools-31860/dp/B0061J5B2Q/ref=sr_1_3?keywords=Klein+Tools+31922+Bi-Metal+Hole+Saw%2C+1-3%2F8-Inch&amp;qid=1695174231&amp;sr=8-3</v>
      </c>
      <c r="F2417" t="s">
        <v>6270</v>
      </c>
      <c r="G2417" t="e">
        <f ca="1">_xludf.IMAGE("https://edmondsonsupply.com/cdn/shop/products/31922.jpg?v=1663943738")</f>
        <v>#NAME?</v>
      </c>
      <c r="H2417" t="e">
        <f ca="1">_xludf.IMAGE("https://m.media-amazon.com/images/I/71zW61z+LYL._AC_UL320_.jpg")</f>
        <v>#NAME?</v>
      </c>
      <c r="I2417" t="s">
        <v>2577</v>
      </c>
      <c r="J2417">
        <v>36.99</v>
      </c>
      <c r="K2417" s="4">
        <v>2.7027000000000001</v>
      </c>
      <c r="L2417">
        <v>4.5</v>
      </c>
      <c r="M2417">
        <v>473</v>
      </c>
      <c r="O2417" t="s">
        <v>25</v>
      </c>
      <c r="P2417" t="s">
        <v>1271</v>
      </c>
      <c r="Q2417" t="s">
        <v>6050</v>
      </c>
    </row>
    <row r="2418" spans="1:17" ht="15.5" x14ac:dyDescent="0.35">
      <c r="A2418" s="3" t="str">
        <f>HYPERLINK("https://edmondsonsupply.com/collections/electricians-tools/products/diablo-tools-d0724x-7-1-4-in-x-24-tooth-framing-saw-blade", "https://edmondsonsupply.com/collections/electricians-tools/products/diablo-tools-d0724x-7-1-4-in-x-24-tooth-framing-saw-blade")</f>
        <v>https://edmondsonsupply.com/collections/electricians-tools/products/diablo-tools-d0724x-7-1-4-in-x-24-tooth-framing-saw-blade</v>
      </c>
      <c r="B2418" s="3" t="str">
        <f>HYPERLINK("https://edmondsonsupply.com/products/diablo-tools-d0724x-7-1-4-in-x-24-tooth-framing-saw-blade", "https://edmondsonsupply.com/products/diablo-tools-d0724x-7-1-4-in-x-24-tooth-framing-saw-blade")</f>
        <v>https://edmondsonsupply.com/products/diablo-tools-d0724x-7-1-4-in-x-24-tooth-framing-saw-blade</v>
      </c>
      <c r="C2418" t="s">
        <v>6271</v>
      </c>
      <c r="D2418" t="s">
        <v>6272</v>
      </c>
      <c r="E2418" s="3" t="str">
        <f>HYPERLINK("https://www.amazon.com/Diablo-D0724DA-Framing-Deconstruction-Circular/dp/B00XT9KFVS/ref=sr_1_9?keywords=Diablo+Tools+D0724X+7-1%2F4+in.+x+24+Tooth+Framing+Saw+Blade&amp;qid=1695174060&amp;sr=8-9", "https://www.amazon.com/Diablo-D0724DA-Framing-Deconstruction-Circular/dp/B00XT9KFVS/ref=sr_1_9?keywords=Diablo+Tools+D0724X+7-1%2F4+in.+x+24+Tooth+Framing+Saw+Blade&amp;qid=1695174060&amp;sr=8-9")</f>
        <v>https://www.amazon.com/Diablo-D0724DA-Framing-Deconstruction-Circular/dp/B00XT9KFVS/ref=sr_1_9?keywords=Diablo+Tools+D0724X+7-1%2F4+in.+x+24+Tooth+Framing+Saw+Blade&amp;qid=1695174060&amp;sr=8-9</v>
      </c>
      <c r="F2418" t="s">
        <v>6273</v>
      </c>
      <c r="G2418" t="e">
        <f ca="1">_xludf.IMAGE("https://edmondsonsupply.com/cdn/shop/products/D0724A_Main-Image20200218_ba34939c-8546-489a-9616-b05338ff91cc.png?v=1678971696")</f>
        <v>#NAME?</v>
      </c>
      <c r="H2418" t="e">
        <f ca="1">_xludf.IMAGE("https://m.media-amazon.com/images/I/61NkAJf3i9L._AC_UL320_.jpg")</f>
        <v>#NAME?</v>
      </c>
      <c r="I2418" t="s">
        <v>1427</v>
      </c>
      <c r="J2418">
        <v>36.9</v>
      </c>
      <c r="K2418" s="4">
        <v>2.7010999999999998</v>
      </c>
      <c r="L2418">
        <v>4.7</v>
      </c>
      <c r="M2418">
        <v>10</v>
      </c>
      <c r="O2418" t="s">
        <v>25</v>
      </c>
      <c r="P2418" t="s">
        <v>6274</v>
      </c>
      <c r="Q2418" t="s">
        <v>6275</v>
      </c>
    </row>
    <row r="2419" spans="1:17" ht="15.5" x14ac:dyDescent="0.35">
      <c r="A2419"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2419"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2419" t="s">
        <v>6276</v>
      </c>
      <c r="D2419" t="s">
        <v>3119</v>
      </c>
      <c r="E2419" s="3" t="str">
        <f>HYPERLINK("https://www.amazon.com/Journeyman-T-Handle-Klein-Tools-JTH9E17/dp/B004QV6NL4/ref=sr_1_7?keywords=Klein+Tools+JTH9E13+1%2F4-Inch+Hex+Key+with+Journeyman+T-Handle%2C+9-Inch&amp;qid=1695174307&amp;sr=8-7", "https://www.amazon.com/Journeyman-T-Handle-Klein-Tools-JTH9E17/dp/B004QV6NL4/ref=sr_1_7?keywords=Klein+Tools+JTH9E13+1%2F4-Inch+Hex+Key+with+Journeyman+T-Handle%2C+9-Inch&amp;qid=1695174307&amp;sr=8-7")</f>
        <v>https://www.amazon.com/Journeyman-T-Handle-Klein-Tools-JTH9E17/dp/B004QV6NL4/ref=sr_1_7?keywords=Klein+Tools+JTH9E13+1%2F4-Inch+Hex+Key+with+Journeyman+T-Handle%2C+9-Inch&amp;qid=1695174307&amp;sr=8-7</v>
      </c>
      <c r="F2419" t="s">
        <v>3120</v>
      </c>
      <c r="G2419" t="e">
        <f ca="1">_xludf.IMAGE("https://edmondsonsupply.com/cdn/shop/products/jth9e12_7dcdbf9a-5acd-4824-8919-6aeb4a790072.jpg?v=1604060723")</f>
        <v>#NAME?</v>
      </c>
      <c r="H2419" t="e">
        <f ca="1">_xludf.IMAGE("https://m.media-amazon.com/images/I/51Yb8h41vLL._AC_UL320_.jpg")</f>
        <v>#NAME?</v>
      </c>
      <c r="I2419" t="s">
        <v>4617</v>
      </c>
      <c r="J2419">
        <v>23.99</v>
      </c>
      <c r="K2419" s="4">
        <v>2.6964999999999999</v>
      </c>
      <c r="L2419">
        <v>4.8</v>
      </c>
      <c r="M2419">
        <v>194</v>
      </c>
      <c r="O2419" t="s">
        <v>25</v>
      </c>
      <c r="P2419" t="s">
        <v>6277</v>
      </c>
      <c r="Q2419" t="s">
        <v>6278</v>
      </c>
    </row>
    <row r="2420" spans="1:17" ht="15.5" x14ac:dyDescent="0.35">
      <c r="A2420" s="3" t="str">
        <f>HYPERLINK("https://edmondsonsupply.com/collections/electricians-tools/products/klein-tools-vdv770-126-carrying-case-for-scout%C2%AE-pro-3-tester-and-locator-remotes", "https://edmondsonsupply.com/collections/electricians-tools/products/klein-tools-vdv770-126-carrying-case-for-scout%C2%AE-pro-3-tester-and-locator-remotes")</f>
        <v>https://edmondsonsupply.com/collections/electricians-tools/products/klein-tools-vdv770-126-carrying-case-for-scout%C2%AE-pro-3-tester-and-locator-remotes</v>
      </c>
      <c r="B2420" s="3" t="str">
        <f>HYPERLINK("https://edmondsonsupply.com/products/klein-tools-vdv770-126-carrying-case-for-scout%c2%ae-pro-3-tester-and-locator-remotes", "https://edmondsonsupply.com/products/klein-tools-vdv770-126-carrying-case-for-scout%c2%ae-pro-3-tester-and-locator-remotes")</f>
        <v>https://edmondsonsupply.com/products/klein-tools-vdv770-126-carrying-case-for-scout%c2%ae-pro-3-tester-and-locator-remotes</v>
      </c>
      <c r="C2420" t="s">
        <v>6279</v>
      </c>
      <c r="D2420" t="s">
        <v>6280</v>
      </c>
      <c r="E2420" s="3" t="str">
        <f>HYPERLINK("https://www.amazon.com/Klein-Tools-VDV501-851-VDV770-126-Replacement/dp/B09T6YN1YB/ref=sr_1_2?keywords=Klein+Tools+VDV770-126+Carrying+Case+for+Scout%C2%AE+Pro+3+Tester+and+Locator+Remotes&amp;qid=1695174229&amp;sr=8-2", "https://www.amazon.com/Klein-Tools-VDV501-851-VDV770-126-Replacement/dp/B09T6YN1YB/ref=sr_1_2?keywords=Klein+Tools+VDV770-126+Carrying+Case+for+Scout%C2%AE+Pro+3+Tester+and+Locator+Remotes&amp;qid=1695174229&amp;sr=8-2")</f>
        <v>https://www.amazon.com/Klein-Tools-VDV501-851-VDV770-126-Replacement/dp/B09T6YN1YB/ref=sr_1_2?keywords=Klein+Tools+VDV770-126+Carrying+Case+for+Scout%C2%AE+Pro+3+Tester+and+Locator+Remotes&amp;qid=1695174229&amp;sr=8-2</v>
      </c>
      <c r="F2420" t="s">
        <v>6281</v>
      </c>
      <c r="G2420" t="e">
        <f ca="1">_xludf.IMAGE("https://edmondsonsupply.com/cdn/shop/products/vdv770126.jpg?v=1646011163")</f>
        <v>#NAME?</v>
      </c>
      <c r="H2420" t="e">
        <f ca="1">_xludf.IMAGE("https://m.media-amazon.com/images/I/51nHnWIj1JL._AC_UL320_.jpg")</f>
        <v>#NAME?</v>
      </c>
      <c r="I2420" t="s">
        <v>6282</v>
      </c>
      <c r="J2420">
        <v>118.73</v>
      </c>
      <c r="K2420" s="4">
        <v>2.6543999999999999</v>
      </c>
      <c r="L2420">
        <v>5</v>
      </c>
      <c r="M2420">
        <v>6</v>
      </c>
      <c r="O2420" t="s">
        <v>25</v>
      </c>
      <c r="P2420" t="s">
        <v>6283</v>
      </c>
      <c r="Q2420" t="s">
        <v>6284</v>
      </c>
    </row>
    <row r="2421" spans="1:17" ht="15.5" x14ac:dyDescent="0.35">
      <c r="A2421"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2421" s="3" t="str">
        <f>HYPERLINK("https://edmondsonsupply.com/products/klein-tools-55559-stand-up-zipper-bags-7-inch-and-14-inch-2-pack", "https://edmondsonsupply.com/products/klein-tools-55559-stand-up-zipper-bags-7-inch-and-14-inch-2-pack")</f>
        <v>https://edmondsonsupply.com/products/klein-tools-55559-stand-up-zipper-bags-7-inch-and-14-inch-2-pack</v>
      </c>
      <c r="C2421" t="s">
        <v>273</v>
      </c>
      <c r="D2421" t="s">
        <v>274</v>
      </c>
      <c r="E2421" s="3" t="str">
        <f>HYPERLINK("https://www.amazon.com/Klein-Tools-Stand-Up-Carabiners-14-Inch/dp/B0BKQ9CM13/ref=sr_1_3?keywords=Klein+Tools+55559+Stand-up+Zipper+Bags%2C+7-Inch+and+14-Inch%2C+2-Pack&amp;qid=1695174132&amp;sr=8-3", "https://www.amazon.com/Klein-Tools-Stand-Up-Carabiners-14-Inch/dp/B0BKQ9CM13/ref=sr_1_3?keywords=Klein+Tools+55559+Stand-up+Zipper+Bags%2C+7-Inch+and+14-Inch%2C+2-Pack&amp;qid=1695174132&amp;sr=8-3")</f>
        <v>https://www.amazon.com/Klein-Tools-Stand-Up-Carabiners-14-Inch/dp/B0BKQ9CM13/ref=sr_1_3?keywords=Klein+Tools+55559+Stand-up+Zipper+Bags%2C+7-Inch+and+14-Inch%2C+2-Pack&amp;qid=1695174132&amp;sr=8-3</v>
      </c>
      <c r="F2421" t="s">
        <v>275</v>
      </c>
      <c r="G2421" t="e">
        <f ca="1">_xludf.IMAGE("https://edmondsonsupply.com/cdn/shop/products/55559.jpg?v=1666900727")</f>
        <v>#NAME?</v>
      </c>
      <c r="H2421" t="e">
        <f ca="1">_xludf.IMAGE("https://m.media-amazon.com/images/I/416u4HXmGJL._AC_UL320_.jpg")</f>
        <v>#NAME?</v>
      </c>
      <c r="I2421" t="s">
        <v>276</v>
      </c>
      <c r="J2421">
        <v>53.99</v>
      </c>
      <c r="K2421" s="4">
        <v>2.6017000000000001</v>
      </c>
      <c r="L2421">
        <v>4.5</v>
      </c>
      <c r="M2421">
        <v>2</v>
      </c>
      <c r="O2421" t="s">
        <v>25</v>
      </c>
      <c r="P2421" t="s">
        <v>277</v>
      </c>
      <c r="Q2421" t="s">
        <v>278</v>
      </c>
    </row>
    <row r="2422" spans="1:17" ht="15.5" x14ac:dyDescent="0.35">
      <c r="A2422" s="3" t="str">
        <f>HYPERLINK("https://edmondsonsupply.com/collections/electricians-tools/products/klein-tools-60245-p100-half-mask-respirator-replacement-filter", "https://edmondsonsupply.com/collections/electricians-tools/products/klein-tools-60245-p100-half-mask-respirator-replacement-filter")</f>
        <v>https://edmondsonsupply.com/collections/electricians-tools/products/klein-tools-60245-p100-half-mask-respirator-replacement-filter</v>
      </c>
      <c r="B2422" s="3" t="str">
        <f>HYPERLINK("https://edmondsonsupply.com/products/klein-tools-60245-p100-half-mask-respirator-replacement-filter", "https://edmondsonsupply.com/products/klein-tools-60245-p100-half-mask-respirator-replacement-filter")</f>
        <v>https://edmondsonsupply.com/products/klein-tools-60245-p100-half-mask-respirator-replacement-filter</v>
      </c>
      <c r="C2422" t="s">
        <v>842</v>
      </c>
      <c r="D2422" t="s">
        <v>843</v>
      </c>
      <c r="E2422" s="3" t="str">
        <f>HYPERLINK("https://www.amazon.com/Klein-80044-Half-Mask-Respirator-Replacement/dp/B09FW2FRX8/ref=sr_1_1?keywords=Klein+Tools+60245+P100+Half-Mask+Respirator+Replacement+Filter&amp;qid=1695174164&amp;sr=8-1", "https://www.amazon.com/Klein-80044-Half-Mask-Respirator-Replacement/dp/B09FW2FRX8/ref=sr_1_1?keywords=Klein+Tools+60245+P100+Half-Mask+Respirator+Replacement+Filter&amp;qid=1695174164&amp;sr=8-1")</f>
        <v>https://www.amazon.com/Klein-80044-Half-Mask-Respirator-Replacement/dp/B09FW2FRX8/ref=sr_1_1?keywords=Klein+Tools+60245+P100+Half-Mask+Respirator+Replacement+Filter&amp;qid=1695174164&amp;sr=8-1</v>
      </c>
      <c r="F2422" t="s">
        <v>844</v>
      </c>
      <c r="G2422" t="e">
        <f ca="1">_xludf.IMAGE("https://edmondsonsupply.com/cdn/shop/products/60245_0999043a-829a-4bfc-9587-43bf26330e2f.jpg?v=1661863973")</f>
        <v>#NAME?</v>
      </c>
      <c r="H2422" t="e">
        <f ca="1">_xludf.IMAGE("https://m.media-amazon.com/images/I/61kQgRHQL4L._AC_UL320_.jpg")</f>
        <v>#NAME?</v>
      </c>
      <c r="I2422" t="s">
        <v>288</v>
      </c>
      <c r="J2422">
        <v>50.35</v>
      </c>
      <c r="K2422" s="4">
        <v>2.5990000000000002</v>
      </c>
      <c r="L2422">
        <v>4.5</v>
      </c>
      <c r="M2422">
        <v>21</v>
      </c>
      <c r="O2422" t="s">
        <v>171</v>
      </c>
      <c r="P2422" t="s">
        <v>845</v>
      </c>
      <c r="Q2422" t="s">
        <v>846</v>
      </c>
    </row>
    <row r="2423" spans="1:17" ht="15.5" x14ac:dyDescent="0.35">
      <c r="A2423"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2423" s="3" t="str">
        <f>HYPERLINK("https://edmondsonsupply.com/products/diablo-tools-d0704dh-7-1-4-in-x-4-tooth-fiber-cement", "https://edmondsonsupply.com/products/diablo-tools-d0704dh-7-1-4-in-x-4-tooth-fiber-cement")</f>
        <v>https://edmondsonsupply.com/products/diablo-tools-d0704dh-7-1-4-in-x-4-tooth-fiber-cement</v>
      </c>
      <c r="C2423" t="s">
        <v>6285</v>
      </c>
      <c r="D2423" t="s">
        <v>6286</v>
      </c>
      <c r="E2423" s="3" t="str">
        <f>HYPERLINK("https://www.amazon.com/Freud-D0704DHA-Diablo-4-inch-Hardie/dp/B00QZDV1YA/ref=sr_1_8?keywords=Diablo+Tools+D0704DH+7-1%2F4+in.+x+4+Tooth+Fiber+Cement&amp;qid=1695174050&amp;sr=8-8", "https://www.amazon.com/Freud-D0704DHA-Diablo-4-inch-Hardie/dp/B00QZDV1YA/ref=sr_1_8?keywords=Diablo+Tools+D0704DH+7-1%2F4+in.+x+4+Tooth+Fiber+Cement&amp;qid=1695174050&amp;sr=8-8")</f>
        <v>https://www.amazon.com/Freud-D0704DHA-Diablo-4-inch-Hardie/dp/B00QZDV1YA/ref=sr_1_8?keywords=Diablo+Tools+D0704DH+7-1%2F4+in.+x+4+Tooth+Fiber+Cement&amp;qid=1695174050&amp;sr=8-8</v>
      </c>
      <c r="F2423" t="s">
        <v>6287</v>
      </c>
      <c r="G2423" t="e">
        <f ca="1">_xludf.IMAGE("https://edmondsonsupply.com/cdn/shop/products/baadnmj6vhmqufio7ofn.webp?v=1679325375")</f>
        <v>#NAME?</v>
      </c>
      <c r="H2423" t="e">
        <f ca="1">_xludf.IMAGE("https://m.media-amazon.com/images/I/71CNCIriatL._AC_UL320_.jpg")</f>
        <v>#NAME?</v>
      </c>
      <c r="I2423" t="s">
        <v>4108</v>
      </c>
      <c r="J2423">
        <v>160</v>
      </c>
      <c r="K2423" s="4">
        <v>2.5579000000000001</v>
      </c>
      <c r="L2423">
        <v>4.7</v>
      </c>
      <c r="M2423">
        <v>38</v>
      </c>
      <c r="O2423" t="s">
        <v>25</v>
      </c>
      <c r="P2423" t="s">
        <v>3833</v>
      </c>
      <c r="Q2423" t="s">
        <v>6288</v>
      </c>
    </row>
    <row r="2424" spans="1:17" ht="15.5" x14ac:dyDescent="0.35">
      <c r="A2424"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424" s="3" t="str">
        <f>HYPERLINK("https://edmondsonsupply.com/products/klein-tools-vdv427-300-impact-punchdown-tool-66-110-blade", "https://edmondsonsupply.com/products/klein-tools-vdv427-300-impact-punchdown-tool-66-110-blade")</f>
        <v>https://edmondsonsupply.com/products/klein-tools-vdv427-300-impact-punchdown-tool-66-110-blade</v>
      </c>
      <c r="C2424" t="s">
        <v>6289</v>
      </c>
      <c r="D2424" t="s">
        <v>6290</v>
      </c>
      <c r="E2424" s="3" t="str">
        <f>HYPERLINK("https://www.amazon.com/Klein-Tools-Pass-Thru-VDV427-300-Punchdown/dp/B0BVGDFVMZ/ref=sr_1_9?keywords=Klein+Tools+VDV427-300+Impact+Punchdown+Tool%2C+66%2F110+Blade&amp;qid=1695174221&amp;sr=8-9", "https://www.amazon.com/Klein-Tools-Pass-Thru-VDV427-300-Punchdown/dp/B0BVGDFVMZ/ref=sr_1_9?keywords=Klein+Tools+VDV427-300+Impact+Punchdown+Tool%2C+66%2F110+Blade&amp;qid=1695174221&amp;sr=8-9")</f>
        <v>https://www.amazon.com/Klein-Tools-Pass-Thru-VDV427-300-Punchdown/dp/B0BVGDFVMZ/ref=sr_1_9?keywords=Klein+Tools+VDV427-300+Impact+Punchdown+Tool%2C+66%2F110+Blade&amp;qid=1695174221&amp;sr=8-9</v>
      </c>
      <c r="F2424" t="s">
        <v>6291</v>
      </c>
      <c r="G2424" t="e">
        <f ca="1">_xludf.IMAGE("https://edmondsonsupply.com/cdn/shop/products/vdv427300.jpg?v=1646010568")</f>
        <v>#NAME?</v>
      </c>
      <c r="H2424" t="e">
        <f ca="1">_xludf.IMAGE("https://m.media-amazon.com/images/I/51UORY238lL._AC_UL320_.jpg")</f>
        <v>#NAME?</v>
      </c>
      <c r="I2424" t="s">
        <v>246</v>
      </c>
      <c r="J2424">
        <v>141.88</v>
      </c>
      <c r="K2424" s="4">
        <v>2.5497000000000001</v>
      </c>
      <c r="L2424">
        <v>5</v>
      </c>
      <c r="M2424">
        <v>1</v>
      </c>
      <c r="O2424" t="s">
        <v>25</v>
      </c>
      <c r="P2424" t="s">
        <v>1027</v>
      </c>
      <c r="Q2424" t="s">
        <v>6292</v>
      </c>
    </row>
    <row r="2425" spans="1:17" ht="15.5" x14ac:dyDescent="0.35">
      <c r="A2425"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425" s="3" t="str">
        <f>HYPERLINK("https://edmondsonsupply.com/products/klein-tools-32305-15-in-1-multi-bit-ratcheting-screwdriver", "https://edmondsonsupply.com/products/klein-tools-32305-15-in-1-multi-bit-ratcheting-screwdriver")</f>
        <v>https://edmondsonsupply.com/products/klein-tools-32305-15-in-1-multi-bit-ratcheting-screwdriver</v>
      </c>
      <c r="C2425" t="s">
        <v>6262</v>
      </c>
      <c r="D2425" t="s">
        <v>6293</v>
      </c>
      <c r="E2425" s="3" t="str">
        <f>HYPERLINK("https://www.amazon.com/Automatic-Stripper-Multi-bit-Ratcheting-Screwdriver/dp/B0BM42HWSD/ref=sr_1_7?keywords=Klein+Tools+32305+15-in-1+Multi-Bit+Ratcheting+Screwdriver&amp;qid=1695174215&amp;sr=8-7", "https://www.amazon.com/Automatic-Stripper-Multi-bit-Ratcheting-Screwdriver/dp/B0BM42HWSD/ref=sr_1_7?keywords=Klein+Tools+32305+15-in-1+Multi-Bit+Ratcheting+Screwdriver&amp;qid=1695174215&amp;sr=8-7")</f>
        <v>https://www.amazon.com/Automatic-Stripper-Multi-bit-Ratcheting-Screwdriver/dp/B0BM42HWSD/ref=sr_1_7?keywords=Klein+Tools+32305+15-in-1+Multi-Bit+Ratcheting+Screwdriver&amp;qid=1695174215&amp;sr=8-7</v>
      </c>
      <c r="F2425" t="s">
        <v>6294</v>
      </c>
      <c r="G2425" t="e">
        <f ca="1">_xludf.IMAGE("https://edmondsonsupply.com/cdn/shop/products/32305.jpg?v=1646965475")</f>
        <v>#NAME?</v>
      </c>
      <c r="H2425" t="e">
        <f ca="1">_xludf.IMAGE("https://m.media-amazon.com/images/I/41cK1PhKaLL._AC_UL320_.jpg")</f>
        <v>#NAME?</v>
      </c>
      <c r="I2425" t="s">
        <v>2247</v>
      </c>
      <c r="J2425">
        <v>76.98</v>
      </c>
      <c r="K2425" s="4">
        <v>2.5038999999999998</v>
      </c>
      <c r="L2425">
        <v>4.5999999999999996</v>
      </c>
      <c r="M2425">
        <v>1243</v>
      </c>
      <c r="O2425" t="s">
        <v>25</v>
      </c>
      <c r="P2425" t="s">
        <v>6200</v>
      </c>
      <c r="Q2425" t="s">
        <v>6265</v>
      </c>
    </row>
    <row r="2426" spans="1:17" ht="15.5" x14ac:dyDescent="0.35">
      <c r="A2426"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2426" s="3" t="str">
        <f>HYPERLINK("https://edmondsonsupply.com/products/klein-tools-31870-carbide-hole-cutter-2-1-2-inch", "https://edmondsonsupply.com/products/klein-tools-31870-carbide-hole-cutter-2-1-2-inch")</f>
        <v>https://edmondsonsupply.com/products/klein-tools-31870-carbide-hole-cutter-2-1-2-inch</v>
      </c>
      <c r="C2426" t="s">
        <v>6295</v>
      </c>
      <c r="D2426" t="s">
        <v>6036</v>
      </c>
      <c r="E2426" s="3" t="str">
        <f>HYPERLINK("https://www.amazon.com/Electricians-8-Piece-Klein-Tools-31873/dp/B003CCRCM2/ref=sr_1_5?keywords=Klein+Tools+31870+Carbide+Hole+Cutter%2C+2-1%2F2-Inch&amp;qid=1695174279&amp;sr=8-5", "https://www.amazon.com/Electricians-8-Piece-Klein-Tools-31873/dp/B003CCRCM2/ref=sr_1_5?keywords=Klein+Tools+31870+Carbide+Hole+Cutter%2C+2-1%2F2-Inch&amp;qid=1695174279&amp;sr=8-5")</f>
        <v>https://www.amazon.com/Electricians-8-Piece-Klein-Tools-31873/dp/B003CCRCM2/ref=sr_1_5?keywords=Klein+Tools+31870+Carbide+Hole+Cutter%2C+2-1%2F2-Inch&amp;qid=1695174279&amp;sr=8-5</v>
      </c>
      <c r="F2426" t="s">
        <v>6037</v>
      </c>
      <c r="G2426" t="e">
        <f ca="1">_xludf.IMAGE("https://edmondsonsupply.com/cdn/shop/products/31870_alt1.jpg?v=1633030999")</f>
        <v>#NAME?</v>
      </c>
      <c r="H2426" t="e">
        <f ca="1">_xludf.IMAGE("https://m.media-amazon.com/images/I/61G-oQvGZTL._AC_UL320_.jpg")</f>
        <v>#NAME?</v>
      </c>
      <c r="I2426" t="s">
        <v>300</v>
      </c>
      <c r="J2426">
        <v>279.99</v>
      </c>
      <c r="K2426" s="4">
        <v>2.5003000000000002</v>
      </c>
      <c r="L2426">
        <v>4.5999999999999996</v>
      </c>
      <c r="M2426">
        <v>64</v>
      </c>
      <c r="O2426" t="s">
        <v>25</v>
      </c>
      <c r="P2426" t="s">
        <v>6296</v>
      </c>
      <c r="Q2426" t="s">
        <v>6297</v>
      </c>
    </row>
    <row r="2427" spans="1:17" ht="15.5" x14ac:dyDescent="0.35">
      <c r="A2427" s="3" t="str">
        <f>HYPERLINK("https://edmondsonsupply.com/collections/electricians-tools/products/klein-tools-60177-breakaway-lanyard-for-safety-glasses", "https://edmondsonsupply.com/collections/electricians-tools/products/klein-tools-60177-breakaway-lanyard-for-safety-glasses")</f>
        <v>https://edmondsonsupply.com/collections/electricians-tools/products/klein-tools-60177-breakaway-lanyard-for-safety-glasses</v>
      </c>
      <c r="B2427" s="3" t="str">
        <f>HYPERLINK("https://edmondsonsupply.com/products/klein-tools-60177-breakaway-lanyard-for-safety-glasses", "https://edmondsonsupply.com/products/klein-tools-60177-breakaway-lanyard-for-safety-glasses")</f>
        <v>https://edmondsonsupply.com/products/klein-tools-60177-breakaway-lanyard-for-safety-glasses</v>
      </c>
      <c r="C2427" t="s">
        <v>815</v>
      </c>
      <c r="D2427" t="s">
        <v>847</v>
      </c>
      <c r="E2427" s="3" t="str">
        <f>HYPERLINK("https://www.amazon.com/Klein-Tools-60177-Eyewear-Breakaway/dp/B08B71M22H/ref=sr_1_1?keywords=Klein+Tools+60177+Breakaway+Lanyard+for+Safety+Glasses&amp;qid=1695173883&amp;sr=8-1", "https://www.amazon.com/Klein-Tools-60177-Eyewear-Breakaway/dp/B08B71M22H/ref=sr_1_1?keywords=Klein+Tools+60177+Breakaway+Lanyard+for+Safety+Glasses&amp;qid=1695173883&amp;sr=8-1")</f>
        <v>https://www.amazon.com/Klein-Tools-60177-Eyewear-Breakaway/dp/B08B71M22H/ref=sr_1_1?keywords=Klein+Tools+60177+Breakaway+Lanyard+for+Safety+Glasses&amp;qid=1695173883&amp;sr=8-1</v>
      </c>
      <c r="F2427" t="s">
        <v>848</v>
      </c>
      <c r="G2427" t="e">
        <f ca="1">_xludf.IMAGE("https://edmondsonsupply.com/cdn/shop/products/60177.jpg?v=1633030858")</f>
        <v>#NAME?</v>
      </c>
      <c r="H2427" t="e">
        <f ca="1">_xludf.IMAGE("https://m.media-amazon.com/images/I/51mD0Lun+QL._AC_UL320_.jpg")</f>
        <v>#NAME?</v>
      </c>
      <c r="I2427" t="s">
        <v>818</v>
      </c>
      <c r="J2427">
        <v>6.96</v>
      </c>
      <c r="K2427" s="4">
        <v>2.4975000000000001</v>
      </c>
      <c r="L2427">
        <v>3.8</v>
      </c>
      <c r="M2427">
        <v>169</v>
      </c>
      <c r="O2427" t="s">
        <v>25</v>
      </c>
      <c r="P2427" t="s">
        <v>819</v>
      </c>
      <c r="Q2427" t="s">
        <v>820</v>
      </c>
    </row>
    <row r="2428" spans="1:17" ht="15.5" x14ac:dyDescent="0.35">
      <c r="A2428" s="3" t="str">
        <f>HYPERLINK("https://edmondsonsupply.com/collections/electricians-tools/products/channellock-428", "https://edmondsonsupply.com/collections/electricians-tools/products/channellock-428")</f>
        <v>https://edmondsonsupply.com/collections/electricians-tools/products/channellock-428</v>
      </c>
      <c r="B2428" s="3" t="str">
        <f>HYPERLINK("https://edmondsonsupply.com/products/channellock-428", "https://edmondsonsupply.com/products/channellock-428")</f>
        <v>https://edmondsonsupply.com/products/channellock-428</v>
      </c>
      <c r="C2428" t="s">
        <v>1791</v>
      </c>
      <c r="D2428" t="s">
        <v>1792</v>
      </c>
      <c r="E2428" s="3" t="str">
        <f>HYPERLINK("https://www.amazon.com/Channellock-480-2-Inch-Capacity-20-Inch/dp/B00004SBCX/ref=sr_1_8?keywords=Channellock+428+8-Inch+Straight+Jaw+Tongue+%26+Groove+Pliers&amp;qid=1695173963&amp;sr=8-8", "https://www.amazon.com/Channellock-480-2-Inch-Capacity-20-Inch/dp/B00004SBCX/ref=sr_1_8?keywords=Channellock+428+8-Inch+Straight+Jaw+Tongue+%26+Groove+Pliers&amp;qid=1695173963&amp;sr=8-8")</f>
        <v>https://www.amazon.com/Channellock-480-2-Inch-Capacity-20-Inch/dp/B00004SBCX/ref=sr_1_8?keywords=Channellock+428+8-Inch+Straight+Jaw+Tongue+%26+Groove+Pliers&amp;qid=1695173963&amp;sr=8-8</v>
      </c>
      <c r="F2428" t="s">
        <v>1793</v>
      </c>
      <c r="G2428" t="e">
        <f ca="1">_xludf.IMAGE("https://edmondsonsupply.com/cdn/shop/products/428-683x1024.jpg?v=1587145854")</f>
        <v>#NAME?</v>
      </c>
      <c r="H2428" t="e">
        <f ca="1">_xludf.IMAGE("https://m.media-amazon.com/images/I/612L+6BugaL._AC_UL320_.jpg")</f>
        <v>#NAME?</v>
      </c>
      <c r="I2428" t="s">
        <v>1554</v>
      </c>
      <c r="J2428">
        <v>58.95</v>
      </c>
      <c r="K2428" s="4">
        <v>2.4779</v>
      </c>
      <c r="L2428">
        <v>4.8</v>
      </c>
      <c r="M2428">
        <v>872</v>
      </c>
      <c r="O2428" t="s">
        <v>25</v>
      </c>
      <c r="P2428" t="s">
        <v>1794</v>
      </c>
      <c r="Q2428" t="s">
        <v>1795</v>
      </c>
    </row>
    <row r="2429" spans="1:17" ht="15.5" x14ac:dyDescent="0.35">
      <c r="A2429"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2429" s="3" t="str">
        <f>HYPERLINK("https://edmondsonsupply.com/products/diablo-tools-dsp1060-1-in-x-4-in-spade-bit", "https://edmondsonsupply.com/products/diablo-tools-dsp1060-1-in-x-4-in-spade-bit")</f>
        <v>https://edmondsonsupply.com/products/diablo-tools-dsp1060-1-in-x-4-in-spade-bit</v>
      </c>
      <c r="C2429" t="s">
        <v>6298</v>
      </c>
      <c r="D2429" t="s">
        <v>6299</v>
      </c>
      <c r="E2429" s="3" t="str">
        <f>HYPERLINK("https://www.amazon.com/Diablo-DSP2170-P2-SPEEDemon-Spade-2-Pack/dp/B089KWGLL1/ref=sr_1_3?keywords=Diablo+Tools+DSP1060+1+in.+x+4+in.+Spade+Bit&amp;qid=1695174100&amp;sr=8-3", "https://www.amazon.com/Diablo-DSP2170-P2-SPEEDemon-Spade-2-Pack/dp/B089KWGLL1/ref=sr_1_3?keywords=Diablo+Tools+DSP1060+1+in.+x+4+in.+Spade+Bit&amp;qid=1695174100&amp;sr=8-3")</f>
        <v>https://www.amazon.com/Diablo-DSP2170-P2-SPEEDemon-Spade-2-Pack/dp/B089KWGLL1/ref=sr_1_3?keywords=Diablo+Tools+DSP1060+1+in.+x+4+in.+Spade+Bit&amp;qid=1695174100&amp;sr=8-3</v>
      </c>
      <c r="F2429" t="s">
        <v>6300</v>
      </c>
      <c r="G2429" t="e">
        <f ca="1">_xludf.IMAGE("https://edmondsonsupply.com/cdn/shop/products/hanbmwlurgioczoyawta.webp?v=1670510289")</f>
        <v>#NAME?</v>
      </c>
      <c r="H2429" t="e">
        <f ca="1">_xludf.IMAGE("https://m.media-amazon.com/images/I/61mOtHPCpLL._AC_UL320_.jpg")</f>
        <v>#NAME?</v>
      </c>
      <c r="I2429" t="s">
        <v>6301</v>
      </c>
      <c r="J2429">
        <v>9</v>
      </c>
      <c r="K2429" s="4">
        <v>2.4748999999999999</v>
      </c>
      <c r="L2429">
        <v>4.3</v>
      </c>
      <c r="M2429">
        <v>45</v>
      </c>
      <c r="O2429" t="s">
        <v>25</v>
      </c>
      <c r="P2429" t="s">
        <v>6302</v>
      </c>
      <c r="Q2429" t="s">
        <v>6303</v>
      </c>
    </row>
    <row r="2430" spans="1:17" ht="15.5" x14ac:dyDescent="0.35">
      <c r="A2430"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2430"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2430" t="s">
        <v>6304</v>
      </c>
      <c r="D2430" t="s">
        <v>6305</v>
      </c>
      <c r="E2430" s="3" t="str">
        <f>HYPERLINK("https://www.amazon.com/Klein-Tools-Insulated-Screwdriver-Induction/dp/B0B56XS25D/ref=sr_1_2?keywords=Klein+Tools+2036EINS+Long+Nose+Side+Cutter+Pliers+6-Inch+Slim+Insulated&amp;qid=1695174256&amp;sr=8-2", "https://www.amazon.com/Klein-Tools-Insulated-Screwdriver-Induction/dp/B0B56XS25D/ref=sr_1_2?keywords=Klein+Tools+2036EINS+Long+Nose+Side+Cutter+Pliers+6-Inch+Slim+Insulated&amp;qid=1695174256&amp;sr=8-2")</f>
        <v>https://www.amazon.com/Klein-Tools-Insulated-Screwdriver-Induction/dp/B0B56XS25D/ref=sr_1_2?keywords=Klein+Tools+2036EINS+Long+Nose+Side+Cutter+Pliers+6-Inch+Slim+Insulated&amp;qid=1695174256&amp;sr=8-2</v>
      </c>
      <c r="F2430" t="s">
        <v>6306</v>
      </c>
      <c r="G2430" t="e">
        <f ca="1">_xludf.IMAGE("https://edmondsonsupply.com/cdn/shop/products/2036eins.jpg?v=1633031077")</f>
        <v>#NAME?</v>
      </c>
      <c r="H2430" t="e">
        <f ca="1">_xludf.IMAGE("https://m.media-amazon.com/images/I/51WnIkIfzdL._AC_UL320_.jpg")</f>
        <v>#NAME?</v>
      </c>
      <c r="I2430" t="s">
        <v>6307</v>
      </c>
      <c r="J2430">
        <v>162.96</v>
      </c>
      <c r="K2430" s="4">
        <v>2.468</v>
      </c>
      <c r="L2430">
        <v>4.9000000000000004</v>
      </c>
      <c r="M2430">
        <v>11</v>
      </c>
      <c r="O2430" t="s">
        <v>25</v>
      </c>
      <c r="P2430" t="s">
        <v>6308</v>
      </c>
      <c r="Q2430" t="s">
        <v>6309</v>
      </c>
    </row>
    <row r="2431" spans="1:17" ht="15.5" x14ac:dyDescent="0.35">
      <c r="A2431" s="3" t="str">
        <f>HYPERLINK("https://edmondsonsupply.com/collections/electricians-tools/products/milwaukee-48-22-6625-compact-tape-measure-25ft", "https://edmondsonsupply.com/collections/electricians-tools/products/milwaukee-48-22-6625-compact-tape-measure-25ft")</f>
        <v>https://edmondsonsupply.com/collections/electricians-tools/products/milwaukee-48-22-6625-compact-tape-measure-25ft</v>
      </c>
      <c r="B2431" s="3" t="str">
        <f>HYPERLINK("https://edmondsonsupply.com/products/milwaukee-48-22-6625-compact-tape-measure-25ft", "https://edmondsonsupply.com/products/milwaukee-48-22-6625-compact-tape-measure-25ft")</f>
        <v>https://edmondsonsupply.com/products/milwaukee-48-22-6625-compact-tape-measure-25ft</v>
      </c>
      <c r="C2431" t="s">
        <v>6310</v>
      </c>
      <c r="D2431" t="s">
        <v>6311</v>
      </c>
      <c r="E2431" s="3" t="str">
        <f>HYPERLINK("https://www.amazon.com/Milwaukee-Electric-Tool-48-22-6625G-Measuring/dp/B005NSO6TA/ref=sr_1_2?keywords=Milwaukee+48-22-6625+Compact+Tape+Measure%2C+25ft&amp;qid=1695174071&amp;sr=8-2", "https://www.amazon.com/Milwaukee-Electric-Tool-48-22-6625G-Measuring/dp/B005NSO6TA/ref=sr_1_2?keywords=Milwaukee+48-22-6625+Compact+Tape+Measure%2C+25ft&amp;qid=1695174071&amp;sr=8-2")</f>
        <v>https://www.amazon.com/Milwaukee-Electric-Tool-48-22-6625G-Measuring/dp/B005NSO6TA/ref=sr_1_2?keywords=Milwaukee+48-22-6625+Compact+Tape+Measure%2C+25ft&amp;qid=1695174071&amp;sr=8-2</v>
      </c>
      <c r="F2431" t="s">
        <v>6312</v>
      </c>
      <c r="G2431" t="e">
        <f ca="1">_xludf.IMAGE("https://edmondsonsupply.com/cdn/shop/products/48-22-6625_1.png?v=1675692460")</f>
        <v>#NAME?</v>
      </c>
      <c r="H2431" t="e">
        <f ca="1">_xludf.IMAGE("https://m.media-amazon.com/images/I/41aR2qwAuBL._AC_UL320_.jpg")</f>
        <v>#NAME?</v>
      </c>
      <c r="I2431" t="s">
        <v>4985</v>
      </c>
      <c r="J2431">
        <v>58.11</v>
      </c>
      <c r="K2431" s="4">
        <v>2.4243000000000001</v>
      </c>
      <c r="L2431">
        <v>4.5</v>
      </c>
      <c r="M2431">
        <v>286</v>
      </c>
      <c r="O2431" t="s">
        <v>25</v>
      </c>
      <c r="P2431" t="s">
        <v>6313</v>
      </c>
      <c r="Q2431" t="s">
        <v>6314</v>
      </c>
    </row>
    <row r="2432" spans="1:17" ht="15.5" x14ac:dyDescent="0.35">
      <c r="A2432" s="3" t="str">
        <f>HYPERLINK("https://edmondsonsupply.com/collections/electricians-tools/products/greenlee-611-1-1-4-foam-conduit-piston", "https://edmondsonsupply.com/collections/electricians-tools/products/greenlee-611-1-1-4-foam-conduit-piston")</f>
        <v>https://edmondsonsupply.com/collections/electricians-tools/products/greenlee-611-1-1-4-foam-conduit-piston</v>
      </c>
      <c r="B2432" s="3" t="str">
        <f>HYPERLINK("https://edmondsonsupply.com/products/greenlee-611-1-1-4-foam-conduit-piston", "https://edmondsonsupply.com/products/greenlee-611-1-1-4-foam-conduit-piston")</f>
        <v>https://edmondsonsupply.com/products/greenlee-611-1-1-4-foam-conduit-piston</v>
      </c>
      <c r="C2432" t="s">
        <v>6315</v>
      </c>
      <c r="D2432" t="s">
        <v>6316</v>
      </c>
      <c r="E2432" s="3" t="str">
        <f>HYPERLINK("https://www.amazon.com/Greenlee-617-Piston-Conduit-Rigid/dp/B000E2JVR2/ref=sr_1_4?keywords=Greenlee+611+1-1%2F4%22+Foam+Conduit+Piston&amp;qid=1695174011&amp;sr=8-4", "https://www.amazon.com/Greenlee-617-Piston-Conduit-Rigid/dp/B000E2JVR2/ref=sr_1_4?keywords=Greenlee+611+1-1%2F4%22+Foam+Conduit+Piston&amp;qid=1695174011&amp;sr=8-4")</f>
        <v>https://www.amazon.com/Greenlee-617-Piston-Conduit-Rigid/dp/B000E2JVR2/ref=sr_1_4?keywords=Greenlee+611+1-1%2F4%22+Foam+Conduit+Piston&amp;qid=1695174011&amp;sr=8-4</v>
      </c>
      <c r="F2432" t="s">
        <v>6317</v>
      </c>
      <c r="G2432" t="e">
        <f ca="1">_xludf.IMAGE("https://edmondsonsupply.com/cdn/shop/files/Greenlee-611_1.jpg?v=1687449194")</f>
        <v>#NAME?</v>
      </c>
      <c r="H2432" t="e">
        <f ca="1">_xludf.IMAGE("https://m.media-amazon.com/images/I/61MOecOeXpL._AC_UL320_.jpg")</f>
        <v>#NAME?</v>
      </c>
      <c r="I2432" t="s">
        <v>6318</v>
      </c>
      <c r="J2432">
        <v>30.19</v>
      </c>
      <c r="K2432" s="4">
        <v>2.3959999999999999</v>
      </c>
      <c r="L2432">
        <v>4.7</v>
      </c>
      <c r="M2432">
        <v>11</v>
      </c>
      <c r="O2432" t="s">
        <v>25</v>
      </c>
      <c r="P2432" t="s">
        <v>6319</v>
      </c>
      <c r="Q2432" t="s">
        <v>6320</v>
      </c>
    </row>
    <row r="2433" spans="1:17" ht="15.5" x14ac:dyDescent="0.35">
      <c r="A2433" s="3" t="str">
        <f>HYPERLINK("https://edmondsonsupply.com/collections/electricians-tools/products/klein-tools-29025-modular-battery-for-klein-tools-cat-no-60155-hard-hat-cooling-fan", "https://edmondsonsupply.com/collections/electricians-tools/products/klein-tools-29025-modular-battery-for-klein-tools-cat-no-60155-hard-hat-cooling-fan")</f>
        <v>https://edmondsonsupply.com/collections/electricians-tools/products/klein-tools-29025-modular-battery-for-klein-tools-cat-no-60155-hard-hat-cooling-fan</v>
      </c>
      <c r="B2433"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2433" t="s">
        <v>827</v>
      </c>
      <c r="D2433" t="s">
        <v>849</v>
      </c>
      <c r="E2433" s="3" t="str">
        <f>HYPERLINK("https://www.amazon.com/Klein-Tools-Non-Vented-Rechargeable-Lithium-ion/dp/B0B7MR6XWH/ref=sr_1_2?keywords=Klein+Tools+29025+Modular+Battery+for+Klein+Tools+Cat.+No.+60155+Hard+Hat+Cooling+Fan&amp;qid=1695174158&amp;sr=8-2", "https://www.amazon.com/Klein-Tools-Non-Vented-Rechargeable-Lithium-ion/dp/B0B7MR6XWH/ref=sr_1_2?keywords=Klein+Tools+29025+Modular+Battery+for+Klein+Tools+Cat.+No.+60155+Hard+Hat+Cooling+Fan&amp;qid=1695174158&amp;sr=8-2")</f>
        <v>https://www.amazon.com/Klein-Tools-Non-Vented-Rechargeable-Lithium-ion/dp/B0B7MR6XWH/ref=sr_1_2?keywords=Klein+Tools+29025+Modular+Battery+for+Klein+Tools+Cat.+No.+60155+Hard+Hat+Cooling+Fan&amp;qid=1695174158&amp;sr=8-2</v>
      </c>
      <c r="F2433" t="s">
        <v>850</v>
      </c>
      <c r="G2433" t="e">
        <f ca="1">_xludf.IMAGE("https://edmondsonsupply.com/cdn/shop/products/29025.jpg?v=1664802987")</f>
        <v>#NAME?</v>
      </c>
      <c r="H2433" t="e">
        <f ca="1">_xludf.IMAGE("https://m.media-amazon.com/images/I/5186Hi+TUJL._AC_UL320_.jpg")</f>
        <v>#NAME?</v>
      </c>
      <c r="I2433" t="s">
        <v>830</v>
      </c>
      <c r="J2433">
        <v>124.98</v>
      </c>
      <c r="K2433" s="4">
        <v>2.3788</v>
      </c>
      <c r="L2433">
        <v>4.7</v>
      </c>
      <c r="M2433">
        <v>4</v>
      </c>
      <c r="O2433" t="s">
        <v>25</v>
      </c>
      <c r="P2433" t="s">
        <v>831</v>
      </c>
      <c r="Q2433" t="s">
        <v>832</v>
      </c>
    </row>
    <row r="2434" spans="1:17" ht="15.5" x14ac:dyDescent="0.35">
      <c r="A2434"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2434"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2434" t="s">
        <v>6321</v>
      </c>
      <c r="D2434" t="s">
        <v>6322</v>
      </c>
      <c r="E2434" s="3" t="str">
        <f>HYPERLINK("https://www.amazon.com/Milwaukee-2780-22-Grinder-Paddle-No-Lock/dp/B01N45B1K5/ref=sr_1_5?keywords=Milwaukee+2880-20+M18+FUEL%E2%84%A2+4-1%2F2%22+%2F+5%22+Grinder+Paddle+Switch%2C+No-Lock&amp;qid=1695174165&amp;sr=8-5", "https://www.amazon.com/Milwaukee-2780-22-Grinder-Paddle-No-Lock/dp/B01N45B1K5/ref=sr_1_5?keywords=Milwaukee+2880-20+M18+FUEL%E2%84%A2+4-1%2F2%22+%2F+5%22+Grinder+Paddle+Switch%2C+No-Lock&amp;qid=1695174165&amp;sr=8-5")</f>
        <v>https://www.amazon.com/Milwaukee-2780-22-Grinder-Paddle-No-Lock/dp/B01N45B1K5/ref=sr_1_5?keywords=Milwaukee+2880-20+M18+FUEL%E2%84%A2+4-1%2F2%22+%2F+5%22+Grinder+Paddle+Switch%2C+No-Lock&amp;qid=1695174165&amp;sr=8-5</v>
      </c>
      <c r="F2434" t="s">
        <v>6323</v>
      </c>
      <c r="G2434" t="e">
        <f ca="1">_xludf.IMAGE("https://edmondsonsupply.com/cdn/shop/products/2880-20_1.webp?v=1661698933")</f>
        <v>#NAME?</v>
      </c>
      <c r="H2434" t="e">
        <f ca="1">_xludf.IMAGE("https://m.media-amazon.com/images/I/61hjyVlQ1pL._AC_UL320_.jpg")</f>
        <v>#NAME?</v>
      </c>
      <c r="I2434" t="s">
        <v>715</v>
      </c>
      <c r="J2434">
        <v>669.99</v>
      </c>
      <c r="K2434" s="4">
        <v>2.3668</v>
      </c>
      <c r="L2434">
        <v>5</v>
      </c>
      <c r="M2434">
        <v>2</v>
      </c>
      <c r="O2434" t="s">
        <v>25</v>
      </c>
      <c r="P2434" t="s">
        <v>4885</v>
      </c>
      <c r="Q2434" t="s">
        <v>6324</v>
      </c>
    </row>
    <row r="2435" spans="1:17" ht="15.5" x14ac:dyDescent="0.35">
      <c r="A2435"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2435" s="3" t="str">
        <f>HYPERLINK("https://edmondsonsupply.com/products/klein-tools-32907-7-in-1-impact-flip-socket-set-no-handle", "https://edmondsonsupply.com/products/klein-tools-32907-7-in-1-impact-flip-socket-set-no-handle")</f>
        <v>https://edmondsonsupply.com/products/klein-tools-32907-7-in-1-impact-flip-socket-set-no-handle</v>
      </c>
      <c r="C2435" t="s">
        <v>1833</v>
      </c>
      <c r="D2435" t="s">
        <v>1834</v>
      </c>
      <c r="E2435" s="3" t="str">
        <f>HYPERLINK("https://www.amazon.com/Klein-Tools-66070-Impact-7-Piece/dp/B0BGZPWNJQ/ref=sr_1_5?keywords=Klein+Tools+32907+7-in-1+Impact+Flip+Socket+Set%2C+No+Handle&amp;qid=1695173886&amp;sr=8-5", "https://www.amazon.com/Klein-Tools-66070-Impact-7-Piece/dp/B0BGZPWNJQ/ref=sr_1_5?keywords=Klein+Tools+32907+7-in-1+Impact+Flip+Socket+Set%2C+No+Handle&amp;qid=1695173886&amp;sr=8-5")</f>
        <v>https://www.amazon.com/Klein-Tools-66070-Impact-7-Piece/dp/B0BGZPWNJQ/ref=sr_1_5?keywords=Klein+Tools+32907+7-in-1+Impact+Flip+Socket+Set%2C+No+Handle&amp;qid=1695173886&amp;sr=8-5</v>
      </c>
      <c r="F2435" t="s">
        <v>1835</v>
      </c>
      <c r="G2435" t="e">
        <f ca="1">_xludf.IMAGE("https://edmondsonsupply.com/cdn/shop/products/32907_b.jpg?v=1666025282")</f>
        <v>#NAME?</v>
      </c>
      <c r="H2435" t="e">
        <f ca="1">_xludf.IMAGE("https://m.media-amazon.com/images/I/519cDb-A9oL._AC_UL320_.jpg")</f>
        <v>#NAME?</v>
      </c>
      <c r="I2435" t="s">
        <v>577</v>
      </c>
      <c r="J2435">
        <v>66.94</v>
      </c>
      <c r="K2435" s="4">
        <v>2.3487</v>
      </c>
      <c r="L2435">
        <v>4.8</v>
      </c>
      <c r="M2435">
        <v>18</v>
      </c>
      <c r="O2435" t="s">
        <v>25</v>
      </c>
      <c r="P2435" t="s">
        <v>1836</v>
      </c>
      <c r="Q2435" t="s">
        <v>1837</v>
      </c>
    </row>
    <row r="2436" spans="1:17" ht="15.5" x14ac:dyDescent="0.35">
      <c r="A2436" s="3" t="str">
        <f>HYPERLINK("https://edmondsonsupply.com/collections/electricians-tools/products/diablo-tools-dmarg1010-1-8-in-x-2-in-x-3-in-speedemon%E2%84%A2-red-granite-carbide-tipped-hammer-drill-bit", "https://edmondsonsupply.com/collections/electricians-tools/products/diablo-tools-dmarg1010-1-8-in-x-2-in-x-3-in-speedemon%E2%84%A2-red-granite-carbide-tipped-hammer-drill-bit")</f>
        <v>https://edmondsonsupply.com/collections/electricians-tools/products/diablo-tools-dmarg1010-1-8-in-x-2-in-x-3-in-speedemon%E2%84%A2-red-granite-carbide-tipped-hammer-drill-bit</v>
      </c>
      <c r="B2436" s="3" t="str">
        <f>HYPERLINK("https://edmondsonsupply.com/products/diablo-tools-dmarg1010-1-8-in-x-2-in-x-3-in-speedemon%e2%84%a2-red-granite-carbide-tipped-hammer-drill-bit", "https://edmondsonsupply.com/products/diablo-tools-dmarg1010-1-8-in-x-2-in-x-3-in-speedemon%e2%84%a2-red-granite-carbide-tipped-hammer-drill-bit")</f>
        <v>https://edmondsonsupply.com/products/diablo-tools-dmarg1010-1-8-in-x-2-in-x-3-in-speedemon%e2%84%a2-red-granite-carbide-tipped-hammer-drill-bit</v>
      </c>
      <c r="C2436" t="s">
        <v>6005</v>
      </c>
      <c r="D2436" t="s">
        <v>6325</v>
      </c>
      <c r="E2436" s="3" t="str">
        <f>HYPERLINK("https://www.amazon.com/Diablo-DMARG1110-SPEEDemon-Granite-Carbide/dp/B089LN9JJL/ref=sr_1_5?keywords=Diablo+Tools+DMARG1010+1%2F8+in.+x+2+in.+x+3+in.+SPEEDemon%E2%84%A2+Red+Granite+Carbide+Tipped+Hammer+Drill+Bit&amp;qid=1695174243&amp;sr=8-5", "https://www.amazon.com/Diablo-DMARG1110-SPEEDemon-Granite-Carbide/dp/B089LN9JJL/ref=sr_1_5?keywords=Diablo+Tools+DMARG1010+1%2F8+in.+x+2+in.+x+3+in.+SPEEDemon%E2%84%A2+Red+Granite+Carbide+Tipped+Hammer+Drill+Bit&amp;qid=1695174243&amp;sr=8-5")</f>
        <v>https://www.amazon.com/Diablo-DMARG1110-SPEEDemon-Granite-Carbide/dp/B089LN9JJL/ref=sr_1_5?keywords=Diablo+Tools+DMARG1010+1%2F8+in.+x+2+in.+x+3+in.+SPEEDemon%E2%84%A2+Red+Granite+Carbide+Tipped+Hammer+Drill+Bit&amp;qid=1695174243&amp;sr=8-5</v>
      </c>
      <c r="F2436" t="s">
        <v>6326</v>
      </c>
      <c r="G2436" t="e">
        <f ca="1">_xludf.IMAGE("https://edmondsonsupply.com/cdn/shop/products/DMARG1010_Main-Image20200706.png?v=1633031180")</f>
        <v>#NAME?</v>
      </c>
      <c r="H2436" t="e">
        <f ca="1">_xludf.IMAGE("https://m.media-amazon.com/images/I/61Qf0cC1SJL._AC_UL320_.jpg")</f>
        <v>#NAME?</v>
      </c>
      <c r="I2436" t="s">
        <v>6008</v>
      </c>
      <c r="J2436">
        <v>10</v>
      </c>
      <c r="K2436" s="4">
        <v>2.3445</v>
      </c>
      <c r="L2436">
        <v>4.2</v>
      </c>
      <c r="M2436">
        <v>5</v>
      </c>
      <c r="O2436" t="s">
        <v>25</v>
      </c>
      <c r="P2436" t="s">
        <v>6009</v>
      </c>
      <c r="Q2436" t="s">
        <v>6010</v>
      </c>
    </row>
    <row r="2437" spans="1:17" ht="15.5" x14ac:dyDescent="0.35">
      <c r="A2437"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2437"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2437" t="s">
        <v>851</v>
      </c>
      <c r="D2437" t="s">
        <v>816</v>
      </c>
      <c r="E2437" s="3" t="str">
        <f>HYPERLINK("https://www.amazon.com/Klein-80055-Glasses-Professional-Breakaway/dp/B09HR9RV4H/ref=sr_1_7?keywords=Klein+Tools+60163+Professional+Safety+Glasses%2C+Full+Frame%2C+Clear+Lens&amp;qid=1695174311&amp;sr=8-7", "https://www.amazon.com/Klein-80055-Glasses-Professional-Breakaway/dp/B09HR9RV4H/ref=sr_1_7?keywords=Klein+Tools+60163+Professional+Safety+Glasses%2C+Full+Frame%2C+Clear+Lens&amp;qid=1695174311&amp;sr=8-7")</f>
        <v>https://www.amazon.com/Klein-80055-Glasses-Professional-Breakaway/dp/B09HR9RV4H/ref=sr_1_7?keywords=Klein+Tools+60163+Professional+Safety+Glasses%2C+Full+Frame%2C+Clear+Lens&amp;qid=1695174311&amp;sr=8-7</v>
      </c>
      <c r="F2437" t="s">
        <v>817</v>
      </c>
      <c r="G2437" t="e">
        <f ca="1">_xludf.IMAGE("https://edmondsonsupply.com/cdn/shop/products/60163.jpg?v=1633030848")</f>
        <v>#NAME?</v>
      </c>
      <c r="H2437" t="e">
        <f ca="1">_xludf.IMAGE("https://m.media-amazon.com/images/I/61L5l7dmmiL._AC_UL320_.jpg")</f>
        <v>#NAME?</v>
      </c>
      <c r="I2437" t="s">
        <v>276</v>
      </c>
      <c r="J2437">
        <v>49.99</v>
      </c>
      <c r="K2437" s="4">
        <v>2.3349000000000002</v>
      </c>
      <c r="L2437">
        <v>4.5</v>
      </c>
      <c r="M2437">
        <v>13</v>
      </c>
      <c r="O2437" t="s">
        <v>25</v>
      </c>
      <c r="P2437" t="s">
        <v>277</v>
      </c>
      <c r="Q2437" t="s">
        <v>852</v>
      </c>
    </row>
    <row r="2438" spans="1:17" ht="15.5" x14ac:dyDescent="0.35">
      <c r="A2438"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2438"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2438" t="s">
        <v>1848</v>
      </c>
      <c r="D2438" t="s">
        <v>816</v>
      </c>
      <c r="E2438" s="3" t="str">
        <f>HYPERLINK("https://www.amazon.com/Klein-80055-Glasses-Professional-Breakaway/dp/B09HR9RV4H/ref=sr_1_2?keywords=Klein+Tools+60164+Professional+Safety+Glasses%2C+Full+Frame%2C+Gray+Lens&amp;qid=1695173933&amp;sr=8-2", "https://www.amazon.com/Klein-80055-Glasses-Professional-Breakaway/dp/B09HR9RV4H/ref=sr_1_2?keywords=Klein+Tools+60164+Professional+Safety+Glasses%2C+Full+Frame%2C+Gray+Lens&amp;qid=1695173933&amp;sr=8-2")</f>
        <v>https://www.amazon.com/Klein-80055-Glasses-Professional-Breakaway/dp/B09HR9RV4H/ref=sr_1_2?keywords=Klein+Tools+60164+Professional+Safety+Glasses%2C+Full+Frame%2C+Gray+Lens&amp;qid=1695173933&amp;sr=8-2</v>
      </c>
      <c r="F2438" t="s">
        <v>817</v>
      </c>
      <c r="G2438" t="e">
        <f ca="1">_xludf.IMAGE("https://edmondsonsupply.com/cdn/shop/products/60164.jpg?v=1633030851")</f>
        <v>#NAME?</v>
      </c>
      <c r="H2438" t="e">
        <f ca="1">_xludf.IMAGE("https://m.media-amazon.com/images/I/61L5l7dmmiL._AC_UL320_.jpg")</f>
        <v>#NAME?</v>
      </c>
      <c r="I2438" t="s">
        <v>276</v>
      </c>
      <c r="J2438">
        <v>49.99</v>
      </c>
      <c r="K2438" s="4">
        <v>2.3349000000000002</v>
      </c>
      <c r="L2438">
        <v>4.5</v>
      </c>
      <c r="M2438">
        <v>13</v>
      </c>
      <c r="O2438" t="s">
        <v>25</v>
      </c>
      <c r="P2438" t="s">
        <v>277</v>
      </c>
      <c r="Q2438" t="s">
        <v>1849</v>
      </c>
    </row>
    <row r="2439" spans="1:17" ht="15.5" x14ac:dyDescent="0.35">
      <c r="A2439" s="3" t="str">
        <f>HYPERLINK("https://edmondsonsupply.com/collections/electricians-tools/products/milwaukee-48-22-9429-7pc-sae-flex-head-combination-wrenches", "https://edmondsonsupply.com/collections/electricians-tools/products/milwaukee-48-22-9429-7pc-sae-flex-head-combination-wrenches")</f>
        <v>https://edmondsonsupply.com/collections/electricians-tools/products/milwaukee-48-22-9429-7pc-sae-flex-head-combination-wrenches</v>
      </c>
      <c r="B2439" s="3" t="str">
        <f>HYPERLINK("https://edmondsonsupply.com/products/milwaukee-48-22-9429-7pc-sae-flex-head-combination-wrenches", "https://edmondsonsupply.com/products/milwaukee-48-22-9429-7pc-sae-flex-head-combination-wrenches")</f>
        <v>https://edmondsonsupply.com/products/milwaukee-48-22-9429-7pc-sae-flex-head-combination-wrenches</v>
      </c>
      <c r="C2439" t="s">
        <v>6327</v>
      </c>
      <c r="D2439" t="s">
        <v>6328</v>
      </c>
      <c r="E2439" s="3" t="str">
        <f>HYPERLINK("https://www.amazon.com/Milwaukee-Ratcheting-Combination-Wrench-Bundel/dp/B09HN752MW/ref=sr_1_4?keywords=Milwaukee+48-22-9429+7pc+SAE+Flex+Head+Combination+Wrenches&amp;qid=1695174128&amp;sr=8-4", "https://www.amazon.com/Milwaukee-Ratcheting-Combination-Wrench-Bundel/dp/B09HN752MW/ref=sr_1_4?keywords=Milwaukee+48-22-9429+7pc+SAE+Flex+Head+Combination+Wrenches&amp;qid=1695174128&amp;sr=8-4")</f>
        <v>https://www.amazon.com/Milwaukee-Ratcheting-Combination-Wrench-Bundel/dp/B09HN752MW/ref=sr_1_4?keywords=Milwaukee+48-22-9429+7pc+SAE+Flex+Head+Combination+Wrenches&amp;qid=1695174128&amp;sr=8-4</v>
      </c>
      <c r="F2439" t="s">
        <v>6329</v>
      </c>
      <c r="G2439" t="e">
        <f ca="1">_xludf.IMAGE("https://edmondsonsupply.com/cdn/shop/products/48-22-9429_1.webp?v=1668435785")</f>
        <v>#NAME?</v>
      </c>
      <c r="H2439" t="e">
        <f ca="1">_xludf.IMAGE("https://m.media-amazon.com/images/I/71197bqjKiL._AC_UL320_.jpg")</f>
        <v>#NAME?</v>
      </c>
      <c r="I2439" t="s">
        <v>6330</v>
      </c>
      <c r="J2439">
        <v>599</v>
      </c>
      <c r="K2439" s="4">
        <v>2.3283</v>
      </c>
      <c r="L2439">
        <v>5</v>
      </c>
      <c r="M2439">
        <v>3</v>
      </c>
      <c r="O2439" t="s">
        <v>25</v>
      </c>
      <c r="P2439" t="s">
        <v>6331</v>
      </c>
      <c r="Q2439" t="s">
        <v>6332</v>
      </c>
    </row>
    <row r="2440" spans="1:17" ht="15.5" x14ac:dyDescent="0.35">
      <c r="A2440" s="3" t="str">
        <f>HYPERLINK("https://edmondsonsupply.com/collections/electricians-tools/products/milwaukee-48-22-9529-7pc-metric-flex-head-ratcheting-combination-wrench", "https://edmondsonsupply.com/collections/electricians-tools/products/milwaukee-48-22-9529-7pc-metric-flex-head-ratcheting-combination-wrench")</f>
        <v>https://edmondsonsupply.com/collections/electricians-tools/products/milwaukee-48-22-9529-7pc-metric-flex-head-ratcheting-combination-wrench</v>
      </c>
      <c r="B2440" s="3" t="str">
        <f>HYPERLINK("https://edmondsonsupply.com/products/milwaukee-48-22-9529-7pc-metric-flex-head-ratcheting-combination-wrench", "https://edmondsonsupply.com/products/milwaukee-48-22-9529-7pc-metric-flex-head-ratcheting-combination-wrench")</f>
        <v>https://edmondsonsupply.com/products/milwaukee-48-22-9529-7pc-metric-flex-head-ratcheting-combination-wrench</v>
      </c>
      <c r="C2440" t="s">
        <v>6333</v>
      </c>
      <c r="D2440" t="s">
        <v>6328</v>
      </c>
      <c r="E2440" s="3" t="str">
        <f>HYPERLINK("https://www.amazon.com/Milwaukee-Ratcheting-Combination-Wrench-Bundel/dp/B09HN752MW/ref=sr_1_4?keywords=Milwaukee+48-22-9529+7pc+Metric+Flex+Head+Ratcheting+Combination+Wrench&amp;qid=1695174120&amp;sr=8-4", "https://www.amazon.com/Milwaukee-Ratcheting-Combination-Wrench-Bundel/dp/B09HN752MW/ref=sr_1_4?keywords=Milwaukee+48-22-9529+7pc+Metric+Flex+Head+Ratcheting+Combination+Wrench&amp;qid=1695174120&amp;sr=8-4")</f>
        <v>https://www.amazon.com/Milwaukee-Ratcheting-Combination-Wrench-Bundel/dp/B09HN752MW/ref=sr_1_4?keywords=Milwaukee+48-22-9529+7pc+Metric+Flex+Head+Ratcheting+Combination+Wrench&amp;qid=1695174120&amp;sr=8-4</v>
      </c>
      <c r="F2440" t="s">
        <v>6329</v>
      </c>
      <c r="G2440" t="e">
        <f ca="1">_xludf.IMAGE("https://edmondsonsupply.com/cdn/shop/products/48-22-9529_1.png?v=1668437310")</f>
        <v>#NAME?</v>
      </c>
      <c r="H2440" t="e">
        <f ca="1">_xludf.IMAGE("https://m.media-amazon.com/images/I/71197bqjKiL._AC_UL320_.jpg")</f>
        <v>#NAME?</v>
      </c>
      <c r="I2440" t="s">
        <v>6330</v>
      </c>
      <c r="J2440">
        <v>599</v>
      </c>
      <c r="K2440" s="4">
        <v>2.3283</v>
      </c>
      <c r="L2440">
        <v>5</v>
      </c>
      <c r="M2440">
        <v>3</v>
      </c>
      <c r="O2440" t="s">
        <v>25</v>
      </c>
      <c r="P2440" t="s">
        <v>6334</v>
      </c>
      <c r="Q2440" t="s">
        <v>6335</v>
      </c>
    </row>
    <row r="2441" spans="1:17" ht="15.5" x14ac:dyDescent="0.35">
      <c r="A2441"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2441" s="3" t="str">
        <f>HYPERLINK("https://edmondsonsupply.com/products/klein-tools-vdv500-123-probe-pro-tracing-probe", "https://edmondsonsupply.com/products/klein-tools-vdv500-123-probe-pro-tracing-probe")</f>
        <v>https://edmondsonsupply.com/products/klein-tools-vdv500-123-probe-pro-tracing-probe</v>
      </c>
      <c r="C2441" t="s">
        <v>6065</v>
      </c>
      <c r="D2441" t="s">
        <v>6336</v>
      </c>
      <c r="E2441" s="3" t="str">
        <f>HYPERLINK("https://www.amazon.com/Klein-Tools-Pass-Thru-VDV500-123-Probe-Pro/dp/B0BVG9VVZR/ref=sr_1_9?keywords=Klein+Tools+VDV500-123+Probe-PRO+Tracing+Probe&amp;qid=1695173898&amp;sr=8-9", "https://www.amazon.com/Klein-Tools-Pass-Thru-VDV500-123-Probe-Pro/dp/B0BVG9VVZR/ref=sr_1_9?keywords=Klein+Tools+VDV500-123+Probe-PRO+Tracing+Probe&amp;qid=1695173898&amp;sr=8-9")</f>
        <v>https://www.amazon.com/Klein-Tools-Pass-Thru-VDV500-123-Probe-Pro/dp/B0BVG9VVZR/ref=sr_1_9?keywords=Klein+Tools+VDV500-123+Probe-PRO+Tracing+Probe&amp;qid=1695173898&amp;sr=8-9</v>
      </c>
      <c r="F2441" t="s">
        <v>6337</v>
      </c>
      <c r="G2441" t="e">
        <f ca="1">_xludf.IMAGE("https://edmondsonsupply.com/cdn/shop/products/vdv500123.jpg?v=1587142783")</f>
        <v>#NAME?</v>
      </c>
      <c r="H2441" t="e">
        <f ca="1">_xludf.IMAGE("https://m.media-amazon.com/images/I/51zx3GIQY6L._AC_UY218_.jpg")</f>
        <v>#NAME?</v>
      </c>
      <c r="I2441" t="s">
        <v>946</v>
      </c>
      <c r="J2441">
        <v>148.77000000000001</v>
      </c>
      <c r="K2441" s="4">
        <v>2.3067000000000002</v>
      </c>
      <c r="L2441">
        <v>5</v>
      </c>
      <c r="M2441">
        <v>1</v>
      </c>
      <c r="O2441" t="s">
        <v>25</v>
      </c>
      <c r="P2441" t="s">
        <v>6068</v>
      </c>
      <c r="Q2441" t="s">
        <v>6069</v>
      </c>
    </row>
    <row r="2442" spans="1:17" ht="15.5" x14ac:dyDescent="0.35">
      <c r="A2442" s="3" t="str">
        <f>HYPERLINK("https://edmondsonsupply.com/collections/electricians-tools/products/klein-tools-32791-pro-impact-power-bit-extension-1-4-inch-hex", "https://edmondsonsupply.com/collections/electricians-tools/products/klein-tools-32791-pro-impact-power-bit-extension-1-4-inch-hex")</f>
        <v>https://edmondsonsupply.com/collections/electricians-tools/products/klein-tools-32791-pro-impact-power-bit-extension-1-4-inch-hex</v>
      </c>
      <c r="B2442" s="3" t="str">
        <f>HYPERLINK("https://edmondsonsupply.com/products/klein-tools-32791-pro-impact-power-bit-extension-1-4-inch-hex", "https://edmondsonsupply.com/products/klein-tools-32791-pro-impact-power-bit-extension-1-4-inch-hex")</f>
        <v>https://edmondsonsupply.com/products/klein-tools-32791-pro-impact-power-bit-extension-1-4-inch-hex</v>
      </c>
      <c r="C2442" t="s">
        <v>2944</v>
      </c>
      <c r="D2442" t="s">
        <v>4019</v>
      </c>
      <c r="E2442" s="3" t="str">
        <f>HYPERLINK("https://www.amazon.com/WORKPRO-9-Piece-Socket-Adapter-Extension/dp/B0B6YYSZ6N/ref=sr_1_4?keywords=Klein+Tools+32791+Pro+Impact+Power+Bit+Extension+1%2F4-Inch+Hex&amp;qid=1695173960&amp;sr=8-4", "https://www.amazon.com/WORKPRO-9-Piece-Socket-Adapter-Extension/dp/B0B6YYSZ6N/ref=sr_1_4?keywords=Klein+Tools+32791+Pro+Impact+Power+Bit+Extension+1%2F4-Inch+Hex&amp;qid=1695173960&amp;sr=8-4")</f>
        <v>https://www.amazon.com/WORKPRO-9-Piece-Socket-Adapter-Extension/dp/B0B6YYSZ6N/ref=sr_1_4?keywords=Klein+Tools+32791+Pro+Impact+Power+Bit+Extension+1%2F4-Inch+Hex&amp;qid=1695173960&amp;sr=8-4</v>
      </c>
      <c r="F2442" t="s">
        <v>4020</v>
      </c>
      <c r="G2442" t="e">
        <f ca="1">_xludf.IMAGE("https://edmondsonsupply.com/cdn/shop/products/32791.jpg?v=1587145614")</f>
        <v>#NAME?</v>
      </c>
      <c r="H2442" t="e">
        <f ca="1">_xludf.IMAGE("https://m.media-amazon.com/images/I/61f5WFB-N1L._AC_UL320_.jpg")</f>
        <v>#NAME?</v>
      </c>
      <c r="I2442" t="s">
        <v>2347</v>
      </c>
      <c r="J2442">
        <v>22.97</v>
      </c>
      <c r="K2442" s="4">
        <v>2.2860999999999998</v>
      </c>
      <c r="L2442">
        <v>4.7</v>
      </c>
      <c r="M2442">
        <v>199</v>
      </c>
      <c r="O2442" t="s">
        <v>25</v>
      </c>
      <c r="P2442" t="s">
        <v>2826</v>
      </c>
      <c r="Q2442" t="s">
        <v>2947</v>
      </c>
    </row>
    <row r="2443" spans="1:17" ht="15.5" x14ac:dyDescent="0.35">
      <c r="A2443"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2443" s="3" t="str">
        <f>HYPERLINK("https://edmondsonsupply.com/products/klein-tools-jth9m5-5-mm-hex-key-journeyman-t-handle-9-inch", "https://edmondsonsupply.com/products/klein-tools-jth9m5-5-mm-hex-key-journeyman-t-handle-9-inch")</f>
        <v>https://edmondsonsupply.com/products/klein-tools-jth9m5-5-mm-hex-key-journeyman-t-handle-9-inch</v>
      </c>
      <c r="C2443" t="s">
        <v>6167</v>
      </c>
      <c r="D2443" t="s">
        <v>6338</v>
      </c>
      <c r="E2443" s="3" t="str">
        <f>HYPERLINK("https://www.amazon.com/Journeyman-T-Handle-Klein-Tools-JTH9M8/dp/B005G3HJSC/ref=sr_1_10?keywords=Klein+Tools+JTH9M5+5+mm+Hex+Key%2C+Journeyman+T-Handle+9-Inch&amp;qid=1695174264&amp;sr=8-10", "https://www.amazon.com/Journeyman-T-Handle-Klein-Tools-JTH9M8/dp/B005G3HJSC/ref=sr_1_10?keywords=Klein+Tools+JTH9M5+5+mm+Hex+Key%2C+Journeyman+T-Handle+9-Inch&amp;qid=1695174264&amp;sr=8-10")</f>
        <v>https://www.amazon.com/Journeyman-T-Handle-Klein-Tools-JTH9M8/dp/B005G3HJSC/ref=sr_1_10?keywords=Klein+Tools+JTH9M5+5+mm+Hex+Key%2C+Journeyman+T-Handle+9-Inch&amp;qid=1695174264&amp;sr=8-10</v>
      </c>
      <c r="F2443" t="s">
        <v>6339</v>
      </c>
      <c r="G2443" t="e">
        <f ca="1">_xludf.IMAGE("https://edmondsonsupply.com/cdn/shop/products/jth9m_84ad507b-889a-4b5c-80a2-9633c898cd48.jpg?v=1633031048")</f>
        <v>#NAME?</v>
      </c>
      <c r="H2443" t="e">
        <f ca="1">_xludf.IMAGE("https://m.media-amazon.com/images/I/51+1x0vz9XL._AC_UL320_.jpg")</f>
        <v>#NAME?</v>
      </c>
      <c r="I2443" t="s">
        <v>2388</v>
      </c>
      <c r="J2443">
        <v>16.27</v>
      </c>
      <c r="K2443" s="4">
        <v>2.2605</v>
      </c>
      <c r="L2443">
        <v>5</v>
      </c>
      <c r="M2443">
        <v>4</v>
      </c>
      <c r="O2443" t="s">
        <v>25</v>
      </c>
      <c r="P2443" t="s">
        <v>6168</v>
      </c>
      <c r="Q2443" t="s">
        <v>6169</v>
      </c>
    </row>
    <row r="2444" spans="1:17" ht="15.5" x14ac:dyDescent="0.35">
      <c r="A2444"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2444" s="3" t="str">
        <f>HYPERLINK("https://edmondsonsupply.com/products/klein-tools-jth4e17-1-2-inch-hex-key-journeyman-t-handle-4-inch", "https://edmondsonsupply.com/products/klein-tools-jth4e17-1-2-inch-hex-key-journeyman-t-handle-4-inch")</f>
        <v>https://edmondsonsupply.com/products/klein-tools-jth4e17-1-2-inch-hex-key-journeyman-t-handle-4-inch</v>
      </c>
      <c r="C2444" t="s">
        <v>2385</v>
      </c>
      <c r="D2444" t="s">
        <v>6338</v>
      </c>
      <c r="E2444" s="3" t="str">
        <f>HYPERLINK("https://www.amazon.com/Journeyman-T-Handle-Klein-Tools-JTH9M8/dp/B005G3HJSC/ref=sr_1_9?keywords=Klein+Tools+JTH4E11+3%2F16-Inch+Hex+Key+with+Journeyman+T-Handle%2C+4-Inch&amp;qid=1695173897&amp;sr=8-9", "https://www.amazon.com/Journeyman-T-Handle-Klein-Tools-JTH9M8/dp/B005G3HJSC/ref=sr_1_9?keywords=Klein+Tools+JTH4E11+3%2F16-Inch+Hex+Key+with+Journeyman+T-Handle%2C+4-Inch&amp;qid=1695173897&amp;sr=8-9")</f>
        <v>https://www.amazon.com/Journeyman-T-Handle-Klein-Tools-JTH9M8/dp/B005G3HJSC/ref=sr_1_9?keywords=Klein+Tools+JTH4E11+3%2F16-Inch+Hex+Key+with+Journeyman+T-Handle%2C+4-Inch&amp;qid=1695173897&amp;sr=8-9</v>
      </c>
      <c r="F2444" t="s">
        <v>6339</v>
      </c>
      <c r="G2444" t="e">
        <f ca="1">_xludf.IMAGE("https://edmondsonsupply.com/cdn/shop/products/jth4e17.jpg?v=1587144836")</f>
        <v>#NAME?</v>
      </c>
      <c r="H2444" t="e">
        <f ca="1">_xludf.IMAGE("https://m.media-amazon.com/images/I/51+1x0vz9XL._AC_UL320_.jpg")</f>
        <v>#NAME?</v>
      </c>
      <c r="I2444" t="s">
        <v>2388</v>
      </c>
      <c r="J2444">
        <v>16.27</v>
      </c>
      <c r="K2444" s="4">
        <v>2.2605</v>
      </c>
      <c r="L2444">
        <v>5</v>
      </c>
      <c r="M2444">
        <v>4</v>
      </c>
      <c r="O2444" t="s">
        <v>25</v>
      </c>
      <c r="P2444" t="s">
        <v>2389</v>
      </c>
      <c r="Q2444" t="s">
        <v>2390</v>
      </c>
    </row>
    <row r="2445" spans="1:17" ht="15.5" x14ac:dyDescent="0.35">
      <c r="A2445"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445" s="3" t="str">
        <f>HYPERLINK("https://edmondsonsupply.com/products/klein-tools-rt250-gfci-receptacle-tester-with-lcd", "https://edmondsonsupply.com/products/klein-tools-rt250-gfci-receptacle-tester-with-lcd")</f>
        <v>https://edmondsonsupply.com/products/klein-tools-rt250-gfci-receptacle-tester-with-lcd</v>
      </c>
      <c r="C2445" t="s">
        <v>6197</v>
      </c>
      <c r="D2445" t="s">
        <v>6340</v>
      </c>
      <c r="E2445" s="3" t="str">
        <f>HYPERLINK("https://www.amazon.com/Klein-Tools-Integrated-Receptacle-Electrical/dp/B09P85276K/ref=sr_1_5?keywords=Klein+Tools+RT250+GFCI+Receptacle+Tester+with+LCD&amp;qid=1695174176&amp;sr=8-5", "https://www.amazon.com/Klein-Tools-Integrated-Receptacle-Electrical/dp/B09P85276K/ref=sr_1_5?keywords=Klein+Tools+RT250+GFCI+Receptacle+Tester+with+LCD&amp;qid=1695174176&amp;sr=8-5")</f>
        <v>https://www.amazon.com/Klein-Tools-Integrated-Receptacle-Electrical/dp/B09P85276K/ref=sr_1_5?keywords=Klein+Tools+RT250+GFCI+Receptacle+Tester+with+LCD&amp;qid=1695174176&amp;sr=8-5</v>
      </c>
      <c r="F2445" t="s">
        <v>6341</v>
      </c>
      <c r="G2445" t="e">
        <f ca="1">_xludf.IMAGE("https://edmondsonsupply.com/cdn/shop/products/rt250_photo_c.jpg?v=1661363824")</f>
        <v>#NAME?</v>
      </c>
      <c r="H2445" t="e">
        <f ca="1">_xludf.IMAGE("https://m.media-amazon.com/images/I/51AwhghGlRL._AC_UL320_.jpg")</f>
        <v>#NAME?</v>
      </c>
      <c r="I2445" t="s">
        <v>2247</v>
      </c>
      <c r="J2445">
        <v>71.400000000000006</v>
      </c>
      <c r="K2445" s="4">
        <v>2.2498999999999998</v>
      </c>
      <c r="L2445">
        <v>4.8</v>
      </c>
      <c r="M2445">
        <v>235</v>
      </c>
      <c r="O2445" t="s">
        <v>25</v>
      </c>
      <c r="P2445" t="s">
        <v>6200</v>
      </c>
      <c r="Q2445" t="s">
        <v>6201</v>
      </c>
    </row>
    <row r="2446" spans="1:17" ht="15.5" x14ac:dyDescent="0.35">
      <c r="A2446" s="3" t="str">
        <f>HYPERLINK("https://edmondsonsupply.com/collections/electricians-tools/products/copy-of-klein-tools-55918-tradesman-pro%E2%84%A2-modular-tool-belt", "https://edmondsonsupply.com/collections/electricians-tools/products/copy-of-klein-tools-55918-tradesman-pro%E2%84%A2-modular-tool-belt")</f>
        <v>https://edmondsonsupply.com/collections/electricians-tools/products/copy-of-klein-tools-55918-tradesman-pro%E2%84%A2-modular-tool-belt</v>
      </c>
      <c r="B2446"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2446" t="s">
        <v>1873</v>
      </c>
      <c r="D2446" t="s">
        <v>1874</v>
      </c>
      <c r="E2446" s="3" t="str">
        <f>HYPERLINK("https://www.amazon.com/Klein-Tools-55428-Electricians-Durability/dp/B00BZXA376/ref=sr_1_4?keywords=Klein+Tools+55919+Tradesman+Pro%E2%84%A2+Modular+Tool+Belt+-+L&amp;qid=1695173932&amp;sr=8-4", "https://www.amazon.com/Klein-Tools-55428-Electricians-Durability/dp/B00BZXA376/ref=sr_1_4?keywords=Klein+Tools+55919+Tradesman+Pro%E2%84%A2+Modular+Tool+Belt+-+L&amp;qid=1695173932&amp;sr=8-4")</f>
        <v>https://www.amazon.com/Klein-Tools-55428-Electricians-Durability/dp/B00BZXA376/ref=sr_1_4?keywords=Klein+Tools+55919+Tradesman+Pro%E2%84%A2+Modular+Tool+Belt+-+L&amp;qid=1695173932&amp;sr=8-4</v>
      </c>
      <c r="F2446" t="s">
        <v>1875</v>
      </c>
      <c r="G2446" t="e">
        <f ca="1">_xludf.IMAGE("https://edmondsonsupply.com/cdn/shop/products/55919_6b1c1646-91d8-4915-b7bf-b52c8c6994c7.jpg?v=1587143413")</f>
        <v>#NAME?</v>
      </c>
      <c r="H2446" t="e">
        <f ca="1">_xludf.IMAGE("https://m.media-amazon.com/images/I/61hBX21HbTL._AC_UL320_.jpg")</f>
        <v>#NAME?</v>
      </c>
      <c r="I2446" t="s">
        <v>261</v>
      </c>
      <c r="J2446">
        <v>115.99</v>
      </c>
      <c r="K2446" s="4">
        <v>2.2227999999999999</v>
      </c>
      <c r="L2446">
        <v>4.3</v>
      </c>
      <c r="M2446">
        <v>529</v>
      </c>
      <c r="O2446" t="s">
        <v>25</v>
      </c>
      <c r="P2446" t="s">
        <v>1876</v>
      </c>
      <c r="Q2446" t="s">
        <v>1877</v>
      </c>
    </row>
    <row r="2447" spans="1:17" ht="15.5" x14ac:dyDescent="0.35">
      <c r="A2447"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447" s="3" t="str">
        <f>HYPERLINK("https://edmondsonsupply.com/products/klein-tools-vdv427-300-impact-punchdown-tool-66-110-blade", "https://edmondsonsupply.com/products/klein-tools-vdv427-300-impact-punchdown-tool-66-110-blade")</f>
        <v>https://edmondsonsupply.com/products/klein-tools-vdv427-300-impact-punchdown-tool-66-110-blade</v>
      </c>
      <c r="C2447" t="s">
        <v>6289</v>
      </c>
      <c r="D2447" t="s">
        <v>6342</v>
      </c>
      <c r="E2447" s="3" t="str">
        <f>HYPERLINK("https://www.amazon.com/Klein-Tools-VDV501-851-VDV427-300-Punchdown/dp/B09Q66V8VH/ref=sr_1_6?keywords=Klein+Tools+VDV427-300+Impact+Punchdown+Tool%2C+66%2F110+Blade&amp;qid=1695174221&amp;sr=8-6", "https://www.amazon.com/Klein-Tools-VDV501-851-VDV427-300-Punchdown/dp/B09Q66V8VH/ref=sr_1_6?keywords=Klein+Tools+VDV427-300+Impact+Punchdown+Tool%2C+66%2F110+Blade&amp;qid=1695174221&amp;sr=8-6")</f>
        <v>https://www.amazon.com/Klein-Tools-VDV501-851-VDV427-300-Punchdown/dp/B09Q66V8VH/ref=sr_1_6?keywords=Klein+Tools+VDV427-300+Impact+Punchdown+Tool%2C+66%2F110+Blade&amp;qid=1695174221&amp;sr=8-6</v>
      </c>
      <c r="F2447" t="s">
        <v>6343</v>
      </c>
      <c r="G2447" t="e">
        <f ca="1">_xludf.IMAGE("https://edmondsonsupply.com/cdn/shop/products/vdv427300.jpg?v=1646010568")</f>
        <v>#NAME?</v>
      </c>
      <c r="H2447" t="e">
        <f ca="1">_xludf.IMAGE("https://m.media-amazon.com/images/I/5179dKa9RLL._AC_UL320_.jpg")</f>
        <v>#NAME?</v>
      </c>
      <c r="I2447" t="s">
        <v>246</v>
      </c>
      <c r="J2447">
        <v>128.07</v>
      </c>
      <c r="K2447" s="4">
        <v>2.2042000000000002</v>
      </c>
      <c r="L2447">
        <v>4.7</v>
      </c>
      <c r="M2447">
        <v>75</v>
      </c>
      <c r="O2447" t="s">
        <v>25</v>
      </c>
      <c r="P2447" t="s">
        <v>1027</v>
      </c>
      <c r="Q2447" t="s">
        <v>6292</v>
      </c>
    </row>
    <row r="2448" spans="1:17" ht="15.5" x14ac:dyDescent="0.35">
      <c r="A2448"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2448"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2448" t="s">
        <v>6344</v>
      </c>
      <c r="D2448" t="s">
        <v>6252</v>
      </c>
      <c r="E2448" s="3" t="str">
        <f>HYPERLINK("https://www.amazon.com/Klein-Tools-JTH6E09BE-Ball-End-Journeyman/dp/B0CGLVC75M/ref=sr_1_8?keywords=Klein+Tools+JTH9E09+9%2F64-Inch+Hex+Key%2C+Journeyman%E2%84%A2+T-Handle%2C+9-Inch&amp;qid=1695174053&amp;sr=8-8", "https://www.amazon.com/Klein-Tools-JTH6E09BE-Ball-End-Journeyman/dp/B0CGLVC75M/ref=sr_1_8?keywords=Klein+Tools+JTH9E09+9%2F64-Inch+Hex+Key%2C+Journeyman%E2%84%A2+T-Handle%2C+9-Inch&amp;qid=1695174053&amp;sr=8-8")</f>
        <v>https://www.amazon.com/Klein-Tools-JTH6E09BE-Ball-End-Journeyman/dp/B0CGLVC75M/ref=sr_1_8?keywords=Klein+Tools+JTH9E09+9%2F64-Inch+Hex+Key%2C+Journeyman%E2%84%A2+T-Handle%2C+9-Inch&amp;qid=1695174053&amp;sr=8-8</v>
      </c>
      <c r="F2448" t="s">
        <v>6253</v>
      </c>
      <c r="G2448" t="e">
        <f ca="1">_xludf.IMAGE("https://edmondsonsupply.com/cdn/shop/files/jth6e15_a82bd56b-ad18-4460-9ae1-33c48a111839.jpg?v=1684942468")</f>
        <v>#NAME?</v>
      </c>
      <c r="H2448" t="e">
        <f ca="1">_xludf.IMAGE("https://m.media-amazon.com/images/I/41bN+I19ReL._AC_UL320_.jpg")</f>
        <v>#NAME?</v>
      </c>
      <c r="I2448" t="s">
        <v>6122</v>
      </c>
      <c r="J2448">
        <v>14.36</v>
      </c>
      <c r="K2448" s="4">
        <v>2.1981999999999999</v>
      </c>
      <c r="L2448">
        <v>4.9000000000000004</v>
      </c>
      <c r="M2448">
        <v>65</v>
      </c>
      <c r="O2448" t="s">
        <v>25</v>
      </c>
      <c r="P2448" t="s">
        <v>6123</v>
      </c>
      <c r="Q2448" t="s">
        <v>6345</v>
      </c>
    </row>
    <row r="2449" spans="1:17" ht="15.5" x14ac:dyDescent="0.35">
      <c r="A2449"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2449" s="3" t="str">
        <f>HYPERLINK("https://edmondsonsupply.com/products/klein-tools-ncvt1xt-non-contact-voltage-tester-70-to-1000v-ac", "https://edmondsonsupply.com/products/klein-tools-ncvt1xt-non-contact-voltage-tester-70-to-1000v-ac")</f>
        <v>https://edmondsonsupply.com/products/klein-tools-ncvt1xt-non-contact-voltage-tester-70-to-1000v-ac</v>
      </c>
      <c r="C2449" t="s">
        <v>6346</v>
      </c>
      <c r="D2449" t="s">
        <v>2996</v>
      </c>
      <c r="E2449" s="3" t="str">
        <f>HYPERLINK("https://www.amazon.com/Klein-Tools-NCVT-4IR-Non-Contact-Tester/dp/B0BD41QXCP/ref=sr_1_7?keywords=Klein+Tools+NCVT1XT+Non-Contact+Voltage+Tester%2C+70+to+1000V+AC&amp;qid=1695174075&amp;sr=8-7", "https://www.amazon.com/Klein-Tools-NCVT-4IR-Non-Contact-Tester/dp/B0BD41QXCP/ref=sr_1_7?keywords=Klein+Tools+NCVT1XT+Non-Contact+Voltage+Tester%2C+70+to+1000V+AC&amp;qid=1695174075&amp;sr=8-7")</f>
        <v>https://www.amazon.com/Klein-Tools-NCVT-4IR-Non-Contact-Tester/dp/B0BD41QXCP/ref=sr_1_7?keywords=Klein+Tools+NCVT1XT+Non-Contact+Voltage+Tester%2C+70+to+1000V+AC&amp;qid=1695174075&amp;sr=8-7</v>
      </c>
      <c r="F2449" t="s">
        <v>2997</v>
      </c>
      <c r="G2449" t="e">
        <f ca="1">_xludf.IMAGE("https://edmondsonsupply.com/cdn/shop/products/ncvt1xt.jpg?v=1674496568")</f>
        <v>#NAME?</v>
      </c>
      <c r="H2449" t="e">
        <f ca="1">_xludf.IMAGE("https://m.media-amazon.com/images/I/418deU9NDfL._AC_UL320_.jpg")</f>
        <v>#NAME?</v>
      </c>
      <c r="I2449" t="s">
        <v>893</v>
      </c>
      <c r="J2449">
        <v>63.65</v>
      </c>
      <c r="K2449" s="4">
        <v>2.1873</v>
      </c>
      <c r="L2449">
        <v>5</v>
      </c>
      <c r="M2449">
        <v>1</v>
      </c>
      <c r="O2449" t="s">
        <v>25</v>
      </c>
      <c r="P2449" t="s">
        <v>6347</v>
      </c>
      <c r="Q2449" t="s">
        <v>6348</v>
      </c>
    </row>
    <row r="2450" spans="1:17" ht="15.5" x14ac:dyDescent="0.35">
      <c r="A2450" s="3" t="str">
        <f>HYPERLINK("https://edmondsonsupply.com/collections/electricians-tools/products/veto-pro-pac-tp4-tool-pouch", "https://edmondsonsupply.com/collections/electricians-tools/products/veto-pro-pac-tp4-tool-pouch")</f>
        <v>https://edmondsonsupply.com/collections/electricians-tools/products/veto-pro-pac-tp4-tool-pouch</v>
      </c>
      <c r="B2450" s="3" t="str">
        <f>HYPERLINK("https://edmondsonsupply.com/products/veto-pro-pac-tp4-tool-pouch", "https://edmondsonsupply.com/products/veto-pro-pac-tp4-tool-pouch")</f>
        <v>https://edmondsonsupply.com/products/veto-pro-pac-tp4-tool-pouch</v>
      </c>
      <c r="C2450" t="s">
        <v>6137</v>
      </c>
      <c r="D2450" t="s">
        <v>501</v>
      </c>
      <c r="E2450" s="3" t="str">
        <f>HYPERLINK("https://www.amazon.com/VETO-PRO-PAC-TECH-MCT-Tool/dp/B01CENNFYS/ref=sr_1_4?keywords=Veto+Pro+Pac+TP3+Tool+Bag&amp;qid=1695174238&amp;sr=8-4", "https://www.amazon.com/VETO-PRO-PAC-TECH-MCT-Tool/dp/B01CENNFYS/ref=sr_1_4?keywords=Veto+Pro+Pac+TP3+Tool+Bag&amp;qid=1695174238&amp;sr=8-4")</f>
        <v>https://www.amazon.com/VETO-PRO-PAC-TECH-MCT-Tool/dp/B01CENNFYS/ref=sr_1_4?keywords=Veto+Pro+Pac+TP3+Tool+Bag&amp;qid=1695174238&amp;sr=8-4</v>
      </c>
      <c r="F2450" t="s">
        <v>502</v>
      </c>
      <c r="G2450" t="e">
        <f ca="1">_xludf.IMAGE("https://edmondsonsupply.com/cdn/shop/products/TP3_1.jpg?v=1587144391")</f>
        <v>#NAME?</v>
      </c>
      <c r="H2450" t="e">
        <f ca="1">_xludf.IMAGE("https://m.media-amazon.com/images/I/61GanfvVX6L._AC_UL320_.jpg")</f>
        <v>#NAME?</v>
      </c>
      <c r="I2450" t="s">
        <v>905</v>
      </c>
      <c r="J2450">
        <v>189.95</v>
      </c>
      <c r="K2450" s="4">
        <v>2.1663999999999999</v>
      </c>
      <c r="L2450">
        <v>4.8</v>
      </c>
      <c r="M2450">
        <v>2083</v>
      </c>
      <c r="O2450" t="s">
        <v>25</v>
      </c>
      <c r="P2450" t="s">
        <v>138</v>
      </c>
      <c r="Q2450" t="s">
        <v>6140</v>
      </c>
    </row>
    <row r="2451" spans="1:17" ht="15.5" x14ac:dyDescent="0.35">
      <c r="A2451"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2451" s="3" t="str">
        <f>HYPERLINK("https://edmondsonsupply.com/products/diablo-tools-d0624x-6-1-2-in-24-tooth-framing-saw-blade", "https://edmondsonsupply.com/products/diablo-tools-d0624x-6-1-2-in-24-tooth-framing-saw-blade")</f>
        <v>https://edmondsonsupply.com/products/diablo-tools-d0624x-6-1-2-in-24-tooth-framing-saw-blade</v>
      </c>
      <c r="C2451" t="s">
        <v>6070</v>
      </c>
      <c r="D2451" t="s">
        <v>6349</v>
      </c>
      <c r="E2451" s="3" t="str">
        <f>HYPERLINK("https://www.amazon.com/D0624X-Diablo-2-Inch-24-Tooth-Framing/dp/B0772PYWSJ/ref=sr_1_2?keywords=Diablo+Tools+D0624X+6-1%2F2+in.+24-Tooth+Framing+Saw+Blade&amp;qid=1695174066&amp;sr=8-2", "https://www.amazon.com/D0624X-Diablo-2-Inch-24-Tooth-Framing/dp/B0772PYWSJ/ref=sr_1_2?keywords=Diablo+Tools+D0624X+6-1%2F2+in.+24-Tooth+Framing+Saw+Blade&amp;qid=1695174066&amp;sr=8-2")</f>
        <v>https://www.amazon.com/D0624X-Diablo-2-Inch-24-Tooth-Framing/dp/B0772PYWSJ/ref=sr_1_2?keywords=Diablo+Tools+D0624X+6-1%2F2+in.+24-Tooth+Framing+Saw+Blade&amp;qid=1695174066&amp;sr=8-2</v>
      </c>
      <c r="F2451" t="s">
        <v>6350</v>
      </c>
      <c r="G2451" t="e">
        <f ca="1">_xludf.IMAGE("https://edmondsonsupply.com/cdn/shop/products/mfin0gl4ono6qztsnrth.webp?v=1678982694")</f>
        <v>#NAME?</v>
      </c>
      <c r="H2451" t="e">
        <f ca="1">_xludf.IMAGE("https://m.media-amazon.com/images/I/71s3EZsQVmL._AC_UL320_.jpg")</f>
        <v>#NAME?</v>
      </c>
      <c r="I2451" t="s">
        <v>6073</v>
      </c>
      <c r="J2451">
        <v>37.880000000000003</v>
      </c>
      <c r="K2451" s="4">
        <v>2.1646000000000001</v>
      </c>
      <c r="L2451">
        <v>4.8</v>
      </c>
      <c r="M2451">
        <v>173</v>
      </c>
      <c r="O2451" t="s">
        <v>25</v>
      </c>
      <c r="P2451" t="s">
        <v>6074</v>
      </c>
      <c r="Q2451" t="s">
        <v>6075</v>
      </c>
    </row>
    <row r="2452" spans="1:17" ht="15.5" x14ac:dyDescent="0.35">
      <c r="A2452" s="3" t="str">
        <f>HYPERLINK("https://edmondsonsupply.com/collections/electricians-tools/products/milwaukee-48-22-2930-4-in-1-precision-multi-bit-screwdriver", "https://edmondsonsupply.com/collections/electricians-tools/products/milwaukee-48-22-2930-4-in-1-precision-multi-bit-screwdriver")</f>
        <v>https://edmondsonsupply.com/collections/electricians-tools/products/milwaukee-48-22-2930-4-in-1-precision-multi-bit-screwdriver</v>
      </c>
      <c r="B2452" s="3" t="str">
        <f>HYPERLINK("https://edmondsonsupply.com/products/milwaukee-48-22-2930-4-in-1-precision-multi-bit-screwdriver", "https://edmondsonsupply.com/products/milwaukee-48-22-2930-4-in-1-precision-multi-bit-screwdriver")</f>
        <v>https://edmondsonsupply.com/products/milwaukee-48-22-2930-4-in-1-precision-multi-bit-screwdriver</v>
      </c>
      <c r="C2452" t="s">
        <v>1886</v>
      </c>
      <c r="D2452" t="s">
        <v>1887</v>
      </c>
      <c r="E2452" s="3" t="str">
        <f>HYPERLINK("https://www.amazon.com/Milwaukee-Multi-Tip-Screwdriver-Cushion-48-22-2880-2761/dp/B0BS435YZ2/ref=sr_1_2?keywords=Milwaukee+48-22-2930+4-in-1+Precision+Multi-Bit+Screwdriver&amp;qid=1695173899&amp;sr=8-2", "https://www.amazon.com/Milwaukee-Multi-Tip-Screwdriver-Cushion-48-22-2880-2761/dp/B0BS435YZ2/ref=sr_1_2?keywords=Milwaukee+48-22-2930+4-in-1+Precision+Multi-Bit+Screwdriver&amp;qid=1695173899&amp;sr=8-2")</f>
        <v>https://www.amazon.com/Milwaukee-Multi-Tip-Screwdriver-Cushion-48-22-2880-2761/dp/B0BS435YZ2/ref=sr_1_2?keywords=Milwaukee+48-22-2930+4-in-1+Precision+Multi-Bit+Screwdriver&amp;qid=1695173899&amp;sr=8-2</v>
      </c>
      <c r="F2452" t="s">
        <v>1888</v>
      </c>
      <c r="G2452" t="e">
        <f ca="1">_xludf.IMAGE("https://edmondsonsupply.com/cdn/shop/files/48-22-2930_PrimaryImage_WEB.webp?v=1686154438")</f>
        <v>#NAME?</v>
      </c>
      <c r="H2452" t="e">
        <f ca="1">_xludf.IMAGE("https://m.media-amazon.com/images/I/6147KLqShzL._AC_UL320_.jpg")</f>
        <v>#NAME?</v>
      </c>
      <c r="I2452" t="s">
        <v>1211</v>
      </c>
      <c r="J2452">
        <v>40.99</v>
      </c>
      <c r="K2452" s="4">
        <v>2.1604000000000001</v>
      </c>
      <c r="L2452">
        <v>5</v>
      </c>
      <c r="M2452">
        <v>4</v>
      </c>
      <c r="O2452" t="s">
        <v>25</v>
      </c>
      <c r="P2452" t="s">
        <v>1889</v>
      </c>
      <c r="Q2452" t="s">
        <v>1890</v>
      </c>
    </row>
    <row r="2453" spans="1:17" ht="15.5" x14ac:dyDescent="0.35">
      <c r="A2453"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2453"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2453" t="s">
        <v>6351</v>
      </c>
      <c r="D2453" t="s">
        <v>3119</v>
      </c>
      <c r="E2453" s="3" t="str">
        <f>HYPERLINK("https://www.amazon.com/Journeyman-T-Handle-Klein-Tools-JTH9E17/dp/B004QV6NL4/ref=sr_1_6?keywords=Klein+Tools+JTH9E10+5%2F32-Inch+Hex+Key%2C+Journeyman+T-Handle%2C+9-Inch&amp;qid=1695174218&amp;sr=8-6", "https://www.amazon.com/Journeyman-T-Handle-Klein-Tools-JTH9E17/dp/B004QV6NL4/ref=sr_1_6?keywords=Klein+Tools+JTH9E10+5%2F32-Inch+Hex+Key%2C+Journeyman+T-Handle%2C+9-Inch&amp;qid=1695174218&amp;sr=8-6")</f>
        <v>https://www.amazon.com/Journeyman-T-Handle-Klein-Tools-JTH9E17/dp/B004QV6NL4/ref=sr_1_6?keywords=Klein+Tools+JTH9E10+5%2F32-Inch+Hex+Key%2C+Journeyman+T-Handle%2C+9-Inch&amp;qid=1695174218&amp;sr=8-6</v>
      </c>
      <c r="F2453" t="s">
        <v>3120</v>
      </c>
      <c r="G2453" t="e">
        <f ca="1">_xludf.IMAGE("https://edmondsonsupply.com/cdn/shop/products/jth9e12_37b16542-2f59-465e-8bba-0a543803dfd0.jpg?v=1647892900")</f>
        <v>#NAME?</v>
      </c>
      <c r="H2453" t="e">
        <f ca="1">_xludf.IMAGE("https://m.media-amazon.com/images/I/51Yb8h41vLL._AC_UL320_.jpg")</f>
        <v>#NAME?</v>
      </c>
      <c r="I2453" t="s">
        <v>2389</v>
      </c>
      <c r="J2453">
        <v>23.99</v>
      </c>
      <c r="K2453" s="4">
        <v>2.1566000000000001</v>
      </c>
      <c r="L2453">
        <v>4.8</v>
      </c>
      <c r="M2453">
        <v>194</v>
      </c>
      <c r="O2453" t="s">
        <v>171</v>
      </c>
      <c r="P2453" t="s">
        <v>138</v>
      </c>
      <c r="Q2453" t="s">
        <v>6352</v>
      </c>
    </row>
    <row r="2454" spans="1:17" ht="15.5" x14ac:dyDescent="0.35">
      <c r="A2454" s="3" t="str">
        <f>HYPERLINK("https://edmondsonsupply.com/collections/electricians-tools/products/klein-tools-66074-flip-impact-socket-3-4-and-13-16-inch", "https://edmondsonsupply.com/collections/electricians-tools/products/klein-tools-66074-flip-impact-socket-3-4-and-13-16-inch")</f>
        <v>https://edmondsonsupply.com/collections/electricians-tools/products/klein-tools-66074-flip-impact-socket-3-4-and-13-16-inch</v>
      </c>
      <c r="B2454" s="3" t="str">
        <f>HYPERLINK("https://edmondsonsupply.com/products/klein-tools-66074-flip-impact-socket-3-4-and-13-16-inch", "https://edmondsonsupply.com/products/klein-tools-66074-flip-impact-socket-3-4-and-13-16-inch")</f>
        <v>https://edmondsonsupply.com/products/klein-tools-66074-flip-impact-socket-3-4-and-13-16-inch</v>
      </c>
      <c r="C2454" t="s">
        <v>6240</v>
      </c>
      <c r="D2454" t="s">
        <v>6257</v>
      </c>
      <c r="E2454" s="3" t="str">
        <f>HYPERLINK("https://www.amazon.com/Klein-Tools-66001-12-Point-16-Inch/dp/B078NHVXWK/ref=sr_1_5?keywords=Klein+Tools+66074+Flip+Impact+Socket%2C+3%2F4+and+13%2F16-Inch&amp;qid=1695174170&amp;sr=8-5", "https://www.amazon.com/Klein-Tools-66001-12-Point-16-Inch/dp/B078NHVXWK/ref=sr_1_5?keywords=Klein+Tools+66074+Flip+Impact+Socket%2C+3%2F4+and+13%2F16-Inch&amp;qid=1695174170&amp;sr=8-5")</f>
        <v>https://www.amazon.com/Klein-Tools-66001-12-Point-16-Inch/dp/B078NHVXWK/ref=sr_1_5?keywords=Klein+Tools+66074+Flip+Impact+Socket%2C+3%2F4+and+13%2F16-Inch&amp;qid=1695174170&amp;sr=8-5</v>
      </c>
      <c r="F2454" t="s">
        <v>6258</v>
      </c>
      <c r="G2454" t="e">
        <f ca="1">_xludf.IMAGE("https://edmondsonsupply.com/cdn/shop/products/66074.jpg?v=1663249251")</f>
        <v>#NAME?</v>
      </c>
      <c r="H2454" t="e">
        <f ca="1">_xludf.IMAGE("https://m.media-amazon.com/images/I/31AlECG12iL._AC_UL320_.jpg")</f>
        <v>#NAME?</v>
      </c>
      <c r="I2454" t="s">
        <v>6241</v>
      </c>
      <c r="J2454">
        <v>39.99</v>
      </c>
      <c r="K2454" s="4">
        <v>2.1463000000000001</v>
      </c>
      <c r="L2454">
        <v>4.8</v>
      </c>
      <c r="M2454">
        <v>753</v>
      </c>
      <c r="O2454" t="s">
        <v>25</v>
      </c>
      <c r="P2454" t="s">
        <v>6242</v>
      </c>
      <c r="Q2454" t="s">
        <v>6243</v>
      </c>
    </row>
    <row r="2455" spans="1:17" ht="15.5" x14ac:dyDescent="0.35">
      <c r="A2455"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2455" s="3" t="str">
        <f>HYPERLINK("https://edmondsonsupply.com/products/klein-tools-646-5-16-5-16-inch-nut-driver-6-inch-hollow-shaft", "https://edmondsonsupply.com/products/klein-tools-646-5-16-5-16-inch-nut-driver-6-inch-hollow-shaft")</f>
        <v>https://edmondsonsupply.com/products/klein-tools-646-5-16-5-16-inch-nut-driver-6-inch-hollow-shaft</v>
      </c>
      <c r="C2455" t="s">
        <v>1893</v>
      </c>
      <c r="D2455" t="s">
        <v>1894</v>
      </c>
      <c r="E2455" s="3" t="str">
        <f>HYPERLINK("https://www.amazon.com/Magnetic-16-Inch-Klein-Tools-646M/dp/B000936QV0/ref=sr_1_5?keywords=Klein+Tools+646-5%2F16+5%2F16-Inch+Nut+Driver%2C+6-Inch+Hollow+Shaft&amp;qid=1695173904&amp;sr=8-5", "https://www.amazon.com/Magnetic-16-Inch-Klein-Tools-646M/dp/B000936QV0/ref=sr_1_5?keywords=Klein+Tools+646-5%2F16+5%2F16-Inch+Nut+Driver%2C+6-Inch+Hollow+Shaft&amp;qid=1695173904&amp;sr=8-5")</f>
        <v>https://www.amazon.com/Magnetic-16-Inch-Klein-Tools-646M/dp/B000936QV0/ref=sr_1_5?keywords=Klein+Tools+646-5%2F16+5%2F16-Inch+Nut+Driver%2C+6-Inch+Hollow+Shaft&amp;qid=1695173904&amp;sr=8-5</v>
      </c>
      <c r="F2455" t="s">
        <v>1895</v>
      </c>
      <c r="G2455" t="e">
        <f ca="1">_xludf.IMAGE("https://edmondsonsupply.com/cdn/shop/products/646-1-2_e1540905-f750-4509-90c5-74ff653e4d83.jpg?v=1587145119")</f>
        <v>#NAME?</v>
      </c>
      <c r="H2455" t="e">
        <f ca="1">_xludf.IMAGE("https://m.media-amazon.com/images/I/41lkJ6KRq9L._AC_UL320_.jpg")</f>
        <v>#NAME?</v>
      </c>
      <c r="I2455" t="s">
        <v>1003</v>
      </c>
      <c r="J2455">
        <v>24.99</v>
      </c>
      <c r="K2455" s="4">
        <v>2.1276999999999999</v>
      </c>
      <c r="L2455">
        <v>4.8</v>
      </c>
      <c r="M2455">
        <v>1654</v>
      </c>
      <c r="O2455" t="s">
        <v>25</v>
      </c>
      <c r="P2455" t="s">
        <v>1481</v>
      </c>
      <c r="Q2455" t="s">
        <v>1896</v>
      </c>
    </row>
    <row r="2456" spans="1:17" ht="15.5" x14ac:dyDescent="0.35">
      <c r="A2456"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2456" s="3" t="str">
        <f>HYPERLINK("https://edmondsonsupply.com/products/klein-tools-646-1-4-1-4-inch-nut-driver-with-6-inch-hollow-shaft", "https://edmondsonsupply.com/products/klein-tools-646-1-4-1-4-inch-nut-driver-with-6-inch-hollow-shaft")</f>
        <v>https://edmondsonsupply.com/products/klein-tools-646-1-4-1-4-inch-nut-driver-with-6-inch-hollow-shaft</v>
      </c>
      <c r="C2456" t="s">
        <v>1478</v>
      </c>
      <c r="D2456" t="s">
        <v>1894</v>
      </c>
      <c r="E2456" s="3" t="str">
        <f>HYPERLINK("https://www.amazon.com/Magnetic-16-Inch-Klein-Tools-646M/dp/B000936QV0/ref=sr_1_5?keywords=Klein+Tools+646-1%2F4+1%2F4-Inch+Nut+Driver+with+6-Inch+Hollow+Shaft&amp;qid=1695173897&amp;sr=8-5", "https://www.amazon.com/Magnetic-16-Inch-Klein-Tools-646M/dp/B000936QV0/ref=sr_1_5?keywords=Klein+Tools+646-1%2F4+1%2F4-Inch+Nut+Driver+with+6-Inch+Hollow+Shaft&amp;qid=1695173897&amp;sr=8-5")</f>
        <v>https://www.amazon.com/Magnetic-16-Inch-Klein-Tools-646M/dp/B000936QV0/ref=sr_1_5?keywords=Klein+Tools+646-1%2F4+1%2F4-Inch+Nut+Driver+with+6-Inch+Hollow+Shaft&amp;qid=1695173897&amp;sr=8-5</v>
      </c>
      <c r="F2456" t="s">
        <v>1895</v>
      </c>
      <c r="G2456" t="e">
        <f ca="1">_xludf.IMAGE("https://edmondsonsupply.com/cdn/shop/products/646-1-2_08d87fa9-eac4-4869-8d3b-bb680d4b1d53.jpg?v=1587150676")</f>
        <v>#NAME?</v>
      </c>
      <c r="H2456" t="e">
        <f ca="1">_xludf.IMAGE("https://m.media-amazon.com/images/I/41lkJ6KRq9L._AC_UL320_.jpg")</f>
        <v>#NAME?</v>
      </c>
      <c r="I2456" t="s">
        <v>1003</v>
      </c>
      <c r="J2456">
        <v>24.99</v>
      </c>
      <c r="K2456" s="4">
        <v>2.1276999999999999</v>
      </c>
      <c r="L2456">
        <v>4.8</v>
      </c>
      <c r="M2456">
        <v>1654</v>
      </c>
      <c r="O2456" t="s">
        <v>25</v>
      </c>
      <c r="P2456" t="s">
        <v>1481</v>
      </c>
      <c r="Q2456" t="s">
        <v>1482</v>
      </c>
    </row>
    <row r="2457" spans="1:17" ht="15.5" x14ac:dyDescent="0.35">
      <c r="A2457"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2457"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2457" t="s">
        <v>853</v>
      </c>
      <c r="D2457" t="s">
        <v>816</v>
      </c>
      <c r="E2457" s="3" t="str">
        <f>HYPERLINK("https://www.amazon.com/Klein-80055-Glasses-Professional-Breakaway/dp/B09HR9RV4H/ref=sr_1_3?keywords=Klein+Tools+60471+Professional+Full-Frame+Gasket+Safety+Glasses%2C+Gray+Lens&amp;qid=1695174157&amp;sr=8-3", "https://www.amazon.com/Klein-80055-Glasses-Professional-Breakaway/dp/B09HR9RV4H/ref=sr_1_3?keywords=Klein+Tools+60471+Professional+Full-Frame+Gasket+Safety+Glasses%2C+Gray+Lens&amp;qid=1695174157&amp;sr=8-3")</f>
        <v>https://www.amazon.com/Klein-80055-Glasses-Professional-Breakaway/dp/B09HR9RV4H/ref=sr_1_3?keywords=Klein+Tools+60471+Professional+Full-Frame+Gasket+Safety+Glasses%2C+Gray+Lens&amp;qid=1695174157&amp;sr=8-3</v>
      </c>
      <c r="F2457" t="s">
        <v>817</v>
      </c>
      <c r="G2457" t="e">
        <f ca="1">_xludf.IMAGE("https://edmondsonsupply.com/cdn/shop/products/60471.jpg?v=1663257501")</f>
        <v>#NAME?</v>
      </c>
      <c r="H2457" t="e">
        <f ca="1">_xludf.IMAGE("https://m.media-amazon.com/images/I/61L5l7dmmiL._AC_UL320_.jpg")</f>
        <v>#NAME?</v>
      </c>
      <c r="I2457" t="s">
        <v>252</v>
      </c>
      <c r="J2457">
        <v>49.99</v>
      </c>
      <c r="K2457" s="4">
        <v>2.1263000000000001</v>
      </c>
      <c r="L2457">
        <v>4.5</v>
      </c>
      <c r="M2457">
        <v>13</v>
      </c>
      <c r="O2457" t="s">
        <v>25</v>
      </c>
      <c r="P2457" t="s">
        <v>854</v>
      </c>
      <c r="Q2457" t="s">
        <v>855</v>
      </c>
    </row>
    <row r="2458" spans="1:17" ht="15.5" x14ac:dyDescent="0.35">
      <c r="A2458"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2458"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2458" t="s">
        <v>6254</v>
      </c>
      <c r="D2458" t="s">
        <v>6353</v>
      </c>
      <c r="E2458" s="3" t="str">
        <f>HYPERLINK("https://www.amazon.com/Klein-Tools-IR10-Thermometer-Targeting/dp/B07K1JB9TQ/ref=sr_1_4?keywords=Klein+Tools+IR1+Infrared+Digital+Thermometer+with+Targeting+Laser%2C+10%3A1&amp;qid=1695174178&amp;sr=8-4", "https://www.amazon.com/Klein-Tools-IR10-Thermometer-Targeting/dp/B07K1JB9TQ/ref=sr_1_4?keywords=Klein+Tools+IR1+Infrared+Digital+Thermometer+with+Targeting+Laser%2C+10%3A1&amp;qid=1695174178&amp;sr=8-4")</f>
        <v>https://www.amazon.com/Klein-Tools-IR10-Thermometer-Targeting/dp/B07K1JB9TQ/ref=sr_1_4?keywords=Klein+Tools+IR1+Infrared+Digital+Thermometer+with+Targeting+Laser%2C+10%3A1&amp;qid=1695174178&amp;sr=8-4</v>
      </c>
      <c r="F2458" t="s">
        <v>6354</v>
      </c>
      <c r="G2458" t="e">
        <f ca="1">_xludf.IMAGE("https://edmondsonsupply.com/cdn/shop/products/ir1.jpg?v=1659112251")</f>
        <v>#NAME?</v>
      </c>
      <c r="H2458" t="e">
        <f ca="1">_xludf.IMAGE("https://m.media-amazon.com/images/I/71gXtP6kZ0L._AC_UY218_.jpg")</f>
        <v>#NAME?</v>
      </c>
      <c r="I2458" t="s">
        <v>3578</v>
      </c>
      <c r="J2458">
        <v>101.99</v>
      </c>
      <c r="K2458" s="4">
        <v>2.0914999999999999</v>
      </c>
      <c r="L2458">
        <v>4.5999999999999996</v>
      </c>
      <c r="M2458">
        <v>300</v>
      </c>
      <c r="O2458" t="s">
        <v>25</v>
      </c>
      <c r="P2458" t="s">
        <v>6255</v>
      </c>
      <c r="Q2458" t="s">
        <v>6256</v>
      </c>
    </row>
    <row r="2459" spans="1:17" ht="15.5" x14ac:dyDescent="0.35">
      <c r="A2459"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2459" s="3" t="str">
        <f>HYPERLINK("https://edmondsonsupply.com/products/klein-tools-630m-magnetic-nut-driver-set-3-inch-shafts-2-piece", "https://edmondsonsupply.com/products/klein-tools-630m-magnetic-nut-driver-set-3-inch-shafts-2-piece")</f>
        <v>https://edmondsonsupply.com/products/klein-tools-630m-magnetic-nut-driver-set-3-inch-shafts-2-piece</v>
      </c>
      <c r="C2459" t="s">
        <v>1690</v>
      </c>
      <c r="D2459" t="s">
        <v>1479</v>
      </c>
      <c r="E2459" s="3" t="str">
        <f>HYPERLINK("https://www.amazon.com/Driver-6-Inch-Klein-Tools-647/dp/B0014KRVXO/ref=sr_1_7?keywords=Klein+Tools+630M+Magnetic+Nut+Driver+Set%2C+3-Inch+Shafts%2C+2-Piece&amp;qid=1695173928&amp;sr=8-7", "https://www.amazon.com/Driver-6-Inch-Klein-Tools-647/dp/B0014KRVXO/ref=sr_1_7?keywords=Klein+Tools+630M+Magnetic+Nut+Driver+Set%2C+3-Inch+Shafts%2C+2-Piece&amp;qid=1695173928&amp;sr=8-7")</f>
        <v>https://www.amazon.com/Driver-6-Inch-Klein-Tools-647/dp/B0014KRVXO/ref=sr_1_7?keywords=Klein+Tools+630M+Magnetic+Nut+Driver+Set%2C+3-Inch+Shafts%2C+2-Piece&amp;qid=1695173928&amp;sr=8-7</v>
      </c>
      <c r="F2459" t="s">
        <v>1480</v>
      </c>
      <c r="G2459" t="e">
        <f ca="1">_xludf.IMAGE("https://edmondsonsupply.com/cdn/shop/products/630m.jpg?v=1587143237")</f>
        <v>#NAME?</v>
      </c>
      <c r="H2459" t="e">
        <f ca="1">_xludf.IMAGE("https://m.media-amazon.com/images/I/51usUk-EpGL._AC_UL320_.jpg")</f>
        <v>#NAME?</v>
      </c>
      <c r="I2459" t="s">
        <v>1687</v>
      </c>
      <c r="J2459">
        <v>57.99</v>
      </c>
      <c r="K2459" s="4">
        <v>2.0537000000000001</v>
      </c>
      <c r="L2459">
        <v>4.8</v>
      </c>
      <c r="M2459">
        <v>735</v>
      </c>
      <c r="O2459" t="s">
        <v>25</v>
      </c>
      <c r="P2459" t="s">
        <v>1693</v>
      </c>
      <c r="Q2459" t="s">
        <v>1694</v>
      </c>
    </row>
    <row r="2460" spans="1:17" ht="15.5" x14ac:dyDescent="0.35">
      <c r="A2460"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2460"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2460" t="s">
        <v>6355</v>
      </c>
      <c r="D2460" t="s">
        <v>2345</v>
      </c>
      <c r="E2460" s="3" t="str">
        <f>HYPERLINK("https://www.amazon.com/Klein-Tools-JTH6M3BE-Journeyman-T-Handle/dp/B0CGLYY7WP/ref=sr_1_3?keywords=Klein+Tools+JTH6E06BE+3%2F32-Inch+Ball+End+Hex+Key+with+T-Handle%2C+6-Inch&amp;qid=1695174255&amp;sr=8-3", "https://www.amazon.com/Klein-Tools-JTH6M3BE-Journeyman-T-Handle/dp/B0CGLYY7WP/ref=sr_1_3?keywords=Klein+Tools+JTH6E06BE+3%2F32-Inch+Ball+End+Hex+Key+with+T-Handle%2C+6-Inch&amp;qid=1695174255&amp;sr=8-3")</f>
        <v>https://www.amazon.com/Klein-Tools-JTH6M3BE-Journeyman-T-Handle/dp/B0CGLYY7WP/ref=sr_1_3?keywords=Klein+Tools+JTH6E06BE+3%2F32-Inch+Ball+End+Hex+Key+with+T-Handle%2C+6-Inch&amp;qid=1695174255&amp;sr=8-3</v>
      </c>
      <c r="F2460" t="s">
        <v>2346</v>
      </c>
      <c r="G2460" t="e">
        <f ca="1">_xludf.IMAGE("https://edmondsonsupply.com/cdn/shop/products/jth6e13be_f61308c8-99eb-44df-aac2-25c9159d6b6d.jpg?v=1633031148")</f>
        <v>#NAME?</v>
      </c>
      <c r="H2460" t="e">
        <f ca="1">_xludf.IMAGE("https://m.media-amazon.com/images/I/413sTNFMd7L._AC_UL320_.jpg")</f>
        <v>#NAME?</v>
      </c>
      <c r="I2460" t="s">
        <v>2388</v>
      </c>
      <c r="J2460">
        <v>15.1</v>
      </c>
      <c r="K2460" s="4">
        <v>2.0261</v>
      </c>
      <c r="L2460">
        <v>4.5999999999999996</v>
      </c>
      <c r="M2460">
        <v>184</v>
      </c>
      <c r="O2460" t="s">
        <v>25</v>
      </c>
      <c r="P2460" t="s">
        <v>6356</v>
      </c>
      <c r="Q2460" t="s">
        <v>6357</v>
      </c>
    </row>
    <row r="2461" spans="1:17" ht="15.5" x14ac:dyDescent="0.35">
      <c r="A2461"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2461"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2461" t="s">
        <v>6358</v>
      </c>
      <c r="D2461" t="s">
        <v>2345</v>
      </c>
      <c r="E2461" s="3" t="str">
        <f>HYPERLINK("https://www.amazon.com/Klein-Tools-JTH6M3BE-Journeyman-T-Handle/dp/B0CGLYY7WP/ref=sr_1_1?keywords=Klein+Tools+JTH6M3BE+3+mm+Ball+Hex+Key+Journeyman+T-Handle+6-Inch&amp;qid=1695174181&amp;sr=8-1", "https://www.amazon.com/Klein-Tools-JTH6M3BE-Journeyman-T-Handle/dp/B0CGLYY7WP/ref=sr_1_1?keywords=Klein+Tools+JTH6M3BE+3+mm+Ball+Hex+Key+Journeyman+T-Handle+6-Inch&amp;qid=1695174181&amp;sr=8-1")</f>
        <v>https://www.amazon.com/Klein-Tools-JTH6M3BE-Journeyman-T-Handle/dp/B0CGLYY7WP/ref=sr_1_1?keywords=Klein+Tools+JTH6M3BE+3+mm+Ball+Hex+Key+Journeyman+T-Handle+6-Inch&amp;qid=1695174181&amp;sr=8-1</v>
      </c>
      <c r="F2461" t="s">
        <v>2346</v>
      </c>
      <c r="G2461" t="e">
        <f ca="1">_xludf.IMAGE("https://edmondsonsupply.com/cdn/shop/products/jth6m8be_1b0aeba1-6d03-4a46-99d8-f6853368c71f.jpg?v=1655941616")</f>
        <v>#NAME?</v>
      </c>
      <c r="H2461" t="e">
        <f ca="1">_xludf.IMAGE("https://m.media-amazon.com/images/I/413sTNFMd7L._AC_UL320_.jpg")</f>
        <v>#NAME?</v>
      </c>
      <c r="I2461" t="s">
        <v>2388</v>
      </c>
      <c r="J2461">
        <v>15.1</v>
      </c>
      <c r="K2461" s="4">
        <v>2.0261</v>
      </c>
      <c r="L2461">
        <v>4.5999999999999996</v>
      </c>
      <c r="M2461">
        <v>184</v>
      </c>
      <c r="O2461" t="s">
        <v>25</v>
      </c>
      <c r="P2461" t="s">
        <v>2392</v>
      </c>
      <c r="Q2461" t="s">
        <v>6359</v>
      </c>
    </row>
    <row r="2462" spans="1:17" ht="15.5" x14ac:dyDescent="0.35">
      <c r="A2462" s="3" t="str">
        <f>HYPERLINK("https://edmondsonsupply.com/collections/electricians-tools/products/wiha-tools-32267-5-16-insulated-softfinish-nut-driver", "https://edmondsonsupply.com/collections/electricians-tools/products/wiha-tools-32267-5-16-insulated-softfinish-nut-driver")</f>
        <v>https://edmondsonsupply.com/collections/electricians-tools/products/wiha-tools-32267-5-16-insulated-softfinish-nut-driver</v>
      </c>
      <c r="B2462" s="3" t="str">
        <f>HYPERLINK("https://edmondsonsupply.com/products/wiha-tools-32267-5-16-insulated-softfinish-nut-driver", "https://edmondsonsupply.com/products/wiha-tools-32267-5-16-insulated-softfinish-nut-driver")</f>
        <v>https://edmondsonsupply.com/products/wiha-tools-32267-5-16-insulated-softfinish-nut-driver</v>
      </c>
      <c r="C2462" t="s">
        <v>1914</v>
      </c>
      <c r="D2462" t="s">
        <v>1915</v>
      </c>
      <c r="E2462" s="3" t="str">
        <f>HYPERLINK("https://www.amazon.com/Wiha-Tools-Softfinish-Insulated-817-32278/dp/B00462C2Q8/ref=sr_1_5?keywords=Wiha+Tools+32267+5%2F16%22+Insulated+SoftFinish+Nut+Driver&amp;qid=1695173967&amp;sr=8-5", "https://www.amazon.com/Wiha-Tools-Softfinish-Insulated-817-32278/dp/B00462C2Q8/ref=sr_1_5?keywords=Wiha+Tools+32267+5%2F16%22+Insulated+SoftFinish+Nut+Driver&amp;qid=1695173967&amp;sr=8-5")</f>
        <v>https://www.amazon.com/Wiha-Tools-Softfinish-Insulated-817-32278/dp/B00462C2Q8/ref=sr_1_5?keywords=Wiha+Tools+32267+5%2F16%22+Insulated+SoftFinish+Nut+Driver&amp;qid=1695173967&amp;sr=8-5</v>
      </c>
      <c r="F2462" t="s">
        <v>1916</v>
      </c>
      <c r="G2462" t="e">
        <f ca="1">_xludf.IMAGE("https://edmondsonsupply.com/cdn/shop/files/rciu0sq7tzs63xknaigt_1000x_e86d418b-6e53-4045-8f98-eeef581842a3.webp?v=1690929607")</f>
        <v>#NAME?</v>
      </c>
      <c r="H2462" t="e">
        <f ca="1">_xludf.IMAGE("https://m.media-amazon.com/images/I/21iQCrsshfL._AC_UL320_.jpg")</f>
        <v>#NAME?</v>
      </c>
      <c r="I2462" t="s">
        <v>1917</v>
      </c>
      <c r="J2462">
        <v>35.799999999999997</v>
      </c>
      <c r="K2462" s="4">
        <v>2.0034000000000001</v>
      </c>
      <c r="L2462">
        <v>5</v>
      </c>
      <c r="M2462">
        <v>2</v>
      </c>
      <c r="O2462" t="s">
        <v>25</v>
      </c>
      <c r="P2462" t="s">
        <v>1918</v>
      </c>
      <c r="Q2462" t="s">
        <v>1919</v>
      </c>
    </row>
    <row r="2463" spans="1:17" ht="15.5" x14ac:dyDescent="0.35">
      <c r="A2463" s="3" t="str">
        <f>HYPERLINK("https://edmondsonsupply.com/collections/electricians-tools/products/klein-tools-mag2-magnetizer-demagnetizer", "https://edmondsonsupply.com/collections/electricians-tools/products/klein-tools-mag2-magnetizer-demagnetizer")</f>
        <v>https://edmondsonsupply.com/collections/electricians-tools/products/klein-tools-mag2-magnetizer-demagnetizer</v>
      </c>
      <c r="B2463" s="3" t="str">
        <f>HYPERLINK("https://edmondsonsupply.com/products/klein-tools-mag2-magnetizer-demagnetizer", "https://edmondsonsupply.com/products/klein-tools-mag2-magnetizer-demagnetizer")</f>
        <v>https://edmondsonsupply.com/products/klein-tools-mag2-magnetizer-demagnetizer</v>
      </c>
      <c r="C2463" t="s">
        <v>1520</v>
      </c>
      <c r="D2463" t="s">
        <v>1922</v>
      </c>
      <c r="E2463" s="3" t="str">
        <f>HYPERLINK("https://www.amazon.com/Klein-Tools-Demagnetizer-Screwdriver-MagnetKlein/dp/B0BSKR7CQX/ref=sr_1_4?keywords=Klein+Tools+MAG2+Magnetizer+%2F+Demagnetizer&amp;qid=1695173850&amp;sr=8-4", "https://www.amazon.com/Klein-Tools-Demagnetizer-Screwdriver-MagnetKlein/dp/B0BSKR7CQX/ref=sr_1_4?keywords=Klein+Tools+MAG2+Magnetizer+%2F+Demagnetizer&amp;qid=1695173850&amp;sr=8-4")</f>
        <v>https://www.amazon.com/Klein-Tools-Demagnetizer-Screwdriver-MagnetKlein/dp/B0BSKR7CQX/ref=sr_1_4?keywords=Klein+Tools+MAG2+Magnetizer+%2F+Demagnetizer&amp;qid=1695173850&amp;sr=8-4</v>
      </c>
      <c r="F2463" t="s">
        <v>1923</v>
      </c>
      <c r="G2463" t="e">
        <f ca="1">_xludf.IMAGE("https://edmondsonsupply.com/cdn/shop/products/mag2.jpg?v=1587145008")</f>
        <v>#NAME?</v>
      </c>
      <c r="H2463" t="e">
        <f ca="1">_xludf.IMAGE("https://m.media-amazon.com/images/I/415MdIpH5SL._AC_UL320_.jpg")</f>
        <v>#NAME?</v>
      </c>
      <c r="I2463" t="s">
        <v>1427</v>
      </c>
      <c r="J2463">
        <v>29.94</v>
      </c>
      <c r="K2463" s="4">
        <v>2.0030000000000001</v>
      </c>
      <c r="L2463">
        <v>5</v>
      </c>
      <c r="M2463">
        <v>2</v>
      </c>
      <c r="O2463" t="s">
        <v>25</v>
      </c>
      <c r="P2463" t="s">
        <v>1523</v>
      </c>
      <c r="Q2463" t="s">
        <v>1524</v>
      </c>
    </row>
    <row r="2464" spans="1:17" ht="15.5" x14ac:dyDescent="0.35">
      <c r="A2464"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2464" s="3" t="str">
        <f>HYPERLINK("https://edmondsonsupply.com/products/klein-tools-935dag-digital-angle-gauge-and-level", "https://edmondsonsupply.com/products/klein-tools-935dag-digital-angle-gauge-and-level")</f>
        <v>https://edmondsonsupply.com/products/klein-tools-935dag-digital-angle-gauge-and-level</v>
      </c>
      <c r="C2464" t="s">
        <v>1924</v>
      </c>
      <c r="D2464" t="s">
        <v>1925</v>
      </c>
      <c r="E2464" s="3" t="str">
        <f>HYPERLINK("https://www.amazon.com/Klein-Tools-935DAGL-Electronic-Measures/dp/B0BNL46JTV/ref=sr_1_7?keywords=Klein+Tools+935DAG+Digital+Angle+Gauge+and+Level&amp;qid=1695173893&amp;sr=8-7", "https://www.amazon.com/Klein-Tools-935DAGL-Electronic-Measures/dp/B0BNL46JTV/ref=sr_1_7?keywords=Klein+Tools+935DAG+Digital+Angle+Gauge+and+Level&amp;qid=1695173893&amp;sr=8-7")</f>
        <v>https://www.amazon.com/Klein-Tools-935DAGL-Electronic-Measures/dp/B0BNL46JTV/ref=sr_1_7?keywords=Klein+Tools+935DAG+Digital+Angle+Gauge+and+Level&amp;qid=1695173893&amp;sr=8-7</v>
      </c>
      <c r="F2464" t="s">
        <v>1926</v>
      </c>
      <c r="G2464" t="e">
        <f ca="1">_xludf.IMAGE("https://edmondsonsupply.com/cdn/shop/products/935dag.jpg?v=1587145032")</f>
        <v>#NAME?</v>
      </c>
      <c r="H2464" t="e">
        <f ca="1">_xludf.IMAGE("https://m.media-amazon.com/images/I/518pZRTQawL._AC_UL320_.jpg")</f>
        <v>#NAME?</v>
      </c>
      <c r="I2464" t="s">
        <v>824</v>
      </c>
      <c r="J2464">
        <v>89.94</v>
      </c>
      <c r="K2464" s="4">
        <v>2.0009999999999999</v>
      </c>
      <c r="L2464">
        <v>4.7</v>
      </c>
      <c r="M2464">
        <v>5</v>
      </c>
      <c r="O2464" t="s">
        <v>25</v>
      </c>
      <c r="P2464" t="s">
        <v>73</v>
      </c>
      <c r="Q2464" t="s">
        <v>1927</v>
      </c>
    </row>
    <row r="2465" spans="1:17" ht="15.5" x14ac:dyDescent="0.35">
      <c r="A2465"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2465"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2465" t="s">
        <v>6146</v>
      </c>
      <c r="D2465" t="s">
        <v>6360</v>
      </c>
      <c r="E2465" s="3" t="str">
        <f>HYPERLINK("https://www.amazon.com/Klein-Tools-Insulated-Screwdriver-Interchangeable/dp/B0B56RT7PC/ref=sr_1_9?keywords=Klein+Tools+32288+8-in-1+Insulated+Interchangeable+Screwdriver+Set&amp;qid=1695173864&amp;sr=8-9", "https://www.amazon.com/Klein-Tools-Insulated-Screwdriver-Interchangeable/dp/B0B56RT7PC/ref=sr_1_9?keywords=Klein+Tools+32288+8-in-1+Insulated+Interchangeable+Screwdriver+Set&amp;qid=1695173864&amp;sr=8-9")</f>
        <v>https://www.amazon.com/Klein-Tools-Insulated-Screwdriver-Interchangeable/dp/B0B56RT7PC/ref=sr_1_9?keywords=Klein+Tools+32288+8-in-1+Insulated+Interchangeable+Screwdriver+Set&amp;qid=1695173864&amp;sr=8-9</v>
      </c>
      <c r="F2465" t="s">
        <v>6361</v>
      </c>
      <c r="G2465" t="e">
        <f ca="1">_xludf.IMAGE("https://edmondsonsupply.com/cdn/shop/products/32288.jpg?v=1587146849")</f>
        <v>#NAME?</v>
      </c>
      <c r="H2465" t="e">
        <f ca="1">_xludf.IMAGE("https://m.media-amazon.com/images/I/51AO210bApL._AC_UL320_.jpg")</f>
        <v>#NAME?</v>
      </c>
      <c r="I2465" t="s">
        <v>1931</v>
      </c>
      <c r="J2465">
        <v>149.97999999999999</v>
      </c>
      <c r="K2465" s="4">
        <v>2.0002</v>
      </c>
      <c r="L2465">
        <v>4.9000000000000004</v>
      </c>
      <c r="M2465">
        <v>11</v>
      </c>
      <c r="O2465" t="s">
        <v>25</v>
      </c>
      <c r="P2465" t="s">
        <v>1114</v>
      </c>
      <c r="Q2465" t="s">
        <v>6149</v>
      </c>
    </row>
    <row r="2466" spans="1:17" ht="15.5" x14ac:dyDescent="0.35">
      <c r="A2466" s="3" t="str">
        <f>HYPERLINK("https://edmondsonsupply.com/collections/electricians-tools/products/klein-tools-33736ins", "https://edmondsonsupply.com/collections/electricians-tools/products/klein-tools-33736ins")</f>
        <v>https://edmondsonsupply.com/collections/electricians-tools/products/klein-tools-33736ins</v>
      </c>
      <c r="B2466" s="3" t="str">
        <f>HYPERLINK("https://edmondsonsupply.com/products/klein-tools-33736ins", "https://edmondsonsupply.com/products/klein-tools-33736ins")</f>
        <v>https://edmondsonsupply.com/products/klein-tools-33736ins</v>
      </c>
      <c r="C2466" t="s">
        <v>1928</v>
      </c>
      <c r="D2466" t="s">
        <v>1929</v>
      </c>
      <c r="E2466" s="3" t="str">
        <f>HYPERLINK("https://www.amazon.com/Klein-Tools-Insulated-Screwdriver-33736INS/dp/B0B68LYZC5/ref=sr_1_8?keywords=Klein+Tools+33736INS+Screwdriver+Set%2C+1000V+Slim-Tip+Insulated+and+Magnetizer%2C+6-Piece&amp;qid=1695173911&amp;sr=8-8", "https://www.amazon.com/Klein-Tools-Insulated-Screwdriver-33736INS/dp/B0B68LYZC5/ref=sr_1_8?keywords=Klein+Tools+33736INS+Screwdriver+Set%2C+1000V+Slim-Tip+Insulated+and+Magnetizer%2C+6-Piece&amp;qid=1695173911&amp;sr=8-8")</f>
        <v>https://www.amazon.com/Klein-Tools-Insulated-Screwdriver-33736INS/dp/B0B68LYZC5/ref=sr_1_8?keywords=Klein+Tools+33736INS+Screwdriver+Set%2C+1000V+Slim-Tip+Insulated+and+Magnetizer%2C+6-Piece&amp;qid=1695173911&amp;sr=8-8</v>
      </c>
      <c r="F2466" t="s">
        <v>1930</v>
      </c>
      <c r="G2466" t="e">
        <f ca="1">_xludf.IMAGE("https://edmondsonsupply.com/cdn/shop/products/33736ins.jpg?v=1664807705")</f>
        <v>#NAME?</v>
      </c>
      <c r="H2466" t="e">
        <f ca="1">_xludf.IMAGE("https://m.media-amazon.com/images/I/51pS8BxuJGL._AC_UL320_.jpg")</f>
        <v>#NAME?</v>
      </c>
      <c r="I2466" t="s">
        <v>1931</v>
      </c>
      <c r="J2466">
        <v>149.97999999999999</v>
      </c>
      <c r="K2466" s="4">
        <v>2.0002</v>
      </c>
      <c r="L2466">
        <v>4.9000000000000004</v>
      </c>
      <c r="M2466">
        <v>11</v>
      </c>
      <c r="O2466" t="s">
        <v>25</v>
      </c>
      <c r="P2466" t="s">
        <v>1932</v>
      </c>
      <c r="Q2466" t="s">
        <v>1933</v>
      </c>
    </row>
    <row r="2467" spans="1:17" ht="15.5" x14ac:dyDescent="0.35">
      <c r="A2467"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2467" s="3" t="str">
        <f>HYPERLINK("https://edmondsonsupply.com/products/klein-tools-vdv500-123-probe-pro-tracing-probe", "https://edmondsonsupply.com/products/klein-tools-vdv500-123-probe-pro-tracing-probe")</f>
        <v>https://edmondsonsupply.com/products/klein-tools-vdv500-123-probe-pro-tracing-probe</v>
      </c>
      <c r="C2467" t="s">
        <v>6065</v>
      </c>
      <c r="D2467" t="s">
        <v>6362</v>
      </c>
      <c r="E2467" s="3" t="str">
        <f>HYPERLINK("https://www.amazon.com/Klein-Tools-VDV501-851-Replaceable-Non-Metallic/dp/B09H38G69B/ref=sr_1_3?keywords=Klein+Tools+VDV500-123+Probe-PRO+Tracing+Probe&amp;qid=1695173898&amp;sr=8-3", "https://www.amazon.com/Klein-Tools-VDV501-851-Replaceable-Non-Metallic/dp/B09H38G69B/ref=sr_1_3?keywords=Klein+Tools+VDV500-123+Probe-PRO+Tracing+Probe&amp;qid=1695173898&amp;sr=8-3")</f>
        <v>https://www.amazon.com/Klein-Tools-VDV501-851-Replaceable-Non-Metallic/dp/B09H38G69B/ref=sr_1_3?keywords=Klein+Tools+VDV500-123+Probe-PRO+Tracing+Probe&amp;qid=1695173898&amp;sr=8-3</v>
      </c>
      <c r="F2467" t="s">
        <v>6363</v>
      </c>
      <c r="G2467" t="e">
        <f ca="1">_xludf.IMAGE("https://edmondsonsupply.com/cdn/shop/products/vdv500123.jpg?v=1587142783")</f>
        <v>#NAME?</v>
      </c>
      <c r="H2467" t="e">
        <f ca="1">_xludf.IMAGE("https://m.media-amazon.com/images/I/51xMoR99Q8L._AC_UY218_.jpg")</f>
        <v>#NAME?</v>
      </c>
      <c r="I2467" t="s">
        <v>946</v>
      </c>
      <c r="J2467">
        <v>134.96</v>
      </c>
      <c r="K2467" s="4">
        <v>1.9998</v>
      </c>
      <c r="L2467">
        <v>4.7</v>
      </c>
      <c r="M2467">
        <v>75</v>
      </c>
      <c r="O2467" t="s">
        <v>25</v>
      </c>
      <c r="P2467" t="s">
        <v>6068</v>
      </c>
      <c r="Q2467" t="s">
        <v>6069</v>
      </c>
    </row>
    <row r="2468" spans="1:17" ht="15.5" x14ac:dyDescent="0.35">
      <c r="A2468"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2468" s="3" t="str">
        <f>HYPERLINK("https://edmondsonsupply.com/products/klein-tools-rt110-receptacle-tester", "https://edmondsonsupply.com/products/klein-tools-rt110-receptacle-tester")</f>
        <v>https://edmondsonsupply.com/products/klein-tools-rt110-receptacle-tester</v>
      </c>
      <c r="C2468" t="s">
        <v>6021</v>
      </c>
      <c r="D2468" t="s">
        <v>3872</v>
      </c>
      <c r="E2468" s="3" t="str">
        <f>HYPERLINK("https://www.amazon.com/Klein-Tools-Receptacle-Standard-Electrical/dp/B0BC861K3W/ref=sr_1_7?keywords=Klein+Tools+RT110+Receptacle+Tester&amp;qid=1695174267&amp;sr=8-7", "https://www.amazon.com/Klein-Tools-Receptacle-Standard-Electrical/dp/B0BC861K3W/ref=sr_1_7?keywords=Klein+Tools+RT110+Receptacle+Tester&amp;qid=1695174267&amp;sr=8-7")</f>
        <v>https://www.amazon.com/Klein-Tools-Receptacle-Standard-Electrical/dp/B0BC861K3W/ref=sr_1_7?keywords=Klein+Tools+RT110+Receptacle+Tester&amp;qid=1695174267&amp;sr=8-7</v>
      </c>
      <c r="F2468" t="s">
        <v>3873</v>
      </c>
      <c r="G2468" t="e">
        <f ca="1">_xludf.IMAGE("https://edmondsonsupply.com/cdn/shop/products/rt110.jpg?v=1633031036")</f>
        <v>#NAME?</v>
      </c>
      <c r="H2468" t="e">
        <f ca="1">_xludf.IMAGE("https://m.media-amazon.com/images/I/5145pmsV9+L._AC_UL320_.jpg")</f>
        <v>#NAME?</v>
      </c>
      <c r="I2468" t="s">
        <v>1427</v>
      </c>
      <c r="J2468">
        <v>29.88</v>
      </c>
      <c r="K2468" s="4">
        <v>1.9970000000000001</v>
      </c>
      <c r="L2468">
        <v>4.5</v>
      </c>
      <c r="M2468">
        <v>14</v>
      </c>
      <c r="O2468" t="s">
        <v>25</v>
      </c>
      <c r="P2468" t="s">
        <v>6024</v>
      </c>
      <c r="Q2468" t="s">
        <v>6025</v>
      </c>
    </row>
    <row r="2469" spans="1:17" ht="15.5" x14ac:dyDescent="0.35">
      <c r="A2469" s="3" t="str">
        <f>HYPERLINK("https://edmondsonsupply.com/collections/electricians-tools/products/klein-tools-55580-tradesman-tumbler", "https://edmondsonsupply.com/collections/electricians-tools/products/klein-tools-55580-tradesman-tumbler")</f>
        <v>https://edmondsonsupply.com/collections/electricians-tools/products/klein-tools-55580-tradesman-tumbler</v>
      </c>
      <c r="B2469" s="3" t="str">
        <f>HYPERLINK("https://edmondsonsupply.com/products/klein-tools-55580-tradesman-tumbler", "https://edmondsonsupply.com/products/klein-tools-55580-tradesman-tumbler")</f>
        <v>https://edmondsonsupply.com/products/klein-tools-55580-tradesman-tumbler</v>
      </c>
      <c r="C2469" t="s">
        <v>1947</v>
      </c>
      <c r="D2469" t="s">
        <v>1948</v>
      </c>
      <c r="E2469" s="3" t="str">
        <f>HYPERLINK("https://www.amazon.com/Klein-Tools-Stainless-Insulated-Tradesmans/dp/B09P846GLG/ref=sr_1_3?keywords=Klein+Tools+55580+Tradesman+Tumbler&amp;qid=1695173884&amp;sr=8-3", "https://www.amazon.com/Klein-Tools-Stainless-Insulated-Tradesmans/dp/B09P846GLG/ref=sr_1_3?keywords=Klein+Tools+55580+Tradesman+Tumbler&amp;qid=1695173884&amp;sr=8-3")</f>
        <v>https://www.amazon.com/Klein-Tools-Stainless-Insulated-Tradesmans/dp/B09P846GLG/ref=sr_1_3?keywords=Klein+Tools+55580+Tradesman+Tumbler&amp;qid=1695173884&amp;sr=8-3</v>
      </c>
      <c r="F2469" t="s">
        <v>1949</v>
      </c>
      <c r="G2469" t="e">
        <f ca="1">_xludf.IMAGE("https://edmondsonsupply.com/cdn/shop/products/55580.jpg?v=1633030612")</f>
        <v>#NAME?</v>
      </c>
      <c r="H2469" t="e">
        <f ca="1">_xludf.IMAGE("https://m.media-amazon.com/images/I/51EpNPyb4WL._AC_UL320_.jpg")</f>
        <v>#NAME?</v>
      </c>
      <c r="I2469" t="s">
        <v>824</v>
      </c>
      <c r="J2469">
        <v>89.33</v>
      </c>
      <c r="K2469" s="4">
        <v>1.9805999999999999</v>
      </c>
      <c r="L2469">
        <v>4.7</v>
      </c>
      <c r="M2469">
        <v>33</v>
      </c>
      <c r="O2469" t="s">
        <v>25</v>
      </c>
      <c r="P2469" t="s">
        <v>562</v>
      </c>
      <c r="Q2469" t="s">
        <v>1950</v>
      </c>
    </row>
    <row r="2470" spans="1:17" ht="15.5" x14ac:dyDescent="0.35">
      <c r="A2470" s="3" t="str">
        <f>HYPERLINK("https://edmondsonsupply.com/collections/electricians-tools/products/milwaukee-48-03-3015-carbide-bit-spline-to-sds-plus-adapter", "https://edmondsonsupply.com/collections/electricians-tools/products/milwaukee-48-03-3015-carbide-bit-spline-to-sds-plus-adapter")</f>
        <v>https://edmondsonsupply.com/collections/electricians-tools/products/milwaukee-48-03-3015-carbide-bit-spline-to-sds-plus-adapter</v>
      </c>
      <c r="B2470" s="3" t="str">
        <f>HYPERLINK("https://edmondsonsupply.com/products/milwaukee-48-03-3015-carbide-bit-spline-to-sds-plus-adapter", "https://edmondsonsupply.com/products/milwaukee-48-03-3015-carbide-bit-spline-to-sds-plus-adapter")</f>
        <v>https://edmondsonsupply.com/products/milwaukee-48-03-3015-carbide-bit-spline-to-sds-plus-adapter</v>
      </c>
      <c r="C2470" t="s">
        <v>6364</v>
      </c>
      <c r="D2470" t="s">
        <v>6365</v>
      </c>
      <c r="E2470" s="3" t="str">
        <f>HYPERLINK("https://www.amazon.com/Milwaukee-48-03-3012-SDS-Max-Spline-Adapter/dp/B00I3PGEOA/ref=sr_1_2?keywords=Milwaukee+48-03-3015+Spline+to+SDS-Plus+Bit+Adapter&amp;qid=1695174101&amp;sr=8-2", "https://www.amazon.com/Milwaukee-48-03-3012-SDS-Max-Spline-Adapter/dp/B00I3PGEOA/ref=sr_1_2?keywords=Milwaukee+48-03-3015+Spline+to+SDS-Plus+Bit+Adapter&amp;qid=1695174101&amp;sr=8-2")</f>
        <v>https://www.amazon.com/Milwaukee-48-03-3012-SDS-Max-Spline-Adapter/dp/B00I3PGEOA/ref=sr_1_2?keywords=Milwaukee+48-03-3015+Spline+to+SDS-Plus+Bit+Adapter&amp;qid=1695174101&amp;sr=8-2</v>
      </c>
      <c r="F2470" t="s">
        <v>6366</v>
      </c>
      <c r="G2470" t="e">
        <f ca="1">_xludf.IMAGE("https://edmondsonsupply.com/cdn/shop/products/48-03-3010_1.webp?v=1674076699")</f>
        <v>#NAME?</v>
      </c>
      <c r="H2470" t="e">
        <f ca="1">_xludf.IMAGE("https://m.media-amazon.com/images/I/61QrQEYLIrL._AC_UL320_.jpg")</f>
        <v>#NAME?</v>
      </c>
      <c r="I2470" t="s">
        <v>6367</v>
      </c>
      <c r="J2470">
        <v>166.85</v>
      </c>
      <c r="K2470" s="4">
        <v>1.9557</v>
      </c>
      <c r="L2470">
        <v>4.5999999999999996</v>
      </c>
      <c r="M2470">
        <v>2</v>
      </c>
      <c r="O2470" t="s">
        <v>25</v>
      </c>
      <c r="P2470" t="s">
        <v>6368</v>
      </c>
      <c r="Q2470" t="s">
        <v>6369</v>
      </c>
    </row>
    <row r="2471" spans="1:17" ht="15.5" x14ac:dyDescent="0.35">
      <c r="A2471"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471" s="3" t="str">
        <f>HYPERLINK("https://edmondsonsupply.com/products/klein-tools-vdv427-300-impact-punchdown-tool-66-110-blade", "https://edmondsonsupply.com/products/klein-tools-vdv427-300-impact-punchdown-tool-66-110-blade")</f>
        <v>https://edmondsonsupply.com/products/klein-tools-vdv427-300-impact-punchdown-tool-66-110-blade</v>
      </c>
      <c r="C2471" t="s">
        <v>6289</v>
      </c>
      <c r="D2471" t="s">
        <v>6370</v>
      </c>
      <c r="E2471" s="3" t="str">
        <f>HYPERLINK("https://www.amazon.com/Klein-Tools-VDV500-820-Communications-VDV427-300/dp/B09Q66CDN4/ref=sr_1_5?keywords=Klein+Tools+VDV427-300+Impact+Punchdown+Tool%2C+66%2F110+Blade&amp;qid=1695174221&amp;sr=8-5", "https://www.amazon.com/Klein-Tools-VDV500-820-Communications-VDV427-300/dp/B09Q66CDN4/ref=sr_1_5?keywords=Klein+Tools+VDV427-300+Impact+Punchdown+Tool%2C+66%2F110+Blade&amp;qid=1695174221&amp;sr=8-5")</f>
        <v>https://www.amazon.com/Klein-Tools-VDV500-820-Communications-VDV427-300/dp/B09Q66CDN4/ref=sr_1_5?keywords=Klein+Tools+VDV427-300+Impact+Punchdown+Tool%2C+66%2F110+Blade&amp;qid=1695174221&amp;sr=8-5</v>
      </c>
      <c r="F2471" t="s">
        <v>6371</v>
      </c>
      <c r="G2471" t="e">
        <f ca="1">_xludf.IMAGE("https://edmondsonsupply.com/cdn/shop/products/vdv427300.jpg?v=1646010568")</f>
        <v>#NAME?</v>
      </c>
      <c r="H2471" t="e">
        <f ca="1">_xludf.IMAGE("https://m.media-amazon.com/images/I/519Gcl6PPEL._AC_UL320_.jpg")</f>
        <v>#NAME?</v>
      </c>
      <c r="I2471" t="s">
        <v>246</v>
      </c>
      <c r="J2471">
        <v>118.07</v>
      </c>
      <c r="K2471" s="4">
        <v>1.954</v>
      </c>
      <c r="L2471">
        <v>4.7</v>
      </c>
      <c r="M2471">
        <v>3</v>
      </c>
      <c r="O2471" t="s">
        <v>25</v>
      </c>
      <c r="P2471" t="s">
        <v>1027</v>
      </c>
      <c r="Q2471" t="s">
        <v>6292</v>
      </c>
    </row>
    <row r="2472" spans="1:17" ht="15.5" x14ac:dyDescent="0.35">
      <c r="A2472"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2472" s="3" t="str">
        <f>HYPERLINK("https://edmondsonsupply.com/products/klein-tools-88910-mini-tube-cutter", "https://edmondsonsupply.com/products/klein-tools-88910-mini-tube-cutter")</f>
        <v>https://edmondsonsupply.com/products/klein-tools-88910-mini-tube-cutter</v>
      </c>
      <c r="C2472" t="s">
        <v>6372</v>
      </c>
      <c r="D2472" t="s">
        <v>6373</v>
      </c>
      <c r="E2472" s="3" t="str">
        <f>HYPERLINK("https://www.amazon.com/Klein-Tools-Professiol-4-Roller-Tracking/dp/B0BHVPRYWJ/ref=sr_1_2?keywords=Klein+Tools+88910+Mini+Tube+Cutter&amp;qid=1695174232&amp;sr=8-2", "https://www.amazon.com/Klein-Tools-Professiol-4-Roller-Tracking/dp/B0BHVPRYWJ/ref=sr_1_2?keywords=Klein+Tools+88910+Mini+Tube+Cutter&amp;qid=1695174232&amp;sr=8-2")</f>
        <v>https://www.amazon.com/Klein-Tools-Professiol-4-Roller-Tracking/dp/B0BHVPRYWJ/ref=sr_1_2?keywords=Klein+Tools+88910+Mini+Tube+Cutter&amp;qid=1695174232&amp;sr=8-2</v>
      </c>
      <c r="F2472" t="s">
        <v>6374</v>
      </c>
      <c r="G2472" t="e">
        <f ca="1">_xludf.IMAGE("https://edmondsonsupply.com/cdn/shop/products/88910.jpg?v=1638577903")</f>
        <v>#NAME?</v>
      </c>
      <c r="H2472" t="e">
        <f ca="1">_xludf.IMAGE("https://m.media-amazon.com/images/I/41IGLJnFXYL._AC_UL320_.jpg")</f>
        <v>#NAME?</v>
      </c>
      <c r="I2472" t="s">
        <v>577</v>
      </c>
      <c r="J2472">
        <v>58.59</v>
      </c>
      <c r="K2472" s="4">
        <v>1.931</v>
      </c>
      <c r="L2472">
        <v>5</v>
      </c>
      <c r="M2472">
        <v>2</v>
      </c>
      <c r="O2472" t="s">
        <v>25</v>
      </c>
      <c r="P2472" t="s">
        <v>6375</v>
      </c>
      <c r="Q2472" t="s">
        <v>6376</v>
      </c>
    </row>
    <row r="2473" spans="1:17" ht="15.5" x14ac:dyDescent="0.35">
      <c r="A2473"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473" s="3" t="str">
        <f>HYPERLINK("https://edmondsonsupply.com/products/klein-tools-et45-ac-dc-voltage-tester", "https://edmondsonsupply.com/products/klein-tools-et45-ac-dc-voltage-tester")</f>
        <v>https://edmondsonsupply.com/products/klein-tools-et45-ac-dc-voltage-tester</v>
      </c>
      <c r="C2473" t="s">
        <v>6080</v>
      </c>
      <c r="D2473" t="s">
        <v>5459</v>
      </c>
      <c r="E2473" s="3" t="str">
        <f>HYPERLINK("https://www.amazon.com/Klein-Tools-NCVT3PKIT-Electrical-Non-Contact/dp/B08SY9XFJK/ref=sr_1_2?keywords=Klein+Tools+ET45+AC%2FDC+Voltage+Tester&amp;qid=1695174290&amp;sr=8-2", "https://www.amazon.com/Klein-Tools-NCVT3PKIT-Electrical-Non-Contact/dp/B08SY9XFJK/ref=sr_1_2?keywords=Klein+Tools+ET45+AC%2FDC+Voltage+Tester&amp;qid=1695174290&amp;sr=8-2")</f>
        <v>https://www.amazon.com/Klein-Tools-NCVT3PKIT-Electrical-Non-Contact/dp/B08SY9XFJK/ref=sr_1_2?keywords=Klein+Tools+ET45+AC%2FDC+Voltage+Tester&amp;qid=1695174290&amp;sr=8-2</v>
      </c>
      <c r="F2473" t="s">
        <v>5460</v>
      </c>
      <c r="G2473" t="e">
        <f ca="1">_xludf.IMAGE("https://edmondsonsupply.com/cdn/shop/products/et45.jpg?v=1647786270")</f>
        <v>#NAME?</v>
      </c>
      <c r="H2473" t="e">
        <f ca="1">_xludf.IMAGE("https://m.media-amazon.com/images/I/519yG6StX0L._AC_UL320_.jpg")</f>
        <v>#NAME?</v>
      </c>
      <c r="I2473" t="s">
        <v>2337</v>
      </c>
      <c r="J2473">
        <v>34.99</v>
      </c>
      <c r="K2473" s="4">
        <v>1.9182999999999999</v>
      </c>
      <c r="L2473">
        <v>4.7</v>
      </c>
      <c r="M2473">
        <v>4231</v>
      </c>
      <c r="O2473" t="s">
        <v>25</v>
      </c>
      <c r="P2473" t="s">
        <v>6083</v>
      </c>
      <c r="Q2473" t="s">
        <v>6084</v>
      </c>
    </row>
    <row r="2474" spans="1:17" ht="15.5" x14ac:dyDescent="0.35">
      <c r="A2474"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2474" s="3" t="str">
        <f>HYPERLINK("https://edmondsonsupply.com/products/klein-tools-31948-bi-metal-hole-saw-3-inch", "https://edmondsonsupply.com/products/klein-tools-31948-bi-metal-hole-saw-3-inch")</f>
        <v>https://edmondsonsupply.com/products/klein-tools-31948-bi-metal-hole-saw-3-inch</v>
      </c>
      <c r="C2474" t="s">
        <v>6377</v>
      </c>
      <c r="D2474" t="s">
        <v>6245</v>
      </c>
      <c r="E2474" s="3" t="str">
        <f>HYPERLINK("https://www.amazon.com/Bi-Metal-8-Inch-Klein-Tools-31900/dp/B0171X0FXU/ref=sr_1_9?keywords=Klein+Tools+31948+Bi-Metal+Hole+Saw%2C+3-Inch&amp;qid=1695174151&amp;sr=8-9", "https://www.amazon.com/Bi-Metal-8-Inch-Klein-Tools-31900/dp/B0171X0FXU/ref=sr_1_9?keywords=Klein+Tools+31948+Bi-Metal+Hole+Saw%2C+3-Inch&amp;qid=1695174151&amp;sr=8-9")</f>
        <v>https://www.amazon.com/Bi-Metal-8-Inch-Klein-Tools-31900/dp/B0171X0FXU/ref=sr_1_9?keywords=Klein+Tools+31948+Bi-Metal+Hole+Saw%2C+3-Inch&amp;qid=1695174151&amp;sr=8-9</v>
      </c>
      <c r="F2474" t="s">
        <v>6246</v>
      </c>
      <c r="G2474" t="e">
        <f ca="1">_xludf.IMAGE("https://edmondsonsupply.com/cdn/shop/products/31948.jpg?v=1663945105")</f>
        <v>#NAME?</v>
      </c>
      <c r="H2474" t="e">
        <f ca="1">_xludf.IMAGE("https://m.media-amazon.com/images/I/51mfU+Jrr7L._AC_UL320_.jpg")</f>
        <v>#NAME?</v>
      </c>
      <c r="I2474" t="s">
        <v>276</v>
      </c>
      <c r="J2474">
        <v>43.49</v>
      </c>
      <c r="K2474" s="4">
        <v>1.9013</v>
      </c>
      <c r="L2474">
        <v>4.5</v>
      </c>
      <c r="M2474">
        <v>211</v>
      </c>
      <c r="O2474" t="s">
        <v>25</v>
      </c>
      <c r="P2474" t="s">
        <v>6378</v>
      </c>
      <c r="Q2474" t="s">
        <v>6379</v>
      </c>
    </row>
    <row r="2475" spans="1:17" ht="15.5" x14ac:dyDescent="0.35">
      <c r="A2475" s="3" t="str">
        <f>HYPERLINK("https://edmondsonsupply.com/collections/electricians-tools/products/milwaukee-48-22-1500-fastback%E2%84%A2-compact-folding-utility-knife", "https://edmondsonsupply.com/collections/electricians-tools/products/milwaukee-48-22-1500-fastback%E2%84%A2-compact-folding-utility-knife")</f>
        <v>https://edmondsonsupply.com/collections/electricians-tools/products/milwaukee-48-22-1500-fastback%E2%84%A2-compact-folding-utility-knife</v>
      </c>
      <c r="B2475" s="3" t="str">
        <f>HYPERLINK("https://edmondsonsupply.com/products/milwaukee-48-22-1500-fastback%e2%84%a2-compact-folding-utility-knife", "https://edmondsonsupply.com/products/milwaukee-48-22-1500-fastback%e2%84%a2-compact-folding-utility-knife")</f>
        <v>https://edmondsonsupply.com/products/milwaukee-48-22-1500-fastback%e2%84%a2-compact-folding-utility-knife</v>
      </c>
      <c r="C2475" t="s">
        <v>1941</v>
      </c>
      <c r="D2475" t="s">
        <v>1942</v>
      </c>
      <c r="E2475" s="3" t="str">
        <f>HYPERLINK("https://www.amazon.com/Milwaukee-48-22-1505-FastbackTM-Folding-Utility/dp/B0C69TGH9K/ref=sr_1_4?keywords=Milwaukee+48-22-1500+FASTBACK%E2%84%A2+Compact+Folding+Utility+Knife&amp;qid=1695173917&amp;sr=8-4", "https://www.amazon.com/Milwaukee-48-22-1505-FastbackTM-Folding-Utility/dp/B0C69TGH9K/ref=sr_1_4?keywords=Milwaukee+48-22-1500+FASTBACK%E2%84%A2+Compact+Folding+Utility+Knife&amp;qid=1695173917&amp;sr=8-4")</f>
        <v>https://www.amazon.com/Milwaukee-48-22-1505-FastbackTM-Folding-Utility/dp/B0C69TGH9K/ref=sr_1_4?keywords=Milwaukee+48-22-1500+FASTBACK%E2%84%A2+Compact+Folding+Utility+Knife&amp;qid=1695173917&amp;sr=8-4</v>
      </c>
      <c r="F2475" t="s">
        <v>1943</v>
      </c>
      <c r="G2475" t="e">
        <f ca="1">_xludf.IMAGE("https://edmondsonsupply.com/cdn/shop/products/48-22-1500_3.png?v=1587142474")</f>
        <v>#NAME?</v>
      </c>
      <c r="H2475" t="e">
        <f ca="1">_xludf.IMAGE("https://m.media-amazon.com/images/I/41ZUsUsHByL._AC_UL320_.jpg")</f>
        <v>#NAME?</v>
      </c>
      <c r="I2475" t="s">
        <v>1944</v>
      </c>
      <c r="J2475">
        <v>26</v>
      </c>
      <c r="K2475" s="4">
        <v>1.8986000000000001</v>
      </c>
      <c r="L2475">
        <v>4.7</v>
      </c>
      <c r="M2475">
        <v>4</v>
      </c>
      <c r="O2475" t="s">
        <v>25</v>
      </c>
      <c r="P2475" t="s">
        <v>1945</v>
      </c>
      <c r="Q2475" t="s">
        <v>1946</v>
      </c>
    </row>
    <row r="2476" spans="1:17" ht="15.5" x14ac:dyDescent="0.35">
      <c r="A2476" s="3" t="str">
        <f>HYPERLINK("https://edmondsonsupply.com/collections/electricians-tools/products/milwaukee-49-56-0032-7-8-hole-dozer%E2%84%A2-hole-saw-bi-metal-cup", "https://edmondsonsupply.com/collections/electricians-tools/products/milwaukee-49-56-0032-7-8-hole-dozer%E2%84%A2-hole-saw-bi-metal-cup")</f>
        <v>https://edmondsonsupply.com/collections/electricians-tools/products/milwaukee-49-56-0032-7-8-hole-dozer%E2%84%A2-hole-saw-bi-metal-cup</v>
      </c>
      <c r="B2476" s="3" t="str">
        <f>HYPERLINK("https://edmondsonsupply.com/products/milwaukee-49-56-0032-7-8-hole-dozer%e2%84%a2-hole-saw-bi-metal-cup", "https://edmondsonsupply.com/products/milwaukee-49-56-0032-7-8-hole-dozer%e2%84%a2-hole-saw-bi-metal-cup")</f>
        <v>https://edmondsonsupply.com/products/milwaukee-49-56-0032-7-8-hole-dozer%e2%84%a2-hole-saw-bi-metal-cup</v>
      </c>
      <c r="C2476" t="s">
        <v>6380</v>
      </c>
      <c r="D2476" t="s">
        <v>6381</v>
      </c>
      <c r="E2476" s="3" t="str">
        <f>HYPERLINK("https://www.amazon.com/Milwaukee-49-56-0167-8-Inch-Hardened-Hole/dp/B0017WOBBO/ref=sr_1_3?keywords=Milwaukee+49-56-0032+7%2F8%22+HOLE+DOZER%E2%84%A2+Hole+Saw+Bi-Metal+Cup&amp;qid=1695174046&amp;sr=8-3", "https://www.amazon.com/Milwaukee-49-56-0167-8-Inch-Hardened-Hole/dp/B0017WOBBO/ref=sr_1_3?keywords=Milwaukee+49-56-0032+7%2F8%22+HOLE+DOZER%E2%84%A2+Hole+Saw+Bi-Metal+Cup&amp;qid=1695174046&amp;sr=8-3")</f>
        <v>https://www.amazon.com/Milwaukee-49-56-0167-8-Inch-Hardened-Hole/dp/B0017WOBBO/ref=sr_1_3?keywords=Milwaukee+49-56-0032+7%2F8%22+HOLE+DOZER%E2%84%A2+Hole+Saw+Bi-Metal+Cup&amp;qid=1695174046&amp;sr=8-3</v>
      </c>
      <c r="F2476" t="s">
        <v>6382</v>
      </c>
      <c r="G2476" t="e">
        <f ca="1">_xludf.IMAGE("https://edmondsonsupply.com/cdn/shop/products/49-56-0052_101_2_e2853eae-f06d-4487-a2f1-f6b9c315f028.webp?v=1679419818")</f>
        <v>#NAME?</v>
      </c>
      <c r="H2476" t="e">
        <f ca="1">_xludf.IMAGE("https://m.media-amazon.com/images/I/61csZT8rVjL._AC_UL320_.jpg")</f>
        <v>#NAME?</v>
      </c>
      <c r="I2476" t="s">
        <v>6383</v>
      </c>
      <c r="J2476">
        <v>17.46</v>
      </c>
      <c r="K2476" s="4">
        <v>1.8859999999999999</v>
      </c>
      <c r="L2476">
        <v>4.8</v>
      </c>
      <c r="M2476">
        <v>101</v>
      </c>
      <c r="O2476" t="s">
        <v>25</v>
      </c>
      <c r="P2476" t="s">
        <v>6384</v>
      </c>
      <c r="Q2476" t="s">
        <v>6385</v>
      </c>
    </row>
    <row r="2477" spans="1:17" ht="15.5" x14ac:dyDescent="0.35">
      <c r="A2477"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2477"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2477" t="s">
        <v>6355</v>
      </c>
      <c r="D2477" t="s">
        <v>6252</v>
      </c>
      <c r="E2477" s="3" t="str">
        <f>HYPERLINK("https://www.amazon.com/Klein-Tools-JTH6E09BE-Ball-End-Journeyman/dp/B0CGLVC75M/ref=sr_1_7?keywords=Klein+Tools+JTH6E06BE+3%2F32-Inch+Ball+End+Hex+Key+with+T-Handle%2C+6-Inch&amp;qid=1695174255&amp;sr=8-7", "https://www.amazon.com/Klein-Tools-JTH6E09BE-Ball-End-Journeyman/dp/B0CGLVC75M/ref=sr_1_7?keywords=Klein+Tools+JTH6E06BE+3%2F32-Inch+Ball+End+Hex+Key+with+T-Handle%2C+6-Inch&amp;qid=1695174255&amp;sr=8-7")</f>
        <v>https://www.amazon.com/Klein-Tools-JTH6E09BE-Ball-End-Journeyman/dp/B0CGLVC75M/ref=sr_1_7?keywords=Klein+Tools+JTH6E06BE+3%2F32-Inch+Ball+End+Hex+Key+with+T-Handle%2C+6-Inch&amp;qid=1695174255&amp;sr=8-7</v>
      </c>
      <c r="F2477" t="s">
        <v>6253</v>
      </c>
      <c r="G2477" t="e">
        <f ca="1">_xludf.IMAGE("https://edmondsonsupply.com/cdn/shop/products/jth6e13be_f61308c8-99eb-44df-aac2-25c9159d6b6d.jpg?v=1633031148")</f>
        <v>#NAME?</v>
      </c>
      <c r="H2477" t="e">
        <f ca="1">_xludf.IMAGE("https://m.media-amazon.com/images/I/41bN+I19ReL._AC_UL320_.jpg")</f>
        <v>#NAME?</v>
      </c>
      <c r="I2477" t="s">
        <v>2388</v>
      </c>
      <c r="J2477">
        <v>14.36</v>
      </c>
      <c r="K2477" s="4">
        <v>1.8777999999999999</v>
      </c>
      <c r="L2477">
        <v>4.9000000000000004</v>
      </c>
      <c r="M2477">
        <v>65</v>
      </c>
      <c r="O2477" t="s">
        <v>25</v>
      </c>
      <c r="P2477" t="s">
        <v>6356</v>
      </c>
      <c r="Q2477" t="s">
        <v>6357</v>
      </c>
    </row>
    <row r="2478" spans="1:17" ht="15.5" x14ac:dyDescent="0.35">
      <c r="A2478"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2478" s="3" t="str">
        <f>HYPERLINK("https://edmondsonsupply.com/products/klein-tools-rt110-receptacle-tester", "https://edmondsonsupply.com/products/klein-tools-rt110-receptacle-tester")</f>
        <v>https://edmondsonsupply.com/products/klein-tools-rt110-receptacle-tester</v>
      </c>
      <c r="C2478" t="s">
        <v>6021</v>
      </c>
      <c r="D2478" t="s">
        <v>6386</v>
      </c>
      <c r="E2478" s="3" t="str">
        <f>HYPERLINK("https://www.amazon.com/Klein-Tools-Flashing-Electrical-Receptacle/dp/B0BRM9Q8SF/ref=sr_1_2?keywords=Klein+Tools+RT110+Receptacle+Tester&amp;qid=1695174267&amp;sr=8-2", "https://www.amazon.com/Klein-Tools-Flashing-Electrical-Receptacle/dp/B0BRM9Q8SF/ref=sr_1_2?keywords=Klein+Tools+RT110+Receptacle+Tester&amp;qid=1695174267&amp;sr=8-2")</f>
        <v>https://www.amazon.com/Klein-Tools-Flashing-Electrical-Receptacle/dp/B0BRM9Q8SF/ref=sr_1_2?keywords=Klein+Tools+RT110+Receptacle+Tester&amp;qid=1695174267&amp;sr=8-2</v>
      </c>
      <c r="F2478" t="s">
        <v>6387</v>
      </c>
      <c r="G2478" t="e">
        <f ca="1">_xludf.IMAGE("https://edmondsonsupply.com/cdn/shop/products/rt110.jpg?v=1633031036")</f>
        <v>#NAME?</v>
      </c>
      <c r="H2478" t="e">
        <f ca="1">_xludf.IMAGE("https://m.media-amazon.com/images/I/41xqNIeskEL._AC_UL320_.jpg")</f>
        <v>#NAME?</v>
      </c>
      <c r="I2478" t="s">
        <v>1427</v>
      </c>
      <c r="J2478">
        <v>28.69</v>
      </c>
      <c r="K2478" s="4">
        <v>1.8775999999999999</v>
      </c>
      <c r="L2478">
        <v>5</v>
      </c>
      <c r="M2478">
        <v>2</v>
      </c>
      <c r="O2478" t="s">
        <v>25</v>
      </c>
      <c r="P2478" t="s">
        <v>6024</v>
      </c>
      <c r="Q2478" t="s">
        <v>6025</v>
      </c>
    </row>
    <row r="2479" spans="1:17" ht="15.5" x14ac:dyDescent="0.35">
      <c r="A2479"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2479" s="3" t="str">
        <f>HYPERLINK("https://edmondsonsupply.com/products/klein-tools-65200-electricians-mini-ratchet-set-5-piece", "https://edmondsonsupply.com/products/klein-tools-65200-electricians-mini-ratchet-set-5-piece")</f>
        <v>https://edmondsonsupply.com/products/klein-tools-65200-electricians-mini-ratchet-set-5-piece</v>
      </c>
      <c r="C2479" t="s">
        <v>140</v>
      </c>
      <c r="D2479" t="s">
        <v>163</v>
      </c>
      <c r="E2479" s="3" t="str">
        <f>HYPERLINK("https://www.amazon.com/Klein-Tools-Precision-Screwdriver-Phillips/dp/B0BK4M6YR9/ref=sr_1_6?keywords=Klein+Tools+65200+Slim-Profile+Mini+Ratchet+Set%2C+5-Piece&amp;qid=1695173845&amp;sr=8-6", "https://www.amazon.com/Klein-Tools-Precision-Screwdriver-Phillips/dp/B0BK4M6YR9/ref=sr_1_6?keywords=Klein+Tools+65200+Slim-Profile+Mini+Ratchet+Set%2C+5-Piece&amp;qid=1695173845&amp;sr=8-6")</f>
        <v>https://www.amazon.com/Klein-Tools-Precision-Screwdriver-Phillips/dp/B0BK4M6YR9/ref=sr_1_6?keywords=Klein+Tools+65200+Slim-Profile+Mini+Ratchet+Set%2C+5-Piece&amp;qid=1695173845&amp;sr=8-6</v>
      </c>
      <c r="F2479" t="s">
        <v>164</v>
      </c>
      <c r="G2479" t="e">
        <f ca="1">_xludf.IMAGE("https://edmondsonsupply.com/cdn/shop/products/65200.jpg?v=1633030630")</f>
        <v>#NAME?</v>
      </c>
      <c r="H2479" t="e">
        <f ca="1">_xludf.IMAGE("https://m.media-amazon.com/images/I/51dEfrYf+TL._AC_UL320_.jpg")</f>
        <v>#NAME?</v>
      </c>
      <c r="I2479" t="s">
        <v>143</v>
      </c>
      <c r="J2479">
        <v>45.93</v>
      </c>
      <c r="K2479" s="4">
        <v>1.8759999999999999</v>
      </c>
      <c r="L2479">
        <v>5</v>
      </c>
      <c r="M2479">
        <v>5</v>
      </c>
      <c r="O2479" t="s">
        <v>25</v>
      </c>
      <c r="P2479" t="s">
        <v>144</v>
      </c>
      <c r="Q2479" t="s">
        <v>145</v>
      </c>
    </row>
    <row r="2480" spans="1:17" ht="15.5" x14ac:dyDescent="0.35">
      <c r="A2480" s="3" t="str">
        <f>HYPERLINK("https://edmondsonsupply.com/collections/electricians-tools/products/klein-tools-ktsb03-step-drill-bit-double-fluted-3-1-4-to-3-4-inch", "https://edmondsonsupply.com/collections/electricians-tools/products/klein-tools-ktsb03-step-drill-bit-double-fluted-3-1-4-to-3-4-inch")</f>
        <v>https://edmondsonsupply.com/collections/electricians-tools/products/klein-tools-ktsb03-step-drill-bit-double-fluted-3-1-4-to-3-4-inch</v>
      </c>
      <c r="B2480" s="3" t="str">
        <f>HYPERLINK("https://edmondsonsupply.com/products/klein-tools-ktsb03-step-drill-bit-double-fluted-3-1-4-to-3-4-inch", "https://edmondsonsupply.com/products/klein-tools-ktsb03-step-drill-bit-double-fluted-3-1-4-to-3-4-inch")</f>
        <v>https://edmondsonsupply.com/products/klein-tools-ktsb03-step-drill-bit-double-fluted-3-1-4-to-3-4-inch</v>
      </c>
      <c r="C2480" t="s">
        <v>1978</v>
      </c>
      <c r="D2480" t="s">
        <v>1979</v>
      </c>
      <c r="E2480" s="3" t="str">
        <f>HYPERLINK("https://www.amazon.com/Klein-Tools-25951-Electricians-Titanium/dp/B0BLFRJLDX/ref=sr_1_2?keywords=Klein+Tools+KTSB03+Step+Drill+Bit+Double+Fluted&amp;qid=1695173948&amp;sr=8-2", "https://www.amazon.com/Klein-Tools-25951-Electricians-Titanium/dp/B0BLFRJLDX/ref=sr_1_2?keywords=Klein+Tools+KTSB03+Step+Drill+Bit+Double+Fluted&amp;qid=1695173948&amp;sr=8-2")</f>
        <v>https://www.amazon.com/Klein-Tools-25951-Electricians-Titanium/dp/B0BLFRJLDX/ref=sr_1_2?keywords=Klein+Tools+KTSB03+Step+Drill+Bit+Double+Fluted&amp;qid=1695173948&amp;sr=8-2</v>
      </c>
      <c r="F2480" t="s">
        <v>1980</v>
      </c>
      <c r="G2480" t="e">
        <f ca="1">_xludf.IMAGE("https://edmondsonsupply.com/cdn/shop/products/ktsb03.jpg?v=1666012212")</f>
        <v>#NAME?</v>
      </c>
      <c r="H2480" t="e">
        <f ca="1">_xludf.IMAGE("https://m.media-amazon.com/images/I/61dZd3WvlgL._AC_UY218_.jpg")</f>
        <v>#NAME?</v>
      </c>
      <c r="I2480" t="s">
        <v>571</v>
      </c>
      <c r="J2480">
        <v>99.99</v>
      </c>
      <c r="K2480" s="4">
        <v>1.8576999999999999</v>
      </c>
      <c r="L2480">
        <v>3.8</v>
      </c>
      <c r="M2480">
        <v>6</v>
      </c>
      <c r="O2480" t="s">
        <v>25</v>
      </c>
      <c r="P2480" t="s">
        <v>1981</v>
      </c>
      <c r="Q2480" t="s">
        <v>1982</v>
      </c>
    </row>
    <row r="2481" spans="1:17" ht="15.5" x14ac:dyDescent="0.35">
      <c r="A2481"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2481" s="3" t="str">
        <f>HYPERLINK("https://edmondsonsupply.com/products/klein-tools-60345-hard-hat-earmuffs-full-brim-style", "https://edmondsonsupply.com/products/klein-tools-60345-hard-hat-earmuffs-full-brim-style")</f>
        <v>https://edmondsonsupply.com/products/klein-tools-60345-hard-hat-earmuffs-full-brim-style</v>
      </c>
      <c r="C2481" t="s">
        <v>868</v>
      </c>
      <c r="D2481" t="s">
        <v>869</v>
      </c>
      <c r="E2481" s="3" t="str">
        <f>HYPERLINK("https://www.amazon.com/Klein-Tools-Rechargeable-Headlamp-Earmuffs/dp/B0C1PYTDR6/ref=sr_1_2?keywords=Klein+Tools+60502+Hard+Hat+Earmuffs%2C+Full+Brim+Style&amp;qid=1695174082&amp;sr=8-2", "https://www.amazon.com/Klein-Tools-Rechargeable-Headlamp-Earmuffs/dp/B0C1PYTDR6/ref=sr_1_2?keywords=Klein+Tools+60502+Hard+Hat+Earmuffs%2C+Full+Brim+Style&amp;qid=1695174082&amp;sr=8-2")</f>
        <v>https://www.amazon.com/Klein-Tools-Rechargeable-Headlamp-Earmuffs/dp/B0C1PYTDR6/ref=sr_1_2?keywords=Klein+Tools+60502+Hard+Hat+Earmuffs%2C+Full+Brim+Style&amp;qid=1695174082&amp;sr=8-2</v>
      </c>
      <c r="F2481" t="s">
        <v>870</v>
      </c>
      <c r="G2481" t="e">
        <f ca="1">_xludf.IMAGE("https://edmondsonsupply.com/cdn/shop/products/60502.jpg?v=1674486730")</f>
        <v>#NAME?</v>
      </c>
      <c r="H2481" t="e">
        <f ca="1">_xludf.IMAGE("https://m.media-amazon.com/images/I/416L7EyyxQL._AC_UL320_.jpg")</f>
        <v>#NAME?</v>
      </c>
      <c r="I2481" t="s">
        <v>26</v>
      </c>
      <c r="J2481">
        <v>84.96</v>
      </c>
      <c r="K2481" s="4">
        <v>1.8329</v>
      </c>
      <c r="L2481">
        <v>5</v>
      </c>
      <c r="M2481">
        <v>1</v>
      </c>
      <c r="O2481" t="s">
        <v>25</v>
      </c>
      <c r="P2481" t="s">
        <v>562</v>
      </c>
      <c r="Q2481" t="s">
        <v>871</v>
      </c>
    </row>
    <row r="2482" spans="1:17" ht="15.5" x14ac:dyDescent="0.35">
      <c r="A2482" s="3" t="str">
        <f>HYPERLINK("https://edmondsonsupply.com/collections/electricians-tools/products/milwaukee-48-22-2930-4-in-1-precision-multi-bit-screwdriver", "https://edmondsonsupply.com/collections/electricians-tools/products/milwaukee-48-22-2930-4-in-1-precision-multi-bit-screwdriver")</f>
        <v>https://edmondsonsupply.com/collections/electricians-tools/products/milwaukee-48-22-2930-4-in-1-precision-multi-bit-screwdriver</v>
      </c>
      <c r="B2482" s="3" t="str">
        <f>HYPERLINK("https://edmondsonsupply.com/products/milwaukee-48-22-2930-4-in-1-precision-multi-bit-screwdriver", "https://edmondsonsupply.com/products/milwaukee-48-22-2930-4-in-1-precision-multi-bit-screwdriver")</f>
        <v>https://edmondsonsupply.com/products/milwaukee-48-22-2930-4-in-1-precision-multi-bit-screwdriver</v>
      </c>
      <c r="C2482" t="s">
        <v>1886</v>
      </c>
      <c r="D2482" t="s">
        <v>1985</v>
      </c>
      <c r="E2482" s="3" t="str">
        <f>HYPERLINK("https://www.amazon.com/48-22-2330-Milwaukee-Ratcheting-Multi-Bit-Screwdriver/dp/B0C2VXJ8ZN/ref=sr_1_1?keywords=Milwaukee+48-22-2930+4-in-1+Precision+Multi-Bit+Screwdriver&amp;qid=1695173899&amp;sr=8-1", "https://www.amazon.com/48-22-2330-Milwaukee-Ratcheting-Multi-Bit-Screwdriver/dp/B0C2VXJ8ZN/ref=sr_1_1?keywords=Milwaukee+48-22-2930+4-in-1+Precision+Multi-Bit+Screwdriver&amp;qid=1695173899&amp;sr=8-1")</f>
        <v>https://www.amazon.com/48-22-2330-Milwaukee-Ratcheting-Multi-Bit-Screwdriver/dp/B0C2VXJ8ZN/ref=sr_1_1?keywords=Milwaukee+48-22-2930+4-in-1+Precision+Multi-Bit+Screwdriver&amp;qid=1695173899&amp;sr=8-1</v>
      </c>
      <c r="F2482" t="s">
        <v>1986</v>
      </c>
      <c r="G2482" t="e">
        <f ca="1">_xludf.IMAGE("https://edmondsonsupply.com/cdn/shop/files/48-22-2930_PrimaryImage_WEB.webp?v=1686154438")</f>
        <v>#NAME?</v>
      </c>
      <c r="H2482" t="e">
        <f ca="1">_xludf.IMAGE("https://m.media-amazon.com/images/I/51NHRcqTkvL._AC_UL320_.jpg")</f>
        <v>#NAME?</v>
      </c>
      <c r="I2482" t="s">
        <v>1211</v>
      </c>
      <c r="J2482">
        <v>36.72</v>
      </c>
      <c r="K2482" s="4">
        <v>1.8310999999999999</v>
      </c>
      <c r="L2482">
        <v>5</v>
      </c>
      <c r="M2482">
        <v>1</v>
      </c>
      <c r="O2482" t="s">
        <v>25</v>
      </c>
      <c r="P2482" t="s">
        <v>1889</v>
      </c>
      <c r="Q2482" t="s">
        <v>1890</v>
      </c>
    </row>
    <row r="2483" spans="1:17" ht="15.5" x14ac:dyDescent="0.35">
      <c r="A2483" s="3" t="str">
        <f>HYPERLINK("https://edmondsonsupply.com/collections/electricians-tools/products/diablo-tools-dsp2060-9-16-in-x-6-in-spade-bit", "https://edmondsonsupply.com/collections/electricians-tools/products/diablo-tools-dsp2060-9-16-in-x-6-in-spade-bit")</f>
        <v>https://edmondsonsupply.com/collections/electricians-tools/products/diablo-tools-dsp2060-9-16-in-x-6-in-spade-bit</v>
      </c>
      <c r="B2483" s="3" t="str">
        <f>HYPERLINK("https://edmondsonsupply.com/products/diablo-tools-dsp2060-9-16-in-x-6-in-spade-bit", "https://edmondsonsupply.com/products/diablo-tools-dsp2060-9-16-in-x-6-in-spade-bit")</f>
        <v>https://edmondsonsupply.com/products/diablo-tools-dsp2060-9-16-in-x-6-in-spade-bit</v>
      </c>
      <c r="C2483" t="s">
        <v>6388</v>
      </c>
      <c r="D2483" t="s">
        <v>6389</v>
      </c>
      <c r="E2483" s="3" t="str">
        <f>HYPERLINK("https://www.amazon.com/IVY-Classic-10709-6-Inch-High-Carbon/dp/B00065DQLY/ref=sr_1_10?keywords=Diablo+Tools+DSP2060+9%2F16+in.+x+6+in.+Spade+Bit&amp;qid=1695174098&amp;sr=8-10", "https://www.amazon.com/IVY-Classic-10709-6-Inch-High-Carbon/dp/B00065DQLY/ref=sr_1_10?keywords=Diablo+Tools+DSP2060+9%2F16+in.+x+6+in.+Spade+Bit&amp;qid=1695174098&amp;sr=8-10")</f>
        <v>https://www.amazon.com/IVY-Classic-10709-6-Inch-High-Carbon/dp/B00065DQLY/ref=sr_1_10?keywords=Diablo+Tools+DSP2060+9%2F16+in.+x+6+in.+Spade+Bit&amp;qid=1695174098&amp;sr=8-10</v>
      </c>
      <c r="F2483" t="s">
        <v>6390</v>
      </c>
      <c r="G2483" t="e">
        <f ca="1">_xludf.IMAGE("https://edmondsonsupply.com/cdn/shop/products/aedhx1bor2stxnsd8b2m.webp?v=1670512947")</f>
        <v>#NAME?</v>
      </c>
      <c r="H2483" t="e">
        <f ca="1">_xludf.IMAGE("https://m.media-amazon.com/images/I/5106VM2iHWL._AC_UL320_.jpg")</f>
        <v>#NAME?</v>
      </c>
      <c r="I2483" t="s">
        <v>1613</v>
      </c>
      <c r="J2483">
        <v>8.14</v>
      </c>
      <c r="K2483" s="4">
        <v>1.8264</v>
      </c>
      <c r="L2483">
        <v>4.5999999999999996</v>
      </c>
      <c r="M2483">
        <v>483</v>
      </c>
      <c r="O2483" t="s">
        <v>25</v>
      </c>
      <c r="P2483" t="s">
        <v>6391</v>
      </c>
      <c r="Q2483" t="s">
        <v>6392</v>
      </c>
    </row>
    <row r="2484" spans="1:17" ht="15.5" x14ac:dyDescent="0.35">
      <c r="A2484"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2484"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2484" t="s">
        <v>6393</v>
      </c>
      <c r="D2484" t="s">
        <v>3865</v>
      </c>
      <c r="E2484" s="3" t="str">
        <f>HYPERLINK("https://www.amazon.com/Klein-Tools-85153K-Screw-Holding-Screwdriver/dp/B0CFRP1K3L/ref=sr_1_4?keywords=Klein+Tools+614-2+1%2F16-Inch+Slotted+Electronics+Screwdriver%2C+2-Inch&amp;qid=1695174229&amp;sr=8-4", "https://www.amazon.com/Klein-Tools-85153K-Screw-Holding-Screwdriver/dp/B0CFRP1K3L/ref=sr_1_4?keywords=Klein+Tools+614-2+1%2F16-Inch+Slotted+Electronics+Screwdriver%2C+2-Inch&amp;qid=1695174229&amp;sr=8-4")</f>
        <v>https://www.amazon.com/Klein-Tools-85153K-Screw-Holding-Screwdriver/dp/B0CFRP1K3L/ref=sr_1_4?keywords=Klein+Tools+614-2+1%2F16-Inch+Slotted+Electronics+Screwdriver%2C+2-Inch&amp;qid=1695174229&amp;sr=8-4</v>
      </c>
      <c r="F2484" t="s">
        <v>3866</v>
      </c>
      <c r="G2484" t="e">
        <f ca="1">_xludf.IMAGE("https://edmondsonsupply.com/cdn/shop/products/614-2.jpg?v=1637284311")</f>
        <v>#NAME?</v>
      </c>
      <c r="H2484" t="e">
        <f ca="1">_xludf.IMAGE("https://m.media-amazon.com/images/I/41KoRmOkBpL._AC_UL320_.jpg")</f>
        <v>#NAME?</v>
      </c>
      <c r="I2484" t="s">
        <v>6394</v>
      </c>
      <c r="J2484">
        <v>23.97</v>
      </c>
      <c r="K2484" s="4">
        <v>1.8232999999999999</v>
      </c>
      <c r="L2484">
        <v>5</v>
      </c>
      <c r="M2484">
        <v>1</v>
      </c>
      <c r="O2484" t="s">
        <v>25</v>
      </c>
      <c r="P2484" t="s">
        <v>6395</v>
      </c>
      <c r="Q2484" t="s">
        <v>6396</v>
      </c>
    </row>
    <row r="2485" spans="1:17" ht="15.5" x14ac:dyDescent="0.35">
      <c r="A2485"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2485" s="3" t="str">
        <f>HYPERLINK("https://edmondsonsupply.com/products/klein-tools-3005cr-ratcheting-crimper-10-22-awg", "https://edmondsonsupply.com/products/klein-tools-3005cr-ratcheting-crimper-10-22-awg")</f>
        <v>https://edmondsonsupply.com/products/klein-tools-3005cr-ratcheting-crimper-10-22-awg</v>
      </c>
      <c r="C2485" t="s">
        <v>1987</v>
      </c>
      <c r="D2485" t="s">
        <v>1988</v>
      </c>
      <c r="E2485" s="3" t="str">
        <f>HYPERLINK("https://www.amazon.com/Automatic-Stripper-Ratcheting-Insulated-Terminal/dp/B0BM3NKTGN/ref=sr_1_5?keywords=Klein+Tools+3005CR+Ratcheting+Crimper%2C+10-22+AWG+-+Insulated+Terminals&amp;qid=1695173864&amp;sr=8-5", "https://www.amazon.com/Automatic-Stripper-Ratcheting-Insulated-Terminal/dp/B0BM3NKTGN/ref=sr_1_5?keywords=Klein+Tools+3005CR+Ratcheting+Crimper%2C+10-22+AWG+-+Insulated+Terminals&amp;qid=1695173864&amp;sr=8-5")</f>
        <v>https://www.amazon.com/Automatic-Stripper-Ratcheting-Insulated-Terminal/dp/B0BM3NKTGN/ref=sr_1_5?keywords=Klein+Tools+3005CR+Ratcheting+Crimper%2C+10-22+AWG+-+Insulated+Terminals&amp;qid=1695173864&amp;sr=8-5</v>
      </c>
      <c r="F2485" t="s">
        <v>1989</v>
      </c>
      <c r="G2485" t="e">
        <f ca="1">_xludf.IMAGE("https://edmondsonsupply.com/cdn/shop/products/3005cr.jpg?v=1587146892")</f>
        <v>#NAME?</v>
      </c>
      <c r="H2485" t="e">
        <f ca="1">_xludf.IMAGE("https://m.media-amazon.com/images/I/41G9n+KVXLL._AC_UL320_.jpg")</f>
        <v>#NAME?</v>
      </c>
      <c r="I2485" t="s">
        <v>824</v>
      </c>
      <c r="J2485">
        <v>84.49</v>
      </c>
      <c r="K2485" s="4">
        <v>1.8191999999999999</v>
      </c>
      <c r="L2485">
        <v>4.5999999999999996</v>
      </c>
      <c r="M2485">
        <v>1243</v>
      </c>
      <c r="O2485" t="s">
        <v>25</v>
      </c>
      <c r="P2485" t="s">
        <v>1990</v>
      </c>
      <c r="Q2485" t="s">
        <v>1991</v>
      </c>
    </row>
    <row r="2486" spans="1:17" ht="15.5" x14ac:dyDescent="0.35">
      <c r="A2486"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2486" s="3" t="str">
        <f>HYPERLINK("https://edmondsonsupply.com/products/klein-tools-32314-14-in-1-precision-screwdriver-nut-driver", "https://edmondsonsupply.com/products/klein-tools-32314-14-in-1-precision-screwdriver-nut-driver")</f>
        <v>https://edmondsonsupply.com/products/klein-tools-32314-14-in-1-precision-screwdriver-nut-driver</v>
      </c>
      <c r="C2486" t="s">
        <v>1999</v>
      </c>
      <c r="D2486" t="s">
        <v>2004</v>
      </c>
      <c r="E2486" s="3" t="str">
        <f>HYPERLINK("https://www.amazon.com/Klein-Tools-Electronic-Screwdriver-Tamperproof/dp/B09Q66YZ6V/ref=sr_1_7?keywords=Klein+Tools+32314+14-in-1+Precision+Screwdriver%2F+Nut+Driver&amp;qid=1695173878&amp;sr=8-7", "https://www.amazon.com/Klein-Tools-Electronic-Screwdriver-Tamperproof/dp/B09Q66YZ6V/ref=sr_1_7?keywords=Klein+Tools+32314+14-in-1+Precision+Screwdriver%2F+Nut+Driver&amp;qid=1695173878&amp;sr=8-7")</f>
        <v>https://www.amazon.com/Klein-Tools-Electronic-Screwdriver-Tamperproof/dp/B09Q66YZ6V/ref=sr_1_7?keywords=Klein+Tools+32314+14-in-1+Precision+Screwdriver%2F+Nut+Driver&amp;qid=1695173878&amp;sr=8-7</v>
      </c>
      <c r="F2486" t="s">
        <v>2005</v>
      </c>
      <c r="G2486" t="e">
        <f ca="1">_xludf.IMAGE("https://edmondsonsupply.com/cdn/shop/products/32314.jpg?v=1646593726")</f>
        <v>#NAME?</v>
      </c>
      <c r="H2486" t="e">
        <f ca="1">_xludf.IMAGE("https://m.media-amazon.com/images/I/41HuaH+HvHL._AC_UL320_.jpg")</f>
        <v>#NAME?</v>
      </c>
      <c r="I2486" t="s">
        <v>143</v>
      </c>
      <c r="J2486">
        <v>44.94</v>
      </c>
      <c r="K2486" s="4">
        <v>1.8140000000000001</v>
      </c>
      <c r="L2486">
        <v>4.7</v>
      </c>
      <c r="M2486">
        <v>7</v>
      </c>
      <c r="O2486" t="s">
        <v>25</v>
      </c>
      <c r="P2486" t="s">
        <v>2002</v>
      </c>
      <c r="Q2486" t="s">
        <v>2003</v>
      </c>
    </row>
    <row r="2487" spans="1:17" ht="15.5" x14ac:dyDescent="0.35">
      <c r="A2487"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2487" s="3" t="str">
        <f>HYPERLINK("https://edmondsonsupply.com/products/klein-tools-32314-14-in-1-precision-screwdriver-nut-driver", "https://edmondsonsupply.com/products/klein-tools-32314-14-in-1-precision-screwdriver-nut-driver")</f>
        <v>https://edmondsonsupply.com/products/klein-tools-32314-14-in-1-precision-screwdriver-nut-driver</v>
      </c>
      <c r="C2487" t="s">
        <v>1999</v>
      </c>
      <c r="D2487" t="s">
        <v>2000</v>
      </c>
      <c r="E2487" s="3" t="str">
        <f>HYPERLINK("https://www.amazon.com/Klein-Tools-Screwdriver-Electronic-Tamperproof/dp/B0BF5CJP5B/ref=sr_1_4?keywords=Klein+Tools+32314+14-in-1+Precision+Screwdriver%2F+Nut+Driver&amp;qid=1695173878&amp;sr=8-4", "https://www.amazon.com/Klein-Tools-Screwdriver-Electronic-Tamperproof/dp/B0BF5CJP5B/ref=sr_1_4?keywords=Klein+Tools+32314+14-in-1+Precision+Screwdriver%2F+Nut+Driver&amp;qid=1695173878&amp;sr=8-4")</f>
        <v>https://www.amazon.com/Klein-Tools-Screwdriver-Electronic-Tamperproof/dp/B0BF5CJP5B/ref=sr_1_4?keywords=Klein+Tools+32314+14-in-1+Precision+Screwdriver%2F+Nut+Driver&amp;qid=1695173878&amp;sr=8-4</v>
      </c>
      <c r="F2487" t="s">
        <v>2001</v>
      </c>
      <c r="G2487" t="e">
        <f ca="1">_xludf.IMAGE("https://edmondsonsupply.com/cdn/shop/products/32314.jpg?v=1646593726")</f>
        <v>#NAME?</v>
      </c>
      <c r="H2487" t="e">
        <f ca="1">_xludf.IMAGE("https://m.media-amazon.com/images/I/51UXV8J5F1L._AC_UL320_.jpg")</f>
        <v>#NAME?</v>
      </c>
      <c r="I2487" t="s">
        <v>143</v>
      </c>
      <c r="J2487">
        <v>44.94</v>
      </c>
      <c r="K2487" s="4">
        <v>1.8140000000000001</v>
      </c>
      <c r="L2487">
        <v>4.9000000000000004</v>
      </c>
      <c r="M2487">
        <v>9</v>
      </c>
      <c r="O2487" t="s">
        <v>25</v>
      </c>
      <c r="P2487" t="s">
        <v>2002</v>
      </c>
      <c r="Q2487" t="s">
        <v>2003</v>
      </c>
    </row>
    <row r="2488" spans="1:17" ht="15.5" x14ac:dyDescent="0.35">
      <c r="A2488" s="3" t="str">
        <f>HYPERLINK("https://edmondsonsupply.com/collections/electricians-tools/products/klein-tools-50611ml-magnetic-wire-puller-replacement-leader", "https://edmondsonsupply.com/collections/electricians-tools/products/klein-tools-50611ml-magnetic-wire-puller-replacement-leader")</f>
        <v>https://edmondsonsupply.com/collections/electricians-tools/products/klein-tools-50611ml-magnetic-wire-puller-replacement-leader</v>
      </c>
      <c r="B2488" s="3" t="str">
        <f>HYPERLINK("https://edmondsonsupply.com/products/klein-tools-50611ml-magnetic-wire-puller-replacement-leader", "https://edmondsonsupply.com/products/klein-tools-50611ml-magnetic-wire-puller-replacement-leader")</f>
        <v>https://edmondsonsupply.com/products/klein-tools-50611ml-magnetic-wire-puller-replacement-leader</v>
      </c>
      <c r="C2488" t="s">
        <v>6397</v>
      </c>
      <c r="D2488" t="s">
        <v>6398</v>
      </c>
      <c r="E2488" s="3" t="str">
        <f>HYPERLINK("https://www.amazon.com/Magnetic-Puller-Stainless-Steel-Klein-Tools/dp/B093J6Z5QT/ref=sr_1_3?keywords=Klein+Tools+50611ML+Magnetic+Wire+Puller+Replacement+Leader&amp;qid=1695174150&amp;sr=8-3", "https://www.amazon.com/Magnetic-Puller-Stainless-Steel-Klein-Tools/dp/B093J6Z5QT/ref=sr_1_3?keywords=Klein+Tools+50611ML+Magnetic+Wire+Puller+Replacement+Leader&amp;qid=1695174150&amp;sr=8-3")</f>
        <v>https://www.amazon.com/Magnetic-Puller-Stainless-Steel-Klein-Tools/dp/B093J6Z5QT/ref=sr_1_3?keywords=Klein+Tools+50611ML+Magnetic+Wire+Puller+Replacement+Leader&amp;qid=1695174150&amp;sr=8-3</v>
      </c>
      <c r="F2488" t="s">
        <v>6399</v>
      </c>
      <c r="G2488" t="e">
        <f ca="1">_xludf.IMAGE("https://edmondsonsupply.com/cdn/shop/products/50611ml.jpg?v=1664399271")</f>
        <v>#NAME?</v>
      </c>
      <c r="H2488" t="e">
        <f ca="1">_xludf.IMAGE("https://m.media-amazon.com/images/I/5165nncGD9S._AC_UL320_.jpg")</f>
        <v>#NAME?</v>
      </c>
      <c r="I2488" t="s">
        <v>471</v>
      </c>
      <c r="J2488">
        <v>69.97</v>
      </c>
      <c r="K2488" s="4">
        <v>1.7999000000000001</v>
      </c>
      <c r="L2488">
        <v>4.5999999999999996</v>
      </c>
      <c r="M2488">
        <v>500</v>
      </c>
      <c r="O2488" t="s">
        <v>25</v>
      </c>
      <c r="P2488" t="s">
        <v>6400</v>
      </c>
      <c r="Q2488" t="s">
        <v>6401</v>
      </c>
    </row>
    <row r="2489" spans="1:17" ht="15.5" x14ac:dyDescent="0.35">
      <c r="A2489"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2489" s="3" t="str">
        <f>HYPERLINK("https://edmondsonsupply.com/products/klein-tools-66076-flip-impact-socket-9-16-and-1-2-inch", "https://edmondsonsupply.com/products/klein-tools-66076-flip-impact-socket-9-16-and-1-2-inch")</f>
        <v>https://edmondsonsupply.com/products/klein-tools-66076-flip-impact-socket-9-16-and-1-2-inch</v>
      </c>
      <c r="C2489" t="s">
        <v>6085</v>
      </c>
      <c r="D2489" t="s">
        <v>6402</v>
      </c>
      <c r="E2489" s="3" t="str">
        <f>HYPERLINK("https://www.amazon.com/Klein-Tools-32900-Impact-Driver/dp/B09PZG4F8X/ref=sr_1_7?keywords=Klein+Tools+66076+Flip+Impact+Socket%2C+9%2F16+and+1%2F2-Inch&amp;qid=1695174172&amp;sr=8-7", "https://www.amazon.com/Klein-Tools-32900-Impact-Driver/dp/B09PZG4F8X/ref=sr_1_7?keywords=Klein+Tools+66076+Flip+Impact+Socket%2C+9%2F16+and+1%2F2-Inch&amp;qid=1695174172&amp;sr=8-7")</f>
        <v>https://www.amazon.com/Klein-Tools-32900-Impact-Driver/dp/B09PZG4F8X/ref=sr_1_7?keywords=Klein+Tools+66076+Flip+Impact+Socket%2C+9%2F16+and+1%2F2-Inch&amp;qid=1695174172&amp;sr=8-7</v>
      </c>
      <c r="F2489" t="s">
        <v>6403</v>
      </c>
      <c r="G2489" t="e">
        <f ca="1">_xludf.IMAGE("https://edmondsonsupply.com/cdn/shop/products/66076.jpg?v=1663083814")</f>
        <v>#NAME?</v>
      </c>
      <c r="H2489" t="e">
        <f ca="1">_xludf.IMAGE("https://m.media-amazon.com/images/I/51qL2uXqcTL._AC_UL320_.jpg")</f>
        <v>#NAME?</v>
      </c>
      <c r="I2489" t="s">
        <v>6086</v>
      </c>
      <c r="J2489">
        <v>29.97</v>
      </c>
      <c r="K2489" s="4">
        <v>1.7983</v>
      </c>
      <c r="L2489">
        <v>4.7</v>
      </c>
      <c r="M2489">
        <v>2493</v>
      </c>
      <c r="O2489" t="s">
        <v>25</v>
      </c>
      <c r="P2489" t="s">
        <v>6087</v>
      </c>
      <c r="Q2489" t="s">
        <v>6088</v>
      </c>
    </row>
    <row r="2490" spans="1:17" ht="15.5" x14ac:dyDescent="0.35">
      <c r="A2490"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490" s="3" t="str">
        <f>HYPERLINK("https://edmondsonsupply.com/products/klein-tools-rt250-gfci-receptacle-tester-with-lcd", "https://edmondsonsupply.com/products/klein-tools-rt250-gfci-receptacle-tester-with-lcd")</f>
        <v>https://edmondsonsupply.com/products/klein-tools-rt250-gfci-receptacle-tester-with-lcd</v>
      </c>
      <c r="C2490" t="s">
        <v>6197</v>
      </c>
      <c r="D2490" t="s">
        <v>6404</v>
      </c>
      <c r="E2490" s="3" t="str">
        <f>HYPERLINK("https://www.amazon.com/Klein-Tools-Receptacle-Standard-Electrical/dp/B0BD3YZ7JV/ref=sr_1_7?keywords=Klein+Tools+RT250+GFCI+Receptacle+Tester+with+LCD&amp;qid=1695174176&amp;sr=8-7", "https://www.amazon.com/Klein-Tools-Receptacle-Standard-Electrical/dp/B0BD3YZ7JV/ref=sr_1_7?keywords=Klein+Tools+RT250+GFCI+Receptacle+Tester+with+LCD&amp;qid=1695174176&amp;sr=8-7")</f>
        <v>https://www.amazon.com/Klein-Tools-Receptacle-Standard-Electrical/dp/B0BD3YZ7JV/ref=sr_1_7?keywords=Klein+Tools+RT250+GFCI+Receptacle+Tester+with+LCD&amp;qid=1695174176&amp;sr=8-7</v>
      </c>
      <c r="F2490" t="s">
        <v>6405</v>
      </c>
      <c r="G2490" t="e">
        <f ca="1">_xludf.IMAGE("https://edmondsonsupply.com/cdn/shop/products/rt250_photo_c.jpg?v=1661363824")</f>
        <v>#NAME?</v>
      </c>
      <c r="H2490" t="e">
        <f ca="1">_xludf.IMAGE("https://m.media-amazon.com/images/I/51iiNw5cTJL._AC_UL320_.jpg")</f>
        <v>#NAME?</v>
      </c>
      <c r="I2490" t="s">
        <v>2247</v>
      </c>
      <c r="J2490">
        <v>61.4</v>
      </c>
      <c r="K2490" s="4">
        <v>1.7947</v>
      </c>
      <c r="L2490">
        <v>4.7</v>
      </c>
      <c r="M2490">
        <v>6</v>
      </c>
      <c r="O2490" t="s">
        <v>25</v>
      </c>
      <c r="P2490" t="s">
        <v>6200</v>
      </c>
      <c r="Q2490" t="s">
        <v>6201</v>
      </c>
    </row>
    <row r="2491" spans="1:17" ht="15.5" x14ac:dyDescent="0.35">
      <c r="A2491" s="3" t="str">
        <f>HYPERLINK("https://edmondsonsupply.com/collections/electricians-tools/products/klein-tools-85616-precision-screwdriver-set-torx%C2%AE-4-piece", "https://edmondsonsupply.com/collections/electricians-tools/products/klein-tools-85616-precision-screwdriver-set-torx%C2%AE-4-piece")</f>
        <v>https://edmondsonsupply.com/collections/electricians-tools/products/klein-tools-85616-precision-screwdriver-set-torx%C2%AE-4-piece</v>
      </c>
      <c r="B2491" s="3" t="str">
        <f>HYPERLINK("https://edmondsonsupply.com/products/klein-tools-85616-precision-screwdriver-set-torx%c2%ae-4-piece", "https://edmondsonsupply.com/products/klein-tools-85616-precision-screwdriver-set-torx%c2%ae-4-piece")</f>
        <v>https://edmondsonsupply.com/products/klein-tools-85616-precision-screwdriver-set-torx%c2%ae-4-piece</v>
      </c>
      <c r="C2491" t="s">
        <v>2012</v>
      </c>
      <c r="D2491" t="s">
        <v>2013</v>
      </c>
      <c r="E2491" s="3" t="str">
        <f>HYPERLINK("https://www.amazon.com/Klein-Tools-85614-Electronic-Screwdriver/dp/B0076RWZMQ/ref=sr_1_4?keywords=Klein+Tools+85616+Precision+Screwdriver+Set%2C+TORX%C2%AE+4-Piece&amp;qid=1695173993&amp;sr=8-4", "https://www.amazon.com/Klein-Tools-85614-Electronic-Screwdriver/dp/B0076RWZMQ/ref=sr_1_4?keywords=Klein+Tools+85616+Precision+Screwdriver+Set%2C+TORX%C2%AE+4-Piece&amp;qid=1695173993&amp;sr=8-4")</f>
        <v>https://www.amazon.com/Klein-Tools-85614-Electronic-Screwdriver/dp/B0076RWZMQ/ref=sr_1_4?keywords=Klein+Tools+85616+Precision+Screwdriver+Set%2C+TORX%C2%AE+4-Piece&amp;qid=1695173993&amp;sr=8-4</v>
      </c>
      <c r="F2491" t="s">
        <v>2014</v>
      </c>
      <c r="G2491" t="e">
        <f ca="1">_xludf.IMAGE("https://edmondsonsupply.com/cdn/shop/files/85616_kit.jpg?v=1689873488")</f>
        <v>#NAME?</v>
      </c>
      <c r="H2491" t="e">
        <f ca="1">_xludf.IMAGE("https://m.media-amazon.com/images/I/510TMeDdIiL._AC_UL320_.jpg")</f>
        <v>#NAME?</v>
      </c>
      <c r="I2491" t="s">
        <v>893</v>
      </c>
      <c r="J2491">
        <v>55.67</v>
      </c>
      <c r="K2491" s="4">
        <v>1.7877000000000001</v>
      </c>
      <c r="L2491">
        <v>4.8</v>
      </c>
      <c r="M2491">
        <v>590</v>
      </c>
      <c r="O2491" t="s">
        <v>25</v>
      </c>
      <c r="P2491" t="s">
        <v>894</v>
      </c>
      <c r="Q2491" t="s">
        <v>2015</v>
      </c>
    </row>
    <row r="2492" spans="1:17" ht="15.5" x14ac:dyDescent="0.35">
      <c r="A2492"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2492" s="3" t="str">
        <f>HYPERLINK("https://edmondsonsupply.com/products/klein-tools-jth4e08-1-8-inch-hex-key-journeyman-t-handle-4-inch", "https://edmondsonsupply.com/products/klein-tools-jth4e08-1-8-inch-hex-key-journeyman-t-handle-4-inch")</f>
        <v>https://edmondsonsupply.com/products/klein-tools-jth4e08-1-8-inch-hex-key-journeyman-t-handle-4-inch</v>
      </c>
      <c r="C2492" t="s">
        <v>6406</v>
      </c>
      <c r="D2492" t="s">
        <v>2386</v>
      </c>
      <c r="E2492" s="3" t="str">
        <f>HYPERLINK("https://www.amazon.com/Journeyman-T-Handle-Klein-Tools-JTH6E13BE/dp/B004QW52YW/ref=sr_1_6?keywords=Klein+Tools+JTH4E08+1%2F8-Inch+Hex+Key%2C+Journeyman+T-Handle%2C+4-Inch&amp;qid=1695174216&amp;sr=8-6", "https://www.amazon.com/Journeyman-T-Handle-Klein-Tools-JTH6E13BE/dp/B004QW52YW/ref=sr_1_6?keywords=Klein+Tools+JTH4E08+1%2F8-Inch+Hex+Key%2C+Journeyman+T-Handle%2C+4-Inch&amp;qid=1695174216&amp;sr=8-6")</f>
        <v>https://www.amazon.com/Journeyman-T-Handle-Klein-Tools-JTH6E13BE/dp/B004QW52YW/ref=sr_1_6?keywords=Klein+Tools+JTH4E08+1%2F8-Inch+Hex+Key%2C+Journeyman+T-Handle%2C+4-Inch&amp;qid=1695174216&amp;sr=8-6</v>
      </c>
      <c r="F2492" t="s">
        <v>2387</v>
      </c>
      <c r="G2492" t="e">
        <f ca="1">_xludf.IMAGE("https://edmondsonsupply.com/cdn/shop/products/jth4e06_0950e3ec-22b0-4cdd-acd1-822980009e67.jpg?v=1645564818")</f>
        <v>#NAME?</v>
      </c>
      <c r="H2492" t="e">
        <f ca="1">_xludf.IMAGE("https://m.media-amazon.com/images/I/51f9vBFVXgL._AC_UL320_.jpg")</f>
        <v>#NAME?</v>
      </c>
      <c r="I2492" t="s">
        <v>6228</v>
      </c>
      <c r="J2492">
        <v>10.55</v>
      </c>
      <c r="K2492" s="4">
        <v>1.7836000000000001</v>
      </c>
      <c r="L2492">
        <v>4.7</v>
      </c>
      <c r="M2492">
        <v>32</v>
      </c>
      <c r="O2492" t="s">
        <v>25</v>
      </c>
      <c r="P2492" t="s">
        <v>6407</v>
      </c>
      <c r="Q2492" t="s">
        <v>6408</v>
      </c>
    </row>
    <row r="2493" spans="1:17" ht="15.5" x14ac:dyDescent="0.35">
      <c r="A2493" s="3" t="str">
        <f>HYPERLINK("https://edmondsonsupply.com/collections/electricians-tools/products/diablo-tools-dsp2060-9-16-in-x-6-in-spade-bit", "https://edmondsonsupply.com/collections/electricians-tools/products/diablo-tools-dsp2060-9-16-in-x-6-in-spade-bit")</f>
        <v>https://edmondsonsupply.com/collections/electricians-tools/products/diablo-tools-dsp2060-9-16-in-x-6-in-spade-bit</v>
      </c>
      <c r="B2493" s="3" t="str">
        <f>HYPERLINK("https://edmondsonsupply.com/products/diablo-tools-dsp2060-9-16-in-x-6-in-spade-bit", "https://edmondsonsupply.com/products/diablo-tools-dsp2060-9-16-in-x-6-in-spade-bit")</f>
        <v>https://edmondsonsupply.com/products/diablo-tools-dsp2060-9-16-in-x-6-in-spade-bit</v>
      </c>
      <c r="C2493" t="s">
        <v>6388</v>
      </c>
      <c r="D2493" t="s">
        <v>6409</v>
      </c>
      <c r="E2493" s="3" t="str">
        <f>HYPERLINK("https://www.amazon.com/DEWALT-DW1575-16-Inch-6-Inch-Spade/dp/B0001LQYFS/ref=sr_1_2?keywords=Diablo+Tools+DSP2060+9%2F16+in.+x+6+in.+Spade+Bit&amp;qid=1695174098&amp;sr=8-2", "https://www.amazon.com/DEWALT-DW1575-16-Inch-6-Inch-Spade/dp/B0001LQYFS/ref=sr_1_2?keywords=Diablo+Tools+DSP2060+9%2F16+in.+x+6+in.+Spade+Bit&amp;qid=1695174098&amp;sr=8-2")</f>
        <v>https://www.amazon.com/DEWALT-DW1575-16-Inch-6-Inch-Spade/dp/B0001LQYFS/ref=sr_1_2?keywords=Diablo+Tools+DSP2060+9%2F16+in.+x+6+in.+Spade+Bit&amp;qid=1695174098&amp;sr=8-2</v>
      </c>
      <c r="F2493" t="s">
        <v>6410</v>
      </c>
      <c r="G2493" t="e">
        <f ca="1">_xludf.IMAGE("https://edmondsonsupply.com/cdn/shop/products/aedhx1bor2stxnsd8b2m.webp?v=1670512947")</f>
        <v>#NAME?</v>
      </c>
      <c r="H2493" t="e">
        <f ca="1">_xludf.IMAGE("https://m.media-amazon.com/images/I/61eaUcy1beS._AC_UL320_.jpg")</f>
        <v>#NAME?</v>
      </c>
      <c r="I2493" t="s">
        <v>1613</v>
      </c>
      <c r="J2493">
        <v>7.98</v>
      </c>
      <c r="K2493" s="4">
        <v>1.7707999999999999</v>
      </c>
      <c r="L2493">
        <v>4.5999999999999996</v>
      </c>
      <c r="M2493">
        <v>6815</v>
      </c>
      <c r="O2493" t="s">
        <v>25</v>
      </c>
      <c r="P2493" t="s">
        <v>6391</v>
      </c>
      <c r="Q2493" t="s">
        <v>6392</v>
      </c>
    </row>
    <row r="2494" spans="1:17" ht="15.5" x14ac:dyDescent="0.35">
      <c r="A2494"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2494"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2494" t="s">
        <v>6236</v>
      </c>
      <c r="D2494" t="s">
        <v>6411</v>
      </c>
      <c r="E2494" s="3" t="str">
        <f>HYPERLINK("https://www.amazon.com/Klein-Tools-Multi-bit-Screwdriver-Adjustable/dp/B0B2DDKN6X/ref=sr_1_5?keywords=Klein+Tools+32308+8-in-1+Multi-Bit+Adjustable+Length+Stubby+Screwdriver&amp;qid=1695174224&amp;sr=8-5", "https://www.amazon.com/Klein-Tools-Multi-bit-Screwdriver-Adjustable/dp/B0B2DDKN6X/ref=sr_1_5?keywords=Klein+Tools+32308+8-in-1+Multi-Bit+Adjustable+Length+Stubby+Screwdriver&amp;qid=1695174224&amp;sr=8-5")</f>
        <v>https://www.amazon.com/Klein-Tools-Multi-bit-Screwdriver-Adjustable/dp/B0B2DDKN6X/ref=sr_1_5?keywords=Klein+Tools+32308+8-in-1+Multi-Bit+Adjustable+Length+Stubby+Screwdriver&amp;qid=1695174224&amp;sr=8-5</v>
      </c>
      <c r="F2494" t="s">
        <v>6412</v>
      </c>
      <c r="G2494" t="e">
        <f ca="1">_xludf.IMAGE("https://edmondsonsupply.com/cdn/shop/products/32308_b.jpg?v=1647348209")</f>
        <v>#NAME?</v>
      </c>
      <c r="H2494" t="e">
        <f ca="1">_xludf.IMAGE("https://m.media-amazon.com/images/I/513U9I4oXnL._AC_UL320_.jpg")</f>
        <v>#NAME?</v>
      </c>
      <c r="I2494" t="s">
        <v>4985</v>
      </c>
      <c r="J2494">
        <v>46.94</v>
      </c>
      <c r="K2494" s="4">
        <v>1.7661</v>
      </c>
      <c r="L2494">
        <v>4.9000000000000004</v>
      </c>
      <c r="M2494">
        <v>14</v>
      </c>
      <c r="O2494" t="s">
        <v>25</v>
      </c>
      <c r="P2494" t="s">
        <v>996</v>
      </c>
      <c r="Q2494" t="s">
        <v>6239</v>
      </c>
    </row>
    <row r="2495" spans="1:17" ht="15.5" x14ac:dyDescent="0.35">
      <c r="A2495" s="3" t="str">
        <f>HYPERLINK("https://edmondsonsupply.com/collections/electricians-tools/products/milwaukee-2458-21-m12%E2%84%A2-cordless-lithium-ion-palm-nailer-kit", "https://edmondsonsupply.com/collections/electricians-tools/products/milwaukee-2458-21-m12%E2%84%A2-cordless-lithium-ion-palm-nailer-kit")</f>
        <v>https://edmondsonsupply.com/collections/electricians-tools/products/milwaukee-2458-21-m12%E2%84%A2-cordless-lithium-ion-palm-nailer-kit</v>
      </c>
      <c r="B2495" s="3" t="str">
        <f>HYPERLINK("https://edmondsonsupply.com/products/milwaukee-2458-21-m12%e2%84%a2-cordless-lithium-ion-palm-nailer-kit", "https://edmondsonsupply.com/products/milwaukee-2458-21-m12%e2%84%a2-cordless-lithium-ion-palm-nailer-kit")</f>
        <v>https://edmondsonsupply.com/products/milwaukee-2458-21-m12%e2%84%a2-cordless-lithium-ion-palm-nailer-kit</v>
      </c>
      <c r="C2495" t="s">
        <v>6413</v>
      </c>
      <c r="D2495" t="s">
        <v>6414</v>
      </c>
      <c r="E2495" s="3" t="str">
        <f>HYPERLINK("https://www.amazon.com/Milwaukee-2742-21CT-Lithiumion-Brushless-Cordless/dp/B01DE8ZIVK/ref=sr_1_4?keywords=Milwaukee+2458-21+M12%E2%84%A2+Cordless+Lithium-Ion+Palm+Nailer+Kit&amp;qid=1695174057&amp;sr=8-4", "https://www.amazon.com/Milwaukee-2742-21CT-Lithiumion-Brushless-Cordless/dp/B01DE8ZIVK/ref=sr_1_4?keywords=Milwaukee+2458-21+M12%E2%84%A2+Cordless+Lithium-Ion+Palm+Nailer+Kit&amp;qid=1695174057&amp;sr=8-4")</f>
        <v>https://www.amazon.com/Milwaukee-2742-21CT-Lithiumion-Brushless-Cordless/dp/B01DE8ZIVK/ref=sr_1_4?keywords=Milwaukee+2458-21+M12%E2%84%A2+Cordless+Lithium-Ion+Palm+Nailer+Kit&amp;qid=1695174057&amp;sr=8-4</v>
      </c>
      <c r="F2495" t="s">
        <v>6415</v>
      </c>
      <c r="G2495" t="e">
        <f ca="1">_xludf.IMAGE("https://edmondsonsupply.com/cdn/shop/products/52383_2458-20-lg_ec645d87-9219-4c87-aa67-2ea9ff2860d3.webp?v=1679330758")</f>
        <v>#NAME?</v>
      </c>
      <c r="H2495" t="e">
        <f ca="1">_xludf.IMAGE("https://m.media-amazon.com/images/I/91k7A8RmbNL._AC_UL320_.jpg")</f>
        <v>#NAME?</v>
      </c>
      <c r="I2495" t="s">
        <v>715</v>
      </c>
      <c r="J2495">
        <v>550</v>
      </c>
      <c r="K2495" s="4">
        <v>1.7638</v>
      </c>
      <c r="L2495">
        <v>3.8</v>
      </c>
      <c r="M2495">
        <v>33</v>
      </c>
      <c r="O2495" t="s">
        <v>25</v>
      </c>
      <c r="P2495" t="s">
        <v>6416</v>
      </c>
      <c r="Q2495" t="s">
        <v>6417</v>
      </c>
    </row>
    <row r="2496" spans="1:17" ht="15.5" x14ac:dyDescent="0.35">
      <c r="A2496"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2496" s="3" t="str">
        <f>HYPERLINK("https://edmondsonsupply.com/products/klein-tools-605-4-1-4-inch-cabinet-tip-screwdriver-4-inch-shank", "https://edmondsonsupply.com/products/klein-tools-605-4-1-4-inch-cabinet-tip-screwdriver-4-inch-shank")</f>
        <v>https://edmondsonsupply.com/products/klein-tools-605-4-1-4-inch-cabinet-tip-screwdriver-4-inch-shank</v>
      </c>
      <c r="C2496" t="s">
        <v>6418</v>
      </c>
      <c r="D2496" t="s">
        <v>6419</v>
      </c>
      <c r="E2496" s="3" t="str">
        <f>HYPERLINK("https://www.amazon.com/Klein-Tools-Screwdriver-Precision-Electronics/dp/B0CDQJLP83/ref=sr_1_6?keywords=Klein+Tools+605-4+1%2F4-Inch+Cabinet+Tip+Screwdriver+4-Inch+Shank&amp;qid=1695174135&amp;sr=8-6", "https://www.amazon.com/Klein-Tools-Screwdriver-Precision-Electronics/dp/B0CDQJLP83/ref=sr_1_6?keywords=Klein+Tools+605-4+1%2F4-Inch+Cabinet+Tip+Screwdriver+4-Inch+Shank&amp;qid=1695174135&amp;sr=8-6")</f>
        <v>https://www.amazon.com/Klein-Tools-Screwdriver-Precision-Electronics/dp/B0CDQJLP83/ref=sr_1_6?keywords=Klein+Tools+605-4+1%2F4-Inch+Cabinet+Tip+Screwdriver+4-Inch+Shank&amp;qid=1695174135&amp;sr=8-6</v>
      </c>
      <c r="F2496" t="s">
        <v>6420</v>
      </c>
      <c r="G2496" t="e">
        <f ca="1">_xludf.IMAGE("https://edmondsonsupply.com/cdn/shop/products/605-6_ac5e56ca-920d-4d55-842f-c7dc8361f892.jpg?v=1665688377")</f>
        <v>#NAME?</v>
      </c>
      <c r="H2496" t="e">
        <f ca="1">_xludf.IMAGE("https://m.media-amazon.com/images/I/31h2+ShYAnL._AC_UL320_.jpg")</f>
        <v>#NAME?</v>
      </c>
      <c r="I2496" t="s">
        <v>924</v>
      </c>
      <c r="J2496">
        <v>24.84</v>
      </c>
      <c r="K2496" s="4">
        <v>1.7630999999999999</v>
      </c>
      <c r="L2496">
        <v>4.7</v>
      </c>
      <c r="M2496">
        <v>332</v>
      </c>
      <c r="O2496" t="s">
        <v>25</v>
      </c>
      <c r="P2496" t="s">
        <v>6421</v>
      </c>
      <c r="Q2496" t="s">
        <v>6422</v>
      </c>
    </row>
    <row r="2497" spans="1:17" ht="15.5" x14ac:dyDescent="0.35">
      <c r="A2497"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2497" s="3" t="str">
        <f>HYPERLINK("https://edmondsonsupply.com/products/klein-tools-646-1-4-1-4-inch-nut-driver-with-6-inch-hollow-shaft", "https://edmondsonsupply.com/products/klein-tools-646-1-4-1-4-inch-nut-driver-with-6-inch-hollow-shaft")</f>
        <v>https://edmondsonsupply.com/products/klein-tools-646-1-4-1-4-inch-nut-driver-with-6-inch-hollow-shaft</v>
      </c>
      <c r="C2497" t="s">
        <v>1478</v>
      </c>
      <c r="D2497" t="s">
        <v>2021</v>
      </c>
      <c r="E2497" s="3" t="str">
        <f>HYPERLINK("https://www.amazon.com/Insulated-Klein-Tools-646-1-4-INS/dp/B000MKMH5O/ref=sr_1_2?keywords=Klein+Tools+646-1%2F4+1%2F4-Inch+Nut+Driver+with+6-Inch+Hollow+Shaft&amp;qid=1695173897&amp;sr=8-2", "https://www.amazon.com/Insulated-Klein-Tools-646-1-4-INS/dp/B000MKMH5O/ref=sr_1_2?keywords=Klein+Tools+646-1%2F4+1%2F4-Inch+Nut+Driver+with+6-Inch+Hollow+Shaft&amp;qid=1695173897&amp;sr=8-2")</f>
        <v>https://www.amazon.com/Insulated-Klein-Tools-646-1-4-INS/dp/B000MKMH5O/ref=sr_1_2?keywords=Klein+Tools+646-1%2F4+1%2F4-Inch+Nut+Driver+with+6-Inch+Hollow+Shaft&amp;qid=1695173897&amp;sr=8-2</v>
      </c>
      <c r="F2497" t="s">
        <v>2022</v>
      </c>
      <c r="G2497" t="e">
        <f ca="1">_xludf.IMAGE("https://edmondsonsupply.com/cdn/shop/products/646-1-2_08d87fa9-eac4-4869-8d3b-bb680d4b1d53.jpg?v=1587150676")</f>
        <v>#NAME?</v>
      </c>
      <c r="H2497" t="e">
        <f ca="1">_xludf.IMAGE("https://m.media-amazon.com/images/I/41Nr0vSgHCL._AC_UL320_.jpg")</f>
        <v>#NAME?</v>
      </c>
      <c r="I2497" t="s">
        <v>1003</v>
      </c>
      <c r="J2497">
        <v>22.02</v>
      </c>
      <c r="K2497" s="4">
        <v>1.7559</v>
      </c>
      <c r="L2497">
        <v>4.7</v>
      </c>
      <c r="M2497">
        <v>274</v>
      </c>
      <c r="O2497" t="s">
        <v>25</v>
      </c>
      <c r="P2497" t="s">
        <v>1481</v>
      </c>
      <c r="Q2497" t="s">
        <v>1482</v>
      </c>
    </row>
    <row r="2498" spans="1:17" ht="15.5" x14ac:dyDescent="0.35">
      <c r="A2498" s="3" t="str">
        <f>HYPERLINK("https://edmondsonsupply.com/collections/electricians-tools/products/diablo-tools-dmapl4060-1-4-in-x-2-in-x-4-in-rebar-demon%E2%84%A2-sds-plus-4-cutter-full-carbide-head-hammer-bit", "https://edmondsonsupply.com/collections/electricians-tools/products/diablo-tools-dmapl4060-1-4-in-x-2-in-x-4-in-rebar-demon%E2%84%A2-sds-plus-4-cutter-full-carbide-head-hammer-bit")</f>
        <v>https://edmondsonsupply.com/collections/electricians-tools/products/diablo-tools-dmapl4060-1-4-in-x-2-in-x-4-in-rebar-demon%E2%84%A2-sds-plus-4-cutter-full-carbide-head-hammer-bit</v>
      </c>
      <c r="B2498" s="3" t="str">
        <f>HYPERLINK("https://edmondsonsupply.com/products/diablo-tools-dmapl4060-1-4-in-x-2-in-x-4-in-rebar-demon%e2%84%a2-sds-plus-4-cutter-full-carbide-head-hammer-bit", "https://edmondsonsupply.com/products/diablo-tools-dmapl4060-1-4-in-x-2-in-x-4-in-rebar-demon%e2%84%a2-sds-plus-4-cutter-full-carbide-head-hammer-bit")</f>
        <v>https://edmondsonsupply.com/products/diablo-tools-dmapl4060-1-4-in-x-2-in-x-4-in-rebar-demon%e2%84%a2-sds-plus-4-cutter-full-carbide-head-hammer-bit</v>
      </c>
      <c r="C2498" t="s">
        <v>5982</v>
      </c>
      <c r="D2498" t="s">
        <v>6423</v>
      </c>
      <c r="E2498" s="3" t="str">
        <f>HYPERLINK("https://www.amazon.com/Diablo-SDS-Plus-4-Cutter-Carbide-Hammer/dp/B089KWVTD3/ref=sr_1_4?keywords=Diablo+Tools+DMAPL4060+1%2F4+in.+x+2+in.+x+4+in.+Rebar+Demon%E2%84%A2+SDS%E2%80%91Plus+4%E2%80%91Cutter+Full+Carbide+Head+Hammer+Bit&amp;qid=1695174225&amp;sr=8-4", "https://www.amazon.com/Diablo-SDS-Plus-4-Cutter-Carbide-Hammer/dp/B089KWVTD3/ref=sr_1_4?keywords=Diablo+Tools+DMAPL4060+1%2F4+in.+x+2+in.+x+4+in.+Rebar+Demon%E2%84%A2+SDS%E2%80%91Plus+4%E2%80%91Cutter+Full+Carbide+Head+Hammer+Bit&amp;qid=1695174225&amp;sr=8-4")</f>
        <v>https://www.amazon.com/Diablo-SDS-Plus-4-Cutter-Carbide-Hammer/dp/B089KWVTD3/ref=sr_1_4?keywords=Diablo+Tools+DMAPL4060+1%2F4+in.+x+2+in.+x+4+in.+Rebar+Demon%E2%84%A2+SDS%E2%80%91Plus+4%E2%80%91Cutter+Full+Carbide+Head+Hammer+Bit&amp;qid=1695174225&amp;sr=8-4</v>
      </c>
      <c r="F2498" t="s">
        <v>6424</v>
      </c>
      <c r="G2498" t="e">
        <f ca="1">_xludf.IMAGE("https://edmondsonsupply.com/cdn/shop/products/4060.webp?v=1647637028")</f>
        <v>#NAME?</v>
      </c>
      <c r="H2498" t="e">
        <f ca="1">_xludf.IMAGE("https://m.media-amazon.com/images/I/61IkB-DVS1L._AC_UL320_.jpg")</f>
        <v>#NAME?</v>
      </c>
      <c r="I2498" t="s">
        <v>5983</v>
      </c>
      <c r="J2498">
        <v>9.5</v>
      </c>
      <c r="K2498" s="4">
        <v>1.7378</v>
      </c>
      <c r="L2498">
        <v>4.7</v>
      </c>
      <c r="M2498">
        <v>4</v>
      </c>
      <c r="O2498" t="s">
        <v>25</v>
      </c>
      <c r="P2498" t="s">
        <v>5984</v>
      </c>
      <c r="Q2498" t="s">
        <v>5985</v>
      </c>
    </row>
    <row r="2499" spans="1:17" ht="15.5" x14ac:dyDescent="0.35">
      <c r="A2499"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2499"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2499" t="s">
        <v>6425</v>
      </c>
      <c r="D2499" t="s">
        <v>6022</v>
      </c>
      <c r="E2499" s="3" t="str">
        <f>HYPERLINK("https://www.amazon.com/Klein-Tools-Receptacle-Testers-Multimeter/dp/B0B7817ZG5/ref=sr_1_8?keywords=Klein+Tools+ET45VP+AC%2FDC+Voltage+and+GFCI+Receptacle+Outlet+Test+Kit&amp;qid=1695174178&amp;sr=8-8", "https://www.amazon.com/Klein-Tools-Receptacle-Testers-Multimeter/dp/B0B7817ZG5/ref=sr_1_8?keywords=Klein+Tools+ET45VP+AC%2FDC+Voltage+and+GFCI+Receptacle+Outlet+Test+Kit&amp;qid=1695174178&amp;sr=8-8")</f>
        <v>https://www.amazon.com/Klein-Tools-Receptacle-Testers-Multimeter/dp/B0B7817ZG5/ref=sr_1_8?keywords=Klein+Tools+ET45VP+AC%2FDC+Voltage+and+GFCI+Receptacle+Outlet+Test+Kit&amp;qid=1695174178&amp;sr=8-8</v>
      </c>
      <c r="F2499" t="s">
        <v>6023</v>
      </c>
      <c r="G2499" t="e">
        <f ca="1">_xludf.IMAGE("https://edmondsonsupply.com/cdn/shop/products/et45vp.jpg?v=1660755922")</f>
        <v>#NAME?</v>
      </c>
      <c r="H2499" t="e">
        <f ca="1">_xludf.IMAGE("https://m.media-amazon.com/images/I/61wZRMpKAcL._AC_UL320_.jpg")</f>
        <v>#NAME?</v>
      </c>
      <c r="I2499" t="s">
        <v>2586</v>
      </c>
      <c r="J2499">
        <v>48.99</v>
      </c>
      <c r="K2499" s="4">
        <v>1.7262</v>
      </c>
      <c r="L2499">
        <v>4.7</v>
      </c>
      <c r="M2499">
        <v>406</v>
      </c>
      <c r="O2499" t="s">
        <v>25</v>
      </c>
      <c r="P2499" t="s">
        <v>6426</v>
      </c>
      <c r="Q2499" t="s">
        <v>6427</v>
      </c>
    </row>
    <row r="2500" spans="1:17" ht="15.5" x14ac:dyDescent="0.35">
      <c r="A2500"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2500" s="3" t="str">
        <f>HYPERLINK("https://edmondsonsupply.com/products/klein-tools-9416r-1000v-insulated-tool-kit-3-piece", "https://edmondsonsupply.com/products/klein-tools-9416r-1000v-insulated-tool-kit-3-piece")</f>
        <v>https://edmondsonsupply.com/products/klein-tools-9416r-1000v-insulated-tool-kit-3-piece</v>
      </c>
      <c r="C2500" t="s">
        <v>6428</v>
      </c>
      <c r="D2500" t="s">
        <v>2222</v>
      </c>
      <c r="E2500" s="3" t="str">
        <f>HYPERLINK("https://www.amazon.com/Insulated-9-Piece-Klein-Tools-33524/dp/B000MKIR9E/ref=sr_1_2?keywords=Klein+Tools+9416R+1000V+Insulated+Tool+Kit%2C+3-Piece&amp;qid=1695174123&amp;sr=8-2", "https://www.amazon.com/Insulated-9-Piece-Klein-Tools-33524/dp/B000MKIR9E/ref=sr_1_2?keywords=Klein+Tools+9416R+1000V+Insulated+Tool+Kit%2C+3-Piece&amp;qid=1695174123&amp;sr=8-2")</f>
        <v>https://www.amazon.com/Insulated-9-Piece-Klein-Tools-33524/dp/B000MKIR9E/ref=sr_1_2?keywords=Klein+Tools+9416R+1000V+Insulated+Tool+Kit%2C+3-Piece&amp;qid=1695174123&amp;sr=8-2</v>
      </c>
      <c r="F2500" t="s">
        <v>2223</v>
      </c>
      <c r="G2500" t="e">
        <f ca="1">_xludf.IMAGE("https://edmondsonsupply.com/cdn/shop/products/9416r.jpg?v=1667327475")</f>
        <v>#NAME?</v>
      </c>
      <c r="H2500" t="e">
        <f ca="1">_xludf.IMAGE("https://m.media-amazon.com/images/I/71+Db525CfL._AC_UL320_.jpg")</f>
        <v>#NAME?</v>
      </c>
      <c r="I2500" t="s">
        <v>6429</v>
      </c>
      <c r="J2500">
        <v>229.49</v>
      </c>
      <c r="K2500" s="4">
        <v>1.7001999999999999</v>
      </c>
      <c r="L2500">
        <v>4.4000000000000004</v>
      </c>
      <c r="M2500">
        <v>26</v>
      </c>
      <c r="O2500" t="s">
        <v>25</v>
      </c>
      <c r="P2500" t="s">
        <v>6430</v>
      </c>
      <c r="Q2500" t="s">
        <v>6431</v>
      </c>
    </row>
    <row r="2501" spans="1:17" ht="15.5" x14ac:dyDescent="0.35">
      <c r="A2501"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2501"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2501" t="s">
        <v>6432</v>
      </c>
      <c r="D2501" t="s">
        <v>330</v>
      </c>
      <c r="E2501" s="3" t="str">
        <f>HYPERLINK("https://www.amazon.com/Klein-Tools-Resistant-Corrosion-Mushrooming/dp/B093PYTVK3/ref=sr_1_9?keywords=Klein+Tools+5416+Tool+Bag%2C+Bull-Pin+and+Bolt+Pouch%2C+Belt+Strap+Connect%2C+5+x+10+x+9-Inch&amp;qid=1695174042&amp;sr=8-9", "https://www.amazon.com/Klein-Tools-Resistant-Corrosion-Mushrooming/dp/B093PYTVK3/ref=sr_1_9?keywords=Klein+Tools+5416+Tool+Bag%2C+Bull-Pin+and+Bolt+Pouch%2C+Belt+Strap+Connect%2C+5+x+10+x+9-Inch&amp;qid=1695174042&amp;sr=8-9")</f>
        <v>https://www.amazon.com/Klein-Tools-Resistant-Corrosion-Mushrooming/dp/B093PYTVK3/ref=sr_1_9?keywords=Klein+Tools+5416+Tool+Bag%2C+Bull-Pin+and+Bolt+Pouch%2C+Belt+Strap+Connect%2C+5+x+10+x+9-Inch&amp;qid=1695174042&amp;sr=8-9</v>
      </c>
      <c r="F2501" t="s">
        <v>331</v>
      </c>
      <c r="G2501" t="e">
        <f ca="1">_xludf.IMAGE("https://edmondsonsupply.com/cdn/shop/products/5416.jpg?v=1679664980")</f>
        <v>#NAME?</v>
      </c>
      <c r="H2501" t="e">
        <f ca="1">_xludf.IMAGE("https://m.media-amazon.com/images/I/51QTKZXYEJS._AC_UL320_.jpg")</f>
        <v>#NAME?</v>
      </c>
      <c r="I2501" t="s">
        <v>6242</v>
      </c>
      <c r="J2501">
        <v>47.98</v>
      </c>
      <c r="K2501" s="4">
        <v>1.6955</v>
      </c>
      <c r="L2501">
        <v>4.4000000000000004</v>
      </c>
      <c r="M2501">
        <v>58</v>
      </c>
      <c r="O2501" t="s">
        <v>25</v>
      </c>
      <c r="P2501" t="s">
        <v>6433</v>
      </c>
      <c r="Q2501" t="s">
        <v>6434</v>
      </c>
    </row>
    <row r="2502" spans="1:17" ht="15.5" x14ac:dyDescent="0.35">
      <c r="A2502"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2502" s="3" t="str">
        <f>HYPERLINK("https://edmondsonsupply.com/products/milwaukee-48-39-0521-18-tpi-band-saw-blade-deep-cut-3-pack", "https://edmondsonsupply.com/products/milwaukee-48-39-0521-18-tpi-band-saw-blade-deep-cut-3-pack")</f>
        <v>https://edmondsonsupply.com/products/milwaukee-48-39-0521-18-tpi-band-saw-blade-deep-cut-3-pack</v>
      </c>
      <c r="C2502" t="s">
        <v>5843</v>
      </c>
      <c r="D2502" t="s">
        <v>6435</v>
      </c>
      <c r="E2502" s="3" t="str">
        <f>HYPERLINK("https://www.amazon.com/Milwaukee-48-39-0572-Sub-Compact-Portable-Blade/dp/B083W3GY5W/ref=sr_1_10?keywords=Milwaukee+48-39-0521+18+TPI+Band+Saw+Blade%2C+Deep+Cut-+3+Pack&amp;qid=1695174009&amp;sr=8-10", "https://www.amazon.com/Milwaukee-48-39-0572-Sub-Compact-Portable-Blade/dp/B083W3GY5W/ref=sr_1_10?keywords=Milwaukee+48-39-0521+18+TPI+Band+Saw+Blade%2C+Deep+Cut-+3+Pack&amp;qid=1695174009&amp;sr=8-10")</f>
        <v>https://www.amazon.com/Milwaukee-48-39-0572-Sub-Compact-Portable-Blade/dp/B083W3GY5W/ref=sr_1_10?keywords=Milwaukee+48-39-0521+18+TPI+Band+Saw+Blade%2C+Deep+Cut-+3+Pack&amp;qid=1695174009&amp;sr=8-10</v>
      </c>
      <c r="F2502" t="s">
        <v>6436</v>
      </c>
      <c r="G2502" t="e">
        <f ca="1">_xludf.IMAGE("https://edmondsonsupply.com/cdn/shop/files/21432_48-39-0510_1.jpg?v=1686932969")</f>
        <v>#NAME?</v>
      </c>
      <c r="H2502" t="e">
        <f ca="1">_xludf.IMAGE("https://m.media-amazon.com/images/I/71vFJYQfiQL._AC_UL320_.jpg")</f>
        <v>#NAME?</v>
      </c>
      <c r="I2502" t="s">
        <v>2247</v>
      </c>
      <c r="J2502">
        <v>59.11</v>
      </c>
      <c r="K2502" s="4">
        <v>1.6904999999999999</v>
      </c>
      <c r="L2502">
        <v>4.5</v>
      </c>
      <c r="M2502">
        <v>45</v>
      </c>
      <c r="O2502" t="s">
        <v>25</v>
      </c>
      <c r="P2502" t="s">
        <v>5846</v>
      </c>
      <c r="Q2502" t="s">
        <v>5847</v>
      </c>
    </row>
    <row r="2503" spans="1:17" ht="15.5" x14ac:dyDescent="0.35">
      <c r="A2503"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2503"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2503" t="s">
        <v>6437</v>
      </c>
      <c r="D2503" t="s">
        <v>6435</v>
      </c>
      <c r="E2503" s="3" t="str">
        <f>HYPERLINK("https://www.amazon.com/Milwaukee-48-39-0572-Sub-Compact-Portable-Blade/dp/B083W3GY5W/ref=sr_1_3?keywords=Milwaukee+48-39-0572+18+TPI+Standard+Compact+Portable+Band+Saw+Blade+BULK+100&amp;qid=1695174058&amp;sr=8-3", "https://www.amazon.com/Milwaukee-48-39-0572-Sub-Compact-Portable-Blade/dp/B083W3GY5W/ref=sr_1_3?keywords=Milwaukee+48-39-0572+18+TPI+Standard+Compact+Portable+Band+Saw+Blade+BULK+100&amp;qid=1695174058&amp;sr=8-3")</f>
        <v>https://www.amazon.com/Milwaukee-48-39-0572-Sub-Compact-Portable-Blade/dp/B083W3GY5W/ref=sr_1_3?keywords=Milwaukee+48-39-0572+18+TPI+Standard+Compact+Portable+Band+Saw+Blade+BULK+100&amp;qid=1695174058&amp;sr=8-3</v>
      </c>
      <c r="F2503" t="s">
        <v>6436</v>
      </c>
      <c r="G2503" t="e">
        <f ca="1">_xludf.IMAGE("https://edmondsonsupply.com/cdn/shop/products/21432_48-39-0510.jpg?v=1678901662")</f>
        <v>#NAME?</v>
      </c>
      <c r="H2503" t="e">
        <f ca="1">_xludf.IMAGE("https://m.media-amazon.com/images/I/71vFJYQfiQL._AC_UL320_.jpg")</f>
        <v>#NAME?</v>
      </c>
      <c r="I2503" t="s">
        <v>2247</v>
      </c>
      <c r="J2503">
        <v>59.11</v>
      </c>
      <c r="K2503" s="4">
        <v>1.6904999999999999</v>
      </c>
      <c r="L2503">
        <v>4.5</v>
      </c>
      <c r="M2503">
        <v>45</v>
      </c>
      <c r="O2503" t="s">
        <v>25</v>
      </c>
      <c r="P2503" t="s">
        <v>6313</v>
      </c>
      <c r="Q2503" t="s">
        <v>6438</v>
      </c>
    </row>
    <row r="2504" spans="1:17" ht="15.5" x14ac:dyDescent="0.35">
      <c r="A2504"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2504" s="3" t="str">
        <f>HYPERLINK("https://edmondsonsupply.com/products/klein-tools-3005cr-ratcheting-crimper-10-22-awg", "https://edmondsonsupply.com/products/klein-tools-3005cr-ratcheting-crimper-10-22-awg")</f>
        <v>https://edmondsonsupply.com/products/klein-tools-3005cr-ratcheting-crimper-10-22-awg</v>
      </c>
      <c r="C2504" t="s">
        <v>1987</v>
      </c>
      <c r="D2504" t="s">
        <v>2046</v>
      </c>
      <c r="E2504" s="3" t="str">
        <f>HYPERLINK("https://www.amazon.com/Dismantling-Knife-1000V-Insulated-Ratcheting-Terminal/dp/B0BGJ84H4F/ref=sr_1_2?keywords=Klein+Tools+3005CR+Ratcheting+Crimper%2C+10-22+AWG+-+Insulated+Terminals&amp;qid=1695173864&amp;sr=8-2", "https://www.amazon.com/Dismantling-Knife-1000V-Insulated-Ratcheting-Terminal/dp/B0BGJ84H4F/ref=sr_1_2?keywords=Klein+Tools+3005CR+Ratcheting+Crimper%2C+10-22+AWG+-+Insulated+Terminals&amp;qid=1695173864&amp;sr=8-2")</f>
        <v>https://www.amazon.com/Dismantling-Knife-1000V-Insulated-Ratcheting-Terminal/dp/B0BGJ84H4F/ref=sr_1_2?keywords=Klein+Tools+3005CR+Ratcheting+Crimper%2C+10-22+AWG+-+Insulated+Terminals&amp;qid=1695173864&amp;sr=8-2</v>
      </c>
      <c r="F2504" t="s">
        <v>2047</v>
      </c>
      <c r="G2504" t="e">
        <f ca="1">_xludf.IMAGE("https://edmondsonsupply.com/cdn/shop/products/3005cr.jpg?v=1587146892")</f>
        <v>#NAME?</v>
      </c>
      <c r="H2504" t="e">
        <f ca="1">_xludf.IMAGE("https://m.media-amazon.com/images/I/41tkLMUuJaL._AC_UL320_.jpg")</f>
        <v>#NAME?</v>
      </c>
      <c r="I2504" t="s">
        <v>824</v>
      </c>
      <c r="J2504">
        <v>79.69</v>
      </c>
      <c r="K2504" s="4">
        <v>1.659</v>
      </c>
      <c r="L2504">
        <v>4.8</v>
      </c>
      <c r="M2504">
        <v>793</v>
      </c>
      <c r="O2504" t="s">
        <v>25</v>
      </c>
      <c r="P2504" t="s">
        <v>1990</v>
      </c>
      <c r="Q2504" t="s">
        <v>1991</v>
      </c>
    </row>
    <row r="2505" spans="1:17" ht="15.5" x14ac:dyDescent="0.35">
      <c r="A2505"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2505"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2505" t="s">
        <v>6439</v>
      </c>
      <c r="D2505" t="s">
        <v>6440</v>
      </c>
      <c r="E2505" s="3" t="str">
        <f>HYPERLINK("https://www.amazon.com/Klein-Tools-Screwdriver-16-Inch-Drivers/dp/B0C4H7N4GS/ref=sr_1_3?keywords=Klein+Tools+32768+3-in-1+Impact+Flip+Socket+Set%2C+1%2F4-Inch%2C+5%2F16-Inch%2C+2-Piece&amp;qid=1695174135&amp;sr=8-3", "https://www.amazon.com/Klein-Tools-Screwdriver-16-Inch-Drivers/dp/B0C4H7N4GS/ref=sr_1_3?keywords=Klein+Tools+32768+3-in-1+Impact+Flip+Socket+Set%2C+1%2F4-Inch%2C+5%2F16-Inch%2C+2-Piece&amp;qid=1695174135&amp;sr=8-3")</f>
        <v>https://www.amazon.com/Klein-Tools-Screwdriver-16-Inch-Drivers/dp/B0C4H7N4GS/ref=sr_1_3?keywords=Klein+Tools+32768+3-in-1+Impact+Flip+Socket+Set%2C+1%2F4-Inch%2C+5%2F16-Inch%2C+2-Piece&amp;qid=1695174135&amp;sr=8-3</v>
      </c>
      <c r="F2505" t="s">
        <v>6441</v>
      </c>
      <c r="G2505" t="e">
        <f ca="1">_xludf.IMAGE("https://edmondsonsupply.com/cdn/shop/products/32768.jpg?v=1666022946")</f>
        <v>#NAME?</v>
      </c>
      <c r="H2505" t="e">
        <f ca="1">_xludf.IMAGE("https://m.media-amazon.com/images/I/41GpUvTL7xL._AC_UL320_.jpg")</f>
        <v>#NAME?</v>
      </c>
      <c r="I2505" t="s">
        <v>2784</v>
      </c>
      <c r="J2505">
        <v>39.76</v>
      </c>
      <c r="K2505" s="4">
        <v>1.6559999999999999</v>
      </c>
      <c r="L2505">
        <v>5</v>
      </c>
      <c r="M2505">
        <v>1</v>
      </c>
      <c r="O2505" t="s">
        <v>25</v>
      </c>
      <c r="P2505" t="s">
        <v>854</v>
      </c>
      <c r="Q2505" t="s">
        <v>6442</v>
      </c>
    </row>
    <row r="2506" spans="1:17" ht="15.5" x14ac:dyDescent="0.35">
      <c r="A2506"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2506"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2506" t="s">
        <v>6443</v>
      </c>
      <c r="D2506" t="s">
        <v>2386</v>
      </c>
      <c r="E2506" s="3" t="str">
        <f>HYPERLINK("https://www.amazon.com/Journeyman-T-Handle-Klein-Tools-JTH6E13BE/dp/B004QW52YW/ref=sr_1_9?keywords=Klein+Tools+JTH4E06+3%2F32-Inch+Hex+Key%2C+Journeyman+T-Handle%2C+4-Inch&amp;qid=1695174228&amp;sr=8-9", "https://www.amazon.com/Journeyman-T-Handle-Klein-Tools-JTH6E13BE/dp/B004QW52YW/ref=sr_1_9?keywords=Klein+Tools+JTH4E06+3%2F32-Inch+Hex+Key%2C+Journeyman+T-Handle%2C+4-Inch&amp;qid=1695174228&amp;sr=8-9")</f>
        <v>https://www.amazon.com/Journeyman-T-Handle-Klein-Tools-JTH6E13BE/dp/B004QW52YW/ref=sr_1_9?keywords=Klein+Tools+JTH4E06+3%2F32-Inch+Hex+Key%2C+Journeyman+T-Handle%2C+4-Inch&amp;qid=1695174228&amp;sr=8-9</v>
      </c>
      <c r="F2506" t="s">
        <v>2387</v>
      </c>
      <c r="G2506" t="e">
        <f ca="1">_xludf.IMAGE("https://edmondsonsupply.com/cdn/shop/products/jth4e06.jpg?v=1635112029")</f>
        <v>#NAME?</v>
      </c>
      <c r="H2506" t="e">
        <f ca="1">_xludf.IMAGE("https://m.media-amazon.com/images/I/51f9vBFVXgL._AC_UL320_.jpg")</f>
        <v>#NAME?</v>
      </c>
      <c r="I2506" t="s">
        <v>6444</v>
      </c>
      <c r="J2506">
        <v>10.55</v>
      </c>
      <c r="K2506" s="4">
        <v>1.6440999999999999</v>
      </c>
      <c r="L2506">
        <v>4.7</v>
      </c>
      <c r="M2506">
        <v>32</v>
      </c>
      <c r="O2506" t="s">
        <v>25</v>
      </c>
      <c r="P2506" t="s">
        <v>2044</v>
      </c>
      <c r="Q2506" t="s">
        <v>6445</v>
      </c>
    </row>
    <row r="2507" spans="1:17" ht="15.5" x14ac:dyDescent="0.35">
      <c r="A2507" s="3" t="str">
        <f>HYPERLINK("https://edmondsonsupply.com/collections/electricians-tools/products/milwaukee-49-56-0072-1-3-8-hole-dozer%E2%84%A2-hole-saw-bi-metal-cup", "https://edmondsonsupply.com/collections/electricians-tools/products/milwaukee-49-56-0072-1-3-8-hole-dozer%E2%84%A2-hole-saw-bi-metal-cup")</f>
        <v>https://edmondsonsupply.com/collections/electricians-tools/products/milwaukee-49-56-0072-1-3-8-hole-dozer%E2%84%A2-hole-saw-bi-metal-cup</v>
      </c>
      <c r="B2507" s="3" t="str">
        <f>HYPERLINK("https://edmondsonsupply.com/products/milwaukee-49-56-0072-1-3-8-hole-dozer%e2%84%a2-hole-saw-bi-metal-cup", "https://edmondsonsupply.com/products/milwaukee-49-56-0072-1-3-8-hole-dozer%e2%84%a2-hole-saw-bi-metal-cup")</f>
        <v>https://edmondsonsupply.com/products/milwaukee-49-56-0072-1-3-8-hole-dozer%e2%84%a2-hole-saw-bi-metal-cup</v>
      </c>
      <c r="C2507" t="s">
        <v>6446</v>
      </c>
      <c r="D2507" t="s">
        <v>6447</v>
      </c>
      <c r="E2507" s="3" t="str">
        <f>HYPERLINK("https://www.amazon.com/Milwaukee-Electric-Tool-49-56-0193-Bi-Metal/dp/B0017WTULA/ref=sr_1_4?keywords=Milwaukee+49-56-0072+1-3%2F8%22+HOLE+DOZER%E2%84%A2+Hole+Saw+Bi-Metal+Cup&amp;qid=1695174054&amp;sr=8-4", "https://www.amazon.com/Milwaukee-Electric-Tool-49-56-0193-Bi-Metal/dp/B0017WTULA/ref=sr_1_4?keywords=Milwaukee+49-56-0072+1-3%2F8%22+HOLE+DOZER%E2%84%A2+Hole+Saw+Bi-Metal+Cup&amp;qid=1695174054&amp;sr=8-4")</f>
        <v>https://www.amazon.com/Milwaukee-Electric-Tool-49-56-0193-Bi-Metal/dp/B0017WTULA/ref=sr_1_4?keywords=Milwaukee+49-56-0072+1-3%2F8%22+HOLE+DOZER%E2%84%A2+Hole+Saw+Bi-Metal+Cup&amp;qid=1695174054&amp;sr=8-4</v>
      </c>
      <c r="F2507" t="s">
        <v>6448</v>
      </c>
      <c r="G2507" t="e">
        <f ca="1">_xludf.IMAGE("https://edmondsonsupply.com/cdn/shop/products/49-56-0052_101_2_442dad6a-cfd3-4167-9bee-4c5b358f3b1a.webp?v=1679417936")</f>
        <v>#NAME?</v>
      </c>
      <c r="H2507" t="e">
        <f ca="1">_xludf.IMAGE("https://m.media-amazon.com/images/I/51Yfl2-hbuL._AC_UL320_.jpg")</f>
        <v>#NAME?</v>
      </c>
      <c r="I2507" t="s">
        <v>2347</v>
      </c>
      <c r="J2507">
        <v>18.45</v>
      </c>
      <c r="K2507" s="4">
        <v>1.6395</v>
      </c>
      <c r="L2507">
        <v>4.5999999999999996</v>
      </c>
      <c r="M2507">
        <v>249</v>
      </c>
      <c r="O2507" t="s">
        <v>25</v>
      </c>
      <c r="P2507" t="s">
        <v>3464</v>
      </c>
      <c r="Q2507" t="s">
        <v>6449</v>
      </c>
    </row>
    <row r="2508" spans="1:17" ht="15.5" x14ac:dyDescent="0.35">
      <c r="A2508" s="3" t="str">
        <f>HYPERLINK("https://edmondsonsupply.com/collections/electricians-tools/products/milwaukee-49-56-0082-1-1-2-hole-dozer%E2%84%A2-hole-saw-bi-metal-cup", "https://edmondsonsupply.com/collections/electricians-tools/products/milwaukee-49-56-0082-1-1-2-hole-dozer%E2%84%A2-hole-saw-bi-metal-cup")</f>
        <v>https://edmondsonsupply.com/collections/electricians-tools/products/milwaukee-49-56-0082-1-1-2-hole-dozer%E2%84%A2-hole-saw-bi-metal-cup</v>
      </c>
      <c r="B2508" s="3" t="str">
        <f>HYPERLINK("https://edmondsonsupply.com/products/milwaukee-49-56-0082-1-1-2-hole-dozer%e2%84%a2-hole-saw-bi-metal-cup", "https://edmondsonsupply.com/products/milwaukee-49-56-0082-1-1-2-hole-dozer%e2%84%a2-hole-saw-bi-metal-cup")</f>
        <v>https://edmondsonsupply.com/products/milwaukee-49-56-0082-1-1-2-hole-dozer%e2%84%a2-hole-saw-bi-metal-cup</v>
      </c>
      <c r="C2508" t="s">
        <v>6188</v>
      </c>
      <c r="D2508" t="s">
        <v>6447</v>
      </c>
      <c r="E2508" s="3" t="str">
        <f>HYPERLINK("https://www.amazon.com/Milwaukee-Electric-Tool-49-56-0193-Bi-Metal/dp/B0017WTULA/ref=sr_1_4?keywords=Milwaukee+49-56-0082+1-1%2F2%22+HOLE+DOZER%E2%84%A2+Hole+Saw+Bi-Metal+Cup&amp;qid=1695174052&amp;sr=8-4", "https://www.amazon.com/Milwaukee-Electric-Tool-49-56-0193-Bi-Metal/dp/B0017WTULA/ref=sr_1_4?keywords=Milwaukee+49-56-0082+1-1%2F2%22+HOLE+DOZER%E2%84%A2+Hole+Saw+Bi-Metal+Cup&amp;qid=1695174052&amp;sr=8-4")</f>
        <v>https://www.amazon.com/Milwaukee-Electric-Tool-49-56-0193-Bi-Metal/dp/B0017WTULA/ref=sr_1_4?keywords=Milwaukee+49-56-0082+1-1%2F2%22+HOLE+DOZER%E2%84%A2+Hole+Saw+Bi-Metal+Cup&amp;qid=1695174052&amp;sr=8-4</v>
      </c>
      <c r="F2508" t="s">
        <v>6448</v>
      </c>
      <c r="G2508" t="e">
        <f ca="1">_xludf.IMAGE("https://edmondsonsupply.com/cdn/shop/products/49-56-0052_101_2_3e59b3b5-5134-4f73-a3fb-157d3c19d4d7.webp?v=1679416989")</f>
        <v>#NAME?</v>
      </c>
      <c r="H2508" t="e">
        <f ca="1">_xludf.IMAGE("https://m.media-amazon.com/images/I/51Yfl2-hbuL._AC_UL320_.jpg")</f>
        <v>#NAME?</v>
      </c>
      <c r="I2508" t="s">
        <v>2347</v>
      </c>
      <c r="J2508">
        <v>18.45</v>
      </c>
      <c r="K2508" s="4">
        <v>1.6395</v>
      </c>
      <c r="L2508">
        <v>4.5999999999999996</v>
      </c>
      <c r="M2508">
        <v>249</v>
      </c>
      <c r="O2508" t="s">
        <v>25</v>
      </c>
      <c r="P2508" t="s">
        <v>3464</v>
      </c>
      <c r="Q2508" t="s">
        <v>6191</v>
      </c>
    </row>
    <row r="2509" spans="1:17" ht="15.5" x14ac:dyDescent="0.35">
      <c r="A2509"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2509" s="3" t="str">
        <f>HYPERLINK("https://edmondsonsupply.com/products/klein-tools-630m-magnetic-nut-driver-set-3-inch-shafts-2-piece", "https://edmondsonsupply.com/products/klein-tools-630m-magnetic-nut-driver-set-3-inch-shafts-2-piece")</f>
        <v>https://edmondsonsupply.com/products/klein-tools-630m-magnetic-nut-driver-set-3-inch-shafts-2-piece</v>
      </c>
      <c r="C2509" t="s">
        <v>1690</v>
      </c>
      <c r="D2509" t="s">
        <v>2054</v>
      </c>
      <c r="E2509" s="3" t="str">
        <f>HYPERLINK("https://www.amazon.com/Driver-Metric-3-Inch-7-Piece-Klein/dp/B0009ORXQQ/ref=sr_1_5?keywords=Klein+Tools+630M+Magnetic+Nut+Driver+Set%2C+3-Inch+Shafts%2C+2-Piece&amp;qid=1695173928&amp;sr=8-5", "https://www.amazon.com/Driver-Metric-3-Inch-7-Piece-Klein/dp/B0009ORXQQ/ref=sr_1_5?keywords=Klein+Tools+630M+Magnetic+Nut+Driver+Set%2C+3-Inch+Shafts%2C+2-Piece&amp;qid=1695173928&amp;sr=8-5")</f>
        <v>https://www.amazon.com/Driver-Metric-3-Inch-7-Piece-Klein/dp/B0009ORXQQ/ref=sr_1_5?keywords=Klein+Tools+630M+Magnetic+Nut+Driver+Set%2C+3-Inch+Shafts%2C+2-Piece&amp;qid=1695173928&amp;sr=8-5</v>
      </c>
      <c r="F2509" t="s">
        <v>2055</v>
      </c>
      <c r="G2509" t="e">
        <f ca="1">_xludf.IMAGE("https://edmondsonsupply.com/cdn/shop/products/630m.jpg?v=1587143237")</f>
        <v>#NAME?</v>
      </c>
      <c r="H2509" t="e">
        <f ca="1">_xludf.IMAGE("https://m.media-amazon.com/images/I/61CnDJJyViL._AC_UL320_.jpg")</f>
        <v>#NAME?</v>
      </c>
      <c r="I2509" t="s">
        <v>1687</v>
      </c>
      <c r="J2509">
        <v>49.99</v>
      </c>
      <c r="K2509" s="4">
        <v>1.6324000000000001</v>
      </c>
      <c r="L2509">
        <v>4.8</v>
      </c>
      <c r="M2509">
        <v>588</v>
      </c>
      <c r="O2509" t="s">
        <v>25</v>
      </c>
      <c r="P2509" t="s">
        <v>1693</v>
      </c>
      <c r="Q2509" t="s">
        <v>1694</v>
      </c>
    </row>
    <row r="2510" spans="1:17" ht="15.5" x14ac:dyDescent="0.35">
      <c r="A2510"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2510" s="3" t="str">
        <f>HYPERLINK("https://edmondsonsupply.com/products/klein-tools-rt110-receptacle-tester", "https://edmondsonsupply.com/products/klein-tools-rt110-receptacle-tester")</f>
        <v>https://edmondsonsupply.com/products/klein-tools-rt110-receptacle-tester</v>
      </c>
      <c r="C2510" t="s">
        <v>6021</v>
      </c>
      <c r="D2510" t="s">
        <v>4313</v>
      </c>
      <c r="E2510" s="3" t="str">
        <f>HYPERLINK("https://www.amazon.com/Klein-Tools-80097-Beginner-3-Piece/dp/B0B7Z178B1/ref=sr_1_9?keywords=Klein+Tools+RT110+Receptacle+Tester&amp;qid=1695174267&amp;sr=8-9", "https://www.amazon.com/Klein-Tools-80097-Beginner-3-Piece/dp/B0B7Z178B1/ref=sr_1_9?keywords=Klein+Tools+RT110+Receptacle+Tester&amp;qid=1695174267&amp;sr=8-9")</f>
        <v>https://www.amazon.com/Klein-Tools-80097-Beginner-3-Piece/dp/B0B7Z178B1/ref=sr_1_9?keywords=Klein+Tools+RT110+Receptacle+Tester&amp;qid=1695174267&amp;sr=8-9</v>
      </c>
      <c r="F2510" t="s">
        <v>4314</v>
      </c>
      <c r="G2510" t="e">
        <f ca="1">_xludf.IMAGE("https://edmondsonsupply.com/cdn/shop/products/rt110.jpg?v=1633031036")</f>
        <v>#NAME?</v>
      </c>
      <c r="H2510" t="e">
        <f ca="1">_xludf.IMAGE("https://m.media-amazon.com/images/I/51TWbZ0INyL._AC_UL320_.jpg")</f>
        <v>#NAME?</v>
      </c>
      <c r="I2510" t="s">
        <v>1427</v>
      </c>
      <c r="J2510">
        <v>25.99</v>
      </c>
      <c r="K2510" s="4">
        <v>1.6068</v>
      </c>
      <c r="L2510">
        <v>4.5999999999999996</v>
      </c>
      <c r="M2510">
        <v>121</v>
      </c>
      <c r="O2510" t="s">
        <v>25</v>
      </c>
      <c r="P2510" t="s">
        <v>6024</v>
      </c>
      <c r="Q2510" t="s">
        <v>6025</v>
      </c>
    </row>
    <row r="2511" spans="1:17" ht="15.5" x14ac:dyDescent="0.35">
      <c r="A2511"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2511" s="3" t="str">
        <f>HYPERLINK("https://edmondsonsupply.com/products/diablo-tools-dsp1060-1-in-x-4-in-spade-bit", "https://edmondsonsupply.com/products/diablo-tools-dsp1060-1-in-x-4-in-spade-bit")</f>
        <v>https://edmondsonsupply.com/products/diablo-tools-dsp1060-1-in-x-4-in-spade-bit</v>
      </c>
      <c r="C2511" t="s">
        <v>6298</v>
      </c>
      <c r="D2511" t="s">
        <v>6450</v>
      </c>
      <c r="E2511" s="3" t="str">
        <f>HYPERLINK("https://www.amazon.com/Diablo-SPEEDemon-Spade-Bit/dp/B089KXW89T/ref=sr_1_1?keywords=Diablo+Tools+DSP1060+1+in.+x+4+in.+Spade+Bit&amp;qid=1695174100&amp;sr=8-1", "https://www.amazon.com/Diablo-SPEEDemon-Spade-Bit/dp/B089KXW89T/ref=sr_1_1?keywords=Diablo+Tools+DSP1060+1+in.+x+4+in.+Spade+Bit&amp;qid=1695174100&amp;sr=8-1")</f>
        <v>https://www.amazon.com/Diablo-SPEEDemon-Spade-Bit/dp/B089KXW89T/ref=sr_1_1?keywords=Diablo+Tools+DSP1060+1+in.+x+4+in.+Spade+Bit&amp;qid=1695174100&amp;sr=8-1</v>
      </c>
      <c r="F2511" t="s">
        <v>6451</v>
      </c>
      <c r="G2511" t="e">
        <f ca="1">_xludf.IMAGE("https://edmondsonsupply.com/cdn/shop/products/hanbmwlurgioczoyawta.webp?v=1670510289")</f>
        <v>#NAME?</v>
      </c>
      <c r="H2511" t="e">
        <f ca="1">_xludf.IMAGE("https://m.media-amazon.com/images/I/61J14M5Q68L._AC_UL320_.jpg")</f>
        <v>#NAME?</v>
      </c>
      <c r="I2511" t="s">
        <v>6301</v>
      </c>
      <c r="J2511">
        <v>6.74</v>
      </c>
      <c r="K2511" s="4">
        <v>1.6023000000000001</v>
      </c>
      <c r="L2511">
        <v>4.3</v>
      </c>
      <c r="M2511">
        <v>14</v>
      </c>
      <c r="O2511" t="s">
        <v>25</v>
      </c>
      <c r="P2511" t="s">
        <v>6302</v>
      </c>
      <c r="Q2511" t="s">
        <v>6303</v>
      </c>
    </row>
    <row r="2512" spans="1:17" ht="15.5" x14ac:dyDescent="0.35">
      <c r="A2512"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512" s="3" t="str">
        <f>HYPERLINK("https://edmondsonsupply.com/products/klein-tools-vdv427-300-impact-punchdown-tool-66-110-blade", "https://edmondsonsupply.com/products/klein-tools-vdv427-300-impact-punchdown-tool-66-110-blade")</f>
        <v>https://edmondsonsupply.com/products/klein-tools-vdv427-300-impact-punchdown-tool-66-110-blade</v>
      </c>
      <c r="C2512" t="s">
        <v>6289</v>
      </c>
      <c r="D2512" t="s">
        <v>6452</v>
      </c>
      <c r="E2512" s="3" t="str">
        <f>HYPERLINK("https://www.amazon.com/Technology-Connectors-Applications-Klein-Tools/dp/B0BM3B5HST/ref=sr_1_4?keywords=Klein+Tools+VDV427-300+Impact+Punchdown+Tool%2C+66%2F110+Blade&amp;qid=1695174221&amp;sr=8-4", "https://www.amazon.com/Technology-Connectors-Applications-Klein-Tools/dp/B0BM3B5HST/ref=sr_1_4?keywords=Klein+Tools+VDV427-300+Impact+Punchdown+Tool%2C+66%2F110+Blade&amp;qid=1695174221&amp;sr=8-4")</f>
        <v>https://www.amazon.com/Technology-Connectors-Applications-Klein-Tools/dp/B0BM3B5HST/ref=sr_1_4?keywords=Klein+Tools+VDV427-300+Impact+Punchdown+Tool%2C+66%2F110+Blade&amp;qid=1695174221&amp;sr=8-4</v>
      </c>
      <c r="F2512" t="s">
        <v>6453</v>
      </c>
      <c r="G2512" t="e">
        <f ca="1">_xludf.IMAGE("https://edmondsonsupply.com/cdn/shop/products/vdv427300.jpg?v=1646010568")</f>
        <v>#NAME?</v>
      </c>
      <c r="H2512" t="e">
        <f ca="1">_xludf.IMAGE("https://m.media-amazon.com/images/I/51XDsqYrc6L._AC_UL320_.jpg")</f>
        <v>#NAME?</v>
      </c>
      <c r="I2512" t="s">
        <v>246</v>
      </c>
      <c r="J2512">
        <v>103.96</v>
      </c>
      <c r="K2512" s="4">
        <v>1.601</v>
      </c>
      <c r="L2512">
        <v>4.7</v>
      </c>
      <c r="M2512">
        <v>312</v>
      </c>
      <c r="O2512" t="s">
        <v>25</v>
      </c>
      <c r="P2512" t="s">
        <v>1027</v>
      </c>
      <c r="Q2512" t="s">
        <v>6292</v>
      </c>
    </row>
    <row r="2513" spans="1:17" ht="15.5" x14ac:dyDescent="0.35">
      <c r="A2513" s="3" t="str">
        <f>HYPERLINK("https://edmondsonsupply.com/collections/electricians-tools/products/klein-tools-rt390", "https://edmondsonsupply.com/collections/electricians-tools/products/klein-tools-rt390")</f>
        <v>https://edmondsonsupply.com/collections/electricians-tools/products/klein-tools-rt390</v>
      </c>
      <c r="B2513" s="3" t="str">
        <f>HYPERLINK("https://edmondsonsupply.com/products/klein-tools-rt390", "https://edmondsonsupply.com/products/klein-tools-rt390")</f>
        <v>https://edmondsonsupply.com/products/klein-tools-rt390</v>
      </c>
      <c r="C2513" t="s">
        <v>6454</v>
      </c>
      <c r="D2513" t="s">
        <v>6455</v>
      </c>
      <c r="E2513" s="3" t="str">
        <f>HYPERLINK("https://www.amazon.com/Klein-Tools-Advanced-Analyzer-Identifies/dp/B0CCS6L8DC/ref=sr_1_2?keywords=Klein+Tools+RT390+Circuit+Analyzer&amp;qid=1695173904&amp;sr=8-2", "https://www.amazon.com/Klein-Tools-Advanced-Analyzer-Identifies/dp/B0CCS6L8DC/ref=sr_1_2?keywords=Klein+Tools+RT390+Circuit+Analyzer&amp;qid=1695173904&amp;sr=8-2")</f>
        <v>https://www.amazon.com/Klein-Tools-Advanced-Analyzer-Identifies/dp/B0CCS6L8DC/ref=sr_1_2?keywords=Klein+Tools+RT390+Circuit+Analyzer&amp;qid=1695173904&amp;sr=8-2</v>
      </c>
      <c r="F2513" t="s">
        <v>6456</v>
      </c>
      <c r="G2513" t="e">
        <f ca="1">_xludf.IMAGE("https://edmondsonsupply.com/cdn/shop/products/rt390.jpg?v=1677683463")</f>
        <v>#NAME?</v>
      </c>
      <c r="H2513" t="e">
        <f ca="1">_xludf.IMAGE("https://m.media-amazon.com/images/I/61pWayFxCIL._AC_UL320_.jpg")</f>
        <v>#NAME?</v>
      </c>
      <c r="I2513" t="s">
        <v>4155</v>
      </c>
      <c r="J2513">
        <v>389.98</v>
      </c>
      <c r="K2513" s="4">
        <v>1.6</v>
      </c>
      <c r="L2513">
        <v>5</v>
      </c>
      <c r="M2513">
        <v>1</v>
      </c>
      <c r="O2513" t="s">
        <v>25</v>
      </c>
      <c r="P2513" t="s">
        <v>6457</v>
      </c>
      <c r="Q2513" t="s">
        <v>6458</v>
      </c>
    </row>
    <row r="2514" spans="1:17" ht="15.5" x14ac:dyDescent="0.35">
      <c r="A2514" s="3" t="str">
        <f>HYPERLINK("https://edmondsonsupply.com/collections/electricians-tools/products/tajima-vrb2-5b-v-rex%E2%84%A2-ii-premium-tempered-steel-utility-knife-blades-5-blade-pack", "https://edmondsonsupply.com/collections/electricians-tools/products/tajima-vrb2-5b-v-rex%E2%84%A2-ii-premium-tempered-steel-utility-knife-blades-5-blade-pack")</f>
        <v>https://edmondsonsupply.com/collections/electricians-tools/products/tajima-vrb2-5b-v-rex%E2%84%A2-ii-premium-tempered-steel-utility-knife-blades-5-blade-pack</v>
      </c>
      <c r="B2514" s="3" t="str">
        <f>HYPERLINK("https://edmondsonsupply.com/products/tajima-vrb2-5b-v-rex%e2%84%a2-ii-premium-tempered-steel-utility-knife-blades-5-blade-pack", "https://edmondsonsupply.com/products/tajima-vrb2-5b-v-rex%e2%84%a2-ii-premium-tempered-steel-utility-knife-blades-5-blade-pack")</f>
        <v>https://edmondsonsupply.com/products/tajima-vrb2-5b-v-rex%e2%84%a2-ii-premium-tempered-steel-utility-knife-blades-5-blade-pack</v>
      </c>
      <c r="C2514" t="s">
        <v>5999</v>
      </c>
      <c r="D2514" t="s">
        <v>6459</v>
      </c>
      <c r="E2514" s="3" t="str">
        <f>HYPERLINK("https://www.amazon.com/Tajima-VRB2-5B-Premium-Tempered-Utility/dp/B00PX98GTA/ref=sr_1_1?keywords=Tajima+VRB2-5B+V-REX%E2%84%A2+II%2C+Premium+Tempered+Steel+Utility+Knife+Blades%2C+5-Blade+Pack&amp;qid=1695174251&amp;sr=8-1", "https://www.amazon.com/Tajima-VRB2-5B-Premium-Tempered-Utility/dp/B00PX98GTA/ref=sr_1_1?keywords=Tajima+VRB2-5B+V-REX%E2%84%A2+II%2C+Premium+Tempered+Steel+Utility+Knife+Blades%2C+5-Blade+Pack&amp;qid=1695174251&amp;sr=8-1")</f>
        <v>https://www.amazon.com/Tajima-VRB2-5B-Premium-Tempered-Utility/dp/B00PX98GTA/ref=sr_1_1?keywords=Tajima+VRB2-5B+V-REX%E2%84%A2+II%2C+Premium+Tempered+Steel+Utility+Knife+Blades%2C+5-Blade+Pack&amp;qid=1695174251&amp;sr=8-1</v>
      </c>
      <c r="F2514" t="s">
        <v>6460</v>
      </c>
      <c r="G2514" t="e">
        <f ca="1">_xludf.IMAGE("https://edmondsonsupply.com/cdn/shop/products/VRB2-5B.jpg?v=1633031167")</f>
        <v>#NAME?</v>
      </c>
      <c r="H2514" t="e">
        <f ca="1">_xludf.IMAGE("https://m.media-amazon.com/images/I/91F8smvxXFL._AC_UL320_.jpg")</f>
        <v>#NAME?</v>
      </c>
      <c r="I2514" t="s">
        <v>1386</v>
      </c>
      <c r="J2514">
        <v>8.99</v>
      </c>
      <c r="K2514" s="4">
        <v>1.5759000000000001</v>
      </c>
      <c r="L2514">
        <v>4.5999999999999996</v>
      </c>
      <c r="M2514">
        <v>85</v>
      </c>
      <c r="O2514" t="s">
        <v>25</v>
      </c>
      <c r="P2514" t="s">
        <v>138</v>
      </c>
      <c r="Q2514" t="s">
        <v>6000</v>
      </c>
    </row>
    <row r="2515" spans="1:17" ht="15.5" x14ac:dyDescent="0.35">
      <c r="A2515"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2515" s="3" t="str">
        <f>HYPERLINK("https://edmondsonsupply.com/products/diablo-tools-d0824x-8-1-4-in-x-24-tooth-framing-saw-blade", "https://edmondsonsupply.com/products/diablo-tools-d0824x-8-1-4-in-x-24-tooth-framing-saw-blade")</f>
        <v>https://edmondsonsupply.com/products/diablo-tools-d0824x-8-1-4-in-x-24-tooth-framing-saw-blade</v>
      </c>
      <c r="C2515" t="s">
        <v>6161</v>
      </c>
      <c r="D2515" t="s">
        <v>6461</v>
      </c>
      <c r="E2515" s="3" t="str">
        <f>HYPERLINK("https://www.amazon.com/Freud-D0824X-Diablo-4-inch-Framing/dp/B00W68OTLK/ref=sr_1_1?keywords=Diablo+Tools+D0824X+8-1%2F4+in.+x+24+Tooth+Framing+Saw+Blade&amp;qid=1695174053&amp;sr=8-1", "https://www.amazon.com/Freud-D0824X-Diablo-4-inch-Framing/dp/B00W68OTLK/ref=sr_1_1?keywords=Diablo+Tools+D0824X+8-1%2F4+in.+x+24+Tooth+Framing+Saw+Blade&amp;qid=1695174053&amp;sr=8-1")</f>
        <v>https://www.amazon.com/Freud-D0824X-Diablo-4-inch-Framing/dp/B00W68OTLK/ref=sr_1_1?keywords=Diablo+Tools+D0824X+8-1%2F4+in.+x+24+Tooth+Framing+Saw+Blade&amp;qid=1695174053&amp;sr=8-1</v>
      </c>
      <c r="F2515" t="s">
        <v>6462</v>
      </c>
      <c r="G2515" t="e">
        <f ca="1">_xludf.IMAGE("https://edmondsonsupply.com/cdn/shop/products/waqxzlwfclzed6nt6ziy.webp?v=1678979454")</f>
        <v>#NAME?</v>
      </c>
      <c r="H2515" t="e">
        <f ca="1">_xludf.IMAGE("https://m.media-amazon.com/images/I/71hGL+ZBRfL._AC_UL320_.jpg")</f>
        <v>#NAME?</v>
      </c>
      <c r="I2515" t="s">
        <v>6164</v>
      </c>
      <c r="J2515">
        <v>48.44</v>
      </c>
      <c r="K2515" s="4">
        <v>1.5535000000000001</v>
      </c>
      <c r="L2515">
        <v>4.5</v>
      </c>
      <c r="M2515">
        <v>23</v>
      </c>
      <c r="O2515" t="s">
        <v>25</v>
      </c>
      <c r="P2515" t="s">
        <v>6165</v>
      </c>
      <c r="Q2515" t="s">
        <v>6166</v>
      </c>
    </row>
    <row r="2516" spans="1:17" ht="15.5" x14ac:dyDescent="0.35">
      <c r="A2516"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2516" s="3" t="str">
        <f>HYPERLINK("https://edmondsonsupply.com/products/klein-tools-65064-2-in-1-hex-head-screwdriver-1-4-5-16", "https://edmondsonsupply.com/products/klein-tools-65064-2-in-1-hex-head-screwdriver-1-4-5-16")</f>
        <v>https://edmondsonsupply.com/products/klein-tools-65064-2-in-1-hex-head-screwdriver-1-4-5-16</v>
      </c>
      <c r="C2516" t="s">
        <v>2093</v>
      </c>
      <c r="D2516" t="s">
        <v>2094</v>
      </c>
      <c r="E2516" s="3" t="str">
        <f>HYPERLINK("https://www.amazon.com/Klein-Tools-Magnetic-Drivers-16-Inch/dp/B0BGPTVP3Z/ref=sr_1_4?keywords=Klein+Tools+65064+2-in-1+Nut+Driver%2C+Hex+Head%2C+1%2F4-Inch+and+5%2F16-Inch&amp;qid=1695173915&amp;sr=8-4", "https://www.amazon.com/Klein-Tools-Magnetic-Drivers-16-Inch/dp/B0BGPTVP3Z/ref=sr_1_4?keywords=Klein+Tools+65064+2-in-1+Nut+Driver%2C+Hex+Head%2C+1%2F4-Inch+and+5%2F16-Inch&amp;qid=1695173915&amp;sr=8-4")</f>
        <v>https://www.amazon.com/Klein-Tools-Magnetic-Drivers-16-Inch/dp/B0BGPTVP3Z/ref=sr_1_4?keywords=Klein+Tools+65064+2-in-1+Nut+Driver%2C+Hex+Head%2C+1%2F4-Inch+and+5%2F16-Inch&amp;qid=1695173915&amp;sr=8-4</v>
      </c>
      <c r="F2516" t="s">
        <v>2095</v>
      </c>
      <c r="G2516" t="e">
        <f ca="1">_xludf.IMAGE("https://edmondsonsupply.com/cdn/shop/products/65064.jpg?v=1587147719")</f>
        <v>#NAME?</v>
      </c>
      <c r="H2516" t="e">
        <f ca="1">_xludf.IMAGE("https://m.media-amazon.com/images/I/41iqeifLYLL._AC_UL320_.jpg")</f>
        <v>#NAME?</v>
      </c>
      <c r="I2516" t="s">
        <v>143</v>
      </c>
      <c r="J2516">
        <v>40.26</v>
      </c>
      <c r="K2516" s="4">
        <v>1.5209999999999999</v>
      </c>
      <c r="L2516">
        <v>5</v>
      </c>
      <c r="M2516">
        <v>1</v>
      </c>
      <c r="O2516" t="s">
        <v>25</v>
      </c>
      <c r="P2516" t="s">
        <v>2096</v>
      </c>
      <c r="Q2516" t="s">
        <v>2097</v>
      </c>
    </row>
    <row r="2517" spans="1:17" ht="15.5" x14ac:dyDescent="0.35">
      <c r="A2517"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2517"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2517" t="s">
        <v>6463</v>
      </c>
      <c r="D2517" t="s">
        <v>2345</v>
      </c>
      <c r="E2517" s="3" t="str">
        <f>HYPERLINK("https://www.amazon.com/Klein-Tools-JTH6M3BE-Journeyman-T-Handle/dp/B0CGLYY7WP/ref=sr_1_2?keywords=Klein+Tools+JTH6M6BE+6+mm+Ball-End+Hex+Key%2C+Journeyman%E2%84%A2+T-Handle%2C+6-Inch&amp;qid=1695174142&amp;sr=8-2", "https://www.amazon.com/Klein-Tools-JTH6M3BE-Journeyman-T-Handle/dp/B0CGLYY7WP/ref=sr_1_2?keywords=Klein+Tools+JTH6M6BE+6+mm+Ball-End+Hex+Key%2C+Journeyman%E2%84%A2+T-Handle%2C+6-Inch&amp;qid=1695174142&amp;sr=8-2")</f>
        <v>https://www.amazon.com/Klein-Tools-JTH6M3BE-Journeyman-T-Handle/dp/B0CGLYY7WP/ref=sr_1_2?keywords=Klein+Tools+JTH6M6BE+6+mm+Ball-End+Hex+Key%2C+Journeyman%E2%84%A2+T-Handle%2C+6-Inch&amp;qid=1695174142&amp;sr=8-2</v>
      </c>
      <c r="F2517" t="s">
        <v>2346</v>
      </c>
      <c r="G2517" t="e">
        <f ca="1">_xludf.IMAGE("https://edmondsonsupply.com/cdn/shop/products/jth6m8be_8608088e-2ec0-429e-80d7-5bd927a3a1b6.jpg?v=1666111557")</f>
        <v>#NAME?</v>
      </c>
      <c r="H2517" t="e">
        <f ca="1">_xludf.IMAGE("https://m.media-amazon.com/images/I/413sTNFMd7L._AC_UL320_.jpg")</f>
        <v>#NAME?</v>
      </c>
      <c r="I2517" t="s">
        <v>2639</v>
      </c>
      <c r="J2517">
        <v>15.1</v>
      </c>
      <c r="K2517" s="4">
        <v>1.5208999999999999</v>
      </c>
      <c r="L2517">
        <v>4.5999999999999996</v>
      </c>
      <c r="M2517">
        <v>184</v>
      </c>
      <c r="O2517" t="s">
        <v>25</v>
      </c>
      <c r="P2517" t="s">
        <v>6464</v>
      </c>
      <c r="Q2517" t="s">
        <v>6465</v>
      </c>
    </row>
    <row r="2518" spans="1:17" ht="15.5" x14ac:dyDescent="0.35">
      <c r="A2518"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2518"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2518" t="s">
        <v>6276</v>
      </c>
      <c r="D2518" t="s">
        <v>6338</v>
      </c>
      <c r="E2518" s="3" t="str">
        <f>HYPERLINK("https://www.amazon.com/Journeyman-T-Handle-Klein-Tools-JTH9M8/dp/B005G3HJSC/ref=sr_1_10?keywords=Klein+Tools+JTH9E13+1%2F4-Inch+Hex+Key+with+Journeyman+T-Handle%2C+9-Inch&amp;qid=1695174307&amp;sr=8-10", "https://www.amazon.com/Journeyman-T-Handle-Klein-Tools-JTH9M8/dp/B005G3HJSC/ref=sr_1_10?keywords=Klein+Tools+JTH9E13+1%2F4-Inch+Hex+Key+with+Journeyman+T-Handle%2C+9-Inch&amp;qid=1695174307&amp;sr=8-10")</f>
        <v>https://www.amazon.com/Journeyman-T-Handle-Klein-Tools-JTH9M8/dp/B005G3HJSC/ref=sr_1_10?keywords=Klein+Tools+JTH9E13+1%2F4-Inch+Hex+Key+with+Journeyman+T-Handle%2C+9-Inch&amp;qid=1695174307&amp;sr=8-10</v>
      </c>
      <c r="F2518" t="s">
        <v>6339</v>
      </c>
      <c r="G2518" t="e">
        <f ca="1">_xludf.IMAGE("https://edmondsonsupply.com/cdn/shop/products/jth9e12_7dcdbf9a-5acd-4824-8919-6aeb4a790072.jpg?v=1604060723")</f>
        <v>#NAME?</v>
      </c>
      <c r="H2518" t="e">
        <f ca="1">_xludf.IMAGE("https://m.media-amazon.com/images/I/51+1x0vz9XL._AC_UL320_.jpg")</f>
        <v>#NAME?</v>
      </c>
      <c r="I2518" t="s">
        <v>4617</v>
      </c>
      <c r="J2518">
        <v>16.27</v>
      </c>
      <c r="K2518" s="4">
        <v>1.5068999999999999</v>
      </c>
      <c r="L2518">
        <v>5</v>
      </c>
      <c r="M2518">
        <v>4</v>
      </c>
      <c r="O2518" t="s">
        <v>25</v>
      </c>
      <c r="P2518" t="s">
        <v>6277</v>
      </c>
      <c r="Q2518" t="s">
        <v>6278</v>
      </c>
    </row>
    <row r="2519" spans="1:17" ht="15.5" x14ac:dyDescent="0.35">
      <c r="A2519"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2519"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2519" t="s">
        <v>6437</v>
      </c>
      <c r="D2519" t="s">
        <v>6466</v>
      </c>
      <c r="E2519" s="3" t="str">
        <f>HYPERLINK("https://www.amazon.com/Milwaukee-48-39-0572-Sub-Compact-Portable-27-Inch/dp/B084GCHPC3/ref=sr_1_10?keywords=Milwaukee+48-39-0572+18+TPI+Standard+Compact+Portable+Band+Saw+Blade+BULK+100&amp;qid=1695174058&amp;sr=8-10", "https://www.amazon.com/Milwaukee-48-39-0572-Sub-Compact-Portable-27-Inch/dp/B084GCHPC3/ref=sr_1_10?keywords=Milwaukee+48-39-0572+18+TPI+Standard+Compact+Portable+Band+Saw+Blade+BULK+100&amp;qid=1695174058&amp;sr=8-10")</f>
        <v>https://www.amazon.com/Milwaukee-48-39-0572-Sub-Compact-Portable-27-Inch/dp/B084GCHPC3/ref=sr_1_10?keywords=Milwaukee+48-39-0572+18+TPI+Standard+Compact+Portable+Band+Saw+Blade+BULK+100&amp;qid=1695174058&amp;sr=8-10</v>
      </c>
      <c r="F2519" t="s">
        <v>6467</v>
      </c>
      <c r="G2519" t="e">
        <f ca="1">_xludf.IMAGE("https://edmondsonsupply.com/cdn/shop/products/21432_48-39-0510.jpg?v=1678901662")</f>
        <v>#NAME?</v>
      </c>
      <c r="H2519" t="e">
        <f ca="1">_xludf.IMAGE("https://m.media-amazon.com/images/I/71bCNL-RA5L._AC_UL320_.jpg")</f>
        <v>#NAME?</v>
      </c>
      <c r="I2519" t="s">
        <v>2247</v>
      </c>
      <c r="J2519">
        <v>54.99</v>
      </c>
      <c r="K2519" s="4">
        <v>1.5029999999999999</v>
      </c>
      <c r="L2519">
        <v>4.5999999999999996</v>
      </c>
      <c r="M2519">
        <v>78</v>
      </c>
      <c r="O2519" t="s">
        <v>25</v>
      </c>
      <c r="P2519" t="s">
        <v>6313</v>
      </c>
      <c r="Q2519" t="s">
        <v>6438</v>
      </c>
    </row>
    <row r="2520" spans="1:17" ht="15.5" x14ac:dyDescent="0.35">
      <c r="A2520"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2520" s="3" t="str">
        <f>HYPERLINK("https://edmondsonsupply.com/products/klein-tools-11045-wire-stripper-cutter-10-18-awg-solid", "https://edmondsonsupply.com/products/klein-tools-11045-wire-stripper-cutter-10-18-awg-solid")</f>
        <v>https://edmondsonsupply.com/products/klein-tools-11045-wire-stripper-cutter-10-18-awg-solid</v>
      </c>
      <c r="C2520" t="s">
        <v>6016</v>
      </c>
      <c r="D2520" t="s">
        <v>4580</v>
      </c>
      <c r="E2520" s="3" t="str">
        <f>HYPERLINK("https://www.amazon.com/Heavy-Stripper-Cutter-Crimper-Multi/dp/B08BX9RTPX/ref=sr_1_5?keywords=Klein+Tools+11045+Wire+Stripper%2FCutter+%2810-18+AWG+Solid%29&amp;qid=1695174263&amp;sr=8-5", "https://www.amazon.com/Heavy-Stripper-Cutter-Crimper-Multi/dp/B08BX9RTPX/ref=sr_1_5?keywords=Klein+Tools+11045+Wire+Stripper%2FCutter+%2810-18+AWG+Solid%29&amp;qid=1695174263&amp;sr=8-5")</f>
        <v>https://www.amazon.com/Heavy-Stripper-Cutter-Crimper-Multi/dp/B08BX9RTPX/ref=sr_1_5?keywords=Klein+Tools+11045+Wire+Stripper%2FCutter+%2810-18+AWG+Solid%29&amp;qid=1695174263&amp;sr=8-5</v>
      </c>
      <c r="F2520" t="s">
        <v>4581</v>
      </c>
      <c r="G2520" t="e">
        <f ca="1">_xludf.IMAGE("https://edmondsonsupply.com/cdn/shop/products/11045.jpg?v=1633031022")</f>
        <v>#NAME?</v>
      </c>
      <c r="H2520" t="e">
        <f ca="1">_xludf.IMAGE("https://m.media-amazon.com/images/I/51Oylu1vHoL._AC_UL320_.jpg")</f>
        <v>#NAME?</v>
      </c>
      <c r="I2520" t="s">
        <v>143</v>
      </c>
      <c r="J2520">
        <v>39.97</v>
      </c>
      <c r="K2520" s="4">
        <v>1.5027999999999999</v>
      </c>
      <c r="L2520">
        <v>4.7</v>
      </c>
      <c r="M2520">
        <v>726</v>
      </c>
      <c r="O2520" t="s">
        <v>25</v>
      </c>
      <c r="P2520" t="s">
        <v>6019</v>
      </c>
      <c r="Q2520" t="s">
        <v>6020</v>
      </c>
    </row>
    <row r="2521" spans="1:17" ht="15.5" x14ac:dyDescent="0.35">
      <c r="A2521"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2521" s="3" t="str">
        <f>HYPERLINK("https://edmondsonsupply.com/products/klein-tools-vaco-s10m-5-16-magnetic-nut-driver-3-hollow-shaft", "https://edmondsonsupply.com/products/klein-tools-vaco-s10m-5-16-magnetic-nut-driver-3-hollow-shaft")</f>
        <v>https://edmondsonsupply.com/products/klein-tools-vaco-s10m-5-16-magnetic-nut-driver-3-hollow-shaft</v>
      </c>
      <c r="C2521" t="s">
        <v>6468</v>
      </c>
      <c r="D2521" t="s">
        <v>1894</v>
      </c>
      <c r="E2521" s="3" t="str">
        <f>HYPERLINK("https://www.amazon.com/Magnetic-16-Inch-Klein-Tools-646M/dp/B000936QV0/ref=sr_1_10?keywords=Klein+Tools+S10M+5%2F16-Inch+Magnetic+Nut+Driver+3-Inch+Shaft&amp;qid=1695174019&amp;sr=8-10", "https://www.amazon.com/Magnetic-16-Inch-Klein-Tools-646M/dp/B000936QV0/ref=sr_1_10?keywords=Klein+Tools+S10M+5%2F16-Inch+Magnetic+Nut+Driver+3-Inch+Shaft&amp;qid=1695174019&amp;sr=8-10")</f>
        <v>https://www.amazon.com/Magnetic-16-Inch-Klein-Tools-646M/dp/B000936QV0/ref=sr_1_10?keywords=Klein+Tools+S10M+5%2F16-Inch+Magnetic+Nut+Driver+3-Inch+Shaft&amp;qid=1695174019&amp;sr=8-10</v>
      </c>
      <c r="F2521" t="s">
        <v>1895</v>
      </c>
      <c r="G2521" t="e">
        <f ca="1">_xludf.IMAGE("https://edmondsonsupply.com/cdn/shop/products/s10m_alt2.jpg?v=1587143022")</f>
        <v>#NAME?</v>
      </c>
      <c r="H2521" t="e">
        <f ca="1">_xludf.IMAGE("https://m.media-amazon.com/images/I/41lkJ6KRq9L._AC_UL320_.jpg")</f>
        <v>#NAME?</v>
      </c>
      <c r="I2521" t="s">
        <v>2577</v>
      </c>
      <c r="J2521">
        <v>24.99</v>
      </c>
      <c r="K2521" s="4">
        <v>1.5015000000000001</v>
      </c>
      <c r="L2521">
        <v>4.8</v>
      </c>
      <c r="M2521">
        <v>1654</v>
      </c>
      <c r="O2521" t="s">
        <v>25</v>
      </c>
      <c r="P2521" t="s">
        <v>6469</v>
      </c>
      <c r="Q2521" t="s">
        <v>6470</v>
      </c>
    </row>
    <row r="2522" spans="1:17" ht="15.5" x14ac:dyDescent="0.35">
      <c r="A2522"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522" s="3" t="str">
        <f>HYPERLINK("https://edmondsonsupply.com/products/klein-tools-et45-ac-dc-voltage-tester", "https://edmondsonsupply.com/products/klein-tools-et45-ac-dc-voltage-tester")</f>
        <v>https://edmondsonsupply.com/products/klein-tools-et45-ac-dc-voltage-tester</v>
      </c>
      <c r="C2522" t="s">
        <v>6080</v>
      </c>
      <c r="D2522" t="s">
        <v>3854</v>
      </c>
      <c r="E2522" s="3" t="str">
        <f>HYPERLINK("https://www.amazon.com/Klein-Tools-80077-Electronic-Non-Contact/dp/B0B11F7Q69/ref=sr_1_7?keywords=Klein+Tools+ET45+AC%2FDC+Voltage+Tester&amp;qid=1695174290&amp;sr=8-7", "https://www.amazon.com/Klein-Tools-80077-Electronic-Non-Contact/dp/B0B11F7Q69/ref=sr_1_7?keywords=Klein+Tools+ET45+AC%2FDC+Voltage+Tester&amp;qid=1695174290&amp;sr=8-7")</f>
        <v>https://www.amazon.com/Klein-Tools-80077-Electronic-Non-Contact/dp/B0B11F7Q69/ref=sr_1_7?keywords=Klein+Tools+ET45+AC%2FDC+Voltage+Tester&amp;qid=1695174290&amp;sr=8-7</v>
      </c>
      <c r="F2522" t="s">
        <v>3855</v>
      </c>
      <c r="G2522" t="e">
        <f ca="1">_xludf.IMAGE("https://edmondsonsupply.com/cdn/shop/products/et45.jpg?v=1647786270")</f>
        <v>#NAME?</v>
      </c>
      <c r="H2522" t="e">
        <f ca="1">_xludf.IMAGE("https://m.media-amazon.com/images/I/51cU3aEkbCL._AC_UL320_.jpg")</f>
        <v>#NAME?</v>
      </c>
      <c r="I2522" t="s">
        <v>2337</v>
      </c>
      <c r="J2522">
        <v>29.99</v>
      </c>
      <c r="K2522" s="4">
        <v>1.5013000000000001</v>
      </c>
      <c r="L2522">
        <v>4.5999999999999996</v>
      </c>
      <c r="M2522">
        <v>183</v>
      </c>
      <c r="O2522" t="s">
        <v>25</v>
      </c>
      <c r="P2522" t="s">
        <v>6083</v>
      </c>
      <c r="Q2522" t="s">
        <v>6084</v>
      </c>
    </row>
    <row r="2523" spans="1:17" ht="15.5" x14ac:dyDescent="0.35">
      <c r="A2523" s="3" t="str">
        <f>HYPERLINK("https://edmondsonsupply.com/collections/electricians-tools/products/klein-tools-et920-usb-digital-meter-usb-a-and-usb-c", "https://edmondsonsupply.com/collections/electricians-tools/products/klein-tools-et920-usb-digital-meter-usb-a-and-usb-c")</f>
        <v>https://edmondsonsupply.com/collections/electricians-tools/products/klein-tools-et920-usb-digital-meter-usb-a-and-usb-c</v>
      </c>
      <c r="B2523" s="3" t="str">
        <f>HYPERLINK("https://edmondsonsupply.com/products/klein-tools-et920-usb-digital-meter-usb-a-and-usb-c", "https://edmondsonsupply.com/products/klein-tools-et920-usb-digital-meter-usb-a-and-usb-c")</f>
        <v>https://edmondsonsupply.com/products/klein-tools-et920-usb-digital-meter-usb-a-and-usb-c</v>
      </c>
      <c r="C2523" t="s">
        <v>6471</v>
      </c>
      <c r="D2523" t="s">
        <v>6472</v>
      </c>
      <c r="E2523" s="3" t="str">
        <f>HYPERLINK("https://www.amazon.com/Klein-Tools-Digital-Voltage-Non-Contact/dp/B0BM3QKQ5G/ref=sr_1_2?keywords=Klein+Tools+ET920+USB+Digital+Meter%2C+USB-A+and+USB-C&amp;qid=1695174224&amp;sr=8-2", "https://www.amazon.com/Klein-Tools-Digital-Voltage-Non-Contact/dp/B0BM3QKQ5G/ref=sr_1_2?keywords=Klein+Tools+ET920+USB+Digital+Meter%2C+USB-A+and+USB-C&amp;qid=1695174224&amp;sr=8-2")</f>
        <v>https://www.amazon.com/Klein-Tools-Digital-Voltage-Non-Contact/dp/B0BM3QKQ5G/ref=sr_1_2?keywords=Klein+Tools+ET920+USB+Digital+Meter%2C+USB-A+and+USB-C&amp;qid=1695174224&amp;sr=8-2</v>
      </c>
      <c r="F2523" t="s">
        <v>6473</v>
      </c>
      <c r="G2523" t="e">
        <f ca="1">_xludf.IMAGE("https://edmondsonsupply.com/cdn/shop/products/et920.jpg?v=1642643803")</f>
        <v>#NAME?</v>
      </c>
      <c r="H2523" t="e">
        <f ca="1">_xludf.IMAGE("https://m.media-amazon.com/images/I/51EgBu7yVDL._AC_UL320_.jpg")</f>
        <v>#NAME?</v>
      </c>
      <c r="I2523" t="s">
        <v>246</v>
      </c>
      <c r="J2523">
        <v>99.96</v>
      </c>
      <c r="K2523" s="4">
        <v>1.5008999999999999</v>
      </c>
      <c r="L2523">
        <v>5</v>
      </c>
      <c r="M2523">
        <v>1</v>
      </c>
      <c r="O2523" t="s">
        <v>25</v>
      </c>
      <c r="P2523" t="s">
        <v>6474</v>
      </c>
      <c r="Q2523" t="s">
        <v>6475</v>
      </c>
    </row>
    <row r="2524" spans="1:17" ht="15.5" x14ac:dyDescent="0.35">
      <c r="A2524" s="3" t="str">
        <f>HYPERLINK("https://edmondsonsupply.com/collections/electricians-tools/products/klein-tools-607-3-mini-screwdriver-3-32-inch-cabinet-tip-3-inch", "https://edmondsonsupply.com/collections/electricians-tools/products/klein-tools-607-3-mini-screwdriver-3-32-inch-cabinet-tip-3-inch")</f>
        <v>https://edmondsonsupply.com/collections/electricians-tools/products/klein-tools-607-3-mini-screwdriver-3-32-inch-cabinet-tip-3-inch</v>
      </c>
      <c r="B2524" s="3" t="str">
        <f>HYPERLINK("https://edmondsonsupply.com/products/klein-tools-607-3-mini-screwdriver-3-32-inch-cabinet-tip-3-inch", "https://edmondsonsupply.com/products/klein-tools-607-3-mini-screwdriver-3-32-inch-cabinet-tip-3-inch")</f>
        <v>https://edmondsonsupply.com/products/klein-tools-607-3-mini-screwdriver-3-32-inch-cabinet-tip-3-inch</v>
      </c>
      <c r="C2524" t="s">
        <v>6476</v>
      </c>
      <c r="D2524" t="s">
        <v>6477</v>
      </c>
      <c r="E2524" s="3" t="str">
        <f>HYPERLINK("https://www.amazon.com/Insulated-Screwdriver-Klein-Tools-607-3-INS/dp/B00J9S35OW/ref=sr_1_1?keywords=Klein+Tools+607-3+Mini+Screwdriver%2C+3%2F32-Inch+Cabinet+Tip%2C+3-Inch&amp;qid=1695174302&amp;sr=8-1", "https://www.amazon.com/Insulated-Screwdriver-Klein-Tools-607-3-INS/dp/B00J9S35OW/ref=sr_1_1?keywords=Klein+Tools+607-3+Mini+Screwdriver%2C+3%2F32-Inch+Cabinet+Tip%2C+3-Inch&amp;qid=1695174302&amp;sr=8-1")</f>
        <v>https://www.amazon.com/Insulated-Screwdriver-Klein-Tools-607-3-INS/dp/B00J9S35OW/ref=sr_1_1?keywords=Klein+Tools+607-3+Mini+Screwdriver%2C+3%2F32-Inch+Cabinet+Tip%2C+3-Inch&amp;qid=1695174302&amp;sr=8-1</v>
      </c>
      <c r="F2524" t="s">
        <v>6478</v>
      </c>
      <c r="G2524" t="e">
        <f ca="1">_xludf.IMAGE("https://edmondsonsupply.com/cdn/shop/products/607-3_5e9ac034-1968-449c-957e-7d3aa01f1413.jpg?v=1633030814")</f>
        <v>#NAME?</v>
      </c>
      <c r="H2524" t="e">
        <f ca="1">_xludf.IMAGE("https://m.media-amazon.com/images/I/51qSRHnYpuL._AC_UL320_.jpg")</f>
        <v>#NAME?</v>
      </c>
      <c r="I2524" t="s">
        <v>2347</v>
      </c>
      <c r="J2524">
        <v>17.48</v>
      </c>
      <c r="K2524" s="4">
        <v>1.5006999999999999</v>
      </c>
      <c r="L2524">
        <v>4.2</v>
      </c>
      <c r="M2524">
        <v>62</v>
      </c>
      <c r="O2524" t="s">
        <v>25</v>
      </c>
      <c r="P2524" t="s">
        <v>6479</v>
      </c>
      <c r="Q2524" t="s">
        <v>6480</v>
      </c>
    </row>
    <row r="2525" spans="1:17" ht="15.5" x14ac:dyDescent="0.35">
      <c r="A2525"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2525" s="3" t="str">
        <f>HYPERLINK("https://edmondsonsupply.com/products/klein-tools-31856-1-1-8-inch-carbide-hole-cutter", "https://edmondsonsupply.com/products/klein-tools-31856-1-1-8-inch-carbide-hole-cutter")</f>
        <v>https://edmondsonsupply.com/products/klein-tools-31856-1-1-8-inch-carbide-hole-cutter</v>
      </c>
      <c r="C2525" t="s">
        <v>6035</v>
      </c>
      <c r="D2525" t="s">
        <v>6481</v>
      </c>
      <c r="E2525" s="3" t="str">
        <f>HYPERLINK("https://www.amazon.com/Carbide-Cutter-Klein-Tools-31872/dp/B003CCR97A/ref=sr_1_3?keywords=Klein+Tools+31856+1-1%2F8-Inch+Carbide+Hole+Cutter&amp;qid=1695174011&amp;sr=8-3", "https://www.amazon.com/Carbide-Cutter-Klein-Tools-31872/dp/B003CCR97A/ref=sr_1_3?keywords=Klein+Tools+31856+1-1%2F8-Inch+Carbide+Hole+Cutter&amp;qid=1695174011&amp;sr=8-3")</f>
        <v>https://www.amazon.com/Carbide-Cutter-Klein-Tools-31872/dp/B003CCR97A/ref=sr_1_3?keywords=Klein+Tools+31856+1-1%2F8-Inch+Carbide+Hole+Cutter&amp;qid=1695174011&amp;sr=8-3</v>
      </c>
      <c r="F2525" t="s">
        <v>6482</v>
      </c>
      <c r="G2525" t="e">
        <f ca="1">_xludf.IMAGE("https://edmondsonsupply.com/cdn/shop/files/31856.jpg?v=1685712345")</f>
        <v>#NAME?</v>
      </c>
      <c r="H2525" t="e">
        <f ca="1">_xludf.IMAGE("https://m.media-amazon.com/images/I/61oX7BDmtJL._AC_UL320_.jpg")</f>
        <v>#NAME?</v>
      </c>
      <c r="I2525" t="s">
        <v>261</v>
      </c>
      <c r="J2525">
        <v>89.99</v>
      </c>
      <c r="K2525" s="4">
        <v>1.5004</v>
      </c>
      <c r="L2525">
        <v>4.7</v>
      </c>
      <c r="M2525">
        <v>929</v>
      </c>
      <c r="O2525" t="s">
        <v>25</v>
      </c>
      <c r="P2525" t="s">
        <v>6038</v>
      </c>
      <c r="Q2525" t="s">
        <v>6039</v>
      </c>
    </row>
    <row r="2526" spans="1:17" ht="15.5" x14ac:dyDescent="0.35">
      <c r="A2526"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2526" s="3" t="str">
        <f>HYPERLINK("https://edmondsonsupply.com/products/klein-tools-32314-14-in-1-precision-screwdriver-nut-driver", "https://edmondsonsupply.com/products/klein-tools-32314-14-in-1-precision-screwdriver-nut-driver")</f>
        <v>https://edmondsonsupply.com/products/klein-tools-32314-14-in-1-precision-screwdriver-nut-driver</v>
      </c>
      <c r="C2526" t="s">
        <v>1999</v>
      </c>
      <c r="D2526" t="s">
        <v>2107</v>
      </c>
      <c r="E2526" s="3" t="str">
        <f>HYPERLINK("https://www.amazon.com/Screwdriver-Adjustable-Klein-Tools-Electronic/dp/B0BM34Q1QR/ref=sr_1_6?keywords=Klein+Tools+32314+14-in-1+Precision+Screwdriver%2F+Nut+Driver&amp;qid=1695173878&amp;sr=8-6", "https://www.amazon.com/Screwdriver-Adjustable-Klein-Tools-Electronic/dp/B0BM34Q1QR/ref=sr_1_6?keywords=Klein+Tools+32314+14-in-1+Precision+Screwdriver%2F+Nut+Driver&amp;qid=1695173878&amp;sr=8-6")</f>
        <v>https://www.amazon.com/Screwdriver-Adjustable-Klein-Tools-Electronic/dp/B0BM34Q1QR/ref=sr_1_6?keywords=Klein+Tools+32314+14-in-1+Precision+Screwdriver%2F+Nut+Driver&amp;qid=1695173878&amp;sr=8-6</v>
      </c>
      <c r="F2526" t="s">
        <v>2108</v>
      </c>
      <c r="G2526" t="e">
        <f ca="1">_xludf.IMAGE("https://edmondsonsupply.com/cdn/shop/products/32314.jpg?v=1646593726")</f>
        <v>#NAME?</v>
      </c>
      <c r="H2526" t="e">
        <f ca="1">_xludf.IMAGE("https://m.media-amazon.com/images/I/41C5e4ThtpL._AC_UL320_.jpg")</f>
        <v>#NAME?</v>
      </c>
      <c r="I2526" t="s">
        <v>143</v>
      </c>
      <c r="J2526">
        <v>39.74</v>
      </c>
      <c r="K2526" s="4">
        <v>1.4883999999999999</v>
      </c>
      <c r="L2526">
        <v>5</v>
      </c>
      <c r="M2526">
        <v>1</v>
      </c>
      <c r="O2526" t="s">
        <v>25</v>
      </c>
      <c r="P2526" t="s">
        <v>2002</v>
      </c>
      <c r="Q2526" t="s">
        <v>2003</v>
      </c>
    </row>
    <row r="2527" spans="1:17" ht="15.5" x14ac:dyDescent="0.35">
      <c r="A2527"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2527" s="3" t="str">
        <f>HYPERLINK("https://edmondsonsupply.com/products/diablo-tools-d0604dh-6-1-2-in-x-4-tooth-fiber-cement", "https://edmondsonsupply.com/products/diablo-tools-d0604dh-6-1-2-in-x-4-tooth-fiber-cement")</f>
        <v>https://edmondsonsupply.com/products/diablo-tools-d0604dh-6-1-2-in-x-4-tooth-fiber-cement</v>
      </c>
      <c r="C2527" t="s">
        <v>6483</v>
      </c>
      <c r="D2527" t="s">
        <v>6484</v>
      </c>
      <c r="E2527" s="3" t="str">
        <f>HYPERLINK("https://www.amazon.com/Freud-Diablo-Company-Fiber-Cement-D0604DH/dp/B09711QP6W/ref=sr_1_1?keywords=Diablo+Tools+D0604DH+6-1%2F2+in.+x+4+Tooth+Fiber+Cement&amp;qid=1695174076&amp;sr=8-1", "https://www.amazon.com/Freud-Diablo-Company-Fiber-Cement-D0604DH/dp/B09711QP6W/ref=sr_1_1?keywords=Diablo+Tools+D0604DH+6-1%2F2+in.+x+4+Tooth+Fiber+Cement&amp;qid=1695174076&amp;sr=8-1")</f>
        <v>https://www.amazon.com/Freud-Diablo-Company-Fiber-Cement-D0604DH/dp/B09711QP6W/ref=sr_1_1?keywords=Diablo+Tools+D0604DH+6-1%2F2+in.+x+4+Tooth+Fiber+Cement&amp;qid=1695174076&amp;sr=8-1</v>
      </c>
      <c r="F2527" t="s">
        <v>6485</v>
      </c>
      <c r="G2527" t="e">
        <f ca="1">_xludf.IMAGE("https://edmondsonsupply.com/cdn/shop/products/b97gznmuns4ffl0mabzf.webp?v=1679319668")</f>
        <v>#NAME?</v>
      </c>
      <c r="H2527" t="e">
        <f ca="1">_xludf.IMAGE("https://m.media-amazon.com/images/I/61Cy1FOFicL._AC_UL320_.jpg")</f>
        <v>#NAME?</v>
      </c>
      <c r="I2527" t="s">
        <v>380</v>
      </c>
      <c r="J2527">
        <v>123.99</v>
      </c>
      <c r="K2527" s="4">
        <v>1.4813000000000001</v>
      </c>
      <c r="L2527">
        <v>1</v>
      </c>
      <c r="M2527">
        <v>1</v>
      </c>
      <c r="O2527" t="s">
        <v>25</v>
      </c>
      <c r="P2527" t="s">
        <v>6486</v>
      </c>
      <c r="Q2527" t="s">
        <v>6487</v>
      </c>
    </row>
    <row r="2528" spans="1:17" ht="15.5" x14ac:dyDescent="0.35">
      <c r="A2528"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2528"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2528" t="s">
        <v>6425</v>
      </c>
      <c r="D2528" t="s">
        <v>2698</v>
      </c>
      <c r="E2528" s="3" t="str">
        <f>HYPERLINK("https://www.amazon.com/Non-Contact-Receptacle-Klein-Tools-RT250KIT/dp/B08YDFQ2FV/ref=sr_1_6?keywords=Klein+Tools+ET45VP+AC%2FDC+Voltage+and+GFCI+Receptacle+Outlet+Test+Kit&amp;qid=1695174178&amp;sr=8-6", "https://www.amazon.com/Non-Contact-Receptacle-Klein-Tools-RT250KIT/dp/B08YDFQ2FV/ref=sr_1_6?keywords=Klein+Tools+ET45VP+AC%2FDC+Voltage+and+GFCI+Receptacle+Outlet+Test+Kit&amp;qid=1695174178&amp;sr=8-6")</f>
        <v>https://www.amazon.com/Non-Contact-Receptacle-Klein-Tools-RT250KIT/dp/B08YDFQ2FV/ref=sr_1_6?keywords=Klein+Tools+ET45VP+AC%2FDC+Voltage+and+GFCI+Receptacle+Outlet+Test+Kit&amp;qid=1695174178&amp;sr=8-6</v>
      </c>
      <c r="F2528" t="s">
        <v>2699</v>
      </c>
      <c r="G2528" t="e">
        <f ca="1">_xludf.IMAGE("https://edmondsonsupply.com/cdn/shop/products/et45vp.jpg?v=1660755922")</f>
        <v>#NAME?</v>
      </c>
      <c r="H2528" t="e">
        <f ca="1">_xludf.IMAGE("https://m.media-amazon.com/images/I/61WaBlkJfxL._AC_UL320_.jpg")</f>
        <v>#NAME?</v>
      </c>
      <c r="I2528" t="s">
        <v>2586</v>
      </c>
      <c r="J2528">
        <v>44.54</v>
      </c>
      <c r="K2528" s="4">
        <v>1.4785999999999999</v>
      </c>
      <c r="L2528">
        <v>4.8</v>
      </c>
      <c r="M2528">
        <v>1269</v>
      </c>
      <c r="O2528" t="s">
        <v>25</v>
      </c>
      <c r="P2528" t="s">
        <v>6426</v>
      </c>
      <c r="Q2528" t="s">
        <v>6427</v>
      </c>
    </row>
    <row r="2529" spans="1:17" ht="15.5" x14ac:dyDescent="0.35">
      <c r="A2529"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2529"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2529" t="s">
        <v>2115</v>
      </c>
      <c r="D2529" t="s">
        <v>2116</v>
      </c>
      <c r="E2529" s="3" t="str">
        <f>HYPERLINK("https://www.amazon.com/Klein-Tools-Screwdriver-Adjustable-Multi-bit/dp/B0C9994NG7/ref=sr_1_5?keywords=Klein+Tools+32304+14-in-1+HVAC+Adjustable-Length+Impact+Screwdriver+with+Flip+Socket&amp;qid=1695173856&amp;sr=8-5", "https://www.amazon.com/Klein-Tools-Screwdriver-Adjustable-Multi-bit/dp/B0C9994NG7/ref=sr_1_5?keywords=Klein+Tools+32304+14-in-1+HVAC+Adjustable-Length+Impact+Screwdriver+with+Flip+Socket&amp;qid=1695173856&amp;sr=8-5")</f>
        <v>https://www.amazon.com/Klein-Tools-Screwdriver-Adjustable-Multi-bit/dp/B0C9994NG7/ref=sr_1_5?keywords=Klein+Tools+32304+14-in-1+HVAC+Adjustable-Length+Impact+Screwdriver+with+Flip+Socket&amp;qid=1695173856&amp;sr=8-5</v>
      </c>
      <c r="F2529" t="s">
        <v>2117</v>
      </c>
      <c r="G2529" t="e">
        <f ca="1">_xludf.IMAGE("https://edmondsonsupply.com/cdn/shop/products/32304.jpg?v=1666019479")</f>
        <v>#NAME?</v>
      </c>
      <c r="H2529" t="e">
        <f ca="1">_xludf.IMAGE("https://m.media-amazon.com/images/I/51++VSv2MoL._AC_UL320_.jpg")</f>
        <v>#NAME?</v>
      </c>
      <c r="I2529" t="s">
        <v>859</v>
      </c>
      <c r="J2529">
        <v>61.73</v>
      </c>
      <c r="K2529" s="4">
        <v>1.4722</v>
      </c>
      <c r="L2529">
        <v>5</v>
      </c>
      <c r="M2529">
        <v>1</v>
      </c>
      <c r="O2529" t="s">
        <v>25</v>
      </c>
      <c r="P2529" t="s">
        <v>602</v>
      </c>
      <c r="Q2529" t="s">
        <v>2118</v>
      </c>
    </row>
    <row r="2530" spans="1:17" ht="15.5" x14ac:dyDescent="0.35">
      <c r="A2530" s="3" t="str">
        <f>HYPERLINK("https://edmondsonsupply.com/collections/electricians-tools/products/diablo-tools-d0724da-7-1-4-in-24-tooth-%E2%84%A2-framing-demolition-saw-blade", "https://edmondsonsupply.com/collections/electricians-tools/products/diablo-tools-d0724da-7-1-4-in-24-tooth-%E2%84%A2-framing-demolition-saw-blade")</f>
        <v>https://edmondsonsupply.com/collections/electricians-tools/products/diablo-tools-d0724da-7-1-4-in-24-tooth-%E2%84%A2-framing-demolition-saw-blade</v>
      </c>
      <c r="B2530" s="3" t="str">
        <f>HYPERLINK("https://edmondsonsupply.com/products/diablo-tools-d0724da-7-1-4-in-24-tooth-%e2%84%a2-framing-demolition-saw-blade", "https://edmondsonsupply.com/products/diablo-tools-d0724da-7-1-4-in-24-tooth-%e2%84%a2-framing-demolition-saw-blade")</f>
        <v>https://edmondsonsupply.com/products/diablo-tools-d0724da-7-1-4-in-24-tooth-%e2%84%a2-framing-demolition-saw-blade</v>
      </c>
      <c r="C2530" t="s">
        <v>6107</v>
      </c>
      <c r="D2530" t="s">
        <v>6272</v>
      </c>
      <c r="E2530" s="3" t="str">
        <f>HYPERLINK("https://www.amazon.com/Diablo-D0724DA-Framing-Deconstruction-Circular/dp/B00XT9KFVS/ref=sr_1_2?keywords=Diablo+Tools+D0724DA+7-1%2F4+in.+24-Tooth+%E2%84%A2+Framing%2FDemolition+Saw+Blade&amp;qid=1695174061&amp;sr=8-2", "https://www.amazon.com/Diablo-D0724DA-Framing-Deconstruction-Circular/dp/B00XT9KFVS/ref=sr_1_2?keywords=Diablo+Tools+D0724DA+7-1%2F4+in.+24-Tooth+%E2%84%A2+Framing%2FDemolition+Saw+Blade&amp;qid=1695174061&amp;sr=8-2")</f>
        <v>https://www.amazon.com/Diablo-D0724DA-Framing-Deconstruction-Circular/dp/B00XT9KFVS/ref=sr_1_2?keywords=Diablo+Tools+D0724DA+7-1%2F4+in.+24-Tooth+%E2%84%A2+Framing%2FDemolition+Saw+Blade&amp;qid=1695174061&amp;sr=8-2</v>
      </c>
      <c r="F2530" t="s">
        <v>6273</v>
      </c>
      <c r="G2530" t="e">
        <f ca="1">_xludf.IMAGE("https://edmondsonsupply.com/cdn/shop/products/ms7ofgpqtqo0aptxxu1k.webp?v=1678973703")</f>
        <v>#NAME?</v>
      </c>
      <c r="H2530" t="e">
        <f ca="1">_xludf.IMAGE("https://m.media-amazon.com/images/I/61NkAJf3i9L._AC_UL320_.jpg")</f>
        <v>#NAME?</v>
      </c>
      <c r="I2530" t="s">
        <v>2784</v>
      </c>
      <c r="J2530">
        <v>36.9</v>
      </c>
      <c r="K2530" s="4">
        <v>1.4649000000000001</v>
      </c>
      <c r="L2530">
        <v>4.7</v>
      </c>
      <c r="M2530">
        <v>10</v>
      </c>
      <c r="O2530" t="s">
        <v>25</v>
      </c>
      <c r="P2530" t="s">
        <v>6110</v>
      </c>
      <c r="Q2530" t="s">
        <v>6111</v>
      </c>
    </row>
    <row r="2531" spans="1:17" ht="15.5" x14ac:dyDescent="0.35">
      <c r="A2531"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2531"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2531" t="s">
        <v>6355</v>
      </c>
      <c r="D2531" t="s">
        <v>6488</v>
      </c>
      <c r="E2531" s="3" t="str">
        <f>HYPERLINK("https://www.amazon.com/Klein-Tools-JTH6E12BE-Journeyman-T-Handle/dp/B0CFKJBMTP/ref=sr_1_6?keywords=Klein+Tools+JTH6E06BE+3%2F32-Inch+Ball+End+Hex+Key+with+T-Handle%2C+6-Inch&amp;qid=1695174255&amp;sr=8-6", "https://www.amazon.com/Klein-Tools-JTH6E12BE-Journeyman-T-Handle/dp/B0CFKJBMTP/ref=sr_1_6?keywords=Klein+Tools+JTH6E06BE+3%2F32-Inch+Ball+End+Hex+Key+with+T-Handle%2C+6-Inch&amp;qid=1695174255&amp;sr=8-6")</f>
        <v>https://www.amazon.com/Klein-Tools-JTH6E12BE-Journeyman-T-Handle/dp/B0CFKJBMTP/ref=sr_1_6?keywords=Klein+Tools+JTH6E06BE+3%2F32-Inch+Ball+End+Hex+Key+with+T-Handle%2C+6-Inch&amp;qid=1695174255&amp;sr=8-6</v>
      </c>
      <c r="F2531" t="s">
        <v>6489</v>
      </c>
      <c r="G2531" t="e">
        <f ca="1">_xludf.IMAGE("https://edmondsonsupply.com/cdn/shop/products/jth6e13be_f61308c8-99eb-44df-aac2-25c9159d6b6d.jpg?v=1633031148")</f>
        <v>#NAME?</v>
      </c>
      <c r="H2531" t="e">
        <f ca="1">_xludf.IMAGE("https://m.media-amazon.com/images/I/41bN+I19ReL._AC_UL320_.jpg")</f>
        <v>#NAME?</v>
      </c>
      <c r="I2531" t="s">
        <v>2388</v>
      </c>
      <c r="J2531">
        <v>12.3</v>
      </c>
      <c r="K2531" s="4">
        <v>1.4649000000000001</v>
      </c>
      <c r="L2531">
        <v>4.5</v>
      </c>
      <c r="M2531">
        <v>9</v>
      </c>
      <c r="O2531" t="s">
        <v>25</v>
      </c>
      <c r="P2531" t="s">
        <v>6356</v>
      </c>
      <c r="Q2531" t="s">
        <v>6357</v>
      </c>
    </row>
    <row r="2532" spans="1:17" ht="15.5" x14ac:dyDescent="0.35">
      <c r="A2532" s="3" t="str">
        <f>HYPERLINK("https://edmondsonsupply.com/collections/electricians-tools/products/milwaukee-48-03-3025-sds-max-to-sds-plus-bit-adapter", "https://edmondsonsupply.com/collections/electricians-tools/products/milwaukee-48-03-3025-sds-max-to-sds-plus-bit-adapter")</f>
        <v>https://edmondsonsupply.com/collections/electricians-tools/products/milwaukee-48-03-3025-sds-max-to-sds-plus-bit-adapter</v>
      </c>
      <c r="B2532" s="3" t="str">
        <f>HYPERLINK("https://edmondsonsupply.com/products/milwaukee-48-03-3025-sds-max-to-sds-plus-bit-adapter", "https://edmondsonsupply.com/products/milwaukee-48-03-3025-sds-max-to-sds-plus-bit-adapter")</f>
        <v>https://edmondsonsupply.com/products/milwaukee-48-03-3025-sds-max-to-sds-plus-bit-adapter</v>
      </c>
      <c r="C2532" t="s">
        <v>6490</v>
      </c>
      <c r="D2532" t="s">
        <v>6365</v>
      </c>
      <c r="E2532" s="3" t="str">
        <f>HYPERLINK("https://www.amazon.com/Milwaukee-48-03-3012-SDS-Max-Spline-Adapter/dp/B00I3PGEOA/ref=sr_1_4?keywords=Milwaukee+48-03-3025+SDS+Max+to+SDS+Plus+Bit+Adapter&amp;qid=1695174094&amp;sr=8-4", "https://www.amazon.com/Milwaukee-48-03-3012-SDS-Max-Spline-Adapter/dp/B00I3PGEOA/ref=sr_1_4?keywords=Milwaukee+48-03-3025+SDS+Max+to+SDS+Plus+Bit+Adapter&amp;qid=1695174094&amp;sr=8-4")</f>
        <v>https://www.amazon.com/Milwaukee-48-03-3012-SDS-Max-Spline-Adapter/dp/B00I3PGEOA/ref=sr_1_4?keywords=Milwaukee+48-03-3025+SDS+Max+to+SDS+Plus+Bit+Adapter&amp;qid=1695174094&amp;sr=8-4</v>
      </c>
      <c r="F2532" t="s">
        <v>6366</v>
      </c>
      <c r="G2532" t="e">
        <f ca="1">_xludf.IMAGE("https://edmondsonsupply.com/cdn/shop/products/48-03-3025_1.png?v=1674073468")</f>
        <v>#NAME?</v>
      </c>
      <c r="H2532" t="e">
        <f ca="1">_xludf.IMAGE("https://m.media-amazon.com/images/I/61QrQEYLIrL._AC_UL320_.jpg")</f>
        <v>#NAME?</v>
      </c>
      <c r="I2532" t="s">
        <v>6491</v>
      </c>
      <c r="J2532">
        <v>166.85</v>
      </c>
      <c r="K2532" s="4">
        <v>1.4626999999999999</v>
      </c>
      <c r="L2532">
        <v>4.5999999999999996</v>
      </c>
      <c r="M2532">
        <v>2</v>
      </c>
      <c r="O2532" t="s">
        <v>25</v>
      </c>
      <c r="P2532" t="s">
        <v>6492</v>
      </c>
      <c r="Q2532" t="s">
        <v>6493</v>
      </c>
    </row>
    <row r="2533" spans="1:17" ht="15.5" x14ac:dyDescent="0.35">
      <c r="A2533" s="3" t="str">
        <f>HYPERLINK("https://edmondsonsupply.com/collections/electricians-tools/products/milwaukee-49-56-0197-3-5-8-hole-dozer%E2%84%A2-hole-saw-bi-metal-cup", "https://edmondsonsupply.com/collections/electricians-tools/products/milwaukee-49-56-0197-3-5-8-hole-dozer%E2%84%A2-hole-saw-bi-metal-cup")</f>
        <v>https://edmondsonsupply.com/collections/electricians-tools/products/milwaukee-49-56-0197-3-5-8-hole-dozer%E2%84%A2-hole-saw-bi-metal-cup</v>
      </c>
      <c r="B2533" s="3" t="str">
        <f>HYPERLINK("https://edmondsonsupply.com/products/milwaukee-49-56-0197-3-5-8-hole-dozer%e2%84%a2-hole-saw-bi-metal-cup", "https://edmondsonsupply.com/products/milwaukee-49-56-0197-3-5-8-hole-dozer%e2%84%a2-hole-saw-bi-metal-cup")</f>
        <v>https://edmondsonsupply.com/products/milwaukee-49-56-0197-3-5-8-hole-dozer%e2%84%a2-hole-saw-bi-metal-cup</v>
      </c>
      <c r="C2533" t="s">
        <v>6494</v>
      </c>
      <c r="D2533" t="s">
        <v>6189</v>
      </c>
      <c r="E2533" s="3" t="str">
        <f>HYPERLINK("https://www.amazon.com/Milwaukee-49-56-0233-2-Inch-Hardened-Hole/dp/B0017WPX5M/ref=sr_1_4?keywords=Milwaukee+49-56-0197+3-5%2F8%22+HOLE+DOZER%E2%84%A2+Hole+Saw+Bi-Metal+Cup&amp;qid=1695174058&amp;sr=8-4", "https://www.amazon.com/Milwaukee-49-56-0233-2-Inch-Hardened-Hole/dp/B0017WPX5M/ref=sr_1_4?keywords=Milwaukee+49-56-0197+3-5%2F8%22+HOLE+DOZER%E2%84%A2+Hole+Saw+Bi-Metal+Cup&amp;qid=1695174058&amp;sr=8-4")</f>
        <v>https://www.amazon.com/Milwaukee-49-56-0233-2-Inch-Hardened-Hole/dp/B0017WPX5M/ref=sr_1_4?keywords=Milwaukee+49-56-0197+3-5%2F8%22+HOLE+DOZER%E2%84%A2+Hole+Saw+Bi-Metal+Cup&amp;qid=1695174058&amp;sr=8-4</v>
      </c>
      <c r="F2533" t="s">
        <v>6190</v>
      </c>
      <c r="G2533" t="e">
        <f ca="1">_xludf.IMAGE("https://edmondsonsupply.com/cdn/shop/products/49-56-0052_101_1_b485d0b4-965d-40fc-a007-7e23c4d86724.webp?v=1678912947")</f>
        <v>#NAME?</v>
      </c>
      <c r="H2533" t="e">
        <f ca="1">_xludf.IMAGE("https://m.media-amazon.com/images/I/513LvIL5ILL._AC_UL320_.jpg")</f>
        <v>#NAME?</v>
      </c>
      <c r="I2533" t="s">
        <v>6495</v>
      </c>
      <c r="J2533">
        <v>29.99</v>
      </c>
      <c r="K2533" s="4">
        <v>1.4601999999999999</v>
      </c>
      <c r="L2533">
        <v>4.8</v>
      </c>
      <c r="M2533">
        <v>201</v>
      </c>
      <c r="O2533" t="s">
        <v>25</v>
      </c>
      <c r="P2533" t="s">
        <v>6496</v>
      </c>
      <c r="Q2533" t="s">
        <v>6497</v>
      </c>
    </row>
    <row r="2534" spans="1:17" ht="15.5" x14ac:dyDescent="0.35">
      <c r="A2534"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2534"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2534" t="s">
        <v>6236</v>
      </c>
      <c r="D2534" t="s">
        <v>6498</v>
      </c>
      <c r="E2534" s="3" t="str">
        <f>HYPERLINK("https://www.amazon.com/Screwdriver-Adjustable-Multi-bit-Magnetic-Phillips/dp/B09YTXLJXC/ref=sr_1_2?keywords=Klein+Tools+32308+8-in-1+Multi-Bit+Adjustable+Length+Stubby+Screwdriver&amp;qid=1695174224&amp;sr=8-2", "https://www.amazon.com/Screwdriver-Adjustable-Multi-bit-Magnetic-Phillips/dp/B09YTXLJXC/ref=sr_1_2?keywords=Klein+Tools+32308+8-in-1+Multi-Bit+Adjustable+Length+Stubby+Screwdriver&amp;qid=1695174224&amp;sr=8-2")</f>
        <v>https://www.amazon.com/Screwdriver-Adjustable-Multi-bit-Magnetic-Phillips/dp/B09YTXLJXC/ref=sr_1_2?keywords=Klein+Tools+32308+8-in-1+Multi-Bit+Adjustable+Length+Stubby+Screwdriver&amp;qid=1695174224&amp;sr=8-2</v>
      </c>
      <c r="F2534" t="s">
        <v>6499</v>
      </c>
      <c r="G2534" t="e">
        <f ca="1">_xludf.IMAGE("https://edmondsonsupply.com/cdn/shop/products/32308_b.jpg?v=1647348209")</f>
        <v>#NAME?</v>
      </c>
      <c r="H2534" t="e">
        <f ca="1">_xludf.IMAGE("https://m.media-amazon.com/images/I/51RZKWZjlyL._AC_UL320_.jpg")</f>
        <v>#NAME?</v>
      </c>
      <c r="I2534" t="s">
        <v>4985</v>
      </c>
      <c r="J2534">
        <v>41.74</v>
      </c>
      <c r="K2534" s="4">
        <v>1.4596</v>
      </c>
      <c r="L2534">
        <v>4.7</v>
      </c>
      <c r="M2534">
        <v>51</v>
      </c>
      <c r="O2534" t="s">
        <v>25</v>
      </c>
      <c r="P2534" t="s">
        <v>996</v>
      </c>
      <c r="Q2534" t="s">
        <v>6239</v>
      </c>
    </row>
    <row r="2535" spans="1:17" ht="15.5" x14ac:dyDescent="0.35">
      <c r="A2535"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2535" s="3" t="str">
        <f>HYPERLINK("https://edmondsonsupply.com/products/klein-tools-vdv526-200-lan-scout-%c2%ae-jr-2-cable-tester", "https://edmondsonsupply.com/products/klein-tools-vdv526-200-lan-scout-%c2%ae-jr-2-cable-tester")</f>
        <v>https://edmondsonsupply.com/products/klein-tools-vdv526-200-lan-scout-%c2%ae-jr-2-cable-tester</v>
      </c>
      <c r="C2535" t="s">
        <v>6500</v>
      </c>
      <c r="D2535" t="s">
        <v>6501</v>
      </c>
      <c r="E2535" s="3" t="str">
        <f>HYPERLINK("https://www.amazon.com/Klein-Tools-VDV500-820-VDV526-200-Connections/dp/B09T6ZKDCM/ref=sr_1_5?keywords=Klein+Tools+VDV526-200+LAN+Scout+%C2%AE+Jr.+2+Cable+Tester&amp;qid=1695174153&amp;sr=8-5", "https://www.amazon.com/Klein-Tools-VDV500-820-VDV526-200-Connections/dp/B09T6ZKDCM/ref=sr_1_5?keywords=Klein+Tools+VDV526-200+LAN+Scout+%C2%AE+Jr.+2+Cable+Tester&amp;qid=1695174153&amp;sr=8-5")</f>
        <v>https://www.amazon.com/Klein-Tools-VDV500-820-VDV526-200-Connections/dp/B09T6ZKDCM/ref=sr_1_5?keywords=Klein+Tools+VDV526-200+LAN+Scout+%C2%AE+Jr.+2+Cable+Tester&amp;qid=1695174153&amp;sr=8-5</v>
      </c>
      <c r="F2535" t="s">
        <v>6502</v>
      </c>
      <c r="G2535" t="e">
        <f ca="1">_xludf.IMAGE("https://edmondsonsupply.com/cdn/shop/products/vdv526200.jpg?v=1663689949")</f>
        <v>#NAME?</v>
      </c>
      <c r="H2535" t="e">
        <f ca="1">_xludf.IMAGE("https://m.media-amazon.com/images/I/51X1EYSldCL._AC_UY218_.jpg")</f>
        <v>#NAME?</v>
      </c>
      <c r="I2535" t="s">
        <v>3359</v>
      </c>
      <c r="J2535">
        <v>134.94</v>
      </c>
      <c r="K2535" s="4">
        <v>1.4548000000000001</v>
      </c>
      <c r="L2535">
        <v>4.8</v>
      </c>
      <c r="M2535">
        <v>8</v>
      </c>
      <c r="O2535" t="s">
        <v>25</v>
      </c>
      <c r="P2535" t="s">
        <v>6503</v>
      </c>
      <c r="Q2535" t="s">
        <v>6504</v>
      </c>
    </row>
    <row r="2536" spans="1:17" ht="15.5" x14ac:dyDescent="0.35">
      <c r="A2536"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2536" s="3" t="str">
        <f>HYPERLINK("https://edmondsonsupply.com/products/klein-tools-et600-insulation-resistance-tester", "https://edmondsonsupply.com/products/klein-tools-et600-insulation-resistance-tester")</f>
        <v>https://edmondsonsupply.com/products/klein-tools-et600-insulation-resistance-tester</v>
      </c>
      <c r="C2536" t="s">
        <v>6505</v>
      </c>
      <c r="D2536" t="s">
        <v>2850</v>
      </c>
      <c r="E2536" s="3" t="str">
        <f>HYPERLINK("https://www.amazon.com/Klein-Tools-Megohmmeter-Insulation-Ohms-Resistance-Auto-Ranging/dp/B0C2V14DQF/ref=sr_1_7?keywords=Klein+Tools+ET600+Insulation+Resistance+Tester&amp;qid=1695173907&amp;sr=8-7", "https://www.amazon.com/Klein-Tools-Megohmmeter-Insulation-Ohms-Resistance-Auto-Ranging/dp/B0C2V14DQF/ref=sr_1_7?keywords=Klein+Tools+ET600+Insulation+Resistance+Tester&amp;qid=1695173907&amp;sr=8-7")</f>
        <v>https://www.amazon.com/Klein-Tools-Megohmmeter-Insulation-Ohms-Resistance-Auto-Ranging/dp/B0C2V14DQF/ref=sr_1_7?keywords=Klein+Tools+ET600+Insulation+Resistance+Tester&amp;qid=1695173907&amp;sr=8-7</v>
      </c>
      <c r="F2536" t="s">
        <v>2851</v>
      </c>
      <c r="G2536" t="e">
        <f ca="1">_xludf.IMAGE("https://edmondsonsupply.com/cdn/shop/products/et600_accessories_b.jpg?v=1677685603")</f>
        <v>#NAME?</v>
      </c>
      <c r="H2536" t="e">
        <f ca="1">_xludf.IMAGE("https://m.media-amazon.com/images/I/61413mHKf0L._AC_UY218_.jpg")</f>
        <v>#NAME?</v>
      </c>
      <c r="I2536" t="s">
        <v>6506</v>
      </c>
      <c r="J2536">
        <v>404.98</v>
      </c>
      <c r="K2536" s="4">
        <v>1.4545999999999999</v>
      </c>
      <c r="L2536">
        <v>5</v>
      </c>
      <c r="M2536">
        <v>1</v>
      </c>
      <c r="O2536" t="s">
        <v>25</v>
      </c>
      <c r="P2536" t="s">
        <v>6507</v>
      </c>
      <c r="Q2536" t="s">
        <v>6508</v>
      </c>
    </row>
    <row r="2537" spans="1:17" ht="15.5" x14ac:dyDescent="0.35">
      <c r="A2537" s="3" t="str">
        <f>HYPERLINK("https://edmondsonsupply.com/collections/electricians-tools/products/greenlee-612-1-1-2-foam-conduit-piston", "https://edmondsonsupply.com/collections/electricians-tools/products/greenlee-612-1-1-2-foam-conduit-piston")</f>
        <v>https://edmondsonsupply.com/collections/electricians-tools/products/greenlee-612-1-1-2-foam-conduit-piston</v>
      </c>
      <c r="B2537" s="3" t="str">
        <f>HYPERLINK("https://edmondsonsupply.com/products/greenlee-612-1-1-2-foam-conduit-piston", "https://edmondsonsupply.com/products/greenlee-612-1-1-2-foam-conduit-piston")</f>
        <v>https://edmondsonsupply.com/products/greenlee-612-1-1-2-foam-conduit-piston</v>
      </c>
      <c r="C2537" t="s">
        <v>6509</v>
      </c>
      <c r="D2537" t="s">
        <v>6171</v>
      </c>
      <c r="E2537" s="3" t="str">
        <f>HYPERLINK("https://www.amazon.com/Greenlee-613-Piston-Conduit-Pack/dp/B0184XZKN6/ref=sr_1_5?keywords=Greenlee+612+1-1%2F2%22+Foam+Conduit+Piston&amp;qid=1695173998&amp;sr=8-5", "https://www.amazon.com/Greenlee-613-Piston-Conduit-Pack/dp/B0184XZKN6/ref=sr_1_5?keywords=Greenlee+612+1-1%2F2%22+Foam+Conduit+Piston&amp;qid=1695173998&amp;sr=8-5")</f>
        <v>https://www.amazon.com/Greenlee-613-Piston-Conduit-Pack/dp/B0184XZKN6/ref=sr_1_5?keywords=Greenlee+612+1-1%2F2%22+Foam+Conduit+Piston&amp;qid=1695173998&amp;sr=8-5</v>
      </c>
      <c r="F2537" t="s">
        <v>6172</v>
      </c>
      <c r="G2537" t="e">
        <f ca="1">_xludf.IMAGE("https://edmondsonsupply.com/cdn/shop/files/612.png?v=1687451101")</f>
        <v>#NAME?</v>
      </c>
      <c r="H2537" t="e">
        <f ca="1">_xludf.IMAGE("https://m.media-amazon.com/images/I/51w6IU+nu3L._AC_UL320_.jpg")</f>
        <v>#NAME?</v>
      </c>
      <c r="I2537" t="s">
        <v>6510</v>
      </c>
      <c r="J2537">
        <v>27.79</v>
      </c>
      <c r="K2537" s="4">
        <v>1.4528000000000001</v>
      </c>
      <c r="L2537">
        <v>5</v>
      </c>
      <c r="M2537">
        <v>5</v>
      </c>
      <c r="O2537" t="s">
        <v>25</v>
      </c>
      <c r="P2537" t="s">
        <v>138</v>
      </c>
      <c r="Q2537" t="s">
        <v>6511</v>
      </c>
    </row>
    <row r="2538" spans="1:17" ht="15.5" x14ac:dyDescent="0.35">
      <c r="A2538"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2538"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2538" t="s">
        <v>6512</v>
      </c>
      <c r="D2538" t="s">
        <v>6513</v>
      </c>
      <c r="E2538" s="3" t="str">
        <f>HYPERLINK("https://www.amazon.com/Klein-Tools-D201-7CSTA-Multi-Purpose-High-Leverage/dp/B093PYY2DS/ref=sr_1_4?keywords=Klein+Tools+D248-8+Diagonal+Cutting+Pliers%2C+Angled+Head%2C+Short+Jaw%2C+8-Inch&amp;qid=1695174274&amp;sr=8-4", "https://www.amazon.com/Klein-Tools-D201-7CSTA-Multi-Purpose-High-Leverage/dp/B093PYY2DS/ref=sr_1_4?keywords=Klein+Tools+D248-8+Diagonal+Cutting+Pliers%2C+Angled+Head%2C+Short+Jaw%2C+8-Inch&amp;qid=1695174274&amp;sr=8-4")</f>
        <v>https://www.amazon.com/Klein-Tools-D201-7CSTA-Multi-Purpose-High-Leverage/dp/B093PYY2DS/ref=sr_1_4?keywords=Klein+Tools+D248-8+Diagonal+Cutting+Pliers%2C+Angled+Head%2C+Short+Jaw%2C+8-Inch&amp;qid=1695174274&amp;sr=8-4</v>
      </c>
      <c r="F2538" t="s">
        <v>6514</v>
      </c>
      <c r="G2538" t="e">
        <f ca="1">_xludf.IMAGE("https://edmondsonsupply.com/cdn/shop/products/d2488.jpg?v=1633030997")</f>
        <v>#NAME?</v>
      </c>
      <c r="H2538" t="e">
        <f ca="1">_xludf.IMAGE("https://m.media-amazon.com/images/I/41JQ0I2wH6S._AC_UL320_.jpg")</f>
        <v>#NAME?</v>
      </c>
      <c r="I2538" t="s">
        <v>824</v>
      </c>
      <c r="J2538">
        <v>73.33</v>
      </c>
      <c r="K2538" s="4">
        <v>1.4468000000000001</v>
      </c>
      <c r="L2538">
        <v>4.8</v>
      </c>
      <c r="M2538">
        <v>5</v>
      </c>
      <c r="O2538" t="s">
        <v>25</v>
      </c>
      <c r="P2538" t="s">
        <v>5277</v>
      </c>
      <c r="Q2538" t="s">
        <v>6515</v>
      </c>
    </row>
    <row r="2539" spans="1:17" ht="15.5" x14ac:dyDescent="0.35">
      <c r="A2539" s="3" t="str">
        <f>HYPERLINK("https://edmondsonsupply.com/collections/electricians-tools/products/klein-tools-60160-standard-safety-glasses-gray-lens", "https://edmondsonsupply.com/collections/electricians-tools/products/klein-tools-60160-standard-safety-glasses-gray-lens")</f>
        <v>https://edmondsonsupply.com/collections/electricians-tools/products/klein-tools-60160-standard-safety-glasses-gray-lens</v>
      </c>
      <c r="B2539" s="3" t="str">
        <f>HYPERLINK("https://edmondsonsupply.com/products/klein-tools-60160-standard-safety-glasses-gray-lens", "https://edmondsonsupply.com/products/klein-tools-60160-standard-safety-glasses-gray-lens")</f>
        <v>https://edmondsonsupply.com/products/klein-tools-60160-standard-safety-glasses-gray-lens</v>
      </c>
      <c r="C2539" t="s">
        <v>929</v>
      </c>
      <c r="D2539" t="s">
        <v>1156</v>
      </c>
      <c r="E2539" s="3" t="str">
        <f>HYPERLINK("https://www.amazon.com/Klein-Tools-60173-Protective-Resistant/dp/B08B7BCQSX/ref=sr_1_10?keywords=Klein+Tools+60160+Standard+Safety+Glasses%2C+Gray+Lens&amp;qid=1695174305&amp;sr=8-10", "https://www.amazon.com/Klein-Tools-60173-Protective-Resistant/dp/B08B7BCQSX/ref=sr_1_10?keywords=Klein+Tools+60160+Standard+Safety+Glasses%2C+Gray+Lens&amp;qid=1695174305&amp;sr=8-10")</f>
        <v>https://www.amazon.com/Klein-Tools-60173-Protective-Resistant/dp/B08B7BCQSX/ref=sr_1_10?keywords=Klein+Tools+60160+Standard+Safety+Glasses%2C+Gray+Lens&amp;qid=1695174305&amp;sr=8-10</v>
      </c>
      <c r="F2539" t="s">
        <v>1157</v>
      </c>
      <c r="G2539" t="e">
        <f ca="1">_xludf.IMAGE("https://edmondsonsupply.com/cdn/shop/products/60160.jpg?v=1633030843")</f>
        <v>#NAME?</v>
      </c>
      <c r="H2539" t="e">
        <f ca="1">_xludf.IMAGE("https://m.media-amazon.com/images/I/51A3qkx5B2L._AC_UL320_.jpg")</f>
        <v>#NAME?</v>
      </c>
      <c r="I2539" t="s">
        <v>924</v>
      </c>
      <c r="J2539">
        <v>21.99</v>
      </c>
      <c r="K2539" s="4">
        <v>1.4460999999999999</v>
      </c>
      <c r="L2539">
        <v>4.4000000000000004</v>
      </c>
      <c r="M2539">
        <v>374</v>
      </c>
      <c r="O2539" t="s">
        <v>25</v>
      </c>
      <c r="P2539" t="s">
        <v>925</v>
      </c>
      <c r="Q2539" t="s">
        <v>932</v>
      </c>
    </row>
    <row r="2540" spans="1:17" ht="15.5" x14ac:dyDescent="0.35">
      <c r="A2540"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2540" s="3" t="str">
        <f>HYPERLINK("https://edmondsonsupply.com/products/klein-tools-j203-8-pliers-needle-nose-side-cutters-8-inch", "https://edmondsonsupply.com/products/klein-tools-j203-8-pliers-needle-nose-side-cutters-8-inch")</f>
        <v>https://edmondsonsupply.com/products/klein-tools-j203-8-pliers-needle-nose-side-cutters-8-inch</v>
      </c>
      <c r="C2540" t="s">
        <v>6516</v>
      </c>
      <c r="D2540" t="s">
        <v>6517</v>
      </c>
      <c r="E2540" s="3" t="str">
        <f>HYPERLINK("https://www.amazon.com/Klein-Tools-J2000-9NECRTP-Linemans-Journeyman/dp/B0BFXQNZ95/ref=sr_1_3?keywords=Klein+Tools+J203-8+Pliers%2C+Needle+Nose+Side-Cutters%2C+8-Inch&amp;qid=1695174221&amp;sr=8-3", "https://www.amazon.com/Klein-Tools-J2000-9NECRTP-Linemans-Journeyman/dp/B0BFXQNZ95/ref=sr_1_3?keywords=Klein+Tools+J203-8+Pliers%2C+Needle+Nose+Side-Cutters%2C+8-Inch&amp;qid=1695174221&amp;sr=8-3")</f>
        <v>https://www.amazon.com/Klein-Tools-J2000-9NECRTP-Linemans-Journeyman/dp/B0BFXQNZ95/ref=sr_1_3?keywords=Klein+Tools+J203-8+Pliers%2C+Needle+Nose+Side-Cutters%2C+8-Inch&amp;qid=1695174221&amp;sr=8-3</v>
      </c>
      <c r="F2540" t="s">
        <v>6518</v>
      </c>
      <c r="G2540" t="e">
        <f ca="1">_xludf.IMAGE("https://edmondsonsupply.com/cdn/shop/products/j2038.jpg?v=1644709677")</f>
        <v>#NAME?</v>
      </c>
      <c r="H2540" t="e">
        <f ca="1">_xludf.IMAGE("https://m.media-amazon.com/images/I/31WJjr8yAWL._AC_UL320_.jpg")</f>
        <v>#NAME?</v>
      </c>
      <c r="I2540" t="s">
        <v>6519</v>
      </c>
      <c r="J2540">
        <v>93.96</v>
      </c>
      <c r="K2540" s="4">
        <v>1.4412</v>
      </c>
      <c r="L2540">
        <v>5</v>
      </c>
      <c r="M2540">
        <v>1</v>
      </c>
      <c r="O2540" t="s">
        <v>25</v>
      </c>
      <c r="P2540" t="s">
        <v>6520</v>
      </c>
      <c r="Q2540" t="s">
        <v>6521</v>
      </c>
    </row>
    <row r="2541" spans="1:17" ht="15.5" x14ac:dyDescent="0.35">
      <c r="A2541"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2541" s="3" t="str">
        <f>HYPERLINK("https://edmondsonsupply.com/products/klein-tools-32500mag-11-in-1-magnetic-screwdriver-nut-driver", "https://edmondsonsupply.com/products/klein-tools-32500mag-11-in-1-magnetic-screwdriver-nut-driver")</f>
        <v>https://edmondsonsupply.com/products/klein-tools-32500mag-11-in-1-magnetic-screwdriver-nut-driver</v>
      </c>
      <c r="C2541" t="s">
        <v>6522</v>
      </c>
      <c r="D2541" t="s">
        <v>6523</v>
      </c>
      <c r="E2541" s="3" t="str">
        <f>HYPERLINK("https://www.amazon.com/Klein-Tools-32500MAG-Multi-Bit-Screwdriver/dp/B0BNL72TB8/ref=sr_1_2?keywords=Klein+Tools+32500MAG+11-in-1+Magnetic+Screwdriver+%2F+Nut+Driver&amp;qid=1695174303&amp;sr=8-2", "https://www.amazon.com/Klein-Tools-32500MAG-Multi-Bit-Screwdriver/dp/B0BNL72TB8/ref=sr_1_2?keywords=Klein+Tools+32500MAG+11-in-1+Magnetic+Screwdriver+%2F+Nut+Driver&amp;qid=1695174303&amp;sr=8-2")</f>
        <v>https://www.amazon.com/Klein-Tools-32500MAG-Multi-Bit-Screwdriver/dp/B0BNL72TB8/ref=sr_1_2?keywords=Klein+Tools+32500MAG+11-in-1+Magnetic+Screwdriver+%2F+Nut+Driver&amp;qid=1695174303&amp;sr=8-2</v>
      </c>
      <c r="F2541" t="s">
        <v>6524</v>
      </c>
      <c r="G2541" t="e">
        <f ca="1">_xludf.IMAGE("https://edmondsonsupply.com/cdn/shop/products/32500mag.jpg?v=1633030832")</f>
        <v>#NAME?</v>
      </c>
      <c r="H2541" t="e">
        <f ca="1">_xludf.IMAGE("https://m.media-amazon.com/images/I/51J0MF0VVbL._AC_UL320_.jpg")</f>
        <v>#NAME?</v>
      </c>
      <c r="I2541" t="s">
        <v>2288</v>
      </c>
      <c r="J2541">
        <v>50.94</v>
      </c>
      <c r="K2541" s="4">
        <v>1.4292</v>
      </c>
      <c r="L2541">
        <v>5</v>
      </c>
      <c r="M2541">
        <v>2</v>
      </c>
      <c r="O2541" t="s">
        <v>25</v>
      </c>
      <c r="P2541" t="s">
        <v>6525</v>
      </c>
      <c r="Q2541" t="s">
        <v>6526</v>
      </c>
    </row>
    <row r="2542" spans="1:17" ht="15.5" x14ac:dyDescent="0.35">
      <c r="A2542"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2542" s="3" t="str">
        <f>HYPERLINK("https://edmondsonsupply.com/products/klein-tools-32500mag-11-in-1-magnetic-screwdriver-nut-driver", "https://edmondsonsupply.com/products/klein-tools-32500mag-11-in-1-magnetic-screwdriver-nut-driver")</f>
        <v>https://edmondsonsupply.com/products/klein-tools-32500mag-11-in-1-magnetic-screwdriver-nut-driver</v>
      </c>
      <c r="C2542" t="s">
        <v>6522</v>
      </c>
      <c r="D2542" t="s">
        <v>6527</v>
      </c>
      <c r="E2542" s="3" t="str">
        <f>HYPERLINK("https://www.amazon.com/Klein-Tools-32807MAG-Multi-Bit-Screwdriver/dp/B09Q64R2HY/ref=sr_1_4?keywords=Klein+Tools+32500MAG+11-in-1+Magnetic+Screwdriver+%2F+Nut+Driver&amp;qid=1695174303&amp;sr=8-4", "https://www.amazon.com/Klein-Tools-32807MAG-Multi-Bit-Screwdriver/dp/B09Q64R2HY/ref=sr_1_4?keywords=Klein+Tools+32500MAG+11-in-1+Magnetic+Screwdriver+%2F+Nut+Driver&amp;qid=1695174303&amp;sr=8-4")</f>
        <v>https://www.amazon.com/Klein-Tools-32807MAG-Multi-Bit-Screwdriver/dp/B09Q64R2HY/ref=sr_1_4?keywords=Klein+Tools+32500MAG+11-in-1+Magnetic+Screwdriver+%2F+Nut+Driver&amp;qid=1695174303&amp;sr=8-4</v>
      </c>
      <c r="F2542" t="s">
        <v>6528</v>
      </c>
      <c r="G2542" t="e">
        <f ca="1">_xludf.IMAGE("https://edmondsonsupply.com/cdn/shop/products/32500mag.jpg?v=1633030832")</f>
        <v>#NAME?</v>
      </c>
      <c r="H2542" t="e">
        <f ca="1">_xludf.IMAGE("https://m.media-amazon.com/images/I/411icJxYT8L._AC_UL320_.jpg")</f>
        <v>#NAME?</v>
      </c>
      <c r="I2542" t="s">
        <v>2288</v>
      </c>
      <c r="J2542">
        <v>50.94</v>
      </c>
      <c r="K2542" s="4">
        <v>1.4292</v>
      </c>
      <c r="L2542">
        <v>4.7</v>
      </c>
      <c r="M2542">
        <v>7</v>
      </c>
      <c r="O2542" t="s">
        <v>25</v>
      </c>
      <c r="P2542" t="s">
        <v>6525</v>
      </c>
      <c r="Q2542" t="s">
        <v>6526</v>
      </c>
    </row>
    <row r="2543" spans="1:17" ht="15.5" x14ac:dyDescent="0.35">
      <c r="A2543"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2543"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2543" t="s">
        <v>6529</v>
      </c>
      <c r="D2543" t="s">
        <v>6530</v>
      </c>
      <c r="E2543" s="3" t="str">
        <f>HYPERLINK("https://www.amazon.com/Klein-Tools-Electrical-Dual-Range-Non-Contact/dp/B0BD3WBV6W/ref=sr_1_3?keywords=Klein+Tools+NCVT3PKIT+Dual+Range+NCVT+and+AC%2FDC+Voltage+Tester+Electrical+Test+Kit&amp;qid=1695174124&amp;sr=8-3", "https://www.amazon.com/Klein-Tools-Electrical-Dual-Range-Non-Contact/dp/B0BD3WBV6W/ref=sr_1_3?keywords=Klein+Tools+NCVT3PKIT+Dual+Range+NCVT+and+AC%2FDC+Voltage+Tester+Electrical+Test+Kit&amp;qid=1695174124&amp;sr=8-3")</f>
        <v>https://www.amazon.com/Klein-Tools-Electrical-Dual-Range-Non-Contact/dp/B0BD3WBV6W/ref=sr_1_3?keywords=Klein+Tools+NCVT3PKIT+Dual+Range+NCVT+and+AC%2FDC+Voltage+Tester+Electrical+Test+Kit&amp;qid=1695174124&amp;sr=8-3</v>
      </c>
      <c r="F2543" t="s">
        <v>6531</v>
      </c>
      <c r="G2543" t="e">
        <f ca="1">_xludf.IMAGE("https://edmondsonsupply.com/cdn/shop/products/ncvt3pkit.jpg?v=1667228452")</f>
        <v>#NAME?</v>
      </c>
      <c r="H2543" t="e">
        <f ca="1">_xludf.IMAGE("https://m.media-amazon.com/images/I/51Bb9uu7nIL._AC_UL320_.jpg")</f>
        <v>#NAME?</v>
      </c>
      <c r="I2543" t="s">
        <v>571</v>
      </c>
      <c r="J2543">
        <v>84.96</v>
      </c>
      <c r="K2543" s="4">
        <v>1.4280999999999999</v>
      </c>
      <c r="L2543">
        <v>5</v>
      </c>
      <c r="M2543">
        <v>1</v>
      </c>
      <c r="O2543" t="s">
        <v>25</v>
      </c>
      <c r="P2543" t="s">
        <v>6532</v>
      </c>
      <c r="Q2543" t="s">
        <v>6533</v>
      </c>
    </row>
    <row r="2544" spans="1:17" ht="15.5" x14ac:dyDescent="0.35">
      <c r="A2544"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544" s="3" t="str">
        <f>HYPERLINK("https://edmondsonsupply.com/products/klein-tools-69417-rare-earth-magnetic-meter-hanger", "https://edmondsonsupply.com/products/klein-tools-69417-rare-earth-magnetic-meter-hanger")</f>
        <v>https://edmondsonsupply.com/products/klein-tools-69417-rare-earth-magnetic-meter-hanger</v>
      </c>
      <c r="C2544" t="s">
        <v>1413</v>
      </c>
      <c r="D2544" t="s">
        <v>6534</v>
      </c>
      <c r="E2544" s="3" t="str">
        <f>HYPERLINK("https://www.amazon.com/Replacement-Klein-Tools-Rare-Earth-Magnetic/dp/B0BGJ4RHHH/ref=sr_1_10?keywords=Klein+Tools+69417+Rare+Earth+Magnetic+Meter+Hanger%2C+with+Strap&amp;qid=1695173948&amp;sr=8-10", "https://www.amazon.com/Replacement-Klein-Tools-Rare-Earth-Magnetic/dp/B0BGJ4RHHH/ref=sr_1_10?keywords=Klein+Tools+69417+Rare+Earth+Magnetic+Meter+Hanger%2C+with+Strap&amp;qid=1695173948&amp;sr=8-10")</f>
        <v>https://www.amazon.com/Replacement-Klein-Tools-Rare-Earth-Magnetic/dp/B0BGJ4RHHH/ref=sr_1_10?keywords=Klein+Tools+69417+Rare+Earth+Magnetic+Meter+Hanger%2C+with+Strap&amp;qid=1695173948&amp;sr=8-10</v>
      </c>
      <c r="F2544" t="s">
        <v>6535</v>
      </c>
      <c r="G2544" t="e">
        <f ca="1">_xludf.IMAGE("https://edmondsonsupply.com/cdn/shop/products/69417.jpg?v=1587150163")</f>
        <v>#NAME?</v>
      </c>
      <c r="H2544" t="e">
        <f ca="1">_xludf.IMAGE("https://m.media-amazon.com/images/I/51XR88q6Q5L._AC_UL320_.jpg")</f>
        <v>#NAME?</v>
      </c>
      <c r="I2544" t="s">
        <v>288</v>
      </c>
      <c r="J2544">
        <v>33.96</v>
      </c>
      <c r="K2544" s="4">
        <v>1.4274</v>
      </c>
      <c r="L2544">
        <v>4.5</v>
      </c>
      <c r="M2544">
        <v>10</v>
      </c>
      <c r="O2544" t="s">
        <v>25</v>
      </c>
      <c r="P2544" t="s">
        <v>845</v>
      </c>
      <c r="Q2544" t="s">
        <v>1416</v>
      </c>
    </row>
    <row r="2545" spans="1:17" ht="15.5" x14ac:dyDescent="0.35">
      <c r="A2545"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2545" s="3" t="str">
        <f>HYPERLINK("https://edmondsonsupply.com/products/milwaukee-48-22-0305-folding-jab-saw", "https://edmondsonsupply.com/products/milwaukee-48-22-0305-folding-jab-saw")</f>
        <v>https://edmondsonsupply.com/products/milwaukee-48-22-0305-folding-jab-saw</v>
      </c>
      <c r="C2545" t="s">
        <v>2139</v>
      </c>
      <c r="D2545" t="s">
        <v>2140</v>
      </c>
      <c r="E2545" s="3" t="str">
        <f>HYPERLINK("https://www.amazon.com/Milwaukee-48-22-0305-Compatible-Reciprocating-Included/dp/B082ZR5YFG/ref=sr_1_3?keywords=Milwaukee+48-22-0305+Folding+Jab+Saw&amp;qid=1695173950&amp;sr=8-3", "https://www.amazon.com/Milwaukee-48-22-0305-Compatible-Reciprocating-Included/dp/B082ZR5YFG/ref=sr_1_3?keywords=Milwaukee+48-22-0305+Folding+Jab+Saw&amp;qid=1695173950&amp;sr=8-3")</f>
        <v>https://www.amazon.com/Milwaukee-48-22-0305-Compatible-Reciprocating-Included/dp/B082ZR5YFG/ref=sr_1_3?keywords=Milwaukee+48-22-0305+Folding+Jab+Saw&amp;qid=1695173950&amp;sr=8-3</v>
      </c>
      <c r="F2545" t="s">
        <v>2141</v>
      </c>
      <c r="G2545" t="e">
        <f ca="1">_xludf.IMAGE("https://edmondsonsupply.com/cdn/shop/products/49678_48-22-0305-lg.jpg?v=1587148349")</f>
        <v>#NAME?</v>
      </c>
      <c r="H2545" t="e">
        <f ca="1">_xludf.IMAGE("https://m.media-amazon.com/images/I/61OX-FKNXSL._AC_UL320_.jpg")</f>
        <v>#NAME?</v>
      </c>
      <c r="I2545" t="s">
        <v>893</v>
      </c>
      <c r="J2545">
        <v>48.1</v>
      </c>
      <c r="K2545" s="4">
        <v>1.4086000000000001</v>
      </c>
      <c r="L2545">
        <v>5</v>
      </c>
      <c r="M2545">
        <v>3</v>
      </c>
      <c r="O2545" t="s">
        <v>25</v>
      </c>
      <c r="P2545" t="s">
        <v>2142</v>
      </c>
      <c r="Q2545" t="s">
        <v>2143</v>
      </c>
    </row>
    <row r="2546" spans="1:17" ht="15.5" x14ac:dyDescent="0.35">
      <c r="A2546"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2546"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2546" t="s">
        <v>6231</v>
      </c>
      <c r="D2546" t="s">
        <v>2156</v>
      </c>
      <c r="E2546" s="3" t="str">
        <f>HYPERLINK("https://www.amazon.com/Klein-Tools-80064-Circuit-Non-Contact/dp/B09WJKKBP2/ref=sr_1_6?keywords=Klein+Tools+NCVT1PKIT+Non-Contact+Voltage+and+GFCI+Receptacle+Test+Kit&amp;qid=1695174067&amp;sr=8-6", "https://www.amazon.com/Klein-Tools-80064-Circuit-Non-Contact/dp/B09WJKKBP2/ref=sr_1_6?keywords=Klein+Tools+NCVT1PKIT+Non-Contact+Voltage+and+GFCI+Receptacle+Test+Kit&amp;qid=1695174067&amp;sr=8-6")</f>
        <v>https://www.amazon.com/Klein-Tools-80064-Circuit-Non-Contact/dp/B09WJKKBP2/ref=sr_1_6?keywords=Klein+Tools+NCVT1PKIT+Non-Contact+Voltage+and+GFCI+Receptacle+Test+Kit&amp;qid=1695174067&amp;sr=8-6</v>
      </c>
      <c r="F2546" t="s">
        <v>2157</v>
      </c>
      <c r="G2546" t="e">
        <f ca="1">_xludf.IMAGE("https://edmondsonsupply.com/cdn/shop/products/ncvt1pkit.jpg?v=1677682920")</f>
        <v>#NAME?</v>
      </c>
      <c r="H2546" t="e">
        <f ca="1">_xludf.IMAGE("https://m.media-amazon.com/images/I/717V+W-xvwL._AC_UL320_.jpg")</f>
        <v>#NAME?</v>
      </c>
      <c r="I2546" t="s">
        <v>859</v>
      </c>
      <c r="J2546">
        <v>59.99</v>
      </c>
      <c r="K2546" s="4">
        <v>1.4025000000000001</v>
      </c>
      <c r="L2546">
        <v>4.7</v>
      </c>
      <c r="M2546">
        <v>19569</v>
      </c>
      <c r="O2546" t="s">
        <v>25</v>
      </c>
      <c r="P2546" t="s">
        <v>6234</v>
      </c>
      <c r="Q2546" t="s">
        <v>6235</v>
      </c>
    </row>
    <row r="2547" spans="1:17" ht="15.5" x14ac:dyDescent="0.35">
      <c r="A2547"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2547"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2547" t="s">
        <v>2155</v>
      </c>
      <c r="D2547" t="s">
        <v>2156</v>
      </c>
      <c r="E2547" s="3" t="str">
        <f>HYPERLINK("https://www.amazon.com/Klein-Tools-80064-Circuit-Non-Contact/dp/B09WJKKBP2/ref=sr_1_5?keywords=Klein+Tools+NCVT1XTKIT+Non-Contact+Voltage+and+GFCI+Receptacle+Premium+Test+Kit&amp;qid=1695173872&amp;sr=8-5", "https://www.amazon.com/Klein-Tools-80064-Circuit-Non-Contact/dp/B09WJKKBP2/ref=sr_1_5?keywords=Klein+Tools+NCVT1XTKIT+Non-Contact+Voltage+and+GFCI+Receptacle+Premium+Test+Kit&amp;qid=1695173872&amp;sr=8-5")</f>
        <v>https://www.amazon.com/Klein-Tools-80064-Circuit-Non-Contact/dp/B09WJKKBP2/ref=sr_1_5?keywords=Klein+Tools+NCVT1XTKIT+Non-Contact+Voltage+and+GFCI+Receptacle+Premium+Test+Kit&amp;qid=1695173872&amp;sr=8-5</v>
      </c>
      <c r="F2547" t="s">
        <v>2157</v>
      </c>
      <c r="G2547" t="e">
        <f ca="1">_xludf.IMAGE("https://edmondsonsupply.com/cdn/shop/products/ncvt1xtkit.jpg?v=1674497102")</f>
        <v>#NAME?</v>
      </c>
      <c r="H2547" t="e">
        <f ca="1">_xludf.IMAGE("https://m.media-amazon.com/images/I/717V+W-xvwL._AC_UL320_.jpg")</f>
        <v>#NAME?</v>
      </c>
      <c r="I2547" t="s">
        <v>471</v>
      </c>
      <c r="J2547">
        <v>59.99</v>
      </c>
      <c r="K2547" s="4">
        <v>1.4006000000000001</v>
      </c>
      <c r="L2547">
        <v>4.7</v>
      </c>
      <c r="M2547">
        <v>19569</v>
      </c>
      <c r="O2547" t="s">
        <v>25</v>
      </c>
      <c r="P2547" t="s">
        <v>2158</v>
      </c>
      <c r="Q2547" t="s">
        <v>2159</v>
      </c>
    </row>
    <row r="2548" spans="1:17" ht="15.5" x14ac:dyDescent="0.35">
      <c r="A2548"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2548" s="3" t="str">
        <f>HYPERLINK("https://edmondsonsupply.com/products/diablo-tools-dsp1060-1-in-x-4-in-spade-bit", "https://edmondsonsupply.com/products/diablo-tools-dsp1060-1-in-x-4-in-spade-bit")</f>
        <v>https://edmondsonsupply.com/products/diablo-tools-dsp1060-1-in-x-4-in-spade-bit</v>
      </c>
      <c r="C2548" t="s">
        <v>6298</v>
      </c>
      <c r="D2548" t="s">
        <v>6536</v>
      </c>
      <c r="E2548" s="3" t="str">
        <f>HYPERLINK("https://www.amazon.com/Diablo-1-1-SPEEDemon-Spade-Bit/dp/B089KWFTKZ/ref=sr_1_2?keywords=Diablo+Tools+DSP1060+1+in.+x+4+in.+Spade+Bit&amp;qid=1695174100&amp;sr=8-2", "https://www.amazon.com/Diablo-1-1-SPEEDemon-Spade-Bit/dp/B089KWFTKZ/ref=sr_1_2?keywords=Diablo+Tools+DSP1060+1+in.+x+4+in.+Spade+Bit&amp;qid=1695174100&amp;sr=8-2")</f>
        <v>https://www.amazon.com/Diablo-1-1-SPEEDemon-Spade-Bit/dp/B089KWFTKZ/ref=sr_1_2?keywords=Diablo+Tools+DSP1060+1+in.+x+4+in.+Spade+Bit&amp;qid=1695174100&amp;sr=8-2</v>
      </c>
      <c r="F2548" t="s">
        <v>6537</v>
      </c>
      <c r="G2548" t="e">
        <f ca="1">_xludf.IMAGE("https://edmondsonsupply.com/cdn/shop/products/hanbmwlurgioczoyawta.webp?v=1670510289")</f>
        <v>#NAME?</v>
      </c>
      <c r="H2548" t="e">
        <f ca="1">_xludf.IMAGE("https://m.media-amazon.com/images/I/61urRK8nv-L._AC_UL320_.jpg")</f>
        <v>#NAME?</v>
      </c>
      <c r="I2548" t="s">
        <v>6301</v>
      </c>
      <c r="J2548">
        <v>6.19</v>
      </c>
      <c r="K2548" s="4">
        <v>1.39</v>
      </c>
      <c r="L2548">
        <v>4.7</v>
      </c>
      <c r="M2548">
        <v>76</v>
      </c>
      <c r="O2548" t="s">
        <v>25</v>
      </c>
      <c r="P2548" t="s">
        <v>6302</v>
      </c>
      <c r="Q2548" t="s">
        <v>6303</v>
      </c>
    </row>
    <row r="2549" spans="1:17" ht="15.5" x14ac:dyDescent="0.35">
      <c r="A2549" s="3" t="str">
        <f>HYPERLINK("https://edmondsonsupply.com/collections/electricians-tools/products/diablo-tools-d0536x-5-3-8-in-x-36-tooth-finish-trim-saw-blade", "https://edmondsonsupply.com/collections/electricians-tools/products/diablo-tools-d0536x-5-3-8-in-x-36-tooth-finish-trim-saw-blade")</f>
        <v>https://edmondsonsupply.com/collections/electricians-tools/products/diablo-tools-d0536x-5-3-8-in-x-36-tooth-finish-trim-saw-blade</v>
      </c>
      <c r="B2549" s="3" t="str">
        <f>HYPERLINK("https://edmondsonsupply.com/products/diablo-tools-d0536x-5-3-8-in-x-36-tooth-finish-trim-saw-blade", "https://edmondsonsupply.com/products/diablo-tools-d0536x-5-3-8-in-x-36-tooth-finish-trim-saw-blade")</f>
        <v>https://edmondsonsupply.com/products/diablo-tools-d0536x-5-3-8-in-x-36-tooth-finish-trim-saw-blade</v>
      </c>
      <c r="C2549" t="s">
        <v>6538</v>
      </c>
      <c r="D2549" t="s">
        <v>6539</v>
      </c>
      <c r="E2549" s="3" t="str">
        <f>HYPERLINK("https://www.amazon.com/Freud-D0536X-Diablo-8-Inch-Cordless/dp/B076HCJL4B/ref=sr_1_2?keywords=Diablo+Tools+D0536X+5-3%2F8+in.+x+36+Tooth+Finish+Trim+Saw+Blade&amp;qid=1695174052&amp;sr=8-2", "https://www.amazon.com/Freud-D0536X-Diablo-8-Inch-Cordless/dp/B076HCJL4B/ref=sr_1_2?keywords=Diablo+Tools+D0536X+5-3%2F8+in.+x+36+Tooth+Finish+Trim+Saw+Blade&amp;qid=1695174052&amp;sr=8-2")</f>
        <v>https://www.amazon.com/Freud-D0536X-Diablo-8-Inch-Cordless/dp/B076HCJL4B/ref=sr_1_2?keywords=Diablo+Tools+D0536X+5-3%2F8+in.+x+36+Tooth+Finish+Trim+Saw+Blade&amp;qid=1695174052&amp;sr=8-2</v>
      </c>
      <c r="F2549" t="s">
        <v>6540</v>
      </c>
      <c r="G2549" t="e">
        <f ca="1">_xludf.IMAGE("https://edmondsonsupply.com/cdn/shop/products/tlu1mfykudka2gxayxql.webp?v=1679326425")</f>
        <v>#NAME?</v>
      </c>
      <c r="H2549" t="e">
        <f ca="1">_xludf.IMAGE("https://m.media-amazon.com/images/I/61HBiOgAoRL._AC_UL320_.jpg")</f>
        <v>#NAME?</v>
      </c>
      <c r="I2549" t="s">
        <v>4985</v>
      </c>
      <c r="J2549">
        <v>40.479999999999997</v>
      </c>
      <c r="K2549" s="4">
        <v>1.3854</v>
      </c>
      <c r="L2549">
        <v>4.5999999999999996</v>
      </c>
      <c r="M2549">
        <v>100</v>
      </c>
      <c r="O2549" t="s">
        <v>25</v>
      </c>
      <c r="P2549" t="s">
        <v>6541</v>
      </c>
      <c r="Q2549" t="s">
        <v>6542</v>
      </c>
    </row>
    <row r="2550" spans="1:17" ht="15.5" x14ac:dyDescent="0.35">
      <c r="A2550"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2550" s="3" t="str">
        <f>HYPERLINK("https://edmondsonsupply.com/products/klein-tools-rt310-afci-gfci-outlet-tester", "https://edmondsonsupply.com/products/klein-tools-rt310-afci-gfci-outlet-tester")</f>
        <v>https://edmondsonsupply.com/products/klein-tools-rt310-afci-gfci-outlet-tester</v>
      </c>
      <c r="C2550" t="s">
        <v>6210</v>
      </c>
      <c r="D2550" t="s">
        <v>6543</v>
      </c>
      <c r="E2550" s="3" t="str">
        <f>HYPERLINK("https://www.amazon.com/Klein-Tools-Receptacle-Electrical-Receptacles/dp/B09P84542L/ref=sr_1_3?keywords=Klein+Tools+RT310+AFCI+%2F+GFCI+Outlet+Tester&amp;qid=1695173970&amp;sr=8-3", "https://www.amazon.com/Klein-Tools-Receptacle-Electrical-Receptacles/dp/B09P84542L/ref=sr_1_3?keywords=Klein+Tools+RT310+AFCI+%2F+GFCI+Outlet+Tester&amp;qid=1695173970&amp;sr=8-3")</f>
        <v>https://www.amazon.com/Klein-Tools-Receptacle-Electrical-Receptacles/dp/B09P84542L/ref=sr_1_3?keywords=Klein+Tools+RT310+AFCI+%2F+GFCI+Outlet+Tester&amp;qid=1695173970&amp;sr=8-3</v>
      </c>
      <c r="F2550" t="s">
        <v>6544</v>
      </c>
      <c r="G2550" t="e">
        <f ca="1">_xludf.IMAGE("https://edmondsonsupply.com/cdn/shop/products/rt310.jpg?v=1587148552")</f>
        <v>#NAME?</v>
      </c>
      <c r="H2550" t="e">
        <f ca="1">_xludf.IMAGE("https://m.media-amazon.com/images/I/51JAT1Kr0DL._AC_UL320_.jpg")</f>
        <v>#NAME?</v>
      </c>
      <c r="I2550" t="s">
        <v>246</v>
      </c>
      <c r="J2550">
        <v>94.96</v>
      </c>
      <c r="K2550" s="4">
        <v>1.3757999999999999</v>
      </c>
      <c r="L2550">
        <v>4.7</v>
      </c>
      <c r="M2550">
        <v>499</v>
      </c>
      <c r="O2550" t="s">
        <v>25</v>
      </c>
      <c r="P2550" t="s">
        <v>6213</v>
      </c>
      <c r="Q2550" t="s">
        <v>6214</v>
      </c>
    </row>
    <row r="2551" spans="1:17" ht="15.5" x14ac:dyDescent="0.35">
      <c r="A2551" s="3" t="str">
        <f>HYPERLINK("https://edmondsonsupply.com/collections/electricians-tools/products/klein-tools-46037-cable-splicers-kit", "https://edmondsonsupply.com/collections/electricians-tools/products/klein-tools-46037-cable-splicers-kit")</f>
        <v>https://edmondsonsupply.com/collections/electricians-tools/products/klein-tools-46037-cable-splicers-kit</v>
      </c>
      <c r="B2551" s="3" t="str">
        <f>HYPERLINK("https://edmondsonsupply.com/products/klein-tools-46037-cable-splicers-kit", "https://edmondsonsupply.com/products/klein-tools-46037-cable-splicers-kit")</f>
        <v>https://edmondsonsupply.com/products/klein-tools-46037-cable-splicers-kit</v>
      </c>
      <c r="C2551" t="s">
        <v>6545</v>
      </c>
      <c r="D2551" t="s">
        <v>6546</v>
      </c>
      <c r="E2551" s="3" t="str">
        <f>HYPERLINK("https://www.amazon.com/Dismantling-Knife-1000V-Insulated-Electricians-Free-Fall/dp/B0BM2ZZM12/ref=sr_1_8?keywords=Klein+Tools+46037+Cable+Splicer%27s+Kit&amp;qid=1695174157&amp;sr=8-8", "https://www.amazon.com/Dismantling-Knife-1000V-Insulated-Electricians-Free-Fall/dp/B0BM2ZZM12/ref=sr_1_8?keywords=Klein+Tools+46037+Cable+Splicer%27s+Kit&amp;qid=1695174157&amp;sr=8-8")</f>
        <v>https://www.amazon.com/Dismantling-Knife-1000V-Insulated-Electricians-Free-Fall/dp/B0BM2ZZM12/ref=sr_1_8?keywords=Klein+Tools+46037+Cable+Splicer%27s+Kit&amp;qid=1695174157&amp;sr=8-8</v>
      </c>
      <c r="F2551" t="s">
        <v>6547</v>
      </c>
      <c r="G2551" t="e">
        <f ca="1">_xludf.IMAGE("https://edmondsonsupply.com/cdn/shop/products/46037.jpg?v=1663351986")</f>
        <v>#NAME?</v>
      </c>
      <c r="H2551" t="e">
        <f ca="1">_xludf.IMAGE("https://m.media-amazon.com/images/I/41uZ3RjcrvL._AC_UL320_.jpg")</f>
        <v>#NAME?</v>
      </c>
      <c r="I2551" t="s">
        <v>246</v>
      </c>
      <c r="J2551">
        <v>94.92</v>
      </c>
      <c r="K2551" s="4">
        <v>1.3748</v>
      </c>
      <c r="L2551">
        <v>4.8</v>
      </c>
      <c r="M2551">
        <v>793</v>
      </c>
      <c r="O2551" t="s">
        <v>25</v>
      </c>
      <c r="P2551" t="s">
        <v>6548</v>
      </c>
      <c r="Q2551" t="s">
        <v>6549</v>
      </c>
    </row>
    <row r="2552" spans="1:17" ht="15.5" x14ac:dyDescent="0.35">
      <c r="A2552" s="3" t="str">
        <f>HYPERLINK("https://edmondsonsupply.com/collections/electricians-tools/products/malco-tools-tb1-soft-sided-tool-bag", "https://edmondsonsupply.com/collections/electricians-tools/products/malco-tools-tb1-soft-sided-tool-bag")</f>
        <v>https://edmondsonsupply.com/collections/electricians-tools/products/malco-tools-tb1-soft-sided-tool-bag</v>
      </c>
      <c r="B2552" s="3" t="str">
        <f>HYPERLINK("https://edmondsonsupply.com/products/malco-tools-tb1-soft-sided-tool-bag", "https://edmondsonsupply.com/products/malco-tools-tb1-soft-sided-tool-bag")</f>
        <v>https://edmondsonsupply.com/products/malco-tools-tb1-soft-sided-tool-bag</v>
      </c>
      <c r="C2552" t="s">
        <v>308</v>
      </c>
      <c r="D2552" t="s">
        <v>309</v>
      </c>
      <c r="E2552" s="3" t="str">
        <f>HYPERLINK("https://www.amazon.com/Malco-Soft-Sided-Tool-Pocket/dp/B0943Y3HYS/ref=sr_1_1?keywords=Malco+Tools+TB1+Soft+Sided+Tool+Bag&amp;qid=1695174126&amp;sr=8-1", "https://www.amazon.com/Malco-Soft-Sided-Tool-Pocket/dp/B0943Y3HYS/ref=sr_1_1?keywords=Malco+Tools+TB1+Soft+Sided+Tool+Bag&amp;qid=1695174126&amp;sr=8-1")</f>
        <v>https://www.amazon.com/Malco-Soft-Sided-Tool-Pocket/dp/B0943Y3HYS/ref=sr_1_1?keywords=Malco+Tools+TB1+Soft+Sided+Tool+Bag&amp;qid=1695174126&amp;sr=8-1</v>
      </c>
      <c r="F2552" t="s">
        <v>310</v>
      </c>
      <c r="G2552" t="e">
        <f ca="1">_xludf.IMAGE("https://edmondsonsupply.com/cdn/shop/products/TB1-catalog-2-440x440.jpg?v=1668089126")</f>
        <v>#NAME?</v>
      </c>
      <c r="H2552" t="e">
        <f ca="1">_xludf.IMAGE("https://m.media-amazon.com/images/I/31LWmbOibWS._AC_UL320_.jpg")</f>
        <v>#NAME?</v>
      </c>
      <c r="I2552" t="s">
        <v>311</v>
      </c>
      <c r="J2552">
        <v>170.5</v>
      </c>
      <c r="K2552" s="4">
        <v>1.3684000000000001</v>
      </c>
      <c r="L2552">
        <v>1</v>
      </c>
      <c r="M2552">
        <v>1</v>
      </c>
      <c r="O2552" t="s">
        <v>25</v>
      </c>
      <c r="P2552" t="s">
        <v>312</v>
      </c>
      <c r="Q2552" t="s">
        <v>313</v>
      </c>
    </row>
    <row r="2553" spans="1:17" ht="15.5" x14ac:dyDescent="0.35">
      <c r="A2553" s="3" t="str">
        <f>HYPERLINK("https://edmondsonsupply.com/collections/electricians-tools/products/malco-mshc-2-inch-c-rhex-cleanable-reversible-magnetic-hex-driver-1-4-5-16", "https://edmondsonsupply.com/collections/electricians-tools/products/malco-mshc-2-inch-c-rhex-cleanable-reversible-magnetic-hex-driver-1-4-5-16")</f>
        <v>https://edmondsonsupply.com/collections/electricians-tools/products/malco-mshc-2-inch-c-rhex-cleanable-reversible-magnetic-hex-driver-1-4-5-16</v>
      </c>
      <c r="B2553"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2553" t="s">
        <v>134</v>
      </c>
      <c r="D2553" t="s">
        <v>178</v>
      </c>
      <c r="E2553" s="3" t="str">
        <f>HYPERLINK("https://www.amazon.com/Malco-MSHMLC2-Construction-Cleanable-Reversible/dp/B0BX77PFCY/ref=sr_1_4?keywords=Malco+Tools+MSHC+2-Inch+C-Rhex+Cleanable%2C+Reversible+Magnetic+Hex+Driver%2C+1%2F4&amp;qid=1695173843&amp;sr=8-4", "https://www.amazon.com/Malco-MSHMLC2-Construction-Cleanable-Reversible/dp/B0BX77PFCY/ref=sr_1_4?keywords=Malco+Tools+MSHC+2-Inch+C-Rhex+Cleanable%2C+Reversible+Magnetic+Hex+Driver%2C+1%2F4&amp;qid=1695173843&amp;sr=8-4")</f>
        <v>https://www.amazon.com/Malco-MSHMLC2-Construction-Cleanable-Reversible/dp/B0BX77PFCY/ref=sr_1_4?keywords=Malco+Tools+MSHC+2-Inch+C-Rhex+Cleanable%2C+Reversible+Magnetic+Hex+Driver%2C+1%2F4&amp;qid=1695173843&amp;sr=8-4</v>
      </c>
      <c r="F2553" t="s">
        <v>179</v>
      </c>
      <c r="G2553" t="e">
        <f ca="1">_xludf.IMAGE("https://edmondsonsupply.com/cdn/shop/products/Malco-MSHC-CRHEX-Slim-Design.jpg?v=1646614493")</f>
        <v>#NAME?</v>
      </c>
      <c r="H2553" t="e">
        <f ca="1">_xludf.IMAGE("https://m.media-amazon.com/images/I/61SpFpw6GjL._AC_UL320_.jpg")</f>
        <v>#NAME?</v>
      </c>
      <c r="I2553" t="s">
        <v>137</v>
      </c>
      <c r="J2553">
        <v>13.91</v>
      </c>
      <c r="K2553" s="4">
        <v>1.3615999999999999</v>
      </c>
      <c r="L2553">
        <v>3</v>
      </c>
      <c r="M2553">
        <v>4</v>
      </c>
      <c r="O2553" t="s">
        <v>25</v>
      </c>
      <c r="P2553" t="s">
        <v>138</v>
      </c>
      <c r="Q2553" t="s">
        <v>139</v>
      </c>
    </row>
    <row r="2554" spans="1:17" ht="15.5" x14ac:dyDescent="0.35">
      <c r="A2554"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2554" s="3" t="str">
        <f>HYPERLINK("https://edmondsonsupply.com/products/klein-tools-630-3-8-3-8-inch-nut-driver-with-3-inch-hollow-shaft", "https://edmondsonsupply.com/products/klein-tools-630-3-8-3-8-inch-nut-driver-with-3-inch-hollow-shaft")</f>
        <v>https://edmondsonsupply.com/products/klein-tools-630-3-8-3-8-inch-nut-driver-with-3-inch-hollow-shaft</v>
      </c>
      <c r="C2554" t="s">
        <v>6150</v>
      </c>
      <c r="D2554" t="s">
        <v>6550</v>
      </c>
      <c r="E2554" s="3" t="str">
        <f>HYPERLINK("https://www.amazon.com/Insulated-Klein-Tools-646-3-8-INS/dp/B000MKH62I/ref=sr_1_5?keywords=Klein+Tools+630-3%2F8+3%2F8-Inch+Nut+Driver+with+3-Inch+Hollow+Shaft&amp;qid=1695174289&amp;sr=8-5", "https://www.amazon.com/Insulated-Klein-Tools-646-3-8-INS/dp/B000MKH62I/ref=sr_1_5?keywords=Klein+Tools+630-3%2F8+3%2F8-Inch+Nut+Driver+with+3-Inch+Hollow+Shaft&amp;qid=1695174289&amp;sr=8-5")</f>
        <v>https://www.amazon.com/Insulated-Klein-Tools-646-3-8-INS/dp/B000MKH62I/ref=sr_1_5?keywords=Klein+Tools+630-3%2F8+3%2F8-Inch+Nut+Driver+with+3-Inch+Hollow+Shaft&amp;qid=1695174289&amp;sr=8-5</v>
      </c>
      <c r="F2554" t="s">
        <v>6551</v>
      </c>
      <c r="G2554" t="e">
        <f ca="1">_xludf.IMAGE("https://edmondsonsupply.com/cdn/shop/products/630-1-2_e23f9fbd-a282-44d7-b743-2cfe0f84edfa.jpg?v=1633030906")</f>
        <v>#NAME?</v>
      </c>
      <c r="H2554" t="e">
        <f ca="1">_xludf.IMAGE("https://m.media-amazon.com/images/I/613x9jx46fL._AC_UL320_.jpg")</f>
        <v>#NAME?</v>
      </c>
      <c r="I2554" t="s">
        <v>924</v>
      </c>
      <c r="J2554">
        <v>21.18</v>
      </c>
      <c r="K2554" s="4">
        <v>1.3560000000000001</v>
      </c>
      <c r="L2554">
        <v>4.7</v>
      </c>
      <c r="M2554">
        <v>274</v>
      </c>
      <c r="O2554" t="s">
        <v>25</v>
      </c>
      <c r="P2554" t="s">
        <v>6153</v>
      </c>
      <c r="Q2554" t="s">
        <v>6154</v>
      </c>
    </row>
    <row r="2555" spans="1:17" ht="15.5" x14ac:dyDescent="0.35">
      <c r="A2555"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2555"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2555" t="s">
        <v>6393</v>
      </c>
      <c r="D2555" t="s">
        <v>6552</v>
      </c>
      <c r="E2555" s="3" t="str">
        <f>HYPERLINK("https://www.amazon.com/Klein-Tools-32293-Screwdriver-Double-Ended/dp/B07WWZZQD2/ref=sr_1_6?keywords=Klein+Tools+614-2+1%2F16-Inch+Slotted+Electronics+Screwdriver%2C+2-Inch&amp;qid=1695174229&amp;sr=8-6", "https://www.amazon.com/Klein-Tools-32293-Screwdriver-Double-Ended/dp/B07WWZZQD2/ref=sr_1_6?keywords=Klein+Tools+614-2+1%2F16-Inch+Slotted+Electronics+Screwdriver%2C+2-Inch&amp;qid=1695174229&amp;sr=8-6")</f>
        <v>https://www.amazon.com/Klein-Tools-32293-Screwdriver-Double-Ended/dp/B07WWZZQD2/ref=sr_1_6?keywords=Klein+Tools+614-2+1%2F16-Inch+Slotted+Electronics+Screwdriver%2C+2-Inch&amp;qid=1695174229&amp;sr=8-6</v>
      </c>
      <c r="F2555" t="s">
        <v>6553</v>
      </c>
      <c r="G2555" t="e">
        <f ca="1">_xludf.IMAGE("https://edmondsonsupply.com/cdn/shop/products/614-2.jpg?v=1637284311")</f>
        <v>#NAME?</v>
      </c>
      <c r="H2555" t="e">
        <f ca="1">_xludf.IMAGE("https://m.media-amazon.com/images/I/41yk4NC2BmL._AC_UL320_.jpg")</f>
        <v>#NAME?</v>
      </c>
      <c r="I2555" t="s">
        <v>6394</v>
      </c>
      <c r="J2555">
        <v>19.98</v>
      </c>
      <c r="K2555" s="4">
        <v>1.3533999999999999</v>
      </c>
      <c r="L2555">
        <v>4.8</v>
      </c>
      <c r="M2555">
        <v>2782</v>
      </c>
      <c r="O2555" t="s">
        <v>25</v>
      </c>
      <c r="P2555" t="s">
        <v>6395</v>
      </c>
      <c r="Q2555" t="s">
        <v>6396</v>
      </c>
    </row>
    <row r="2556" spans="1:17" ht="15.5" x14ac:dyDescent="0.35">
      <c r="A2556"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2556" s="3" t="str">
        <f>HYPERLINK("https://edmondsonsupply.com/products/klein-tools-69410-replacement-test-lead-set-right-angle", "https://edmondsonsupply.com/products/klein-tools-69410-replacement-test-lead-set-right-angle")</f>
        <v>https://edmondsonsupply.com/products/klein-tools-69410-replacement-test-lead-set-right-angle</v>
      </c>
      <c r="C2556" t="s">
        <v>1463</v>
      </c>
      <c r="D2556" t="s">
        <v>2190</v>
      </c>
      <c r="E2556" s="3" t="str">
        <f>HYPERLINK("https://www.amazon.com/Klein-Tools-Multimeter-Auto-Ranging-Replacement/dp/B0CF1HLRLZ/ref=sr_1_3?keywords=Klein+Tools+69410+Replacement+Test+Lead+Set%2C+Right+Angle&amp;qid=1695173944&amp;sr=8-3", "https://www.amazon.com/Klein-Tools-Multimeter-Auto-Ranging-Replacement/dp/B0CF1HLRLZ/ref=sr_1_3?keywords=Klein+Tools+69410+Replacement+Test+Lead+Set%2C+Right+Angle&amp;qid=1695173944&amp;sr=8-3")</f>
        <v>https://www.amazon.com/Klein-Tools-Multimeter-Auto-Ranging-Replacement/dp/B0CF1HLRLZ/ref=sr_1_3?keywords=Klein+Tools+69410+Replacement+Test+Lead+Set%2C+Right+Angle&amp;qid=1695173944&amp;sr=8-3</v>
      </c>
      <c r="F2556" t="s">
        <v>2191</v>
      </c>
      <c r="G2556" t="e">
        <f ca="1">_xludf.IMAGE("https://edmondsonsupply.com/cdn/shop/products/69410.jpg?v=1587143393")</f>
        <v>#NAME?</v>
      </c>
      <c r="H2556" t="e">
        <f ca="1">_xludf.IMAGE("https://m.media-amazon.com/images/I/511gqqz-o+L._AC_UY218_.jpg")</f>
        <v>#NAME?</v>
      </c>
      <c r="I2556" t="s">
        <v>893</v>
      </c>
      <c r="J2556">
        <v>46.9</v>
      </c>
      <c r="K2556" s="4">
        <v>1.3485</v>
      </c>
      <c r="L2556">
        <v>4.7</v>
      </c>
      <c r="M2556">
        <v>3817</v>
      </c>
      <c r="O2556" t="s">
        <v>25</v>
      </c>
      <c r="P2556" t="s">
        <v>1466</v>
      </c>
      <c r="Q2556" t="s">
        <v>1467</v>
      </c>
    </row>
    <row r="2557" spans="1:17" ht="15.5" x14ac:dyDescent="0.35">
      <c r="A2557"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557" s="3" t="str">
        <f>HYPERLINK("https://edmondsonsupply.com/products/klein-tools-et45-ac-dc-voltage-tester", "https://edmondsonsupply.com/products/klein-tools-et45-ac-dc-voltage-tester")</f>
        <v>https://edmondsonsupply.com/products/klein-tools-et45-ac-dc-voltage-tester</v>
      </c>
      <c r="C2557" t="s">
        <v>6080</v>
      </c>
      <c r="D2557" t="s">
        <v>6554</v>
      </c>
      <c r="E2557" s="3" t="str">
        <f>HYPERLINK("https://www.amazon.com/Electronic-Voltage-Klein-Tools-ET60/dp/B06WWFGHQZ/ref=sr_1_6?keywords=Klein+Tools+ET45+AC%2FDC+Voltage+Tester&amp;qid=1695174290&amp;sr=8-6", "https://www.amazon.com/Electronic-Voltage-Klein-Tools-ET60/dp/B06WWFGHQZ/ref=sr_1_6?keywords=Klein+Tools+ET45+AC%2FDC+Voltage+Tester&amp;qid=1695174290&amp;sr=8-6")</f>
        <v>https://www.amazon.com/Electronic-Voltage-Klein-Tools-ET60/dp/B06WWFGHQZ/ref=sr_1_6?keywords=Klein+Tools+ET45+AC%2FDC+Voltage+Tester&amp;qid=1695174290&amp;sr=8-6</v>
      </c>
      <c r="F2557" t="s">
        <v>6555</v>
      </c>
      <c r="G2557" t="e">
        <f ca="1">_xludf.IMAGE("https://edmondsonsupply.com/cdn/shop/products/et45.jpg?v=1647786270")</f>
        <v>#NAME?</v>
      </c>
      <c r="H2557" t="e">
        <f ca="1">_xludf.IMAGE("https://m.media-amazon.com/images/I/61bFp93k0pL._AC_UL320_.jpg")</f>
        <v>#NAME?</v>
      </c>
      <c r="I2557" t="s">
        <v>2337</v>
      </c>
      <c r="J2557">
        <v>28.05</v>
      </c>
      <c r="K2557" s="4">
        <v>1.3393999999999999</v>
      </c>
      <c r="L2557">
        <v>4.5999999999999996</v>
      </c>
      <c r="M2557">
        <v>1112</v>
      </c>
      <c r="O2557" t="s">
        <v>25</v>
      </c>
      <c r="P2557" t="s">
        <v>6083</v>
      </c>
      <c r="Q2557" t="s">
        <v>6084</v>
      </c>
    </row>
    <row r="2558" spans="1:17" ht="15.5" x14ac:dyDescent="0.35">
      <c r="A2558"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2558"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2558" t="s">
        <v>6439</v>
      </c>
      <c r="D2558" t="s">
        <v>6556</v>
      </c>
      <c r="E2558" s="3" t="str">
        <f>HYPERLINK("https://www.amazon.com/Klein-Tools-Impact-Driver-Socket/dp/B0BNL4KNLD/ref=sr_1_4?keywords=Klein+Tools+32768+3-in-1+Impact+Flip+Socket+Set%2C+1%2F4-Inch%2C+5%2F16-Inch%2C+2-Piece&amp;qid=1695174135&amp;sr=8-4", "https://www.amazon.com/Klein-Tools-Impact-Driver-Socket/dp/B0BNL4KNLD/ref=sr_1_4?keywords=Klein+Tools+32768+3-in-1+Impact+Flip+Socket+Set%2C+1%2F4-Inch%2C+5%2F16-Inch%2C+2-Piece&amp;qid=1695174135&amp;sr=8-4")</f>
        <v>https://www.amazon.com/Klein-Tools-Impact-Driver-Socket/dp/B0BNL4KNLD/ref=sr_1_4?keywords=Klein+Tools+32768+3-in-1+Impact+Flip+Socket+Set%2C+1%2F4-Inch%2C+5%2F16-Inch%2C+2-Piece&amp;qid=1695174135&amp;sr=8-4</v>
      </c>
      <c r="F2558" t="s">
        <v>6557</v>
      </c>
      <c r="G2558" t="e">
        <f ca="1">_xludf.IMAGE("https://edmondsonsupply.com/cdn/shop/products/32768.jpg?v=1666022946")</f>
        <v>#NAME?</v>
      </c>
      <c r="H2558" t="e">
        <f ca="1">_xludf.IMAGE("https://m.media-amazon.com/images/I/41nFo8SbgZL._AC_UL320_.jpg")</f>
        <v>#NAME?</v>
      </c>
      <c r="I2558" t="s">
        <v>2784</v>
      </c>
      <c r="J2558">
        <v>34.979999999999997</v>
      </c>
      <c r="K2558" s="4">
        <v>1.3367</v>
      </c>
      <c r="L2558">
        <v>5</v>
      </c>
      <c r="M2558">
        <v>7</v>
      </c>
      <c r="O2558" t="s">
        <v>25</v>
      </c>
      <c r="P2558" t="s">
        <v>854</v>
      </c>
      <c r="Q2558" t="s">
        <v>6442</v>
      </c>
    </row>
    <row r="2559" spans="1:17" ht="15.5" x14ac:dyDescent="0.35">
      <c r="A2559"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559" s="3" t="str">
        <f>HYPERLINK("https://edmondsonsupply.com/products/klein-tools-32900-7-in-1-impact-flip-socket-with-handle", "https://edmondsonsupply.com/products/klein-tools-32900-7-in-1-impact-flip-socket-with-handle")</f>
        <v>https://edmondsonsupply.com/products/klein-tools-32900-7-in-1-impact-flip-socket-with-handle</v>
      </c>
      <c r="C2559" t="s">
        <v>6184</v>
      </c>
      <c r="D2559" t="s">
        <v>6558</v>
      </c>
      <c r="E2559" s="3" t="str">
        <f>HYPERLINK("https://www.amazon.com/Klein-Tools-J215-8CR-Multitool-Twisting/dp/B0BNL9XZLY/ref=sr_1_4?keywords=Klein+Tools+32900+7-in-1+Impact+Flip+Socket+with+Handle&amp;qid=1695174143&amp;sr=8-4", "https://www.amazon.com/Klein-Tools-J215-8CR-Multitool-Twisting/dp/B0BNL9XZLY/ref=sr_1_4?keywords=Klein+Tools+32900+7-in-1+Impact+Flip+Socket+with+Handle&amp;qid=1695174143&amp;sr=8-4")</f>
        <v>https://www.amazon.com/Klein-Tools-J215-8CR-Multitool-Twisting/dp/B0BNL9XZLY/ref=sr_1_4?keywords=Klein+Tools+32900+7-in-1+Impact+Flip+Socket+with+Handle&amp;qid=1695174143&amp;sr=8-4</v>
      </c>
      <c r="F2559" t="s">
        <v>6559</v>
      </c>
      <c r="G2559" t="e">
        <f ca="1">_xludf.IMAGE("https://edmondsonsupply.com/cdn/shop/products/32900_b.jpg?v=1666024787")</f>
        <v>#NAME?</v>
      </c>
      <c r="H2559" t="e">
        <f ca="1">_xludf.IMAGE("https://m.media-amazon.com/images/I/51OtnaqJyqL._AC_UL320_.jpg")</f>
        <v>#NAME?</v>
      </c>
      <c r="I2559" t="s">
        <v>824</v>
      </c>
      <c r="J2559">
        <v>69.94</v>
      </c>
      <c r="K2559" s="4">
        <v>1.3337000000000001</v>
      </c>
      <c r="L2559">
        <v>4</v>
      </c>
      <c r="M2559">
        <v>3</v>
      </c>
      <c r="O2559" t="s">
        <v>25</v>
      </c>
      <c r="P2559" t="s">
        <v>73</v>
      </c>
      <c r="Q2559" t="s">
        <v>6187</v>
      </c>
    </row>
    <row r="2560" spans="1:17" ht="15.5" x14ac:dyDescent="0.35">
      <c r="A2560"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560" s="3" t="str">
        <f>HYPERLINK("https://edmondsonsupply.com/products/klein-tools-32900-7-in-1-impact-flip-socket-with-handle", "https://edmondsonsupply.com/products/klein-tools-32900-7-in-1-impact-flip-socket-with-handle")</f>
        <v>https://edmondsonsupply.com/products/klein-tools-32900-7-in-1-impact-flip-socket-with-handle</v>
      </c>
      <c r="C2560" t="s">
        <v>6184</v>
      </c>
      <c r="D2560" t="s">
        <v>6560</v>
      </c>
      <c r="E2560" s="3" t="str">
        <f>HYPERLINK("https://www.amazon.com/Klein-Tools-Recharge-Headlamp-Runtime/dp/B0BNL563BW/ref=sr_1_5?keywords=Klein+Tools+32900+7-in-1+Impact+Flip+Socket+with+Handle&amp;qid=1695174143&amp;sr=8-5", "https://www.amazon.com/Klein-Tools-Recharge-Headlamp-Runtime/dp/B0BNL563BW/ref=sr_1_5?keywords=Klein+Tools+32900+7-in-1+Impact+Flip+Socket+with+Handle&amp;qid=1695174143&amp;sr=8-5")</f>
        <v>https://www.amazon.com/Klein-Tools-Recharge-Headlamp-Runtime/dp/B0BNL563BW/ref=sr_1_5?keywords=Klein+Tools+32900+7-in-1+Impact+Flip+Socket+with+Handle&amp;qid=1695174143&amp;sr=8-5</v>
      </c>
      <c r="F2560" t="s">
        <v>6561</v>
      </c>
      <c r="G2560" t="e">
        <f ca="1">_xludf.IMAGE("https://edmondsonsupply.com/cdn/shop/products/32900_b.jpg?v=1666024787")</f>
        <v>#NAME?</v>
      </c>
      <c r="H2560" t="e">
        <f ca="1">_xludf.IMAGE("https://m.media-amazon.com/images/I/51gNBTMFaDL._AC_UL320_.jpg")</f>
        <v>#NAME?</v>
      </c>
      <c r="I2560" t="s">
        <v>824</v>
      </c>
      <c r="J2560">
        <v>69.94</v>
      </c>
      <c r="K2560" s="4">
        <v>1.3337000000000001</v>
      </c>
      <c r="L2560">
        <v>4.3</v>
      </c>
      <c r="M2560">
        <v>3</v>
      </c>
      <c r="O2560" t="s">
        <v>25</v>
      </c>
      <c r="P2560" t="s">
        <v>73</v>
      </c>
      <c r="Q2560" t="s">
        <v>6187</v>
      </c>
    </row>
    <row r="2561" spans="1:17" ht="15.5" x14ac:dyDescent="0.35">
      <c r="A2561"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2561" s="3" t="str">
        <f>HYPERLINK("https://edmondsonsupply.com/products/diablo-tools-d0760x-7-1-4-in-x-60-tooth-ultra-finish-saw-blade", "https://edmondsonsupply.com/products/diablo-tools-d0760x-7-1-4-in-x-60-tooth-ultra-finish-saw-blade")</f>
        <v>https://edmondsonsupply.com/products/diablo-tools-d0760x-7-1-4-in-x-60-tooth-ultra-finish-saw-blade</v>
      </c>
      <c r="C2561" t="s">
        <v>6011</v>
      </c>
      <c r="D2561" t="s">
        <v>6562</v>
      </c>
      <c r="E2561" s="3" t="str">
        <f>HYPERLINK("https://www.amazon.com/D0760A-Diablo-60-Tooth-Finishing-Circular/dp/B0763T4PLZ/ref=sr_1_1?keywords=Diablo+Tools+D0760X+7-1%2F4+in.+x+60+Tooth+Ultra+Finish+Saw+Blade&amp;qid=1695174054&amp;sr=8-1", "https://www.amazon.com/D0760A-Diablo-60-Tooth-Finishing-Circular/dp/B0763T4PLZ/ref=sr_1_1?keywords=Diablo+Tools+D0760X+7-1%2F4+in.+x+60+Tooth+Ultra+Finish+Saw+Blade&amp;qid=1695174054&amp;sr=8-1")</f>
        <v>https://www.amazon.com/D0760A-Diablo-60-Tooth-Finishing-Circular/dp/B0763T4PLZ/ref=sr_1_1?keywords=Diablo+Tools+D0760X+7-1%2F4+in.+x+60+Tooth+Ultra+Finish+Saw+Blade&amp;qid=1695174054&amp;sr=8-1</v>
      </c>
      <c r="F2561" t="s">
        <v>6563</v>
      </c>
      <c r="G2561" t="e">
        <f ca="1">_xludf.IMAGE("https://edmondsonsupply.com/cdn/shop/products/vlfiqrihhfwf5bxirasx.webp?v=1678977162")</f>
        <v>#NAME?</v>
      </c>
      <c r="H2561" t="e">
        <f ca="1">_xludf.IMAGE("https://m.media-amazon.com/images/I/61WSwNmsWWL._AC_UL320_.jpg")</f>
        <v>#NAME?</v>
      </c>
      <c r="I2561" t="s">
        <v>893</v>
      </c>
      <c r="J2561">
        <v>46.55</v>
      </c>
      <c r="K2561" s="4">
        <v>1.331</v>
      </c>
      <c r="L2561">
        <v>4.7</v>
      </c>
      <c r="M2561">
        <v>16</v>
      </c>
      <c r="O2561" t="s">
        <v>25</v>
      </c>
      <c r="P2561" t="s">
        <v>6014</v>
      </c>
      <c r="Q2561" t="s">
        <v>6015</v>
      </c>
    </row>
    <row r="2562" spans="1:17" ht="15.5" x14ac:dyDescent="0.35">
      <c r="A2562"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562" s="3" t="str">
        <f>HYPERLINK("https://edmondsonsupply.com/products/klein-tools-vdv427-300-impact-punchdown-tool-66-110-blade", "https://edmondsonsupply.com/products/klein-tools-vdv427-300-impact-punchdown-tool-66-110-blade")</f>
        <v>https://edmondsonsupply.com/products/klein-tools-vdv427-300-impact-punchdown-tool-66-110-blade</v>
      </c>
      <c r="C2562" t="s">
        <v>6289</v>
      </c>
      <c r="D2562" t="s">
        <v>6564</v>
      </c>
      <c r="E2562" s="3" t="str">
        <f>HYPERLINK("https://www.amazon.com/Klein-Tools-VDV526-200-VDV427-300-Punchdown/dp/B09T6Y965V/ref=sr_1_7?keywords=Klein+Tools+VDV427-300+Impact+Punchdown+Tool%2C+66%2F110+Blade&amp;qid=1695174221&amp;sr=8-7", "https://www.amazon.com/Klein-Tools-VDV526-200-VDV427-300-Punchdown/dp/B09T6Y965V/ref=sr_1_7?keywords=Klein+Tools+VDV427-300+Impact+Punchdown+Tool%2C+66%2F110+Blade&amp;qid=1695174221&amp;sr=8-7")</f>
        <v>https://www.amazon.com/Klein-Tools-VDV526-200-VDV427-300-Punchdown/dp/B09T6Y965V/ref=sr_1_7?keywords=Klein+Tools+VDV427-300+Impact+Punchdown+Tool%2C+66%2F110+Blade&amp;qid=1695174221&amp;sr=8-7</v>
      </c>
      <c r="F2562" t="s">
        <v>6565</v>
      </c>
      <c r="G2562" t="e">
        <f ca="1">_xludf.IMAGE("https://edmondsonsupply.com/cdn/shop/products/vdv427300.jpg?v=1646010568")</f>
        <v>#NAME?</v>
      </c>
      <c r="H2562" t="e">
        <f ca="1">_xludf.IMAGE("https://m.media-amazon.com/images/I/411dxfFTZ6L._AC_UL320_.jpg")</f>
        <v>#NAME?</v>
      </c>
      <c r="I2562" t="s">
        <v>246</v>
      </c>
      <c r="J2562">
        <v>93.07</v>
      </c>
      <c r="K2562" s="4">
        <v>1.3285</v>
      </c>
      <c r="L2562">
        <v>5</v>
      </c>
      <c r="M2562">
        <v>7</v>
      </c>
      <c r="O2562" t="s">
        <v>25</v>
      </c>
      <c r="P2562" t="s">
        <v>1027</v>
      </c>
      <c r="Q2562" t="s">
        <v>6292</v>
      </c>
    </row>
    <row r="2563" spans="1:17" ht="15.5" x14ac:dyDescent="0.35">
      <c r="A2563" s="3" t="str">
        <f>HYPERLINK("https://edmondsonsupply.com/collections/electricians-tools/products/greenlee-612-1-1-2-foam-conduit-piston", "https://edmondsonsupply.com/collections/electricians-tools/products/greenlee-612-1-1-2-foam-conduit-piston")</f>
        <v>https://edmondsonsupply.com/collections/electricians-tools/products/greenlee-612-1-1-2-foam-conduit-piston</v>
      </c>
      <c r="B2563" s="3" t="str">
        <f>HYPERLINK("https://edmondsonsupply.com/products/greenlee-612-1-1-2-foam-conduit-piston", "https://edmondsonsupply.com/products/greenlee-612-1-1-2-foam-conduit-piston")</f>
        <v>https://edmondsonsupply.com/products/greenlee-612-1-1-2-foam-conduit-piston</v>
      </c>
      <c r="C2563" t="s">
        <v>6509</v>
      </c>
      <c r="D2563" t="s">
        <v>6566</v>
      </c>
      <c r="E2563" s="3" t="str">
        <f>HYPERLINK("https://www.amazon.com/Greenlee-612-2-Piston-Conduit-Pack/dp/B003STCZE4/ref=sr_1_2?keywords=Greenlee+612+1-1%2F2%22+Foam+Conduit+Piston&amp;qid=1695173998&amp;sr=8-2", "https://www.amazon.com/Greenlee-612-2-Piston-Conduit-Pack/dp/B003STCZE4/ref=sr_1_2?keywords=Greenlee+612+1-1%2F2%22+Foam+Conduit+Piston&amp;qid=1695173998&amp;sr=8-2")</f>
        <v>https://www.amazon.com/Greenlee-612-2-Piston-Conduit-Pack/dp/B003STCZE4/ref=sr_1_2?keywords=Greenlee+612+1-1%2F2%22+Foam+Conduit+Piston&amp;qid=1695173998&amp;sr=8-2</v>
      </c>
      <c r="F2563" t="s">
        <v>6567</v>
      </c>
      <c r="G2563" t="e">
        <f ca="1">_xludf.IMAGE("https://edmondsonsupply.com/cdn/shop/files/612.png?v=1687451101")</f>
        <v>#NAME?</v>
      </c>
      <c r="H2563" t="e">
        <f ca="1">_xludf.IMAGE("https://m.media-amazon.com/images/I/91+NtS500CL._AC_UL320_.jpg")</f>
        <v>#NAME?</v>
      </c>
      <c r="I2563" t="s">
        <v>6510</v>
      </c>
      <c r="J2563">
        <v>26.34</v>
      </c>
      <c r="K2563" s="4">
        <v>1.3248</v>
      </c>
      <c r="L2563">
        <v>5</v>
      </c>
      <c r="M2563">
        <v>6</v>
      </c>
      <c r="O2563" t="s">
        <v>25</v>
      </c>
      <c r="P2563" t="s">
        <v>138</v>
      </c>
      <c r="Q2563" t="s">
        <v>6511</v>
      </c>
    </row>
    <row r="2564" spans="1:17" ht="15.5" x14ac:dyDescent="0.35">
      <c r="A2564"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2564" s="3" t="str">
        <f>HYPERLINK("https://edmondsonsupply.com/products/diablo-tools-dsp1060-1-in-x-4-in-spade-bit", "https://edmondsonsupply.com/products/diablo-tools-dsp1060-1-in-x-4-in-spade-bit")</f>
        <v>https://edmondsonsupply.com/products/diablo-tools-dsp1060-1-in-x-4-in-spade-bit</v>
      </c>
      <c r="C2564" t="s">
        <v>6298</v>
      </c>
      <c r="D2564" t="s">
        <v>6568</v>
      </c>
      <c r="E2564" s="3" t="str">
        <f>HYPERLINK("https://www.amazon.com/Diablo-DSP1020-SPEEDemon-Spade-Bit/dp/B089LMWCBQ/ref=sr_1_8?keywords=Diablo+Tools+DSP1060+1+in.+x+4+in.+Spade+Bit&amp;qid=1695174100&amp;sr=8-8", "https://www.amazon.com/Diablo-DSP1020-SPEEDemon-Spade-Bit/dp/B089LMWCBQ/ref=sr_1_8?keywords=Diablo+Tools+DSP1060+1+in.+x+4+in.+Spade+Bit&amp;qid=1695174100&amp;sr=8-8")</f>
        <v>https://www.amazon.com/Diablo-DSP1020-SPEEDemon-Spade-Bit/dp/B089LMWCBQ/ref=sr_1_8?keywords=Diablo+Tools+DSP1060+1+in.+x+4+in.+Spade+Bit&amp;qid=1695174100&amp;sr=8-8</v>
      </c>
      <c r="F2564" t="s">
        <v>6569</v>
      </c>
      <c r="G2564" t="e">
        <f ca="1">_xludf.IMAGE("https://edmondsonsupply.com/cdn/shop/products/hanbmwlurgioczoyawta.webp?v=1670510289")</f>
        <v>#NAME?</v>
      </c>
      <c r="H2564" t="e">
        <f ca="1">_xludf.IMAGE("https://m.media-amazon.com/images/I/61Ys49qYq0L._AC_UL320_.jpg")</f>
        <v>#NAME?</v>
      </c>
      <c r="I2564" t="s">
        <v>6301</v>
      </c>
      <c r="J2564">
        <v>6.01</v>
      </c>
      <c r="K2564" s="4">
        <v>1.3205</v>
      </c>
      <c r="L2564">
        <v>4.2</v>
      </c>
      <c r="M2564">
        <v>12</v>
      </c>
      <c r="O2564" t="s">
        <v>25</v>
      </c>
      <c r="P2564" t="s">
        <v>6302</v>
      </c>
      <c r="Q2564" t="s">
        <v>6303</v>
      </c>
    </row>
    <row r="2565" spans="1:17" ht="15.5" x14ac:dyDescent="0.35">
      <c r="A2565" s="3" t="str">
        <f>HYPERLINK("https://edmondsonsupply.com/collections/electricians-tools/products/klein-tools-85091-power-conduit-reamer", "https://edmondsonsupply.com/collections/electricians-tools/products/klein-tools-85091-power-conduit-reamer")</f>
        <v>https://edmondsonsupply.com/collections/electricians-tools/products/klein-tools-85091-power-conduit-reamer</v>
      </c>
      <c r="B2565" s="3" t="str">
        <f>HYPERLINK("https://edmondsonsupply.com/products/klein-tools-85091-power-conduit-reamer", "https://edmondsonsupply.com/products/klein-tools-85091-power-conduit-reamer")</f>
        <v>https://edmondsonsupply.com/products/klein-tools-85091-power-conduit-reamer</v>
      </c>
      <c r="C2565" t="s">
        <v>6570</v>
      </c>
      <c r="D2565" t="s">
        <v>6571</v>
      </c>
      <c r="E2565" s="3" t="str">
        <f>HYPERLINK("https://www.amazon.com/Klein-Tools-Conduit-Screwdriver-Thin-Wall/dp/B0BGPT4RV4/ref=sr_1_2?keywords=Klein+Tools+85091+Power+Conduit+Reamer&amp;qid=1695174290&amp;sr=8-2", "https://www.amazon.com/Klein-Tools-Conduit-Screwdriver-Thin-Wall/dp/B0BGPT4RV4/ref=sr_1_2?keywords=Klein+Tools+85091+Power+Conduit+Reamer&amp;qid=1695174290&amp;sr=8-2")</f>
        <v>https://www.amazon.com/Klein-Tools-Conduit-Screwdriver-Thin-Wall/dp/B0BGPT4RV4/ref=sr_1_2?keywords=Klein+Tools+85091+Power+Conduit+Reamer&amp;qid=1695174290&amp;sr=8-2</v>
      </c>
      <c r="F2565" t="s">
        <v>6572</v>
      </c>
      <c r="G2565" t="e">
        <f ca="1">_xludf.IMAGE("https://edmondsonsupply.com/cdn/shop/products/85091.jpg?v=1633030889")</f>
        <v>#NAME?</v>
      </c>
      <c r="H2565" t="e">
        <f ca="1">_xludf.IMAGE("https://m.media-amazon.com/images/I/31hKQJsNkcL._AC_UL320_.jpg")</f>
        <v>#NAME?</v>
      </c>
      <c r="I2565" t="s">
        <v>859</v>
      </c>
      <c r="J2565">
        <v>57.83</v>
      </c>
      <c r="K2565" s="4">
        <v>1.3160000000000001</v>
      </c>
      <c r="L2565">
        <v>5</v>
      </c>
      <c r="M2565">
        <v>2</v>
      </c>
      <c r="O2565" t="s">
        <v>25</v>
      </c>
      <c r="P2565" t="s">
        <v>6573</v>
      </c>
      <c r="Q2565" t="s">
        <v>6574</v>
      </c>
    </row>
    <row r="2566" spans="1:17" ht="15.5" x14ac:dyDescent="0.35">
      <c r="A2566"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2566" s="3" t="str">
        <f>HYPERLINK("https://edmondsonsupply.com/products/klein-tools-32314-14-in-1-precision-screwdriver-nut-driver", "https://edmondsonsupply.com/products/klein-tools-32314-14-in-1-precision-screwdriver-nut-driver")</f>
        <v>https://edmondsonsupply.com/products/klein-tools-32314-14-in-1-precision-screwdriver-nut-driver</v>
      </c>
      <c r="C2566" t="s">
        <v>1999</v>
      </c>
      <c r="D2566" t="s">
        <v>2212</v>
      </c>
      <c r="E2566" s="3" t="str">
        <f>HYPERLINK("https://www.amazon.com/Klein-Tools-Ratcheting-Screwdriver-Tamperproof/dp/B09Y88M7X7/ref=sr_1_5?keywords=Klein+Tools+32314+14-in-1+Precision+Screwdriver%2F+Nut+Driver&amp;qid=1695173878&amp;sr=8-5", "https://www.amazon.com/Klein-Tools-Ratcheting-Screwdriver-Tamperproof/dp/B09Y88M7X7/ref=sr_1_5?keywords=Klein+Tools+32314+14-in-1+Precision+Screwdriver%2F+Nut+Driver&amp;qid=1695173878&amp;sr=8-5")</f>
        <v>https://www.amazon.com/Klein-Tools-Ratcheting-Screwdriver-Tamperproof/dp/B09Y88M7X7/ref=sr_1_5?keywords=Klein+Tools+32314+14-in-1+Precision+Screwdriver%2F+Nut+Driver&amp;qid=1695173878&amp;sr=8-5</v>
      </c>
      <c r="F2566" t="s">
        <v>2213</v>
      </c>
      <c r="G2566" t="e">
        <f ca="1">_xludf.IMAGE("https://edmondsonsupply.com/cdn/shop/products/32314.jpg?v=1646593726")</f>
        <v>#NAME?</v>
      </c>
      <c r="H2566" t="e">
        <f ca="1">_xludf.IMAGE("https://m.media-amazon.com/images/I/41GYmy8nNDL._AC_UL320_.jpg")</f>
        <v>#NAME?</v>
      </c>
      <c r="I2566" t="s">
        <v>143</v>
      </c>
      <c r="J2566">
        <v>36.94</v>
      </c>
      <c r="K2566" s="4">
        <v>1.3130999999999999</v>
      </c>
      <c r="L2566">
        <v>4.7</v>
      </c>
      <c r="M2566">
        <v>22</v>
      </c>
      <c r="O2566" t="s">
        <v>25</v>
      </c>
      <c r="P2566" t="s">
        <v>2002</v>
      </c>
      <c r="Q2566" t="s">
        <v>2003</v>
      </c>
    </row>
    <row r="2567" spans="1:17" ht="15.5" x14ac:dyDescent="0.35">
      <c r="A2567"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2567" s="3" t="str">
        <f>HYPERLINK("https://edmondsonsupply.com/products/klein-tools-60162-professional-safety-glasses-gray-lens", "https://edmondsonsupply.com/products/klein-tools-60162-professional-safety-glasses-gray-lens")</f>
        <v>https://edmondsonsupply.com/products/klein-tools-60162-professional-safety-glasses-gray-lens</v>
      </c>
      <c r="C2567" t="s">
        <v>833</v>
      </c>
      <c r="D2567" t="s">
        <v>882</v>
      </c>
      <c r="E2567" s="3" t="str">
        <f>HYPERLINK("https://www.amazon.com/Klein-Tools-60539-Professional-Protective/dp/B0BLQ6F4MQ/ref=sr_1_9?keywords=Klein+Tools+60162+Professional+Safety+Glasses%2C+Gray+Lens&amp;qid=1695174302&amp;sr=8-9", "https://www.amazon.com/Klein-Tools-60539-Professional-Protective/dp/B0BLQ6F4MQ/ref=sr_1_9?keywords=Klein+Tools+60162+Professional+Safety+Glasses%2C+Gray+Lens&amp;qid=1695174302&amp;sr=8-9")</f>
        <v>https://www.amazon.com/Klein-Tools-60539-Professional-Protective/dp/B0BLQ6F4MQ/ref=sr_1_9?keywords=Klein+Tools+60162+Professional+Safety+Glasses%2C+Gray+Lens&amp;qid=1695174302&amp;sr=8-9</v>
      </c>
      <c r="F2567" t="s">
        <v>883</v>
      </c>
      <c r="G2567" t="e">
        <f ca="1">_xludf.IMAGE("https://edmondsonsupply.com/cdn/shop/products/60162.jpg?v=1633030847")</f>
        <v>#NAME?</v>
      </c>
      <c r="H2567" t="e">
        <f ca="1">_xludf.IMAGE("https://m.media-amazon.com/images/I/41z93jotzdL._AC_UL320_.jpg")</f>
        <v>#NAME?</v>
      </c>
      <c r="I2567" t="s">
        <v>834</v>
      </c>
      <c r="J2567">
        <v>29.99</v>
      </c>
      <c r="K2567" s="4">
        <v>1.3087</v>
      </c>
      <c r="L2567">
        <v>4.4000000000000004</v>
      </c>
      <c r="M2567">
        <v>11</v>
      </c>
      <c r="O2567" t="s">
        <v>25</v>
      </c>
      <c r="P2567" t="s">
        <v>835</v>
      </c>
      <c r="Q2567" t="s">
        <v>836</v>
      </c>
    </row>
    <row r="2568" spans="1:17" ht="15.5" x14ac:dyDescent="0.35">
      <c r="A2568"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2568" s="3" t="str">
        <f>HYPERLINK("https://edmondsonsupply.com/products/klein-tools-60161-professional-safety-glasses-clear-lens", "https://edmondsonsupply.com/products/klein-tools-60161-professional-safety-glasses-clear-lens")</f>
        <v>https://edmondsonsupply.com/products/klein-tools-60161-professional-safety-glasses-clear-lens</v>
      </c>
      <c r="C2568" t="s">
        <v>884</v>
      </c>
      <c r="D2568" t="s">
        <v>882</v>
      </c>
      <c r="E2568" s="3" t="str">
        <f>HYPERLINK("https://www.amazon.com/Klein-Tools-60539-Professional-Protective/dp/B0BLQ6F4MQ/ref=sr_1_9?keywords=Klein+Tools+60161+Professional+Safety+Glasses%2C+Clear+Lens&amp;qid=1695174304&amp;sr=8-9", "https://www.amazon.com/Klein-Tools-60539-Professional-Protective/dp/B0BLQ6F4MQ/ref=sr_1_9?keywords=Klein+Tools+60161+Professional+Safety+Glasses%2C+Clear+Lens&amp;qid=1695174304&amp;sr=8-9")</f>
        <v>https://www.amazon.com/Klein-Tools-60539-Professional-Protective/dp/B0BLQ6F4MQ/ref=sr_1_9?keywords=Klein+Tools+60161+Professional+Safety+Glasses%2C+Clear+Lens&amp;qid=1695174304&amp;sr=8-9</v>
      </c>
      <c r="F2568" t="s">
        <v>883</v>
      </c>
      <c r="G2568" t="e">
        <f ca="1">_xludf.IMAGE("https://edmondsonsupply.com/cdn/shop/products/60161.jpg?v=1633030845")</f>
        <v>#NAME?</v>
      </c>
      <c r="H2568" t="e">
        <f ca="1">_xludf.IMAGE("https://m.media-amazon.com/images/I/41z93jotzdL._AC_UL320_.jpg")</f>
        <v>#NAME?</v>
      </c>
      <c r="I2568" t="s">
        <v>834</v>
      </c>
      <c r="J2568">
        <v>29.99</v>
      </c>
      <c r="K2568" s="4">
        <v>1.3087</v>
      </c>
      <c r="L2568">
        <v>4.4000000000000004</v>
      </c>
      <c r="M2568">
        <v>11</v>
      </c>
      <c r="O2568" t="s">
        <v>25</v>
      </c>
      <c r="P2568" t="s">
        <v>835</v>
      </c>
      <c r="Q2568" t="s">
        <v>885</v>
      </c>
    </row>
    <row r="2569" spans="1:17" ht="15.5" x14ac:dyDescent="0.35">
      <c r="A2569" s="3" t="str">
        <f>HYPERLINK("https://edmondsonsupply.com/collections/electricians-tools/products/diablo-tools-dmapl4060-1-4-in-x-2-in-x-4-in-rebar-demon%E2%84%A2-sds-plus-4-cutter-full-carbide-head-hammer-bit", "https://edmondsonsupply.com/collections/electricians-tools/products/diablo-tools-dmapl4060-1-4-in-x-2-in-x-4-in-rebar-demon%E2%84%A2-sds-plus-4-cutter-full-carbide-head-hammer-bit")</f>
        <v>https://edmondsonsupply.com/collections/electricians-tools/products/diablo-tools-dmapl4060-1-4-in-x-2-in-x-4-in-rebar-demon%E2%84%A2-sds-plus-4-cutter-full-carbide-head-hammer-bit</v>
      </c>
      <c r="B2569" s="3" t="str">
        <f>HYPERLINK("https://edmondsonsupply.com/products/diablo-tools-dmapl4060-1-4-in-x-2-in-x-4-in-rebar-demon%e2%84%a2-sds-plus-4-cutter-full-carbide-head-hammer-bit", "https://edmondsonsupply.com/products/diablo-tools-dmapl4060-1-4-in-x-2-in-x-4-in-rebar-demon%e2%84%a2-sds-plus-4-cutter-full-carbide-head-hammer-bit")</f>
        <v>https://edmondsonsupply.com/products/diablo-tools-dmapl4060-1-4-in-x-2-in-x-4-in-rebar-demon%e2%84%a2-sds-plus-4-cutter-full-carbide-head-hammer-bit</v>
      </c>
      <c r="C2569" t="s">
        <v>5982</v>
      </c>
      <c r="D2569" t="s">
        <v>6575</v>
      </c>
      <c r="E2569" s="3" t="str">
        <f>HYPERLINK("https://www.amazon.com/Diablo-Freud-DMAPL4070-SDS-Plus-4-Cutter/dp/B089KVLDML/ref=sr_1_3?keywords=Diablo+Tools+DMAPL4060+1%2F4+in.+x+2+in.+x+4+in.+Rebar+Demon%E2%84%A2+SDS%E2%80%91Plus+4%E2%80%91Cutter+Full+Carbide+Head+Hammer+Bit&amp;qid=1695174225&amp;sr=8-3", "https://www.amazon.com/Diablo-Freud-DMAPL4070-SDS-Plus-4-Cutter/dp/B089KVLDML/ref=sr_1_3?keywords=Diablo+Tools+DMAPL4060+1%2F4+in.+x+2+in.+x+4+in.+Rebar+Demon%E2%84%A2+SDS%E2%80%91Plus+4%E2%80%91Cutter+Full+Carbide+Head+Hammer+Bit&amp;qid=1695174225&amp;sr=8-3")</f>
        <v>https://www.amazon.com/Diablo-Freud-DMAPL4070-SDS-Plus-4-Cutter/dp/B089KVLDML/ref=sr_1_3?keywords=Diablo+Tools+DMAPL4060+1%2F4+in.+x+2+in.+x+4+in.+Rebar+Demon%E2%84%A2+SDS%E2%80%91Plus+4%E2%80%91Cutter+Full+Carbide+Head+Hammer+Bit&amp;qid=1695174225&amp;sr=8-3</v>
      </c>
      <c r="F2569" t="s">
        <v>6576</v>
      </c>
      <c r="G2569" t="e">
        <f ca="1">_xludf.IMAGE("https://edmondsonsupply.com/cdn/shop/products/4060.webp?v=1647637028")</f>
        <v>#NAME?</v>
      </c>
      <c r="H2569" t="e">
        <f ca="1">_xludf.IMAGE("https://m.media-amazon.com/images/I/61fLLQz5xPL._AC_UL320_.jpg")</f>
        <v>#NAME?</v>
      </c>
      <c r="I2569" t="s">
        <v>5983</v>
      </c>
      <c r="J2569">
        <v>8.01</v>
      </c>
      <c r="K2569" s="4">
        <v>1.3084</v>
      </c>
      <c r="L2569">
        <v>4.4000000000000004</v>
      </c>
      <c r="M2569">
        <v>28</v>
      </c>
      <c r="O2569" t="s">
        <v>25</v>
      </c>
      <c r="P2569" t="s">
        <v>5984</v>
      </c>
      <c r="Q2569" t="s">
        <v>5985</v>
      </c>
    </row>
    <row r="2570" spans="1:17" ht="15.5" x14ac:dyDescent="0.35">
      <c r="A2570"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2570" s="3" t="str">
        <f>HYPERLINK("https://edmondsonsupply.com/products/klein-tools-94130-1000v-insulated-tool-kit-5-piece", "https://edmondsonsupply.com/products/klein-tools-94130-1000v-insulated-tool-kit-5-piece")</f>
        <v>https://edmondsonsupply.com/products/klein-tools-94130-1000v-insulated-tool-kit-5-piece</v>
      </c>
      <c r="C2570" t="s">
        <v>2221</v>
      </c>
      <c r="D2570" t="s">
        <v>2222</v>
      </c>
      <c r="E2570" s="3" t="str">
        <f>HYPERLINK("https://www.amazon.com/Insulated-9-Piece-Klein-Tools-33524/dp/B000MKIR9E/ref=sr_1_1?keywords=Klein+Tools+94130+1000V+Insulated+Tool+Kit%2C+5-Piece&amp;qid=1695173888&amp;sr=8-1", "https://www.amazon.com/Insulated-9-Piece-Klein-Tools-33524/dp/B000MKIR9E/ref=sr_1_1?keywords=Klein+Tools+94130+1000V+Insulated+Tool+Kit%2C+5-Piece&amp;qid=1695173888&amp;sr=8-1")</f>
        <v>https://www.amazon.com/Insulated-9-Piece-Klein-Tools-33524/dp/B000MKIR9E/ref=sr_1_1?keywords=Klein+Tools+94130+1000V+Insulated+Tool+Kit%2C+5-Piece&amp;qid=1695173888&amp;sr=8-1</v>
      </c>
      <c r="F2570" t="s">
        <v>2223</v>
      </c>
      <c r="G2570" t="e">
        <f ca="1">_xludf.IMAGE("https://edmondsonsupply.com/cdn/shop/products/94130.jpg?v=1633030386")</f>
        <v>#NAME?</v>
      </c>
      <c r="H2570" t="e">
        <f ca="1">_xludf.IMAGE("https://m.media-amazon.com/images/I/71+Db525CfL._AC_UL320_.jpg")</f>
        <v>#NAME?</v>
      </c>
      <c r="I2570" t="s">
        <v>2224</v>
      </c>
      <c r="J2570">
        <v>229.99</v>
      </c>
      <c r="K2570" s="4">
        <v>1.3001</v>
      </c>
      <c r="L2570">
        <v>4.4000000000000004</v>
      </c>
      <c r="M2570">
        <v>26</v>
      </c>
      <c r="O2570" t="s">
        <v>25</v>
      </c>
      <c r="P2570" t="s">
        <v>2225</v>
      </c>
      <c r="Q2570" t="s">
        <v>2226</v>
      </c>
    </row>
    <row r="2571" spans="1:17" ht="15.5" x14ac:dyDescent="0.35">
      <c r="A2571" s="3" t="str">
        <f>HYPERLINK("https://edmondsonsupply.com/collections/electricians-tools/products/diablo-tools-dmamm1010-1-8-in-x-2-in-x-3-in-multi-material-carbide-tipped-hammer-drill-bit", "https://edmondsonsupply.com/collections/electricians-tools/products/diablo-tools-dmamm1010-1-8-in-x-2-in-x-3-in-multi-material-carbide-tipped-hammer-drill-bit")</f>
        <v>https://edmondsonsupply.com/collections/electricians-tools/products/diablo-tools-dmamm1010-1-8-in-x-2-in-x-3-in-multi-material-carbide-tipped-hammer-drill-bit</v>
      </c>
      <c r="B2571" s="3" t="str">
        <f>HYPERLINK("https://edmondsonsupply.com/products/diablo-tools-dmamm1010-1-8-in-x-2-in-x-3-in-multi-material-carbide-tipped-hammer-drill-bit", "https://edmondsonsupply.com/products/diablo-tools-dmamm1010-1-8-in-x-2-in-x-3-in-multi-material-carbide-tipped-hammer-drill-bit")</f>
        <v>https://edmondsonsupply.com/products/diablo-tools-dmamm1010-1-8-in-x-2-in-x-3-in-multi-material-carbide-tipped-hammer-drill-bit</v>
      </c>
      <c r="C2571" t="s">
        <v>6577</v>
      </c>
      <c r="D2571" t="s">
        <v>6578</v>
      </c>
      <c r="E2571" s="3" t="str">
        <f>HYPERLINK("https://www.amazon.com/Diablo-DMAMM1120-Multi-Material-Carbide-Tipped/dp/B089LGQPBS/ref=sr_1_3?keywords=Diablo+Tools+DMAMM1010+1%2F8+in.+x+2+in.+x+3+in.+Multi-Material+Carbide+Tipped+Hammer+Drill+Bit&amp;qid=1695174242&amp;sr=8-3", "https://www.amazon.com/Diablo-DMAMM1120-Multi-Material-Carbide-Tipped/dp/B089LGQPBS/ref=sr_1_3?keywords=Diablo+Tools+DMAMM1010+1%2F8+in.+x+2+in.+x+3+in.+Multi-Material+Carbide+Tipped+Hammer+Drill+Bit&amp;qid=1695174242&amp;sr=8-3")</f>
        <v>https://www.amazon.com/Diablo-DMAMM1120-Multi-Material-Carbide-Tipped/dp/B089LGQPBS/ref=sr_1_3?keywords=Diablo+Tools+DMAMM1010+1%2F8+in.+x+2+in.+x+3+in.+Multi-Material+Carbide+Tipped+Hammer+Drill+Bit&amp;qid=1695174242&amp;sr=8-3</v>
      </c>
      <c r="F2571" t="s">
        <v>6579</v>
      </c>
      <c r="G2571" t="e">
        <f ca="1">_xludf.IMAGE("https://edmondsonsupply.com/cdn/shop/products/DMAMM1010_Main-Image20200702.png?v=1633031179")</f>
        <v>#NAME?</v>
      </c>
      <c r="H2571" t="e">
        <f ca="1">_xludf.IMAGE("https://m.media-amazon.com/images/I/61aXKxa+esL._AC_UL320_.jpg")</f>
        <v>#NAME?</v>
      </c>
      <c r="I2571" t="s">
        <v>6580</v>
      </c>
      <c r="J2571">
        <v>11.42</v>
      </c>
      <c r="K2571" s="4">
        <v>1.2978000000000001</v>
      </c>
      <c r="L2571">
        <v>3.8</v>
      </c>
      <c r="M2571">
        <v>2</v>
      </c>
      <c r="O2571" t="s">
        <v>25</v>
      </c>
      <c r="P2571" t="s">
        <v>138</v>
      </c>
      <c r="Q2571" t="s">
        <v>6581</v>
      </c>
    </row>
    <row r="2572" spans="1:17" ht="15.5" x14ac:dyDescent="0.35">
      <c r="A2572" s="3" t="str">
        <f>HYPERLINK("https://edmondsonsupply.com/collections/electricians-tools/products/milwaukee-49-90-2022-air-tip%E2%84%A2-dust-collector", "https://edmondsonsupply.com/collections/electricians-tools/products/milwaukee-49-90-2022-air-tip%E2%84%A2-dust-collector")</f>
        <v>https://edmondsonsupply.com/collections/electricians-tools/products/milwaukee-49-90-2022-air-tip%E2%84%A2-dust-collector</v>
      </c>
      <c r="B2572" s="3" t="str">
        <f>HYPERLINK("https://edmondsonsupply.com/products/milwaukee-49-90-2022-air-tip%e2%84%a2-dust-collector", "https://edmondsonsupply.com/products/milwaukee-49-90-2022-air-tip%e2%84%a2-dust-collector")</f>
        <v>https://edmondsonsupply.com/products/milwaukee-49-90-2022-air-tip%e2%84%a2-dust-collector</v>
      </c>
      <c r="C2572" t="s">
        <v>6582</v>
      </c>
      <c r="D2572" t="s">
        <v>6583</v>
      </c>
      <c r="E2572" s="3" t="str">
        <f>HYPERLINK("https://www.amazon.com/Compatible-Milwaukee-49-90-2022-Collector-Attachment/dp/B0BQ3PFPND/ref=sr_1_1?keywords=Milwaukee+49-90-2022+AIR-TIP%E2%84%A2+Dust+Collector&amp;qid=1695174091&amp;sr=8-1", "https://www.amazon.com/Compatible-Milwaukee-49-90-2022-Collector-Attachment/dp/B0BQ3PFPND/ref=sr_1_1?keywords=Milwaukee+49-90-2022+AIR-TIP%E2%84%A2+Dust+Collector&amp;qid=1695174091&amp;sr=8-1")</f>
        <v>https://www.amazon.com/Compatible-Milwaukee-49-90-2022-Collector-Attachment/dp/B0BQ3PFPND/ref=sr_1_1?keywords=Milwaukee+49-90-2022+AIR-TIP%E2%84%A2+Dust+Collector&amp;qid=1695174091&amp;sr=8-1</v>
      </c>
      <c r="F2572" t="s">
        <v>6584</v>
      </c>
      <c r="G2572" t="e">
        <f ca="1">_xludf.IMAGE("https://edmondsonsupply.com/cdn/shop/products/49-90-2022_2.webp?v=1675705092")</f>
        <v>#NAME?</v>
      </c>
      <c r="H2572" t="e">
        <f ca="1">_xludf.IMAGE("https://m.media-amazon.com/images/I/41vBnvsMxEL._AC_UL320_.jpg")</f>
        <v>#NAME?</v>
      </c>
      <c r="I2572" t="s">
        <v>1931</v>
      </c>
      <c r="J2572">
        <v>113.89</v>
      </c>
      <c r="K2572" s="4">
        <v>1.2783</v>
      </c>
      <c r="L2572">
        <v>3</v>
      </c>
      <c r="M2572">
        <v>1</v>
      </c>
      <c r="O2572" t="s">
        <v>25</v>
      </c>
      <c r="P2572" t="s">
        <v>6585</v>
      </c>
      <c r="Q2572" t="s">
        <v>6586</v>
      </c>
    </row>
    <row r="2573" spans="1:17" ht="15.5" x14ac:dyDescent="0.35">
      <c r="A2573"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2573"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2573" t="s">
        <v>6587</v>
      </c>
      <c r="D2573" t="s">
        <v>2996</v>
      </c>
      <c r="E2573" s="3" t="str">
        <f>HYPERLINK("https://www.amazon.com/Klein-Tools-NCVT-4IR-Non-Contact-Tester/dp/B0BD41QXCP/ref=sr_1_5?keywords=Klein+Tools+NCVT-2P+Dual+Range+Non-Contact+Voltage+Tester+12+-+1000V+AC&amp;qid=1695174301&amp;sr=8-5", "https://www.amazon.com/Klein-Tools-NCVT-4IR-Non-Contact-Tester/dp/B0BD41QXCP/ref=sr_1_5?keywords=Klein+Tools+NCVT-2P+Dual+Range+Non-Contact+Voltage+Tester+12+-+1000V+AC&amp;qid=1695174301&amp;sr=8-5")</f>
        <v>https://www.amazon.com/Klein-Tools-NCVT-4IR-Non-Contact-Tester/dp/B0BD41QXCP/ref=sr_1_5?keywords=Klein+Tools+NCVT-2P+Dual+Range+Non-Contact+Voltage+Tester+12+-+1000V+AC&amp;qid=1695174301&amp;sr=8-5</v>
      </c>
      <c r="F2573" t="s">
        <v>2997</v>
      </c>
      <c r="G2573" t="e">
        <f ca="1">_xludf.IMAGE("https://edmondsonsupply.com/cdn/shop/products/ncvt2p.jpg?v=1633030824")</f>
        <v>#NAME?</v>
      </c>
      <c r="H2573" t="e">
        <f ca="1">_xludf.IMAGE("https://m.media-amazon.com/images/I/418deU9NDfL._AC_UL320_.jpg")</f>
        <v>#NAME?</v>
      </c>
      <c r="I2573" t="s">
        <v>6588</v>
      </c>
      <c r="J2573">
        <v>63.65</v>
      </c>
      <c r="K2573" s="4">
        <v>1.2757000000000001</v>
      </c>
      <c r="L2573">
        <v>5</v>
      </c>
      <c r="M2573">
        <v>1</v>
      </c>
      <c r="O2573" t="s">
        <v>25</v>
      </c>
      <c r="P2573" t="s">
        <v>6589</v>
      </c>
      <c r="Q2573" t="s">
        <v>6590</v>
      </c>
    </row>
    <row r="2574" spans="1:17" ht="15.5" x14ac:dyDescent="0.35">
      <c r="A2574" s="3" t="str">
        <f>HYPERLINK("https://edmondsonsupply.com/collections/electricians-tools/products/klein-tools-85073ins-screwdriver-set-1000v-insulated-3-piece", "https://edmondsonsupply.com/collections/electricians-tools/products/klein-tools-85073ins-screwdriver-set-1000v-insulated-3-piece")</f>
        <v>https://edmondsonsupply.com/collections/electricians-tools/products/klein-tools-85073ins-screwdriver-set-1000v-insulated-3-piece</v>
      </c>
      <c r="B2574"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2574" t="s">
        <v>2244</v>
      </c>
      <c r="D2574" t="s">
        <v>2245</v>
      </c>
      <c r="E2574" s="3" t="str">
        <f>HYPERLINK("https://www.amazon.com/Klein-Tools-33736INS-Screwdriver-Magnetizer/dp/B09GPZPMTD/ref=sr_1_3?keywords=Klein+Tools+85073INS+Screwdriver+Set%2C+1000V+Insulated%2C+3-Piece&amp;qid=1695173857&amp;sr=8-3", "https://www.amazon.com/Klein-Tools-33736INS-Screwdriver-Magnetizer/dp/B09GPZPMTD/ref=sr_1_3?keywords=Klein+Tools+85073INS+Screwdriver+Set%2C+1000V+Insulated%2C+3-Piece&amp;qid=1695173857&amp;sr=8-3")</f>
        <v>https://www.amazon.com/Klein-Tools-33736INS-Screwdriver-Magnetizer/dp/B09GPZPMTD/ref=sr_1_3?keywords=Klein+Tools+85073INS+Screwdriver+Set%2C+1000V+Insulated%2C+3-Piece&amp;qid=1695173857&amp;sr=8-3</v>
      </c>
      <c r="F2574" t="s">
        <v>2246</v>
      </c>
      <c r="G2574" t="e">
        <f ca="1">_xludf.IMAGE("https://edmondsonsupply.com/cdn/shop/products/85073ins.jpg?v=1664890503")</f>
        <v>#NAME?</v>
      </c>
      <c r="H2574" t="e">
        <f ca="1">_xludf.IMAGE("https://m.media-amazon.com/images/I/51W2DUA3c7L._AC_UL320_.jpg")</f>
        <v>#NAME?</v>
      </c>
      <c r="I2574" t="s">
        <v>2247</v>
      </c>
      <c r="J2574">
        <v>49.99</v>
      </c>
      <c r="K2574" s="4">
        <v>1.2754000000000001</v>
      </c>
      <c r="L2574">
        <v>4.8</v>
      </c>
      <c r="M2574">
        <v>419</v>
      </c>
      <c r="O2574" t="s">
        <v>25</v>
      </c>
      <c r="P2574" t="s">
        <v>2158</v>
      </c>
      <c r="Q2574" t="s">
        <v>2248</v>
      </c>
    </row>
    <row r="2575" spans="1:17" ht="15.5" x14ac:dyDescent="0.35">
      <c r="A2575"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2575"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2575" t="s">
        <v>6051</v>
      </c>
      <c r="D2575" t="s">
        <v>6591</v>
      </c>
      <c r="E2575" s="3" t="str">
        <f>HYPERLINK("https://www.amazon.com/Klein-Tools-66078-Impact-Adapter/dp/B0B33T15XS/ref=sr_1_7?keywords=Klein+Tools+66079+Flip+Impact+Socket+Adapter%2C+Small%2C+1%2F4+to+1%2F4-Inch&amp;qid=1695173882&amp;sr=8-7", "https://www.amazon.com/Klein-Tools-66078-Impact-Adapter/dp/B0B33T15XS/ref=sr_1_7?keywords=Klein+Tools+66079+Flip+Impact+Socket+Adapter%2C+Small%2C+1%2F4+to+1%2F4-Inch&amp;qid=1695173882&amp;sr=8-7")</f>
        <v>https://www.amazon.com/Klein-Tools-66078-Impact-Adapter/dp/B0B33T15XS/ref=sr_1_7?keywords=Klein+Tools+66079+Flip+Impact+Socket+Adapter%2C+Small%2C+1%2F4+to+1%2F4-Inch&amp;qid=1695173882&amp;sr=8-7</v>
      </c>
      <c r="F2575" t="s">
        <v>6592</v>
      </c>
      <c r="G2575" t="e">
        <f ca="1">_xludf.IMAGE("https://edmondsonsupply.com/cdn/shop/products/66079.jpg?v=1669735923")</f>
        <v>#NAME?</v>
      </c>
      <c r="H2575" t="e">
        <f ca="1">_xludf.IMAGE("https://m.media-amazon.com/images/I/51cFYcsM3kL._AC_UL320_.jpg")</f>
        <v>#NAME?</v>
      </c>
      <c r="I2575" t="s">
        <v>6052</v>
      </c>
      <c r="J2575">
        <v>15.58</v>
      </c>
      <c r="K2575" s="4">
        <v>1.2710999999999999</v>
      </c>
      <c r="L2575">
        <v>5</v>
      </c>
      <c r="M2575">
        <v>1</v>
      </c>
      <c r="O2575" t="s">
        <v>25</v>
      </c>
      <c r="P2575" t="s">
        <v>6053</v>
      </c>
      <c r="Q2575" t="s">
        <v>6054</v>
      </c>
    </row>
    <row r="2576" spans="1:17" ht="15.5" x14ac:dyDescent="0.35">
      <c r="A2576"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2576" s="3" t="str">
        <f>HYPERLINK("https://edmondsonsupply.com/products/klein-tools-69381-heavy-duty-alligator-clip-test-leads-3-foot", "https://edmondsonsupply.com/products/klein-tools-69381-heavy-duty-alligator-clip-test-leads-3-foot")</f>
        <v>https://edmondsonsupply.com/products/klein-tools-69381-heavy-duty-alligator-clip-test-leads-3-foot</v>
      </c>
      <c r="C2576" t="s">
        <v>6089</v>
      </c>
      <c r="D2576" t="s">
        <v>2828</v>
      </c>
      <c r="E2576" s="3" t="str">
        <f>HYPERLINK("https://www.amazon.com/Klein-Tools-Replacement-Alligator-Heavy-Duty/dp/B0C3B9WXP6/ref=sr_1_3?keywords=Klein+Tools+69381+Heavy-Duty+Alligator+Clip+Test+Leads%2C+3-Foot&amp;qid=1695174138&amp;sr=8-3", "https://www.amazon.com/Klein-Tools-Replacement-Alligator-Heavy-Duty/dp/B0C3B9WXP6/ref=sr_1_3?keywords=Klein+Tools+69381+Heavy-Duty+Alligator+Clip+Test+Leads%2C+3-Foot&amp;qid=1695174138&amp;sr=8-3")</f>
        <v>https://www.amazon.com/Klein-Tools-Replacement-Alligator-Heavy-Duty/dp/B0C3B9WXP6/ref=sr_1_3?keywords=Klein+Tools+69381+Heavy-Duty+Alligator+Clip+Test+Leads%2C+3-Foot&amp;qid=1695174138&amp;sr=8-3</v>
      </c>
      <c r="F2576" t="s">
        <v>2829</v>
      </c>
      <c r="G2576" t="e">
        <f ca="1">_xludf.IMAGE("https://edmondsonsupply.com/cdn/shop/products/69381_photo.jpg?v=1666889006")</f>
        <v>#NAME?</v>
      </c>
      <c r="H2576" t="e">
        <f ca="1">_xludf.IMAGE("https://m.media-amazon.com/images/I/51n7wUjxshL._AC_UY218_.jpg")</f>
        <v>#NAME?</v>
      </c>
      <c r="I2576" t="s">
        <v>276</v>
      </c>
      <c r="J2576">
        <v>33.96</v>
      </c>
      <c r="K2576" s="4">
        <v>1.2655000000000001</v>
      </c>
      <c r="L2576">
        <v>4.5</v>
      </c>
      <c r="M2576">
        <v>10</v>
      </c>
      <c r="O2576" t="s">
        <v>25</v>
      </c>
      <c r="P2576" t="s">
        <v>277</v>
      </c>
      <c r="Q2576" t="s">
        <v>6092</v>
      </c>
    </row>
    <row r="2577" spans="1:17" ht="15.5" x14ac:dyDescent="0.35">
      <c r="A2577"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2577" s="3" t="str">
        <f>HYPERLINK("https://edmondsonsupply.com/products/klein-tools-11046-wire-stripper-cutter-16-26-awg-stranded", "https://edmondsonsupply.com/products/klein-tools-11046-wire-stripper-cutter-16-26-awg-stranded")</f>
        <v>https://edmondsonsupply.com/products/klein-tools-11046-wire-stripper-cutter-16-26-awg-stranded</v>
      </c>
      <c r="C2577" t="s">
        <v>2278</v>
      </c>
      <c r="D2577" t="s">
        <v>2279</v>
      </c>
      <c r="E2577" s="3" t="str">
        <f>HYPERLINK("https://www.amazon.com/Klein-Tools-Stripper-Cutter-Stranded/dp/B0BNL42TPG/ref=sr_1_4?keywords=Klein+Tools+11046+Wire+Stripper%2FCutter+16-26+AWG+Stranded&amp;qid=1695173951&amp;sr=8-4", "https://www.amazon.com/Klein-Tools-Stripper-Cutter-Stranded/dp/B0BNL42TPG/ref=sr_1_4?keywords=Klein+Tools+11046+Wire+Stripper%2FCutter+16-26+AWG+Stranded&amp;qid=1695173951&amp;sr=8-4")</f>
        <v>https://www.amazon.com/Klein-Tools-Stripper-Cutter-Stranded/dp/B0BNL42TPG/ref=sr_1_4?keywords=Klein+Tools+11046+Wire+Stripper%2FCutter+16-26+AWG+Stranded&amp;qid=1695173951&amp;sr=8-4</v>
      </c>
      <c r="F2577" t="s">
        <v>2280</v>
      </c>
      <c r="G2577" t="e">
        <f ca="1">_xludf.IMAGE("https://edmondsonsupply.com/cdn/shop/products/11046.jpg?v=1587147965")</f>
        <v>#NAME?</v>
      </c>
      <c r="H2577" t="e">
        <f ca="1">_xludf.IMAGE("https://m.media-amazon.com/images/I/41Mnz0ZqGoL._AC_UL320_.jpg")</f>
        <v>#NAME?</v>
      </c>
      <c r="I2577" t="s">
        <v>143</v>
      </c>
      <c r="J2577">
        <v>35.96</v>
      </c>
      <c r="K2577" s="4">
        <v>1.2517</v>
      </c>
      <c r="L2577">
        <v>4.7</v>
      </c>
      <c r="M2577">
        <v>4</v>
      </c>
      <c r="O2577" t="s">
        <v>25</v>
      </c>
      <c r="P2577" t="s">
        <v>2281</v>
      </c>
      <c r="Q2577" t="s">
        <v>2282</v>
      </c>
    </row>
    <row r="2578" spans="1:17" ht="15.5" x14ac:dyDescent="0.35">
      <c r="A2578"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2578" s="3" t="str">
        <f>HYPERLINK("https://edmondsonsupply.com/products/klein-tools-65200-electricians-mini-ratchet-set-5-piece", "https://edmondsonsupply.com/products/klein-tools-65200-electricians-mini-ratchet-set-5-piece")</f>
        <v>https://edmondsonsupply.com/products/klein-tools-65200-electricians-mini-ratchet-set-5-piece</v>
      </c>
      <c r="C2578" t="s">
        <v>140</v>
      </c>
      <c r="D2578" t="s">
        <v>180</v>
      </c>
      <c r="E2578" s="3" t="str">
        <f>HYPERLINK("https://www.amazon.com/Klein-Tools-Ratchet-5-Piece-Impact/dp/B0BNL31N8K/ref=sr_1_2?keywords=Klein+Tools+65200+Slim-Profile+Mini+Ratchet+Set%2C+5-Piece&amp;qid=1695173845&amp;sr=8-2", "https://www.amazon.com/Klein-Tools-Ratchet-5-Piece-Impact/dp/B0BNL31N8K/ref=sr_1_2?keywords=Klein+Tools+65200+Slim-Profile+Mini+Ratchet+Set%2C+5-Piece&amp;qid=1695173845&amp;sr=8-2")</f>
        <v>https://www.amazon.com/Klein-Tools-Ratchet-5-Piece-Impact/dp/B0BNL31N8K/ref=sr_1_2?keywords=Klein+Tools+65200+Slim-Profile+Mini+Ratchet+Set%2C+5-Piece&amp;qid=1695173845&amp;sr=8-2</v>
      </c>
      <c r="F2578" t="s">
        <v>181</v>
      </c>
      <c r="G2578" t="e">
        <f ca="1">_xludf.IMAGE("https://edmondsonsupply.com/cdn/shop/products/65200.jpg?v=1633030630")</f>
        <v>#NAME?</v>
      </c>
      <c r="H2578" t="e">
        <f ca="1">_xludf.IMAGE("https://m.media-amazon.com/images/I/41JD1cfUw6L._AC_UL320_.jpg")</f>
        <v>#NAME?</v>
      </c>
      <c r="I2578" t="s">
        <v>143</v>
      </c>
      <c r="J2578">
        <v>35.950000000000003</v>
      </c>
      <c r="K2578" s="4">
        <v>1.2511000000000001</v>
      </c>
      <c r="L2578">
        <v>4.9000000000000004</v>
      </c>
      <c r="M2578">
        <v>10</v>
      </c>
      <c r="O2578" t="s">
        <v>25</v>
      </c>
      <c r="P2578" t="s">
        <v>144</v>
      </c>
      <c r="Q2578" t="s">
        <v>145</v>
      </c>
    </row>
    <row r="2579" spans="1:17" ht="15.5" x14ac:dyDescent="0.35">
      <c r="A2579"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2579" s="3" t="str">
        <f>HYPERLINK("https://edmondsonsupply.com/products/klein-tools-32314-14-in-1-precision-screwdriver-nut-driver", "https://edmondsonsupply.com/products/klein-tools-32314-14-in-1-precision-screwdriver-nut-driver")</f>
        <v>https://edmondsonsupply.com/products/klein-tools-32314-14-in-1-precision-screwdriver-nut-driver</v>
      </c>
      <c r="C2579" t="s">
        <v>1999</v>
      </c>
      <c r="D2579" t="s">
        <v>2283</v>
      </c>
      <c r="E2579" s="3" t="str">
        <f>HYPERLINK("https://www.amazon.com/Klein-Tools-Screwdriver-Electronic-Tamperproof/dp/B0BC81C7SH/ref=sr_1_2?keywords=Klein+Tools+32314+14-in-1+Precision+Screwdriver%2F+Nut+Driver&amp;qid=1695173878&amp;sr=8-2", "https://www.amazon.com/Klein-Tools-Screwdriver-Electronic-Tamperproof/dp/B0BC81C7SH/ref=sr_1_2?keywords=Klein+Tools+32314+14-in-1+Precision+Screwdriver%2F+Nut+Driver&amp;qid=1695173878&amp;sr=8-2")</f>
        <v>https://www.amazon.com/Klein-Tools-Screwdriver-Electronic-Tamperproof/dp/B0BC81C7SH/ref=sr_1_2?keywords=Klein+Tools+32314+14-in-1+Precision+Screwdriver%2F+Nut+Driver&amp;qid=1695173878&amp;sr=8-2</v>
      </c>
      <c r="F2579" t="s">
        <v>2284</v>
      </c>
      <c r="G2579" t="e">
        <f ca="1">_xludf.IMAGE("https://edmondsonsupply.com/cdn/shop/products/32314.jpg?v=1646593726")</f>
        <v>#NAME?</v>
      </c>
      <c r="H2579" t="e">
        <f ca="1">_xludf.IMAGE("https://m.media-amazon.com/images/I/412Eu5ze4AL._AC_UL320_.jpg")</f>
        <v>#NAME?</v>
      </c>
      <c r="I2579" t="s">
        <v>143</v>
      </c>
      <c r="J2579">
        <v>35.94</v>
      </c>
      <c r="K2579" s="4">
        <v>1.2504999999999999</v>
      </c>
      <c r="L2579">
        <v>5</v>
      </c>
      <c r="M2579">
        <v>2</v>
      </c>
      <c r="O2579" t="s">
        <v>25</v>
      </c>
      <c r="P2579" t="s">
        <v>2002</v>
      </c>
      <c r="Q2579" t="s">
        <v>2003</v>
      </c>
    </row>
    <row r="2580" spans="1:17" ht="15.5" x14ac:dyDescent="0.35">
      <c r="A2580"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2580" s="3" t="str">
        <f>HYPERLINK("https://edmondsonsupply.com/products/klein-tools-rt310-afci-gfci-outlet-tester", "https://edmondsonsupply.com/products/klein-tools-rt310-afci-gfci-outlet-tester")</f>
        <v>https://edmondsonsupply.com/products/klein-tools-rt310-afci-gfci-outlet-tester</v>
      </c>
      <c r="C2580" t="s">
        <v>6210</v>
      </c>
      <c r="D2580" t="s">
        <v>6593</v>
      </c>
      <c r="E2580" s="3" t="str">
        <f>HYPERLINK("https://www.amazon.com/Klein-Tools-American-Electrical-Receptacles/dp/B08MFYB28G/ref=sr_1_6?keywords=Klein+Tools+RT310+AFCI+%2F+GFCI+Outlet+Tester&amp;qid=1695173970&amp;sr=8-6", "https://www.amazon.com/Klein-Tools-American-Electrical-Receptacles/dp/B08MFYB28G/ref=sr_1_6?keywords=Klein+Tools+RT310+AFCI+%2F+GFCI+Outlet+Tester&amp;qid=1695173970&amp;sr=8-6")</f>
        <v>https://www.amazon.com/Klein-Tools-American-Electrical-Receptacles/dp/B08MFYB28G/ref=sr_1_6?keywords=Klein+Tools+RT310+AFCI+%2F+GFCI+Outlet+Tester&amp;qid=1695173970&amp;sr=8-6</v>
      </c>
      <c r="F2580" t="s">
        <v>6594</v>
      </c>
      <c r="G2580" t="e">
        <f ca="1">_xludf.IMAGE("https://edmondsonsupply.com/cdn/shop/products/rt310.jpg?v=1587148552")</f>
        <v>#NAME?</v>
      </c>
      <c r="H2580" t="e">
        <f ca="1">_xludf.IMAGE("https://m.media-amazon.com/images/I/5196xTz0FYL._AC_UL320_.jpg")</f>
        <v>#NAME?</v>
      </c>
      <c r="I2580" t="s">
        <v>246</v>
      </c>
      <c r="J2580">
        <v>89.94</v>
      </c>
      <c r="K2580" s="4">
        <v>1.2502</v>
      </c>
      <c r="L2580">
        <v>4.5</v>
      </c>
      <c r="M2580">
        <v>48</v>
      </c>
      <c r="O2580" t="s">
        <v>25</v>
      </c>
      <c r="P2580" t="s">
        <v>6213</v>
      </c>
      <c r="Q2580" t="s">
        <v>6214</v>
      </c>
    </row>
    <row r="2581" spans="1:17" ht="15.5" x14ac:dyDescent="0.35">
      <c r="A2581"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2581"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2581" t="s">
        <v>6595</v>
      </c>
      <c r="D2581" t="s">
        <v>6501</v>
      </c>
      <c r="E2581" s="3" t="str">
        <f>HYPERLINK("https://www.amazon.com/Klein-Tools-VDV500-820-VDV526-200-Connections/dp/B09T6ZKDCM/ref=sr_1_8?keywords=Klein+Tools+VDV526-052+Cable+Tester%2C+LAN+Scout%C2%AE+Jr.+Continuity+Tester&amp;qid=1695174034&amp;sr=8-8", "https://www.amazon.com/Klein-Tools-VDV500-820-VDV526-200-Connections/dp/B09T6ZKDCM/ref=sr_1_8?keywords=Klein+Tools+VDV526-052+Cable+Tester%2C+LAN+Scout%C2%AE+Jr.+Continuity+Tester&amp;qid=1695174034&amp;sr=8-8")</f>
        <v>https://www.amazon.com/Klein-Tools-VDV500-820-VDV526-200-Connections/dp/B09T6ZKDCM/ref=sr_1_8?keywords=Klein+Tools+VDV526-052+Cable+Tester%2C+LAN+Scout%C2%AE+Jr.+Continuity+Tester&amp;qid=1695174034&amp;sr=8-8</v>
      </c>
      <c r="F2581" t="s">
        <v>6502</v>
      </c>
      <c r="G2581" t="e">
        <f ca="1">_xludf.IMAGE("https://edmondsonsupply.com/cdn/shop/files/vdv526-052.jpg?v=1685032494")</f>
        <v>#NAME?</v>
      </c>
      <c r="H2581" t="e">
        <f ca="1">_xludf.IMAGE("https://m.media-amazon.com/images/I/51X1EYSldCL._AC_UY218_.jpg")</f>
        <v>#NAME?</v>
      </c>
      <c r="I2581" t="s">
        <v>5197</v>
      </c>
      <c r="J2581">
        <v>134.94</v>
      </c>
      <c r="K2581" s="4">
        <v>1.2501</v>
      </c>
      <c r="L2581">
        <v>4.8</v>
      </c>
      <c r="M2581">
        <v>8</v>
      </c>
      <c r="O2581" t="s">
        <v>25</v>
      </c>
      <c r="P2581" t="s">
        <v>6596</v>
      </c>
      <c r="Q2581" t="s">
        <v>6597</v>
      </c>
    </row>
    <row r="2582" spans="1:17" ht="15.5" x14ac:dyDescent="0.35">
      <c r="A2582"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2582" s="3" t="str">
        <f>HYPERLINK("https://edmondsonsupply.com/products/klein-tools-11053-klein-kurve%c2%ae-wire-stripper-cutter", "https://edmondsonsupply.com/products/klein-tools-11053-klein-kurve%c2%ae-wire-stripper-cutter")</f>
        <v>https://edmondsonsupply.com/products/klein-tools-11053-klein-kurve%c2%ae-wire-stripper-cutter</v>
      </c>
      <c r="C2582" t="s">
        <v>2285</v>
      </c>
      <c r="D2582" t="s">
        <v>2286</v>
      </c>
      <c r="E2582" s="3" t="str">
        <f>HYPERLINK("https://www.amazon.com/Insulated-Klein-Kurve-Klein-Tools-11055-INS/dp/B000MKIPPU/ref=sr_1_3?keywords=Klein+Tools+11053+Klein-Kurve%C2%AE+Wire+Stripper%2FCutter&amp;qid=1695173869&amp;sr=8-3", "https://www.amazon.com/Insulated-Klein-Kurve-Klein-Tools-11055-INS/dp/B000MKIPPU/ref=sr_1_3?keywords=Klein+Tools+11053+Klein-Kurve%C2%AE+Wire+Stripper%2FCutter&amp;qid=1695173869&amp;sr=8-3")</f>
        <v>https://www.amazon.com/Insulated-Klein-Kurve-Klein-Tools-11055-INS/dp/B000MKIPPU/ref=sr_1_3?keywords=Klein+Tools+11053+Klein-Kurve%C2%AE+Wire+Stripper%2FCutter&amp;qid=1695173869&amp;sr=8-3</v>
      </c>
      <c r="F2582" t="s">
        <v>2287</v>
      </c>
      <c r="G2582" t="e">
        <f ca="1">_xludf.IMAGE("https://edmondsonsupply.com/cdn/shop/products/11053.jpg?v=1633030511")</f>
        <v>#NAME?</v>
      </c>
      <c r="H2582" t="e">
        <f ca="1">_xludf.IMAGE("https://m.media-amazon.com/images/I/51U7ZuALPYL._AC_UL320_.jpg")</f>
        <v>#NAME?</v>
      </c>
      <c r="I2582" t="s">
        <v>2288</v>
      </c>
      <c r="J2582">
        <v>47.07</v>
      </c>
      <c r="K2582" s="4">
        <v>1.2445999999999999</v>
      </c>
      <c r="L2582">
        <v>4.0999999999999996</v>
      </c>
      <c r="M2582">
        <v>17</v>
      </c>
      <c r="O2582" t="s">
        <v>25</v>
      </c>
      <c r="P2582" t="s">
        <v>2289</v>
      </c>
      <c r="Q2582" t="s">
        <v>2290</v>
      </c>
    </row>
    <row r="2583" spans="1:17" ht="15.5" x14ac:dyDescent="0.35">
      <c r="A2583" s="3" t="str">
        <f>HYPERLINK("https://edmondsonsupply.com/collections/electricians-tools/products/tajima-lcb-65-20-rock-hard-blade%E2%84%A2-h-utility-knife-blades-7-point-20-blade-hard-pack", "https://edmondsonsupply.com/collections/electricians-tools/products/tajima-lcb-65-20-rock-hard-blade%E2%84%A2-h-utility-knife-blades-7-point-20-blade-hard-pack")</f>
        <v>https://edmondsonsupply.com/collections/electricians-tools/products/tajima-lcb-65-20-rock-hard-blade%E2%84%A2-h-utility-knife-blades-7-point-20-blade-hard-pack</v>
      </c>
      <c r="B2583" s="3" t="str">
        <f>HYPERLINK("https://edmondsonsupply.com/products/tajima-lcb-65-20-rock-hard-blade%e2%84%a2-h-utility-knife-blades-7-point-20-blade-hard-pack", "https://edmondsonsupply.com/products/tajima-lcb-65-20-rock-hard-blade%e2%84%a2-h-utility-knife-blades-7-point-20-blade-hard-pack")</f>
        <v>https://edmondsonsupply.com/products/tajima-lcb-65-20-rock-hard-blade%e2%84%a2-h-utility-knife-blades-7-point-20-blade-hard-pack</v>
      </c>
      <c r="C2583" t="s">
        <v>2364</v>
      </c>
      <c r="D2583" t="s">
        <v>2365</v>
      </c>
      <c r="E2583" s="3" t="str">
        <f>HYPERLINK("https://www.amazon.com/Tajima-LCB-65-20-Replacement-Snap-Blades-Aluminist/dp/B0757V77QS/ref=sr_1_1?keywords=Tajima+LCB-65-20+Rock+Hard+Blade%E2%84%A2+H+Utility+Knife+Blades%2C+7-Point%2C+20-Blade+Hard+Pack&amp;qid=1695173916&amp;sr=8-1", "https://www.amazon.com/Tajima-LCB-65-20-Replacement-Snap-Blades-Aluminist/dp/B0757V77QS/ref=sr_1_1?keywords=Tajima+LCB-65-20+Rock+Hard+Blade%E2%84%A2+H+Utility+Knife+Blades%2C+7-Point%2C+20-Blade+Hard+Pack&amp;qid=1695173916&amp;sr=8-1")</f>
        <v>https://www.amazon.com/Tajima-LCB-65-20-Replacement-Snap-Blades-Aluminist/dp/B0757V77QS/ref=sr_1_1?keywords=Tajima+LCB-65-20+Rock+Hard+Blade%E2%84%A2+H+Utility+Knife+Blades%2C+7-Point%2C+20-Blade+Hard+Pack&amp;qid=1695173916&amp;sr=8-1</v>
      </c>
      <c r="F2583" t="s">
        <v>2366</v>
      </c>
      <c r="G2583" t="e">
        <f ca="1">_xludf.IMAGE("https://edmondsonsupply.com/cdn/shop/products/LCB-65-20.jpg?v=1633031161")</f>
        <v>#NAME?</v>
      </c>
      <c r="H2583" t="e">
        <f ca="1">_xludf.IMAGE("https://m.media-amazon.com/images/I/41iB2Ns9RDL._AC_UL320_.jpg")</f>
        <v>#NAME?</v>
      </c>
      <c r="I2583" t="s">
        <v>6598</v>
      </c>
      <c r="J2583">
        <v>53.9</v>
      </c>
      <c r="K2583" s="4">
        <v>1.2430000000000001</v>
      </c>
      <c r="L2583">
        <v>4.2</v>
      </c>
      <c r="M2583">
        <v>14</v>
      </c>
      <c r="O2583" t="s">
        <v>25</v>
      </c>
      <c r="P2583" t="s">
        <v>1786</v>
      </c>
      <c r="Q2583" t="s">
        <v>2367</v>
      </c>
    </row>
    <row r="2584" spans="1:17" ht="15.5" x14ac:dyDescent="0.35">
      <c r="A2584" s="3" t="str">
        <f>HYPERLINK("https://edmondsonsupply.com/collections/electricians-tools/products/klein-5416tfr", "https://edmondsonsupply.com/collections/electricians-tools/products/klein-5416tfr")</f>
        <v>https://edmondsonsupply.com/collections/electricians-tools/products/klein-5416tfr</v>
      </c>
      <c r="B2584" s="3" t="str">
        <f>HYPERLINK("https://edmondsonsupply.com/products/klein-5416tfr", "https://edmondsonsupply.com/products/klein-5416tfr")</f>
        <v>https://edmondsonsupply.com/products/klein-5416tfr</v>
      </c>
      <c r="C2584" t="s">
        <v>5986</v>
      </c>
      <c r="D2584" t="s">
        <v>6599</v>
      </c>
      <c r="E2584" s="3" t="str">
        <f>HYPERLINK("https://www.amazon.com/Klein-Tools-Resistant-Reinforced-Flame-Resistant/dp/B0BFXQNQMY/ref=sr_1_3?keywords=Klein+Tools+5416TFR+Tool+Bag%2C+Flame+Resistant+Bolt+Bag%2C+No.+4+Canvas%2C+5+x+10+x+9-Inch&amp;qid=1695173952&amp;sr=8-3", "https://www.amazon.com/Klein-Tools-Resistant-Reinforced-Flame-Resistant/dp/B0BFXQNQMY/ref=sr_1_3?keywords=Klein+Tools+5416TFR+Tool+Bag%2C+Flame+Resistant+Bolt+Bag%2C+No.+4+Canvas%2C+5+x+10+x+9-Inch&amp;qid=1695173952&amp;sr=8-3")</f>
        <v>https://www.amazon.com/Klein-Tools-Resistant-Reinforced-Flame-Resistant/dp/B0BFXQNQMY/ref=sr_1_3?keywords=Klein+Tools+5416TFR+Tool+Bag%2C+Flame+Resistant+Bolt+Bag%2C+No.+4+Canvas%2C+5+x+10+x+9-Inch&amp;qid=1695173952&amp;sr=8-3</v>
      </c>
      <c r="F2584" t="s">
        <v>6600</v>
      </c>
      <c r="G2584" t="e">
        <f ca="1">_xludf.IMAGE("https://edmondsonsupply.com/cdn/shop/products/5416tfr.jpg?v=1587149359")</f>
        <v>#NAME?</v>
      </c>
      <c r="H2584" t="e">
        <f ca="1">_xludf.IMAGE("https://m.media-amazon.com/images/I/51j4R+keFlL._AC_UL320_.jpg")</f>
        <v>#NAME?</v>
      </c>
      <c r="I2584" t="s">
        <v>577</v>
      </c>
      <c r="J2584">
        <v>44.43</v>
      </c>
      <c r="K2584" s="4">
        <v>1.2225999999999999</v>
      </c>
      <c r="L2584">
        <v>5</v>
      </c>
      <c r="M2584">
        <v>2</v>
      </c>
      <c r="O2584" t="s">
        <v>25</v>
      </c>
      <c r="P2584" t="s">
        <v>5989</v>
      </c>
      <c r="Q2584" t="s">
        <v>5990</v>
      </c>
    </row>
    <row r="2585" spans="1:17" ht="15.5" x14ac:dyDescent="0.35">
      <c r="A2585" s="3" t="str">
        <f>HYPERLINK("https://edmondsonsupply.com/collections/electricians-tools/products/klein-tools-jth68m-8pc-6-metric-journeyman-t-handle-set-with-stand", "https://edmondsonsupply.com/collections/electricians-tools/products/klein-tools-jth68m-8pc-6-metric-journeyman-t-handle-set-with-stand")</f>
        <v>https://edmondsonsupply.com/collections/electricians-tools/products/klein-tools-jth68m-8pc-6-metric-journeyman-t-handle-set-with-stand</v>
      </c>
      <c r="B2585" s="3" t="str">
        <f>HYPERLINK("https://edmondsonsupply.com/products/klein-tools-jth68m-8pc-6-metric-journeyman-t-handle-set-with-stand", "https://edmondsonsupply.com/products/klein-tools-jth68m-8pc-6-metric-journeyman-t-handle-set-with-stand")</f>
        <v>https://edmondsonsupply.com/products/klein-tools-jth68m-8pc-6-metric-journeyman-t-handle-set-with-stand</v>
      </c>
      <c r="C2585" t="s">
        <v>2298</v>
      </c>
      <c r="D2585" t="s">
        <v>2299</v>
      </c>
      <c r="E2585" s="3" t="str">
        <f>HYPERLINK("https://www.amazon.com/T-Handle-8-Piece-Klein-Tools-JTH68MB/dp/B004DB8GSK/ref=sr_1_1?keywords=Klein+Tools+JTH68M+Hex+Key+Set%2C+Metric%2C+Journeyman%E2%84%A2+T-Handle%2C+6-Inch+with+Stand%2C+8-Piece&amp;qid=1695173855&amp;sr=8-1", "https://www.amazon.com/T-Handle-8-Piece-Klein-Tools-JTH68MB/dp/B004DB8GSK/ref=sr_1_1?keywords=Klein+Tools+JTH68M+Hex+Key+Set%2C+Metric%2C+Journeyman%E2%84%A2+T-Handle%2C+6-Inch+with+Stand%2C+8-Piece&amp;qid=1695173855&amp;sr=8-1")</f>
        <v>https://www.amazon.com/T-Handle-8-Piece-Klein-Tools-JTH68MB/dp/B004DB8GSK/ref=sr_1_1?keywords=Klein+Tools+JTH68M+Hex+Key+Set%2C+Metric%2C+Journeyman%E2%84%A2+T-Handle%2C+6-Inch+with+Stand%2C+8-Piece&amp;qid=1695173855&amp;sr=8-1</v>
      </c>
      <c r="F2585" t="s">
        <v>2300</v>
      </c>
      <c r="G2585" t="e">
        <f ca="1">_xludf.IMAGE("https://edmondsonsupply.com/cdn/shop/products/jth68m.jpg?v=1587148489")</f>
        <v>#NAME?</v>
      </c>
      <c r="H2585" t="e">
        <f ca="1">_xludf.IMAGE("https://m.media-amazon.com/images/I/61XP-1Qh3UL._AC_UL320_.jpg")</f>
        <v>#NAME?</v>
      </c>
      <c r="I2585" t="s">
        <v>198</v>
      </c>
      <c r="J2585">
        <v>88.87</v>
      </c>
      <c r="K2585" s="4">
        <v>1.2222999999999999</v>
      </c>
      <c r="L2585">
        <v>4.5999999999999996</v>
      </c>
      <c r="M2585">
        <v>426</v>
      </c>
      <c r="O2585" t="s">
        <v>25</v>
      </c>
      <c r="P2585" t="s">
        <v>1310</v>
      </c>
      <c r="Q2585" t="s">
        <v>2301</v>
      </c>
    </row>
    <row r="2586" spans="1:17" ht="15.5" x14ac:dyDescent="0.35">
      <c r="A2586" s="3" t="str">
        <f>HYPERLINK("https://edmondsonsupply.com/collections/electricians-tools/products/klein-tools-51607-aluminum-conduit-bender-full-assembly-3-4-inch-emt-with-angle-setter%E2%84%A2", "https://edmondsonsupply.com/collections/electricians-tools/products/klein-tools-51607-aluminum-conduit-bender-full-assembly-3-4-inch-emt-with-angle-setter%E2%84%A2")</f>
        <v>https://edmondsonsupply.com/collections/electricians-tools/products/klein-tools-51607-aluminum-conduit-bender-full-assembly-3-4-inch-emt-with-angle-setter%E2%84%A2</v>
      </c>
      <c r="B2586" s="3" t="str">
        <f>HYPERLINK("https://edmondsonsupply.com/products/klein-tools-51607-aluminum-conduit-bender-full-assembly-3-4-inch-emt-with-angle-setter%e2%84%a2", "https://edmondsonsupply.com/products/klein-tools-51607-aluminum-conduit-bender-full-assembly-3-4-inch-emt-with-angle-setter%e2%84%a2")</f>
        <v>https://edmondsonsupply.com/products/klein-tools-51607-aluminum-conduit-bender-full-assembly-3-4-inch-emt-with-angle-setter%e2%84%a2</v>
      </c>
      <c r="C2586" t="s">
        <v>6601</v>
      </c>
      <c r="D2586" t="s">
        <v>6602</v>
      </c>
      <c r="E2586" s="3" t="str">
        <f>HYPERLINK("https://www.amazon.com/Conduit-Technology-Benchmark-Klein-Tools/dp/B08L3ZQCT1/ref=sr_1_5?keywords=Klein+Tools+51607+Aluminum+Conduit+Bender+Full+Assembly%2C+3%2F4-Inch+EMT+with+Angle+Setter%E2%84%A2&amp;qid=1695174169&amp;sr=8-5", "https://www.amazon.com/Conduit-Technology-Benchmark-Klein-Tools/dp/B08L3ZQCT1/ref=sr_1_5?keywords=Klein+Tools+51607+Aluminum+Conduit+Bender+Full+Assembly%2C+3%2F4-Inch+EMT+with+Angle+Setter%E2%84%A2&amp;qid=1695174169&amp;sr=8-5")</f>
        <v>https://www.amazon.com/Conduit-Technology-Benchmark-Klein-Tools/dp/B08L3ZQCT1/ref=sr_1_5?keywords=Klein+Tools+51607+Aluminum+Conduit+Bender+Full+Assembly%2C+3%2F4-Inch+EMT+with+Angle+Setter%E2%84%A2&amp;qid=1695174169&amp;sr=8-5</v>
      </c>
      <c r="F2586" t="s">
        <v>6603</v>
      </c>
      <c r="G2586" t="e">
        <f ca="1">_xludf.IMAGE("https://edmondsonsupply.com/cdn/shop/products/51607.jpg?v=1663942654")</f>
        <v>#NAME?</v>
      </c>
      <c r="H2586" t="e">
        <f ca="1">_xludf.IMAGE("https://m.media-amazon.com/images/I/41stj4NcdUL._AC_UL320_.jpg")</f>
        <v>#NAME?</v>
      </c>
      <c r="I2586" t="s">
        <v>946</v>
      </c>
      <c r="J2586">
        <v>99.97</v>
      </c>
      <c r="K2586" s="4">
        <v>1.222</v>
      </c>
      <c r="L2586">
        <v>4.7</v>
      </c>
      <c r="M2586">
        <v>60</v>
      </c>
      <c r="O2586" t="s">
        <v>25</v>
      </c>
      <c r="P2586" t="s">
        <v>6068</v>
      </c>
      <c r="Q2586" t="s">
        <v>6604</v>
      </c>
    </row>
    <row r="2587" spans="1:17" ht="15.5" x14ac:dyDescent="0.35">
      <c r="A2587"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2587" s="3" t="str">
        <f>HYPERLINK("https://edmondsonsupply.com/products/klein-tools-vdv500-123-probe-pro-tracing-probe", "https://edmondsonsupply.com/products/klein-tools-vdv500-123-probe-pro-tracing-probe")</f>
        <v>https://edmondsonsupply.com/products/klein-tools-vdv500-123-probe-pro-tracing-probe</v>
      </c>
      <c r="C2587" t="s">
        <v>6065</v>
      </c>
      <c r="D2587" t="s">
        <v>6605</v>
      </c>
      <c r="E2587" s="3" t="str">
        <f>HYPERLINK("https://www.amazon.com/Klein-Tools-VDV526-200-Replaceable-Non-Metallic/dp/B09Y84486X/ref=sr_1_5?keywords=Klein+Tools+VDV500-123+Probe-PRO+Tracing+Probe&amp;qid=1695173898&amp;sr=8-5", "https://www.amazon.com/Klein-Tools-VDV526-200-Replaceable-Non-Metallic/dp/B09Y84486X/ref=sr_1_5?keywords=Klein+Tools+VDV500-123+Probe-PRO+Tracing+Probe&amp;qid=1695173898&amp;sr=8-5")</f>
        <v>https://www.amazon.com/Klein-Tools-VDV526-200-Replaceable-Non-Metallic/dp/B09Y84486X/ref=sr_1_5?keywords=Klein+Tools+VDV500-123+Probe-PRO+Tracing+Probe&amp;qid=1695173898&amp;sr=8-5</v>
      </c>
      <c r="F2587" t="s">
        <v>6606</v>
      </c>
      <c r="G2587" t="e">
        <f ca="1">_xludf.IMAGE("https://edmondsonsupply.com/cdn/shop/products/vdv500123.jpg?v=1587142783")</f>
        <v>#NAME?</v>
      </c>
      <c r="H2587" t="e">
        <f ca="1">_xludf.IMAGE("https://m.media-amazon.com/images/I/51l43d13j-L._AC_UY218_.jpg")</f>
        <v>#NAME?</v>
      </c>
      <c r="I2587" t="s">
        <v>946</v>
      </c>
      <c r="J2587">
        <v>99.96</v>
      </c>
      <c r="K2587" s="4">
        <v>1.2218</v>
      </c>
      <c r="L2587">
        <v>4.8</v>
      </c>
      <c r="M2587">
        <v>12</v>
      </c>
      <c r="O2587" t="s">
        <v>25</v>
      </c>
      <c r="P2587" t="s">
        <v>6068</v>
      </c>
      <c r="Q2587" t="s">
        <v>6069</v>
      </c>
    </row>
    <row r="2588" spans="1:17" ht="15.5" x14ac:dyDescent="0.35">
      <c r="A2588"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2588" s="3" t="str">
        <f>HYPERLINK("https://edmondsonsupply.com/products/klein-tools-d502-10-pump-pliers-10-inch", "https://edmondsonsupply.com/products/klein-tools-d502-10-pump-pliers-10-inch")</f>
        <v>https://edmondsonsupply.com/products/klein-tools-d502-10-pump-pliers-10-inch</v>
      </c>
      <c r="C2588" t="s">
        <v>6607</v>
      </c>
      <c r="D2588" t="s">
        <v>6608</v>
      </c>
      <c r="E2588" s="3" t="str">
        <f>HYPERLINK("https://www.amazon.com/10-Inch-Insulated-Klein-Tools-D502-10-INS/dp/B0002RI9UO/ref=sr_1_2?keywords=Klein+Tools+D502-10+Pump+Pliers%2C+10-Inch&amp;qid=1695174291&amp;sr=8-2", "https://www.amazon.com/10-Inch-Insulated-Klein-Tools-D502-10-INS/dp/B0002RI9UO/ref=sr_1_2?keywords=Klein+Tools+D502-10+Pump+Pliers%2C+10-Inch&amp;qid=1695174291&amp;sr=8-2")</f>
        <v>https://www.amazon.com/10-Inch-Insulated-Klein-Tools-D502-10-INS/dp/B0002RI9UO/ref=sr_1_2?keywords=Klein+Tools+D502-10+Pump+Pliers%2C+10-Inch&amp;qid=1695174291&amp;sr=8-2</v>
      </c>
      <c r="F2588" t="s">
        <v>6609</v>
      </c>
      <c r="G2588" t="e">
        <f ca="1">_xludf.IMAGE("https://edmondsonsupply.com/cdn/shop/products/d50210_alt1.jpg?v=1633030884")</f>
        <v>#NAME?</v>
      </c>
      <c r="H2588" t="e">
        <f ca="1">_xludf.IMAGE("https://m.media-amazon.com/images/I/51Y-f5OqBUL._AC_UL320_.jpg")</f>
        <v>#NAME?</v>
      </c>
      <c r="I2588" t="s">
        <v>471</v>
      </c>
      <c r="J2588">
        <v>55.18</v>
      </c>
      <c r="K2588" s="4">
        <v>1.2081</v>
      </c>
      <c r="L2588">
        <v>4.5999999999999996</v>
      </c>
      <c r="M2588">
        <v>77</v>
      </c>
      <c r="O2588" t="s">
        <v>25</v>
      </c>
      <c r="P2588" t="s">
        <v>6610</v>
      </c>
      <c r="Q2588" t="s">
        <v>6611</v>
      </c>
    </row>
    <row r="2589" spans="1:17" ht="15.5" x14ac:dyDescent="0.35">
      <c r="A2589" s="3" t="str">
        <f>HYPERLINK("https://edmondsonsupply.com/collections/electricians-tools/products/diablo-tools-d0724x-7-1-4-in-x-24-tooth-framing-saw-blade", "https://edmondsonsupply.com/collections/electricians-tools/products/diablo-tools-d0724x-7-1-4-in-x-24-tooth-framing-saw-blade")</f>
        <v>https://edmondsonsupply.com/collections/electricians-tools/products/diablo-tools-d0724x-7-1-4-in-x-24-tooth-framing-saw-blade</v>
      </c>
      <c r="B2589" s="3" t="str">
        <f>HYPERLINK("https://edmondsonsupply.com/products/diablo-tools-d0724x-7-1-4-in-x-24-tooth-framing-saw-blade", "https://edmondsonsupply.com/products/diablo-tools-d0724x-7-1-4-in-x-24-tooth-framing-saw-blade")</f>
        <v>https://edmondsonsupply.com/products/diablo-tools-d0724x-7-1-4-in-x-24-tooth-framing-saw-blade</v>
      </c>
      <c r="C2589" t="s">
        <v>6271</v>
      </c>
      <c r="D2589" t="s">
        <v>6612</v>
      </c>
      <c r="E2589" s="3" t="str">
        <f>HYPERLINK("https://www.amazon.com/Diablo-2-Pack-Framing-Circular-Blades/dp/B09K81GP9V/ref=sr_1_4?keywords=Diablo+Tools+D0724X+7-1%2F4+in.+x+24+Tooth+Framing+Saw+Blade&amp;qid=1695174060&amp;sr=8-4", "https://www.amazon.com/Diablo-2-Pack-Framing-Circular-Blades/dp/B09K81GP9V/ref=sr_1_4?keywords=Diablo+Tools+D0724X+7-1%2F4+in.+x+24+Tooth+Framing+Saw+Blade&amp;qid=1695174060&amp;sr=8-4")</f>
        <v>https://www.amazon.com/Diablo-2-Pack-Framing-Circular-Blades/dp/B09K81GP9V/ref=sr_1_4?keywords=Diablo+Tools+D0724X+7-1%2F4+in.+x+24+Tooth+Framing+Saw+Blade&amp;qid=1695174060&amp;sr=8-4</v>
      </c>
      <c r="F2589" t="s">
        <v>6613</v>
      </c>
      <c r="G2589" t="e">
        <f ca="1">_xludf.IMAGE("https://edmondsonsupply.com/cdn/shop/products/D0724A_Main-Image20200218_ba34939c-8546-489a-9616-b05338ff91cc.png?v=1678971696")</f>
        <v>#NAME?</v>
      </c>
      <c r="H2589" t="e">
        <f ca="1">_xludf.IMAGE("https://m.media-amazon.com/images/I/61MhRzf0xyL._AC_UL320_.jpg")</f>
        <v>#NAME?</v>
      </c>
      <c r="I2589" t="s">
        <v>1427</v>
      </c>
      <c r="J2589">
        <v>21.98</v>
      </c>
      <c r="K2589" s="4">
        <v>1.2045999999999999</v>
      </c>
      <c r="L2589">
        <v>4.7</v>
      </c>
      <c r="M2589">
        <v>8</v>
      </c>
      <c r="O2589" t="s">
        <v>25</v>
      </c>
      <c r="P2589" t="s">
        <v>6274</v>
      </c>
      <c r="Q2589" t="s">
        <v>6275</v>
      </c>
    </row>
    <row r="2590" spans="1:17" ht="15.5" x14ac:dyDescent="0.35">
      <c r="A2590"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2590"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2590" t="s">
        <v>2115</v>
      </c>
      <c r="D2590" t="s">
        <v>2304</v>
      </c>
      <c r="E2590" s="3" t="str">
        <f>HYPERLINK("https://www.amazon.com/Screwdriver-Klein-Tools-Instruments-Thermometer/dp/B0B68FP3YG/ref=sr_1_2?keywords=Klein+Tools+32304+14-in-1+HVAC+Adjustable-Length+Impact+Screwdriver+with+Flip+Socket&amp;qid=1695173856&amp;sr=8-2", "https://www.amazon.com/Screwdriver-Klein-Tools-Instruments-Thermometer/dp/B0B68FP3YG/ref=sr_1_2?keywords=Klein+Tools+32304+14-in-1+HVAC+Adjustable-Length+Impact+Screwdriver+with+Flip+Socket&amp;qid=1695173856&amp;sr=8-2")</f>
        <v>https://www.amazon.com/Screwdriver-Klein-Tools-Instruments-Thermometer/dp/B0B68FP3YG/ref=sr_1_2?keywords=Klein+Tools+32304+14-in-1+HVAC+Adjustable-Length+Impact+Screwdriver+with+Flip+Socket&amp;qid=1695173856&amp;sr=8-2</v>
      </c>
      <c r="F2590" t="s">
        <v>2305</v>
      </c>
      <c r="G2590" t="e">
        <f ca="1">_xludf.IMAGE("https://edmondsonsupply.com/cdn/shop/products/32304.jpg?v=1666019479")</f>
        <v>#NAME?</v>
      </c>
      <c r="H2590" t="e">
        <f ca="1">_xludf.IMAGE("https://m.media-amazon.com/images/I/41yTQwoccbL._AC_UL320_.jpg")</f>
        <v>#NAME?</v>
      </c>
      <c r="I2590" t="s">
        <v>859</v>
      </c>
      <c r="J2590">
        <v>55.02</v>
      </c>
      <c r="K2590" s="4">
        <v>1.2034</v>
      </c>
      <c r="L2590">
        <v>4.5</v>
      </c>
      <c r="M2590">
        <v>39</v>
      </c>
      <c r="O2590" t="s">
        <v>25</v>
      </c>
      <c r="P2590" t="s">
        <v>602</v>
      </c>
      <c r="Q2590" t="s">
        <v>2118</v>
      </c>
    </row>
    <row r="2591" spans="1:17" ht="15.5" x14ac:dyDescent="0.35">
      <c r="A2591"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2591" s="3" t="str">
        <f>HYPERLINK("https://edmondsonsupply.com/products/klein-tools-5141-canvas-bag-4-pk-brown-black-gray-red", "https://edmondsonsupply.com/products/klein-tools-5141-canvas-bag-4-pk-brown-black-gray-red")</f>
        <v>https://edmondsonsupply.com/products/klein-tools-5141-canvas-bag-4-pk-brown-black-gray-red</v>
      </c>
      <c r="C2591" t="s">
        <v>243</v>
      </c>
      <c r="D2591" t="s">
        <v>327</v>
      </c>
      <c r="E2591" s="3" t="str">
        <f>HYPERLINK("https://www.amazon.com/Klein-Tools-Utility-Deposit-5539LCPAK/dp/B0BD3WW5HW/ref=sr_1_4?keywords=Klein+Tools+5141+Zipper+Bags%2C+Canvas+Tool+Pouches+Brown%2FBlack%2FGray%2FRed%2C+4-Pack&amp;qid=1695173934&amp;sr=8-4", "https://www.amazon.com/Klein-Tools-Utility-Deposit-5539LCPAK/dp/B0BD3WW5HW/ref=sr_1_4?keywords=Klein+Tools+5141+Zipper+Bags%2C+Canvas+Tool+Pouches+Brown%2FBlack%2FGray%2FRed%2C+4-Pack&amp;qid=1695173934&amp;sr=8-4")</f>
        <v>https://www.amazon.com/Klein-Tools-Utility-Deposit-5539LCPAK/dp/B0BD3WW5HW/ref=sr_1_4?keywords=Klein+Tools+5141+Zipper+Bags%2C+Canvas+Tool+Pouches+Brown%2FBlack%2FGray%2FRed%2C+4-Pack&amp;qid=1695173934&amp;sr=8-4</v>
      </c>
      <c r="F2591" t="s">
        <v>328</v>
      </c>
      <c r="G2591" t="e">
        <f ca="1">_xludf.IMAGE("https://edmondsonsupply.com/cdn/shop/products/5141.jpg?v=1633030517")</f>
        <v>#NAME?</v>
      </c>
      <c r="H2591" t="e">
        <f ca="1">_xludf.IMAGE("https://m.media-amazon.com/images/I/413RtvEllSL._AC_UL320_.jpg")</f>
        <v>#NAME?</v>
      </c>
      <c r="I2591" t="s">
        <v>246</v>
      </c>
      <c r="J2591">
        <v>88</v>
      </c>
      <c r="K2591" s="4">
        <v>1.2017</v>
      </c>
      <c r="L2591">
        <v>5</v>
      </c>
      <c r="M2591">
        <v>1</v>
      </c>
      <c r="O2591" t="s">
        <v>25</v>
      </c>
      <c r="P2591" t="s">
        <v>247</v>
      </c>
      <c r="Q2591" t="s">
        <v>248</v>
      </c>
    </row>
    <row r="2592" spans="1:17" ht="15.5" x14ac:dyDescent="0.35">
      <c r="A2592"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2592" s="3" t="str">
        <f>HYPERLINK("https://edmondsonsupply.com/products/klein-tools-32907-7-in-1-impact-flip-socket-set-no-handle", "https://edmondsonsupply.com/products/klein-tools-32907-7-in-1-impact-flip-socket-set-no-handle")</f>
        <v>https://edmondsonsupply.com/products/klein-tools-32907-7-in-1-impact-flip-socket-set-no-handle</v>
      </c>
      <c r="C2592" t="s">
        <v>1833</v>
      </c>
      <c r="D2592" t="s">
        <v>2308</v>
      </c>
      <c r="E2592" s="3" t="str">
        <f>HYPERLINK("https://www.amazon.com/Folding-20997TFHS618636-Impact-Driver-Socket/dp/B0CF2HPH97/ref=sr_1_9?keywords=Klein+Tools+32907+7-in-1+Impact+Flip+Socket+Set%2C+No+Handle&amp;qid=1695173886&amp;sr=8-9", "https://www.amazon.com/Folding-20997TFHS618636-Impact-Driver-Socket/dp/B0CF2HPH97/ref=sr_1_9?keywords=Klein+Tools+32907+7-in-1+Impact+Flip+Socket+Set%2C+No+Handle&amp;qid=1695173886&amp;sr=8-9")</f>
        <v>https://www.amazon.com/Folding-20997TFHS618636-Impact-Driver-Socket/dp/B0CF2HPH97/ref=sr_1_9?keywords=Klein+Tools+32907+7-in-1+Impact+Flip+Socket+Set%2C+No+Handle&amp;qid=1695173886&amp;sr=8-9</v>
      </c>
      <c r="F2592" t="s">
        <v>2309</v>
      </c>
      <c r="G2592" t="e">
        <f ca="1">_xludf.IMAGE("https://edmondsonsupply.com/cdn/shop/products/32907_b.jpg?v=1666025282")</f>
        <v>#NAME?</v>
      </c>
      <c r="H2592" t="e">
        <f ca="1">_xludf.IMAGE("https://m.media-amazon.com/images/I/51ARCE+JBfL._AC_UL320_.jpg")</f>
        <v>#NAME?</v>
      </c>
      <c r="I2592" t="s">
        <v>577</v>
      </c>
      <c r="J2592">
        <v>43.98</v>
      </c>
      <c r="K2592" s="4">
        <v>1.2000999999999999</v>
      </c>
      <c r="L2592">
        <v>4.5</v>
      </c>
      <c r="M2592">
        <v>777</v>
      </c>
      <c r="O2592" t="s">
        <v>25</v>
      </c>
      <c r="P2592" t="s">
        <v>1836</v>
      </c>
      <c r="Q2592" t="s">
        <v>1837</v>
      </c>
    </row>
    <row r="2593" spans="1:17" ht="15.5" x14ac:dyDescent="0.35">
      <c r="A2593"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2593" s="3" t="str">
        <f>HYPERLINK("https://edmondsonsupply.com/products/milwaukee-49-56-0505-1-4-diamond-max%e2%84%a2-hole-saw", "https://edmondsonsupply.com/products/milwaukee-49-56-0505-1-4-diamond-max%e2%84%a2-hole-saw")</f>
        <v>https://edmondsonsupply.com/products/milwaukee-49-56-0505-1-4-diamond-max%e2%84%a2-hole-saw</v>
      </c>
      <c r="C2593" t="s">
        <v>6614</v>
      </c>
      <c r="D2593" t="s">
        <v>6615</v>
      </c>
      <c r="E2593" s="3" t="str">
        <f>HYPERLINK("https://www.amazon.com/Milwaukee-49-56-5660-2-1-Diamond-Hole/dp/B00KQMUOOE/ref=sr_1_4?keywords=Milwaukee+49-56-0505+1%2F4%22+Diamond+MAX%E2%84%A2+Hole+Saw&amp;qid=1695174028&amp;sr=8-4", "https://www.amazon.com/Milwaukee-49-56-5660-2-1-Diamond-Hole/dp/B00KQMUOOE/ref=sr_1_4?keywords=Milwaukee+49-56-0505+1%2F4%22+Diamond+MAX%E2%84%A2+Hole+Saw&amp;qid=1695174028&amp;sr=8-4")</f>
        <v>https://www.amazon.com/Milwaukee-49-56-5660-2-1-Diamond-Hole/dp/B00KQMUOOE/ref=sr_1_4?keywords=Milwaukee+49-56-0505+1%2F4%22+Diamond+MAX%E2%84%A2+Hole+Saw&amp;qid=1695174028&amp;sr=8-4</v>
      </c>
      <c r="F2593" t="s">
        <v>6616</v>
      </c>
      <c r="G2593" t="e">
        <f ca="1">_xludf.IMAGE("https://edmondsonsupply.com/cdn/shop/products/49-56-0507_1.png?v=1680111300")</f>
        <v>#NAME?</v>
      </c>
      <c r="H2593" t="e">
        <f ca="1">_xludf.IMAGE("https://m.media-amazon.com/images/I/61nOa4J6FdL._AC_UL320_.jpg")</f>
        <v>#NAME?</v>
      </c>
      <c r="I2593" t="s">
        <v>577</v>
      </c>
      <c r="J2593">
        <v>43.97</v>
      </c>
      <c r="K2593" s="4">
        <v>1.1996</v>
      </c>
      <c r="L2593">
        <v>4.0999999999999996</v>
      </c>
      <c r="M2593">
        <v>14</v>
      </c>
      <c r="O2593" t="s">
        <v>25</v>
      </c>
      <c r="P2593" t="s">
        <v>6617</v>
      </c>
      <c r="Q2593" t="s">
        <v>6618</v>
      </c>
    </row>
    <row r="2594" spans="1:17" ht="15.5" x14ac:dyDescent="0.35">
      <c r="A2594"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2594" s="3" t="str">
        <f>HYPERLINK("https://edmondsonsupply.com/products/fluke-62-max-mini-infrared-thermometer", "https://edmondsonsupply.com/products/fluke-62-max-mini-infrared-thermometer")</f>
        <v>https://edmondsonsupply.com/products/fluke-62-max-mini-infrared-thermometer</v>
      </c>
      <c r="C2594" t="s">
        <v>2312</v>
      </c>
      <c r="D2594" t="s">
        <v>2313</v>
      </c>
      <c r="E2594" s="3" t="str">
        <f>HYPERLINK("https://www.amazon.com/FLUKE-FLUKE-62-INFRARED-THERMOMETER-1202F/dp/B00BX8RMAY/ref=sr_1_7?keywords=Fluke+62+MAX+Mini+Infrared+Thermometer&amp;qid=1695173898&amp;sr=8-7", "https://www.amazon.com/FLUKE-FLUKE-62-INFRARED-THERMOMETER-1202F/dp/B00BX8RMAY/ref=sr_1_7?keywords=Fluke+62+MAX+Mini+Infrared+Thermometer&amp;qid=1695173898&amp;sr=8-7")</f>
        <v>https://www.amazon.com/FLUKE-FLUKE-62-INFRARED-THERMOMETER-1202F/dp/B00BX8RMAY/ref=sr_1_7?keywords=Fluke+62+MAX+Mini+Infrared+Thermometer&amp;qid=1695173898&amp;sr=8-7</v>
      </c>
      <c r="F2594" t="s">
        <v>2314</v>
      </c>
      <c r="G2594" t="e">
        <f ca="1">_xludf.IMAGE("https://edmondsonsupply.com/cdn/shop/products/62max.jpg?v=1633030769")</f>
        <v>#NAME?</v>
      </c>
      <c r="H2594" t="e">
        <f ca="1">_xludf.IMAGE("https://m.media-amazon.com/images/I/51OF-Dz5VLL._AC_UY218_.jpg")</f>
        <v>#NAME?</v>
      </c>
      <c r="I2594" t="s">
        <v>2315</v>
      </c>
      <c r="J2594">
        <v>269.99</v>
      </c>
      <c r="K2594" s="4">
        <v>1.1952</v>
      </c>
      <c r="L2594">
        <v>5</v>
      </c>
      <c r="M2594">
        <v>3</v>
      </c>
      <c r="O2594" t="s">
        <v>171</v>
      </c>
      <c r="P2594" t="s">
        <v>460</v>
      </c>
      <c r="Q2594" t="s">
        <v>2316</v>
      </c>
    </row>
    <row r="2595" spans="1:17" ht="15.5" x14ac:dyDescent="0.35">
      <c r="A2595"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2595"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2595" t="s">
        <v>2115</v>
      </c>
      <c r="D2595" t="s">
        <v>2317</v>
      </c>
      <c r="E2595" s="3" t="str">
        <f>HYPERLINK("https://www.amazon.com/Klein-Tools-Precision-Screwdriver-Adjustable/dp/B0BRM3HJY8/ref=sr_1_7?keywords=Klein+Tools+32304+14-in-1+HVAC+Adjustable-Length+Impact+Screwdriver+with+Flip+Socket&amp;qid=1695173856&amp;sr=8-7", "https://www.amazon.com/Klein-Tools-Precision-Screwdriver-Adjustable/dp/B0BRM3HJY8/ref=sr_1_7?keywords=Klein+Tools+32304+14-in-1+HVAC+Adjustable-Length+Impact+Screwdriver+with+Flip+Socket&amp;qid=1695173856&amp;sr=8-7")</f>
        <v>https://www.amazon.com/Klein-Tools-Precision-Screwdriver-Adjustable/dp/B0BRM3HJY8/ref=sr_1_7?keywords=Klein+Tools+32304+14-in-1+HVAC+Adjustable-Length+Impact+Screwdriver+with+Flip+Socket&amp;qid=1695173856&amp;sr=8-7</v>
      </c>
      <c r="F2595" t="s">
        <v>2318</v>
      </c>
      <c r="G2595" t="e">
        <f ca="1">_xludf.IMAGE("https://edmondsonsupply.com/cdn/shop/products/32304.jpg?v=1666019479")</f>
        <v>#NAME?</v>
      </c>
      <c r="H2595" t="e">
        <f ca="1">_xludf.IMAGE("https://m.media-amazon.com/images/I/513WrxifIfL._AC_UL320_.jpg")</f>
        <v>#NAME?</v>
      </c>
      <c r="I2595" t="s">
        <v>859</v>
      </c>
      <c r="J2595">
        <v>54.74</v>
      </c>
      <c r="K2595" s="4">
        <v>1.1921999999999999</v>
      </c>
      <c r="L2595">
        <v>4.9000000000000004</v>
      </c>
      <c r="M2595">
        <v>9</v>
      </c>
      <c r="O2595" t="s">
        <v>25</v>
      </c>
      <c r="P2595" t="s">
        <v>602</v>
      </c>
      <c r="Q2595" t="s">
        <v>2118</v>
      </c>
    </row>
    <row r="2596" spans="1:17" ht="15.5" x14ac:dyDescent="0.35">
      <c r="A2596"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2596"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2596" t="s">
        <v>6344</v>
      </c>
      <c r="D2596" t="s">
        <v>2500</v>
      </c>
      <c r="E2596" s="3" t="str">
        <f>HYPERLINK("https://www.amazon.com/Journeyman-T-Handle-Klein-Tools-JTH9M6/dp/B005G3HJKU/ref=sr_1_7?keywords=Klein+Tools+JTH9E09+9%2F64-Inch+Hex+Key%2C+Journeyman%E2%84%A2+T-Handle%2C+9-Inch&amp;qid=1695174053&amp;sr=8-7", "https://www.amazon.com/Journeyman-T-Handle-Klein-Tools-JTH9M6/dp/B005G3HJKU/ref=sr_1_7?keywords=Klein+Tools+JTH9E09+9%2F64-Inch+Hex+Key%2C+Journeyman%E2%84%A2+T-Handle%2C+9-Inch&amp;qid=1695174053&amp;sr=8-7")</f>
        <v>https://www.amazon.com/Journeyman-T-Handle-Klein-Tools-JTH9M6/dp/B005G3HJKU/ref=sr_1_7?keywords=Klein+Tools+JTH9E09+9%2F64-Inch+Hex+Key%2C+Journeyman%E2%84%A2+T-Handle%2C+9-Inch&amp;qid=1695174053&amp;sr=8-7</v>
      </c>
      <c r="F2596" t="s">
        <v>2501</v>
      </c>
      <c r="G2596" t="e">
        <f ca="1">_xludf.IMAGE("https://edmondsonsupply.com/cdn/shop/files/jth6e15_a82bd56b-ad18-4460-9ae1-33c48a111839.jpg?v=1684942468")</f>
        <v>#NAME?</v>
      </c>
      <c r="H2596" t="e">
        <f ca="1">_xludf.IMAGE("https://m.media-amazon.com/images/I/51+1x0vz9XL._AC_UL320_.jpg")</f>
        <v>#NAME?</v>
      </c>
      <c r="I2596" t="s">
        <v>6122</v>
      </c>
      <c r="J2596">
        <v>9.84</v>
      </c>
      <c r="K2596" s="4">
        <v>1.1915</v>
      </c>
      <c r="L2596">
        <v>4.7</v>
      </c>
      <c r="M2596">
        <v>123</v>
      </c>
      <c r="O2596" t="s">
        <v>25</v>
      </c>
      <c r="P2596" t="s">
        <v>6123</v>
      </c>
      <c r="Q2596" t="s">
        <v>6345</v>
      </c>
    </row>
    <row r="2597" spans="1:17" ht="15.5" x14ac:dyDescent="0.35">
      <c r="A2597"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2597" s="3" t="str">
        <f>HYPERLINK("https://edmondsonsupply.com/products/klein-tools-32500mag-11-in-1-magnetic-screwdriver-nut-driver", "https://edmondsonsupply.com/products/klein-tools-32500mag-11-in-1-magnetic-screwdriver-nut-driver")</f>
        <v>https://edmondsonsupply.com/products/klein-tools-32500mag-11-in-1-magnetic-screwdriver-nut-driver</v>
      </c>
      <c r="C2597" t="s">
        <v>6522</v>
      </c>
      <c r="D2597" t="s">
        <v>6619</v>
      </c>
      <c r="E2597" s="3" t="str">
        <f>HYPERLINK("https://www.amazon.com/Klein-Tools-32807MAG-Magnetic-Screwdriver/dp/B08MG3L43V/ref=sr_1_8?keywords=Klein+Tools+32500MAG+11-in-1+Magnetic+Screwdriver+%2F+Nut+Driver&amp;qid=1695174303&amp;sr=8-8", "https://www.amazon.com/Klein-Tools-32807MAG-Magnetic-Screwdriver/dp/B08MG3L43V/ref=sr_1_8?keywords=Klein+Tools+32500MAG+11-in-1+Magnetic+Screwdriver+%2F+Nut+Driver&amp;qid=1695174303&amp;sr=8-8")</f>
        <v>https://www.amazon.com/Klein-Tools-32807MAG-Magnetic-Screwdriver/dp/B08MG3L43V/ref=sr_1_8?keywords=Klein+Tools+32500MAG+11-in-1+Magnetic+Screwdriver+%2F+Nut+Driver&amp;qid=1695174303&amp;sr=8-8</v>
      </c>
      <c r="F2597" t="s">
        <v>6620</v>
      </c>
      <c r="G2597" t="e">
        <f ca="1">_xludf.IMAGE("https://edmondsonsupply.com/cdn/shop/products/32500mag.jpg?v=1633030832")</f>
        <v>#NAME?</v>
      </c>
      <c r="H2597" t="e">
        <f ca="1">_xludf.IMAGE("https://m.media-amazon.com/images/I/51yRbCSFsxL._AC_UL320_.jpg")</f>
        <v>#NAME?</v>
      </c>
      <c r="I2597" t="s">
        <v>2288</v>
      </c>
      <c r="J2597">
        <v>45.94</v>
      </c>
      <c r="K2597" s="4">
        <v>1.1907000000000001</v>
      </c>
      <c r="L2597">
        <v>4.7</v>
      </c>
      <c r="M2597">
        <v>14</v>
      </c>
      <c r="O2597" t="s">
        <v>25</v>
      </c>
      <c r="P2597" t="s">
        <v>6525</v>
      </c>
      <c r="Q2597" t="s">
        <v>6526</v>
      </c>
    </row>
    <row r="2598" spans="1:17" ht="15.5" x14ac:dyDescent="0.35">
      <c r="A2598"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2598"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2598" t="s">
        <v>6051</v>
      </c>
      <c r="D2598" t="s">
        <v>6621</v>
      </c>
      <c r="E2598" s="3" t="str">
        <f>HYPERLINK("https://www.amazon.com/16-Inch-Drivers-Klein-Tools-32768/dp/B09Q52LQ5G/ref=sr_1_2?keywords=Klein+Tools+66079+Flip+Impact+Socket+Adapter%2C+Small%2C+1%2F4+to+1%2F4-Inch&amp;qid=1695173882&amp;sr=8-2", "https://www.amazon.com/16-Inch-Drivers-Klein-Tools-32768/dp/B09Q52LQ5G/ref=sr_1_2?keywords=Klein+Tools+66079+Flip+Impact+Socket+Adapter%2C+Small%2C+1%2F4+to+1%2F4-Inch&amp;qid=1695173882&amp;sr=8-2")</f>
        <v>https://www.amazon.com/16-Inch-Drivers-Klein-Tools-32768/dp/B09Q52LQ5G/ref=sr_1_2?keywords=Klein+Tools+66079+Flip+Impact+Socket+Adapter%2C+Small%2C+1%2F4+to+1%2F4-Inch&amp;qid=1695173882&amp;sr=8-2</v>
      </c>
      <c r="F2598" t="s">
        <v>6622</v>
      </c>
      <c r="G2598" t="e">
        <f ca="1">_xludf.IMAGE("https://edmondsonsupply.com/cdn/shop/products/66079.jpg?v=1669735923")</f>
        <v>#NAME?</v>
      </c>
      <c r="H2598" t="e">
        <f ca="1">_xludf.IMAGE("https://m.media-amazon.com/images/I/51WsqEdVfRL._AC_UL320_.jpg")</f>
        <v>#NAME?</v>
      </c>
      <c r="I2598" t="s">
        <v>6052</v>
      </c>
      <c r="J2598">
        <v>14.99</v>
      </c>
      <c r="K2598" s="4">
        <v>1.1851</v>
      </c>
      <c r="L2598">
        <v>4.4000000000000004</v>
      </c>
      <c r="M2598">
        <v>1288</v>
      </c>
      <c r="O2598" t="s">
        <v>25</v>
      </c>
      <c r="P2598" t="s">
        <v>6053</v>
      </c>
      <c r="Q2598" t="s">
        <v>6054</v>
      </c>
    </row>
    <row r="2599" spans="1:17" ht="15.5" x14ac:dyDescent="0.35">
      <c r="A2599"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599" s="3" t="str">
        <f>HYPERLINK("https://edmondsonsupply.com/products/klein-tools-32305-15-in-1-multi-bit-ratcheting-screwdriver", "https://edmondsonsupply.com/products/klein-tools-32305-15-in-1-multi-bit-ratcheting-screwdriver")</f>
        <v>https://edmondsonsupply.com/products/klein-tools-32305-15-in-1-multi-bit-ratcheting-screwdriver</v>
      </c>
      <c r="C2599" t="s">
        <v>6262</v>
      </c>
      <c r="D2599" t="s">
        <v>6623</v>
      </c>
      <c r="E2599" s="3" t="str">
        <f>HYPERLINK("https://www.amazon.com/SATA-Multipurpose-Ratcheting-Screwdriver-Double-Sided/dp/B0CB14B5K6/ref=sr_1_5?keywords=Klein+Tools+32305+15-in-1+Multi-Bit+Ratcheting+Screwdriver&amp;qid=1695174215&amp;sr=8-5", "https://www.amazon.com/SATA-Multipurpose-Ratcheting-Screwdriver-Double-Sided/dp/B0CB14B5K6/ref=sr_1_5?keywords=Klein+Tools+32305+15-in-1+Multi-Bit+Ratcheting+Screwdriver&amp;qid=1695174215&amp;sr=8-5")</f>
        <v>https://www.amazon.com/SATA-Multipurpose-Ratcheting-Screwdriver-Double-Sided/dp/B0CB14B5K6/ref=sr_1_5?keywords=Klein+Tools+32305+15-in-1+Multi-Bit+Ratcheting+Screwdriver&amp;qid=1695174215&amp;sr=8-5</v>
      </c>
      <c r="F2599" t="s">
        <v>6624</v>
      </c>
      <c r="G2599" t="e">
        <f ca="1">_xludf.IMAGE("https://edmondsonsupply.com/cdn/shop/products/32305.jpg?v=1646965475")</f>
        <v>#NAME?</v>
      </c>
      <c r="H2599" t="e">
        <f ca="1">_xludf.IMAGE("https://m.media-amazon.com/images/I/41IWrP80qdL._AC_UL320_.jpg")</f>
        <v>#NAME?</v>
      </c>
      <c r="I2599" t="s">
        <v>2247</v>
      </c>
      <c r="J2599">
        <v>47.95</v>
      </c>
      <c r="K2599" s="4">
        <v>1.1825000000000001</v>
      </c>
      <c r="L2599">
        <v>4.5999999999999996</v>
      </c>
      <c r="M2599">
        <v>2936</v>
      </c>
      <c r="O2599" t="s">
        <v>25</v>
      </c>
      <c r="P2599" t="s">
        <v>6200</v>
      </c>
      <c r="Q2599" t="s">
        <v>6265</v>
      </c>
    </row>
    <row r="2600" spans="1:17" ht="15.5" x14ac:dyDescent="0.35">
      <c r="A2600" s="3" t="str">
        <f>HYPERLINK("https://edmondsonsupply.com/collections/electricians-tools/products/milwaukee-49-56-7000-small-thread-arbor-7-16-shank", "https://edmondsonsupply.com/collections/electricians-tools/products/milwaukee-49-56-7000-small-thread-arbor-7-16-shank")</f>
        <v>https://edmondsonsupply.com/collections/electricians-tools/products/milwaukee-49-56-7000-small-thread-arbor-7-16-shank</v>
      </c>
      <c r="B2600" s="3" t="str">
        <f>HYPERLINK("https://edmondsonsupply.com/products/milwaukee-49-56-7000-small-thread-arbor-7-16-shank", "https://edmondsonsupply.com/products/milwaukee-49-56-7000-small-thread-arbor-7-16-shank")</f>
        <v>https://edmondsonsupply.com/products/milwaukee-49-56-7000-small-thread-arbor-7-16-shank</v>
      </c>
      <c r="C2600" t="s">
        <v>5808</v>
      </c>
      <c r="D2600" t="s">
        <v>5809</v>
      </c>
      <c r="E2600" s="3" t="str">
        <f>HYPERLINK("https://www.amazon.com/Milwaukee-49-56-9100-16-Inch-Hole-Arbor/dp/B0019VAV2G/ref=sr_1_1?keywords=Milwaukee+49-56-7000+Small+Thread+Arbor%2C+7%2F16%22+Shank&amp;qid=1695174010&amp;sr=8-1", "https://www.amazon.com/Milwaukee-49-56-9100-16-Inch-Hole-Arbor/dp/B0019VAV2G/ref=sr_1_1?keywords=Milwaukee+49-56-7000+Small+Thread+Arbor%2C+7%2F16%22+Shank&amp;qid=1695174010&amp;sr=8-1")</f>
        <v>https://www.amazon.com/Milwaukee-49-56-9100-16-Inch-Hole-Arbor/dp/B0019VAV2G/ref=sr_1_1?keywords=Milwaukee+49-56-7000+Small+Thread+Arbor%2C+7%2F16%22+Shank&amp;qid=1695174010&amp;sr=8-1</v>
      </c>
      <c r="F2600" t="s">
        <v>5810</v>
      </c>
      <c r="G2600" t="e">
        <f ca="1">_xludf.IMAGE("https://edmondsonsupply.com/cdn/shop/files/51029_49-56-7000-lg.jpg?v=1686151660")</f>
        <v>#NAME?</v>
      </c>
      <c r="H2600" t="e">
        <f ca="1">_xludf.IMAGE("https://m.media-amazon.com/images/I/41OTK6p0M-S._AC_UL320_.jpg")</f>
        <v>#NAME?</v>
      </c>
      <c r="I2600" t="s">
        <v>5811</v>
      </c>
      <c r="J2600">
        <v>23.9</v>
      </c>
      <c r="K2600" s="4">
        <v>1.1787000000000001</v>
      </c>
      <c r="L2600">
        <v>4.5999999999999996</v>
      </c>
      <c r="M2600">
        <v>93</v>
      </c>
      <c r="O2600" t="s">
        <v>25</v>
      </c>
      <c r="P2600" t="s">
        <v>5812</v>
      </c>
      <c r="Q2600" t="s">
        <v>5813</v>
      </c>
    </row>
    <row r="2601" spans="1:17" ht="15.5" x14ac:dyDescent="0.35">
      <c r="A2601"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2601"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2601" t="s">
        <v>6236</v>
      </c>
      <c r="D2601" t="s">
        <v>6625</v>
      </c>
      <c r="E2601" s="3" t="str">
        <f>HYPERLINK("https://www.amazon.com/Klein-Tools-Multi-bit-Screwdriver-Adjustable/dp/B0B56P6P3L/ref=sr_1_3?keywords=Klein+Tools+32308+8-in-1+Multi-Bit+Adjustable+Length+Stubby+Screwdriver&amp;qid=1695174224&amp;sr=8-3", "https://www.amazon.com/Klein-Tools-Multi-bit-Screwdriver-Adjustable/dp/B0B56P6P3L/ref=sr_1_3?keywords=Klein+Tools+32308+8-in-1+Multi-Bit+Adjustable+Length+Stubby+Screwdriver&amp;qid=1695174224&amp;sr=8-3")</f>
        <v>https://www.amazon.com/Klein-Tools-Multi-bit-Screwdriver-Adjustable/dp/B0B56P6P3L/ref=sr_1_3?keywords=Klein+Tools+32308+8-in-1+Multi-Bit+Adjustable+Length+Stubby+Screwdriver&amp;qid=1695174224&amp;sr=8-3</v>
      </c>
      <c r="F2601" t="s">
        <v>6626</v>
      </c>
      <c r="G2601" t="e">
        <f ca="1">_xludf.IMAGE("https://edmondsonsupply.com/cdn/shop/products/32308_b.jpg?v=1647348209")</f>
        <v>#NAME?</v>
      </c>
      <c r="H2601" t="e">
        <f ca="1">_xludf.IMAGE("https://m.media-amazon.com/images/I/51GldL8hxaL._AC_UL320_.jpg")</f>
        <v>#NAME?</v>
      </c>
      <c r="I2601" t="s">
        <v>4985</v>
      </c>
      <c r="J2601">
        <v>36.94</v>
      </c>
      <c r="K2601" s="4">
        <v>1.1768000000000001</v>
      </c>
      <c r="L2601">
        <v>4.7</v>
      </c>
      <c r="M2601">
        <v>127</v>
      </c>
      <c r="O2601" t="s">
        <v>25</v>
      </c>
      <c r="P2601" t="s">
        <v>996</v>
      </c>
      <c r="Q2601" t="s">
        <v>6239</v>
      </c>
    </row>
    <row r="2602" spans="1:17" ht="15.5" x14ac:dyDescent="0.35">
      <c r="A2602"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2602"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2602" t="s">
        <v>6236</v>
      </c>
      <c r="D2602" t="s">
        <v>6627</v>
      </c>
      <c r="E2602" s="3" t="str">
        <f>HYPERLINK("https://www.amazon.com/Klein-Tools-Multi-bit-Screwdriver-Adjustable/dp/B0BC874NXV/ref=sr_1_9?keywords=Klein+Tools+32308+8-in-1+Multi-Bit+Adjustable+Length+Stubby+Screwdriver&amp;qid=1695174224&amp;sr=8-9", "https://www.amazon.com/Klein-Tools-Multi-bit-Screwdriver-Adjustable/dp/B0BC874NXV/ref=sr_1_9?keywords=Klein+Tools+32308+8-in-1+Multi-Bit+Adjustable+Length+Stubby+Screwdriver&amp;qid=1695174224&amp;sr=8-9")</f>
        <v>https://www.amazon.com/Klein-Tools-Multi-bit-Screwdriver-Adjustable/dp/B0BC874NXV/ref=sr_1_9?keywords=Klein+Tools+32308+8-in-1+Multi-Bit+Adjustable+Length+Stubby+Screwdriver&amp;qid=1695174224&amp;sr=8-9</v>
      </c>
      <c r="F2602" t="s">
        <v>6628</v>
      </c>
      <c r="G2602" t="e">
        <f ca="1">_xludf.IMAGE("https://edmondsonsupply.com/cdn/shop/products/32308_b.jpg?v=1647348209")</f>
        <v>#NAME?</v>
      </c>
      <c r="H2602" t="e">
        <f ca="1">_xludf.IMAGE("https://m.media-amazon.com/images/I/51DupKa9UOL._AC_UL320_.jpg")</f>
        <v>#NAME?</v>
      </c>
      <c r="I2602" t="s">
        <v>4985</v>
      </c>
      <c r="J2602">
        <v>36.94</v>
      </c>
      <c r="K2602" s="4">
        <v>1.1768000000000001</v>
      </c>
      <c r="L2602">
        <v>5</v>
      </c>
      <c r="M2602">
        <v>1</v>
      </c>
      <c r="O2602" t="s">
        <v>25</v>
      </c>
      <c r="P2602" t="s">
        <v>996</v>
      </c>
      <c r="Q2602" t="s">
        <v>6239</v>
      </c>
    </row>
    <row r="2603" spans="1:17" ht="15.5" x14ac:dyDescent="0.35">
      <c r="A2603"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2603" s="3" t="str">
        <f>HYPERLINK("https://edmondsonsupply.com/products/klein-tools-60345-hard-hat-earmuffs-full-brim-style", "https://edmondsonsupply.com/products/klein-tools-60345-hard-hat-earmuffs-full-brim-style")</f>
        <v>https://edmondsonsupply.com/products/klein-tools-60345-hard-hat-earmuffs-full-brim-style</v>
      </c>
      <c r="C2603" t="s">
        <v>868</v>
      </c>
      <c r="D2603" t="s">
        <v>888</v>
      </c>
      <c r="E2603" s="3" t="str">
        <f>HYPERLINK("https://www.amazon.com/Klein-Tools-Self-Wicking-Odor-Resistant-Sweatband/dp/B0B68NYYM7/ref=sr_1_8?keywords=Klein+Tools+60502+Hard+Hat+Earmuffs%2C+Full+Brim+Style&amp;qid=1695174082&amp;sr=8-8", "https://www.amazon.com/Klein-Tools-Self-Wicking-Odor-Resistant-Sweatband/dp/B0B68NYYM7/ref=sr_1_8?keywords=Klein+Tools+60502+Hard+Hat+Earmuffs%2C+Full+Brim+Style&amp;qid=1695174082&amp;sr=8-8")</f>
        <v>https://www.amazon.com/Klein-Tools-Self-Wicking-Odor-Resistant-Sweatband/dp/B0B68NYYM7/ref=sr_1_8?keywords=Klein+Tools+60502+Hard+Hat+Earmuffs%2C+Full+Brim+Style&amp;qid=1695174082&amp;sr=8-8</v>
      </c>
      <c r="F2603" t="s">
        <v>889</v>
      </c>
      <c r="G2603" t="e">
        <f ca="1">_xludf.IMAGE("https://edmondsonsupply.com/cdn/shop/products/60502.jpg?v=1674486730")</f>
        <v>#NAME?</v>
      </c>
      <c r="H2603" t="e">
        <f ca="1">_xludf.IMAGE("https://m.media-amazon.com/images/I/41IulVK0+jL._AC_UL320_.jpg")</f>
        <v>#NAME?</v>
      </c>
      <c r="I2603" t="s">
        <v>26</v>
      </c>
      <c r="J2603">
        <v>64.959999999999994</v>
      </c>
      <c r="K2603" s="4">
        <v>1.1660999999999999</v>
      </c>
      <c r="L2603">
        <v>4.5</v>
      </c>
      <c r="M2603">
        <v>15</v>
      </c>
      <c r="O2603" t="s">
        <v>25</v>
      </c>
      <c r="P2603" t="s">
        <v>562</v>
      </c>
      <c r="Q2603" t="s">
        <v>871</v>
      </c>
    </row>
    <row r="2604" spans="1:17" ht="15.5" x14ac:dyDescent="0.35">
      <c r="A2604"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2604" s="3" t="str">
        <f>HYPERLINK("https://edmondsonsupply.com/products/klein-tools-630-5-8-nut-driver-5-8-inch-4-inch-hollow-shaft", "https://edmondsonsupply.com/products/klein-tools-630-5-8-nut-driver-5-8-inch-4-inch-hollow-shaft")</f>
        <v>https://edmondsonsupply.com/products/klein-tools-630-5-8-nut-driver-5-8-inch-4-inch-hollow-shaft</v>
      </c>
      <c r="C2604" t="s">
        <v>6629</v>
      </c>
      <c r="D2604" t="s">
        <v>6630</v>
      </c>
      <c r="E2604" s="3" t="str">
        <f>HYPERLINK("https://www.amazon.com/Klein-Tools-646-5-8-INS-Insulated/dp/B000MKH632/ref=sr_1_4?keywords=Klein+Tools+630-5%2F8+Nut+Driver%2C+5%2F8-Inch%2C+4-Inch+Hollow+Shaft&amp;qid=1695174302&amp;sr=8-4", "https://www.amazon.com/Klein-Tools-646-5-8-INS-Insulated/dp/B000MKH632/ref=sr_1_4?keywords=Klein+Tools+630-5%2F8+Nut+Driver%2C+5%2F8-Inch%2C+4-Inch+Hollow+Shaft&amp;qid=1695174302&amp;sr=8-4")</f>
        <v>https://www.amazon.com/Klein-Tools-646-5-8-INS-Insulated/dp/B000MKH632/ref=sr_1_4?keywords=Klein+Tools+630-5%2F8+Nut+Driver%2C+5%2F8-Inch%2C+4-Inch+Hollow+Shaft&amp;qid=1695174302&amp;sr=8-4</v>
      </c>
      <c r="F2604" t="s">
        <v>6631</v>
      </c>
      <c r="G2604" t="e">
        <f ca="1">_xludf.IMAGE("https://edmondsonsupply.com/cdn/shop/products/630-1-2_df0ca74a-79e7-41f4-ad94-60312e01e692.jpg?v=1633031052")</f>
        <v>#NAME?</v>
      </c>
      <c r="H2604" t="e">
        <f ca="1">_xludf.IMAGE("https://m.media-amazon.com/images/I/41dKI+dlEDL._AC_UL320_.jpg")</f>
        <v>#NAME?</v>
      </c>
      <c r="I2604" t="s">
        <v>6632</v>
      </c>
      <c r="J2604">
        <v>26.99</v>
      </c>
      <c r="K2604" s="4">
        <v>1.1609</v>
      </c>
      <c r="L2604">
        <v>4.8</v>
      </c>
      <c r="M2604">
        <v>10</v>
      </c>
      <c r="O2604" t="s">
        <v>25</v>
      </c>
      <c r="P2604" t="s">
        <v>2328</v>
      </c>
      <c r="Q2604" t="s">
        <v>6633</v>
      </c>
    </row>
    <row r="2605" spans="1:17" ht="15.5" x14ac:dyDescent="0.35">
      <c r="A2605"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2605" s="3" t="str">
        <f>HYPERLINK("https://edmondsonsupply.com/products/klein-tools-630-5-8-nut-driver-5-8-inch-4-inch-hollow-shaft", "https://edmondsonsupply.com/products/klein-tools-630-5-8-nut-driver-5-8-inch-4-inch-hollow-shaft")</f>
        <v>https://edmondsonsupply.com/products/klein-tools-630-5-8-nut-driver-5-8-inch-4-inch-hollow-shaft</v>
      </c>
      <c r="C2605" t="s">
        <v>6629</v>
      </c>
      <c r="D2605" t="s">
        <v>6634</v>
      </c>
      <c r="E2605" s="3" t="str">
        <f>HYPERLINK("https://www.amazon.com/8-Inch-Cushion-Klein-Tools-640-5/dp/B00093D6YA/ref=sr_1_3?keywords=Klein+Tools+630-5%2F8+Nut+Driver%2C+5%2F8-Inch%2C+4-Inch+Hollow+Shaft&amp;qid=1695174302&amp;sr=8-3", "https://www.amazon.com/8-Inch-Cushion-Klein-Tools-640-5/dp/B00093D6YA/ref=sr_1_3?keywords=Klein+Tools+630-5%2F8+Nut+Driver%2C+5%2F8-Inch%2C+4-Inch+Hollow+Shaft&amp;qid=1695174302&amp;sr=8-3")</f>
        <v>https://www.amazon.com/8-Inch-Cushion-Klein-Tools-640-5/dp/B00093D6YA/ref=sr_1_3?keywords=Klein+Tools+630-5%2F8+Nut+Driver%2C+5%2F8-Inch%2C+4-Inch+Hollow+Shaft&amp;qid=1695174302&amp;sr=8-3</v>
      </c>
      <c r="F2605" t="s">
        <v>6635</v>
      </c>
      <c r="G2605" t="e">
        <f ca="1">_xludf.IMAGE("https://edmondsonsupply.com/cdn/shop/products/630-1-2_df0ca74a-79e7-41f4-ad94-60312e01e692.jpg?v=1633031052")</f>
        <v>#NAME?</v>
      </c>
      <c r="H2605" t="e">
        <f ca="1">_xludf.IMAGE("https://m.media-amazon.com/images/I/61gCORyBN2L._AC_UL320_.jpg")</f>
        <v>#NAME?</v>
      </c>
      <c r="I2605" t="s">
        <v>6632</v>
      </c>
      <c r="J2605">
        <v>26.99</v>
      </c>
      <c r="K2605" s="4">
        <v>1.1609</v>
      </c>
      <c r="L2605">
        <v>5</v>
      </c>
      <c r="M2605">
        <v>6</v>
      </c>
      <c r="O2605" t="s">
        <v>25</v>
      </c>
      <c r="P2605" t="s">
        <v>2328</v>
      </c>
      <c r="Q2605" t="s">
        <v>6633</v>
      </c>
    </row>
    <row r="2606" spans="1:17" ht="15.5" x14ac:dyDescent="0.35">
      <c r="A2606"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2606"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2606" t="s">
        <v>2344</v>
      </c>
      <c r="D2606" t="s">
        <v>2345</v>
      </c>
      <c r="E2606" s="3" t="str">
        <f>HYPERLINK("https://www.amazon.com/Klein-Tools-JTH6M3BE-Journeyman-T-Handle/dp/B0CGLYY7WP/ref=sr_1_4?keywords=Klein+Tools+JTH6E14+5%2F16-Inch+Hex+Key+with+Journeyman+T-Handle%2C+6-Inch&amp;qid=1695173855&amp;sr=8-4", "https://www.amazon.com/Klein-Tools-JTH6M3BE-Journeyman-T-Handle/dp/B0CGLYY7WP/ref=sr_1_4?keywords=Klein+Tools+JTH6E14+5%2F16-Inch+Hex+Key+with+Journeyman+T-Handle%2C+6-Inch&amp;qid=1695173855&amp;sr=8-4")</f>
        <v>https://www.amazon.com/Klein-Tools-JTH6M3BE-Journeyman-T-Handle/dp/B0CGLYY7WP/ref=sr_1_4?keywords=Klein+Tools+JTH6E14+5%2F16-Inch+Hex+Key+with+Journeyman+T-Handle%2C+6-Inch&amp;qid=1695173855&amp;sr=8-4</v>
      </c>
      <c r="F2606" t="s">
        <v>2346</v>
      </c>
      <c r="G2606" t="e">
        <f ca="1">_xludf.IMAGE("https://edmondsonsupply.com/cdn/shop/products/jth6e15.jpg?v=1587148489")</f>
        <v>#NAME?</v>
      </c>
      <c r="H2606" t="e">
        <f ca="1">_xludf.IMAGE("https://m.media-amazon.com/images/I/413sTNFMd7L._AC_UL320_.jpg")</f>
        <v>#NAME?</v>
      </c>
      <c r="I2606" t="s">
        <v>2347</v>
      </c>
      <c r="J2606">
        <v>15.1</v>
      </c>
      <c r="K2606" s="4">
        <v>1.1601999999999999</v>
      </c>
      <c r="L2606">
        <v>4.5999999999999996</v>
      </c>
      <c r="M2606">
        <v>184</v>
      </c>
      <c r="O2606" t="s">
        <v>25</v>
      </c>
      <c r="P2606" t="s">
        <v>1140</v>
      </c>
      <c r="Q2606" t="s">
        <v>2348</v>
      </c>
    </row>
    <row r="2607" spans="1:17" ht="15.5" x14ac:dyDescent="0.35">
      <c r="A2607" s="3" t="str">
        <f>HYPERLINK("https://edmondsonsupply.com/collections/electricians-tools/products/klein-tools-86600-1-4-inch-magnetic-hex-drivers-3-pack", "https://edmondsonsupply.com/collections/electricians-tools/products/klein-tools-86600-1-4-inch-magnetic-hex-drivers-3-pack")</f>
        <v>https://edmondsonsupply.com/collections/electricians-tools/products/klein-tools-86600-1-4-inch-magnetic-hex-drivers-3-pack</v>
      </c>
      <c r="B2607" s="3" t="str">
        <f>HYPERLINK("https://edmondsonsupply.com/products/klein-tools-86600-1-4-inch-magnetic-hex-drivers-3-pack", "https://edmondsonsupply.com/products/klein-tools-86600-1-4-inch-magnetic-hex-drivers-3-pack")</f>
        <v>https://edmondsonsupply.com/products/klein-tools-86600-1-4-inch-magnetic-hex-drivers-3-pack</v>
      </c>
      <c r="C2607" t="s">
        <v>5334</v>
      </c>
      <c r="D2607" t="s">
        <v>6621</v>
      </c>
      <c r="E2607" s="3" t="str">
        <f>HYPERLINK("https://www.amazon.com/16-Inch-Drivers-Klein-Tools-32768/dp/B09Q52LQ5G/ref=sr_1_5?keywords=Klein+Tools+86600+1%2F4-Inch+Magnetic+Hex+Drivers%2C+3-Pack&amp;qid=1695174220&amp;sr=8-5", "https://www.amazon.com/16-Inch-Drivers-Klein-Tools-32768/dp/B09Q52LQ5G/ref=sr_1_5?keywords=Klein+Tools+86600+1%2F4-Inch+Magnetic+Hex+Drivers%2C+3-Pack&amp;qid=1695174220&amp;sr=8-5")</f>
        <v>https://www.amazon.com/16-Inch-Drivers-Klein-Tools-32768/dp/B09Q52LQ5G/ref=sr_1_5?keywords=Klein+Tools+86600+1%2F4-Inch+Magnetic+Hex+Drivers%2C+3-Pack&amp;qid=1695174220&amp;sr=8-5</v>
      </c>
      <c r="F2607" t="s">
        <v>6622</v>
      </c>
      <c r="G2607" t="e">
        <f ca="1">_xludf.IMAGE("https://edmondsonsupply.com/cdn/shop/products/86600.png?v=1645569632")</f>
        <v>#NAME?</v>
      </c>
      <c r="H2607" t="e">
        <f ca="1">_xludf.IMAGE("https://m.media-amazon.com/images/I/51WsqEdVfRL._AC_UL320_.jpg")</f>
        <v>#NAME?</v>
      </c>
      <c r="I2607" t="s">
        <v>2347</v>
      </c>
      <c r="J2607">
        <v>14.99</v>
      </c>
      <c r="K2607" s="4">
        <v>1.1445000000000001</v>
      </c>
      <c r="L2607">
        <v>4.4000000000000004</v>
      </c>
      <c r="M2607">
        <v>1288</v>
      </c>
      <c r="O2607" t="s">
        <v>25</v>
      </c>
      <c r="P2607" t="s">
        <v>6193</v>
      </c>
      <c r="Q2607" t="s">
        <v>6636</v>
      </c>
    </row>
    <row r="2608" spans="1:17" ht="15.5" x14ac:dyDescent="0.35">
      <c r="A2608"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2608" s="3" t="str">
        <f>HYPERLINK("https://edmondsonsupply.com/products/klein-tools-69417-rare-earth-magnetic-meter-hanger", "https://edmondsonsupply.com/products/klein-tools-69417-rare-earth-magnetic-meter-hanger")</f>
        <v>https://edmondsonsupply.com/products/klein-tools-69417-rare-earth-magnetic-meter-hanger</v>
      </c>
      <c r="C2608" t="s">
        <v>1413</v>
      </c>
      <c r="D2608" t="s">
        <v>2356</v>
      </c>
      <c r="E2608" s="3" t="str">
        <f>HYPERLINK("https://www.amazon.com/Klein-Tools-Rare-Earth-Magnetic-Multimeter/dp/B0BGJ66GX4/ref=sr_1_4?keywords=Klein+Tools+69417+Rare+Earth+Magnetic+Meter+Hanger%2C+with+Strap&amp;qid=1695173948&amp;sr=8-4", "https://www.amazon.com/Klein-Tools-Rare-Earth-Magnetic-Multimeter/dp/B0BGJ66GX4/ref=sr_1_4?keywords=Klein+Tools+69417+Rare+Earth+Magnetic+Meter+Hanger%2C+with+Strap&amp;qid=1695173948&amp;sr=8-4")</f>
        <v>https://www.amazon.com/Klein-Tools-Rare-Earth-Magnetic-Multimeter/dp/B0BGJ66GX4/ref=sr_1_4?keywords=Klein+Tools+69417+Rare+Earth+Magnetic+Meter+Hanger%2C+with+Strap&amp;qid=1695173948&amp;sr=8-4</v>
      </c>
      <c r="F2608" t="s">
        <v>2357</v>
      </c>
      <c r="G2608" t="e">
        <f ca="1">_xludf.IMAGE("https://edmondsonsupply.com/cdn/shop/products/69417.jpg?v=1587150163")</f>
        <v>#NAME?</v>
      </c>
      <c r="H2608" t="e">
        <f ca="1">_xludf.IMAGE("https://m.media-amazon.com/images/I/51Em03gaEVL._AC_UL320_.jpg")</f>
        <v>#NAME?</v>
      </c>
      <c r="I2608" t="s">
        <v>288</v>
      </c>
      <c r="J2608">
        <v>29.99</v>
      </c>
      <c r="K2608" s="4">
        <v>1.1436999999999999</v>
      </c>
      <c r="L2608">
        <v>5</v>
      </c>
      <c r="M2608">
        <v>2</v>
      </c>
      <c r="O2608" t="s">
        <v>25</v>
      </c>
      <c r="P2608" t="s">
        <v>845</v>
      </c>
      <c r="Q2608" t="s">
        <v>1416</v>
      </c>
    </row>
    <row r="2609" spans="1:17" ht="15.5" x14ac:dyDescent="0.35">
      <c r="A2609" s="3" t="str">
        <f>HYPERLINK("https://edmondsonsupply.com/collections/electricians-tools/products/milwaukee-49-56-0072-1-3-8-hole-dozer%E2%84%A2-hole-saw-bi-metal-cup", "https://edmondsonsupply.com/collections/electricians-tools/products/milwaukee-49-56-0072-1-3-8-hole-dozer%E2%84%A2-hole-saw-bi-metal-cup")</f>
        <v>https://edmondsonsupply.com/collections/electricians-tools/products/milwaukee-49-56-0072-1-3-8-hole-dozer%E2%84%A2-hole-saw-bi-metal-cup</v>
      </c>
      <c r="B2609" s="3" t="str">
        <f>HYPERLINK("https://edmondsonsupply.com/products/milwaukee-49-56-0072-1-3-8-hole-dozer%e2%84%a2-hole-saw-bi-metal-cup", "https://edmondsonsupply.com/products/milwaukee-49-56-0072-1-3-8-hole-dozer%e2%84%a2-hole-saw-bi-metal-cup")</f>
        <v>https://edmondsonsupply.com/products/milwaukee-49-56-0072-1-3-8-hole-dozer%e2%84%a2-hole-saw-bi-metal-cup</v>
      </c>
      <c r="C2609" t="s">
        <v>6446</v>
      </c>
      <c r="D2609" t="s">
        <v>6637</v>
      </c>
      <c r="E2609" s="3" t="str">
        <f>HYPERLINK("https://www.amazon.com/Milwaukee-49-56-0426-Hole-Carbide-Pilot/dp/B004AGOTB6/ref=sr_1_5?keywords=Milwaukee+49-56-0072+1-3%2F8%22+HOLE+DOZER%E2%84%A2+Hole+Saw+Bi-Metal+Cup&amp;qid=1695174054&amp;sr=8-5", "https://www.amazon.com/Milwaukee-49-56-0426-Hole-Carbide-Pilot/dp/B004AGOTB6/ref=sr_1_5?keywords=Milwaukee+49-56-0072+1-3%2F8%22+HOLE+DOZER%E2%84%A2+Hole+Saw+Bi-Metal+Cup&amp;qid=1695174054&amp;sr=8-5")</f>
        <v>https://www.amazon.com/Milwaukee-49-56-0426-Hole-Carbide-Pilot/dp/B004AGOTB6/ref=sr_1_5?keywords=Milwaukee+49-56-0072+1-3%2F8%22+HOLE+DOZER%E2%84%A2+Hole+Saw+Bi-Metal+Cup&amp;qid=1695174054&amp;sr=8-5</v>
      </c>
      <c r="F2609" t="s">
        <v>6638</v>
      </c>
      <c r="G2609" t="e">
        <f ca="1">_xludf.IMAGE("https://edmondsonsupply.com/cdn/shop/products/49-56-0052_101_2_442dad6a-cfd3-4167-9bee-4c5b358f3b1a.webp?v=1679417936")</f>
        <v>#NAME?</v>
      </c>
      <c r="H2609" t="e">
        <f ca="1">_xludf.IMAGE("https://m.media-amazon.com/images/I/51HyOS36nPL._AC_UL320_.jpg")</f>
        <v>#NAME?</v>
      </c>
      <c r="I2609" t="s">
        <v>2347</v>
      </c>
      <c r="J2609">
        <v>14.95</v>
      </c>
      <c r="K2609" s="4">
        <v>1.1388</v>
      </c>
      <c r="L2609">
        <v>4</v>
      </c>
      <c r="M2609">
        <v>8</v>
      </c>
      <c r="O2609" t="s">
        <v>25</v>
      </c>
      <c r="P2609" t="s">
        <v>3464</v>
      </c>
      <c r="Q2609" t="s">
        <v>6449</v>
      </c>
    </row>
    <row r="2610" spans="1:17" ht="15.5" x14ac:dyDescent="0.35">
      <c r="A2610" s="3" t="str">
        <f>HYPERLINK("https://edmondsonsupply.com/collections/electricians-tools/products/klein-tools-86602-3-8-inch-magnetic-hex-drivers-3-pack", "https://edmondsonsupply.com/collections/electricians-tools/products/klein-tools-86602-3-8-inch-magnetic-hex-drivers-3-pack")</f>
        <v>https://edmondsonsupply.com/collections/electricians-tools/products/klein-tools-86602-3-8-inch-magnetic-hex-drivers-3-pack</v>
      </c>
      <c r="B2610" s="3" t="str">
        <f>HYPERLINK("https://edmondsonsupply.com/products/klein-tools-86602-3-8-inch-magnetic-hex-drivers-3-pack", "https://edmondsonsupply.com/products/klein-tools-86602-3-8-inch-magnetic-hex-drivers-3-pack")</f>
        <v>https://edmondsonsupply.com/products/klein-tools-86602-3-8-inch-magnetic-hex-drivers-3-pack</v>
      </c>
      <c r="C2610" t="s">
        <v>6192</v>
      </c>
      <c r="D2610" t="s">
        <v>6621</v>
      </c>
      <c r="E2610" s="3" t="str">
        <f>HYPERLINK("https://www.amazon.com/16-Inch-Drivers-Klein-Tools-32768/dp/B09Q52LQ5G/ref=sr_1_6?keywords=Klein+Tools+86602+3%2F8-Inch+Magnetic+Hex+Drivers%2C+3-Pack&amp;qid=1695174145&amp;sr=8-6", "https://www.amazon.com/16-Inch-Drivers-Klein-Tools-32768/dp/B09Q52LQ5G/ref=sr_1_6?keywords=Klein+Tools+86602+3%2F8-Inch+Magnetic+Hex+Drivers%2C+3-Pack&amp;qid=1695174145&amp;sr=8-6")</f>
        <v>https://www.amazon.com/16-Inch-Drivers-Klein-Tools-32768/dp/B09Q52LQ5G/ref=sr_1_6?keywords=Klein+Tools+86602+3%2F8-Inch+Magnetic+Hex+Drivers%2C+3-Pack&amp;qid=1695174145&amp;sr=8-6</v>
      </c>
      <c r="F2610" t="s">
        <v>6622</v>
      </c>
      <c r="G2610" t="e">
        <f ca="1">_xludf.IMAGE("https://edmondsonsupply.com/cdn/shop/products/86602.jpg?v=1664460860")</f>
        <v>#NAME?</v>
      </c>
      <c r="H2610" t="e">
        <f ca="1">_xludf.IMAGE("https://m.media-amazon.com/images/I/51WsqEdVfRL._AC_UL320_.jpg")</f>
        <v>#NAME?</v>
      </c>
      <c r="I2610" t="s">
        <v>2347</v>
      </c>
      <c r="J2610">
        <v>14.95</v>
      </c>
      <c r="K2610" s="4">
        <v>1.1388</v>
      </c>
      <c r="L2610">
        <v>4.4000000000000004</v>
      </c>
      <c r="M2610">
        <v>1288</v>
      </c>
      <c r="O2610" t="s">
        <v>25</v>
      </c>
      <c r="P2610" t="s">
        <v>6193</v>
      </c>
      <c r="Q2610" t="s">
        <v>6194</v>
      </c>
    </row>
    <row r="2611" spans="1:17" ht="15.5" x14ac:dyDescent="0.35">
      <c r="A2611"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2611"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2611" t="s">
        <v>2344</v>
      </c>
      <c r="D2611" t="s">
        <v>2368</v>
      </c>
      <c r="E2611" s="3" t="str">
        <f>HYPERLINK("https://www.amazon.com/Klein-Tools-JTH9E14-Journeyman-T-Handle/dp/B0CF2VDSX2/ref=sr_1_5?keywords=Klein+Tools+JTH6E14+5%2F16-Inch+Hex+Key+with+Journeyman+T-Handle%2C+6-Inch&amp;qid=1695173855&amp;sr=8-5", "https://www.amazon.com/Klein-Tools-JTH9E14-Journeyman-T-Handle/dp/B0CF2VDSX2/ref=sr_1_5?keywords=Klein+Tools+JTH6E14+5%2F16-Inch+Hex+Key+with+Journeyman+T-Handle%2C+6-Inch&amp;qid=1695173855&amp;sr=8-5")</f>
        <v>https://www.amazon.com/Klein-Tools-JTH9E14-Journeyman-T-Handle/dp/B0CF2VDSX2/ref=sr_1_5?keywords=Klein+Tools+JTH6E14+5%2F16-Inch+Hex+Key+with+Journeyman+T-Handle%2C+6-Inch&amp;qid=1695173855&amp;sr=8-5</v>
      </c>
      <c r="F2611" t="s">
        <v>2369</v>
      </c>
      <c r="G2611" t="e">
        <f ca="1">_xludf.IMAGE("https://edmondsonsupply.com/cdn/shop/products/jth6e15.jpg?v=1587148489")</f>
        <v>#NAME?</v>
      </c>
      <c r="H2611" t="e">
        <f ca="1">_xludf.IMAGE("https://m.media-amazon.com/images/I/317IAARii7L._AC_UL320_.jpg")</f>
        <v>#NAME?</v>
      </c>
      <c r="I2611" t="s">
        <v>2347</v>
      </c>
      <c r="J2611">
        <v>14.88</v>
      </c>
      <c r="K2611" s="4">
        <v>1.1288</v>
      </c>
      <c r="L2611">
        <v>4.5999999999999996</v>
      </c>
      <c r="M2611">
        <v>393</v>
      </c>
      <c r="O2611" t="s">
        <v>25</v>
      </c>
      <c r="P2611" t="s">
        <v>1140</v>
      </c>
      <c r="Q2611" t="s">
        <v>2348</v>
      </c>
    </row>
    <row r="2612" spans="1:17" ht="15.5" x14ac:dyDescent="0.35">
      <c r="A2612"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612" s="3" t="str">
        <f>HYPERLINK("https://edmondsonsupply.com/products/klein-tools-32305-15-in-1-multi-bit-ratcheting-screwdriver", "https://edmondsonsupply.com/products/klein-tools-32305-15-in-1-multi-bit-ratcheting-screwdriver")</f>
        <v>https://edmondsonsupply.com/products/klein-tools-32305-15-in-1-multi-bit-ratcheting-screwdriver</v>
      </c>
      <c r="C2612" t="s">
        <v>6262</v>
      </c>
      <c r="D2612" t="s">
        <v>6639</v>
      </c>
      <c r="E2612" s="3" t="str">
        <f>HYPERLINK("https://www.amazon.com/Screwdriver-Adjustable-Multi-bit-Ratcheting-Phillips/dp/B0BRM1659C/ref=sr_1_10?keywords=Klein+Tools+32305+15-in-1+Multi-Bit+Ratcheting+Screwdriver&amp;qid=1695174215&amp;sr=8-10", "https://www.amazon.com/Screwdriver-Adjustable-Multi-bit-Ratcheting-Phillips/dp/B0BRM1659C/ref=sr_1_10?keywords=Klein+Tools+32305+15-in-1+Multi-Bit+Ratcheting+Screwdriver&amp;qid=1695174215&amp;sr=8-10")</f>
        <v>https://www.amazon.com/Screwdriver-Adjustable-Multi-bit-Ratcheting-Phillips/dp/B0BRM1659C/ref=sr_1_10?keywords=Klein+Tools+32305+15-in-1+Multi-Bit+Ratcheting+Screwdriver&amp;qid=1695174215&amp;sr=8-10</v>
      </c>
      <c r="F2612" t="s">
        <v>6640</v>
      </c>
      <c r="G2612" t="e">
        <f ca="1">_xludf.IMAGE("https://edmondsonsupply.com/cdn/shop/products/32305.jpg?v=1646965475")</f>
        <v>#NAME?</v>
      </c>
      <c r="H2612" t="e">
        <f ca="1">_xludf.IMAGE("https://m.media-amazon.com/images/I/41majwJr+TL._AC_UL320_.jpg")</f>
        <v>#NAME?</v>
      </c>
      <c r="I2612" t="s">
        <v>2247</v>
      </c>
      <c r="J2612">
        <v>46.74</v>
      </c>
      <c r="K2612" s="4">
        <v>1.1274</v>
      </c>
      <c r="L2612">
        <v>5</v>
      </c>
      <c r="M2612">
        <v>1</v>
      </c>
      <c r="O2612" t="s">
        <v>25</v>
      </c>
      <c r="P2612" t="s">
        <v>6200</v>
      </c>
      <c r="Q2612" t="s">
        <v>6265</v>
      </c>
    </row>
    <row r="2613" spans="1:17" ht="15.5" x14ac:dyDescent="0.35">
      <c r="A2613"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2613"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2613" t="s">
        <v>6439</v>
      </c>
      <c r="D2613" t="s">
        <v>6641</v>
      </c>
      <c r="E2613" s="3" t="str">
        <f>HYPERLINK("https://www.amazon.com/Malco-Reversible-16-Inch-Drivers-Lengths/dp/B0CB15L9TC/ref=sr_1_1?keywords=Klein+Tools+32768+3-in-1+Impact+Flip+Socket+Set%2C+1%2F4-Inch%2C+5%2F16-Inch%2C+2-Piece&amp;qid=1695174135&amp;sr=8-1", "https://www.amazon.com/Malco-Reversible-16-Inch-Drivers-Lengths/dp/B0CB15L9TC/ref=sr_1_1?keywords=Klein+Tools+32768+3-in-1+Impact+Flip+Socket+Set%2C+1%2F4-Inch%2C+5%2F16-Inch%2C+2-Piece&amp;qid=1695174135&amp;sr=8-1")</f>
        <v>https://www.amazon.com/Malco-Reversible-16-Inch-Drivers-Lengths/dp/B0CB15L9TC/ref=sr_1_1?keywords=Klein+Tools+32768+3-in-1+Impact+Flip+Socket+Set%2C+1%2F4-Inch%2C+5%2F16-Inch%2C+2-Piece&amp;qid=1695174135&amp;sr=8-1</v>
      </c>
      <c r="F2613" t="s">
        <v>6642</v>
      </c>
      <c r="G2613" t="e">
        <f ca="1">_xludf.IMAGE("https://edmondsonsupply.com/cdn/shop/products/32768.jpg?v=1666022946")</f>
        <v>#NAME?</v>
      </c>
      <c r="H2613" t="e">
        <f ca="1">_xludf.IMAGE("https://m.media-amazon.com/images/I/51HxE5o0OlL._AC_UL320_.jpg")</f>
        <v>#NAME?</v>
      </c>
      <c r="I2613" t="s">
        <v>2784</v>
      </c>
      <c r="J2613">
        <v>31.84</v>
      </c>
      <c r="K2613" s="4">
        <v>1.1269</v>
      </c>
      <c r="L2613">
        <v>4.8</v>
      </c>
      <c r="M2613">
        <v>1803</v>
      </c>
      <c r="O2613" t="s">
        <v>25</v>
      </c>
      <c r="P2613" t="s">
        <v>854</v>
      </c>
      <c r="Q2613" t="s">
        <v>6442</v>
      </c>
    </row>
    <row r="2614" spans="1:17" ht="15.5" x14ac:dyDescent="0.35">
      <c r="A2614"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2614" s="3" t="str">
        <f>HYPERLINK("https://edmondsonsupply.com/products/klein-tools-rt110-receptacle-tester", "https://edmondsonsupply.com/products/klein-tools-rt110-receptacle-tester")</f>
        <v>https://edmondsonsupply.com/products/klein-tools-rt110-receptacle-tester</v>
      </c>
      <c r="C2614" t="s">
        <v>6021</v>
      </c>
      <c r="D2614" t="s">
        <v>6643</v>
      </c>
      <c r="E2614" s="3" t="str">
        <f>HYPERLINK("https://www.amazon.com/Receptacle-Electrical-Klein-Tools-RT250/dp/B08QW7K1JJ/ref=sr_1_5?keywords=Klein+Tools+RT110+Receptacle+Tester&amp;qid=1695174267&amp;sr=8-5", "https://www.amazon.com/Receptacle-Electrical-Klein-Tools-RT250/dp/B08QW7K1JJ/ref=sr_1_5?keywords=Klein+Tools+RT110+Receptacle+Tester&amp;qid=1695174267&amp;sr=8-5")</f>
        <v>https://www.amazon.com/Receptacle-Electrical-Klein-Tools-RT250/dp/B08QW7K1JJ/ref=sr_1_5?keywords=Klein+Tools+RT110+Receptacle+Tester&amp;qid=1695174267&amp;sr=8-5</v>
      </c>
      <c r="F2614" t="s">
        <v>6644</v>
      </c>
      <c r="G2614" t="e">
        <f ca="1">_xludf.IMAGE("https://edmondsonsupply.com/cdn/shop/products/rt110.jpg?v=1633031036")</f>
        <v>#NAME?</v>
      </c>
      <c r="H2614" t="e">
        <f ca="1">_xludf.IMAGE("https://m.media-amazon.com/images/I/61j28ynJ7bL._AC_UL320_.jpg")</f>
        <v>#NAME?</v>
      </c>
      <c r="I2614" t="s">
        <v>1427</v>
      </c>
      <c r="J2614">
        <v>21.17</v>
      </c>
      <c r="K2614" s="4">
        <v>1.1234</v>
      </c>
      <c r="L2614">
        <v>4.8</v>
      </c>
      <c r="M2614">
        <v>7966</v>
      </c>
      <c r="O2614" t="s">
        <v>25</v>
      </c>
      <c r="P2614" t="s">
        <v>6024</v>
      </c>
      <c r="Q2614" t="s">
        <v>6025</v>
      </c>
    </row>
    <row r="2615" spans="1:17" ht="15.5" x14ac:dyDescent="0.35">
      <c r="A2615"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2615"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2615" t="s">
        <v>6355</v>
      </c>
      <c r="D2615" t="s">
        <v>2386</v>
      </c>
      <c r="E2615" s="3" t="str">
        <f>HYPERLINK("https://www.amazon.com/Journeyman-T-Handle-Klein-Tools-JTH6E13BE/dp/B004QW52YW/ref=sr_1_4?keywords=Klein+Tools+JTH6E06BE+3%2F32-Inch+Ball+End+Hex+Key+with+T-Handle%2C+6-Inch&amp;qid=1695174255&amp;sr=8-4", "https://www.amazon.com/Journeyman-T-Handle-Klein-Tools-JTH6E13BE/dp/B004QW52YW/ref=sr_1_4?keywords=Klein+Tools+JTH6E06BE+3%2F32-Inch+Ball+End+Hex+Key+with+T-Handle%2C+6-Inch&amp;qid=1695174255&amp;sr=8-4")</f>
        <v>https://www.amazon.com/Journeyman-T-Handle-Klein-Tools-JTH6E13BE/dp/B004QW52YW/ref=sr_1_4?keywords=Klein+Tools+JTH6E06BE+3%2F32-Inch+Ball+End+Hex+Key+with+T-Handle%2C+6-Inch&amp;qid=1695174255&amp;sr=8-4</v>
      </c>
      <c r="F2615" t="s">
        <v>2387</v>
      </c>
      <c r="G2615" t="e">
        <f ca="1">_xludf.IMAGE("https://edmondsonsupply.com/cdn/shop/products/jth6e13be_f61308c8-99eb-44df-aac2-25c9159d6b6d.jpg?v=1633031148")</f>
        <v>#NAME?</v>
      </c>
      <c r="H2615" t="e">
        <f ca="1">_xludf.IMAGE("https://m.media-amazon.com/images/I/51f9vBFVXgL._AC_UL320_.jpg")</f>
        <v>#NAME?</v>
      </c>
      <c r="I2615" t="s">
        <v>2388</v>
      </c>
      <c r="J2615">
        <v>10.55</v>
      </c>
      <c r="K2615" s="4">
        <v>1.1142000000000001</v>
      </c>
      <c r="L2615">
        <v>4.7</v>
      </c>
      <c r="M2615">
        <v>32</v>
      </c>
      <c r="O2615" t="s">
        <v>25</v>
      </c>
      <c r="P2615" t="s">
        <v>6356</v>
      </c>
      <c r="Q2615" t="s">
        <v>6357</v>
      </c>
    </row>
    <row r="2616" spans="1:17" ht="15.5" x14ac:dyDescent="0.35">
      <c r="A2616"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2616"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2616" t="s">
        <v>6358</v>
      </c>
      <c r="D2616" t="s">
        <v>2386</v>
      </c>
      <c r="E2616" s="3" t="str">
        <f>HYPERLINK("https://www.amazon.com/Journeyman-T-Handle-Klein-Tools-JTH6E13BE/dp/B004QW52YW/ref=sr_1_3?keywords=Klein+Tools+JTH6M3BE+3+mm+Ball+Hex+Key+Journeyman+T-Handle+6-Inch&amp;qid=1695174181&amp;sr=8-3", "https://www.amazon.com/Journeyman-T-Handle-Klein-Tools-JTH6E13BE/dp/B004QW52YW/ref=sr_1_3?keywords=Klein+Tools+JTH6M3BE+3+mm+Ball+Hex+Key+Journeyman+T-Handle+6-Inch&amp;qid=1695174181&amp;sr=8-3")</f>
        <v>https://www.amazon.com/Journeyman-T-Handle-Klein-Tools-JTH6E13BE/dp/B004QW52YW/ref=sr_1_3?keywords=Klein+Tools+JTH6M3BE+3+mm+Ball+Hex+Key+Journeyman+T-Handle+6-Inch&amp;qid=1695174181&amp;sr=8-3</v>
      </c>
      <c r="F2616" t="s">
        <v>2387</v>
      </c>
      <c r="G2616" t="e">
        <f ca="1">_xludf.IMAGE("https://edmondsonsupply.com/cdn/shop/products/jth6m8be_1b0aeba1-6d03-4a46-99d8-f6853368c71f.jpg?v=1655941616")</f>
        <v>#NAME?</v>
      </c>
      <c r="H2616" t="e">
        <f ca="1">_xludf.IMAGE("https://m.media-amazon.com/images/I/51f9vBFVXgL._AC_UL320_.jpg")</f>
        <v>#NAME?</v>
      </c>
      <c r="I2616" t="s">
        <v>2388</v>
      </c>
      <c r="J2616">
        <v>10.55</v>
      </c>
      <c r="K2616" s="4">
        <v>1.1142000000000001</v>
      </c>
      <c r="L2616">
        <v>4.7</v>
      </c>
      <c r="M2616">
        <v>32</v>
      </c>
      <c r="O2616" t="s">
        <v>25</v>
      </c>
      <c r="P2616" t="s">
        <v>2392</v>
      </c>
      <c r="Q2616" t="s">
        <v>6359</v>
      </c>
    </row>
    <row r="2617" spans="1:17" ht="15.5" x14ac:dyDescent="0.35">
      <c r="A2617"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2617" s="3" t="str">
        <f>HYPERLINK("https://edmondsonsupply.com/products/klein-tools-jth4e17-1-2-inch-hex-key-journeyman-t-handle-4-inch", "https://edmondsonsupply.com/products/klein-tools-jth4e17-1-2-inch-hex-key-journeyman-t-handle-4-inch")</f>
        <v>https://edmondsonsupply.com/products/klein-tools-jth4e17-1-2-inch-hex-key-journeyman-t-handle-4-inch</v>
      </c>
      <c r="C2617" t="s">
        <v>2385</v>
      </c>
      <c r="D2617" t="s">
        <v>2386</v>
      </c>
      <c r="E2617" s="3" t="str">
        <f>HYPERLINK("https://www.amazon.com/Journeyman-T-Handle-Klein-Tools-JTH6E13BE/dp/B004QW52YW/ref=sr_1_6?keywords=Klein+Tools+JTH4E11+3%2F16-Inch+Hex+Key+with+Journeyman+T-Handle%2C+4-Inch&amp;qid=1695173897&amp;sr=8-6", "https://www.amazon.com/Journeyman-T-Handle-Klein-Tools-JTH6E13BE/dp/B004QW52YW/ref=sr_1_6?keywords=Klein+Tools+JTH4E11+3%2F16-Inch+Hex+Key+with+Journeyman+T-Handle%2C+4-Inch&amp;qid=1695173897&amp;sr=8-6")</f>
        <v>https://www.amazon.com/Journeyman-T-Handle-Klein-Tools-JTH6E13BE/dp/B004QW52YW/ref=sr_1_6?keywords=Klein+Tools+JTH4E11+3%2F16-Inch+Hex+Key+with+Journeyman+T-Handle%2C+4-Inch&amp;qid=1695173897&amp;sr=8-6</v>
      </c>
      <c r="F2617" t="s">
        <v>2387</v>
      </c>
      <c r="G2617" t="e">
        <f ca="1">_xludf.IMAGE("https://edmondsonsupply.com/cdn/shop/products/jth4e17.jpg?v=1587144836")</f>
        <v>#NAME?</v>
      </c>
      <c r="H2617" t="e">
        <f ca="1">_xludf.IMAGE("https://m.media-amazon.com/images/I/51f9vBFVXgL._AC_UL320_.jpg")</f>
        <v>#NAME?</v>
      </c>
      <c r="I2617" t="s">
        <v>2388</v>
      </c>
      <c r="J2617">
        <v>10.55</v>
      </c>
      <c r="K2617" s="4">
        <v>1.1142000000000001</v>
      </c>
      <c r="L2617">
        <v>4.7</v>
      </c>
      <c r="M2617">
        <v>32</v>
      </c>
      <c r="O2617" t="s">
        <v>25</v>
      </c>
      <c r="P2617" t="s">
        <v>2389</v>
      </c>
      <c r="Q2617" t="s">
        <v>2390</v>
      </c>
    </row>
    <row r="2618" spans="1:17" ht="15.5" x14ac:dyDescent="0.35">
      <c r="A2618"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2618"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2618" t="s">
        <v>2391</v>
      </c>
      <c r="D2618" t="s">
        <v>2386</v>
      </c>
      <c r="E2618" s="3" t="str">
        <f>HYPERLINK("https://www.amazon.com/Journeyman-T-Handle-Klein-Tools-JTH6E13BE/dp/B004QW52YW/ref=sr_1_2?keywords=Klein+Tools+JTH6E11+3%2F16-Inch+Hex+Key%2C+Journeyman+T-Handle%2C+6-Inch&amp;qid=1695173898&amp;sr=8-2", "https://www.amazon.com/Journeyman-T-Handle-Klein-Tools-JTH6E13BE/dp/B004QW52YW/ref=sr_1_2?keywords=Klein+Tools+JTH6E11+3%2F16-Inch+Hex+Key%2C+Journeyman+T-Handle%2C+6-Inch&amp;qid=1695173898&amp;sr=8-2")</f>
        <v>https://www.amazon.com/Journeyman-T-Handle-Klein-Tools-JTH6E13BE/dp/B004QW52YW/ref=sr_1_2?keywords=Klein+Tools+JTH6E11+3%2F16-Inch+Hex+Key%2C+Journeyman+T-Handle%2C+6-Inch&amp;qid=1695173898&amp;sr=8-2</v>
      </c>
      <c r="F2618" t="s">
        <v>2387</v>
      </c>
      <c r="G2618" t="e">
        <f ca="1">_xludf.IMAGE("https://edmondsonsupply.com/cdn/shop/products/jth6e15_0266106d-0a3b-44ba-997b-66db7749d83f.jpg?v=1587144829")</f>
        <v>#NAME?</v>
      </c>
      <c r="H2618" t="e">
        <f ca="1">_xludf.IMAGE("https://m.media-amazon.com/images/I/51f9vBFVXgL._AC_UL320_.jpg")</f>
        <v>#NAME?</v>
      </c>
      <c r="I2618" t="s">
        <v>2388</v>
      </c>
      <c r="J2618">
        <v>10.55</v>
      </c>
      <c r="K2618" s="4">
        <v>1.1142000000000001</v>
      </c>
      <c r="L2618">
        <v>4.7</v>
      </c>
      <c r="M2618">
        <v>32</v>
      </c>
      <c r="O2618" t="s">
        <v>25</v>
      </c>
      <c r="P2618" t="s">
        <v>2392</v>
      </c>
      <c r="Q2618" t="s">
        <v>2393</v>
      </c>
    </row>
    <row r="2619" spans="1:17" ht="15.5" x14ac:dyDescent="0.35">
      <c r="A2619" s="3" t="str">
        <f>HYPERLINK("https://edmondsonsupply.com/collections/electricians-tools/products/greenlee-gsb01-1-2-step-bit-1", "https://edmondsonsupply.com/collections/electricians-tools/products/greenlee-gsb01-1-2-step-bit-1")</f>
        <v>https://edmondsonsupply.com/collections/electricians-tools/products/greenlee-gsb01-1-2-step-bit-1</v>
      </c>
      <c r="B2619" s="3" t="str">
        <f>HYPERLINK("https://edmondsonsupply.com/products/greenlee-gsb01-1-2-step-bit-1", "https://edmondsonsupply.com/products/greenlee-gsb01-1-2-step-bit-1")</f>
        <v>https://edmondsonsupply.com/products/greenlee-gsb01-1-2-step-bit-1</v>
      </c>
      <c r="C2619" t="s">
        <v>2319</v>
      </c>
      <c r="D2619" t="s">
        <v>2320</v>
      </c>
      <c r="E2619" s="3" t="str">
        <f>HYPERLINK("https://www.amazon.com/Greenlee-Patented-Split-Step-Design-Cutting/dp/B08TVGF4MS/ref=sr_1_5?keywords=Greenlee+GSB01+1%2F2%22+Step+Bit+%28%231%29&amp;qid=1695173990&amp;sr=8-5", "https://www.amazon.com/Greenlee-Patented-Split-Step-Design-Cutting/dp/B08TVGF4MS/ref=sr_1_5?keywords=Greenlee+GSB01+1%2F2%22+Step+Bit+%28%231%29&amp;qid=1695173990&amp;sr=8-5")</f>
        <v>https://www.amazon.com/Greenlee-Patented-Split-Step-Design-Cutting/dp/B08TVGF4MS/ref=sr_1_5?keywords=Greenlee+GSB01+1%2F2%22+Step+Bit+%28%231%29&amp;qid=1695173990&amp;sr=8-5</v>
      </c>
      <c r="F2619" t="s">
        <v>2321</v>
      </c>
      <c r="G2619" t="e">
        <f ca="1">_xludf.IMAGE("https://edmondsonsupply.com/cdn/shop/files/GSB01_CAT1_72dpi_1.jpg?v=1687790366")</f>
        <v>#NAME?</v>
      </c>
      <c r="H2619" t="e">
        <f ca="1">_xludf.IMAGE("https://m.media-amazon.com/images/I/41J5YEXJLpL._AC_UY218_.jpg")</f>
        <v>#NAME?</v>
      </c>
      <c r="I2619" t="s">
        <v>2322</v>
      </c>
      <c r="J2619">
        <v>65.81</v>
      </c>
      <c r="K2619" s="4">
        <v>1.1079000000000001</v>
      </c>
      <c r="L2619">
        <v>3.8</v>
      </c>
      <c r="M2619">
        <v>5</v>
      </c>
      <c r="O2619" t="s">
        <v>25</v>
      </c>
      <c r="P2619" t="s">
        <v>138</v>
      </c>
      <c r="Q2619" t="s">
        <v>2323</v>
      </c>
    </row>
    <row r="2620" spans="1:17" ht="15.5" x14ac:dyDescent="0.35">
      <c r="A2620"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2620"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2620" t="s">
        <v>6276</v>
      </c>
      <c r="D2620" t="s">
        <v>6645</v>
      </c>
      <c r="E2620" s="3" t="str">
        <f>HYPERLINK("https://www.amazon.com/Klein-Tools-JTH9M25-Journeyman-T-Handle/dp/B0CFXPBXYK/ref=sr_1_9?keywords=Klein+Tools+JTH9E13+1%2F4-Inch+Hex+Key+with+Journeyman+T-Handle%2C+9-Inch&amp;qid=1695174307&amp;sr=8-9", "https://www.amazon.com/Klein-Tools-JTH9M25-Journeyman-T-Handle/dp/B0CFXPBXYK/ref=sr_1_9?keywords=Klein+Tools+JTH9E13+1%2F4-Inch+Hex+Key+with+Journeyman+T-Handle%2C+9-Inch&amp;qid=1695174307&amp;sr=8-9")</f>
        <v>https://www.amazon.com/Klein-Tools-JTH9M25-Journeyman-T-Handle/dp/B0CFXPBXYK/ref=sr_1_9?keywords=Klein+Tools+JTH9E13+1%2F4-Inch+Hex+Key+with+Journeyman+T-Handle%2C+9-Inch&amp;qid=1695174307&amp;sr=8-9</v>
      </c>
      <c r="F2620" t="s">
        <v>6646</v>
      </c>
      <c r="G2620" t="e">
        <f ca="1">_xludf.IMAGE("https://edmondsonsupply.com/cdn/shop/products/jth9e12_7dcdbf9a-5acd-4824-8919-6aeb4a790072.jpg?v=1604060723")</f>
        <v>#NAME?</v>
      </c>
      <c r="H2620" t="e">
        <f ca="1">_xludf.IMAGE("https://m.media-amazon.com/images/I/41QPzTKY+AL._AC_UL320_.jpg")</f>
        <v>#NAME?</v>
      </c>
      <c r="I2620" t="s">
        <v>4617</v>
      </c>
      <c r="J2620">
        <v>13.68</v>
      </c>
      <c r="K2620" s="4">
        <v>1.1079000000000001</v>
      </c>
      <c r="L2620">
        <v>4.2</v>
      </c>
      <c r="M2620">
        <v>14</v>
      </c>
      <c r="O2620" t="s">
        <v>25</v>
      </c>
      <c r="P2620" t="s">
        <v>6277</v>
      </c>
      <c r="Q2620" t="s">
        <v>6278</v>
      </c>
    </row>
    <row r="2621" spans="1:17" ht="15.5" x14ac:dyDescent="0.35">
      <c r="A2621"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2621" s="3" t="str">
        <f>HYPERLINK("https://edmondsonsupply.com/products/klein-tools-32907-7-in-1-impact-flip-socket-set-no-handle", "https://edmondsonsupply.com/products/klein-tools-32907-7-in-1-impact-flip-socket-set-no-handle")</f>
        <v>https://edmondsonsupply.com/products/klein-tools-32907-7-in-1-impact-flip-socket-set-no-handle</v>
      </c>
      <c r="C2621" t="s">
        <v>1833</v>
      </c>
      <c r="D2621" t="s">
        <v>2403</v>
      </c>
      <c r="E2621" s="3" t="str">
        <f>HYPERLINK("https://www.amazon.com/Klein-Tools-Screwdriver-Multi-bit-Stubby/dp/B0CF2F1JXG/ref=sr_1_3?keywords=Klein+Tools+32907+7-in-1+Impact+Flip+Socket+Set%2C+No+Handle&amp;qid=1695173886&amp;sr=8-3", "https://www.amazon.com/Klein-Tools-Screwdriver-Multi-bit-Stubby/dp/B0CF2F1JXG/ref=sr_1_3?keywords=Klein+Tools+32907+7-in-1+Impact+Flip+Socket+Set%2C+No+Handle&amp;qid=1695173886&amp;sr=8-3")</f>
        <v>https://www.amazon.com/Klein-Tools-Screwdriver-Multi-bit-Stubby/dp/B0CF2F1JXG/ref=sr_1_3?keywords=Klein+Tools+32907+7-in-1+Impact+Flip+Socket+Set%2C+No+Handle&amp;qid=1695173886&amp;sr=8-3</v>
      </c>
      <c r="F2621" t="s">
        <v>2404</v>
      </c>
      <c r="G2621" t="e">
        <f ca="1">_xludf.IMAGE("https://edmondsonsupply.com/cdn/shop/products/32907_b.jpg?v=1666025282")</f>
        <v>#NAME?</v>
      </c>
      <c r="H2621" t="e">
        <f ca="1">_xludf.IMAGE("https://m.media-amazon.com/images/I/41r3ulT1BkL._AC_UL320_.jpg")</f>
        <v>#NAME?</v>
      </c>
      <c r="I2621" t="s">
        <v>577</v>
      </c>
      <c r="J2621">
        <v>41.98</v>
      </c>
      <c r="K2621" s="4">
        <v>1.1001000000000001</v>
      </c>
      <c r="L2621">
        <v>4.8</v>
      </c>
      <c r="M2621">
        <v>13277</v>
      </c>
      <c r="O2621" t="s">
        <v>25</v>
      </c>
      <c r="P2621" t="s">
        <v>1836</v>
      </c>
      <c r="Q2621" t="s">
        <v>1837</v>
      </c>
    </row>
    <row r="2622" spans="1:17" ht="15.5" x14ac:dyDescent="0.35">
      <c r="A2622"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2622" s="3" t="str">
        <f>HYPERLINK("https://edmondsonsupply.com/products/klein-tools-vdv526-200-lan-scout-%c2%ae-jr-2-cable-tester", "https://edmondsonsupply.com/products/klein-tools-vdv526-200-lan-scout-%c2%ae-jr-2-cable-tester")</f>
        <v>https://edmondsonsupply.com/products/klein-tools-vdv526-200-lan-scout-%c2%ae-jr-2-cable-tester</v>
      </c>
      <c r="C2622" t="s">
        <v>6500</v>
      </c>
      <c r="D2622" t="s">
        <v>6647</v>
      </c>
      <c r="E2622" s="3" t="str">
        <f>HYPERLINK("https://www.amazon.com/Klein-Tools-VDV526-200-Racheting-Installation/dp/B09T6ZR6BP/ref=sr_1_4?keywords=Klein+Tools+VDV526-200+LAN+Scout+%C2%AE+Jr.+2+Cable+Tester&amp;qid=1695174153&amp;sr=8-4", "https://www.amazon.com/Klein-Tools-VDV526-200-Racheting-Installation/dp/B09T6ZR6BP/ref=sr_1_4?keywords=Klein+Tools+VDV526-200+LAN+Scout+%C2%AE+Jr.+2+Cable+Tester&amp;qid=1695174153&amp;sr=8-4")</f>
        <v>https://www.amazon.com/Klein-Tools-VDV526-200-Racheting-Installation/dp/B09T6ZR6BP/ref=sr_1_4?keywords=Klein+Tools+VDV526-200+LAN+Scout+%C2%AE+Jr.+2+Cable+Tester&amp;qid=1695174153&amp;sr=8-4</v>
      </c>
      <c r="F2622" t="s">
        <v>6648</v>
      </c>
      <c r="G2622" t="e">
        <f ca="1">_xludf.IMAGE("https://edmondsonsupply.com/cdn/shop/products/vdv526200.jpg?v=1663689949")</f>
        <v>#NAME?</v>
      </c>
      <c r="H2622" t="e">
        <f ca="1">_xludf.IMAGE("https://m.media-amazon.com/images/I/51KxuoR6hnL._AC_UY218_.jpg")</f>
        <v>#NAME?</v>
      </c>
      <c r="I2622" t="s">
        <v>3359</v>
      </c>
      <c r="J2622">
        <v>114.96</v>
      </c>
      <c r="K2622" s="4">
        <v>1.0912999999999999</v>
      </c>
      <c r="L2622">
        <v>5</v>
      </c>
      <c r="M2622">
        <v>7</v>
      </c>
      <c r="O2622" t="s">
        <v>25</v>
      </c>
      <c r="P2622" t="s">
        <v>6503</v>
      </c>
      <c r="Q2622" t="s">
        <v>6504</v>
      </c>
    </row>
    <row r="2623" spans="1:17" ht="15.5" x14ac:dyDescent="0.35">
      <c r="A2623" s="3" t="str">
        <f>HYPERLINK("https://edmondsonsupply.com/collections/electricians-tools/products/klein-tools-50031-ratcheting-pvc-cutter", "https://edmondsonsupply.com/collections/electricians-tools/products/klein-tools-50031-ratcheting-pvc-cutter")</f>
        <v>https://edmondsonsupply.com/collections/electricians-tools/products/klein-tools-50031-ratcheting-pvc-cutter</v>
      </c>
      <c r="B2623" s="3" t="str">
        <f>HYPERLINK("https://edmondsonsupply.com/products/klein-tools-50031-ratcheting-pvc-cutter", "https://edmondsonsupply.com/products/klein-tools-50031-ratcheting-pvc-cutter")</f>
        <v>https://edmondsonsupply.com/products/klein-tools-50031-ratcheting-pvc-cutter</v>
      </c>
      <c r="C2623" t="s">
        <v>6649</v>
      </c>
      <c r="D2623" t="s">
        <v>6650</v>
      </c>
      <c r="E2623" s="3" t="str">
        <f>HYPERLINK("https://www.amazon.com/Capacity-Ratcheting-Klein-Tools-50034/dp/B019875KC8/ref=sr_1_5?keywords=Klein+Tools+50031+Ratcheting+PVC+Cutter&amp;qid=1695174227&amp;sr=8-5", "https://www.amazon.com/Capacity-Ratcheting-Klein-Tools-50034/dp/B019875KC8/ref=sr_1_5?keywords=Klein+Tools+50031+Ratcheting+PVC+Cutter&amp;qid=1695174227&amp;sr=8-5")</f>
        <v>https://www.amazon.com/Capacity-Ratcheting-Klein-Tools-50034/dp/B019875KC8/ref=sr_1_5?keywords=Klein+Tools+50031+Ratcheting+PVC+Cutter&amp;qid=1695174227&amp;sr=8-5</v>
      </c>
      <c r="F2623" t="s">
        <v>6651</v>
      </c>
      <c r="G2623" t="e">
        <f ca="1">_xludf.IMAGE("https://edmondsonsupply.com/cdn/shop/products/50031.jpg?v=1587145344")</f>
        <v>#NAME?</v>
      </c>
      <c r="H2623" t="e">
        <f ca="1">_xludf.IMAGE("https://m.media-amazon.com/images/I/51bEAgYDRXL._AC_UL320_.jpg")</f>
        <v>#NAME?</v>
      </c>
      <c r="I2623" t="s">
        <v>626</v>
      </c>
      <c r="J2623">
        <v>197.99</v>
      </c>
      <c r="K2623" s="4">
        <v>1.0843</v>
      </c>
      <c r="L2623">
        <v>5</v>
      </c>
      <c r="M2623">
        <v>10</v>
      </c>
      <c r="O2623" t="s">
        <v>25</v>
      </c>
      <c r="P2623" t="s">
        <v>6652</v>
      </c>
      <c r="Q2623" t="s">
        <v>6653</v>
      </c>
    </row>
    <row r="2624" spans="1:17" ht="15.5" x14ac:dyDescent="0.35">
      <c r="A2624" s="3" t="str">
        <f>HYPERLINK("https://edmondsonsupply.com/collections/electricians-tools/products/greenlee-gsb06-1-2-step-bit-6", "https://edmondsonsupply.com/collections/electricians-tools/products/greenlee-gsb06-1-2-step-bit-6")</f>
        <v>https://edmondsonsupply.com/collections/electricians-tools/products/greenlee-gsb06-1-2-step-bit-6</v>
      </c>
      <c r="B2624" s="3" t="str">
        <f>HYPERLINK("https://edmondsonsupply.com/products/greenlee-gsb06-1-2-step-bit-6", "https://edmondsonsupply.com/products/greenlee-gsb06-1-2-step-bit-6")</f>
        <v>https://edmondsonsupply.com/products/greenlee-gsb06-1-2-step-bit-6</v>
      </c>
      <c r="C2624" t="s">
        <v>2409</v>
      </c>
      <c r="D2624" t="s">
        <v>2320</v>
      </c>
      <c r="E2624" s="3" t="str">
        <f>HYPERLINK("https://www.amazon.com/Greenlee-Patented-Split-Step-Design-Cutting/dp/B08TVGF4MS/ref=sr_1_4?keywords=Greenlee+GSB06+1%2F2%22+Step+Bit+%28%236%29&amp;qid=1695173911&amp;sr=8-4", "https://www.amazon.com/Greenlee-Patented-Split-Step-Design-Cutting/dp/B08TVGF4MS/ref=sr_1_4?keywords=Greenlee+GSB06+1%2F2%22+Step+Bit+%28%236%29&amp;qid=1695173911&amp;sr=8-4")</f>
        <v>https://www.amazon.com/Greenlee-Patented-Split-Step-Design-Cutting/dp/B08TVGF4MS/ref=sr_1_4?keywords=Greenlee+GSB06+1%2F2%22+Step+Bit+%28%236%29&amp;qid=1695173911&amp;sr=8-4</v>
      </c>
      <c r="F2624" t="s">
        <v>2321</v>
      </c>
      <c r="G2624" t="e">
        <f ca="1">_xludf.IMAGE("https://edmondsonsupply.com/cdn/shop/files/GSB06_CAT1_72dpi.jpg?v=1687788659")</f>
        <v>#NAME?</v>
      </c>
      <c r="H2624" t="e">
        <f ca="1">_xludf.IMAGE("https://m.media-amazon.com/images/I/41J5YEXJLpL._AC_UY218_.jpg")</f>
        <v>#NAME?</v>
      </c>
      <c r="I2624" t="s">
        <v>2410</v>
      </c>
      <c r="J2624">
        <v>68.430000000000007</v>
      </c>
      <c r="K2624" s="4">
        <v>1.0806</v>
      </c>
      <c r="L2624">
        <v>3.8</v>
      </c>
      <c r="M2624">
        <v>5</v>
      </c>
      <c r="O2624" t="s">
        <v>25</v>
      </c>
      <c r="P2624" t="s">
        <v>2411</v>
      </c>
      <c r="Q2624" t="s">
        <v>2412</v>
      </c>
    </row>
    <row r="2625" spans="1:17" ht="15.5" x14ac:dyDescent="0.35">
      <c r="A2625" s="3" t="str">
        <f>HYPERLINK("https://edmondsonsupply.com/collections/electricians-tools/products/milwaukee-49-56-0509-diamond-max%E2%84%A2-hole-saws", "https://edmondsonsupply.com/collections/electricians-tools/products/milwaukee-49-56-0509-diamond-max%E2%84%A2-hole-saws")</f>
        <v>https://edmondsonsupply.com/collections/electricians-tools/products/milwaukee-49-56-0509-diamond-max%E2%84%A2-hole-saws</v>
      </c>
      <c r="B2625" s="3" t="str">
        <f>HYPERLINK("https://edmondsonsupply.com/products/milwaukee-49-56-0509-diamond-max%e2%84%a2-hole-saws", "https://edmondsonsupply.com/products/milwaukee-49-56-0509-diamond-max%e2%84%a2-hole-saws")</f>
        <v>https://edmondsonsupply.com/products/milwaukee-49-56-0509-diamond-max%e2%84%a2-hole-saws</v>
      </c>
      <c r="C2625" t="s">
        <v>6654</v>
      </c>
      <c r="D2625" t="s">
        <v>6655</v>
      </c>
      <c r="E2625" s="3" t="str">
        <f>HYPERLINK("https://www.amazon.com/Milwaukee-Electric-Tool-49-56-0305-Recessed/dp/B000CSWEXG/ref=sr_1_6?keywords=Milwaukee+49-56-0509+3%2F8%22+Diamond+MAX%E2%84%A2+Hole+Saw&amp;qid=1695174089&amp;sr=8-6", "https://www.amazon.com/Milwaukee-Electric-Tool-49-56-0305-Recessed/dp/B000CSWEXG/ref=sr_1_6?keywords=Milwaukee+49-56-0509+3%2F8%22+Diamond+MAX%E2%84%A2+Hole+Saw&amp;qid=1695174089&amp;sr=8-6")</f>
        <v>https://www.amazon.com/Milwaukee-Electric-Tool-49-56-0305-Recessed/dp/B000CSWEXG/ref=sr_1_6?keywords=Milwaukee+49-56-0509+3%2F8%22+Diamond+MAX%E2%84%A2+Hole+Saw&amp;qid=1695174089&amp;sr=8-6</v>
      </c>
      <c r="F2625" t="s">
        <v>6656</v>
      </c>
      <c r="G2625" t="e">
        <f ca="1">_xludf.IMAGE("https://edmondsonsupply.com/cdn/shop/products/images.jpg?v=1678461630")</f>
        <v>#NAME?</v>
      </c>
      <c r="H2625" t="e">
        <f ca="1">_xludf.IMAGE("https://m.media-amazon.com/images/I/81M-n8hCg6L._AC_UL320_.jpg")</f>
        <v>#NAME?</v>
      </c>
      <c r="I2625" t="s">
        <v>3867</v>
      </c>
      <c r="J2625">
        <v>41.47</v>
      </c>
      <c r="K2625" s="4">
        <v>1.0755999999999999</v>
      </c>
      <c r="L2625">
        <v>4.7</v>
      </c>
      <c r="M2625">
        <v>282</v>
      </c>
      <c r="O2625" t="s">
        <v>25</v>
      </c>
      <c r="P2625" t="s">
        <v>6657</v>
      </c>
      <c r="Q2625" t="s">
        <v>6658</v>
      </c>
    </row>
    <row r="2626" spans="1:17" ht="15.5" x14ac:dyDescent="0.35">
      <c r="A2626"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2626" s="3" t="str">
        <f>HYPERLINK("https://edmondsonsupply.com/products/klein-tools-66070-flip-impact-socket-set-7-piece", "https://edmondsonsupply.com/products/klein-tools-66070-flip-impact-socket-set-7-piece")</f>
        <v>https://edmondsonsupply.com/products/klein-tools-66070-flip-impact-socket-set-7-piece</v>
      </c>
      <c r="C2626" t="s">
        <v>6659</v>
      </c>
      <c r="D2626" t="s">
        <v>6660</v>
      </c>
      <c r="E2626" s="3" t="str">
        <f>HYPERLINK("https://www.amazon.com/Wera-056490-Tool-Check-Ratchet-Sockets/dp/B0C3MY7J6Z/ref=sr_1_5?keywords=Klein+Tools+66070+Flip+Impact+Socket+Set%2C+7-Piece&amp;qid=1695173845&amp;sr=8-5", "https://www.amazon.com/Wera-056490-Tool-Check-Ratchet-Sockets/dp/B0C3MY7J6Z/ref=sr_1_5?keywords=Klein+Tools+66070+Flip+Impact+Socket+Set%2C+7-Piece&amp;qid=1695173845&amp;sr=8-5")</f>
        <v>https://www.amazon.com/Wera-056490-Tool-Check-Ratchet-Sockets/dp/B0C3MY7J6Z/ref=sr_1_5?keywords=Klein+Tools+66070+Flip+Impact+Socket+Set%2C+7-Piece&amp;qid=1695173845&amp;sr=8-5</v>
      </c>
      <c r="F2626" t="s">
        <v>6661</v>
      </c>
      <c r="G2626" t="e">
        <f ca="1">_xludf.IMAGE("https://edmondsonsupply.com/cdn/shop/products/66070_b.jpg?v=1663251434")</f>
        <v>#NAME?</v>
      </c>
      <c r="H2626" t="e">
        <f ca="1">_xludf.IMAGE("https://m.media-amazon.com/images/I/51rgYJySnHL._AC_UL320_.jpg")</f>
        <v>#NAME?</v>
      </c>
      <c r="I2626" t="s">
        <v>380</v>
      </c>
      <c r="J2626">
        <v>103.56</v>
      </c>
      <c r="K2626" s="4">
        <v>1.0724</v>
      </c>
      <c r="L2626">
        <v>4.8</v>
      </c>
      <c r="M2626">
        <v>11932</v>
      </c>
      <c r="O2626" t="s">
        <v>25</v>
      </c>
      <c r="P2626" t="s">
        <v>1114</v>
      </c>
      <c r="Q2626" t="s">
        <v>6662</v>
      </c>
    </row>
    <row r="2627" spans="1:17" ht="15.5" x14ac:dyDescent="0.35">
      <c r="A2627"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2627" s="3" t="str">
        <f>HYPERLINK("https://edmondsonsupply.com/products/klein-tools-ncvt1xt-non-contact-voltage-tester-70-to-1000v-ac", "https://edmondsonsupply.com/products/klein-tools-ncvt1xt-non-contact-voltage-tester-70-to-1000v-ac")</f>
        <v>https://edmondsonsupply.com/products/klein-tools-ncvt1xt-non-contact-voltage-tester-70-to-1000v-ac</v>
      </c>
      <c r="C2627" t="s">
        <v>6346</v>
      </c>
      <c r="D2627" t="s">
        <v>6663</v>
      </c>
      <c r="E2627" s="3" t="str">
        <f>HYPERLINK("https://www.amazon.com/Klein-Tools-Electric-Non-Contact-Detector/dp/B0CB14H87T/ref=sr_1_2?keywords=Klein+Tools+NCVT1XT+Non-Contact+Voltage+Tester%2C+70+to+1000V+AC&amp;qid=1695174075&amp;sr=8-2", "https://www.amazon.com/Klein-Tools-Electric-Non-Contact-Detector/dp/B0CB14H87T/ref=sr_1_2?keywords=Klein+Tools+NCVT1XT+Non-Contact+Voltage+Tester%2C+70+to+1000V+AC&amp;qid=1695174075&amp;sr=8-2")</f>
        <v>https://www.amazon.com/Klein-Tools-Electric-Non-Contact-Detector/dp/B0CB14H87T/ref=sr_1_2?keywords=Klein+Tools+NCVT1XT+Non-Contact+Voltage+Tester%2C+70+to+1000V+AC&amp;qid=1695174075&amp;sr=8-2</v>
      </c>
      <c r="F2627" t="s">
        <v>6664</v>
      </c>
      <c r="G2627" t="e">
        <f ca="1">_xludf.IMAGE("https://edmondsonsupply.com/cdn/shop/products/ncvt1xt.jpg?v=1674496568")</f>
        <v>#NAME?</v>
      </c>
      <c r="H2627" t="e">
        <f ca="1">_xludf.IMAGE("https://m.media-amazon.com/images/I/51L3qoakqzL._AC_UL320_.jpg")</f>
        <v>#NAME?</v>
      </c>
      <c r="I2627" t="s">
        <v>893</v>
      </c>
      <c r="J2627">
        <v>41.31</v>
      </c>
      <c r="K2627" s="4">
        <v>1.0686</v>
      </c>
      <c r="L2627">
        <v>4.8</v>
      </c>
      <c r="M2627">
        <v>7966</v>
      </c>
      <c r="O2627" t="s">
        <v>25</v>
      </c>
      <c r="P2627" t="s">
        <v>6347</v>
      </c>
      <c r="Q2627" t="s">
        <v>6348</v>
      </c>
    </row>
    <row r="2628" spans="1:17" ht="15.5" x14ac:dyDescent="0.35">
      <c r="A2628" s="3" t="str">
        <f>HYPERLINK("https://edmondsonsupply.com/collections/electricians-tools/products/milwaukee-48-22-1521-compact-folding-knife", "https://edmondsonsupply.com/collections/electricians-tools/products/milwaukee-48-22-1521-compact-folding-knife")</f>
        <v>https://edmondsonsupply.com/collections/electricians-tools/products/milwaukee-48-22-1521-compact-folding-knife</v>
      </c>
      <c r="B2628" s="3" t="str">
        <f>HYPERLINK("https://edmondsonsupply.com/products/milwaukee-48-22-1521-compact-folding-knife", "https://edmondsonsupply.com/products/milwaukee-48-22-1521-compact-folding-knife")</f>
        <v>https://edmondsonsupply.com/products/milwaukee-48-22-1521-compact-folding-knife</v>
      </c>
      <c r="C2628" t="s">
        <v>6665</v>
      </c>
      <c r="D2628" t="s">
        <v>1942</v>
      </c>
      <c r="E2628" s="3" t="str">
        <f>HYPERLINK("https://www.amazon.com/Milwaukee-48-22-1505-FastbackTM-Folding-Utility/dp/B0C69TGH9K/ref=sr_1_2?keywords=Milwaukee+48-22-1521+Compact+Folding+Knife&amp;qid=1695174090&amp;sr=8-2", "https://www.amazon.com/Milwaukee-48-22-1505-FastbackTM-Folding-Utility/dp/B0C69TGH9K/ref=sr_1_2?keywords=Milwaukee+48-22-1521+Compact+Folding+Knife&amp;qid=1695174090&amp;sr=8-2")</f>
        <v>https://www.amazon.com/Milwaukee-48-22-1505-FastbackTM-Folding-Utility/dp/B0C69TGH9K/ref=sr_1_2?keywords=Milwaukee+48-22-1521+Compact+Folding+Knife&amp;qid=1695174090&amp;sr=8-2</v>
      </c>
      <c r="F2628" t="s">
        <v>1943</v>
      </c>
      <c r="G2628" t="e">
        <f ca="1">_xludf.IMAGE("https://edmondsonsupply.com/cdn/shop/products/48-22-1521_1.webp?v=1675359641")</f>
        <v>#NAME?</v>
      </c>
      <c r="H2628" t="e">
        <f ca="1">_xludf.IMAGE("https://m.media-amazon.com/images/I/41ZUsUsHByL._AC_UL320_.jpg")</f>
        <v>#NAME?</v>
      </c>
      <c r="I2628" t="s">
        <v>1211</v>
      </c>
      <c r="J2628">
        <v>26.75</v>
      </c>
      <c r="K2628" s="4">
        <v>1.0625</v>
      </c>
      <c r="L2628">
        <v>4.7</v>
      </c>
      <c r="M2628">
        <v>4</v>
      </c>
      <c r="O2628" t="s">
        <v>25</v>
      </c>
      <c r="P2628" t="s">
        <v>6666</v>
      </c>
      <c r="Q2628" t="s">
        <v>6667</v>
      </c>
    </row>
    <row r="2629" spans="1:17" ht="15.5" x14ac:dyDescent="0.35">
      <c r="A2629"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2629" s="3" t="str">
        <f>HYPERLINK("https://edmondsonsupply.com/products/klein-tools-65200-electricians-mini-ratchet-set-5-piece", "https://edmondsonsupply.com/products/klein-tools-65200-electricians-mini-ratchet-set-5-piece")</f>
        <v>https://edmondsonsupply.com/products/klein-tools-65200-electricians-mini-ratchet-set-5-piece</v>
      </c>
      <c r="C2629" t="s">
        <v>140</v>
      </c>
      <c r="D2629" t="s">
        <v>189</v>
      </c>
      <c r="E2629" s="3" t="str">
        <f>HYPERLINK("https://www.amazon.com/Klein-Tools-Multi-bit-Screwdriver-Adjustable/dp/B0BCT97D2B/ref=sr_1_3?keywords=Klein+Tools+65200+Slim-Profile+Mini+Ratchet+Set%2C+5-Piece&amp;qid=1695173845&amp;sr=8-3", "https://www.amazon.com/Klein-Tools-Multi-bit-Screwdriver-Adjustable/dp/B0BCT97D2B/ref=sr_1_3?keywords=Klein+Tools+65200+Slim-Profile+Mini+Ratchet+Set%2C+5-Piece&amp;qid=1695173845&amp;sr=8-3")</f>
        <v>https://www.amazon.com/Klein-Tools-Multi-bit-Screwdriver-Adjustable/dp/B0BCT97D2B/ref=sr_1_3?keywords=Klein+Tools+65200+Slim-Profile+Mini+Ratchet+Set%2C+5-Piece&amp;qid=1695173845&amp;sr=8-3</v>
      </c>
      <c r="F2629" t="s">
        <v>190</v>
      </c>
      <c r="G2629" t="e">
        <f ca="1">_xludf.IMAGE("https://edmondsonsupply.com/cdn/shop/products/65200.jpg?v=1633030630")</f>
        <v>#NAME?</v>
      </c>
      <c r="H2629" t="e">
        <f ca="1">_xludf.IMAGE("https://m.media-amazon.com/images/I/51FhukkqNXL._AC_UL320_.jpg")</f>
        <v>#NAME?</v>
      </c>
      <c r="I2629" t="s">
        <v>143</v>
      </c>
      <c r="J2629">
        <v>32.93</v>
      </c>
      <c r="K2629" s="4">
        <v>1.0620000000000001</v>
      </c>
      <c r="L2629">
        <v>5</v>
      </c>
      <c r="M2629">
        <v>7</v>
      </c>
      <c r="O2629" t="s">
        <v>25</v>
      </c>
      <c r="P2629" t="s">
        <v>144</v>
      </c>
      <c r="Q2629" t="s">
        <v>145</v>
      </c>
    </row>
    <row r="2630" spans="1:17" ht="15.5" x14ac:dyDescent="0.35">
      <c r="A2630"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630" s="3" t="str">
        <f>HYPERLINK("https://edmondsonsupply.com/products/klein-tools-vdv427-300-impact-punchdown-tool-66-110-blade", "https://edmondsonsupply.com/products/klein-tools-vdv427-300-impact-punchdown-tool-66-110-blade")</f>
        <v>https://edmondsonsupply.com/products/klein-tools-vdv427-300-impact-punchdown-tool-66-110-blade</v>
      </c>
      <c r="C2630" t="s">
        <v>6289</v>
      </c>
      <c r="D2630" t="s">
        <v>6668</v>
      </c>
      <c r="E2630" s="3" t="str">
        <f>HYPERLINK("https://www.amazon.com/Klein-Tools-Free-Fall-VDV427-300-Punchdown/dp/B0BD3YB2HS/ref=sr_1_8?keywords=Klein+Tools+VDV427-300+Impact+Punchdown+Tool%2C+66%2F110+Blade&amp;qid=1695174221&amp;sr=8-8", "https://www.amazon.com/Klein-Tools-Free-Fall-VDV427-300-Punchdown/dp/B0BD3YB2HS/ref=sr_1_8?keywords=Klein+Tools+VDV427-300+Impact+Punchdown+Tool%2C+66%2F110+Blade&amp;qid=1695174221&amp;sr=8-8")</f>
        <v>https://www.amazon.com/Klein-Tools-Free-Fall-VDV427-300-Punchdown/dp/B0BD3YB2HS/ref=sr_1_8?keywords=Klein+Tools+VDV427-300+Impact+Punchdown+Tool%2C+66%2F110+Blade&amp;qid=1695174221&amp;sr=8-8</v>
      </c>
      <c r="F2630" t="s">
        <v>6669</v>
      </c>
      <c r="G2630" t="e">
        <f ca="1">_xludf.IMAGE("https://edmondsonsupply.com/cdn/shop/products/vdv427300.jpg?v=1646010568")</f>
        <v>#NAME?</v>
      </c>
      <c r="H2630" t="e">
        <f ca="1">_xludf.IMAGE("https://m.media-amazon.com/images/I/51JNLLq52ZL._AC_UL320_.jpg")</f>
        <v>#NAME?</v>
      </c>
      <c r="I2630" t="s">
        <v>246</v>
      </c>
      <c r="J2630">
        <v>82</v>
      </c>
      <c r="K2630" s="4">
        <v>1.0515000000000001</v>
      </c>
      <c r="L2630">
        <v>4</v>
      </c>
      <c r="M2630">
        <v>1</v>
      </c>
      <c r="O2630" t="s">
        <v>25</v>
      </c>
      <c r="P2630" t="s">
        <v>1027</v>
      </c>
      <c r="Q2630" t="s">
        <v>6292</v>
      </c>
    </row>
    <row r="2631" spans="1:17" ht="15.5" x14ac:dyDescent="0.35">
      <c r="A2631"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2631" s="3" t="str">
        <f>HYPERLINK("https://edmondsonsupply.com/products/klein-tools-jth9m5-4-mm-hex-key-journeyman-t-handle-9-inch", "https://edmondsonsupply.com/products/klein-tools-jth9m5-4-mm-hex-key-journeyman-t-handle-9-inch")</f>
        <v>https://edmondsonsupply.com/products/klein-tools-jth9m5-4-mm-hex-key-journeyman-t-handle-9-inch</v>
      </c>
      <c r="C2631" t="s">
        <v>6121</v>
      </c>
      <c r="D2631" t="s">
        <v>2633</v>
      </c>
      <c r="E2631" s="3" t="str">
        <f>HYPERLINK("https://www.amazon.com/Journeyman-T-Handle-Klein-Tools-JTH9M5/dp/B005G3HJDW/ref=sr_1_10?keywords=Klein+Tools+JTH9M4+4+mm+Hex+Key%2C+Journeyman+T-Handle%2C+9-Inch&amp;qid=1695174234&amp;sr=8-10", "https://www.amazon.com/Journeyman-T-Handle-Klein-Tools-JTH9M5/dp/B005G3HJDW/ref=sr_1_10?keywords=Klein+Tools+JTH9M4+4+mm+Hex+Key%2C+Journeyman+T-Handle%2C+9-Inch&amp;qid=1695174234&amp;sr=8-10")</f>
        <v>https://www.amazon.com/Journeyman-T-Handle-Klein-Tools-JTH9M5/dp/B005G3HJDW/ref=sr_1_10?keywords=Klein+Tools+JTH9M4+4+mm+Hex+Key%2C+Journeyman+T-Handle%2C+9-Inch&amp;qid=1695174234&amp;sr=8-10</v>
      </c>
      <c r="F2631" t="s">
        <v>2634</v>
      </c>
      <c r="G2631" t="e">
        <f ca="1">_xludf.IMAGE("https://edmondsonsupply.com/cdn/shop/products/jth9m_fa8a641d-d03f-4191-ab24-b9045963e4f7.jpg?v=1640191121")</f>
        <v>#NAME?</v>
      </c>
      <c r="H2631" t="e">
        <f ca="1">_xludf.IMAGE("https://m.media-amazon.com/images/I/51O91N8K8wL._AC_UL320_.jpg")</f>
        <v>#NAME?</v>
      </c>
      <c r="I2631" t="s">
        <v>6122</v>
      </c>
      <c r="J2631">
        <v>9.1999999999999993</v>
      </c>
      <c r="K2631" s="4">
        <v>1.0489999999999999</v>
      </c>
      <c r="L2631">
        <v>4.7</v>
      </c>
      <c r="M2631">
        <v>160</v>
      </c>
      <c r="O2631" t="s">
        <v>25</v>
      </c>
      <c r="P2631" t="s">
        <v>6123</v>
      </c>
      <c r="Q2631" t="s">
        <v>6124</v>
      </c>
    </row>
    <row r="2632" spans="1:17" ht="15.5" x14ac:dyDescent="0.35">
      <c r="A2632" s="3" t="str">
        <f>HYPERLINK("https://edmondsonsupply.com/collections/electricians-tools/products/greenlee-609-3-4-foam-conduit-piston", "https://edmondsonsupply.com/collections/electricians-tools/products/greenlee-609-3-4-foam-conduit-piston")</f>
        <v>https://edmondsonsupply.com/collections/electricians-tools/products/greenlee-609-3-4-foam-conduit-piston</v>
      </c>
      <c r="B2632" s="3" t="str">
        <f>HYPERLINK("https://edmondsonsupply.com/products/greenlee-609-3-4-foam-conduit-piston", "https://edmondsonsupply.com/products/greenlee-609-3-4-foam-conduit-piston")</f>
        <v>https://edmondsonsupply.com/products/greenlee-609-3-4-foam-conduit-piston</v>
      </c>
      <c r="C2632" t="s">
        <v>6095</v>
      </c>
      <c r="D2632" t="s">
        <v>6670</v>
      </c>
      <c r="E2632" s="3" t="str">
        <f>HYPERLINK("https://www.amazon.com/Greenlee-609-Single-Piston-Conduit/dp/B004QNZ8GS/ref=sr_1_5?keywords=Greenlee+609+3%2F4%22+Foam+Conduit+Piston&amp;qid=1695174000&amp;sr=8-5", "https://www.amazon.com/Greenlee-609-Single-Piston-Conduit/dp/B004QNZ8GS/ref=sr_1_5?keywords=Greenlee+609+3%2F4%22+Foam+Conduit+Piston&amp;qid=1695174000&amp;sr=8-5")</f>
        <v>https://www.amazon.com/Greenlee-609-Single-Piston-Conduit/dp/B004QNZ8GS/ref=sr_1_5?keywords=Greenlee+609+3%2F4%22+Foam+Conduit+Piston&amp;qid=1695174000&amp;sr=8-5</v>
      </c>
      <c r="F2632" t="s">
        <v>6671</v>
      </c>
      <c r="G2632" t="e">
        <f ca="1">_xludf.IMAGE("https://edmondsonsupply.com/cdn/shop/files/Greenlee-609_1.webp?v=1687448329")</f>
        <v>#NAME?</v>
      </c>
      <c r="H2632" t="e">
        <f ca="1">_xludf.IMAGE("https://m.media-amazon.com/images/I/71LqGT4IPqL._AC_UL320_.jpg")</f>
        <v>#NAME?</v>
      </c>
      <c r="I2632" t="s">
        <v>6098</v>
      </c>
      <c r="J2632">
        <v>13.97</v>
      </c>
      <c r="K2632" s="4">
        <v>1.0484</v>
      </c>
      <c r="L2632">
        <v>4.2</v>
      </c>
      <c r="M2632">
        <v>29</v>
      </c>
      <c r="O2632" t="s">
        <v>25</v>
      </c>
      <c r="P2632" t="s">
        <v>138</v>
      </c>
      <c r="Q2632" t="s">
        <v>6099</v>
      </c>
    </row>
    <row r="2633" spans="1:17" ht="15.5" x14ac:dyDescent="0.35">
      <c r="A2633"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2633"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2633" t="s">
        <v>2430</v>
      </c>
      <c r="D2633" t="s">
        <v>2431</v>
      </c>
      <c r="E2633" s="3" t="str">
        <f>HYPERLINK("https://www.amazon.com/Klein-Tools-Screwdriver-Precision-Electrician/dp/B0BR23NNNH/ref=sr_1_2?keywords=Klein+Tools+605-6+1%2F4-Inch+Cabinet+Tip+Screwdriver%2C+Heavy+Duty%2C+6-Inch&amp;qid=1695173888&amp;sr=8-2", "https://www.amazon.com/Klein-Tools-Screwdriver-Precision-Electrician/dp/B0BR23NNNH/ref=sr_1_2?keywords=Klein+Tools+605-6+1%2F4-Inch+Cabinet+Tip+Screwdriver%2C+Heavy+Duty%2C+6-Inch&amp;qid=1695173888&amp;sr=8-2")</f>
        <v>https://www.amazon.com/Klein-Tools-Screwdriver-Precision-Electrician/dp/B0BR23NNNH/ref=sr_1_2?keywords=Klein+Tools+605-6+1%2F4-Inch+Cabinet+Tip+Screwdriver%2C+Heavy+Duty%2C+6-Inch&amp;qid=1695173888&amp;sr=8-2</v>
      </c>
      <c r="F2633" t="s">
        <v>2432</v>
      </c>
      <c r="G2633" t="e">
        <f ca="1">_xludf.IMAGE("https://edmondsonsupply.com/cdn/shop/products/605-6.jpg?v=1587149759")</f>
        <v>#NAME?</v>
      </c>
      <c r="H2633" t="e">
        <f ca="1">_xludf.IMAGE("https://m.media-amazon.com/images/I/316TumgEKzL._AC_UL320_.jpg")</f>
        <v>#NAME?</v>
      </c>
      <c r="I2633" t="s">
        <v>2433</v>
      </c>
      <c r="J2633">
        <v>19.38</v>
      </c>
      <c r="K2633" s="4">
        <v>1.0421</v>
      </c>
      <c r="L2633">
        <v>5</v>
      </c>
      <c r="M2633">
        <v>3</v>
      </c>
      <c r="O2633" t="s">
        <v>25</v>
      </c>
      <c r="P2633" t="s">
        <v>2434</v>
      </c>
      <c r="Q2633" t="s">
        <v>2435</v>
      </c>
    </row>
    <row r="2634" spans="1:17" ht="15.5" x14ac:dyDescent="0.35">
      <c r="A2634"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2634"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2634" t="s">
        <v>6432</v>
      </c>
      <c r="D2634" t="s">
        <v>402</v>
      </c>
      <c r="E2634" s="3" t="str">
        <f>HYPERLINK("https://www.amazon.com/Klein-Tools-Bull-Pin-Canvas-Connection/dp/B0BFXN41G3/ref=sr_1_6?keywords=Klein+Tools+5416+Tool+Bag%2C+Bull-Pin+and+Bolt+Pouch%2C+Belt+Strap+Connect%2C+5+x+10+x+9-Inch&amp;qid=1695174042&amp;sr=8-6", "https://www.amazon.com/Klein-Tools-Bull-Pin-Canvas-Connection/dp/B0BFXN41G3/ref=sr_1_6?keywords=Klein+Tools+5416+Tool+Bag%2C+Bull-Pin+and+Bolt+Pouch%2C+Belt+Strap+Connect%2C+5+x+10+x+9-Inch&amp;qid=1695174042&amp;sr=8-6")</f>
        <v>https://www.amazon.com/Klein-Tools-Bull-Pin-Canvas-Connection/dp/B0BFXN41G3/ref=sr_1_6?keywords=Klein+Tools+5416+Tool+Bag%2C+Bull-Pin+and+Bolt+Pouch%2C+Belt+Strap+Connect%2C+5+x+10+x+9-Inch&amp;qid=1695174042&amp;sr=8-6</v>
      </c>
      <c r="F2634" t="s">
        <v>403</v>
      </c>
      <c r="G2634" t="e">
        <f ca="1">_xludf.IMAGE("https://edmondsonsupply.com/cdn/shop/products/5416.jpg?v=1679664980")</f>
        <v>#NAME?</v>
      </c>
      <c r="H2634" t="e">
        <f ca="1">_xludf.IMAGE("https://m.media-amazon.com/images/I/51SvuMGkytL._AC_UL320_.jpg")</f>
        <v>#NAME?</v>
      </c>
      <c r="I2634" t="s">
        <v>6242</v>
      </c>
      <c r="J2634">
        <v>36.29</v>
      </c>
      <c r="K2634" s="4">
        <v>1.0387999999999999</v>
      </c>
      <c r="L2634">
        <v>4.8</v>
      </c>
      <c r="M2634">
        <v>6</v>
      </c>
      <c r="O2634" t="s">
        <v>25</v>
      </c>
      <c r="P2634" t="s">
        <v>6433</v>
      </c>
      <c r="Q2634" t="s">
        <v>6434</v>
      </c>
    </row>
    <row r="2635" spans="1:17" ht="15.5" x14ac:dyDescent="0.35">
      <c r="A2635"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2635"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2635" t="s">
        <v>6437</v>
      </c>
      <c r="D2635" t="s">
        <v>6672</v>
      </c>
      <c r="E2635" s="3" t="str">
        <f>HYPERLINK("https://www.amazon.com/Milwaukee-Electric-Compact-Blades-Portableband/dp/B009G6W59S/ref=sr_1_5?keywords=Milwaukee+48-39-0572+18+TPI+Standard+Compact+Portable+Band+Saw+Blade+BULK+100&amp;qid=1695174058&amp;sr=8-5", "https://www.amazon.com/Milwaukee-Electric-Compact-Blades-Portableband/dp/B009G6W59S/ref=sr_1_5?keywords=Milwaukee+48-39-0572+18+TPI+Standard+Compact+Portable+Band+Saw+Blade+BULK+100&amp;qid=1695174058&amp;sr=8-5")</f>
        <v>https://www.amazon.com/Milwaukee-Electric-Compact-Blades-Portableband/dp/B009G6W59S/ref=sr_1_5?keywords=Milwaukee+48-39-0572+18+TPI+Standard+Compact+Portable+Band+Saw+Blade+BULK+100&amp;qid=1695174058&amp;sr=8-5</v>
      </c>
      <c r="F2635" t="s">
        <v>6673</v>
      </c>
      <c r="G2635" t="e">
        <f ca="1">_xludf.IMAGE("https://edmondsonsupply.com/cdn/shop/products/21432_48-39-0510.jpg?v=1678901662")</f>
        <v>#NAME?</v>
      </c>
      <c r="H2635" t="e">
        <f ca="1">_xludf.IMAGE("https://m.media-amazon.com/images/I/41uyV1taKuL._AC_UL320_.jpg")</f>
        <v>#NAME?</v>
      </c>
      <c r="I2635" t="s">
        <v>2247</v>
      </c>
      <c r="J2635">
        <v>44.75</v>
      </c>
      <c r="K2635" s="4">
        <v>1.0368999999999999</v>
      </c>
      <c r="L2635">
        <v>1</v>
      </c>
      <c r="M2635">
        <v>1</v>
      </c>
      <c r="O2635" t="s">
        <v>25</v>
      </c>
      <c r="P2635" t="s">
        <v>6313</v>
      </c>
      <c r="Q2635" t="s">
        <v>6438</v>
      </c>
    </row>
    <row r="2636" spans="1:17" ht="15.5" x14ac:dyDescent="0.35">
      <c r="A2636"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2636"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2636" t="s">
        <v>6674</v>
      </c>
      <c r="D2636" t="s">
        <v>6338</v>
      </c>
      <c r="E2636" s="3" t="str">
        <f>HYPERLINK("https://www.amazon.com/Journeyman-T-Handle-Klein-Tools-JTH9M8/dp/B005G3HJSC/ref=sr_1_1?keywords=Klein+Tools+JTH9M8+8+mm+Hex+Key%2C+Journeyman%E2%84%A2+T-Handle%2C+9-Inch&amp;qid=1695174169&amp;sr=8-1", "https://www.amazon.com/Journeyman-T-Handle-Klein-Tools-JTH9M8/dp/B005G3HJSC/ref=sr_1_1?keywords=Klein+Tools+JTH9M8+8+mm+Hex+Key%2C+Journeyman%E2%84%A2+T-Handle%2C+9-Inch&amp;qid=1695174169&amp;sr=8-1")</f>
        <v>https://www.amazon.com/Journeyman-T-Handle-Klein-Tools-JTH9M8/dp/B005G3HJSC/ref=sr_1_1?keywords=Klein+Tools+JTH9M8+8+mm+Hex+Key%2C+Journeyman%E2%84%A2+T-Handle%2C+9-Inch&amp;qid=1695174169&amp;sr=8-1</v>
      </c>
      <c r="F2636" t="s">
        <v>6339</v>
      </c>
      <c r="G2636" t="e">
        <f ca="1">_xludf.IMAGE("https://edmondsonsupply.com/cdn/shop/products/jth6m8_03ba3d30-ff38-4b9e-93e7-b0fc6da199d0.jpg?v=1662658324")</f>
        <v>#NAME?</v>
      </c>
      <c r="H2636" t="e">
        <f ca="1">_xludf.IMAGE("https://m.media-amazon.com/images/I/51+1x0vz9XL._AC_UL320_.jpg")</f>
        <v>#NAME?</v>
      </c>
      <c r="I2636" t="s">
        <v>1003</v>
      </c>
      <c r="J2636">
        <v>16.27</v>
      </c>
      <c r="K2636" s="4">
        <v>1.0363</v>
      </c>
      <c r="L2636">
        <v>5</v>
      </c>
      <c r="M2636">
        <v>4</v>
      </c>
      <c r="O2636" t="s">
        <v>25</v>
      </c>
      <c r="P2636" t="s">
        <v>1481</v>
      </c>
      <c r="Q2636" t="s">
        <v>6675</v>
      </c>
    </row>
    <row r="2637" spans="1:17" ht="15.5" x14ac:dyDescent="0.35">
      <c r="A2637" s="3" t="str">
        <f>HYPERLINK("https://edmondsonsupply.com/collections/electricians-tools/products/rack-a-tiers-80050-the-nut-snugger-magnetic-locknut-holder", "https://edmondsonsupply.com/collections/electricians-tools/products/rack-a-tiers-80050-the-nut-snugger-magnetic-locknut-holder")</f>
        <v>https://edmondsonsupply.com/collections/electricians-tools/products/rack-a-tiers-80050-the-nut-snugger-magnetic-locknut-holder</v>
      </c>
      <c r="B2637" s="3" t="str">
        <f>HYPERLINK("https://edmondsonsupply.com/products/rack-a-tiers-80050-the-nut-snugger-magnetic-locknut-holder", "https://edmondsonsupply.com/products/rack-a-tiers-80050-the-nut-snugger-magnetic-locknut-holder")</f>
        <v>https://edmondsonsupply.com/products/rack-a-tiers-80050-the-nut-snugger-magnetic-locknut-holder</v>
      </c>
      <c r="C2637" t="s">
        <v>6676</v>
      </c>
      <c r="D2637" t="s">
        <v>6677</v>
      </c>
      <c r="E2637" s="3" t="str">
        <f>HYPERLINK("https://www.amazon.com/Rack-Tiers-Nut-Snugger-Kit/dp/B0BX4MB59Q/ref=sr_1_1?keywords=Rack-A-Tiers+80050+The+Nut+Snugger+-+1%2F2%22+Magnetic+Locknut+Holder&amp;qid=1695173910&amp;sr=8-1", "https://www.amazon.com/Rack-Tiers-Nut-Snugger-Kit/dp/B0BX4MB59Q/ref=sr_1_1?keywords=Rack-A-Tiers+80050+The+Nut+Snugger+-+1%2F2%22+Magnetic+Locknut+Holder&amp;qid=1695173910&amp;sr=8-1")</f>
        <v>https://www.amazon.com/Rack-Tiers-Nut-Snugger-Kit/dp/B0BX4MB59Q/ref=sr_1_1?keywords=Rack-A-Tiers+80050+The+Nut+Snugger+-+1%2F2%22+Magnetic+Locknut+Holder&amp;qid=1695173910&amp;sr=8-1</v>
      </c>
      <c r="F2637" t="s">
        <v>6678</v>
      </c>
      <c r="G2637" t="e">
        <f ca="1">_xludf.IMAGE("https://edmondsonsupply.com/cdn/shop/products/820XX-Nut-Snugger.png?v=1667152378")</f>
        <v>#NAME?</v>
      </c>
      <c r="H2637" t="e">
        <f ca="1">_xludf.IMAGE("https://m.media-amazon.com/images/I/31gF-2h5bgL._AC_UY218_.jpg")</f>
        <v>#NAME?</v>
      </c>
      <c r="I2637" t="s">
        <v>4310</v>
      </c>
      <c r="J2637">
        <v>68.989999999999995</v>
      </c>
      <c r="K2637" s="4">
        <v>1.0297000000000001</v>
      </c>
      <c r="L2637">
        <v>5</v>
      </c>
      <c r="M2637">
        <v>2</v>
      </c>
      <c r="O2637" t="s">
        <v>25</v>
      </c>
      <c r="P2637" t="s">
        <v>6679</v>
      </c>
      <c r="Q2637" t="s">
        <v>6680</v>
      </c>
    </row>
    <row r="2638" spans="1:17" ht="15.5" x14ac:dyDescent="0.35">
      <c r="A2638"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638" s="3" t="str">
        <f>HYPERLINK("https://edmondsonsupply.com/products/klein-tools-rt250-gfci-receptacle-tester-with-lcd", "https://edmondsonsupply.com/products/klein-tools-rt250-gfci-receptacle-tester-with-lcd")</f>
        <v>https://edmondsonsupply.com/products/klein-tools-rt250-gfci-receptacle-tester-with-lcd</v>
      </c>
      <c r="C2638" t="s">
        <v>6197</v>
      </c>
      <c r="D2638" t="s">
        <v>2698</v>
      </c>
      <c r="E2638" s="3" t="str">
        <f>HYPERLINK("https://www.amazon.com/Non-Contact-Receptacle-Klein-Tools-RT250KIT/dp/B08YDFQ2FV/ref=sr_1_4?keywords=Klein+Tools+RT250+GFCI+Receptacle+Tester+with+LCD&amp;qid=1695174176&amp;sr=8-4", "https://www.amazon.com/Non-Contact-Receptacle-Klein-Tools-RT250KIT/dp/B08YDFQ2FV/ref=sr_1_4?keywords=Klein+Tools+RT250+GFCI+Receptacle+Tester+with+LCD&amp;qid=1695174176&amp;sr=8-4")</f>
        <v>https://www.amazon.com/Non-Contact-Receptacle-Klein-Tools-RT250KIT/dp/B08YDFQ2FV/ref=sr_1_4?keywords=Klein+Tools+RT250+GFCI+Receptacle+Tester+with+LCD&amp;qid=1695174176&amp;sr=8-4</v>
      </c>
      <c r="F2638" t="s">
        <v>2699</v>
      </c>
      <c r="G2638" t="e">
        <f ca="1">_xludf.IMAGE("https://edmondsonsupply.com/cdn/shop/products/rt250_photo_c.jpg?v=1661363824")</f>
        <v>#NAME?</v>
      </c>
      <c r="H2638" t="e">
        <f ca="1">_xludf.IMAGE("https://m.media-amazon.com/images/I/61WaBlkJfxL._AC_UL320_.jpg")</f>
        <v>#NAME?</v>
      </c>
      <c r="I2638" t="s">
        <v>2247</v>
      </c>
      <c r="J2638">
        <v>44.54</v>
      </c>
      <c r="K2638" s="4">
        <v>1.0273000000000001</v>
      </c>
      <c r="L2638">
        <v>4.8</v>
      </c>
      <c r="M2638">
        <v>1269</v>
      </c>
      <c r="O2638" t="s">
        <v>25</v>
      </c>
      <c r="P2638" t="s">
        <v>6200</v>
      </c>
      <c r="Q2638" t="s">
        <v>6201</v>
      </c>
    </row>
    <row r="2639" spans="1:17" ht="15.5" x14ac:dyDescent="0.35">
      <c r="A2639"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2639" s="3" t="str">
        <f>HYPERLINK("https://edmondsonsupply.com/products/diablo-tools-d0660x-6-1-2-in-x-60-tooth-ultra-finish-saw-blade", "https://edmondsonsupply.com/products/diablo-tools-d0660x-6-1-2-in-x-60-tooth-ultra-finish-saw-blade")</f>
        <v>https://edmondsonsupply.com/products/diablo-tools-d0660x-6-1-2-in-x-60-tooth-ultra-finish-saw-blade</v>
      </c>
      <c r="C2639" t="s">
        <v>6681</v>
      </c>
      <c r="D2639" t="s">
        <v>6562</v>
      </c>
      <c r="E2639" s="3" t="str">
        <f>HYPERLINK("https://www.amazon.com/D0760A-Diablo-60-Tooth-Finishing-Circular/dp/B0763T4PLZ/ref=sr_1_1?keywords=Diablo+Tools+D0660X+6-1%2F2+in.+x+60+Tooth+Ultra+Finish+Saw+Blade&amp;qid=1695174055&amp;sr=8-1", "https://www.amazon.com/D0760A-Diablo-60-Tooth-Finishing-Circular/dp/B0763T4PLZ/ref=sr_1_1?keywords=Diablo+Tools+D0660X+6-1%2F2+in.+x+60+Tooth+Ultra+Finish+Saw+Blade&amp;qid=1695174055&amp;sr=8-1")</f>
        <v>https://www.amazon.com/D0760A-Diablo-60-Tooth-Finishing-Circular/dp/B0763T4PLZ/ref=sr_1_1?keywords=Diablo+Tools+D0660X+6-1%2F2+in.+x+60+Tooth+Ultra+Finish+Saw+Blade&amp;qid=1695174055&amp;sr=8-1</v>
      </c>
      <c r="F2639" t="s">
        <v>6563</v>
      </c>
      <c r="G2639" t="e">
        <f ca="1">_xludf.IMAGE("https://edmondsonsupply.com/cdn/shop/products/ma8p1gcmhxpwwhymtiim.webp?v=1678983644")</f>
        <v>#NAME?</v>
      </c>
      <c r="H2639" t="e">
        <f ca="1">_xludf.IMAGE("https://m.media-amazon.com/images/I/61WSwNmsWWL._AC_UL320_.jpg")</f>
        <v>#NAME?</v>
      </c>
      <c r="I2639" t="s">
        <v>1716</v>
      </c>
      <c r="J2639">
        <v>46.55</v>
      </c>
      <c r="K2639" s="4">
        <v>1.0266</v>
      </c>
      <c r="L2639">
        <v>4.7</v>
      </c>
      <c r="M2639">
        <v>16</v>
      </c>
      <c r="O2639" t="s">
        <v>25</v>
      </c>
      <c r="P2639" t="s">
        <v>6682</v>
      </c>
      <c r="Q2639" t="s">
        <v>6683</v>
      </c>
    </row>
    <row r="2640" spans="1:17" ht="15.5" x14ac:dyDescent="0.35">
      <c r="A2640"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2640" s="3" t="str">
        <f>HYPERLINK("https://edmondsonsupply.com/products/klein-tools-69381-heavy-duty-alligator-clip-test-leads-3-foot", "https://edmondsonsupply.com/products/klein-tools-69381-heavy-duty-alligator-clip-test-leads-3-foot")</f>
        <v>https://edmondsonsupply.com/products/klein-tools-69381-heavy-duty-alligator-clip-test-leads-3-foot</v>
      </c>
      <c r="C2640" t="s">
        <v>6089</v>
      </c>
      <c r="D2640" t="s">
        <v>6684</v>
      </c>
      <c r="E2640" s="3" t="str">
        <f>HYPERLINK("https://www.amazon.com/Klein-Tools-69367-Heavy-Duty-Replacement/dp/B09YTDG6FQ/ref=sr_1_7?keywords=Klein+Tools+69381+Heavy-Duty+Alligator+Clip+Test+Leads%2C+3-Foot&amp;qid=1695174138&amp;sr=8-7", "https://www.amazon.com/Klein-Tools-69367-Heavy-Duty-Replacement/dp/B09YTDG6FQ/ref=sr_1_7?keywords=Klein+Tools+69381+Heavy-Duty+Alligator+Clip+Test+Leads%2C+3-Foot&amp;qid=1695174138&amp;sr=8-7")</f>
        <v>https://www.amazon.com/Klein-Tools-69367-Heavy-Duty-Replacement/dp/B09YTDG6FQ/ref=sr_1_7?keywords=Klein+Tools+69381+Heavy-Duty+Alligator+Clip+Test+Leads%2C+3-Foot&amp;qid=1695174138&amp;sr=8-7</v>
      </c>
      <c r="F2640" t="s">
        <v>6685</v>
      </c>
      <c r="G2640" t="e">
        <f ca="1">_xludf.IMAGE("https://edmondsonsupply.com/cdn/shop/products/69381_photo.jpg?v=1666889006")</f>
        <v>#NAME?</v>
      </c>
      <c r="H2640" t="e">
        <f ca="1">_xludf.IMAGE("https://m.media-amazon.com/images/I/51hh7Ca5KIL._AC_UY218_.jpg")</f>
        <v>#NAME?</v>
      </c>
      <c r="I2640" t="s">
        <v>276</v>
      </c>
      <c r="J2640">
        <v>30.3</v>
      </c>
      <c r="K2640" s="4">
        <v>1.0213000000000001</v>
      </c>
      <c r="L2640">
        <v>4.8</v>
      </c>
      <c r="M2640">
        <v>12</v>
      </c>
      <c r="O2640" t="s">
        <v>25</v>
      </c>
      <c r="P2640" t="s">
        <v>277</v>
      </c>
      <c r="Q2640" t="s">
        <v>6092</v>
      </c>
    </row>
    <row r="2641" spans="1:17" ht="15.5" x14ac:dyDescent="0.35">
      <c r="A2641" s="3" t="str">
        <f>HYPERLINK("https://edmondsonsupply.com/collections/electricians-tools/products/milwaukee-2553-22", "https://edmondsonsupply.com/collections/electricians-tools/products/milwaukee-2553-22")</f>
        <v>https://edmondsonsupply.com/collections/electricians-tools/products/milwaukee-2553-22</v>
      </c>
      <c r="B2641" s="3" t="str">
        <f>HYPERLINK("https://edmondsonsupply.com/products/milwaukee-2553-22", "https://edmondsonsupply.com/products/milwaukee-2553-22")</f>
        <v>https://edmondsonsupply.com/products/milwaukee-2553-22</v>
      </c>
      <c r="C2641" t="s">
        <v>6686</v>
      </c>
      <c r="D2641" t="s">
        <v>6687</v>
      </c>
      <c r="E2641" s="3" t="str">
        <f>HYPERLINK("https://www.amazon.com/Milwaukee-2853-22-FUEL-Impact-Driver/dp/B07G9H57FM/ref=sr_1_10?keywords=Milwaukee+2553-22+M12+FUEL%E2%84%A2+1%2F4%22+Hex+Impact+Driver+Kit&amp;qid=1695174118&amp;sr=8-10", "https://www.amazon.com/Milwaukee-2853-22-FUEL-Impact-Driver/dp/B07G9H57FM/ref=sr_1_10?keywords=Milwaukee+2553-22+M12+FUEL%E2%84%A2+1%2F4%22+Hex+Impact+Driver+Kit&amp;qid=1695174118&amp;sr=8-10")</f>
        <v>https://www.amazon.com/Milwaukee-2853-22-FUEL-Impact-Driver/dp/B07G9H57FM/ref=sr_1_10?keywords=Milwaukee+2553-22+M12+FUEL%E2%84%A2+1%2F4%22+Hex+Impact+Driver+Kit&amp;qid=1695174118&amp;sr=8-10</v>
      </c>
      <c r="F2641" t="s">
        <v>6688</v>
      </c>
      <c r="G2641" t="e">
        <f ca="1">_xludf.IMAGE("https://edmondsonsupply.com/cdn/shop/products/2553-22_Kit.webp?v=1668445129")</f>
        <v>#NAME?</v>
      </c>
      <c r="H2641" t="e">
        <f ca="1">_xludf.IMAGE("https://m.media-amazon.com/images/I/61U85JXP9NL._AC_UL320_.jpg")</f>
        <v>#NAME?</v>
      </c>
      <c r="I2641" t="s">
        <v>6689</v>
      </c>
      <c r="J2641">
        <v>339</v>
      </c>
      <c r="K2641" s="4">
        <v>1.0059</v>
      </c>
      <c r="L2641">
        <v>4.8</v>
      </c>
      <c r="M2641">
        <v>528</v>
      </c>
      <c r="O2641" t="s">
        <v>25</v>
      </c>
      <c r="P2641" t="s">
        <v>5012</v>
      </c>
      <c r="Q2641" t="s">
        <v>6690</v>
      </c>
    </row>
    <row r="2642" spans="1:17" ht="15.5" x14ac:dyDescent="0.35">
      <c r="A2642"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2642" s="3" t="str">
        <f>HYPERLINK("https://edmondsonsupply.com/products/diablo-tools-d0624x-6-1-2-in-24-tooth-framing-saw-blade", "https://edmondsonsupply.com/products/diablo-tools-d0624x-6-1-2-in-24-tooth-framing-saw-blade")</f>
        <v>https://edmondsonsupply.com/products/diablo-tools-d0624x-6-1-2-in-24-tooth-framing-saw-blade</v>
      </c>
      <c r="C2642" t="s">
        <v>6070</v>
      </c>
      <c r="D2642" t="s">
        <v>6691</v>
      </c>
      <c r="E2642" s="3" t="str">
        <f>HYPERLINK("https://www.amazon.com/Freud-D0624A-Diablo-Perma-Shield-Framing/dp/B00USC8HBO/ref=sr_1_9?keywords=Diablo+Tools+D0624X+6-1%2F2+in.+24-Tooth+Framing+Saw+Blade&amp;qid=1695174066&amp;sr=8-9", "https://www.amazon.com/Freud-D0624A-Diablo-Perma-Shield-Framing/dp/B00USC8HBO/ref=sr_1_9?keywords=Diablo+Tools+D0624X+6-1%2F2+in.+24-Tooth+Framing+Saw+Blade&amp;qid=1695174066&amp;sr=8-9")</f>
        <v>https://www.amazon.com/Freud-D0624A-Diablo-Perma-Shield-Framing/dp/B00USC8HBO/ref=sr_1_9?keywords=Diablo+Tools+D0624X+6-1%2F2+in.+24-Tooth+Framing+Saw+Blade&amp;qid=1695174066&amp;sr=8-9</v>
      </c>
      <c r="F2642" t="s">
        <v>6692</v>
      </c>
      <c r="G2642" t="e">
        <f ca="1">_xludf.IMAGE("https://edmondsonsupply.com/cdn/shop/products/mfin0gl4ono6qztsnrth.webp?v=1678982694")</f>
        <v>#NAME?</v>
      </c>
      <c r="H2642" t="e">
        <f ca="1">_xludf.IMAGE("https://m.media-amazon.com/images/I/61LSrBh6xtL._AC_UL320_.jpg")</f>
        <v>#NAME?</v>
      </c>
      <c r="I2642" t="s">
        <v>6073</v>
      </c>
      <c r="J2642">
        <v>24</v>
      </c>
      <c r="K2642" s="4">
        <v>1.0049999999999999</v>
      </c>
      <c r="L2642">
        <v>4.7</v>
      </c>
      <c r="M2642">
        <v>408</v>
      </c>
      <c r="O2642" t="s">
        <v>25</v>
      </c>
      <c r="P2642" t="s">
        <v>6074</v>
      </c>
      <c r="Q2642" t="s">
        <v>6075</v>
      </c>
    </row>
    <row r="2643" spans="1:17" ht="15.5" x14ac:dyDescent="0.35">
      <c r="A2643" s="3" t="str">
        <f>HYPERLINK("https://edmondsonsupply.com/collections/electricians-tools/products/klein-tools-60492-lightweight-knee-pad-sleeves-m-l", "https://edmondsonsupply.com/collections/electricians-tools/products/klein-tools-60492-lightweight-knee-pad-sleeves-m-l")</f>
        <v>https://edmondsonsupply.com/collections/electricians-tools/products/klein-tools-60492-lightweight-knee-pad-sleeves-m-l</v>
      </c>
      <c r="B2643" s="3" t="str">
        <f>HYPERLINK("https://edmondsonsupply.com/products/klein-tools-60492-lightweight-knee-pad-sleeves-m-l", "https://edmondsonsupply.com/products/klein-tools-60492-lightweight-knee-pad-sleeves-m-l")</f>
        <v>https://edmondsonsupply.com/products/klein-tools-60492-lightweight-knee-pad-sleeves-m-l</v>
      </c>
      <c r="C2643" t="s">
        <v>890</v>
      </c>
      <c r="D2643" t="s">
        <v>891</v>
      </c>
      <c r="E2643" s="3" t="str">
        <f>HYPERLINK("https://www.amazon.com/Klein-Tools-60615-Breathable-Slip-Resistant/dp/B0BWB8VW7J/ref=sr_1_3?keywords=Klein+Tools+60492+Lightweight+Knee+Pad+Sleeves%2C+M%2FL&amp;qid=1695174171&amp;sr=8-3", "https://www.amazon.com/Klein-Tools-60615-Breathable-Slip-Resistant/dp/B0BWB8VW7J/ref=sr_1_3?keywords=Klein+Tools+60492+Lightweight+Knee+Pad+Sleeves%2C+M%2FL&amp;qid=1695174171&amp;sr=8-3")</f>
        <v>https://www.amazon.com/Klein-Tools-60615-Breathable-Slip-Resistant/dp/B0BWB8VW7J/ref=sr_1_3?keywords=Klein+Tools+60492+Lightweight+Knee+Pad+Sleeves%2C+M%2FL&amp;qid=1695174171&amp;sr=8-3</v>
      </c>
      <c r="F2643" t="s">
        <v>892</v>
      </c>
      <c r="G2643" t="e">
        <f ca="1">_xludf.IMAGE("https://edmondsonsupply.com/cdn/shop/products/60492_60592_photo.jpg?v=1663255234")</f>
        <v>#NAME?</v>
      </c>
      <c r="H2643" t="e">
        <f ca="1">_xludf.IMAGE("https://m.media-amazon.com/images/I/61FKkSJ3xeL._AC_UL320_.jpg")</f>
        <v>#NAME?</v>
      </c>
      <c r="I2643" t="s">
        <v>893</v>
      </c>
      <c r="J2643">
        <v>39.99</v>
      </c>
      <c r="K2643" s="4">
        <v>1.0024999999999999</v>
      </c>
      <c r="L2643">
        <v>4</v>
      </c>
      <c r="M2643">
        <v>18</v>
      </c>
      <c r="O2643" t="s">
        <v>25</v>
      </c>
      <c r="P2643" t="s">
        <v>894</v>
      </c>
      <c r="Q2643" t="s">
        <v>895</v>
      </c>
    </row>
    <row r="2644" spans="1:17" ht="15.5" x14ac:dyDescent="0.35">
      <c r="A2644"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2644"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2644" t="s">
        <v>6693</v>
      </c>
      <c r="D2644" t="s">
        <v>6694</v>
      </c>
      <c r="E2644" s="3" t="str">
        <f>HYPERLINK("https://www.amazon.com/Klein-Tools-80079-Rechargeable-Flashlight/dp/B0B11GSP2C/ref=sr_1_4?keywords=Klein+Tools+56411+Rechargeable+Waterproof+LED+Pocket+Light+with+Lanyard&amp;qid=1695174156&amp;sr=8-4", "https://www.amazon.com/Klein-Tools-80079-Rechargeable-Flashlight/dp/B0B11GSP2C/ref=sr_1_4?keywords=Klein+Tools+56411+Rechargeable+Waterproof+LED+Pocket+Light+with+Lanyard&amp;qid=1695174156&amp;sr=8-4")</f>
        <v>https://www.amazon.com/Klein-Tools-80079-Rechargeable-Flashlight/dp/B0B11GSP2C/ref=sr_1_4?keywords=Klein+Tools+56411+Rechargeable+Waterproof+LED+Pocket+Light+with+Lanyard&amp;qid=1695174156&amp;sr=8-4</v>
      </c>
      <c r="F2644" t="s">
        <v>6695</v>
      </c>
      <c r="G2644" t="e">
        <f ca="1">_xludf.IMAGE("https://edmondsonsupply.com/cdn/shop/products/56411.jpg?v=1663952448")</f>
        <v>#NAME?</v>
      </c>
      <c r="H2644" t="e">
        <f ca="1">_xludf.IMAGE("https://m.media-amazon.com/images/I/61kxSho0oaL._AC_UL320_.jpg")</f>
        <v>#NAME?</v>
      </c>
      <c r="I2644" t="s">
        <v>824</v>
      </c>
      <c r="J2644">
        <v>59.99</v>
      </c>
      <c r="K2644" s="4">
        <v>1.0017</v>
      </c>
      <c r="L2644">
        <v>4.9000000000000004</v>
      </c>
      <c r="M2644">
        <v>22</v>
      </c>
      <c r="O2644" t="s">
        <v>25</v>
      </c>
      <c r="P2644" t="s">
        <v>825</v>
      </c>
      <c r="Q2644" t="s">
        <v>6696</v>
      </c>
    </row>
    <row r="2645" spans="1:17" ht="15.5" x14ac:dyDescent="0.35">
      <c r="A2645" s="3" t="str">
        <f>HYPERLINK("https://edmondsonsupply.com/collections/electricians-tools/products/klein-tools-srs56038-polymer-fish-rod-set-glow-in-the-dark", "https://edmondsonsupply.com/collections/electricians-tools/products/klein-tools-srs56038-polymer-fish-rod-set-glow-in-the-dark")</f>
        <v>https://edmondsonsupply.com/collections/electricians-tools/products/klein-tools-srs56038-polymer-fish-rod-set-glow-in-the-dark</v>
      </c>
      <c r="B2645" s="3" t="str">
        <f>HYPERLINK("https://edmondsonsupply.com/products/klein-tools-srs56038-polymer-fish-rod-set-glow-in-the-dark", "https://edmondsonsupply.com/products/klein-tools-srs56038-polymer-fish-rod-set-glow-in-the-dark")</f>
        <v>https://edmondsonsupply.com/products/klein-tools-srs56038-polymer-fish-rod-set-glow-in-the-dark</v>
      </c>
      <c r="C2645" t="s">
        <v>2467</v>
      </c>
      <c r="D2645" t="s">
        <v>2468</v>
      </c>
      <c r="E2645" s="3" t="str">
        <f>HYPERLINK("https://www.amazon.com/Klein-Tools-50660-Stainless-Steel-Attachments/dp/B0BVJXRH9J/ref=sr_1_2?keywords=Klein+Tools+SRS56038+Polymer+Fish+Rod+Set+Glow-in-The-Dark&amp;qid=1695173917&amp;sr=8-2", "https://www.amazon.com/Klein-Tools-50660-Stainless-Steel-Attachments/dp/B0BVJXRH9J/ref=sr_1_2?keywords=Klein+Tools+SRS56038+Polymer+Fish+Rod+Set+Glow-in-The-Dark&amp;qid=1695173917&amp;sr=8-2")</f>
        <v>https://www.amazon.com/Klein-Tools-50660-Stainless-Steel-Attachments/dp/B0BVJXRH9J/ref=sr_1_2?keywords=Klein+Tools+SRS56038+Polymer+Fish+Rod+Set+Glow-in-The-Dark&amp;qid=1695173917&amp;sr=8-2</v>
      </c>
      <c r="F2645" t="s">
        <v>2469</v>
      </c>
      <c r="G2645" t="e">
        <f ca="1">_xludf.IMAGE("https://edmondsonsupply.com/cdn/shop/products/srs56038.jpg?v=1633030781")</f>
        <v>#NAME?</v>
      </c>
      <c r="H2645" t="e">
        <f ca="1">_xludf.IMAGE("https://m.media-amazon.com/images/I/61TfZQjceGL._AC_UL320_.jpg")</f>
        <v>#NAME?</v>
      </c>
      <c r="I2645" t="s">
        <v>824</v>
      </c>
      <c r="J2645">
        <v>59.97</v>
      </c>
      <c r="K2645" s="4">
        <v>1.0009999999999999</v>
      </c>
      <c r="L2645">
        <v>4.0999999999999996</v>
      </c>
      <c r="M2645">
        <v>6</v>
      </c>
      <c r="O2645" t="s">
        <v>25</v>
      </c>
      <c r="P2645" t="s">
        <v>2470</v>
      </c>
      <c r="Q2645" t="s">
        <v>2471</v>
      </c>
    </row>
    <row r="2646" spans="1:17" ht="15.5" x14ac:dyDescent="0.35">
      <c r="A2646"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646" s="3" t="str">
        <f>HYPERLINK("https://edmondsonsupply.com/products/klein-tools-32305-15-in-1-multi-bit-ratcheting-screwdriver", "https://edmondsonsupply.com/products/klein-tools-32305-15-in-1-multi-bit-ratcheting-screwdriver")</f>
        <v>https://edmondsonsupply.com/products/klein-tools-32305-15-in-1-multi-bit-ratcheting-screwdriver</v>
      </c>
      <c r="C2646" t="s">
        <v>6262</v>
      </c>
      <c r="D2646" t="s">
        <v>6697</v>
      </c>
      <c r="E2646" s="3" t="str">
        <f>HYPERLINK("https://www.amazon.com/Klein-Tools-Screwdriver-Multi-bit-Ratcheting/dp/B0CGZMVQLX/ref=sr_1_3?keywords=Klein+Tools+32305+15-in-1+Multi-Bit+Ratcheting+Screwdriver&amp;qid=1695174215&amp;sr=8-3", "https://www.amazon.com/Klein-Tools-Screwdriver-Multi-bit-Ratcheting/dp/B0CGZMVQLX/ref=sr_1_3?keywords=Klein+Tools+32305+15-in-1+Multi-Bit+Ratcheting+Screwdriver&amp;qid=1695174215&amp;sr=8-3")</f>
        <v>https://www.amazon.com/Klein-Tools-Screwdriver-Multi-bit-Ratcheting/dp/B0CGZMVQLX/ref=sr_1_3?keywords=Klein+Tools+32305+15-in-1+Multi-Bit+Ratcheting+Screwdriver&amp;qid=1695174215&amp;sr=8-3</v>
      </c>
      <c r="F2646" t="s">
        <v>6698</v>
      </c>
      <c r="G2646" t="e">
        <f ca="1">_xludf.IMAGE("https://edmondsonsupply.com/cdn/shop/products/32305.jpg?v=1646965475")</f>
        <v>#NAME?</v>
      </c>
      <c r="H2646" t="e">
        <f ca="1">_xludf.IMAGE("https://m.media-amazon.com/images/I/517jUHF-i4L._AC_UL320_.jpg")</f>
        <v>#NAME?</v>
      </c>
      <c r="I2646" t="s">
        <v>2247</v>
      </c>
      <c r="J2646">
        <v>43.96</v>
      </c>
      <c r="K2646" s="4">
        <v>1.0008999999999999</v>
      </c>
      <c r="L2646">
        <v>4.8</v>
      </c>
      <c r="M2646">
        <v>13277</v>
      </c>
      <c r="O2646" t="s">
        <v>25</v>
      </c>
      <c r="P2646" t="s">
        <v>6200</v>
      </c>
      <c r="Q2646" t="s">
        <v>6265</v>
      </c>
    </row>
    <row r="2647" spans="1:17" ht="15.5" x14ac:dyDescent="0.35">
      <c r="A2647"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2647"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2647" t="s">
        <v>896</v>
      </c>
      <c r="D2647" t="s">
        <v>882</v>
      </c>
      <c r="E2647" s="3" t="str">
        <f>HYPERLINK("https://www.amazon.com/Klein-Tools-60539-Professional-Protective/dp/B0BLQ6F4MQ/ref=sr_1_3?keywords=Klein+Tools+60537+Professional+Safety+Glasses%2C+Full-Frame%2C+Indoor%2FOutdoor+Lens&amp;qid=1695174097&amp;sr=8-3", "https://www.amazon.com/Klein-Tools-60539-Professional-Protective/dp/B0BLQ6F4MQ/ref=sr_1_3?keywords=Klein+Tools+60537+Professional+Safety+Glasses%2C+Full-Frame%2C+Indoor%2FOutdoor+Lens&amp;qid=1695174097&amp;sr=8-3")</f>
        <v>https://www.amazon.com/Klein-Tools-60539-Professional-Protective/dp/B0BLQ6F4MQ/ref=sr_1_3?keywords=Klein+Tools+60537+Professional+Safety+Glasses%2C+Full-Frame%2C+Indoor%2FOutdoor+Lens&amp;qid=1695174097&amp;sr=8-3</v>
      </c>
      <c r="F2647" t="s">
        <v>883</v>
      </c>
      <c r="G2647" t="e">
        <f ca="1">_xludf.IMAGE("https://edmondsonsupply.com/cdn/shop/products/60537.jpg?v=1670947087")</f>
        <v>#NAME?</v>
      </c>
      <c r="H2647" t="e">
        <f ca="1">_xludf.IMAGE("https://m.media-amazon.com/images/I/41z93jotzdL._AC_UL320_.jpg")</f>
        <v>#NAME?</v>
      </c>
      <c r="I2647" t="s">
        <v>276</v>
      </c>
      <c r="J2647">
        <v>29.99</v>
      </c>
      <c r="K2647" s="4">
        <v>1.0006999999999999</v>
      </c>
      <c r="L2647">
        <v>4.4000000000000004</v>
      </c>
      <c r="M2647">
        <v>11</v>
      </c>
      <c r="O2647" t="s">
        <v>25</v>
      </c>
      <c r="P2647" t="s">
        <v>277</v>
      </c>
      <c r="Q2647" t="s">
        <v>897</v>
      </c>
    </row>
    <row r="2648" spans="1:17" ht="15.5" x14ac:dyDescent="0.35">
      <c r="A2648"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2648"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2648" t="s">
        <v>851</v>
      </c>
      <c r="D2648" t="s">
        <v>882</v>
      </c>
      <c r="E2648" s="3" t="str">
        <f>HYPERLINK("https://www.amazon.com/Klein-Tools-60539-Professional-Protective/dp/B0BLQ6F4MQ/ref=sr_1_9?keywords=Klein+Tools+60163+Professional+Safety+Glasses%2C+Full+Frame%2C+Clear+Lens&amp;qid=1695174311&amp;sr=8-9", "https://www.amazon.com/Klein-Tools-60539-Professional-Protective/dp/B0BLQ6F4MQ/ref=sr_1_9?keywords=Klein+Tools+60163+Professional+Safety+Glasses%2C+Full+Frame%2C+Clear+Lens&amp;qid=1695174311&amp;sr=8-9")</f>
        <v>https://www.amazon.com/Klein-Tools-60539-Professional-Protective/dp/B0BLQ6F4MQ/ref=sr_1_9?keywords=Klein+Tools+60163+Professional+Safety+Glasses%2C+Full+Frame%2C+Clear+Lens&amp;qid=1695174311&amp;sr=8-9</v>
      </c>
      <c r="F2648" t="s">
        <v>883</v>
      </c>
      <c r="G2648" t="e">
        <f ca="1">_xludf.IMAGE("https://edmondsonsupply.com/cdn/shop/products/60163.jpg?v=1633030848")</f>
        <v>#NAME?</v>
      </c>
      <c r="H2648" t="e">
        <f ca="1">_xludf.IMAGE("https://m.media-amazon.com/images/I/41z93jotzdL._AC_UL320_.jpg")</f>
        <v>#NAME?</v>
      </c>
      <c r="I2648" t="s">
        <v>276</v>
      </c>
      <c r="J2648">
        <v>29.99</v>
      </c>
      <c r="K2648" s="4">
        <v>1.0006999999999999</v>
      </c>
      <c r="L2648">
        <v>4.4000000000000004</v>
      </c>
      <c r="M2648">
        <v>11</v>
      </c>
      <c r="O2648" t="s">
        <v>25</v>
      </c>
      <c r="P2648" t="s">
        <v>277</v>
      </c>
      <c r="Q2648" t="s">
        <v>852</v>
      </c>
    </row>
    <row r="2649" spans="1:17" ht="15.5" x14ac:dyDescent="0.35">
      <c r="A2649"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2649"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2649" t="s">
        <v>1848</v>
      </c>
      <c r="D2649" t="s">
        <v>882</v>
      </c>
      <c r="E2649" s="3" t="str">
        <f>HYPERLINK("https://www.amazon.com/Klein-Tools-60539-Professional-Protective/dp/B0BLQ6F4MQ/ref=sr_1_7?keywords=Klein+Tools+60164+Professional+Safety+Glasses%2C+Full+Frame%2C+Gray+Lens&amp;qid=1695173933&amp;sr=8-7", "https://www.amazon.com/Klein-Tools-60539-Professional-Protective/dp/B0BLQ6F4MQ/ref=sr_1_7?keywords=Klein+Tools+60164+Professional+Safety+Glasses%2C+Full+Frame%2C+Gray+Lens&amp;qid=1695173933&amp;sr=8-7")</f>
        <v>https://www.amazon.com/Klein-Tools-60539-Professional-Protective/dp/B0BLQ6F4MQ/ref=sr_1_7?keywords=Klein+Tools+60164+Professional+Safety+Glasses%2C+Full+Frame%2C+Gray+Lens&amp;qid=1695173933&amp;sr=8-7</v>
      </c>
      <c r="F2649" t="s">
        <v>883</v>
      </c>
      <c r="G2649" t="e">
        <f ca="1">_xludf.IMAGE("https://edmondsonsupply.com/cdn/shop/products/60164.jpg?v=1633030851")</f>
        <v>#NAME?</v>
      </c>
      <c r="H2649" t="e">
        <f ca="1">_xludf.IMAGE("https://m.media-amazon.com/images/I/41z93jotzdL._AC_UL320_.jpg")</f>
        <v>#NAME?</v>
      </c>
      <c r="I2649" t="s">
        <v>276</v>
      </c>
      <c r="J2649">
        <v>29.99</v>
      </c>
      <c r="K2649" s="4">
        <v>1.0006999999999999</v>
      </c>
      <c r="L2649">
        <v>4.4000000000000004</v>
      </c>
      <c r="M2649">
        <v>11</v>
      </c>
      <c r="O2649" t="s">
        <v>25</v>
      </c>
      <c r="P2649" t="s">
        <v>277</v>
      </c>
      <c r="Q2649" t="s">
        <v>1849</v>
      </c>
    </row>
    <row r="2650" spans="1:17" ht="15.5" x14ac:dyDescent="0.35">
      <c r="A2650" s="3" t="str">
        <f>HYPERLINK("https://edmondsonsupply.com/collections/electricians-tools/products/klein-tools-60614-lightweight-knee-pad-sleeves-s-m", "https://edmondsonsupply.com/collections/electricians-tools/products/klein-tools-60614-lightweight-knee-pad-sleeves-s-m")</f>
        <v>https://edmondsonsupply.com/collections/electricians-tools/products/klein-tools-60614-lightweight-knee-pad-sleeves-s-m</v>
      </c>
      <c r="B2650" s="3" t="str">
        <f>HYPERLINK("https://edmondsonsupply.com/products/klein-tools-60614-lightweight-knee-pad-sleeves-s-m", "https://edmondsonsupply.com/products/klein-tools-60614-lightweight-knee-pad-sleeves-s-m")</f>
        <v>https://edmondsonsupply.com/products/klein-tools-60614-lightweight-knee-pad-sleeves-s-m</v>
      </c>
      <c r="C2650" t="s">
        <v>898</v>
      </c>
      <c r="D2650" t="s">
        <v>891</v>
      </c>
      <c r="E2650" s="3" t="str">
        <f>HYPERLINK("https://www.amazon.com/Klein-Tools-60615-Breathable-Slip-Resistant/dp/B0BWB8VW7J/ref=sr_1_2?keywords=Klein+Tools+60614+Lightweight+Knee+Pad+Sleeves%2C+S%2FM&amp;qid=1695174023&amp;sr=8-2", "https://www.amazon.com/Klein-Tools-60615-Breathable-Slip-Resistant/dp/B0BWB8VW7J/ref=sr_1_2?keywords=Klein+Tools+60614+Lightweight+Knee+Pad+Sleeves%2C+S%2FM&amp;qid=1695174023&amp;sr=8-2")</f>
        <v>https://www.amazon.com/Klein-Tools-60615-Breathable-Slip-Resistant/dp/B0BWB8VW7J/ref=sr_1_2?keywords=Klein+Tools+60614+Lightweight+Knee+Pad+Sleeves%2C+S%2FM&amp;qid=1695174023&amp;sr=8-2</v>
      </c>
      <c r="F2650" t="s">
        <v>892</v>
      </c>
      <c r="G2650" t="e">
        <f ca="1">_xludf.IMAGE("https://edmondsonsupply.com/cdn/shop/products/60492_60592_photo_4859ff57-33ad-45f9-87df-8dc6b9372281.jpg?v=1681742927")</f>
        <v>#NAME?</v>
      </c>
      <c r="H2650" t="e">
        <f ca="1">_xludf.IMAGE("https://m.media-amazon.com/images/I/61FKkSJ3xeL._AC_UL320_.jpg")</f>
        <v>#NAME?</v>
      </c>
      <c r="I2650" t="s">
        <v>577</v>
      </c>
      <c r="J2650">
        <v>39.99</v>
      </c>
      <c r="K2650" s="4">
        <v>1.0004999999999999</v>
      </c>
      <c r="L2650">
        <v>4</v>
      </c>
      <c r="M2650">
        <v>18</v>
      </c>
      <c r="O2650" t="s">
        <v>25</v>
      </c>
      <c r="P2650" t="s">
        <v>894</v>
      </c>
      <c r="Q2650" t="s">
        <v>899</v>
      </c>
    </row>
    <row r="2651" spans="1:17" ht="15.5" x14ac:dyDescent="0.35">
      <c r="A2651"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2651" s="3" t="str">
        <f>HYPERLINK("https://edmondsonsupply.com/products/klein-tools-d507-8-adjustable-wrench-extra-capacity-8-inch", "https://edmondsonsupply.com/products/klein-tools-d507-8-adjustable-wrench-extra-capacity-8-inch")</f>
        <v>https://edmondsonsupply.com/products/klein-tools-d507-8-adjustable-wrench-extra-capacity-8-inch</v>
      </c>
      <c r="C2651" t="s">
        <v>6699</v>
      </c>
      <c r="D2651" t="s">
        <v>4725</v>
      </c>
      <c r="E2651" s="3" t="str">
        <f>HYPERLINK("https://www.amazon.com/Klein-Tools-S18HB-Adjustable-Adjusts/dp/B0BN4LGV19/ref=sr_1_7?keywords=Klein+Tools+D507-8+Adjustable+Wrench%2C+Extra+Capacity+8-Inch&amp;qid=1695173949&amp;sr=8-7", "https://www.amazon.com/Klein-Tools-S18HB-Adjustable-Adjusts/dp/B0BN4LGV19/ref=sr_1_7?keywords=Klein+Tools+D507-8+Adjustable+Wrench%2C+Extra+Capacity+8-Inch&amp;qid=1695173949&amp;sr=8-7")</f>
        <v>https://www.amazon.com/Klein-Tools-S18HB-Adjustable-Adjusts/dp/B0BN4LGV19/ref=sr_1_7?keywords=Klein+Tools+D507-8+Adjustable+Wrench%2C+Extra+Capacity+8-Inch&amp;qid=1695173949&amp;sr=8-7</v>
      </c>
      <c r="F2651" t="s">
        <v>4726</v>
      </c>
      <c r="G2651" t="e">
        <f ca="1">_xludf.IMAGE("https://edmondsonsupply.com/cdn/shop/products/d5078_b.jpg?v=1666010497")</f>
        <v>#NAME?</v>
      </c>
      <c r="H2651" t="e">
        <f ca="1">_xludf.IMAGE("https://m.media-amazon.com/images/I/51WZHZOQNPL._AC_UL320_.jpg")</f>
        <v>#NAME?</v>
      </c>
      <c r="I2651" t="s">
        <v>26</v>
      </c>
      <c r="J2651">
        <v>59.99</v>
      </c>
      <c r="K2651" s="4">
        <v>1.0003</v>
      </c>
      <c r="L2651">
        <v>4.2</v>
      </c>
      <c r="M2651">
        <v>9</v>
      </c>
      <c r="O2651" t="s">
        <v>25</v>
      </c>
      <c r="P2651" t="s">
        <v>1327</v>
      </c>
      <c r="Q2651" t="s">
        <v>6700</v>
      </c>
    </row>
    <row r="2652" spans="1:17" ht="15.5" x14ac:dyDescent="0.35">
      <c r="A2652"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2652" s="3" t="str">
        <f>HYPERLINK("https://edmondsonsupply.com/products/klein-tools-60345-hard-hat-earmuffs-full-brim-style", "https://edmondsonsupply.com/products/klein-tools-60345-hard-hat-earmuffs-full-brim-style")</f>
        <v>https://edmondsonsupply.com/products/klein-tools-60345-hard-hat-earmuffs-full-brim-style</v>
      </c>
      <c r="C2652" t="s">
        <v>868</v>
      </c>
      <c r="D2652" t="s">
        <v>900</v>
      </c>
      <c r="E2652" s="3" t="str">
        <f>HYPERLINK("https://www.amazon.com/Klein-Tools-60407RL-Rechargeable-Odor-Resistant/dp/B08DDTV9M3/ref=sr_1_7?keywords=Klein+Tools+60502+Hard+Hat+Earmuffs%2C+Full+Brim+Style&amp;qid=1695174082&amp;sr=8-7", "https://www.amazon.com/Klein-Tools-60407RL-Rechargeable-Odor-Resistant/dp/B08DDTV9M3/ref=sr_1_7?keywords=Klein+Tools+60502+Hard+Hat+Earmuffs%2C+Full+Brim+Style&amp;qid=1695174082&amp;sr=8-7")</f>
        <v>https://www.amazon.com/Klein-Tools-60407RL-Rechargeable-Odor-Resistant/dp/B08DDTV9M3/ref=sr_1_7?keywords=Klein+Tools+60502+Hard+Hat+Earmuffs%2C+Full+Brim+Style&amp;qid=1695174082&amp;sr=8-7</v>
      </c>
      <c r="F2652" t="s">
        <v>901</v>
      </c>
      <c r="G2652" t="e">
        <f ca="1">_xludf.IMAGE("https://edmondsonsupply.com/cdn/shop/products/60502.jpg?v=1674486730")</f>
        <v>#NAME?</v>
      </c>
      <c r="H2652" t="e">
        <f ca="1">_xludf.IMAGE("https://m.media-amazon.com/images/I/61w2MM+yDgL._AC_UL320_.jpg")</f>
        <v>#NAME?</v>
      </c>
      <c r="I2652" t="s">
        <v>26</v>
      </c>
      <c r="J2652">
        <v>59.99</v>
      </c>
      <c r="K2652" s="4">
        <v>1.0003</v>
      </c>
      <c r="L2652">
        <v>4.7</v>
      </c>
      <c r="M2652">
        <v>1577</v>
      </c>
      <c r="O2652" t="s">
        <v>25</v>
      </c>
      <c r="P2652" t="s">
        <v>562</v>
      </c>
      <c r="Q2652" t="s">
        <v>871</v>
      </c>
    </row>
    <row r="2653" spans="1:17" ht="15.5" x14ac:dyDescent="0.35">
      <c r="A2653" s="3" t="str">
        <f>HYPERLINK("https://edmondsonsupply.com/collections/electricians-tools/products/klein-tools-32717-all-in-1-precision-screwdriver-set-with-case", "https://edmondsonsupply.com/collections/electricians-tools/products/klein-tools-32717-all-in-1-precision-screwdriver-set-with-case")</f>
        <v>https://edmondsonsupply.com/collections/electricians-tools/products/klein-tools-32717-all-in-1-precision-screwdriver-set-with-case</v>
      </c>
      <c r="B2653" s="3" t="str">
        <f>HYPERLINK("https://edmondsonsupply.com/products/klein-tools-32717-all-in-1-precision-screwdriver-set-with-case", "https://edmondsonsupply.com/products/klein-tools-32717-all-in-1-precision-screwdriver-set-with-case")</f>
        <v>https://edmondsonsupply.com/products/klein-tools-32717-all-in-1-precision-screwdriver-set-with-case</v>
      </c>
      <c r="C2653" t="s">
        <v>6701</v>
      </c>
      <c r="D2653" t="s">
        <v>6702</v>
      </c>
      <c r="E2653" s="3" t="str">
        <f>HYPERLINK("https://www.amazon.com/Klein-Tools-Screwdriver-Precision-Multi-Function/dp/B0BGPXB5KD/ref=sr_1_2?keywords=Klein+Tools+32717+All-in-1+Precision+Screwdriver+Set+with+Case&amp;qid=1695174242&amp;sr=8-2", "https://www.amazon.com/Klein-Tools-Screwdriver-Precision-Multi-Function/dp/B0BGPXB5KD/ref=sr_1_2?keywords=Klein+Tools+32717+All-in-1+Precision+Screwdriver+Set+with+Case&amp;qid=1695174242&amp;sr=8-2")</f>
        <v>https://www.amazon.com/Klein-Tools-Screwdriver-Precision-Multi-Function/dp/B0BGPXB5KD/ref=sr_1_2?keywords=Klein+Tools+32717+All-in-1+Precision+Screwdriver+Set+with+Case&amp;qid=1695174242&amp;sr=8-2</v>
      </c>
      <c r="F2653" t="s">
        <v>6703</v>
      </c>
      <c r="G2653" t="e">
        <f ca="1">_xludf.IMAGE("https://edmondsonsupply.com/cdn/shop/products/32717.jpg?v=1633031161")</f>
        <v>#NAME?</v>
      </c>
      <c r="H2653" t="e">
        <f ca="1">_xludf.IMAGE("https://m.media-amazon.com/images/I/51iOtnRuEmL._AC_UL320_.jpg")</f>
        <v>#NAME?</v>
      </c>
      <c r="I2653" t="s">
        <v>824</v>
      </c>
      <c r="J2653">
        <v>59.94</v>
      </c>
      <c r="K2653" s="4">
        <v>1</v>
      </c>
      <c r="L2653">
        <v>3.9</v>
      </c>
      <c r="M2653">
        <v>4</v>
      </c>
      <c r="O2653" t="s">
        <v>25</v>
      </c>
      <c r="P2653" t="s">
        <v>562</v>
      </c>
      <c r="Q2653" t="s">
        <v>6704</v>
      </c>
    </row>
    <row r="2654" spans="1:17" ht="15.5" x14ac:dyDescent="0.35">
      <c r="A2654" s="3" t="str">
        <f>HYPERLINK("https://edmondsonsupply.com/collections/electricians-tools/products/klein-tools-33736ins", "https://edmondsonsupply.com/collections/electricians-tools/products/klein-tools-33736ins")</f>
        <v>https://edmondsonsupply.com/collections/electricians-tools/products/klein-tools-33736ins</v>
      </c>
      <c r="B2654" s="3" t="str">
        <f>HYPERLINK("https://edmondsonsupply.com/products/klein-tools-33736ins", "https://edmondsonsupply.com/products/klein-tools-33736ins")</f>
        <v>https://edmondsonsupply.com/products/klein-tools-33736ins</v>
      </c>
      <c r="C2654" t="s">
        <v>1928</v>
      </c>
      <c r="D2654" t="s">
        <v>6705</v>
      </c>
      <c r="E2654" s="3" t="str">
        <f>HYPERLINK("https://www.amazon.com/Klein-Tools-Insulated-Screwdriver-Interchangeable/dp/B0BFXQ67BR/ref=sr_1_4?keywords=Klein+Tools+33736INS+Screwdriver+Set%2C+1000V+Slim-Tip+Insulated+and+Magnetizer%2C+6-Piece&amp;qid=1695173911&amp;sr=8-4", "https://www.amazon.com/Klein-Tools-Insulated-Screwdriver-Interchangeable/dp/B0BFXQ67BR/ref=sr_1_4?keywords=Klein+Tools+33736INS+Screwdriver+Set%2C+1000V+Slim-Tip+Insulated+and+Magnetizer%2C+6-Piece&amp;qid=1695173911&amp;sr=8-4")</f>
        <v>https://www.amazon.com/Klein-Tools-Insulated-Screwdriver-Interchangeable/dp/B0BFXQ67BR/ref=sr_1_4?keywords=Klein+Tools+33736INS+Screwdriver+Set%2C+1000V+Slim-Tip+Insulated+and+Magnetizer%2C+6-Piece&amp;qid=1695173911&amp;sr=8-4</v>
      </c>
      <c r="F2654" t="s">
        <v>6706</v>
      </c>
      <c r="G2654" t="e">
        <f ca="1">_xludf.IMAGE("https://edmondsonsupply.com/cdn/shop/products/33736ins.jpg?v=1664807705")</f>
        <v>#NAME?</v>
      </c>
      <c r="H2654" t="e">
        <f ca="1">_xludf.IMAGE("https://m.media-amazon.com/images/I/51RxT3qQViL._AC_UL320_.jpg")</f>
        <v>#NAME?</v>
      </c>
      <c r="I2654" t="s">
        <v>1931</v>
      </c>
      <c r="J2654">
        <v>99.98</v>
      </c>
      <c r="K2654" s="4">
        <v>1</v>
      </c>
      <c r="L2654">
        <v>5</v>
      </c>
      <c r="M2654">
        <v>1</v>
      </c>
      <c r="O2654" t="s">
        <v>25</v>
      </c>
      <c r="P2654" t="s">
        <v>1932</v>
      </c>
      <c r="Q2654" t="s">
        <v>1933</v>
      </c>
    </row>
    <row r="2655" spans="1:17" ht="15.5" x14ac:dyDescent="0.35">
      <c r="A2655"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2655" s="3" t="str">
        <f>HYPERLINK("https://edmondsonsupply.com/products/klein-tools-94130-1000v-insulated-tool-kit-5-piece", "https://edmondsonsupply.com/products/klein-tools-94130-1000v-insulated-tool-kit-5-piece")</f>
        <v>https://edmondsonsupply.com/products/klein-tools-94130-1000v-insulated-tool-kit-5-piece</v>
      </c>
      <c r="C2655" t="s">
        <v>2221</v>
      </c>
      <c r="D2655" t="s">
        <v>2478</v>
      </c>
      <c r="E2655" s="3" t="str">
        <f>HYPERLINK("https://www.amazon.com/Klein-Tools-Screwdriver-16-Piece-Insulated/dp/B0BD4188RR/ref=sr_1_5?keywords=Klein+Tools+94130+1000V+Insulated+Tool+Kit%2C+5-Piece&amp;qid=1695173888&amp;sr=8-5", "https://www.amazon.com/Klein-Tools-Screwdriver-16-Piece-Insulated/dp/B0BD4188RR/ref=sr_1_5?keywords=Klein+Tools+94130+1000V+Insulated+Tool+Kit%2C+5-Piece&amp;qid=1695173888&amp;sr=8-5")</f>
        <v>https://www.amazon.com/Klein-Tools-Screwdriver-16-Piece-Insulated/dp/B0BD4188RR/ref=sr_1_5?keywords=Klein+Tools+94130+1000V+Insulated+Tool+Kit%2C+5-Piece&amp;qid=1695173888&amp;sr=8-5</v>
      </c>
      <c r="F2655" t="s">
        <v>2479</v>
      </c>
      <c r="G2655" t="e">
        <f ca="1">_xludf.IMAGE("https://edmondsonsupply.com/cdn/shop/products/94130.jpg?v=1633030386")</f>
        <v>#NAME?</v>
      </c>
      <c r="H2655" t="e">
        <f ca="1">_xludf.IMAGE("https://m.media-amazon.com/images/I/51KtSSZfJ+L._AC_UL320_.jpg")</f>
        <v>#NAME?</v>
      </c>
      <c r="I2655" t="s">
        <v>2224</v>
      </c>
      <c r="J2655">
        <v>199.98</v>
      </c>
      <c r="K2655" s="4">
        <v>1</v>
      </c>
      <c r="L2655">
        <v>5</v>
      </c>
      <c r="M2655">
        <v>1</v>
      </c>
      <c r="O2655" t="s">
        <v>25</v>
      </c>
      <c r="P2655" t="s">
        <v>2225</v>
      </c>
      <c r="Q2655" t="s">
        <v>2226</v>
      </c>
    </row>
    <row r="2656" spans="1:17" ht="15.5" x14ac:dyDescent="0.35">
      <c r="A2656"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2656" s="3" t="str">
        <f>HYPERLINK("https://edmondsonsupply.com/products/klein-tools-55559-stand-up-zipper-bags-7-inch-and-14-inch-2-pack", "https://edmondsonsupply.com/products/klein-tools-55559-stand-up-zipper-bags-7-inch-and-14-inch-2-pack")</f>
        <v>https://edmondsonsupply.com/products/klein-tools-55559-stand-up-zipper-bags-7-inch-and-14-inch-2-pack</v>
      </c>
      <c r="C2656" t="s">
        <v>273</v>
      </c>
      <c r="D2656" t="s">
        <v>335</v>
      </c>
      <c r="E2656" s="3" t="str">
        <f>HYPERLINK("https://www.amazon.com/Klein-Tools-Stand-Up-14-Inch-Utility/dp/B0BNL5LYJJ/ref=sr_1_2?keywords=Klein+Tools+55559+Stand-up+Zipper+Bags%2C+7-Inch+and+14-Inch%2C+2-Pack&amp;qid=1695174132&amp;sr=8-2", "https://www.amazon.com/Klein-Tools-Stand-Up-14-Inch-Utility/dp/B0BNL5LYJJ/ref=sr_1_2?keywords=Klein+Tools+55559+Stand-up+Zipper+Bags%2C+7-Inch+and+14-Inch%2C+2-Pack&amp;qid=1695174132&amp;sr=8-2")</f>
        <v>https://www.amazon.com/Klein-Tools-Stand-Up-14-Inch-Utility/dp/B0BNL5LYJJ/ref=sr_1_2?keywords=Klein+Tools+55559+Stand-up+Zipper+Bags%2C+7-Inch+and+14-Inch%2C+2-Pack&amp;qid=1695174132&amp;sr=8-2</v>
      </c>
      <c r="F2656" t="s">
        <v>336</v>
      </c>
      <c r="G2656" t="e">
        <f ca="1">_xludf.IMAGE("https://edmondsonsupply.com/cdn/shop/products/55559.jpg?v=1666900727")</f>
        <v>#NAME?</v>
      </c>
      <c r="H2656" t="e">
        <f ca="1">_xludf.IMAGE("https://m.media-amazon.com/images/I/51YFgCm7c5L._AC_UL320_.jpg")</f>
        <v>#NAME?</v>
      </c>
      <c r="I2656" t="s">
        <v>276</v>
      </c>
      <c r="J2656">
        <v>29.98</v>
      </c>
      <c r="K2656" s="4">
        <v>1</v>
      </c>
      <c r="L2656">
        <v>4.5</v>
      </c>
      <c r="M2656">
        <v>2</v>
      </c>
      <c r="O2656" t="s">
        <v>25</v>
      </c>
      <c r="P2656" t="s">
        <v>277</v>
      </c>
      <c r="Q2656" t="s">
        <v>278</v>
      </c>
    </row>
    <row r="2657" spans="1:17" ht="15.5" x14ac:dyDescent="0.35">
      <c r="A2657" s="3" t="str">
        <f>HYPERLINK("https://edmondsonsupply.com/collections/electricians-tools/products/channellock-432", "https://edmondsonsupply.com/collections/electricians-tools/products/channellock-432")</f>
        <v>https://edmondsonsupply.com/collections/electricians-tools/products/channellock-432</v>
      </c>
      <c r="B2657" s="3" t="str">
        <f>HYPERLINK("https://edmondsonsupply.com/products/channellock-432", "https://edmondsonsupply.com/products/channellock-432")</f>
        <v>https://edmondsonsupply.com/products/channellock-432</v>
      </c>
      <c r="C2657" t="s">
        <v>2472</v>
      </c>
      <c r="D2657" t="s">
        <v>2473</v>
      </c>
      <c r="E2657" s="3" t="str">
        <f>HYPERLINK("https://www.amazon.com/Channellock-Tongue-12-Inch-Straight-Comfort/dp/B0BFXP68V9/ref=sr_1_5?keywords=Channellock+440+12%22+Straight+Jaw+Tongue+%26+Groove+Pliers&amp;qid=1695173955&amp;sr=8-5", "https://www.amazon.com/Channellock-Tongue-12-Inch-Straight-Comfort/dp/B0BFXP68V9/ref=sr_1_5?keywords=Channellock+440+12%22+Straight+Jaw+Tongue+%26+Groove+Pliers&amp;qid=1695173955&amp;sr=8-5")</f>
        <v>https://www.amazon.com/Channellock-Tongue-12-Inch-Straight-Comfort/dp/B0BFXP68V9/ref=sr_1_5?keywords=Channellock+440+12%22+Straight+Jaw+Tongue+%26+Groove+Pliers&amp;qid=1695173955&amp;sr=8-5</v>
      </c>
      <c r="F2657" t="s">
        <v>2474</v>
      </c>
      <c r="G2657" t="e">
        <f ca="1">_xludf.IMAGE("https://edmondsonsupply.com/cdn/shop/products/440-546x1024.jpg?v=1587148892")</f>
        <v>#NAME?</v>
      </c>
      <c r="H2657" t="e">
        <f ca="1">_xludf.IMAGE("https://m.media-amazon.com/images/I/41d-z+Tl0SL._AC_UL320_.jpg")</f>
        <v>#NAME?</v>
      </c>
      <c r="I2657" t="s">
        <v>2475</v>
      </c>
      <c r="J2657">
        <v>43.9</v>
      </c>
      <c r="K2657" s="4">
        <v>1</v>
      </c>
      <c r="L2657">
        <v>5</v>
      </c>
      <c r="M2657">
        <v>2</v>
      </c>
      <c r="O2657" t="s">
        <v>25</v>
      </c>
      <c r="P2657" t="s">
        <v>2476</v>
      </c>
      <c r="Q2657" t="s">
        <v>2477</v>
      </c>
    </row>
    <row r="2658" spans="1:17" ht="15.5" x14ac:dyDescent="0.35">
      <c r="A2658"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2658" s="3" t="str">
        <f>HYPERLINK("https://edmondsonsupply.com/products/klein-tools-32907-7-in-1-impact-flip-socket-set-no-handle", "https://edmondsonsupply.com/products/klein-tools-32907-7-in-1-impact-flip-socket-set-no-handle")</f>
        <v>https://edmondsonsupply.com/products/klein-tools-32907-7-in-1-impact-flip-socket-set-no-handle</v>
      </c>
      <c r="C2658" t="s">
        <v>1833</v>
      </c>
      <c r="D2658" t="s">
        <v>2480</v>
      </c>
      <c r="E2658" s="3" t="str">
        <f>HYPERLINK("https://www.amazon.com/Wiha-Magnetic-Setter-Metric-Impact/dp/B0C3BBFJC3/ref=sr_1_2?keywords=Klein+Tools+32907+7-in-1+Impact+Flip+Socket+Set%2C+No+Handle&amp;qid=1695173886&amp;sr=8-2", "https://www.amazon.com/Wiha-Magnetic-Setter-Metric-Impact/dp/B0C3BBFJC3/ref=sr_1_2?keywords=Klein+Tools+32907+7-in-1+Impact+Flip+Socket+Set%2C+No+Handle&amp;qid=1695173886&amp;sr=8-2")</f>
        <v>https://www.amazon.com/Wiha-Magnetic-Setter-Metric-Impact/dp/B0C3BBFJC3/ref=sr_1_2?keywords=Klein+Tools+32907+7-in-1+Impact+Flip+Socket+Set%2C+No+Handle&amp;qid=1695173886&amp;sr=8-2</v>
      </c>
      <c r="F2658" t="s">
        <v>2481</v>
      </c>
      <c r="G2658" t="e">
        <f ca="1">_xludf.IMAGE("https://edmondsonsupply.com/cdn/shop/products/32907_b.jpg?v=1666025282")</f>
        <v>#NAME?</v>
      </c>
      <c r="H2658" t="e">
        <f ca="1">_xludf.IMAGE("https://m.media-amazon.com/images/I/41L9R5NZDWL._AC_UL320_.jpg")</f>
        <v>#NAME?</v>
      </c>
      <c r="I2658" t="s">
        <v>577</v>
      </c>
      <c r="J2658">
        <v>39.979999999999997</v>
      </c>
      <c r="K2658" s="4">
        <v>1</v>
      </c>
      <c r="L2658">
        <v>4.5999999999999996</v>
      </c>
      <c r="M2658">
        <v>143</v>
      </c>
      <c r="O2658" t="s">
        <v>25</v>
      </c>
      <c r="P2658" t="s">
        <v>1836</v>
      </c>
      <c r="Q2658" t="s">
        <v>1837</v>
      </c>
    </row>
    <row r="2659" spans="1:17" ht="15.5" x14ac:dyDescent="0.35">
      <c r="A2659" s="3" t="str">
        <f>HYPERLINK("https://edmondsonsupply.com/collections/electricians-tools/products/klein-tools-56221-led-clip-light", "https://edmondsonsupply.com/collections/electricians-tools/products/klein-tools-56221-led-clip-light")</f>
        <v>https://edmondsonsupply.com/collections/electricians-tools/products/klein-tools-56221-led-clip-light</v>
      </c>
      <c r="B2659" s="3" t="str">
        <f>HYPERLINK("https://edmondsonsupply.com/products/klein-tools-56221-led-clip-light", "https://edmondsonsupply.com/products/klein-tools-56221-led-clip-light")</f>
        <v>https://edmondsonsupply.com/products/klein-tools-56221-led-clip-light</v>
      </c>
      <c r="C2659" t="s">
        <v>6707</v>
      </c>
      <c r="D2659" t="s">
        <v>6708</v>
      </c>
      <c r="E2659" s="3" t="str">
        <f>HYPERLINK("https://www.amazon.com/Rechargeable-Flashlight-Worklight-Klein-Tools/dp/B0947YMH51/ref=sr_1_7?keywords=Klein+Tools+56221+LED+Clip+Light&amp;qid=1695174297&amp;sr=8-7", "https://www.amazon.com/Rechargeable-Flashlight-Worklight-Klein-Tools/dp/B0947YMH51/ref=sr_1_7?keywords=Klein+Tools+56221+LED+Clip+Light&amp;qid=1695174297&amp;sr=8-7")</f>
        <v>https://www.amazon.com/Rechargeable-Flashlight-Worklight-Klein-Tools/dp/B0947YMH51/ref=sr_1_7?keywords=Klein+Tools+56221+LED+Clip+Light&amp;qid=1695174297&amp;sr=8-7</v>
      </c>
      <c r="F2659" t="s">
        <v>6709</v>
      </c>
      <c r="G2659" t="e">
        <f ca="1">_xludf.IMAGE("https://edmondsonsupply.com/cdn/shop/products/56221.jpg?v=1633030868")</f>
        <v>#NAME?</v>
      </c>
      <c r="H2659" t="e">
        <f ca="1">_xludf.IMAGE("https://m.media-amazon.com/images/I/51Of8ojN4aS._AC_UL320_.jpg")</f>
        <v>#NAME?</v>
      </c>
      <c r="I2659" t="s">
        <v>577</v>
      </c>
      <c r="J2659">
        <v>39.97</v>
      </c>
      <c r="K2659" s="4">
        <v>0.99950000000000006</v>
      </c>
      <c r="L2659">
        <v>4.5999999999999996</v>
      </c>
      <c r="M2659">
        <v>424</v>
      </c>
      <c r="O2659" t="s">
        <v>25</v>
      </c>
      <c r="P2659" t="s">
        <v>6144</v>
      </c>
      <c r="Q2659" t="s">
        <v>6710</v>
      </c>
    </row>
    <row r="2660" spans="1:17" ht="15.5" x14ac:dyDescent="0.35">
      <c r="A2660"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2660" s="3" t="str">
        <f>HYPERLINK("https://edmondsonsupply.com/products/klein-tools-ncvt1xt-non-contact-voltage-tester-70-to-1000v-ac", "https://edmondsonsupply.com/products/klein-tools-ncvt1xt-non-contact-voltage-tester-70-to-1000v-ac")</f>
        <v>https://edmondsonsupply.com/products/klein-tools-ncvt1xt-non-contact-voltage-tester-70-to-1000v-ac</v>
      </c>
      <c r="C2660" t="s">
        <v>6346</v>
      </c>
      <c r="D2660" t="s">
        <v>3501</v>
      </c>
      <c r="E2660" s="3" t="str">
        <f>HYPERLINK("https://www.amazon.com/Non-Contact-Voltage-Flashlight-Klein-Tools/dp/B00XJQ9ZE4/ref=sr_1_10?keywords=Klein+Tools+NCVT1XT+Non-Contact+Voltage+Tester%2C+70+to+1000V+AC&amp;qid=1695174075&amp;sr=8-10", "https://www.amazon.com/Non-Contact-Voltage-Flashlight-Klein-Tools/dp/B00XJQ9ZE4/ref=sr_1_10?keywords=Klein+Tools+NCVT1XT+Non-Contact+Voltage+Tester%2C+70+to+1000V+AC&amp;qid=1695174075&amp;sr=8-10")</f>
        <v>https://www.amazon.com/Non-Contact-Voltage-Flashlight-Klein-Tools/dp/B00XJQ9ZE4/ref=sr_1_10?keywords=Klein+Tools+NCVT1XT+Non-Contact+Voltage+Tester%2C+70+to+1000V+AC&amp;qid=1695174075&amp;sr=8-10</v>
      </c>
      <c r="F2660" t="s">
        <v>3502</v>
      </c>
      <c r="G2660" t="e">
        <f ca="1">_xludf.IMAGE("https://edmondsonsupply.com/cdn/shop/products/ncvt1xt.jpg?v=1674496568")</f>
        <v>#NAME?</v>
      </c>
      <c r="H2660" t="e">
        <f ca="1">_xludf.IMAGE("https://m.media-amazon.com/images/I/51dcyyMwUjL._AC_UL320_.jpg")</f>
        <v>#NAME?</v>
      </c>
      <c r="I2660" t="s">
        <v>893</v>
      </c>
      <c r="J2660">
        <v>39.89</v>
      </c>
      <c r="K2660" s="4">
        <v>0.99750000000000005</v>
      </c>
      <c r="L2660">
        <v>4.5</v>
      </c>
      <c r="M2660">
        <v>1685</v>
      </c>
      <c r="O2660" t="s">
        <v>25</v>
      </c>
      <c r="P2660" t="s">
        <v>6347</v>
      </c>
      <c r="Q2660" t="s">
        <v>6348</v>
      </c>
    </row>
    <row r="2661" spans="1:17" ht="15.5" x14ac:dyDescent="0.35">
      <c r="A2661" s="3" t="str">
        <f>HYPERLINK("https://edmondsonsupply.com/collections/electricians-tools/products/klein-tools-50900r-locknut-wrench-set", "https://edmondsonsupply.com/collections/electricians-tools/products/klein-tools-50900r-locknut-wrench-set")</f>
        <v>https://edmondsonsupply.com/collections/electricians-tools/products/klein-tools-50900r-locknut-wrench-set</v>
      </c>
      <c r="B2661" s="3" t="str">
        <f>HYPERLINK("https://edmondsonsupply.com/products/klein-tools-50900r-locknut-wrench-set", "https://edmondsonsupply.com/products/klein-tools-50900r-locknut-wrench-set")</f>
        <v>https://edmondsonsupply.com/products/klein-tools-50900r-locknut-wrench-set</v>
      </c>
      <c r="C2661" t="s">
        <v>6711</v>
      </c>
      <c r="D2661" t="s">
        <v>6712</v>
      </c>
      <c r="E2661" s="3" t="str">
        <f>HYPERLINK("https://www.amazon.com/Klein-Tools-Precision-Screwdriver-Insulated/dp/B0CGZJYYV9/ref=sr_1_2?keywords=Klein+Tools+50900R+Locknut+Wrench+Set&amp;qid=1695174005&amp;sr=8-2", "https://www.amazon.com/Klein-Tools-Precision-Screwdriver-Insulated/dp/B0CGZJYYV9/ref=sr_1_2?keywords=Klein+Tools+50900R+Locknut+Wrench+Set&amp;qid=1695174005&amp;sr=8-2")</f>
        <v>https://www.amazon.com/Klein-Tools-Precision-Screwdriver-Insulated/dp/B0CGZJYYV9/ref=sr_1_2?keywords=Klein+Tools+50900R+Locknut+Wrench+Set&amp;qid=1695174005&amp;sr=8-2</v>
      </c>
      <c r="F2661" t="s">
        <v>6713</v>
      </c>
      <c r="G2661" t="e">
        <f ca="1">_xludf.IMAGE("https://edmondsonsupply.com/cdn/shop/files/50900r.jpg?v=1689789107")</f>
        <v>#NAME?</v>
      </c>
      <c r="H2661" t="e">
        <f ca="1">_xludf.IMAGE("https://m.media-amazon.com/images/I/41gr5JfVk8L._AC_UL320_.jpg")</f>
        <v>#NAME?</v>
      </c>
      <c r="I2661" t="s">
        <v>276</v>
      </c>
      <c r="J2661">
        <v>29.94</v>
      </c>
      <c r="K2661" s="4">
        <v>0.99729999999999996</v>
      </c>
      <c r="L2661">
        <v>4.7</v>
      </c>
      <c r="M2661">
        <v>90</v>
      </c>
      <c r="O2661" t="s">
        <v>25</v>
      </c>
      <c r="P2661" t="s">
        <v>6714</v>
      </c>
      <c r="Q2661" t="s">
        <v>6715</v>
      </c>
    </row>
    <row r="2662" spans="1:17" ht="15.5" x14ac:dyDescent="0.35">
      <c r="A2662"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2662" s="3" t="str">
        <f>HYPERLINK("https://edmondsonsupply.com/products/klein-tools-3005cr-ratcheting-crimper-10-22-awg", "https://edmondsonsupply.com/products/klein-tools-3005cr-ratcheting-crimper-10-22-awg")</f>
        <v>https://edmondsonsupply.com/products/klein-tools-3005cr-ratcheting-crimper-10-22-awg</v>
      </c>
      <c r="C2662" t="s">
        <v>1987</v>
      </c>
      <c r="D2662" t="s">
        <v>2490</v>
      </c>
      <c r="E2662" s="3" t="str">
        <f>HYPERLINK("https://www.amazon.com/Klein-Tools-Terminals-Connectors-Non-Insulated/dp/B09T6YD8X4/ref=sr_1_3?keywords=Klein+Tools+3005CR+Ratcheting+Crimper%2C+10-22+AWG+-+Insulated+Terminals&amp;qid=1695173864&amp;sr=8-3", "https://www.amazon.com/Klein-Tools-Terminals-Connectors-Non-Insulated/dp/B09T6YD8X4/ref=sr_1_3?keywords=Klein+Tools+3005CR+Ratcheting+Crimper%2C+10-22+AWG+-+Insulated+Terminals&amp;qid=1695173864&amp;sr=8-3")</f>
        <v>https://www.amazon.com/Klein-Tools-Terminals-Connectors-Non-Insulated/dp/B09T6YD8X4/ref=sr_1_3?keywords=Klein+Tools+3005CR+Ratcheting+Crimper%2C+10-22+AWG+-+Insulated+Terminals&amp;qid=1695173864&amp;sr=8-3</v>
      </c>
      <c r="F2662" t="s">
        <v>2491</v>
      </c>
      <c r="G2662" t="e">
        <f ca="1">_xludf.IMAGE("https://edmondsonsupply.com/cdn/shop/products/3005cr.jpg?v=1587146892")</f>
        <v>#NAME?</v>
      </c>
      <c r="H2662" t="e">
        <f ca="1">_xludf.IMAGE("https://m.media-amazon.com/images/I/41P2x5W+flL._AC_UL320_.jpg")</f>
        <v>#NAME?</v>
      </c>
      <c r="I2662" t="s">
        <v>824</v>
      </c>
      <c r="J2662">
        <v>59.45</v>
      </c>
      <c r="K2662" s="4">
        <v>0.98370000000000002</v>
      </c>
      <c r="L2662">
        <v>5</v>
      </c>
      <c r="M2662">
        <v>1</v>
      </c>
      <c r="O2662" t="s">
        <v>25</v>
      </c>
      <c r="P2662" t="s">
        <v>1990</v>
      </c>
      <c r="Q2662" t="s">
        <v>1991</v>
      </c>
    </row>
    <row r="2663" spans="1:17" ht="15.5" x14ac:dyDescent="0.35">
      <c r="A2663"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663" s="3" t="str">
        <f>HYPERLINK("https://edmondsonsupply.com/products/klein-tools-et45-ac-dc-voltage-tester", "https://edmondsonsupply.com/products/klein-tools-et45-ac-dc-voltage-tester")</f>
        <v>https://edmondsonsupply.com/products/klein-tools-et45-ac-dc-voltage-tester</v>
      </c>
      <c r="C2663" t="s">
        <v>6080</v>
      </c>
      <c r="D2663" t="s">
        <v>5294</v>
      </c>
      <c r="E2663" s="3" t="str">
        <f>HYPERLINK("https://www.amazon.com/Klein-Tools-NCVT2P-12-1000V-Flashing/dp/B07L5N8ZWS/ref=sr_1_8?keywords=Klein+Tools+ET45+AC%2FDC+Voltage+Tester&amp;qid=1695174290&amp;sr=8-8", "https://www.amazon.com/Klein-Tools-NCVT2P-12-1000V-Flashing/dp/B07L5N8ZWS/ref=sr_1_8?keywords=Klein+Tools+ET45+AC%2FDC+Voltage+Tester&amp;qid=1695174290&amp;sr=8-8")</f>
        <v>https://www.amazon.com/Klein-Tools-NCVT2P-12-1000V-Flashing/dp/B07L5N8ZWS/ref=sr_1_8?keywords=Klein+Tools+ET45+AC%2FDC+Voltage+Tester&amp;qid=1695174290&amp;sr=8-8</v>
      </c>
      <c r="F2663" t="s">
        <v>5295</v>
      </c>
      <c r="G2663" t="e">
        <f ca="1">_xludf.IMAGE("https://edmondsonsupply.com/cdn/shop/products/et45.jpg?v=1647786270")</f>
        <v>#NAME?</v>
      </c>
      <c r="H2663" t="e">
        <f ca="1">_xludf.IMAGE("https://m.media-amazon.com/images/I/51GASnKpZ1L._AC_UL320_.jpg")</f>
        <v>#NAME?</v>
      </c>
      <c r="I2663" t="s">
        <v>2337</v>
      </c>
      <c r="J2663">
        <v>23.76</v>
      </c>
      <c r="K2663" s="4">
        <v>0.98170000000000002</v>
      </c>
      <c r="L2663">
        <v>4.7</v>
      </c>
      <c r="M2663">
        <v>639</v>
      </c>
      <c r="O2663" t="s">
        <v>25</v>
      </c>
      <c r="P2663" t="s">
        <v>6083</v>
      </c>
      <c r="Q2663" t="s">
        <v>6084</v>
      </c>
    </row>
    <row r="2664" spans="1:17" ht="15.5" x14ac:dyDescent="0.35">
      <c r="A2664"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2664"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2664" t="s">
        <v>6512</v>
      </c>
      <c r="D2664" t="s">
        <v>6716</v>
      </c>
      <c r="E2664" s="3" t="str">
        <f>HYPERLINK("https://www.amazon.com/Klein-Tools-Diagonal-Multi-Purpose-High-Leverage/dp/B0BKQCRLT1/ref=sr_1_3?keywords=Klein+Tools+D248-8+Diagonal+Cutting+Pliers%2C+Angled+Head%2C+Short+Jaw%2C+8-Inch&amp;qid=1695174274&amp;sr=8-3", "https://www.amazon.com/Klein-Tools-Diagonal-Multi-Purpose-High-Leverage/dp/B0BKQCRLT1/ref=sr_1_3?keywords=Klein+Tools+D248-8+Diagonal+Cutting+Pliers%2C+Angled+Head%2C+Short+Jaw%2C+8-Inch&amp;qid=1695174274&amp;sr=8-3")</f>
        <v>https://www.amazon.com/Klein-Tools-Diagonal-Multi-Purpose-High-Leverage/dp/B0BKQCRLT1/ref=sr_1_3?keywords=Klein+Tools+D248-8+Diagonal+Cutting+Pliers%2C+Angled+Head%2C+Short+Jaw%2C+8-Inch&amp;qid=1695174274&amp;sr=8-3</v>
      </c>
      <c r="F2664" t="s">
        <v>6717</v>
      </c>
      <c r="G2664" t="e">
        <f ca="1">_xludf.IMAGE("https://edmondsonsupply.com/cdn/shop/products/d2488.jpg?v=1633030997")</f>
        <v>#NAME?</v>
      </c>
      <c r="H2664" t="e">
        <f ca="1">_xludf.IMAGE("https://m.media-amazon.com/images/I/31gN+DbPGvL._AC_UL320_.jpg")</f>
        <v>#NAME?</v>
      </c>
      <c r="I2664" t="s">
        <v>824</v>
      </c>
      <c r="J2664">
        <v>59.35</v>
      </c>
      <c r="K2664" s="4">
        <v>0.98029999999999995</v>
      </c>
      <c r="L2664">
        <v>5</v>
      </c>
      <c r="M2664">
        <v>1</v>
      </c>
      <c r="O2664" t="s">
        <v>25</v>
      </c>
      <c r="P2664" t="s">
        <v>5277</v>
      </c>
      <c r="Q2664" t="s">
        <v>6515</v>
      </c>
    </row>
    <row r="2665" spans="1:17" ht="15.5" x14ac:dyDescent="0.35">
      <c r="A2665"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2665"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2665" t="s">
        <v>6718</v>
      </c>
      <c r="D2665" t="s">
        <v>6719</v>
      </c>
      <c r="E2665" s="3" t="str">
        <f>HYPERLINK("https://www.amazon.com/Milwaukee-48-59-1850-LITHIUM-Batteries-48-59-1812/dp/B015GOE7B2/ref=sr_1_6?keywords=Milwaukee+48-59-1812+M18%E2%84%A2+%26+M12%E2%84%A2+Multi-Voltage+Charger&amp;qid=1695174184&amp;sr=8-6", "https://www.amazon.com/Milwaukee-48-59-1850-LITHIUM-Batteries-48-59-1812/dp/B015GOE7B2/ref=sr_1_6?keywords=Milwaukee+48-59-1812+M18%E2%84%A2+%26+M12%E2%84%A2+Multi-Voltage+Charger&amp;qid=1695174184&amp;sr=8-6")</f>
        <v>https://www.amazon.com/Milwaukee-48-59-1850-LITHIUM-Batteries-48-59-1812/dp/B015GOE7B2/ref=sr_1_6?keywords=Milwaukee+48-59-1812+M18%E2%84%A2+%26+M12%E2%84%A2+Multi-Voltage+Charger&amp;qid=1695174184&amp;sr=8-6</v>
      </c>
      <c r="F2665" t="s">
        <v>6720</v>
      </c>
      <c r="G2665" t="e">
        <f ca="1">_xludf.IMAGE("https://edmondsonsupply.com/cdn/shop/products/60113_48-59-1812_3-lg.webp?v=1656530513")</f>
        <v>#NAME?</v>
      </c>
      <c r="H2665" t="e">
        <f ca="1">_xludf.IMAGE("https://m.media-amazon.com/images/I/81vOom9f67L._AC_UL320_.jpg")</f>
        <v>#NAME?</v>
      </c>
      <c r="I2665" t="s">
        <v>4741</v>
      </c>
      <c r="J2665">
        <v>155.94999999999999</v>
      </c>
      <c r="K2665" s="4">
        <v>0.97409999999999997</v>
      </c>
      <c r="L2665">
        <v>4.7</v>
      </c>
      <c r="M2665">
        <v>738</v>
      </c>
      <c r="O2665" t="s">
        <v>25</v>
      </c>
      <c r="P2665" t="s">
        <v>6721</v>
      </c>
      <c r="Q2665" t="s">
        <v>6722</v>
      </c>
    </row>
    <row r="2666" spans="1:17" ht="15.5" x14ac:dyDescent="0.35">
      <c r="A2666"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2666" s="3" t="str">
        <f>HYPERLINK("https://edmondsonsupply.com/products/klein-tools-jth9m5-5-mm-hex-key-journeyman-t-handle-9-inch", "https://edmondsonsupply.com/products/klein-tools-jth9m5-5-mm-hex-key-journeyman-t-handle-9-inch")</f>
        <v>https://edmondsonsupply.com/products/klein-tools-jth9m5-5-mm-hex-key-journeyman-t-handle-9-inch</v>
      </c>
      <c r="C2666" t="s">
        <v>6167</v>
      </c>
      <c r="D2666" t="s">
        <v>2500</v>
      </c>
      <c r="E2666" s="3" t="str">
        <f>HYPERLINK("https://www.amazon.com/Journeyman-T-Handle-Klein-Tools-JTH9M6/dp/B005G3HJKU/ref=sr_1_9?keywords=Klein+Tools+JTH9M5+5+mm+Hex+Key%2C+Journeyman+T-Handle+9-Inch&amp;qid=1695174264&amp;sr=8-9", "https://www.amazon.com/Journeyman-T-Handle-Klein-Tools-JTH9M6/dp/B005G3HJKU/ref=sr_1_9?keywords=Klein+Tools+JTH9M5+5+mm+Hex+Key%2C+Journeyman+T-Handle+9-Inch&amp;qid=1695174264&amp;sr=8-9")</f>
        <v>https://www.amazon.com/Journeyman-T-Handle-Klein-Tools-JTH9M6/dp/B005G3HJKU/ref=sr_1_9?keywords=Klein+Tools+JTH9M5+5+mm+Hex+Key%2C+Journeyman+T-Handle+9-Inch&amp;qid=1695174264&amp;sr=8-9</v>
      </c>
      <c r="F2666" t="s">
        <v>2501</v>
      </c>
      <c r="G2666" t="e">
        <f ca="1">_xludf.IMAGE("https://edmondsonsupply.com/cdn/shop/products/jth9m_84ad507b-889a-4b5c-80a2-9633c898cd48.jpg?v=1633031048")</f>
        <v>#NAME?</v>
      </c>
      <c r="H2666" t="e">
        <f ca="1">_xludf.IMAGE("https://m.media-amazon.com/images/I/51+1x0vz9XL._AC_UL320_.jpg")</f>
        <v>#NAME?</v>
      </c>
      <c r="I2666" t="s">
        <v>2388</v>
      </c>
      <c r="J2666">
        <v>9.84</v>
      </c>
      <c r="K2666" s="4">
        <v>0.97189999999999999</v>
      </c>
      <c r="L2666">
        <v>4.7</v>
      </c>
      <c r="M2666">
        <v>123</v>
      </c>
      <c r="O2666" t="s">
        <v>25</v>
      </c>
      <c r="P2666" t="s">
        <v>6168</v>
      </c>
      <c r="Q2666" t="s">
        <v>6169</v>
      </c>
    </row>
    <row r="2667" spans="1:17" ht="15.5" x14ac:dyDescent="0.35">
      <c r="A2667" s="3" t="str">
        <f>HYPERLINK("https://edmondsonsupply.com/collections/electricians-tools/products/rack-a-tiers-80075-the-nut-snugger-3-4-magnetic-locknut-holder", "https://edmondsonsupply.com/collections/electricians-tools/products/rack-a-tiers-80075-the-nut-snugger-3-4-magnetic-locknut-holder")</f>
        <v>https://edmondsonsupply.com/collections/electricians-tools/products/rack-a-tiers-80075-the-nut-snugger-3-4-magnetic-locknut-holder</v>
      </c>
      <c r="B2667" s="3" t="str">
        <f>HYPERLINK("https://edmondsonsupply.com/products/rack-a-tiers-80075-the-nut-snugger-3-4-magnetic-locknut-holder", "https://edmondsonsupply.com/products/rack-a-tiers-80075-the-nut-snugger-3-4-magnetic-locknut-holder")</f>
        <v>https://edmondsonsupply.com/products/rack-a-tiers-80075-the-nut-snugger-3-4-magnetic-locknut-holder</v>
      </c>
      <c r="C2667" t="s">
        <v>6723</v>
      </c>
      <c r="D2667" t="s">
        <v>6677</v>
      </c>
      <c r="E2667" s="3" t="str">
        <f>HYPERLINK("https://www.amazon.com/Rack-Tiers-Nut-Snugger-Kit/dp/B0BX4MB59Q/ref=sr_1_1?keywords=Rack-A-Tiers+80075+The+Nut+Snugger+-+3%2F4%22+Magnetic+Locknut+Holder&amp;qid=1695173904&amp;sr=8-1", "https://www.amazon.com/Rack-Tiers-Nut-Snugger-Kit/dp/B0BX4MB59Q/ref=sr_1_1?keywords=Rack-A-Tiers+80075+The+Nut+Snugger+-+3%2F4%22+Magnetic+Locknut+Holder&amp;qid=1695173904&amp;sr=8-1")</f>
        <v>https://www.amazon.com/Rack-Tiers-Nut-Snugger-Kit/dp/B0BX4MB59Q/ref=sr_1_1?keywords=Rack-A-Tiers+80075+The+Nut+Snugger+-+3%2F4%22+Magnetic+Locknut+Holder&amp;qid=1695173904&amp;sr=8-1</v>
      </c>
      <c r="F2667" t="s">
        <v>6678</v>
      </c>
      <c r="G2667" t="e">
        <f ca="1">_xludf.IMAGE("https://edmondsonsupply.com/cdn/shop/products/820XX-Nut-Snugger_32ac94c2-c07d-4d16-9e48-14a49a647db8.png?v=1667152999")</f>
        <v>#NAME?</v>
      </c>
      <c r="H2667" t="e">
        <f ca="1">_xludf.IMAGE("https://m.media-amazon.com/images/I/31gF-2h5bgL._AC_UY218_.jpg")</f>
        <v>#NAME?</v>
      </c>
      <c r="I2667" t="s">
        <v>571</v>
      </c>
      <c r="J2667">
        <v>68.989999999999995</v>
      </c>
      <c r="K2667" s="4">
        <v>0.97170000000000001</v>
      </c>
      <c r="L2667">
        <v>5</v>
      </c>
      <c r="M2667">
        <v>2</v>
      </c>
      <c r="O2667" t="s">
        <v>25</v>
      </c>
      <c r="P2667" t="s">
        <v>3432</v>
      </c>
      <c r="Q2667" t="s">
        <v>6724</v>
      </c>
    </row>
    <row r="2668" spans="1:17" ht="15.5" x14ac:dyDescent="0.35">
      <c r="A2668"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2668"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2668" t="s">
        <v>6225</v>
      </c>
      <c r="D2668" t="s">
        <v>3163</v>
      </c>
      <c r="E2668" s="3" t="str">
        <f>HYPERLINK("https://www.amazon.com/Journeyman-T-Handle-Klein-Tools-JTH9E14/dp/B004QVAH4I/ref=sr_1_4?keywords=Klein+Tools+JTH4E09+9%2F64-Inch+Hex+Key+Journeyman+T-Handle+4-Inch&amp;qid=1695174238&amp;sr=8-4", "https://www.amazon.com/Journeyman-T-Handle-Klein-Tools-JTH9E14/dp/B004QVAH4I/ref=sr_1_4?keywords=Klein+Tools+JTH4E09+9%2F64-Inch+Hex+Key+Journeyman+T-Handle+4-Inch&amp;qid=1695174238&amp;sr=8-4")</f>
        <v>https://www.amazon.com/Journeyman-T-Handle-Klein-Tools-JTH9E14/dp/B004QVAH4I/ref=sr_1_4?keywords=Klein+Tools+JTH4E09+9%2F64-Inch+Hex+Key+Journeyman+T-Handle+4-Inch&amp;qid=1695174238&amp;sr=8-4</v>
      </c>
      <c r="F2668" t="s">
        <v>3164</v>
      </c>
      <c r="G2668" t="e">
        <f ca="1">_xludf.IMAGE("https://edmondsonsupply.com/cdn/shop/products/jth4e06_be5118a6-2e9d-44f5-81ad-c027572dd2d3.jpg?v=1635981570")</f>
        <v>#NAME?</v>
      </c>
      <c r="H2668" t="e">
        <f ca="1">_xludf.IMAGE("https://m.media-amazon.com/images/I/51Yb8h41vLL._AC_UL320_.jpg")</f>
        <v>#NAME?</v>
      </c>
      <c r="I2668" t="s">
        <v>6228</v>
      </c>
      <c r="J2668">
        <v>7.44</v>
      </c>
      <c r="K2668" s="4">
        <v>0.96309999999999996</v>
      </c>
      <c r="L2668">
        <v>4.8</v>
      </c>
      <c r="M2668">
        <v>114</v>
      </c>
      <c r="O2668" t="s">
        <v>25</v>
      </c>
      <c r="P2668" t="s">
        <v>6229</v>
      </c>
      <c r="Q2668" t="s">
        <v>6230</v>
      </c>
    </row>
    <row r="2669" spans="1:17" ht="15.5" x14ac:dyDescent="0.35">
      <c r="A2669"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2669" s="3" t="str">
        <f>HYPERLINK("https://edmondsonsupply.com/products/klein-tools-jth4e08-1-8-inch-hex-key-journeyman-t-handle-4-inch", "https://edmondsonsupply.com/products/klein-tools-jth4e08-1-8-inch-hex-key-journeyman-t-handle-4-inch")</f>
        <v>https://edmondsonsupply.com/products/klein-tools-jth4e08-1-8-inch-hex-key-journeyman-t-handle-4-inch</v>
      </c>
      <c r="C2669" t="s">
        <v>6406</v>
      </c>
      <c r="D2669" t="s">
        <v>3163</v>
      </c>
      <c r="E2669" s="3" t="str">
        <f>HYPERLINK("https://www.amazon.com/Journeyman-T-Handle-Klein-Tools-JTH9E14/dp/B004QVAH4I/ref=sr_1_4?keywords=Klein+Tools+JTH4E08+1%2F8-Inch+Hex+Key%2C+Journeyman+T-Handle%2C+4-Inch&amp;qid=1695174216&amp;sr=8-4", "https://www.amazon.com/Journeyman-T-Handle-Klein-Tools-JTH9E14/dp/B004QVAH4I/ref=sr_1_4?keywords=Klein+Tools+JTH4E08+1%2F8-Inch+Hex+Key%2C+Journeyman+T-Handle%2C+4-Inch&amp;qid=1695174216&amp;sr=8-4")</f>
        <v>https://www.amazon.com/Journeyman-T-Handle-Klein-Tools-JTH9E14/dp/B004QVAH4I/ref=sr_1_4?keywords=Klein+Tools+JTH4E08+1%2F8-Inch+Hex+Key%2C+Journeyman+T-Handle%2C+4-Inch&amp;qid=1695174216&amp;sr=8-4</v>
      </c>
      <c r="F2669" t="s">
        <v>3164</v>
      </c>
      <c r="G2669" t="e">
        <f ca="1">_xludf.IMAGE("https://edmondsonsupply.com/cdn/shop/products/jth4e06_0950e3ec-22b0-4cdd-acd1-822980009e67.jpg?v=1645564818")</f>
        <v>#NAME?</v>
      </c>
      <c r="H2669" t="e">
        <f ca="1">_xludf.IMAGE("https://m.media-amazon.com/images/I/51Yb8h41vLL._AC_UL320_.jpg")</f>
        <v>#NAME?</v>
      </c>
      <c r="I2669" t="s">
        <v>6228</v>
      </c>
      <c r="J2669">
        <v>7.44</v>
      </c>
      <c r="K2669" s="4">
        <v>0.96309999999999996</v>
      </c>
      <c r="L2669">
        <v>4.8</v>
      </c>
      <c r="M2669">
        <v>114</v>
      </c>
      <c r="O2669" t="s">
        <v>25</v>
      </c>
      <c r="P2669" t="s">
        <v>6407</v>
      </c>
      <c r="Q2669" t="s">
        <v>6408</v>
      </c>
    </row>
    <row r="2670" spans="1:17" ht="15.5" x14ac:dyDescent="0.35">
      <c r="A2670"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2670" s="3" t="str">
        <f>HYPERLINK("https://edmondsonsupply.com/products/klein-tools-11053-klein-kurve%c2%ae-wire-stripper-cutter", "https://edmondsonsupply.com/products/klein-tools-11053-klein-kurve%c2%ae-wire-stripper-cutter")</f>
        <v>https://edmondsonsupply.com/products/klein-tools-11053-klein-kurve%c2%ae-wire-stripper-cutter</v>
      </c>
      <c r="C2670" t="s">
        <v>2285</v>
      </c>
      <c r="D2670" t="s">
        <v>2517</v>
      </c>
      <c r="E2670" s="3" t="str">
        <f>HYPERLINK("https://www.amazon.com/Klein-Tools-Klein-Kurve-Stripper-Stranded/dp/B0BHVPT335/ref=sr_1_2?keywords=Klein+Tools+11053+Klein-Kurve%C2%AE+Wire+Stripper%2FCutter&amp;qid=1695173869&amp;sr=8-2", "https://www.amazon.com/Klein-Tools-Klein-Kurve-Stripper-Stranded/dp/B0BHVPT335/ref=sr_1_2?keywords=Klein+Tools+11053+Klein-Kurve%C2%AE+Wire+Stripper%2FCutter&amp;qid=1695173869&amp;sr=8-2")</f>
        <v>https://www.amazon.com/Klein-Tools-Klein-Kurve-Stripper-Stranded/dp/B0BHVPT335/ref=sr_1_2?keywords=Klein+Tools+11053+Klein-Kurve%C2%AE+Wire+Stripper%2FCutter&amp;qid=1695173869&amp;sr=8-2</v>
      </c>
      <c r="F2670" t="s">
        <v>2518</v>
      </c>
      <c r="G2670" t="e">
        <f ca="1">_xludf.IMAGE("https://edmondsonsupply.com/cdn/shop/products/11053.jpg?v=1633030511")</f>
        <v>#NAME?</v>
      </c>
      <c r="H2670" t="e">
        <f ca="1">_xludf.IMAGE("https://m.media-amazon.com/images/I/41+jddPUDML._AC_UL320_.jpg")</f>
        <v>#NAME?</v>
      </c>
      <c r="I2670" t="s">
        <v>2288</v>
      </c>
      <c r="J2670">
        <v>40.96</v>
      </c>
      <c r="K2670" s="4">
        <v>0.95330000000000004</v>
      </c>
      <c r="L2670">
        <v>4.5</v>
      </c>
      <c r="M2670">
        <v>2</v>
      </c>
      <c r="O2670" t="s">
        <v>25</v>
      </c>
      <c r="P2670" t="s">
        <v>2289</v>
      </c>
      <c r="Q2670" t="s">
        <v>2290</v>
      </c>
    </row>
    <row r="2671" spans="1:17" ht="15.5" x14ac:dyDescent="0.35">
      <c r="A2671" s="3" t="str">
        <f>HYPERLINK("https://edmondsonsupply.com/collections/electricians-tools/products/klein-tools-60345-hard-hat-premium-karbn%E2%84%A2-pattern-non-vented-full-brim-class-e", "https://edmondsonsupply.com/collections/electricians-tools/products/klein-tools-60345-hard-hat-premium-karbn%E2%84%A2-pattern-non-vented-full-brim-class-e")</f>
        <v>https://edmondsonsupply.com/collections/electricians-tools/products/klein-tools-60345-hard-hat-premium-karbn%E2%84%A2-pattern-non-vented-full-brim-class-e</v>
      </c>
      <c r="B2671" s="3" t="str">
        <f>HYPERLINK("https://edmondsonsupply.com/products/klein-tools-60345-hard-hat-premium-karbn%e2%84%a2-pattern-non-vented-full-brim-class-e", "https://edmondsonsupply.com/products/klein-tools-60345-hard-hat-premium-karbn%e2%84%a2-pattern-non-vented-full-brim-class-e")</f>
        <v>https://edmondsonsupply.com/products/klein-tools-60345-hard-hat-premium-karbn%e2%84%a2-pattern-non-vented-full-brim-class-e</v>
      </c>
      <c r="C2671" t="s">
        <v>902</v>
      </c>
      <c r="D2671" t="s">
        <v>903</v>
      </c>
      <c r="E2671" s="3" t="str">
        <f>HYPERLINK("https://www.amazon.com/Klein-Tools-60347-Rechargeable-Sweat-Wicking/dp/B08SYM9K52/ref=sr_1_8?keywords=Klein+Tools+60345+Hard+Hat%2C+Premium+KARBN%E2%84%A2+Pattern%2C+Non-Vented+Full+Brim%2C+Class+E&amp;qid=1695174204&amp;sr=8-8", "https://www.amazon.com/Klein-Tools-60347-Rechargeable-Sweat-Wicking/dp/B08SYM9K52/ref=sr_1_8?keywords=Klein+Tools+60345+Hard+Hat%2C+Premium+KARBN%E2%84%A2+Pattern%2C+Non-Vented+Full+Brim%2C+Class+E&amp;qid=1695174204&amp;sr=8-8")</f>
        <v>https://www.amazon.com/Klein-Tools-60347-Rechargeable-Sweat-Wicking/dp/B08SYM9K52/ref=sr_1_8?keywords=Klein+Tools+60345+Hard+Hat%2C+Premium+KARBN%E2%84%A2+Pattern%2C+Non-Vented+Full+Brim%2C+Class+E&amp;qid=1695174204&amp;sr=8-8</v>
      </c>
      <c r="F2671" t="s">
        <v>904</v>
      </c>
      <c r="G2671" t="e">
        <f ca="1">_xludf.IMAGE("https://edmondsonsupply.com/cdn/shop/products/60345.jpg?v=1660171739")</f>
        <v>#NAME?</v>
      </c>
      <c r="H2671" t="e">
        <f ca="1">_xludf.IMAGE("https://m.media-amazon.com/images/I/61pIVbITWkL._AC_UL320_.jpg")</f>
        <v>#NAME?</v>
      </c>
      <c r="I2671" t="s">
        <v>905</v>
      </c>
      <c r="J2671">
        <v>116.88</v>
      </c>
      <c r="K2671" s="4">
        <v>0.94830000000000003</v>
      </c>
      <c r="L2671">
        <v>4.7</v>
      </c>
      <c r="M2671">
        <v>2542</v>
      </c>
      <c r="O2671" t="s">
        <v>25</v>
      </c>
      <c r="P2671" t="s">
        <v>906</v>
      </c>
      <c r="Q2671" t="s">
        <v>907</v>
      </c>
    </row>
    <row r="2672" spans="1:17" ht="15.5" x14ac:dyDescent="0.35">
      <c r="A2672"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2672" s="3" t="str">
        <f>HYPERLINK("https://edmondsonsupply.com/products/diablo-tools-d0824x-8-1-4-in-x-24-tooth-framing-saw-blade", "https://edmondsonsupply.com/products/diablo-tools-d0824x-8-1-4-in-x-24-tooth-framing-saw-blade")</f>
        <v>https://edmondsonsupply.com/products/diablo-tools-d0824x-8-1-4-in-x-24-tooth-framing-saw-blade</v>
      </c>
      <c r="C2672" t="s">
        <v>6161</v>
      </c>
      <c r="D2672" t="s">
        <v>6272</v>
      </c>
      <c r="E2672" s="3" t="str">
        <f>HYPERLINK("https://www.amazon.com/Diablo-D0724DA-Framing-Deconstruction-Circular/dp/B00XT9KFVS/ref=sr_1_7?keywords=Diablo+Tools+D0824X+8-1%2F4+in.+x+24+Tooth+Framing+Saw+Blade&amp;qid=1695174053&amp;sr=8-7", "https://www.amazon.com/Diablo-D0724DA-Framing-Deconstruction-Circular/dp/B00XT9KFVS/ref=sr_1_7?keywords=Diablo+Tools+D0824X+8-1%2F4+in.+x+24+Tooth+Framing+Saw+Blade&amp;qid=1695174053&amp;sr=8-7")</f>
        <v>https://www.amazon.com/Diablo-D0724DA-Framing-Deconstruction-Circular/dp/B00XT9KFVS/ref=sr_1_7?keywords=Diablo+Tools+D0824X+8-1%2F4+in.+x+24+Tooth+Framing+Saw+Blade&amp;qid=1695174053&amp;sr=8-7</v>
      </c>
      <c r="F2672" t="s">
        <v>6273</v>
      </c>
      <c r="G2672" t="e">
        <f ca="1">_xludf.IMAGE("https://edmondsonsupply.com/cdn/shop/products/waqxzlwfclzed6nt6ziy.webp?v=1678979454")</f>
        <v>#NAME?</v>
      </c>
      <c r="H2672" t="e">
        <f ca="1">_xludf.IMAGE("https://m.media-amazon.com/images/I/61NkAJf3i9L._AC_UL320_.jpg")</f>
        <v>#NAME?</v>
      </c>
      <c r="I2672" t="s">
        <v>6164</v>
      </c>
      <c r="J2672">
        <v>36.9</v>
      </c>
      <c r="K2672" s="4">
        <v>0.94520000000000004</v>
      </c>
      <c r="L2672">
        <v>4.7</v>
      </c>
      <c r="M2672">
        <v>10</v>
      </c>
      <c r="O2672" t="s">
        <v>25</v>
      </c>
      <c r="P2672" t="s">
        <v>6165</v>
      </c>
      <c r="Q2672" t="s">
        <v>6166</v>
      </c>
    </row>
    <row r="2673" spans="1:17" ht="15.5" x14ac:dyDescent="0.35">
      <c r="A2673"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2673"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2673" t="s">
        <v>6725</v>
      </c>
      <c r="D2673" t="s">
        <v>6726</v>
      </c>
      <c r="E2673" s="3" t="str">
        <f>HYPERLINK("https://www.amazon.com/Insulated-Screwdriver-Klein-Tools-605-7-INS/dp/B00J9S1EX6/ref=sr_1_10?keywords=Klein+Tools+6826INS+Insulated+Screwdriver%2C+1%2F4-Inch+Cabinet+Tip%2C+6-Inch+Shank&amp;qid=1695174154&amp;sr=8-10", "https://www.amazon.com/Insulated-Screwdriver-Klein-Tools-605-7-INS/dp/B00J9S1EX6/ref=sr_1_10?keywords=Klein+Tools+6826INS+Insulated+Screwdriver%2C+1%2F4-Inch+Cabinet+Tip%2C+6-Inch+Shank&amp;qid=1695174154&amp;sr=8-10")</f>
        <v>https://www.amazon.com/Insulated-Screwdriver-Klein-Tools-605-7-INS/dp/B00J9S1EX6/ref=sr_1_10?keywords=Klein+Tools+6826INS+Insulated+Screwdriver%2C+1%2F4-Inch+Cabinet+Tip%2C+6-Inch+Shank&amp;qid=1695174154&amp;sr=8-10</v>
      </c>
      <c r="F2673" t="s">
        <v>6727</v>
      </c>
      <c r="G2673" t="e">
        <f ca="1">_xludf.IMAGE("https://edmondsonsupply.com/cdn/shop/products/6826ins.jpg?v=1664814069")</f>
        <v>#NAME?</v>
      </c>
      <c r="H2673" t="e">
        <f ca="1">_xludf.IMAGE("https://m.media-amazon.com/images/I/41PbqrqWh2L._AC_UL320_.jpg")</f>
        <v>#NAME?</v>
      </c>
      <c r="I2673" t="s">
        <v>6073</v>
      </c>
      <c r="J2673">
        <v>23.22</v>
      </c>
      <c r="K2673" s="4">
        <v>0.93979999999999997</v>
      </c>
      <c r="L2673">
        <v>4.8</v>
      </c>
      <c r="M2673">
        <v>1064</v>
      </c>
      <c r="O2673" t="s">
        <v>25</v>
      </c>
      <c r="P2673" t="s">
        <v>6728</v>
      </c>
      <c r="Q2673" t="s">
        <v>6729</v>
      </c>
    </row>
    <row r="2674" spans="1:17" ht="15.5" x14ac:dyDescent="0.35">
      <c r="A2674" s="3" t="str">
        <f>HYPERLINK("https://edmondsonsupply.com/collections/electricians-tools/products/klein-tools-56403-rechargeable-personal-worklight", "https://edmondsonsupply.com/collections/electricians-tools/products/klein-tools-56403-rechargeable-personal-worklight")</f>
        <v>https://edmondsonsupply.com/collections/electricians-tools/products/klein-tools-56403-rechargeable-personal-worklight</v>
      </c>
      <c r="B2674" s="3" t="str">
        <f>HYPERLINK("https://edmondsonsupply.com/products/klein-tools-56403-rechargeable-personal-worklight", "https://edmondsonsupply.com/products/klein-tools-56403-rechargeable-personal-worklight")</f>
        <v>https://edmondsonsupply.com/products/klein-tools-56403-rechargeable-personal-worklight</v>
      </c>
      <c r="C2674" t="s">
        <v>2537</v>
      </c>
      <c r="D2674" t="s">
        <v>2538</v>
      </c>
      <c r="E2674" s="3" t="str">
        <f>HYPERLINK("https://www.amazon.com/Klein-Tools-Rechargeable-Flashlight-Worklight/dp/B0BC85LX49/ref=sr_1_2?keywords=Klein+Tools+56403+Rechargeable+Personal+Worklight&amp;qid=1695173953&amp;sr=8-2", "https://www.amazon.com/Klein-Tools-Rechargeable-Flashlight-Worklight/dp/B0BC85LX49/ref=sr_1_2?keywords=Klein+Tools+56403+Rechargeable+Personal+Worklight&amp;qid=1695173953&amp;sr=8-2")</f>
        <v>https://www.amazon.com/Klein-Tools-Rechargeable-Flashlight-Worklight/dp/B0BC85LX49/ref=sr_1_2?keywords=Klein+Tools+56403+Rechargeable+Personal+Worklight&amp;qid=1695173953&amp;sr=8-2</v>
      </c>
      <c r="F2674" t="s">
        <v>2539</v>
      </c>
      <c r="G2674" t="e">
        <f ca="1">_xludf.IMAGE("https://edmondsonsupply.com/cdn/shop/products/56403.jpg?v=1587143308")</f>
        <v>#NAME?</v>
      </c>
      <c r="H2674" t="e">
        <f ca="1">_xludf.IMAGE("https://m.media-amazon.com/images/I/61HjyBviEWL._AC_UL320_.jpg")</f>
        <v>#NAME?</v>
      </c>
      <c r="I2674" t="s">
        <v>380</v>
      </c>
      <c r="J2674">
        <v>96.47</v>
      </c>
      <c r="K2674" s="4">
        <v>0.93059999999999998</v>
      </c>
      <c r="L2674">
        <v>5</v>
      </c>
      <c r="M2674">
        <v>1</v>
      </c>
      <c r="O2674" t="s">
        <v>25</v>
      </c>
      <c r="P2674" t="s">
        <v>2540</v>
      </c>
      <c r="Q2674" t="s">
        <v>2541</v>
      </c>
    </row>
    <row r="2675" spans="1:17" ht="15.5" x14ac:dyDescent="0.35">
      <c r="A2675" s="3" t="str">
        <f>HYPERLINK("https://edmondsonsupply.com/collections/electricians-tools/products/milwaukee-48-22-1521-compact-folding-knife", "https://edmondsonsupply.com/collections/electricians-tools/products/milwaukee-48-22-1521-compact-folding-knife")</f>
        <v>https://edmondsonsupply.com/collections/electricians-tools/products/milwaukee-48-22-1521-compact-folding-knife</v>
      </c>
      <c r="B2675" s="3" t="str">
        <f>HYPERLINK("https://edmondsonsupply.com/products/milwaukee-48-22-1521-compact-folding-knife", "https://edmondsonsupply.com/products/milwaukee-48-22-1521-compact-folding-knife")</f>
        <v>https://edmondsonsupply.com/products/milwaukee-48-22-1521-compact-folding-knife</v>
      </c>
      <c r="C2675" t="s">
        <v>6665</v>
      </c>
      <c r="D2675" t="s">
        <v>4303</v>
      </c>
      <c r="E2675" s="3" t="str">
        <f>HYPERLINK("https://www.amazon.com/Milwaukee-48-22-1985-Fastback-Folding-Lanyard/dp/B00IQCDWIG/ref=sr_1_8?keywords=Milwaukee+48-22-1521+Compact+Folding+Knife&amp;qid=1695174090&amp;sr=8-8", "https://www.amazon.com/Milwaukee-48-22-1985-Fastback-Folding-Lanyard/dp/B00IQCDWIG/ref=sr_1_8?keywords=Milwaukee+48-22-1521+Compact+Folding+Knife&amp;qid=1695174090&amp;sr=8-8")</f>
        <v>https://www.amazon.com/Milwaukee-48-22-1985-Fastback-Folding-Lanyard/dp/B00IQCDWIG/ref=sr_1_8?keywords=Milwaukee+48-22-1521+Compact+Folding+Knife&amp;qid=1695174090&amp;sr=8-8</v>
      </c>
      <c r="F2675" t="s">
        <v>4304</v>
      </c>
      <c r="G2675" t="e">
        <f ca="1">_xludf.IMAGE("https://edmondsonsupply.com/cdn/shop/products/48-22-1521_1.webp?v=1675359641")</f>
        <v>#NAME?</v>
      </c>
      <c r="H2675" t="e">
        <f ca="1">_xludf.IMAGE("https://m.media-amazon.com/images/I/714SFoSX-4L._AC_UL320_.jpg")</f>
        <v>#NAME?</v>
      </c>
      <c r="I2675" t="s">
        <v>1211</v>
      </c>
      <c r="J2675">
        <v>25.01</v>
      </c>
      <c r="K2675" s="4">
        <v>0.92830000000000001</v>
      </c>
      <c r="L2675">
        <v>4.5999999999999996</v>
      </c>
      <c r="M2675">
        <v>627</v>
      </c>
      <c r="O2675" t="s">
        <v>25</v>
      </c>
      <c r="P2675" t="s">
        <v>6666</v>
      </c>
      <c r="Q2675" t="s">
        <v>6667</v>
      </c>
    </row>
    <row r="2676" spans="1:17" ht="15.5" x14ac:dyDescent="0.35">
      <c r="A2676"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2676" s="3" t="str">
        <f>HYPERLINK("https://edmondsonsupply.com/products/klein-tools-11046-wire-stripper-cutter-16-26-awg-stranded", "https://edmondsonsupply.com/products/klein-tools-11046-wire-stripper-cutter-16-26-awg-stranded")</f>
        <v>https://edmondsonsupply.com/products/klein-tools-11046-wire-stripper-cutter-16-26-awg-stranded</v>
      </c>
      <c r="C2676" t="s">
        <v>2278</v>
      </c>
      <c r="D2676" t="s">
        <v>2551</v>
      </c>
      <c r="E2676" s="3" t="str">
        <f>HYPERLINK("https://www.amazon.com/Klein-Tools-Stripper-Lightweight-Precision/dp/B0BNL5MC4G/ref=sr_1_2?keywords=Klein+Tools+11046+Wire+Stripper%2FCutter+16-26+AWG+Stranded&amp;qid=1695173951&amp;sr=8-2", "https://www.amazon.com/Klein-Tools-Stripper-Lightweight-Precision/dp/B0BNL5MC4G/ref=sr_1_2?keywords=Klein+Tools+11046+Wire+Stripper%2FCutter+16-26+AWG+Stranded&amp;qid=1695173951&amp;sr=8-2")</f>
        <v>https://www.amazon.com/Klein-Tools-Stripper-Lightweight-Precision/dp/B0BNL5MC4G/ref=sr_1_2?keywords=Klein+Tools+11046+Wire+Stripper%2FCutter+16-26+AWG+Stranded&amp;qid=1695173951&amp;sr=8-2</v>
      </c>
      <c r="F2676" t="s">
        <v>2552</v>
      </c>
      <c r="G2676" t="e">
        <f ca="1">_xludf.IMAGE("https://edmondsonsupply.com/cdn/shop/products/11046.jpg?v=1587147965")</f>
        <v>#NAME?</v>
      </c>
      <c r="H2676" t="e">
        <f ca="1">_xludf.IMAGE("https://m.media-amazon.com/images/I/41uWm6Rw+pL._AC_UL320_.jpg")</f>
        <v>#NAME?</v>
      </c>
      <c r="I2676" t="s">
        <v>143</v>
      </c>
      <c r="J2676">
        <v>30.75</v>
      </c>
      <c r="K2676" s="4">
        <v>0.92549999999999999</v>
      </c>
      <c r="L2676">
        <v>4.5999999999999996</v>
      </c>
      <c r="M2676">
        <v>7</v>
      </c>
      <c r="O2676" t="s">
        <v>25</v>
      </c>
      <c r="P2676" t="s">
        <v>2281</v>
      </c>
      <c r="Q2676" t="s">
        <v>2282</v>
      </c>
    </row>
    <row r="2677" spans="1:17" ht="15.5" x14ac:dyDescent="0.35">
      <c r="A2677" s="3" t="str">
        <f>HYPERLINK("https://edmondsonsupply.com/collections/electricians-tools/products/milwaukee-48-22-1521-compact-folding-knife", "https://edmondsonsupply.com/collections/electricians-tools/products/milwaukee-48-22-1521-compact-folding-knife")</f>
        <v>https://edmondsonsupply.com/collections/electricians-tools/products/milwaukee-48-22-1521-compact-folding-knife</v>
      </c>
      <c r="B2677" s="3" t="str">
        <f>HYPERLINK("https://edmondsonsupply.com/products/milwaukee-48-22-1521-compact-folding-knife", "https://edmondsonsupply.com/products/milwaukee-48-22-1521-compact-folding-knife")</f>
        <v>https://edmondsonsupply.com/products/milwaukee-48-22-1521-compact-folding-knife</v>
      </c>
      <c r="C2677" t="s">
        <v>6665</v>
      </c>
      <c r="D2677" t="s">
        <v>4305</v>
      </c>
      <c r="E2677" s="3" t="str">
        <f>HYPERLINK("https://www.amazon.com/Milwaukee-48-22-1990-FASTBACK-Smooth-Folding/dp/B00IKVFCUO/ref=sr_1_5?keywords=Milwaukee+48-22-1521+Compact+Folding+Knife&amp;qid=1695174090&amp;sr=8-5", "https://www.amazon.com/Milwaukee-48-22-1990-FASTBACK-Smooth-Folding/dp/B00IKVFCUO/ref=sr_1_5?keywords=Milwaukee+48-22-1521+Compact+Folding+Knife&amp;qid=1695174090&amp;sr=8-5")</f>
        <v>https://www.amazon.com/Milwaukee-48-22-1990-FASTBACK-Smooth-Folding/dp/B00IKVFCUO/ref=sr_1_5?keywords=Milwaukee+48-22-1521+Compact+Folding+Knife&amp;qid=1695174090&amp;sr=8-5</v>
      </c>
      <c r="F2677" t="s">
        <v>4306</v>
      </c>
      <c r="G2677" t="e">
        <f ca="1">_xludf.IMAGE("https://edmondsonsupply.com/cdn/shop/products/48-22-1521_1.webp?v=1675359641")</f>
        <v>#NAME?</v>
      </c>
      <c r="H2677" t="e">
        <f ca="1">_xludf.IMAGE("https://m.media-amazon.com/images/I/81wFFG5g9vL._AC_UL320_.jpg")</f>
        <v>#NAME?</v>
      </c>
      <c r="I2677" t="s">
        <v>1211</v>
      </c>
      <c r="J2677">
        <v>24.97</v>
      </c>
      <c r="K2677" s="4">
        <v>0.92520000000000002</v>
      </c>
      <c r="L2677">
        <v>4.5</v>
      </c>
      <c r="M2677">
        <v>982</v>
      </c>
      <c r="O2677" t="s">
        <v>25</v>
      </c>
      <c r="P2677" t="s">
        <v>6666</v>
      </c>
      <c r="Q2677" t="s">
        <v>6667</v>
      </c>
    </row>
    <row r="2678" spans="1:17" ht="15.5" x14ac:dyDescent="0.35">
      <c r="A2678"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2678" s="3" t="str">
        <f>HYPERLINK("https://edmondsonsupply.com/products/klein-tools-60184-lightweight-gel-knee-pads", "https://edmondsonsupply.com/products/klein-tools-60184-lightweight-gel-knee-pads")</f>
        <v>https://edmondsonsupply.com/products/klein-tools-60184-lightweight-gel-knee-pads</v>
      </c>
      <c r="C2678" t="s">
        <v>908</v>
      </c>
      <c r="D2678" t="s">
        <v>909</v>
      </c>
      <c r="E2678" s="3" t="str">
        <f>HYPERLINK("https://www.amazon.com/Klein-Tools-60491-Protective-Quick-Fasten/dp/B0BHXBMBHP/ref=sr_1_2?keywords=Klein+Tools+60184+Lightweight+Gel+Knee+Pads&amp;qid=1695173931&amp;sr=8-2", "https://www.amazon.com/Klein-Tools-60491-Protective-Quick-Fasten/dp/B0BHXBMBHP/ref=sr_1_2?keywords=Klein+Tools+60184+Lightweight+Gel+Knee+Pads&amp;qid=1695173931&amp;sr=8-2")</f>
        <v>https://www.amazon.com/Klein-Tools-60491-Protective-Quick-Fasten/dp/B0BHXBMBHP/ref=sr_1_2?keywords=Klein+Tools+60184+Lightweight+Gel+Knee+Pads&amp;qid=1695173931&amp;sr=8-2</v>
      </c>
      <c r="F2678" t="s">
        <v>910</v>
      </c>
      <c r="G2678" t="e">
        <f ca="1">_xludf.IMAGE("https://edmondsonsupply.com/cdn/shop/products/60184.jpg?v=1633030246")</f>
        <v>#NAME?</v>
      </c>
      <c r="H2678" t="e">
        <f ca="1">_xludf.IMAGE("https://m.media-amazon.com/images/I/718i4PDcjnL._AC_UL320_.jpg")</f>
        <v>#NAME?</v>
      </c>
      <c r="I2678" t="s">
        <v>911</v>
      </c>
      <c r="J2678">
        <v>49.97</v>
      </c>
      <c r="K2678" s="4">
        <v>0.92410000000000003</v>
      </c>
      <c r="L2678">
        <v>4.4000000000000004</v>
      </c>
      <c r="M2678">
        <v>289</v>
      </c>
      <c r="O2678" t="s">
        <v>25</v>
      </c>
      <c r="P2678" t="s">
        <v>912</v>
      </c>
      <c r="Q2678" t="s">
        <v>913</v>
      </c>
    </row>
    <row r="2679" spans="1:17" ht="15.5" x14ac:dyDescent="0.35">
      <c r="A2679" s="3" t="str">
        <f>HYPERLINK("https://edmondsonsupply.com/collections/electricians-tools/products/milwaukee-49-56-0197-3-5-8-hole-dozer%E2%84%A2-hole-saw-bi-metal-cup", "https://edmondsonsupply.com/collections/electricians-tools/products/milwaukee-49-56-0197-3-5-8-hole-dozer%E2%84%A2-hole-saw-bi-metal-cup")</f>
        <v>https://edmondsonsupply.com/collections/electricians-tools/products/milwaukee-49-56-0197-3-5-8-hole-dozer%E2%84%A2-hole-saw-bi-metal-cup</v>
      </c>
      <c r="B2679" s="3" t="str">
        <f>HYPERLINK("https://edmondsonsupply.com/products/milwaukee-49-56-0197-3-5-8-hole-dozer%e2%84%a2-hole-saw-bi-metal-cup", "https://edmondsonsupply.com/products/milwaukee-49-56-0197-3-5-8-hole-dozer%e2%84%a2-hole-saw-bi-metal-cup")</f>
        <v>https://edmondsonsupply.com/products/milwaukee-49-56-0197-3-5-8-hole-dozer%e2%84%a2-hole-saw-bi-metal-cup</v>
      </c>
      <c r="C2679" t="s">
        <v>6494</v>
      </c>
      <c r="D2679" t="s">
        <v>6730</v>
      </c>
      <c r="E2679" s="3" t="str">
        <f>HYPERLINK("https://www.amazon.com/Milwaukee-49-56-9643T-MIL-Harden-Hole-Bi-Metal/dp/B007FUN6HC/ref=sr_1_7?keywords=Milwaukee+49-56-0197+3-5%2F8%22+HOLE+DOZER%E2%84%A2+Hole+Saw+Bi-Metal+Cup&amp;qid=1695174058&amp;sr=8-7", "https://www.amazon.com/Milwaukee-49-56-9643T-MIL-Harden-Hole-Bi-Metal/dp/B007FUN6HC/ref=sr_1_7?keywords=Milwaukee+49-56-0197+3-5%2F8%22+HOLE+DOZER%E2%84%A2+Hole+Saw+Bi-Metal+Cup&amp;qid=1695174058&amp;sr=8-7")</f>
        <v>https://www.amazon.com/Milwaukee-49-56-9643T-MIL-Harden-Hole-Bi-Metal/dp/B007FUN6HC/ref=sr_1_7?keywords=Milwaukee+49-56-0197+3-5%2F8%22+HOLE+DOZER%E2%84%A2+Hole+Saw+Bi-Metal+Cup&amp;qid=1695174058&amp;sr=8-7</v>
      </c>
      <c r="F2679" t="s">
        <v>6731</v>
      </c>
      <c r="G2679" t="e">
        <f ca="1">_xludf.IMAGE("https://edmondsonsupply.com/cdn/shop/products/49-56-0052_101_1_b485d0b4-965d-40fc-a007-7e23c4d86724.webp?v=1678912947")</f>
        <v>#NAME?</v>
      </c>
      <c r="H2679" t="e">
        <f ca="1">_xludf.IMAGE("https://m.media-amazon.com/images/I/51DIlWGVZ6L._AC_UL320_.jpg")</f>
        <v>#NAME?</v>
      </c>
      <c r="I2679" t="s">
        <v>6495</v>
      </c>
      <c r="J2679">
        <v>23.41</v>
      </c>
      <c r="K2679" s="4">
        <v>0.9204</v>
      </c>
      <c r="L2679">
        <v>4.5999999999999996</v>
      </c>
      <c r="M2679">
        <v>13</v>
      </c>
      <c r="O2679" t="s">
        <v>25</v>
      </c>
      <c r="P2679" t="s">
        <v>6496</v>
      </c>
      <c r="Q2679" t="s">
        <v>6497</v>
      </c>
    </row>
    <row r="2680" spans="1:17" ht="15.5" x14ac:dyDescent="0.35">
      <c r="A2680" s="3" t="str">
        <f>HYPERLINK("https://edmondsonsupply.com/collections/electricians-tools/products/channellock-804", "https://edmondsonsupply.com/collections/electricians-tools/products/channellock-804")</f>
        <v>https://edmondsonsupply.com/collections/electricians-tools/products/channellock-804</v>
      </c>
      <c r="B2680" s="3" t="str">
        <f>HYPERLINK("https://edmondsonsupply.com/products/channellock-804", "https://edmondsonsupply.com/products/channellock-804")</f>
        <v>https://edmondsonsupply.com/products/channellock-804</v>
      </c>
      <c r="C2680" t="s">
        <v>1551</v>
      </c>
      <c r="D2680" t="s">
        <v>2555</v>
      </c>
      <c r="E2680" s="3" t="str">
        <f>HYPERLINK("https://www.amazon.com/Channellock-808WCB-8-Inch-Chrome-Adjustable/dp/B00LFIEQ3S/ref=sr_1_9?keywords=Channellock+804+4-Inch+Chrome+Adjustable+Wrench&amp;qid=1695173945&amp;sr=8-9", "https://www.amazon.com/Channellock-808WCB-8-Inch-Chrome-Adjustable/dp/B00LFIEQ3S/ref=sr_1_9?keywords=Channellock+804+4-Inch+Chrome+Adjustable+Wrench&amp;qid=1695173945&amp;sr=8-9")</f>
        <v>https://www.amazon.com/Channellock-808WCB-8-Inch-Chrome-Adjustable/dp/B00LFIEQ3S/ref=sr_1_9?keywords=Channellock+804+4-Inch+Chrome+Adjustable+Wrench&amp;qid=1695173945&amp;sr=8-9</v>
      </c>
      <c r="F2680" t="s">
        <v>2556</v>
      </c>
      <c r="G2680" t="e">
        <f ca="1">_xludf.IMAGE("https://edmondsonsupply.com/cdn/shop/products/804-683x1024.jpg?v=1587145853")</f>
        <v>#NAME?</v>
      </c>
      <c r="H2680" t="e">
        <f ca="1">_xludf.IMAGE("https://m.media-amazon.com/images/I/717njKwq-cL._AC_UL320_.jpg")</f>
        <v>#NAME?</v>
      </c>
      <c r="I2680" t="s">
        <v>1554</v>
      </c>
      <c r="J2680">
        <v>32.450000000000003</v>
      </c>
      <c r="K2680" s="4">
        <v>0.91449999999999998</v>
      </c>
      <c r="L2680">
        <v>4.5999999999999996</v>
      </c>
      <c r="M2680">
        <v>89</v>
      </c>
      <c r="O2680" t="s">
        <v>25</v>
      </c>
      <c r="P2680" t="s">
        <v>1555</v>
      </c>
      <c r="Q2680" t="s">
        <v>1556</v>
      </c>
    </row>
    <row r="2681" spans="1:17" ht="15.5" x14ac:dyDescent="0.35">
      <c r="A2681" s="3" t="str">
        <f>HYPERLINK("https://edmondsonsupply.com/collections/electricians-tools/products/klein-tools-69357-ac-plug-to-banana-jacks", "https://edmondsonsupply.com/collections/electricians-tools/products/klein-tools-69357-ac-plug-to-banana-jacks")</f>
        <v>https://edmondsonsupply.com/collections/electricians-tools/products/klein-tools-69357-ac-plug-to-banana-jacks</v>
      </c>
      <c r="B2681" s="3" t="str">
        <f>HYPERLINK("https://edmondsonsupply.com/products/klein-tools-69357-ac-plug-to-banana-jacks", "https://edmondsonsupply.com/products/klein-tools-69357-ac-plug-to-banana-jacks")</f>
        <v>https://edmondsonsupply.com/products/klein-tools-69357-ac-plug-to-banana-jacks</v>
      </c>
      <c r="C2681" t="s">
        <v>6732</v>
      </c>
      <c r="D2681" t="s">
        <v>6733</v>
      </c>
      <c r="E2681" s="3" t="str">
        <f>HYPERLINK("https://www.amazon.com/Klein-Tools-69357-Banana-Type-Connectors/dp/B0BN2LTKTB/ref=sr_1_1?keywords=Klein+Tools+69357+AC+Plug+to+Banana+Jacks&amp;qid=1695174078&amp;sr=8-1", "https://www.amazon.com/Klein-Tools-69357-Banana-Type-Connectors/dp/B0BN2LTKTB/ref=sr_1_1?keywords=Klein+Tools+69357+AC+Plug+to+Banana+Jacks&amp;qid=1695174078&amp;sr=8-1")</f>
        <v>https://www.amazon.com/Klein-Tools-69357-Banana-Type-Connectors/dp/B0BN2LTKTB/ref=sr_1_1?keywords=Klein+Tools+69357+AC+Plug+to+Banana+Jacks&amp;qid=1695174078&amp;sr=8-1</v>
      </c>
      <c r="F2681" t="s">
        <v>6734</v>
      </c>
      <c r="G2681" t="e">
        <f ca="1">_xludf.IMAGE("https://edmondsonsupply.com/cdn/shop/products/69357.jpg?v=1674489211")</f>
        <v>#NAME?</v>
      </c>
      <c r="H2681" t="e">
        <f ca="1">_xludf.IMAGE("https://m.media-amazon.com/images/I/51B8PrxCL3L._AC_UY218_.jpg")</f>
        <v>#NAME?</v>
      </c>
      <c r="I2681" t="s">
        <v>2577</v>
      </c>
      <c r="J2681">
        <v>19.12</v>
      </c>
      <c r="K2681" s="4">
        <v>0.91390000000000005</v>
      </c>
      <c r="L2681">
        <v>4.5</v>
      </c>
      <c r="M2681">
        <v>2</v>
      </c>
      <c r="O2681" t="s">
        <v>25</v>
      </c>
      <c r="P2681" t="s">
        <v>6735</v>
      </c>
      <c r="Q2681" t="s">
        <v>6736</v>
      </c>
    </row>
    <row r="2682" spans="1:17" ht="15.5" x14ac:dyDescent="0.35">
      <c r="A2682" s="3" t="str">
        <f>HYPERLINK("https://edmondsonsupply.com/collections/electricians-tools/products/klein-tools-d2000-28-diagonal-cutting-pliers-heavy-duty-high-leverage-8-inch", "https://edmondsonsupply.com/collections/electricians-tools/products/klein-tools-d2000-28-diagonal-cutting-pliers-heavy-duty-high-leverage-8-inch")</f>
        <v>https://edmondsonsupply.com/collections/electricians-tools/products/klein-tools-d2000-28-diagonal-cutting-pliers-heavy-duty-high-leverage-8-inch</v>
      </c>
      <c r="B2682" s="3" t="str">
        <f>HYPERLINK("https://edmondsonsupply.com/products/klein-tools-d2000-28-diagonal-cutting-pliers-heavy-duty-high-leverage-8-inch", "https://edmondsonsupply.com/products/klein-tools-d2000-28-diagonal-cutting-pliers-heavy-duty-high-leverage-8-inch")</f>
        <v>https://edmondsonsupply.com/products/klein-tools-d2000-28-diagonal-cutting-pliers-heavy-duty-high-leverage-8-inch</v>
      </c>
      <c r="C2682" t="s">
        <v>6737</v>
      </c>
      <c r="D2682" t="s">
        <v>6738</v>
      </c>
      <c r="E2682" s="3" t="str">
        <f>HYPERLINK("https://www.amazon.com/Klein-Tools-D2000-28-Diagonal-D213-9NE/dp/B0BD3WQ62S/ref=sr_1_5?keywords=Klein+Tools+D2000-28+Diagonal+Cutting+Pliers%2C+Heavy-Duty%2C+High-Leverage%2C+8-Inch&amp;qid=1695174291&amp;sr=8-5", "https://www.amazon.com/Klein-Tools-D2000-28-Diagonal-D213-9NE/dp/B0BD3WQ62S/ref=sr_1_5?keywords=Klein+Tools+D2000-28+Diagonal+Cutting+Pliers%2C+Heavy-Duty%2C+High-Leverage%2C+8-Inch&amp;qid=1695174291&amp;sr=8-5")</f>
        <v>https://www.amazon.com/Klein-Tools-D2000-28-Diagonal-D213-9NE/dp/B0BD3WQ62S/ref=sr_1_5?keywords=Klein+Tools+D2000-28+Diagonal+Cutting+Pliers%2C+Heavy-Duty%2C+High-Leverage%2C+8-Inch&amp;qid=1695174291&amp;sr=8-5</v>
      </c>
      <c r="F2682" t="s">
        <v>6739</v>
      </c>
      <c r="G2682" t="e">
        <f ca="1">_xludf.IMAGE("https://edmondsonsupply.com/cdn/shop/products/d200028.jpg?v=1633030882")</f>
        <v>#NAME?</v>
      </c>
      <c r="H2682" t="e">
        <f ca="1">_xludf.IMAGE("https://m.media-amazon.com/images/I/31MK8zfZMnL._AC_UL320_.jpg")</f>
        <v>#NAME?</v>
      </c>
      <c r="I2682" t="s">
        <v>571</v>
      </c>
      <c r="J2682">
        <v>66.959999999999994</v>
      </c>
      <c r="K2682" s="4">
        <v>0.91369999999999996</v>
      </c>
      <c r="L2682">
        <v>5</v>
      </c>
      <c r="M2682">
        <v>2</v>
      </c>
      <c r="O2682" t="s">
        <v>25</v>
      </c>
      <c r="P2682" t="s">
        <v>5228</v>
      </c>
      <c r="Q2682" t="s">
        <v>6740</v>
      </c>
    </row>
    <row r="2683" spans="1:17" ht="15.5" x14ac:dyDescent="0.35">
      <c r="A2683" s="3" t="str">
        <f>HYPERLINK("https://edmondsonsupply.com/collections/electricians-tools/products/klein-tools-60347-hard-hat-premium-karbn%E2%84%A2-pattern-vented-full-brim-class-c-lamp", "https://edmondsonsupply.com/collections/electricians-tools/products/klein-tools-60347-hard-hat-premium-karbn%E2%84%A2-pattern-vented-full-brim-class-c-lamp")</f>
        <v>https://edmondsonsupply.com/collections/electricians-tools/products/klein-tools-60347-hard-hat-premium-karbn%E2%84%A2-pattern-vented-full-brim-class-c-lamp</v>
      </c>
      <c r="B2683"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2683" t="s">
        <v>914</v>
      </c>
      <c r="D2683" t="s">
        <v>915</v>
      </c>
      <c r="E2683" s="3" t="str">
        <f>HYPERLINK("https://www.amazon.com/Klein-Tools-Rechargeable-Sweat-Wicking-Sweatband/dp/B0BNL94L4X/ref=sr_1_3?keywords=Klein+Tools+60347+Hard+Hat%2C+Premium+KARBN%E2%84%A2+Pattern%2C+Vented+Full+Brim%2C+Class+C%2C+Lamp&amp;qid=1695174177&amp;sr=8-3", "https://www.amazon.com/Klein-Tools-Rechargeable-Sweat-Wicking-Sweatband/dp/B0BNL94L4X/ref=sr_1_3?keywords=Klein+Tools+60347+Hard+Hat%2C+Premium+KARBN%E2%84%A2+Pattern%2C+Vented+Full+Brim%2C+Class+C%2C+Lamp&amp;qid=1695174177&amp;sr=8-3")</f>
        <v>https://www.amazon.com/Klein-Tools-Rechargeable-Sweat-Wicking-Sweatband/dp/B0BNL94L4X/ref=sr_1_3?keywords=Klein+Tools+60347+Hard+Hat%2C+Premium+KARBN%E2%84%A2+Pattern%2C+Vented+Full+Brim%2C+Class+C%2C+Lamp&amp;qid=1695174177&amp;sr=8-3</v>
      </c>
      <c r="F2683" t="s">
        <v>916</v>
      </c>
      <c r="G2683" t="e">
        <f ca="1">_xludf.IMAGE("https://edmondsonsupply.com/cdn/shop/products/60347.jpg?v=1659454043")</f>
        <v>#NAME?</v>
      </c>
      <c r="H2683" t="e">
        <f ca="1">_xludf.IMAGE("https://m.media-amazon.com/images/I/51A8iWc37VL._AC_UL320_.jpg")</f>
        <v>#NAME?</v>
      </c>
      <c r="I2683" t="s">
        <v>315</v>
      </c>
      <c r="J2683">
        <v>171.85</v>
      </c>
      <c r="K2683" s="4">
        <v>0.90969999999999995</v>
      </c>
      <c r="L2683">
        <v>4.7</v>
      </c>
      <c r="M2683">
        <v>4</v>
      </c>
      <c r="O2683" t="s">
        <v>171</v>
      </c>
      <c r="P2683" t="s">
        <v>917</v>
      </c>
      <c r="Q2683" t="s">
        <v>918</v>
      </c>
    </row>
    <row r="2684" spans="1:17" ht="15.5" x14ac:dyDescent="0.35">
      <c r="A2684"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2684"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2684" t="s">
        <v>6321</v>
      </c>
      <c r="D2684" t="s">
        <v>6741</v>
      </c>
      <c r="E2684" s="3" t="str">
        <f>HYPERLINK("https://www.amazon.com/MilwaukeeTool-Milwaukee-Grinder-No-Lock-2880-22/dp/B09FBJL179/ref=sr_1_3?keywords=Milwaukee+2880-20+M18+FUEL%E2%84%A2+4-1%2F2%22+%2F+5%22+Grinder+Paddle+Switch%2C+No-Lock&amp;qid=1695174165&amp;sr=8-3", "https://www.amazon.com/MilwaukeeTool-Milwaukee-Grinder-No-Lock-2880-22/dp/B09FBJL179/ref=sr_1_3?keywords=Milwaukee+2880-20+M18+FUEL%E2%84%A2+4-1%2F2%22+%2F+5%22+Grinder+Paddle+Switch%2C+No-Lock&amp;qid=1695174165&amp;sr=8-3")</f>
        <v>https://www.amazon.com/MilwaukeeTool-Milwaukee-Grinder-No-Lock-2880-22/dp/B09FBJL179/ref=sr_1_3?keywords=Milwaukee+2880-20+M18+FUEL%E2%84%A2+4-1%2F2%22+%2F+5%22+Grinder+Paddle+Switch%2C+No-Lock&amp;qid=1695174165&amp;sr=8-3</v>
      </c>
      <c r="F2684" t="s">
        <v>6742</v>
      </c>
      <c r="G2684" t="e">
        <f ca="1">_xludf.IMAGE("https://edmondsonsupply.com/cdn/shop/products/2880-20_1.webp?v=1661698933")</f>
        <v>#NAME?</v>
      </c>
      <c r="H2684" t="e">
        <f ca="1">_xludf.IMAGE("https://m.media-amazon.com/images/I/61Vmp8uxgHL._AC_UL320_.jpg")</f>
        <v>#NAME?</v>
      </c>
      <c r="I2684" t="s">
        <v>715</v>
      </c>
      <c r="J2684">
        <v>379.94</v>
      </c>
      <c r="K2684" s="4">
        <v>0.90920000000000001</v>
      </c>
      <c r="L2684">
        <v>4.8</v>
      </c>
      <c r="M2684">
        <v>8</v>
      </c>
      <c r="O2684" t="s">
        <v>25</v>
      </c>
      <c r="P2684" t="s">
        <v>4885</v>
      </c>
      <c r="Q2684" t="s">
        <v>6324</v>
      </c>
    </row>
    <row r="2685" spans="1:17" ht="15.5" x14ac:dyDescent="0.35">
      <c r="A2685"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2685" s="3" t="str">
        <f>HYPERLINK("https://edmondsonsupply.com/products/klein-tools-vdv526-200-lan-scout-%c2%ae-jr-2-cable-tester", "https://edmondsonsupply.com/products/klein-tools-vdv526-200-lan-scout-%c2%ae-jr-2-cable-tester")</f>
        <v>https://edmondsonsupply.com/products/klein-tools-vdv526-200-lan-scout-%c2%ae-jr-2-cable-tester</v>
      </c>
      <c r="C2685" t="s">
        <v>6500</v>
      </c>
      <c r="D2685" t="s">
        <v>6743</v>
      </c>
      <c r="E2685" s="3" t="str">
        <f>HYPERLINK("https://www.amazon.com/Klein-Tools-VDV226-110-Ratcheting-Connections/dp/B09T6YN1NB/ref=sr_1_7?keywords=Klein+Tools+VDV526-200+LAN+Scout+%C2%AE+Jr.+2+Cable+Tester&amp;qid=1695174153&amp;sr=8-7", "https://www.amazon.com/Klein-Tools-VDV226-110-Ratcheting-Connections/dp/B09T6YN1NB/ref=sr_1_7?keywords=Klein+Tools+VDV526-200+LAN+Scout+%C2%AE+Jr.+2+Cable+Tester&amp;qid=1695174153&amp;sr=8-7")</f>
        <v>https://www.amazon.com/Klein-Tools-VDV226-110-Ratcheting-Connections/dp/B09T6YN1NB/ref=sr_1_7?keywords=Klein+Tools+VDV526-200+LAN+Scout+%C2%AE+Jr.+2+Cable+Tester&amp;qid=1695174153&amp;sr=8-7</v>
      </c>
      <c r="F2685" t="s">
        <v>6744</v>
      </c>
      <c r="G2685" t="e">
        <f ca="1">_xludf.IMAGE("https://edmondsonsupply.com/cdn/shop/products/vdv526200.jpg?v=1663689949")</f>
        <v>#NAME?</v>
      </c>
      <c r="H2685" t="e">
        <f ca="1">_xludf.IMAGE("https://m.media-amazon.com/images/I/51-TxWp0yoL._AC_UY218_.jpg")</f>
        <v>#NAME?</v>
      </c>
      <c r="I2685" t="s">
        <v>3359</v>
      </c>
      <c r="J2685">
        <v>104.94</v>
      </c>
      <c r="K2685" s="4">
        <v>0.90900000000000003</v>
      </c>
      <c r="L2685">
        <v>5</v>
      </c>
      <c r="M2685">
        <v>6</v>
      </c>
      <c r="O2685" t="s">
        <v>25</v>
      </c>
      <c r="P2685" t="s">
        <v>6503</v>
      </c>
      <c r="Q2685" t="s">
        <v>6504</v>
      </c>
    </row>
    <row r="2686" spans="1:17" ht="15.5" x14ac:dyDescent="0.35">
      <c r="A2686"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686" s="3" t="str">
        <f>HYPERLINK("https://edmondsonsupply.com/products/klein-tools-32305-15-in-1-multi-bit-ratcheting-screwdriver", "https://edmondsonsupply.com/products/klein-tools-32305-15-in-1-multi-bit-ratcheting-screwdriver")</f>
        <v>https://edmondsonsupply.com/products/klein-tools-32305-15-in-1-multi-bit-ratcheting-screwdriver</v>
      </c>
      <c r="C2686" t="s">
        <v>6262</v>
      </c>
      <c r="D2686" t="s">
        <v>6745</v>
      </c>
      <c r="E2686" s="3" t="str">
        <f>HYPERLINK("https://www.amazon.com/Klein-Tools-Ratcheting-Screwdriver-Tamperproof/dp/B0BVG436BF/ref=sr_1_4?keywords=Klein+Tools+32305+15-in-1+Multi-Bit+Ratcheting+Screwdriver&amp;qid=1695174215&amp;sr=8-4", "https://www.amazon.com/Klein-Tools-Ratcheting-Screwdriver-Tamperproof/dp/B0BVG436BF/ref=sr_1_4?keywords=Klein+Tools+32305+15-in-1+Multi-Bit+Ratcheting+Screwdriver&amp;qid=1695174215&amp;sr=8-4")</f>
        <v>https://www.amazon.com/Klein-Tools-Ratcheting-Screwdriver-Tamperproof/dp/B0BVG436BF/ref=sr_1_4?keywords=Klein+Tools+32305+15-in-1+Multi-Bit+Ratcheting+Screwdriver&amp;qid=1695174215&amp;sr=8-4</v>
      </c>
      <c r="F2686" t="s">
        <v>6746</v>
      </c>
      <c r="G2686" t="e">
        <f ca="1">_xludf.IMAGE("https://edmondsonsupply.com/cdn/shop/products/32305.jpg?v=1646965475")</f>
        <v>#NAME?</v>
      </c>
      <c r="H2686" t="e">
        <f ca="1">_xludf.IMAGE("https://m.media-amazon.com/images/I/41WYylf-lZL._AC_UL320_.jpg")</f>
        <v>#NAME?</v>
      </c>
      <c r="I2686" t="s">
        <v>2247</v>
      </c>
      <c r="J2686">
        <v>41.94</v>
      </c>
      <c r="K2686" s="4">
        <v>0.90900000000000003</v>
      </c>
      <c r="L2686">
        <v>4.5</v>
      </c>
      <c r="M2686">
        <v>5</v>
      </c>
      <c r="O2686" t="s">
        <v>25</v>
      </c>
      <c r="P2686" t="s">
        <v>6200</v>
      </c>
      <c r="Q2686" t="s">
        <v>6265</v>
      </c>
    </row>
    <row r="2687" spans="1:17" ht="15.5" x14ac:dyDescent="0.35">
      <c r="A2687" s="3" t="str">
        <f>HYPERLINK("https://edmondsonsupply.com/collections/electricians-tools/products/klein-tools-1550-44-pocket-knife-2-5-8-inch-hawkbill-slitting-blade", "https://edmondsonsupply.com/collections/electricians-tools/products/klein-tools-1550-44-pocket-knife-2-5-8-inch-hawkbill-slitting-blade")</f>
        <v>https://edmondsonsupply.com/collections/electricians-tools/products/klein-tools-1550-44-pocket-knife-2-5-8-inch-hawkbill-slitting-blade</v>
      </c>
      <c r="B2687" s="3" t="str">
        <f>HYPERLINK("https://edmondsonsupply.com/products/klein-tools-1550-44-pocket-knife-2-5-8-inch-hawkbill-slitting-blade", "https://edmondsonsupply.com/products/klein-tools-1550-44-pocket-knife-2-5-8-inch-hawkbill-slitting-blade")</f>
        <v>https://edmondsonsupply.com/products/klein-tools-1550-44-pocket-knife-2-5-8-inch-hawkbill-slitting-blade</v>
      </c>
      <c r="C2687" t="s">
        <v>6747</v>
      </c>
      <c r="D2687" t="s">
        <v>6748</v>
      </c>
      <c r="E2687" s="3" t="str">
        <f>HYPERLINK("https://www.amazon.com/Lockback-8-Inch-Aluminum-Klein-Tools/dp/B009EBS4Q8/ref=sr_1_2?keywords=Klein+Tools+1550-44+Pocket+Knife%2C+2-5%2F8-Inch+Hawkbill+Slitting+Blade&amp;qid=1695174173&amp;sr=8-2", "https://www.amazon.com/Lockback-8-Inch-Aluminum-Klein-Tools/dp/B009EBS4Q8/ref=sr_1_2?keywords=Klein+Tools+1550-44+Pocket+Knife%2C+2-5%2F8-Inch+Hawkbill+Slitting+Blade&amp;qid=1695174173&amp;sr=8-2")</f>
        <v>https://www.amazon.com/Lockback-8-Inch-Aluminum-Klein-Tools/dp/B009EBS4Q8/ref=sr_1_2?keywords=Klein+Tools+1550-44+Pocket+Knife%2C+2-5%2F8-Inch+Hawkbill+Slitting+Blade&amp;qid=1695174173&amp;sr=8-2</v>
      </c>
      <c r="F2687" t="s">
        <v>6749</v>
      </c>
      <c r="G2687" t="e">
        <f ca="1">_xludf.IMAGE("https://edmondsonsupply.com/cdn/shop/products/155044_c.jpg?v=1662662355")</f>
        <v>#NAME?</v>
      </c>
      <c r="H2687" t="e">
        <f ca="1">_xludf.IMAGE("https://m.media-amazon.com/images/I/41kN3c5N5jS._AC_UL320_.jpg")</f>
        <v>#NAME?</v>
      </c>
      <c r="I2687" t="s">
        <v>6750</v>
      </c>
      <c r="J2687">
        <v>59</v>
      </c>
      <c r="K2687" s="4">
        <v>0.90749999999999997</v>
      </c>
      <c r="L2687">
        <v>4.7</v>
      </c>
      <c r="M2687">
        <v>338</v>
      </c>
      <c r="O2687" t="s">
        <v>25</v>
      </c>
      <c r="P2687" t="s">
        <v>6751</v>
      </c>
      <c r="Q2687" t="s">
        <v>6752</v>
      </c>
    </row>
    <row r="2688" spans="1:17" ht="15.5" x14ac:dyDescent="0.35">
      <c r="A2688"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2688"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2688" t="s">
        <v>6753</v>
      </c>
      <c r="D2688" t="s">
        <v>4580</v>
      </c>
      <c r="E2688" s="3" t="str">
        <f>HYPERLINK("https://www.amazon.com/Heavy-Stripper-Cutter-Crimper-Multi/dp/B08BX9RTPX/ref=sr_1_8?keywords=Klein+Tools+K11095+Klein-Kurve%C2%AE+Wire+Stripper+%2F+Cutter%2C+8-20+AWG&amp;qid=1695174173&amp;sr=8-8", "https://www.amazon.com/Heavy-Stripper-Cutter-Crimper-Multi/dp/B08BX9RTPX/ref=sr_1_8?keywords=Klein+Tools+K11095+Klein-Kurve%C2%AE+Wire+Stripper+%2F+Cutter%2C+8-20+AWG&amp;qid=1695174173&amp;sr=8-8")</f>
        <v>https://www.amazon.com/Heavy-Stripper-Cutter-Crimper-Multi/dp/B08BX9RTPX/ref=sr_1_8?keywords=Klein+Tools+K11095+Klein-Kurve%C2%AE+Wire+Stripper+%2F+Cutter%2C+8-20+AWG&amp;qid=1695174173&amp;sr=8-8</v>
      </c>
      <c r="F2688" t="s">
        <v>4581</v>
      </c>
      <c r="G2688" t="e">
        <f ca="1">_xludf.IMAGE("https://edmondsonsupply.com/cdn/shop/products/k11095_b_front_vertical.jpg?v=1661364611")</f>
        <v>#NAME?</v>
      </c>
      <c r="H2688" t="e">
        <f ca="1">_xludf.IMAGE("https://m.media-amazon.com/images/I/51Oylu1vHoL._AC_UL320_.jpg")</f>
        <v>#NAME?</v>
      </c>
      <c r="I2688" t="s">
        <v>2288</v>
      </c>
      <c r="J2688">
        <v>39.97</v>
      </c>
      <c r="K2688" s="4">
        <v>0.90610000000000002</v>
      </c>
      <c r="L2688">
        <v>4.7</v>
      </c>
      <c r="M2688">
        <v>726</v>
      </c>
      <c r="O2688" t="s">
        <v>25</v>
      </c>
      <c r="P2688" t="s">
        <v>6525</v>
      </c>
      <c r="Q2688" t="s">
        <v>6754</v>
      </c>
    </row>
    <row r="2689" spans="1:17" ht="15.5" x14ac:dyDescent="0.35">
      <c r="A2689"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2689"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2689" t="s">
        <v>2568</v>
      </c>
      <c r="D2689" t="s">
        <v>2569</v>
      </c>
      <c r="E2689" s="3" t="str">
        <f>HYPERLINK("https://www.amazon.com/Wiha-PicoFinish%C2%AE-Screwdriver-Electricians-42989/dp/B07H6SB33W/ref=sr_1_9?keywords=Wiha+Tools+32088+8+Piece+Insulated+PicoFinish+Precision+Screwdriver+Set&amp;qid=1695173981&amp;sr=8-9", "https://www.amazon.com/Wiha-PicoFinish%C2%AE-Screwdriver-Electricians-42989/dp/B07H6SB33W/ref=sr_1_9?keywords=Wiha+Tools+32088+8+Piece+Insulated+PicoFinish+Precision+Screwdriver+Set&amp;qid=1695173981&amp;sr=8-9")</f>
        <v>https://www.amazon.com/Wiha-PicoFinish%C2%AE-Screwdriver-Electricians-42989/dp/B07H6SB33W/ref=sr_1_9?keywords=Wiha+Tools+32088+8+Piece+Insulated+PicoFinish+Precision+Screwdriver+Set&amp;qid=1695173981&amp;sr=8-9</v>
      </c>
      <c r="F2689" t="s">
        <v>2570</v>
      </c>
      <c r="G2689" t="e">
        <f ca="1">_xludf.IMAGE("https://edmondsonsupply.com/cdn/shop/files/ah1u5hviqxts6itxix4k_1000x_5285634c-51ad-48c4-987e-f1113aaa9ab9.webp?v=1690905519")</f>
        <v>#NAME?</v>
      </c>
      <c r="H2689" t="e">
        <f ca="1">_xludf.IMAGE("https://m.media-amazon.com/images/I/61CoYBjxDhL._AC_UL320_.jpg")</f>
        <v>#NAME?</v>
      </c>
      <c r="I2689" t="s">
        <v>2571</v>
      </c>
      <c r="J2689">
        <v>123</v>
      </c>
      <c r="K2689" s="4">
        <v>0.90549999999999997</v>
      </c>
      <c r="L2689">
        <v>4.8</v>
      </c>
      <c r="M2689">
        <v>51</v>
      </c>
      <c r="O2689" t="s">
        <v>25</v>
      </c>
      <c r="P2689" t="s">
        <v>2572</v>
      </c>
      <c r="Q2689" t="s">
        <v>2573</v>
      </c>
    </row>
    <row r="2690" spans="1:17" ht="15.5" x14ac:dyDescent="0.35">
      <c r="A2690"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2690"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2690" t="s">
        <v>6755</v>
      </c>
      <c r="D2690" t="s">
        <v>6756</v>
      </c>
      <c r="E2690" s="3" t="str">
        <f>HYPERLINK("https://www.amazon.com/Electrical-Insulated-Screwdriver-Klein-Tools/dp/B000MKIRBC/ref=sr_1_9?keywords=Klein+Tools+602-4-INS+1%2F4-Inch+Cabinet+Tip+Insulated+Screwdriver%2C+4-Inch&amp;qid=1695174266&amp;sr=8-9", "https://www.amazon.com/Electrical-Insulated-Screwdriver-Klein-Tools/dp/B000MKIRBC/ref=sr_1_9?keywords=Klein+Tools+602-4-INS+1%2F4-Inch+Cabinet+Tip+Insulated+Screwdriver%2C+4-Inch&amp;qid=1695174266&amp;sr=8-9")</f>
        <v>https://www.amazon.com/Electrical-Insulated-Screwdriver-Klein-Tools/dp/B000MKIRBC/ref=sr_1_9?keywords=Klein+Tools+602-4-INS+1%2F4-Inch+Cabinet+Tip+Insulated+Screwdriver%2C+4-Inch&amp;qid=1695174266&amp;sr=8-9</v>
      </c>
      <c r="F2690" t="s">
        <v>6757</v>
      </c>
      <c r="G2690" t="e">
        <f ca="1">_xludf.IMAGE("https://edmondsonsupply.com/cdn/shop/products/602-4-ins-photo.jpg?v=1633031051")</f>
        <v>#NAME?</v>
      </c>
      <c r="H2690" t="e">
        <f ca="1">_xludf.IMAGE("https://m.media-amazon.com/images/I/51qrC6b7nFL._AC_UL320_.jpg")</f>
        <v>#NAME?</v>
      </c>
      <c r="I2690" t="s">
        <v>3185</v>
      </c>
      <c r="J2690">
        <v>39.99</v>
      </c>
      <c r="K2690" s="4">
        <v>0.9052</v>
      </c>
      <c r="L2690">
        <v>4.8</v>
      </c>
      <c r="M2690">
        <v>595</v>
      </c>
      <c r="O2690" t="s">
        <v>25</v>
      </c>
      <c r="P2690" t="s">
        <v>6758</v>
      </c>
      <c r="Q2690" t="s">
        <v>6759</v>
      </c>
    </row>
    <row r="2691" spans="1:17" ht="15.5" x14ac:dyDescent="0.35">
      <c r="A2691" s="3" t="str">
        <f>HYPERLINK("https://edmondsonsupply.com/collections/electricians-tools/products/milwaukee-48-22-7212-12-aluminum-pipe-wrench", "https://edmondsonsupply.com/collections/electricians-tools/products/milwaukee-48-22-7212-12-aluminum-pipe-wrench")</f>
        <v>https://edmondsonsupply.com/collections/electricians-tools/products/milwaukee-48-22-7212-12-aluminum-pipe-wrench</v>
      </c>
      <c r="B2691" s="3" t="str">
        <f>HYPERLINK("https://edmondsonsupply.com/products/milwaukee-48-22-7212-12-aluminum-pipe-wrench", "https://edmondsonsupply.com/products/milwaukee-48-22-7212-12-aluminum-pipe-wrench")</f>
        <v>https://edmondsonsupply.com/products/milwaukee-48-22-7212-12-aluminum-pipe-wrench</v>
      </c>
      <c r="C2691" t="s">
        <v>6760</v>
      </c>
      <c r="D2691" t="s">
        <v>6761</v>
      </c>
      <c r="E2691" s="3" t="str">
        <f>HYPERLINK("https://www.amazon.com/MILWAUKEE-48-22-7224-Milwaukee/dp/B01HOXID1I/ref=sr_1_4?keywords=Milwaukee+48-22-7212+12%22+Aluminum+Pipe+Wrench&amp;qid=1695174041&amp;sr=8-4", "https://www.amazon.com/MILWAUKEE-48-22-7224-Milwaukee/dp/B01HOXID1I/ref=sr_1_4?keywords=Milwaukee+48-22-7212+12%22+Aluminum+Pipe+Wrench&amp;qid=1695174041&amp;sr=8-4")</f>
        <v>https://www.amazon.com/MILWAUKEE-48-22-7224-Milwaukee/dp/B01HOXID1I/ref=sr_1_4?keywords=Milwaukee+48-22-7212+12%22+Aluminum+Pipe+Wrench&amp;qid=1695174041&amp;sr=8-4</v>
      </c>
      <c r="F2691" t="s">
        <v>6762</v>
      </c>
      <c r="G2691" t="e">
        <f ca="1">_xludf.IMAGE("https://edmondsonsupply.com/cdn/shop/products/48-22-7218_2_1.png?v=1680096437")</f>
        <v>#NAME?</v>
      </c>
      <c r="H2691" t="e">
        <f ca="1">_xludf.IMAGE("https://m.media-amazon.com/images/I/7198DLJ590L._AC_UL320_.jpg")</f>
        <v>#NAME?</v>
      </c>
      <c r="I2691" t="s">
        <v>380</v>
      </c>
      <c r="J2691">
        <v>94.99</v>
      </c>
      <c r="K2691" s="4">
        <v>0.90090000000000003</v>
      </c>
      <c r="L2691">
        <v>4.5999999999999996</v>
      </c>
      <c r="M2691">
        <v>44</v>
      </c>
      <c r="O2691" t="s">
        <v>25</v>
      </c>
      <c r="P2691" t="s">
        <v>6763</v>
      </c>
      <c r="Q2691" t="s">
        <v>6764</v>
      </c>
    </row>
    <row r="2692" spans="1:17" ht="15.5" x14ac:dyDescent="0.35">
      <c r="A2692" s="3" t="str">
        <f>HYPERLINK("https://edmondsonsupply.com/collections/electricians-tools/products/milwaukee-48-22-7214-14-aluminum-pipe-wrench", "https://edmondsonsupply.com/collections/electricians-tools/products/milwaukee-48-22-7214-14-aluminum-pipe-wrench")</f>
        <v>https://edmondsonsupply.com/collections/electricians-tools/products/milwaukee-48-22-7214-14-aluminum-pipe-wrench</v>
      </c>
      <c r="B2692" s="3" t="str">
        <f>HYPERLINK("https://edmondsonsupply.com/products/milwaukee-48-22-7214-14-aluminum-pipe-wrench", "https://edmondsonsupply.com/products/milwaukee-48-22-7214-14-aluminum-pipe-wrench")</f>
        <v>https://edmondsonsupply.com/products/milwaukee-48-22-7214-14-aluminum-pipe-wrench</v>
      </c>
      <c r="C2692" t="s">
        <v>6765</v>
      </c>
      <c r="D2692" t="s">
        <v>6761</v>
      </c>
      <c r="E2692" s="3" t="str">
        <f>HYPERLINK("https://www.amazon.com/MILWAUKEE-48-22-7224-Milwaukee/dp/B01HOXID1I/ref=sr_1_5?keywords=Milwaukee+48-22-7214+14%22+Aluminum+Pipe+Wrench&amp;qid=1695174078&amp;sr=8-5", "https://www.amazon.com/MILWAUKEE-48-22-7224-Milwaukee/dp/B01HOXID1I/ref=sr_1_5?keywords=Milwaukee+48-22-7214+14%22+Aluminum+Pipe+Wrench&amp;qid=1695174078&amp;sr=8-5")</f>
        <v>https://www.amazon.com/MILWAUKEE-48-22-7224-Milwaukee/dp/B01HOXID1I/ref=sr_1_5?keywords=Milwaukee+48-22-7214+14%22+Aluminum+Pipe+Wrench&amp;qid=1695174078&amp;sr=8-5</v>
      </c>
      <c r="F2692" t="s">
        <v>6762</v>
      </c>
      <c r="G2692" t="e">
        <f ca="1">_xludf.IMAGE("https://edmondsonsupply.com/cdn/shop/products/48-22-7218_2.png?v=1675700722")</f>
        <v>#NAME?</v>
      </c>
      <c r="H2692" t="e">
        <f ca="1">_xludf.IMAGE("https://m.media-amazon.com/images/I/7198DLJ590L._AC_UL320_.jpg")</f>
        <v>#NAME?</v>
      </c>
      <c r="I2692" t="s">
        <v>380</v>
      </c>
      <c r="J2692">
        <v>94.99</v>
      </c>
      <c r="K2692" s="4">
        <v>0.90090000000000003</v>
      </c>
      <c r="L2692">
        <v>4.5999999999999996</v>
      </c>
      <c r="M2692">
        <v>44</v>
      </c>
      <c r="O2692" t="s">
        <v>25</v>
      </c>
      <c r="P2692" t="s">
        <v>6766</v>
      </c>
      <c r="Q2692" t="s">
        <v>6767</v>
      </c>
    </row>
    <row r="2693" spans="1:17" ht="15.5" x14ac:dyDescent="0.35">
      <c r="A2693" s="3" t="str">
        <f>HYPERLINK("https://edmondsonsupply.com/collections/electricians-tools/products/klein-5416tfr", "https://edmondsonsupply.com/collections/electricians-tools/products/klein-5416tfr")</f>
        <v>https://edmondsonsupply.com/collections/electricians-tools/products/klein-5416tfr</v>
      </c>
      <c r="B2693" s="3" t="str">
        <f>HYPERLINK("https://edmondsonsupply.com/products/klein-5416tfr", "https://edmondsonsupply.com/products/klein-5416tfr")</f>
        <v>https://edmondsonsupply.com/products/klein-5416tfr</v>
      </c>
      <c r="C2693" t="s">
        <v>5986</v>
      </c>
      <c r="D2693" t="s">
        <v>6768</v>
      </c>
      <c r="E2693" s="3" t="str">
        <f>HYPERLINK("https://www.amazon.com/Klein-Tools-Resistant-Reinforced-Connection/dp/B0923CTJF5/ref=sr_1_2?keywords=Klein+Tools+5416TFR+Tool+Bag%2C+Flame+Resistant+Bolt+Bag%2C+No.+4+Canvas%2C+5+x+10+x+9-Inch&amp;qid=1695173952&amp;sr=8-2", "https://www.amazon.com/Klein-Tools-Resistant-Reinforced-Connection/dp/B0923CTJF5/ref=sr_1_2?keywords=Klein+Tools+5416TFR+Tool+Bag%2C+Flame+Resistant+Bolt+Bag%2C+No.+4+Canvas%2C+5+x+10+x+9-Inch&amp;qid=1695173952&amp;sr=8-2")</f>
        <v>https://www.amazon.com/Klein-Tools-Resistant-Reinforced-Connection/dp/B0923CTJF5/ref=sr_1_2?keywords=Klein+Tools+5416TFR+Tool+Bag%2C+Flame+Resistant+Bolt+Bag%2C+No.+4+Canvas%2C+5+x+10+x+9-Inch&amp;qid=1695173952&amp;sr=8-2</v>
      </c>
      <c r="F2693" t="s">
        <v>6769</v>
      </c>
      <c r="G2693" t="e">
        <f ca="1">_xludf.IMAGE("https://edmondsonsupply.com/cdn/shop/products/5416tfr.jpg?v=1587149359")</f>
        <v>#NAME?</v>
      </c>
      <c r="H2693" t="e">
        <f ca="1">_xludf.IMAGE("https://m.media-amazon.com/images/I/51GTLMRwcPS._AC_UL320_.jpg")</f>
        <v>#NAME?</v>
      </c>
      <c r="I2693" t="s">
        <v>577</v>
      </c>
      <c r="J2693">
        <v>37.99</v>
      </c>
      <c r="K2693" s="4">
        <v>0.90049999999999997</v>
      </c>
      <c r="L2693">
        <v>4.4000000000000004</v>
      </c>
      <c r="M2693">
        <v>58</v>
      </c>
      <c r="O2693" t="s">
        <v>25</v>
      </c>
      <c r="P2693" t="s">
        <v>5989</v>
      </c>
      <c r="Q2693" t="s">
        <v>5990</v>
      </c>
    </row>
    <row r="2694" spans="1:17" ht="15.5" x14ac:dyDescent="0.35">
      <c r="A2694"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2694" s="3" t="str">
        <f>HYPERLINK("https://edmondsonsupply.com/products/klein-tools-d2000-9ne-linemans-pliers-9-inch", "https://edmondsonsupply.com/products/klein-tools-d2000-9ne-linemans-pliers-9-inch")</f>
        <v>https://edmondsonsupply.com/products/klein-tools-d2000-9ne-linemans-pliers-9-inch</v>
      </c>
      <c r="C2694" t="s">
        <v>6770</v>
      </c>
      <c r="D2694" t="s">
        <v>6771</v>
      </c>
      <c r="E2694" s="3" t="str">
        <f>HYPERLINK("https://www.amazon.com/Klein-Tools-D2000-9NE-INS-Insulated-Linemans/dp/B00093DXVQ/ref=sr_1_8?keywords=Klein+Tools+D2000-9NE+Linemans+Pliers%2C+9-Inch&amp;qid=1695174298&amp;sr=8-8", "https://www.amazon.com/Klein-Tools-D2000-9NE-INS-Insulated-Linemans/dp/B00093DXVQ/ref=sr_1_8?keywords=Klein+Tools+D2000-9NE+Linemans+Pliers%2C+9-Inch&amp;qid=1695174298&amp;sr=8-8")</f>
        <v>https://www.amazon.com/Klein-Tools-D2000-9NE-INS-Insulated-Linemans/dp/B00093DXVQ/ref=sr_1_8?keywords=Klein+Tools+D2000-9NE+Linemans+Pliers%2C+9-Inch&amp;qid=1695174298&amp;sr=8-8</v>
      </c>
      <c r="F2694" t="s">
        <v>6772</v>
      </c>
      <c r="G2694" t="e">
        <f ca="1">_xludf.IMAGE("https://edmondsonsupply.com/cdn/shop/products/d20009ne.jpg?v=1633030816")</f>
        <v>#NAME?</v>
      </c>
      <c r="H2694" t="e">
        <f ca="1">_xludf.IMAGE("https://m.media-amazon.com/images/I/41k4r6WrCiL._AC_UL320_.jpg")</f>
        <v>#NAME?</v>
      </c>
      <c r="I2694" t="s">
        <v>198</v>
      </c>
      <c r="J2694">
        <v>75.87</v>
      </c>
      <c r="K2694" s="4">
        <v>0.8972</v>
      </c>
      <c r="L2694">
        <v>4.7</v>
      </c>
      <c r="M2694">
        <v>242</v>
      </c>
      <c r="O2694" t="s">
        <v>25</v>
      </c>
      <c r="P2694" t="s">
        <v>6773</v>
      </c>
      <c r="Q2694" t="s">
        <v>6774</v>
      </c>
    </row>
    <row r="2695" spans="1:17" ht="15.5" x14ac:dyDescent="0.35">
      <c r="A2695" s="3" t="str">
        <f>HYPERLINK("https://edmondsonsupply.com/collections/electricians-tools/products/milwaukee-48-22-2859-demolition-driver", "https://edmondsonsupply.com/collections/electricians-tools/products/milwaukee-48-22-2859-demolition-driver")</f>
        <v>https://edmondsonsupply.com/collections/electricians-tools/products/milwaukee-48-22-2859-demolition-driver</v>
      </c>
      <c r="B2695" s="3" t="str">
        <f>HYPERLINK("https://edmondsonsupply.com/products/milwaukee-48-22-2859-demolition-driver", "https://edmondsonsupply.com/products/milwaukee-48-22-2859-demolition-driver")</f>
        <v>https://edmondsonsupply.com/products/milwaukee-48-22-2859-demolition-driver</v>
      </c>
      <c r="C2695" t="s">
        <v>2583</v>
      </c>
      <c r="D2695" t="s">
        <v>2584</v>
      </c>
      <c r="E2695" s="3" t="str">
        <f>HYPERLINK("https://www.amazon.com/Milwaukee-48-22-2702-Durable-Demolition-Screwdriver/dp/B0BYJLXHMN/ref=sr_1_2?keywords=Milwaukee+48-22-2859+Demolition+Driver&amp;qid=1695173855&amp;sr=8-2", "https://www.amazon.com/Milwaukee-48-22-2702-Durable-Demolition-Screwdriver/dp/B0BYJLXHMN/ref=sr_1_2?keywords=Milwaukee+48-22-2859+Demolition+Driver&amp;qid=1695173855&amp;sr=8-2")</f>
        <v>https://www.amazon.com/Milwaukee-48-22-2702-Durable-Demolition-Screwdriver/dp/B0BYJLXHMN/ref=sr_1_2?keywords=Milwaukee+48-22-2859+Demolition+Driver&amp;qid=1695173855&amp;sr=8-2</v>
      </c>
      <c r="F2695" t="s">
        <v>2585</v>
      </c>
      <c r="G2695" t="e">
        <f ca="1">_xludf.IMAGE("https://edmondsonsupply.com/cdn/shop/products/48-22-2859_1.webp?v=1661549628")</f>
        <v>#NAME?</v>
      </c>
      <c r="H2695" t="e">
        <f ca="1">_xludf.IMAGE("https://m.media-amazon.com/images/I/41k8Y4OVmHL._AC_UL320_.jpg")</f>
        <v>#NAME?</v>
      </c>
      <c r="I2695" t="s">
        <v>2586</v>
      </c>
      <c r="J2695">
        <v>33.99</v>
      </c>
      <c r="K2695" s="4">
        <v>0.89149999999999996</v>
      </c>
      <c r="L2695">
        <v>5</v>
      </c>
      <c r="M2695">
        <v>1</v>
      </c>
      <c r="O2695" t="s">
        <v>25</v>
      </c>
      <c r="P2695" t="s">
        <v>2182</v>
      </c>
      <c r="Q2695" t="s">
        <v>2587</v>
      </c>
    </row>
    <row r="2696" spans="1:17" ht="15.5" x14ac:dyDescent="0.35">
      <c r="A2696"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2696" s="3" t="str">
        <f>HYPERLINK("https://edmondsonsupply.com/products/klein-tools-605-4-1-4-inch-cabinet-tip-screwdriver-4-inch-shank", "https://edmondsonsupply.com/products/klein-tools-605-4-1-4-inch-cabinet-tip-screwdriver-4-inch-shank")</f>
        <v>https://edmondsonsupply.com/products/klein-tools-605-4-1-4-inch-cabinet-tip-screwdriver-4-inch-shank</v>
      </c>
      <c r="C2696" t="s">
        <v>6418</v>
      </c>
      <c r="D2696" t="s">
        <v>6775</v>
      </c>
      <c r="E2696" s="3" t="str">
        <f>HYPERLINK("https://www.amazon.com/Insulated-Screwdriver-Klein-Tools-601-4-INS/dp/B000LEBVIK/ref=sr_1_9?keywords=Klein+Tools+605-4+1%2F4-Inch+Cabinet+Tip+Screwdriver+4-Inch+Shank&amp;qid=1695174135&amp;sr=8-9", "https://www.amazon.com/Insulated-Screwdriver-Klein-Tools-601-4-INS/dp/B000LEBVIK/ref=sr_1_9?keywords=Klein+Tools+605-4+1%2F4-Inch+Cabinet+Tip+Screwdriver+4-Inch+Shank&amp;qid=1695174135&amp;sr=8-9")</f>
        <v>https://www.amazon.com/Insulated-Screwdriver-Klein-Tools-601-4-INS/dp/B000LEBVIK/ref=sr_1_9?keywords=Klein+Tools+605-4+1%2F4-Inch+Cabinet+Tip+Screwdriver+4-Inch+Shank&amp;qid=1695174135&amp;sr=8-9</v>
      </c>
      <c r="F2696" t="s">
        <v>6776</v>
      </c>
      <c r="G2696" t="e">
        <f ca="1">_xludf.IMAGE("https://edmondsonsupply.com/cdn/shop/products/605-6_ac5e56ca-920d-4d55-842f-c7dc8361f892.jpg?v=1665688377")</f>
        <v>#NAME?</v>
      </c>
      <c r="H2696" t="e">
        <f ca="1">_xludf.IMAGE("https://m.media-amazon.com/images/I/41SIcZZiIAL._AC_UL320_.jpg")</f>
        <v>#NAME?</v>
      </c>
      <c r="I2696" t="s">
        <v>924</v>
      </c>
      <c r="J2696">
        <v>16.989999999999998</v>
      </c>
      <c r="K2696" s="4">
        <v>0.88990000000000002</v>
      </c>
      <c r="L2696">
        <v>4.8</v>
      </c>
      <c r="M2696">
        <v>1064</v>
      </c>
      <c r="O2696" t="s">
        <v>25</v>
      </c>
      <c r="P2696" t="s">
        <v>6421</v>
      </c>
      <c r="Q2696" t="s">
        <v>6422</v>
      </c>
    </row>
    <row r="2697" spans="1:17" ht="15.5" x14ac:dyDescent="0.35">
      <c r="A2697"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2697" s="3" t="str">
        <f>HYPERLINK("https://edmondsonsupply.com/products/klein-tools-vdv526-200-lan-scout-%c2%ae-jr-2-cable-tester", "https://edmondsonsupply.com/products/klein-tools-vdv526-200-lan-scout-%c2%ae-jr-2-cable-tester")</f>
        <v>https://edmondsonsupply.com/products/klein-tools-vdv526-200-lan-scout-%c2%ae-jr-2-cable-tester</v>
      </c>
      <c r="C2697" t="s">
        <v>6500</v>
      </c>
      <c r="D2697" t="s">
        <v>6777</v>
      </c>
      <c r="E2697" s="3" t="str">
        <f>HYPERLINK("https://www.amazon.com/Klein-Tools-80072-Stripper-Pass-Thru/dp/B09TPLNBQ2/ref=sr_1_9?keywords=Klein+Tools+VDV526-200+LAN+Scout+%C2%AE+Jr.+2+Cable+Tester&amp;qid=1695174153&amp;sr=8-9", "https://www.amazon.com/Klein-Tools-80072-Stripper-Pass-Thru/dp/B09TPLNBQ2/ref=sr_1_9?keywords=Klein+Tools+VDV526-200+LAN+Scout+%C2%AE+Jr.+2+Cable+Tester&amp;qid=1695174153&amp;sr=8-9")</f>
        <v>https://www.amazon.com/Klein-Tools-80072-Stripper-Pass-Thru/dp/B09TPLNBQ2/ref=sr_1_9?keywords=Klein+Tools+VDV526-200+LAN+Scout+%C2%AE+Jr.+2+Cable+Tester&amp;qid=1695174153&amp;sr=8-9</v>
      </c>
      <c r="F2697" t="s">
        <v>6778</v>
      </c>
      <c r="G2697" t="e">
        <f ca="1">_xludf.IMAGE("https://edmondsonsupply.com/cdn/shop/products/vdv526200.jpg?v=1663689949")</f>
        <v>#NAME?</v>
      </c>
      <c r="H2697" t="e">
        <f ca="1">_xludf.IMAGE("https://m.media-amazon.com/images/I/61uYEWe2vLL._AC_UY218_.jpg")</f>
        <v>#NAME?</v>
      </c>
      <c r="I2697" t="s">
        <v>3359</v>
      </c>
      <c r="J2697">
        <v>103.78</v>
      </c>
      <c r="K2697" s="4">
        <v>0.88790000000000002</v>
      </c>
      <c r="L2697">
        <v>4.9000000000000004</v>
      </c>
      <c r="M2697">
        <v>97</v>
      </c>
      <c r="O2697" t="s">
        <v>25</v>
      </c>
      <c r="P2697" t="s">
        <v>6503</v>
      </c>
      <c r="Q2697" t="s">
        <v>6504</v>
      </c>
    </row>
    <row r="2698" spans="1:17" ht="15.5" x14ac:dyDescent="0.35">
      <c r="A2698" s="3" t="str">
        <f>HYPERLINK("https://edmondsonsupply.com/collections/electricians-tools/products/rack-a-tiers-51020-exploding-garbage-can-ultra", "https://edmondsonsupply.com/collections/electricians-tools/products/rack-a-tiers-51020-exploding-garbage-can-ultra")</f>
        <v>https://edmondsonsupply.com/collections/electricians-tools/products/rack-a-tiers-51020-exploding-garbage-can-ultra</v>
      </c>
      <c r="B2698" s="3" t="str">
        <f>HYPERLINK("https://edmondsonsupply.com/products/rack-a-tiers-51020-exploding-garbage-can-ultra", "https://edmondsonsupply.com/products/rack-a-tiers-51020-exploding-garbage-can-ultra")</f>
        <v>https://edmondsonsupply.com/products/rack-a-tiers-51020-exploding-garbage-can-ultra</v>
      </c>
      <c r="C2698" t="s">
        <v>2588</v>
      </c>
      <c r="D2698" t="s">
        <v>2589</v>
      </c>
      <c r="E2698" s="3" t="str">
        <f>HYPERLINK("https://www.amazon.com/Rack-Tiers-51020-Exploding-Garbage/dp/B07NLLQPTV/ref=sr_1_1?keywords=Rack-A-Tiers+51020+Exploding+Garbage+Can+-+Ultra&amp;qid=1695173894&amp;sr=8-1", "https://www.amazon.com/Rack-Tiers-51020-Exploding-Garbage/dp/B07NLLQPTV/ref=sr_1_1?keywords=Rack-A-Tiers+51020+Exploding+Garbage+Can+-+Ultra&amp;qid=1695173894&amp;sr=8-1")</f>
        <v>https://www.amazon.com/Rack-Tiers-51020-Exploding-Garbage/dp/B07NLLQPTV/ref=sr_1_1?keywords=Rack-A-Tiers+51020+Exploding+Garbage+Can+-+Ultra&amp;qid=1695173894&amp;sr=8-1</v>
      </c>
      <c r="F2698" t="s">
        <v>2590</v>
      </c>
      <c r="G2698" t="e">
        <f ca="1">_xludf.IMAGE("https://edmondsonsupply.com/cdn/shop/products/51020-Exp-Can-Ultra.png?v=1587147271")</f>
        <v>#NAME?</v>
      </c>
      <c r="H2698" t="e">
        <f ca="1">_xludf.IMAGE("https://m.media-amazon.com/images/I/51e-1yeZ4VL._AC_UL320_.jpg")</f>
        <v>#NAME?</v>
      </c>
      <c r="I2698" t="s">
        <v>2591</v>
      </c>
      <c r="J2698">
        <v>59.45</v>
      </c>
      <c r="K2698" s="4">
        <v>0.88790000000000002</v>
      </c>
      <c r="L2698">
        <v>5</v>
      </c>
      <c r="M2698">
        <v>1</v>
      </c>
      <c r="O2698" t="s">
        <v>171</v>
      </c>
      <c r="P2698" t="s">
        <v>138</v>
      </c>
      <c r="Q2698" t="s">
        <v>2592</v>
      </c>
    </row>
    <row r="2699" spans="1:17" ht="15.5" x14ac:dyDescent="0.35">
      <c r="A2699"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699" s="3" t="str">
        <f>HYPERLINK("https://edmondsonsupply.com/products/klein-tools-rt250-gfci-receptacle-tester-with-lcd", "https://edmondsonsupply.com/products/klein-tools-rt250-gfci-receptacle-tester-with-lcd")</f>
        <v>https://edmondsonsupply.com/products/klein-tools-rt250-gfci-receptacle-tester-with-lcd</v>
      </c>
      <c r="C2699" t="s">
        <v>6197</v>
      </c>
      <c r="D2699" t="s">
        <v>6779</v>
      </c>
      <c r="E2699" s="3" t="str">
        <f>HYPERLINK("https://www.amazon.com/Klein-Tools-Receptacle-Electrical-Accessory/dp/B09P83VQDK/ref=sr_1_3?keywords=Klein+Tools+RT250+GFCI+Receptacle+Tester+with+LCD&amp;qid=1695174176&amp;sr=8-3", "https://www.amazon.com/Klein-Tools-Receptacle-Electrical-Accessory/dp/B09P83VQDK/ref=sr_1_3?keywords=Klein+Tools+RT250+GFCI+Receptacle+Tester+with+LCD&amp;qid=1695174176&amp;sr=8-3")</f>
        <v>https://www.amazon.com/Klein-Tools-Receptacle-Electrical-Accessory/dp/B09P83VQDK/ref=sr_1_3?keywords=Klein+Tools+RT250+GFCI+Receptacle+Tester+with+LCD&amp;qid=1695174176&amp;sr=8-3</v>
      </c>
      <c r="F2699" t="s">
        <v>6780</v>
      </c>
      <c r="G2699" t="e">
        <f ca="1">_xludf.IMAGE("https://edmondsonsupply.com/cdn/shop/products/rt250_photo_c.jpg?v=1661363824")</f>
        <v>#NAME?</v>
      </c>
      <c r="H2699" t="e">
        <f ca="1">_xludf.IMAGE("https://m.media-amazon.com/images/I/51Y6EmT5N-L._AC_UL320_.jpg")</f>
        <v>#NAME?</v>
      </c>
      <c r="I2699" t="s">
        <v>2247</v>
      </c>
      <c r="J2699">
        <v>41.4</v>
      </c>
      <c r="K2699" s="4">
        <v>0.88439999999999996</v>
      </c>
      <c r="L2699">
        <v>4.9000000000000004</v>
      </c>
      <c r="M2699">
        <v>20</v>
      </c>
      <c r="O2699" t="s">
        <v>25</v>
      </c>
      <c r="P2699" t="s">
        <v>6200</v>
      </c>
      <c r="Q2699" t="s">
        <v>6201</v>
      </c>
    </row>
    <row r="2700" spans="1:17" ht="15.5" x14ac:dyDescent="0.35">
      <c r="A2700"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2700" s="3" t="str">
        <f>HYPERLINK("https://edmondsonsupply.com/products/klein-tools-11045-wire-stripper-cutter-10-18-awg-solid", "https://edmondsonsupply.com/products/klein-tools-11045-wire-stripper-cutter-10-18-awg-solid")</f>
        <v>https://edmondsonsupply.com/products/klein-tools-11045-wire-stripper-cutter-10-18-awg-solid</v>
      </c>
      <c r="C2700" t="s">
        <v>6016</v>
      </c>
      <c r="D2700" t="s">
        <v>3271</v>
      </c>
      <c r="E2700" s="3" t="str">
        <f>HYPERLINK("https://www.amazon.com/Klein-Tools-11055RINS-Insulated-Stripper/dp/B0BFZBQ9XF/ref=sr_1_10?keywords=Klein+Tools+11045+Wire+Stripper%2FCutter+%2810-18+AWG+Solid%29&amp;qid=1695174263&amp;sr=8-10", "https://www.amazon.com/Klein-Tools-11055RINS-Insulated-Stripper/dp/B0BFZBQ9XF/ref=sr_1_10?keywords=Klein+Tools+11045+Wire+Stripper%2FCutter+%2810-18+AWG+Solid%29&amp;qid=1695174263&amp;sr=8-10")</f>
        <v>https://www.amazon.com/Klein-Tools-11055RINS-Insulated-Stripper/dp/B0BFZBQ9XF/ref=sr_1_10?keywords=Klein+Tools+11045+Wire+Stripper%2FCutter+%2810-18+AWG+Solid%29&amp;qid=1695174263&amp;sr=8-10</v>
      </c>
      <c r="F2700" t="s">
        <v>3272</v>
      </c>
      <c r="G2700" t="e">
        <f ca="1">_xludf.IMAGE("https://edmondsonsupply.com/cdn/shop/products/11045.jpg?v=1633031022")</f>
        <v>#NAME?</v>
      </c>
      <c r="H2700" t="e">
        <f ca="1">_xludf.IMAGE("https://m.media-amazon.com/images/I/41Pemveg6bL._AC_UL320_.jpg")</f>
        <v>#NAME?</v>
      </c>
      <c r="I2700" t="s">
        <v>143</v>
      </c>
      <c r="J2700">
        <v>29.97</v>
      </c>
      <c r="K2700" s="4">
        <v>0.87660000000000005</v>
      </c>
      <c r="L2700">
        <v>4.5999999999999996</v>
      </c>
      <c r="M2700">
        <v>55</v>
      </c>
      <c r="O2700" t="s">
        <v>25</v>
      </c>
      <c r="P2700" t="s">
        <v>6019</v>
      </c>
      <c r="Q2700" t="s">
        <v>6020</v>
      </c>
    </row>
    <row r="2701" spans="1:17" ht="15.5" x14ac:dyDescent="0.35">
      <c r="A2701"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2701" s="3" t="str">
        <f>HYPERLINK("https://edmondsonsupply.com/products/klein-tools-65064-2-in-1-hex-head-screwdriver-1-4-5-16", "https://edmondsonsupply.com/products/klein-tools-65064-2-in-1-hex-head-screwdriver-1-4-5-16")</f>
        <v>https://edmondsonsupply.com/products/klein-tools-65064-2-in-1-hex-head-screwdriver-1-4-5-16</v>
      </c>
      <c r="C2701" t="s">
        <v>2093</v>
      </c>
      <c r="D2701" t="s">
        <v>2599</v>
      </c>
      <c r="E2701" s="3" t="str">
        <f>HYPERLINK("https://www.amazon.com/Driver-Magnetic-Klein-Tools-32807MAG/dp/B07D4M51DQ/ref=sr_1_9?keywords=Klein+Tools+65064+2-in-1+Nut+Driver%2C+Hex+Head%2C+1%2F4-Inch+and+5%2F16-Inch&amp;qid=1695173915&amp;sr=8-9", "https://www.amazon.com/Driver-Magnetic-Klein-Tools-32807MAG/dp/B07D4M51DQ/ref=sr_1_9?keywords=Klein+Tools+65064+2-in-1+Nut+Driver%2C+Hex+Head%2C+1%2F4-Inch+and+5%2F16-Inch&amp;qid=1695173915&amp;sr=8-9")</f>
        <v>https://www.amazon.com/Driver-Magnetic-Klein-Tools-32807MAG/dp/B07D4M51DQ/ref=sr_1_9?keywords=Klein+Tools+65064+2-in-1+Nut+Driver%2C+Hex+Head%2C+1%2F4-Inch+and+5%2F16-Inch&amp;qid=1695173915&amp;sr=8-9</v>
      </c>
      <c r="F2701" t="s">
        <v>2600</v>
      </c>
      <c r="G2701" t="e">
        <f ca="1">_xludf.IMAGE("https://edmondsonsupply.com/cdn/shop/products/65064.jpg?v=1587147719")</f>
        <v>#NAME?</v>
      </c>
      <c r="H2701" t="e">
        <f ca="1">_xludf.IMAGE("https://m.media-amazon.com/images/I/61gwAJBzDAL._AC_UL320_.jpg")</f>
        <v>#NAME?</v>
      </c>
      <c r="I2701" t="s">
        <v>143</v>
      </c>
      <c r="J2701">
        <v>29.97</v>
      </c>
      <c r="K2701" s="4">
        <v>0.87660000000000005</v>
      </c>
      <c r="L2701">
        <v>4.7</v>
      </c>
      <c r="M2701">
        <v>9161</v>
      </c>
      <c r="O2701" t="s">
        <v>25</v>
      </c>
      <c r="P2701" t="s">
        <v>2096</v>
      </c>
      <c r="Q2701" t="s">
        <v>2097</v>
      </c>
    </row>
    <row r="2702" spans="1:17" ht="15.5" x14ac:dyDescent="0.35">
      <c r="A2702"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2702"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2702" t="s">
        <v>6781</v>
      </c>
      <c r="D2702" t="s">
        <v>6782</v>
      </c>
      <c r="E2702" s="3" t="str">
        <f>HYPERLINK("https://www.amazon.com/Screwdriver-Insulated-Klein-Tools-602-7-INS/dp/B00CQL8UM6/ref=sr_1_2?keywords=Klein+Tools+6866INS+Insulated+Screwdriver%2C+5%2F16-Inch+Cabinet+Tip%2C+6-Inch+Shank&amp;qid=1695174142&amp;sr=8-2", "https://www.amazon.com/Screwdriver-Insulated-Klein-Tools-602-7-INS/dp/B00CQL8UM6/ref=sr_1_2?keywords=Klein+Tools+6866INS+Insulated+Screwdriver%2C+5%2F16-Inch+Cabinet+Tip%2C+6-Inch+Shank&amp;qid=1695174142&amp;sr=8-2")</f>
        <v>https://www.amazon.com/Screwdriver-Insulated-Klein-Tools-602-7-INS/dp/B00CQL8UM6/ref=sr_1_2?keywords=Klein+Tools+6866INS+Insulated+Screwdriver%2C+5%2F16-Inch+Cabinet+Tip%2C+6-Inch+Shank&amp;qid=1695174142&amp;sr=8-2</v>
      </c>
      <c r="F2702" t="s">
        <v>6783</v>
      </c>
      <c r="G2702" t="e">
        <f ca="1">_xludf.IMAGE("https://edmondsonsupply.com/cdn/shop/products/6866ins.jpg?v=1664818689")</f>
        <v>#NAME?</v>
      </c>
      <c r="H2702" t="e">
        <f ca="1">_xludf.IMAGE("https://m.media-amazon.com/images/I/51yWIQxCstL._AC_UL320_.jpg")</f>
        <v>#NAME?</v>
      </c>
      <c r="I2702" t="s">
        <v>6073</v>
      </c>
      <c r="J2702">
        <v>22.46</v>
      </c>
      <c r="K2702" s="4">
        <v>0.87639999999999996</v>
      </c>
      <c r="L2702">
        <v>4.8</v>
      </c>
      <c r="M2702">
        <v>1064</v>
      </c>
      <c r="O2702" t="s">
        <v>25</v>
      </c>
      <c r="P2702" t="s">
        <v>6728</v>
      </c>
      <c r="Q2702" t="s">
        <v>6784</v>
      </c>
    </row>
    <row r="2703" spans="1:17" ht="15.5" x14ac:dyDescent="0.35">
      <c r="A2703" s="3" t="str">
        <f>HYPERLINK("https://edmondsonsupply.com/collections/electricians-tools/products/klein-tools-51606", "https://edmondsonsupply.com/collections/electricians-tools/products/klein-tools-51606")</f>
        <v>https://edmondsonsupply.com/collections/electricians-tools/products/klein-tools-51606</v>
      </c>
      <c r="B2703" s="3" t="str">
        <f>HYPERLINK("https://edmondsonsupply.com/products/klein-tools-51606", "https://edmondsonsupply.com/products/klein-tools-51606")</f>
        <v>https://edmondsonsupply.com/products/klein-tools-51606</v>
      </c>
      <c r="C2703" t="s">
        <v>6785</v>
      </c>
      <c r="D2703" t="s">
        <v>6047</v>
      </c>
      <c r="E2703" s="3" t="str">
        <f>HYPERLINK("https://www.amazon.com/Conduit-Features-Klein-Tools-51604/dp/B08V8YVWH1/ref=sr_1_6?keywords=Klein+Tools+51606+Aluminum+Conduit+Bender+Full+Assembly%2C+1%2F2-Inch+EMT+with+Angle+Setter%E2%84%A2&amp;qid=1695174158&amp;sr=8-6", "https://www.amazon.com/Conduit-Features-Klein-Tools-51604/dp/B08V8YVWH1/ref=sr_1_6?keywords=Klein+Tools+51606+Aluminum+Conduit+Bender+Full+Assembly%2C+1%2F2-Inch+EMT+with+Angle+Setter%E2%84%A2&amp;qid=1695174158&amp;sr=8-6")</f>
        <v>https://www.amazon.com/Conduit-Features-Klein-Tools-51604/dp/B08V8YVWH1/ref=sr_1_6?keywords=Klein+Tools+51606+Aluminum+Conduit+Bender+Full+Assembly%2C+1%2F2-Inch+EMT+with+Angle+Setter%E2%84%A2&amp;qid=1695174158&amp;sr=8-6</v>
      </c>
      <c r="F2703" t="s">
        <v>6048</v>
      </c>
      <c r="G2703" t="e">
        <f ca="1">_xludf.IMAGE("https://edmondsonsupply.com/cdn/shop/products/51606.jpg?v=1663942126")</f>
        <v>#NAME?</v>
      </c>
      <c r="H2703" t="e">
        <f ca="1">_xludf.IMAGE("https://m.media-amazon.com/images/I/41DkDVmyczL._AC_UL320_.jpg")</f>
        <v>#NAME?</v>
      </c>
      <c r="I2703" t="s">
        <v>246</v>
      </c>
      <c r="J2703">
        <v>74.989999999999995</v>
      </c>
      <c r="K2703" s="4">
        <v>0.87619999999999998</v>
      </c>
      <c r="L2703">
        <v>4.8</v>
      </c>
      <c r="M2703">
        <v>43</v>
      </c>
      <c r="O2703" t="s">
        <v>25</v>
      </c>
      <c r="P2703" t="s">
        <v>1027</v>
      </c>
      <c r="Q2703" t="s">
        <v>6786</v>
      </c>
    </row>
    <row r="2704" spans="1:17" ht="15.5" x14ac:dyDescent="0.35">
      <c r="A2704"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2704" s="3" t="str">
        <f>HYPERLINK("https://edmondsonsupply.com/products/klein-tools-31918-bi-metal-hole-saw-1-1-8-inch", "https://edmondsonsupply.com/products/klein-tools-31918-bi-metal-hole-saw-1-1-8-inch")</f>
        <v>https://edmondsonsupply.com/products/klein-tools-31918-bi-metal-hole-saw-1-1-8-inch</v>
      </c>
      <c r="C2704" t="s">
        <v>6001</v>
      </c>
      <c r="D2704" t="s">
        <v>6787</v>
      </c>
      <c r="E2704" s="3" t="str">
        <f>HYPERLINK("https://www.amazon.com/Klein-Tools-31534-Bi-Metal-8-Inch/dp/B0009OIJFA/ref=sr_1_6?keywords=Klein+Tools+31918+Bi-Metal+Hole+Saw%2C+1-1%2F8-Inch&amp;qid=1695174116&amp;sr=8-6", "https://www.amazon.com/Klein-Tools-31534-Bi-Metal-8-Inch/dp/B0009OIJFA/ref=sr_1_6?keywords=Klein+Tools+31918+Bi-Metal+Hole+Saw%2C+1-1%2F8-Inch&amp;qid=1695174116&amp;sr=8-6")</f>
        <v>https://www.amazon.com/Klein-Tools-31534-Bi-Metal-8-Inch/dp/B0009OIJFA/ref=sr_1_6?keywords=Klein+Tools+31918+Bi-Metal+Hole+Saw%2C+1-1%2F8-Inch&amp;qid=1695174116&amp;sr=8-6</v>
      </c>
      <c r="F2704" t="s">
        <v>6788</v>
      </c>
      <c r="G2704" t="e">
        <f ca="1">_xludf.IMAGE("https://edmondsonsupply.com/cdn/shop/products/31918.jpg?v=1669739998")</f>
        <v>#NAME?</v>
      </c>
      <c r="H2704" t="e">
        <f ca="1">_xludf.IMAGE("https://m.media-amazon.com/images/I/31Wk-f8wwaL._AC_UL320_.jpg")</f>
        <v>#NAME?</v>
      </c>
      <c r="I2704" t="s">
        <v>1003</v>
      </c>
      <c r="J2704">
        <v>14.99</v>
      </c>
      <c r="K2704" s="4">
        <v>0.87609999999999999</v>
      </c>
      <c r="L2704">
        <v>5</v>
      </c>
      <c r="M2704">
        <v>5</v>
      </c>
      <c r="O2704" t="s">
        <v>25</v>
      </c>
      <c r="P2704" t="s">
        <v>2841</v>
      </c>
      <c r="Q2704" t="s">
        <v>6004</v>
      </c>
    </row>
    <row r="2705" spans="1:17" ht="15.5" x14ac:dyDescent="0.35">
      <c r="A2705"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2705" s="3" t="str">
        <f>HYPERLINK("https://edmondsonsupply.com/products/klein-tools-69445-rare-earth-magnetic-hanger-no-strap", "https://edmondsonsupply.com/products/klein-tools-69445-rare-earth-magnetic-hanger-no-strap")</f>
        <v>https://edmondsonsupply.com/products/klein-tools-69445-rare-earth-magnetic-hanger-no-strap</v>
      </c>
      <c r="C2705" t="s">
        <v>1408</v>
      </c>
      <c r="D2705" t="s">
        <v>2356</v>
      </c>
      <c r="E2705" s="3" t="str">
        <f>HYPERLINK("https://www.amazon.com/Klein-Tools-Rare-Earth-Magnetic-Multimeter/dp/B0BGJ66GX4/ref=sr_1_5?keywords=Klein+Tools+69445+Rare+Earth+Magnetic+Hanger%2C+no+Strap&amp;qid=1695173881&amp;sr=8-5", "https://www.amazon.com/Klein-Tools-Rare-Earth-Magnetic-Multimeter/dp/B0BGJ66GX4/ref=sr_1_5?keywords=Klein+Tools+69445+Rare+Earth+Magnetic+Hanger%2C+no+Strap&amp;qid=1695173881&amp;sr=8-5")</f>
        <v>https://www.amazon.com/Klein-Tools-Rare-Earth-Magnetic-Multimeter/dp/B0BGJ66GX4/ref=sr_1_5?keywords=Klein+Tools+69445+Rare+Earth+Magnetic+Hanger%2C+no+Strap&amp;qid=1695173881&amp;sr=8-5</v>
      </c>
      <c r="F2705" t="s">
        <v>2357</v>
      </c>
      <c r="G2705" t="e">
        <f ca="1">_xludf.IMAGE("https://edmondsonsupply.com/cdn/shop/products/69445.jpg?v=1633030859")</f>
        <v>#NAME?</v>
      </c>
      <c r="H2705" t="e">
        <f ca="1">_xludf.IMAGE("https://m.media-amazon.com/images/I/51Em03gaEVL._AC_UL320_.jpg")</f>
        <v>#NAME?</v>
      </c>
      <c r="I2705" t="s">
        <v>252</v>
      </c>
      <c r="J2705">
        <v>29.99</v>
      </c>
      <c r="K2705" s="4">
        <v>0.87549999999999994</v>
      </c>
      <c r="L2705">
        <v>5</v>
      </c>
      <c r="M2705">
        <v>2</v>
      </c>
      <c r="O2705" t="s">
        <v>25</v>
      </c>
      <c r="P2705" t="s">
        <v>1411</v>
      </c>
      <c r="Q2705" t="s">
        <v>1412</v>
      </c>
    </row>
    <row r="2706" spans="1:17" ht="15.5" x14ac:dyDescent="0.35">
      <c r="A2706"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2706"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2706" t="s">
        <v>919</v>
      </c>
      <c r="D2706" t="s">
        <v>882</v>
      </c>
      <c r="E2706" s="3" t="str">
        <f>HYPERLINK("https://www.amazon.com/Klein-Tools-60539-Professional-Protective/dp/B0BLQ6F4MQ/ref=sr_1_8?keywords=Klein+Tools+60470+Professional+Full-Frame+Gasket+Safety+Glasses%2C+Clear+Lens&amp;qid=1695174156&amp;sr=8-8", "https://www.amazon.com/Klein-Tools-60539-Professional-Protective/dp/B0BLQ6F4MQ/ref=sr_1_8?keywords=Klein+Tools+60470+Professional+Full-Frame+Gasket+Safety+Glasses%2C+Clear+Lens&amp;qid=1695174156&amp;sr=8-8")</f>
        <v>https://www.amazon.com/Klein-Tools-60539-Professional-Protective/dp/B0BLQ6F4MQ/ref=sr_1_8?keywords=Klein+Tools+60470+Professional+Full-Frame+Gasket+Safety+Glasses%2C+Clear+Lens&amp;qid=1695174156&amp;sr=8-8</v>
      </c>
      <c r="F2706" t="s">
        <v>883</v>
      </c>
      <c r="G2706" t="e">
        <f ca="1">_xludf.IMAGE("https://edmondsonsupply.com/cdn/shop/products/60470.jpg?v=1663260659")</f>
        <v>#NAME?</v>
      </c>
      <c r="H2706" t="e">
        <f ca="1">_xludf.IMAGE("https://m.media-amazon.com/images/I/41z93jotzdL._AC_UL320_.jpg")</f>
        <v>#NAME?</v>
      </c>
      <c r="I2706" t="s">
        <v>252</v>
      </c>
      <c r="J2706">
        <v>29.99</v>
      </c>
      <c r="K2706" s="4">
        <v>0.87549999999999994</v>
      </c>
      <c r="L2706">
        <v>4.4000000000000004</v>
      </c>
      <c r="M2706">
        <v>11</v>
      </c>
      <c r="O2706" t="s">
        <v>25</v>
      </c>
      <c r="P2706" t="s">
        <v>854</v>
      </c>
      <c r="Q2706" t="s">
        <v>920</v>
      </c>
    </row>
    <row r="2707" spans="1:17" ht="15.5" x14ac:dyDescent="0.35">
      <c r="A2707"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2707"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2707" t="s">
        <v>853</v>
      </c>
      <c r="D2707" t="s">
        <v>882</v>
      </c>
      <c r="E2707" s="3" t="str">
        <f>HYPERLINK("https://www.amazon.com/Klein-Tools-60539-Professional-Protective/dp/B0BLQ6F4MQ/ref=sr_1_7?keywords=Klein+Tools+60471+Professional+Full-Frame+Gasket+Safety+Glasses%2C+Gray+Lens&amp;qid=1695174157&amp;sr=8-7", "https://www.amazon.com/Klein-Tools-60539-Professional-Protective/dp/B0BLQ6F4MQ/ref=sr_1_7?keywords=Klein+Tools+60471+Professional+Full-Frame+Gasket+Safety+Glasses%2C+Gray+Lens&amp;qid=1695174157&amp;sr=8-7")</f>
        <v>https://www.amazon.com/Klein-Tools-60539-Professional-Protective/dp/B0BLQ6F4MQ/ref=sr_1_7?keywords=Klein+Tools+60471+Professional+Full-Frame+Gasket+Safety+Glasses%2C+Gray+Lens&amp;qid=1695174157&amp;sr=8-7</v>
      </c>
      <c r="F2707" t="s">
        <v>883</v>
      </c>
      <c r="G2707" t="e">
        <f ca="1">_xludf.IMAGE("https://edmondsonsupply.com/cdn/shop/products/60471.jpg?v=1663257501")</f>
        <v>#NAME?</v>
      </c>
      <c r="H2707" t="e">
        <f ca="1">_xludf.IMAGE("https://m.media-amazon.com/images/I/41z93jotzdL._AC_UL320_.jpg")</f>
        <v>#NAME?</v>
      </c>
      <c r="I2707" t="s">
        <v>252</v>
      </c>
      <c r="J2707">
        <v>29.99</v>
      </c>
      <c r="K2707" s="4">
        <v>0.87549999999999994</v>
      </c>
      <c r="L2707">
        <v>4.4000000000000004</v>
      </c>
      <c r="M2707">
        <v>11</v>
      </c>
      <c r="O2707" t="s">
        <v>25</v>
      </c>
      <c r="P2707" t="s">
        <v>854</v>
      </c>
      <c r="Q2707" t="s">
        <v>855</v>
      </c>
    </row>
    <row r="2708" spans="1:17" ht="15.5" x14ac:dyDescent="0.35">
      <c r="A2708"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2708" s="3" t="str">
        <f>HYPERLINK("https://edmondsonsupply.com/products/klein-tools-51608-1-2-inch-iron-conduit-bender-head", "https://edmondsonsupply.com/products/klein-tools-51608-1-2-inch-iron-conduit-bender-head")</f>
        <v>https://edmondsonsupply.com/products/klein-tools-51608-1-2-inch-iron-conduit-bender-head</v>
      </c>
      <c r="C2708" t="s">
        <v>6789</v>
      </c>
      <c r="D2708" t="s">
        <v>6043</v>
      </c>
      <c r="E2708" s="3" t="str">
        <f>HYPERLINK("https://www.amazon.com/Conduit-Bender-Klein-Tools-51610/dp/B08V8J5CX4/ref=sr_1_10?keywords=Klein+Tools+51608+1%2F2-inch+Iron+Conduit+Bender+Head&amp;qid=1695174222&amp;sr=8-10", "https://www.amazon.com/Conduit-Bender-Klein-Tools-51610/dp/B08V8J5CX4/ref=sr_1_10?keywords=Klein+Tools+51608+1%2F2-inch+Iron+Conduit+Bender+Head&amp;qid=1695174222&amp;sr=8-10")</f>
        <v>https://www.amazon.com/Conduit-Bender-Klein-Tools-51610/dp/B08V8J5CX4/ref=sr_1_10?keywords=Klein+Tools+51608+1%2F2-inch+Iron+Conduit+Bender+Head&amp;qid=1695174222&amp;sr=8-10</v>
      </c>
      <c r="F2708" t="s">
        <v>6044</v>
      </c>
      <c r="G2708" t="e">
        <f ca="1">_xludf.IMAGE("https://edmondsonsupply.com/cdn/shop/products/51608.jpg?v=1643679335")</f>
        <v>#NAME?</v>
      </c>
      <c r="H2708" t="e">
        <f ca="1">_xludf.IMAGE("https://m.media-amazon.com/images/I/61jmGqozuVL._AC_UL320_.jpg")</f>
        <v>#NAME?</v>
      </c>
      <c r="I2708" t="s">
        <v>198</v>
      </c>
      <c r="J2708">
        <v>74.989999999999995</v>
      </c>
      <c r="K2708" s="4">
        <v>0.87519999999999998</v>
      </c>
      <c r="L2708">
        <v>4.8</v>
      </c>
      <c r="M2708">
        <v>11</v>
      </c>
      <c r="O2708" t="s">
        <v>25</v>
      </c>
      <c r="P2708" t="s">
        <v>6790</v>
      </c>
      <c r="Q2708" t="s">
        <v>6791</v>
      </c>
    </row>
    <row r="2709" spans="1:17" ht="15.5" x14ac:dyDescent="0.35">
      <c r="A2709"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2709" s="3" t="str">
        <f>HYPERLINK("https://edmondsonsupply.com/products/klein-tools-51608-1-2-inch-iron-conduit-bender-head", "https://edmondsonsupply.com/products/klein-tools-51608-1-2-inch-iron-conduit-bender-head")</f>
        <v>https://edmondsonsupply.com/products/klein-tools-51608-1-2-inch-iron-conduit-bender-head</v>
      </c>
      <c r="C2709" t="s">
        <v>6789</v>
      </c>
      <c r="D2709" t="s">
        <v>6047</v>
      </c>
      <c r="E2709" s="3" t="str">
        <f>HYPERLINK("https://www.amazon.com/Conduit-Features-Klein-Tools-51604/dp/B08V8YVWH1/ref=sr_1_5?keywords=Klein+Tools+51608+1%2F2-inch+Iron+Conduit+Bender+Head&amp;qid=1695174222&amp;sr=8-5", "https://www.amazon.com/Conduit-Features-Klein-Tools-51604/dp/B08V8YVWH1/ref=sr_1_5?keywords=Klein+Tools+51608+1%2F2-inch+Iron+Conduit+Bender+Head&amp;qid=1695174222&amp;sr=8-5")</f>
        <v>https://www.amazon.com/Conduit-Features-Klein-Tools-51604/dp/B08V8YVWH1/ref=sr_1_5?keywords=Klein+Tools+51608+1%2F2-inch+Iron+Conduit+Bender+Head&amp;qid=1695174222&amp;sr=8-5</v>
      </c>
      <c r="F2709" t="s">
        <v>6048</v>
      </c>
      <c r="G2709" t="e">
        <f ca="1">_xludf.IMAGE("https://edmondsonsupply.com/cdn/shop/products/51608.jpg?v=1643679335")</f>
        <v>#NAME?</v>
      </c>
      <c r="H2709" t="e">
        <f ca="1">_xludf.IMAGE("https://m.media-amazon.com/images/I/41DkDVmyczL._AC_UL320_.jpg")</f>
        <v>#NAME?</v>
      </c>
      <c r="I2709" t="s">
        <v>198</v>
      </c>
      <c r="J2709">
        <v>74.989999999999995</v>
      </c>
      <c r="K2709" s="4">
        <v>0.87519999999999998</v>
      </c>
      <c r="L2709">
        <v>4.8</v>
      </c>
      <c r="M2709">
        <v>43</v>
      </c>
      <c r="O2709" t="s">
        <v>25</v>
      </c>
      <c r="P2709" t="s">
        <v>6790</v>
      </c>
      <c r="Q2709" t="s">
        <v>6791</v>
      </c>
    </row>
    <row r="2710" spans="1:17" ht="15.5" x14ac:dyDescent="0.35">
      <c r="A2710" s="3" t="str">
        <f>HYPERLINK("https://edmondsonsupply.com/collections/electricians-tools/products/klein-tools-31906-hole-saw-arbor-with-pins-7-16-inch", "https://edmondsonsupply.com/collections/electricians-tools/products/klein-tools-31906-hole-saw-arbor-with-pins-7-16-inch")</f>
        <v>https://edmondsonsupply.com/collections/electricians-tools/products/klein-tools-31906-hole-saw-arbor-with-pins-7-16-inch</v>
      </c>
      <c r="B2710" s="3" t="str">
        <f>HYPERLINK("https://edmondsonsupply.com/products/klein-tools-31906-hole-saw-arbor-with-pins-7-16-inch", "https://edmondsonsupply.com/products/klein-tools-31906-hole-saw-arbor-with-pins-7-16-inch")</f>
        <v>https://edmondsonsupply.com/products/klein-tools-31906-hole-saw-arbor-with-pins-7-16-inch</v>
      </c>
      <c r="C2710" t="s">
        <v>6792</v>
      </c>
      <c r="D2710" t="s">
        <v>6793</v>
      </c>
      <c r="E2710" s="3" t="str">
        <f>HYPERLINK("https://www.amazon.com/Klein-Tools-31906-16-Inch-Bi-Metal/dp/B0BVGZ3GN2/ref=sr_1_2?keywords=Klein+Tools+31906+Hole+Saw+Arbor+With+Pins%2C+7%2F16-Inch&amp;qid=1695174136&amp;sr=8-2", "https://www.amazon.com/Klein-Tools-31906-16-Inch-Bi-Metal/dp/B0BVGZ3GN2/ref=sr_1_2?keywords=Klein+Tools+31906+Hole+Saw+Arbor+With+Pins%2C+7%2F16-Inch&amp;qid=1695174136&amp;sr=8-2")</f>
        <v>https://www.amazon.com/Klein-Tools-31906-16-Inch-Bi-Metal/dp/B0BVGZ3GN2/ref=sr_1_2?keywords=Klein+Tools+31906+Hole+Saw+Arbor+With+Pins%2C+7%2F16-Inch&amp;qid=1695174136&amp;sr=8-2</v>
      </c>
      <c r="F2710" t="s">
        <v>6794</v>
      </c>
      <c r="G2710" t="e">
        <f ca="1">_xludf.IMAGE("https://edmondsonsupply.com/cdn/shop/products/31906.jpg?v=1665670390")</f>
        <v>#NAME?</v>
      </c>
      <c r="H2710" t="e">
        <f ca="1">_xludf.IMAGE("https://m.media-amazon.com/images/I/21IcyNq4gsL._AC_UL320_.jpg")</f>
        <v>#NAME?</v>
      </c>
      <c r="I2710" t="s">
        <v>252</v>
      </c>
      <c r="J2710">
        <v>29.98</v>
      </c>
      <c r="K2710" s="4">
        <v>0.87490000000000001</v>
      </c>
      <c r="L2710">
        <v>4.5999999999999996</v>
      </c>
      <c r="M2710">
        <v>406</v>
      </c>
      <c r="O2710" t="s">
        <v>25</v>
      </c>
      <c r="P2710" t="s">
        <v>6795</v>
      </c>
      <c r="Q2710" t="s">
        <v>6796</v>
      </c>
    </row>
    <row r="2711" spans="1:17" ht="15.5" x14ac:dyDescent="0.35">
      <c r="A2711"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2711"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2711" t="s">
        <v>6797</v>
      </c>
      <c r="D2711" t="s">
        <v>6798</v>
      </c>
      <c r="E2711" s="3" t="str">
        <f>HYPERLINK("https://www.amazon.com/Klein-Tools-D2000-48-INS-Insulated-Leverage/dp/B000LDFIVC/ref=sr_1_4?keywords=Klein+Tools+D2000-48+Diagonal+Cutting+Pliers%2C+Angled+Head%2C+8-Inch&amp;qid=1695174171&amp;sr=8-4", "https://www.amazon.com/Klein-Tools-D2000-48-INS-Insulated-Leverage/dp/B000LDFIVC/ref=sr_1_4?keywords=Klein+Tools+D2000-48+Diagonal+Cutting+Pliers%2C+Angled+Head%2C+8-Inch&amp;qid=1695174171&amp;sr=8-4")</f>
        <v>https://www.amazon.com/Klein-Tools-D2000-48-INS-Insulated-Leverage/dp/B000LDFIVC/ref=sr_1_4?keywords=Klein+Tools+D2000-48+Diagonal+Cutting+Pliers%2C+Angled+Head%2C+8-Inch&amp;qid=1695174171&amp;sr=8-4</v>
      </c>
      <c r="F2711" t="s">
        <v>6799</v>
      </c>
      <c r="G2711" t="e">
        <f ca="1">_xludf.IMAGE("https://edmondsonsupply.com/cdn/shop/products/d200048.jpg?v=1660920588")</f>
        <v>#NAME?</v>
      </c>
      <c r="H2711" t="e">
        <f ca="1">_xludf.IMAGE("https://m.media-amazon.com/images/I/51D7A8E7ncL._AC_UL320_.jpg")</f>
        <v>#NAME?</v>
      </c>
      <c r="I2711" t="s">
        <v>340</v>
      </c>
      <c r="J2711">
        <v>65.28</v>
      </c>
      <c r="K2711" s="4">
        <v>0.86670000000000003</v>
      </c>
      <c r="L2711">
        <v>4.8</v>
      </c>
      <c r="M2711">
        <v>111</v>
      </c>
      <c r="O2711" t="s">
        <v>25</v>
      </c>
      <c r="P2711" t="s">
        <v>6800</v>
      </c>
      <c r="Q2711" t="s">
        <v>6801</v>
      </c>
    </row>
    <row r="2712" spans="1:17" ht="15.5" x14ac:dyDescent="0.35">
      <c r="A2712"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2712"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2712" t="s">
        <v>6802</v>
      </c>
      <c r="D2712" t="s">
        <v>3163</v>
      </c>
      <c r="E2712" s="3" t="str">
        <f>HYPERLINK("https://www.amazon.com/Journeyman-T-Handle-Klein-Tools-JTH9E14/dp/B004QVAH4I/ref=sr_1_6?keywords=Klein+Tools+JTH4E10+5%2F32-Inch+Hex+Key%2C+Journeyman+T-Handle%2C+4-Inch&amp;qid=1695174219&amp;sr=8-6", "https://www.amazon.com/Journeyman-T-Handle-Klein-Tools-JTH9E14/dp/B004QVAH4I/ref=sr_1_6?keywords=Klein+Tools+JTH4E10+5%2F32-Inch+Hex+Key%2C+Journeyman+T-Handle%2C+4-Inch&amp;qid=1695174219&amp;sr=8-6")</f>
        <v>https://www.amazon.com/Journeyman-T-Handle-Klein-Tools-JTH9E14/dp/B004QVAH4I/ref=sr_1_6?keywords=Klein+Tools+JTH4E10+5%2F32-Inch+Hex+Key%2C+Journeyman+T-Handle%2C+4-Inch&amp;qid=1695174219&amp;sr=8-6</v>
      </c>
      <c r="F2712" t="s">
        <v>3164</v>
      </c>
      <c r="G2712" t="e">
        <f ca="1">_xludf.IMAGE("https://edmondsonsupply.com/cdn/shop/products/jth4e17_ce261606-f524-49c5-9cd5-8c9f52dd1e03.jpg?v=1645565342")</f>
        <v>#NAME?</v>
      </c>
      <c r="H2712" t="e">
        <f ca="1">_xludf.IMAGE("https://m.media-amazon.com/images/I/51Yb8h41vLL._AC_UL320_.jpg")</f>
        <v>#NAME?</v>
      </c>
      <c r="I2712" t="s">
        <v>6444</v>
      </c>
      <c r="J2712">
        <v>7.44</v>
      </c>
      <c r="K2712" s="4">
        <v>0.86470000000000002</v>
      </c>
      <c r="L2712">
        <v>4.8</v>
      </c>
      <c r="M2712">
        <v>114</v>
      </c>
      <c r="O2712" t="s">
        <v>25</v>
      </c>
      <c r="P2712" t="s">
        <v>2044</v>
      </c>
      <c r="Q2712" t="s">
        <v>6803</v>
      </c>
    </row>
    <row r="2713" spans="1:17" ht="15.5" x14ac:dyDescent="0.35">
      <c r="A2713"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2713"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2713" t="s">
        <v>6443</v>
      </c>
      <c r="D2713" t="s">
        <v>3163</v>
      </c>
      <c r="E2713" s="3" t="str">
        <f>HYPERLINK("https://www.amazon.com/Journeyman-T-Handle-Klein-Tools-JTH9E14/dp/B004QVAH4I/ref=sr_1_6?keywords=Klein+Tools+JTH4E06+3%2F32-Inch+Hex+Key%2C+Journeyman+T-Handle%2C+4-Inch&amp;qid=1695174228&amp;sr=8-6", "https://www.amazon.com/Journeyman-T-Handle-Klein-Tools-JTH9E14/dp/B004QVAH4I/ref=sr_1_6?keywords=Klein+Tools+JTH4E06+3%2F32-Inch+Hex+Key%2C+Journeyman+T-Handle%2C+4-Inch&amp;qid=1695174228&amp;sr=8-6")</f>
        <v>https://www.amazon.com/Journeyman-T-Handle-Klein-Tools-JTH9E14/dp/B004QVAH4I/ref=sr_1_6?keywords=Klein+Tools+JTH4E06+3%2F32-Inch+Hex+Key%2C+Journeyman+T-Handle%2C+4-Inch&amp;qid=1695174228&amp;sr=8-6</v>
      </c>
      <c r="F2713" t="s">
        <v>3164</v>
      </c>
      <c r="G2713" t="e">
        <f ca="1">_xludf.IMAGE("https://edmondsonsupply.com/cdn/shop/products/jth4e06.jpg?v=1635112029")</f>
        <v>#NAME?</v>
      </c>
      <c r="H2713" t="e">
        <f ca="1">_xludf.IMAGE("https://m.media-amazon.com/images/I/51Yb8h41vLL._AC_UL320_.jpg")</f>
        <v>#NAME?</v>
      </c>
      <c r="I2713" t="s">
        <v>6444</v>
      </c>
      <c r="J2713">
        <v>7.44</v>
      </c>
      <c r="K2713" s="4">
        <v>0.86470000000000002</v>
      </c>
      <c r="L2713">
        <v>4.8</v>
      </c>
      <c r="M2713">
        <v>114</v>
      </c>
      <c r="O2713" t="s">
        <v>25</v>
      </c>
      <c r="P2713" t="s">
        <v>2044</v>
      </c>
      <c r="Q2713" t="s">
        <v>6445</v>
      </c>
    </row>
    <row r="2714" spans="1:17" ht="15.5" x14ac:dyDescent="0.35">
      <c r="A2714" s="3" t="str">
        <f>HYPERLINK("https://edmondsonsupply.com/collections/electricians-tools/products/klein-tools-jth9e14-5-16-inch-hex-key-journeyman%E2%84%A2-t-handle-9-inch", "https://edmondsonsupply.com/collections/electricians-tools/products/klein-tools-jth9e14-5-16-inch-hex-key-journeyman%E2%84%A2-t-handle-9-inch")</f>
        <v>https://edmondsonsupply.com/collections/electricians-tools/products/klein-tools-jth9e14-5-16-inch-hex-key-journeyman%E2%84%A2-t-handle-9-inch</v>
      </c>
      <c r="B2714" s="3" t="str">
        <f>HYPERLINK("https://edmondsonsupply.com/products/klein-tools-jth9e14-5-16-inch-hex-key-journeyman%e2%84%a2-t-handle-9-inch", "https://edmondsonsupply.com/products/klein-tools-jth9e14-5-16-inch-hex-key-journeyman%e2%84%a2-t-handle-9-inch")</f>
        <v>https://edmondsonsupply.com/products/klein-tools-jth9e14-5-16-inch-hex-key-journeyman%e2%84%a2-t-handle-9-inch</v>
      </c>
      <c r="C2714" t="s">
        <v>6804</v>
      </c>
      <c r="D2714" t="s">
        <v>2368</v>
      </c>
      <c r="E2714" s="3" t="str">
        <f>HYPERLINK("https://www.amazon.com/Klein-Tools-JTH9E14-Journeyman-T-Handle/dp/B0CF2VDSX2/ref=sr_1_2?keywords=Klein+Tools+JTH9E14+5%2F16-Inch+Hex+Key%2C+Journeyman%E2%84%A2+T-Handle%2C+9-Inch&amp;qid=1695174141&amp;sr=8-2", "https://www.amazon.com/Klein-Tools-JTH9E14-Journeyman-T-Handle/dp/B0CF2VDSX2/ref=sr_1_2?keywords=Klein+Tools+JTH9E14+5%2F16-Inch+Hex+Key%2C+Journeyman%E2%84%A2+T-Handle%2C+9-Inch&amp;qid=1695174141&amp;sr=8-2")</f>
        <v>https://www.amazon.com/Klein-Tools-JTH9E14-Journeyman-T-Handle/dp/B0CF2VDSX2/ref=sr_1_2?keywords=Klein+Tools+JTH9E14+5%2F16-Inch+Hex+Key%2C+Journeyman%E2%84%A2+T-Handle%2C+9-Inch&amp;qid=1695174141&amp;sr=8-2</v>
      </c>
      <c r="F2714" t="s">
        <v>2369</v>
      </c>
      <c r="G2714" t="e">
        <f ca="1">_xludf.IMAGE("https://edmondsonsupply.com/cdn/shop/products/jth6e15_f4984146-222a-4a1f-9fb4-94d2ee6d0a9d.jpg?v=1665597420")</f>
        <v>#NAME?</v>
      </c>
      <c r="H2714" t="e">
        <f ca="1">_xludf.IMAGE("https://m.media-amazon.com/images/I/317IAARii7L._AC_UL320_.jpg")</f>
        <v>#NAME?</v>
      </c>
      <c r="I2714" t="s">
        <v>1003</v>
      </c>
      <c r="J2714">
        <v>14.88</v>
      </c>
      <c r="K2714" s="4">
        <v>0.86229999999999996</v>
      </c>
      <c r="L2714">
        <v>4.5999999999999996</v>
      </c>
      <c r="M2714">
        <v>393</v>
      </c>
      <c r="O2714" t="s">
        <v>25</v>
      </c>
      <c r="P2714" t="s">
        <v>6024</v>
      </c>
      <c r="Q2714" t="s">
        <v>6805</v>
      </c>
    </row>
    <row r="2715" spans="1:17" ht="15.5" x14ac:dyDescent="0.35">
      <c r="A2715" s="3" t="str">
        <f>HYPERLINK("https://edmondsonsupply.com/collections/electricians-tools/products/klein-tools-j12098-8-journeyman-high-leverage-universal-combination-pliers", "https://edmondsonsupply.com/collections/electricians-tools/products/klein-tools-j12098-8-journeyman-high-leverage-universal-combination-pliers")</f>
        <v>https://edmondsonsupply.com/collections/electricians-tools/products/klein-tools-j12098-8-journeyman-high-leverage-universal-combination-pliers</v>
      </c>
      <c r="B2715" s="3" t="str">
        <f>HYPERLINK("https://edmondsonsupply.com/products/klein-tools-j12098-8-journeyman-high-leverage-universal-combination-pliers", "https://edmondsonsupply.com/products/klein-tools-j12098-8-journeyman-high-leverage-universal-combination-pliers")</f>
        <v>https://edmondsonsupply.com/products/klein-tools-j12098-8-journeyman-high-leverage-universal-combination-pliers</v>
      </c>
      <c r="C2715" t="s">
        <v>2611</v>
      </c>
      <c r="D2715" t="s">
        <v>2612</v>
      </c>
      <c r="E2715" s="3" t="str">
        <f>HYPERLINK("https://www.amazon.com/Insulated-Combination-Klein-Tools-12098-INS/dp/B0002RI4V8/ref=sr_1_3?keywords=Klein+Tools+J12098+Journeyman+Universal+Combination+Pliers&amp;qid=1695173909&amp;sr=8-3", "https://www.amazon.com/Insulated-Combination-Klein-Tools-12098-INS/dp/B0002RI4V8/ref=sr_1_3?keywords=Klein+Tools+J12098+Journeyman+Universal+Combination+Pliers&amp;qid=1695173909&amp;sr=8-3")</f>
        <v>https://www.amazon.com/Insulated-Combination-Klein-Tools-12098-INS/dp/B0002RI4V8/ref=sr_1_3?keywords=Klein+Tools+J12098+Journeyman+Universal+Combination+Pliers&amp;qid=1695173909&amp;sr=8-3</v>
      </c>
      <c r="F2715" t="s">
        <v>2613</v>
      </c>
      <c r="G2715" t="e">
        <f ca="1">_xludf.IMAGE("https://edmondsonsupply.com/cdn/shop/products/j12098.jpg?v=1587142847")</f>
        <v>#NAME?</v>
      </c>
      <c r="H2715" t="e">
        <f ca="1">_xludf.IMAGE("https://m.media-amazon.com/images/I/51I3JjFrgcL._AC_UL320_.jpg")</f>
        <v>#NAME?</v>
      </c>
      <c r="I2715" t="s">
        <v>571</v>
      </c>
      <c r="J2715">
        <v>64.989999999999995</v>
      </c>
      <c r="K2715" s="4">
        <v>0.85740000000000005</v>
      </c>
      <c r="L2715">
        <v>5</v>
      </c>
      <c r="M2715">
        <v>10</v>
      </c>
      <c r="O2715" t="s">
        <v>25</v>
      </c>
      <c r="P2715" t="s">
        <v>2614</v>
      </c>
      <c r="Q2715" t="s">
        <v>2615</v>
      </c>
    </row>
    <row r="2716" spans="1:17" ht="15.5" x14ac:dyDescent="0.35">
      <c r="A2716" s="3" t="str">
        <f>HYPERLINK("https://edmondsonsupply.com/collections/electricians-tools/products/crescent-tools-cx6dbs2-2-pc-x6%E2%84%A2-4-in-1-black-oxide-spline-ratcheting-sae-wrench-set", "https://edmondsonsupply.com/collections/electricians-tools/products/crescent-tools-cx6dbs2-2-pc-x6%E2%84%A2-4-in-1-black-oxide-spline-ratcheting-sae-wrench-set")</f>
        <v>https://edmondsonsupply.com/collections/electricians-tools/products/crescent-tools-cx6dbs2-2-pc-x6%E2%84%A2-4-in-1-black-oxide-spline-ratcheting-sae-wrench-set</v>
      </c>
      <c r="B2716" s="3" t="str">
        <f>HYPERLINK("https://edmondsonsupply.com/products/crescent-tools-cx6dbs2-2-pc-x6%e2%84%a2-4-in-1-black-oxide-spline-ratcheting-sae-wrench-set", "https://edmondsonsupply.com/products/crescent-tools-cx6dbs2-2-pc-x6%e2%84%a2-4-in-1-black-oxide-spline-ratcheting-sae-wrench-set")</f>
        <v>https://edmondsonsupply.com/products/crescent-tools-cx6dbs2-2-pc-x6%e2%84%a2-4-in-1-black-oxide-spline-ratcheting-sae-wrench-set</v>
      </c>
      <c r="C2716" t="s">
        <v>6806</v>
      </c>
      <c r="D2716" t="s">
        <v>6807</v>
      </c>
      <c r="E2716" s="3" t="str">
        <f>HYPERLINK("https://www.amazon.com/Crescent-Black-Spline-Ratcheting-Wrench/dp/B0886TQZTW/ref=sr_1_2?keywords=Crescent+Tools+CX6DBS2+2+Pc.+X6%E2%84%A2+4-in-1+Black+Oxide+Spline+Ratcheting+SAE+Wrench+Set&amp;qid=1695174022&amp;sr=8-2", "https://www.amazon.com/Crescent-Black-Spline-Ratcheting-Wrench/dp/B0886TQZTW/ref=sr_1_2?keywords=Crescent+Tools+CX6DBS2+2+Pc.+X6%E2%84%A2+4-in-1+Black+Oxide+Spline+Ratcheting+SAE+Wrench+Set&amp;qid=1695174022&amp;sr=8-2")</f>
        <v>https://www.amazon.com/Crescent-Black-Spline-Ratcheting-Wrench/dp/B0886TQZTW/ref=sr_1_2?keywords=Crescent+Tools+CX6DBS2+2+Pc.+X6%E2%84%A2+4-in-1+Black+Oxide+Spline+Ratcheting+SAE+Wrench+Set&amp;qid=1695174022&amp;sr=8-2</v>
      </c>
      <c r="F2716" t="s">
        <v>6808</v>
      </c>
      <c r="G2716" t="e">
        <f ca="1">_xludf.IMAGE("https://edmondsonsupply.com/cdn/shop/products/CRS_CX6DBS2_FRNT_MAIN.jpg?v=1681319485")</f>
        <v>#NAME?</v>
      </c>
      <c r="H2716" t="e">
        <f ca="1">_xludf.IMAGE("https://m.media-amazon.com/images/I/61StFxPJl+L._AC_UL320_.jpg")</f>
        <v>#NAME?</v>
      </c>
      <c r="I2716" t="s">
        <v>6809</v>
      </c>
      <c r="J2716">
        <v>63.08</v>
      </c>
      <c r="K2716" s="4">
        <v>0.85640000000000005</v>
      </c>
      <c r="L2716">
        <v>4.5</v>
      </c>
      <c r="M2716">
        <v>7</v>
      </c>
      <c r="O2716" t="s">
        <v>25</v>
      </c>
      <c r="P2716" t="s">
        <v>6810</v>
      </c>
      <c r="Q2716" t="s">
        <v>6811</v>
      </c>
    </row>
    <row r="2717" spans="1:17" ht="15.5" x14ac:dyDescent="0.35">
      <c r="A2717"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2717"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2717" t="s">
        <v>6812</v>
      </c>
      <c r="D2717" t="s">
        <v>6775</v>
      </c>
      <c r="E2717" s="3" t="str">
        <f>HYPERLINK("https://www.amazon.com/Insulated-Screwdriver-Klein-Tools-601-4-INS/dp/B000LEBVIK/ref=sr_1_4?keywords=Klein+Tools+6824INS+Insulated+Screwdriver%2C+1%2F4-Inch+Cabinet+Tip%2C+4-Inch+Round+Shank&amp;qid=1695174148&amp;sr=8-4", "https://www.amazon.com/Insulated-Screwdriver-Klein-Tools-601-4-INS/dp/B000LEBVIK/ref=sr_1_4?keywords=Klein+Tools+6824INS+Insulated+Screwdriver%2C+1%2F4-Inch+Cabinet+Tip%2C+4-Inch+Round+Shank&amp;qid=1695174148&amp;sr=8-4")</f>
        <v>https://www.amazon.com/Insulated-Screwdriver-Klein-Tools-601-4-INS/dp/B000LEBVIK/ref=sr_1_4?keywords=Klein+Tools+6824INS+Insulated+Screwdriver%2C+1%2F4-Inch+Cabinet+Tip%2C+4-Inch+Round+Shank&amp;qid=1695174148&amp;sr=8-4</v>
      </c>
      <c r="F2717" t="s">
        <v>6776</v>
      </c>
      <c r="G2717" t="e">
        <f ca="1">_xludf.IMAGE("https://edmondsonsupply.com/cdn/shop/products/6824ins.jpg?v=1664813487")</f>
        <v>#NAME?</v>
      </c>
      <c r="H2717" t="e">
        <f ca="1">_xludf.IMAGE("https://m.media-amazon.com/images/I/41SIcZZiIAL._AC_UL320_.jpg")</f>
        <v>#NAME?</v>
      </c>
      <c r="I2717" t="s">
        <v>1427</v>
      </c>
      <c r="J2717">
        <v>18.489999999999998</v>
      </c>
      <c r="K2717" s="4">
        <v>0.85460000000000003</v>
      </c>
      <c r="L2717">
        <v>4.8</v>
      </c>
      <c r="M2717">
        <v>1064</v>
      </c>
      <c r="O2717" t="s">
        <v>25</v>
      </c>
      <c r="P2717" t="s">
        <v>6813</v>
      </c>
      <c r="Q2717" t="s">
        <v>6814</v>
      </c>
    </row>
    <row r="2718" spans="1:17" ht="15.5" x14ac:dyDescent="0.35">
      <c r="A2718" s="3" t="str">
        <f>HYPERLINK("https://edmondsonsupply.com/collections/electricians-tools/products/klein-tools-5183-tradesman-pro%E2%84%A2-drill-pouch", "https://edmondsonsupply.com/collections/electricians-tools/products/klein-tools-5183-tradesman-pro%E2%84%A2-drill-pouch")</f>
        <v>https://edmondsonsupply.com/collections/electricians-tools/products/klein-tools-5183-tradesman-pro%E2%84%A2-drill-pouch</v>
      </c>
      <c r="B2718" s="3" t="str">
        <f>HYPERLINK("https://edmondsonsupply.com/products/klein-tools-5183-tradesman-pro%e2%84%a2-drill-pouch", "https://edmondsonsupply.com/products/klein-tools-5183-tradesman-pro%e2%84%a2-drill-pouch")</f>
        <v>https://edmondsonsupply.com/products/klein-tools-5183-tradesman-pro%e2%84%a2-drill-pouch</v>
      </c>
      <c r="C2718" t="s">
        <v>359</v>
      </c>
      <c r="D2718" t="s">
        <v>360</v>
      </c>
      <c r="E2718" s="3" t="str">
        <f>HYPERLINK("https://www.amazon.com/Klein-Tools-Tradesman-Ballistic-Holster/dp/B0BHVQDH94/ref=sr_1_2?keywords=Klein+Tools+5183+Tool+Bag%2C+Tradesman+Pro%E2%84%A2+Drill+Pouch&amp;qid=1695173941&amp;sr=8-2", "https://www.amazon.com/Klein-Tools-Tradesman-Ballistic-Holster/dp/B0BHVQDH94/ref=sr_1_2?keywords=Klein+Tools+5183+Tool+Bag%2C+Tradesman+Pro%E2%84%A2+Drill+Pouch&amp;qid=1695173941&amp;sr=8-2")</f>
        <v>https://www.amazon.com/Klein-Tools-Tradesman-Ballistic-Holster/dp/B0BHVQDH94/ref=sr_1_2?keywords=Klein+Tools+5183+Tool+Bag%2C+Tradesman+Pro%E2%84%A2+Drill+Pouch&amp;qid=1695173941&amp;sr=8-2</v>
      </c>
      <c r="F2718" t="s">
        <v>361</v>
      </c>
      <c r="G2718" t="e">
        <f ca="1">_xludf.IMAGE("https://edmondsonsupply.com/cdn/shop/products/5183.jpg?v=1587145505")</f>
        <v>#NAME?</v>
      </c>
      <c r="H2718" t="e">
        <f ca="1">_xludf.IMAGE("https://m.media-amazon.com/images/I/41StAVR6AeL._AC_UL320_.jpg")</f>
        <v>#NAME?</v>
      </c>
      <c r="I2718" t="s">
        <v>362</v>
      </c>
      <c r="J2718">
        <v>47.98</v>
      </c>
      <c r="K2718" s="4">
        <v>0.84609999999999996</v>
      </c>
      <c r="L2718">
        <v>3</v>
      </c>
      <c r="M2718">
        <v>1</v>
      </c>
      <c r="O2718" t="s">
        <v>25</v>
      </c>
      <c r="P2718" t="s">
        <v>363</v>
      </c>
      <c r="Q2718" t="s">
        <v>364</v>
      </c>
    </row>
    <row r="2719" spans="1:17" ht="15.5" x14ac:dyDescent="0.35">
      <c r="A2719"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2719" s="3" t="str">
        <f>HYPERLINK("https://edmondsonsupply.com/products/klein-tools-jth4e17-1-2-inch-hex-key-journeyman-t-handle-4-inch", "https://edmondsonsupply.com/products/klein-tools-jth4e17-1-2-inch-hex-key-journeyman-t-handle-4-inch")</f>
        <v>https://edmondsonsupply.com/products/klein-tools-jth4e17-1-2-inch-hex-key-journeyman-t-handle-4-inch</v>
      </c>
      <c r="C2719" t="s">
        <v>2385</v>
      </c>
      <c r="D2719" t="s">
        <v>2633</v>
      </c>
      <c r="E2719" s="3" t="str">
        <f>HYPERLINK("https://www.amazon.com/Journeyman-T-Handle-Klein-Tools-JTH9M5/dp/B005G3HJDW/ref=sr_1_8?keywords=Klein+Tools+JTH4E11+3%2F16-Inch+Hex+Key+with+Journeyman+T-Handle%2C+4-Inch&amp;qid=1695173897&amp;sr=8-8", "https://www.amazon.com/Journeyman-T-Handle-Klein-Tools-JTH9M5/dp/B005G3HJDW/ref=sr_1_8?keywords=Klein+Tools+JTH4E11+3%2F16-Inch+Hex+Key+with+Journeyman+T-Handle%2C+4-Inch&amp;qid=1695173897&amp;sr=8-8")</f>
        <v>https://www.amazon.com/Journeyman-T-Handle-Klein-Tools-JTH9M5/dp/B005G3HJDW/ref=sr_1_8?keywords=Klein+Tools+JTH4E11+3%2F16-Inch+Hex+Key+with+Journeyman+T-Handle%2C+4-Inch&amp;qid=1695173897&amp;sr=8-8</v>
      </c>
      <c r="F2719" t="s">
        <v>2634</v>
      </c>
      <c r="G2719" t="e">
        <f ca="1">_xludf.IMAGE("https://edmondsonsupply.com/cdn/shop/products/jth4e17.jpg?v=1587144836")</f>
        <v>#NAME?</v>
      </c>
      <c r="H2719" t="e">
        <f ca="1">_xludf.IMAGE("https://m.media-amazon.com/images/I/51O91N8K8wL._AC_UL320_.jpg")</f>
        <v>#NAME?</v>
      </c>
      <c r="I2719" t="s">
        <v>2388</v>
      </c>
      <c r="J2719">
        <v>9.1999999999999993</v>
      </c>
      <c r="K2719" s="4">
        <v>0.84370000000000001</v>
      </c>
      <c r="L2719">
        <v>4.7</v>
      </c>
      <c r="M2719">
        <v>160</v>
      </c>
      <c r="O2719" t="s">
        <v>25</v>
      </c>
      <c r="P2719" t="s">
        <v>2389</v>
      </c>
      <c r="Q2719" t="s">
        <v>2390</v>
      </c>
    </row>
    <row r="2720" spans="1:17" ht="15.5" x14ac:dyDescent="0.35">
      <c r="A2720"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2720" s="3" t="str">
        <f>HYPERLINK("https://edmondsonsupply.com/products/klein-tools-jth9m5-5-mm-hex-key-journeyman-t-handle-9-inch", "https://edmondsonsupply.com/products/klein-tools-jth9m5-5-mm-hex-key-journeyman-t-handle-9-inch")</f>
        <v>https://edmondsonsupply.com/products/klein-tools-jth9m5-5-mm-hex-key-journeyman-t-handle-9-inch</v>
      </c>
      <c r="C2720" t="s">
        <v>6167</v>
      </c>
      <c r="D2720" t="s">
        <v>2633</v>
      </c>
      <c r="E2720" s="3" t="str">
        <f>HYPERLINK("https://www.amazon.com/Journeyman-T-Handle-Klein-Tools-JTH9M5/dp/B005G3HJDW/ref=sr_1_1?keywords=Klein+Tools+JTH9M5+5+mm+Hex+Key%2C+Journeyman+T-Handle+9-Inch&amp;qid=1695174264&amp;sr=8-1", "https://www.amazon.com/Journeyman-T-Handle-Klein-Tools-JTH9M5/dp/B005G3HJDW/ref=sr_1_1?keywords=Klein+Tools+JTH9M5+5+mm+Hex+Key%2C+Journeyman+T-Handle+9-Inch&amp;qid=1695174264&amp;sr=8-1")</f>
        <v>https://www.amazon.com/Journeyman-T-Handle-Klein-Tools-JTH9M5/dp/B005G3HJDW/ref=sr_1_1?keywords=Klein+Tools+JTH9M5+5+mm+Hex+Key%2C+Journeyman+T-Handle+9-Inch&amp;qid=1695174264&amp;sr=8-1</v>
      </c>
      <c r="F2720" t="s">
        <v>2634</v>
      </c>
      <c r="G2720" t="e">
        <f ca="1">_xludf.IMAGE("https://edmondsonsupply.com/cdn/shop/products/jth9m_84ad507b-889a-4b5c-80a2-9633c898cd48.jpg?v=1633031048")</f>
        <v>#NAME?</v>
      </c>
      <c r="H2720" t="e">
        <f ca="1">_xludf.IMAGE("https://m.media-amazon.com/images/I/51O91N8K8wL._AC_UL320_.jpg")</f>
        <v>#NAME?</v>
      </c>
      <c r="I2720" t="s">
        <v>2388</v>
      </c>
      <c r="J2720">
        <v>9.1999999999999993</v>
      </c>
      <c r="K2720" s="4">
        <v>0.84370000000000001</v>
      </c>
      <c r="L2720">
        <v>4.7</v>
      </c>
      <c r="M2720">
        <v>160</v>
      </c>
      <c r="O2720" t="s">
        <v>25</v>
      </c>
      <c r="P2720" t="s">
        <v>6168</v>
      </c>
      <c r="Q2720" t="s">
        <v>6169</v>
      </c>
    </row>
    <row r="2721" spans="1:17" ht="15.5" x14ac:dyDescent="0.35">
      <c r="A2721"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2721"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2721" t="s">
        <v>6059</v>
      </c>
      <c r="D2721" t="s">
        <v>6815</v>
      </c>
      <c r="E2721" s="3" t="str">
        <f>HYPERLINK("https://www.amazon.com/Komelon-7125IE-Engineer-Measuring-Magnetic/dp/B0013L8E8U/ref=sr_1_4?keywords=Komelon+7325+25%27+X+1%22+MagGrip%E2%84%A2+SpeedMark%E2%84%A2%2C+Magnetic+Tape+Measure&amp;qid=1695174274&amp;sr=8-4", "https://www.amazon.com/Komelon-7125IE-Engineer-Measuring-Magnetic/dp/B0013L8E8U/ref=sr_1_4?keywords=Komelon+7325+25%27+X+1%22+MagGrip%E2%84%A2+SpeedMark%E2%84%A2%2C+Magnetic+Tape+Measure&amp;qid=1695174274&amp;sr=8-4")</f>
        <v>https://www.amazon.com/Komelon-7125IE-Engineer-Measuring-Magnetic/dp/B0013L8E8U/ref=sr_1_4?keywords=Komelon+7325+25%27+X+1%22+MagGrip%E2%84%A2+SpeedMark%E2%84%A2%2C+Magnetic+Tape+Measure&amp;qid=1695174274&amp;sr=8-4</v>
      </c>
      <c r="F2721" t="s">
        <v>6816</v>
      </c>
      <c r="G2721" t="e">
        <f ca="1">_xludf.IMAGE("https://edmondsonsupply.com/cdn/shop/products/7325_angleExtended.jpg?v=1633030981")</f>
        <v>#NAME?</v>
      </c>
      <c r="H2721" t="e">
        <f ca="1">_xludf.IMAGE("https://m.media-amazon.com/images/I/81rg3hEgjpL._AC_UL320_.jpg")</f>
        <v>#NAME?</v>
      </c>
      <c r="I2721" t="s">
        <v>288</v>
      </c>
      <c r="J2721">
        <v>25.7</v>
      </c>
      <c r="K2721" s="4">
        <v>0.83699999999999997</v>
      </c>
      <c r="L2721">
        <v>4.5999999999999996</v>
      </c>
      <c r="M2721">
        <v>1534</v>
      </c>
      <c r="O2721" t="s">
        <v>25</v>
      </c>
      <c r="P2721" t="s">
        <v>138</v>
      </c>
      <c r="Q2721" t="s">
        <v>6062</v>
      </c>
    </row>
    <row r="2722" spans="1:17" ht="15.5" x14ac:dyDescent="0.35">
      <c r="A2722"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2722" s="3" t="str">
        <f>HYPERLINK("https://edmondsonsupply.com/products/klein-tools-635-1-4-1-4-inch-nut-driver-magnetic-tip-4-inch-shaft", "https://edmondsonsupply.com/products/klein-tools-635-1-4-1-4-inch-nut-driver-magnetic-tip-4-inch-shaft")</f>
        <v>https://edmondsonsupply.com/products/klein-tools-635-1-4-1-4-inch-nut-driver-magnetic-tip-4-inch-shaft</v>
      </c>
      <c r="C2722" t="s">
        <v>6817</v>
      </c>
      <c r="D2722" t="s">
        <v>2021</v>
      </c>
      <c r="E2722" s="3" t="str">
        <f>HYPERLINK("https://www.amazon.com/Insulated-Klein-Tools-646-1-4-INS/dp/B000MKMH5O/ref=sr_1_6?keywords=Klein+Tools+635-1%2F4+1%2F4-Inch+Nut+Driver%2C+Magnetic+Tip%2C+4-Inch+Shaft&amp;qid=1695174156&amp;sr=8-6", "https://www.amazon.com/Insulated-Klein-Tools-646-1-4-INS/dp/B000MKMH5O/ref=sr_1_6?keywords=Klein+Tools+635-1%2F4+1%2F4-Inch+Nut+Driver%2C+Magnetic+Tip%2C+4-Inch+Shaft&amp;qid=1695174156&amp;sr=8-6")</f>
        <v>https://www.amazon.com/Insulated-Klein-Tools-646-1-4-INS/dp/B000MKMH5O/ref=sr_1_6?keywords=Klein+Tools+635-1%2F4+1%2F4-Inch+Nut+Driver%2C+Magnetic+Tip%2C+4-Inch+Shaft&amp;qid=1695174156&amp;sr=8-6</v>
      </c>
      <c r="F2722" t="s">
        <v>2022</v>
      </c>
      <c r="G2722" t="e">
        <f ca="1">_xludf.IMAGE("https://edmondsonsupply.com/cdn/shop/products/635-1-4.jpg?v=1666811523")</f>
        <v>#NAME?</v>
      </c>
      <c r="H2722" t="e">
        <f ca="1">_xludf.IMAGE("https://m.media-amazon.com/images/I/41Nr0vSgHCL._AC_UL320_.jpg")</f>
        <v>#NAME?</v>
      </c>
      <c r="I2722" t="s">
        <v>2337</v>
      </c>
      <c r="J2722">
        <v>22.02</v>
      </c>
      <c r="K2722" s="4">
        <v>0.83650000000000002</v>
      </c>
      <c r="L2722">
        <v>4.7</v>
      </c>
      <c r="M2722">
        <v>274</v>
      </c>
      <c r="O2722" t="s">
        <v>25</v>
      </c>
      <c r="P2722" t="s">
        <v>1212</v>
      </c>
      <c r="Q2722" t="s">
        <v>6818</v>
      </c>
    </row>
    <row r="2723" spans="1:17" ht="15.5" x14ac:dyDescent="0.35">
      <c r="A2723"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2723" s="3" t="str">
        <f>HYPERLINK("https://edmondsonsupply.com/products/klein-tools-65064-2-in-1-hex-head-screwdriver-1-4-5-16", "https://edmondsonsupply.com/products/klein-tools-65064-2-in-1-hex-head-screwdriver-1-4-5-16")</f>
        <v>https://edmondsonsupply.com/products/klein-tools-65064-2-in-1-hex-head-screwdriver-1-4-5-16</v>
      </c>
      <c r="C2723" t="s">
        <v>2093</v>
      </c>
      <c r="D2723" t="s">
        <v>2635</v>
      </c>
      <c r="E2723" s="3" t="str">
        <f>HYPERLINK("https://www.amazon.com/Melnor-65173AMZ-RelaxGrip-Pattern-Pivoting/dp/B0C6QZGPMM/ref=sr_1_2?keywords=Klein+Tools+65064+2-in-1+Nut+Driver%2C+Hex+Head%2C+1%2F4-Inch+and+5%2F16-Inch&amp;qid=1695173915&amp;sr=8-2", "https://www.amazon.com/Melnor-65173AMZ-RelaxGrip-Pattern-Pivoting/dp/B0C6QZGPMM/ref=sr_1_2?keywords=Klein+Tools+65064+2-in-1+Nut+Driver%2C+Hex+Head%2C+1%2F4-Inch+and+5%2F16-Inch&amp;qid=1695173915&amp;sr=8-2")</f>
        <v>https://www.amazon.com/Melnor-65173AMZ-RelaxGrip-Pattern-Pivoting/dp/B0C6QZGPMM/ref=sr_1_2?keywords=Klein+Tools+65064+2-in-1+Nut+Driver%2C+Hex+Head%2C+1%2F4-Inch+and+5%2F16-Inch&amp;qid=1695173915&amp;sr=8-2</v>
      </c>
      <c r="F2723" t="s">
        <v>2636</v>
      </c>
      <c r="G2723" t="e">
        <f ca="1">_xludf.IMAGE("https://edmondsonsupply.com/cdn/shop/products/65064.jpg?v=1587147719")</f>
        <v>#NAME?</v>
      </c>
      <c r="H2723" t="e">
        <f ca="1">_xludf.IMAGE("https://m.media-amazon.com/images/I/41ISu9RCylL._AC_UL320_.jpg")</f>
        <v>#NAME?</v>
      </c>
      <c r="I2723" t="s">
        <v>143</v>
      </c>
      <c r="J2723">
        <v>29.3</v>
      </c>
      <c r="K2723" s="4">
        <v>0.8347</v>
      </c>
      <c r="L2723">
        <v>4.4000000000000004</v>
      </c>
      <c r="M2723">
        <v>324</v>
      </c>
      <c r="O2723" t="s">
        <v>25</v>
      </c>
      <c r="P2723" t="s">
        <v>2096</v>
      </c>
      <c r="Q2723" t="s">
        <v>2097</v>
      </c>
    </row>
    <row r="2724" spans="1:17" ht="15.5" x14ac:dyDescent="0.35">
      <c r="A2724" s="3" t="str">
        <f>HYPERLINK("https://edmondsonsupply.com/collections/electricians-tools/products/diablo-tools-dag", "https://edmondsonsupply.com/collections/electricians-tools/products/diablo-tools-dag")</f>
        <v>https://edmondsonsupply.com/collections/electricians-tools/products/diablo-tools-dag</v>
      </c>
      <c r="B2724" s="3" t="str">
        <f>HYPERLINK("https://edmondsonsupply.com/products/diablo-tools-dag", "https://edmondsonsupply.com/products/diablo-tools-dag")</f>
        <v>https://edmondsonsupply.com/products/diablo-tools-dag</v>
      </c>
      <c r="C2724" t="s">
        <v>6819</v>
      </c>
      <c r="D2724" t="s">
        <v>6820</v>
      </c>
      <c r="E2724" s="3" t="str">
        <f>HYPERLINK("https://www.amazon.com/Diablo-17-1-Auger-Bit/dp/B089LG8GYB/ref=sr_1_8?keywords=Diablo+Tools+DAG3010+3%2F8+in.+x+17-1%2F2+in.+Auger+Bit&amp;qid=1695174114&amp;sr=8-8", "https://www.amazon.com/Diablo-17-1-Auger-Bit/dp/B089LG8GYB/ref=sr_1_8?keywords=Diablo+Tools+DAG3010+3%2F8+in.+x+17-1%2F2+in.+Auger+Bit&amp;qid=1695174114&amp;sr=8-8")</f>
        <v>https://www.amazon.com/Diablo-17-1-Auger-Bit/dp/B089LG8GYB/ref=sr_1_8?keywords=Diablo+Tools+DAG3010+3%2F8+in.+x+17-1%2F2+in.+Auger+Bit&amp;qid=1695174114&amp;sr=8-8</v>
      </c>
      <c r="F2724" t="s">
        <v>6821</v>
      </c>
      <c r="G2724" t="e">
        <f ca="1">_xludf.IMAGE("https://edmondsonsupply.com/cdn/shop/products/xfctdbahz5wx3g461fm8.webp?v=1669991052")</f>
        <v>#NAME?</v>
      </c>
      <c r="H2724" t="e">
        <f ca="1">_xludf.IMAGE("https://m.media-amazon.com/images/I/61QXZJGNQTL._AC_UL320_.jpg")</f>
        <v>#NAME?</v>
      </c>
      <c r="I2724" t="s">
        <v>5147</v>
      </c>
      <c r="J2724">
        <v>31.99</v>
      </c>
      <c r="K2724" s="4">
        <v>0.83109999999999995</v>
      </c>
      <c r="L2724">
        <v>4.3</v>
      </c>
      <c r="M2724">
        <v>29</v>
      </c>
      <c r="O2724" t="s">
        <v>25</v>
      </c>
      <c r="P2724" t="s">
        <v>6822</v>
      </c>
      <c r="Q2724" t="s">
        <v>6823</v>
      </c>
    </row>
    <row r="2725" spans="1:17" ht="15.5" x14ac:dyDescent="0.35">
      <c r="A2725"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2725"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2725" t="s">
        <v>6824</v>
      </c>
      <c r="D2725" t="s">
        <v>6198</v>
      </c>
      <c r="E2725" s="3" t="str">
        <f>HYPERLINK("https://www.amazon.com/Klein-Tools-Electric-Integrated-Accessory/dp/B0C9999Y7J/ref=sr_1_5?keywords=Klein+Tools+ET310+Digital+Circuit+Breaker+Finder+with+GFCI+Outlet+Tester&amp;qid=1695173862&amp;sr=8-5", "https://www.amazon.com/Klein-Tools-Electric-Integrated-Accessory/dp/B0C9999Y7J/ref=sr_1_5?keywords=Klein+Tools+ET310+Digital+Circuit+Breaker+Finder+with+GFCI+Outlet+Tester&amp;qid=1695173862&amp;sr=8-5")</f>
        <v>https://www.amazon.com/Klein-Tools-Electric-Integrated-Accessory/dp/B0C9999Y7J/ref=sr_1_5?keywords=Klein+Tools+ET310+Digital+Circuit+Breaker+Finder+with+GFCI+Outlet+Tester&amp;qid=1695173862&amp;sr=8-5</v>
      </c>
      <c r="F2725" t="s">
        <v>6199</v>
      </c>
      <c r="G2725" t="e">
        <f ca="1">_xludf.IMAGE("https://edmondsonsupply.com/cdn/shop/products/et310_c.jpg?v=1646963918")</f>
        <v>#NAME?</v>
      </c>
      <c r="H2725" t="e">
        <f ca="1">_xludf.IMAGE("https://m.media-amazon.com/images/I/612+A-jAqtL._AC_UL320_.jpg")</f>
        <v>#NAME?</v>
      </c>
      <c r="I2725" t="s">
        <v>380</v>
      </c>
      <c r="J2725">
        <v>91.37</v>
      </c>
      <c r="K2725" s="4">
        <v>0.82850000000000001</v>
      </c>
      <c r="L2725">
        <v>4.7</v>
      </c>
      <c r="M2725">
        <v>7</v>
      </c>
      <c r="O2725" t="s">
        <v>25</v>
      </c>
      <c r="P2725" t="s">
        <v>6825</v>
      </c>
      <c r="Q2725" t="s">
        <v>6826</v>
      </c>
    </row>
    <row r="2726" spans="1:17" ht="15.5" x14ac:dyDescent="0.35">
      <c r="A2726" s="3" t="str">
        <f>HYPERLINK("https://edmondsonsupply.com/collections/electricians-tools/products/klein-tools-32752-double-sided-combo-replacement-bit-2-pack", "https://edmondsonsupply.com/collections/electricians-tools/products/klein-tools-32752-double-sided-combo-replacement-bit-2-pack")</f>
        <v>https://edmondsonsupply.com/collections/electricians-tools/products/klein-tools-32752-double-sided-combo-replacement-bit-2-pack</v>
      </c>
      <c r="B2726" s="3" t="str">
        <f>HYPERLINK("https://edmondsonsupply.com/products/klein-tools-32752-double-sided-combo-replacement-bit-2-pack", "https://edmondsonsupply.com/products/klein-tools-32752-double-sided-combo-replacement-bit-2-pack")</f>
        <v>https://edmondsonsupply.com/products/klein-tools-32752-double-sided-combo-replacement-bit-2-pack</v>
      </c>
      <c r="C2726" t="s">
        <v>2637</v>
      </c>
      <c r="D2726" t="s">
        <v>2637</v>
      </c>
      <c r="E2726" s="3" t="str">
        <f>HYPERLINK("https://www.amazon.com/Double-Replacement-2-Pack-Klein-Tools/dp/B00YJK0P5C/ref=sr_1_1?keywords=Klein+Tools+32752+Double+Sided+Combo+Replacement+Bit%2C+2-Pack&amp;qid=1695173894&amp;sr=8-1", "https://www.amazon.com/Double-Replacement-2-Pack-Klein-Tools/dp/B00YJK0P5C/ref=sr_1_1?keywords=Klein+Tools+32752+Double+Sided+Combo+Replacement+Bit%2C+2-Pack&amp;qid=1695173894&amp;sr=8-1")</f>
        <v>https://www.amazon.com/Double-Replacement-2-Pack-Klein-Tools/dp/B00YJK0P5C/ref=sr_1_1?keywords=Klein+Tools+32752+Double+Sided+Combo+Replacement+Bit%2C+2-Pack&amp;qid=1695173894&amp;sr=8-1</v>
      </c>
      <c r="F2726" t="s">
        <v>2638</v>
      </c>
      <c r="G2726" t="e">
        <f ca="1">_xludf.IMAGE("https://edmondsonsupply.com/cdn/shop/products/32752.jpg?v=1587145617")</f>
        <v>#NAME?</v>
      </c>
      <c r="H2726" t="e">
        <f ca="1">_xludf.IMAGE("https://m.media-amazon.com/images/I/41uttNmIAXL._AC_UL320_.jpg")</f>
        <v>#NAME?</v>
      </c>
      <c r="I2726" t="s">
        <v>2639</v>
      </c>
      <c r="J2726">
        <v>10.95</v>
      </c>
      <c r="K2726" s="4">
        <v>0.82799999999999996</v>
      </c>
      <c r="L2726">
        <v>4.5999999999999996</v>
      </c>
      <c r="M2726">
        <v>1114</v>
      </c>
      <c r="O2726" t="s">
        <v>25</v>
      </c>
      <c r="P2726" t="s">
        <v>2091</v>
      </c>
      <c r="Q2726" t="s">
        <v>2640</v>
      </c>
    </row>
    <row r="2727" spans="1:17" ht="15.5" x14ac:dyDescent="0.35">
      <c r="A2727"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2727"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2727" t="s">
        <v>6827</v>
      </c>
      <c r="D2727" t="s">
        <v>6828</v>
      </c>
      <c r="E2727" s="3" t="str">
        <f>HYPERLINK("https://www.amazon.com/Diablo-SDS-Max-4-Cutter-Carbide-Tipped-Hammer/dp/B089LN938F/ref=sr_1_6?keywords=Diablo+Tools+DMAMX1360+1-1%2F2+in.+x+16+in.+x+21+in.+Rebar+Demon%E2%84%A2+SDS-Max+4-Cutter+Carbide-Tipped+Hammer+Drill+Bit&amp;qid=1695174071&amp;sr=8-6", "https://www.amazon.com/Diablo-SDS-Max-4-Cutter-Carbide-Tipped-Hammer/dp/B089LN938F/ref=sr_1_6?keywords=Diablo+Tools+DMAMX1360+1-1%2F2+in.+x+16+in.+x+21+in.+Rebar+Demon%E2%84%A2+SDS-Max+4-Cutter+Carbide-Tipped+Hammer+Drill+Bit&amp;qid=1695174071&amp;sr=8-6")</f>
        <v>https://www.amazon.com/Diablo-SDS-Max-4-Cutter-Carbide-Tipped-Hammer/dp/B089LN938F/ref=sr_1_6?keywords=Diablo+Tools+DMAMX1360+1-1%2F2+in.+x+16+in.+x+21+in.+Rebar+Demon%E2%84%A2+SDS-Max+4-Cutter+Carbide-Tipped+Hammer+Drill+Bit&amp;qid=1695174071&amp;sr=8-6</v>
      </c>
      <c r="F2727" t="s">
        <v>6829</v>
      </c>
      <c r="G2727" t="e">
        <f ca="1">_xludf.IMAGE("https://edmondsonsupply.com/cdn/shop/products/z2umcsdaj3y4uvsfnxoh.webp?v=1677257156")</f>
        <v>#NAME?</v>
      </c>
      <c r="H2727" t="e">
        <f ca="1">_xludf.IMAGE("https://m.media-amazon.com/images/I/61V0w9ayfFL._AC_UL320_.jpg")</f>
        <v>#NAME?</v>
      </c>
      <c r="I2727" t="s">
        <v>6830</v>
      </c>
      <c r="J2727">
        <v>171.57</v>
      </c>
      <c r="K2727" s="4">
        <v>0.82769999999999999</v>
      </c>
      <c r="L2727">
        <v>5</v>
      </c>
      <c r="M2727">
        <v>2</v>
      </c>
      <c r="O2727" t="s">
        <v>25</v>
      </c>
      <c r="P2727" t="s">
        <v>6831</v>
      </c>
      <c r="Q2727" t="s">
        <v>6832</v>
      </c>
    </row>
    <row r="2728" spans="1:17" ht="15.5" x14ac:dyDescent="0.35">
      <c r="A2728"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728" s="3" t="str">
        <f>HYPERLINK("https://edmondsonsupply.com/products/klein-tools-rt250-gfci-receptacle-tester-with-lcd", "https://edmondsonsupply.com/products/klein-tools-rt250-gfci-receptacle-tester-with-lcd")</f>
        <v>https://edmondsonsupply.com/products/klein-tools-rt250-gfci-receptacle-tester-with-lcd</v>
      </c>
      <c r="C2728" t="s">
        <v>6197</v>
      </c>
      <c r="D2728" t="s">
        <v>6833</v>
      </c>
      <c r="E2728" s="3" t="str">
        <f>HYPERLINK("https://www.amazon.com/Klein-Tools-Non-Contact-Receptacle-Electrical/dp/B09Y7XWBF8/ref=sr_1_10?keywords=Klein+Tools+RT250+GFCI+Receptacle+Tester+with+LCD&amp;qid=1695174176&amp;sr=8-10", "https://www.amazon.com/Klein-Tools-Non-Contact-Receptacle-Electrical/dp/B09Y7XWBF8/ref=sr_1_10?keywords=Klein+Tools+RT250+GFCI+Receptacle+Tester+with+LCD&amp;qid=1695174176&amp;sr=8-10")</f>
        <v>https://www.amazon.com/Klein-Tools-Non-Contact-Receptacle-Electrical/dp/B09Y7XWBF8/ref=sr_1_10?keywords=Klein+Tools+RT250+GFCI+Receptacle+Tester+with+LCD&amp;qid=1695174176&amp;sr=8-10</v>
      </c>
      <c r="F2728" t="s">
        <v>6834</v>
      </c>
      <c r="G2728" t="e">
        <f ca="1">_xludf.IMAGE("https://edmondsonsupply.com/cdn/shop/products/rt250_photo_c.jpg?v=1661363824")</f>
        <v>#NAME?</v>
      </c>
      <c r="H2728" t="e">
        <f ca="1">_xludf.IMAGE("https://m.media-amazon.com/images/I/51LNefsL0aL._AC_UL320_.jpg")</f>
        <v>#NAME?</v>
      </c>
      <c r="I2728" t="s">
        <v>2247</v>
      </c>
      <c r="J2728">
        <v>40.15</v>
      </c>
      <c r="K2728" s="4">
        <v>0.82750000000000001</v>
      </c>
      <c r="L2728">
        <v>3.9</v>
      </c>
      <c r="M2728">
        <v>8</v>
      </c>
      <c r="O2728" t="s">
        <v>25</v>
      </c>
      <c r="P2728" t="s">
        <v>6200</v>
      </c>
      <c r="Q2728" t="s">
        <v>6201</v>
      </c>
    </row>
    <row r="2729" spans="1:17" ht="15.5" x14ac:dyDescent="0.35">
      <c r="A2729"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729" s="3" t="str">
        <f>HYPERLINK("https://edmondsonsupply.com/products/klein-tools-32900-7-in-1-impact-flip-socket-with-handle", "https://edmondsonsupply.com/products/klein-tools-32900-7-in-1-impact-flip-socket-with-handle")</f>
        <v>https://edmondsonsupply.com/products/klein-tools-32900-7-in-1-impact-flip-socket-with-handle</v>
      </c>
      <c r="C2729" t="s">
        <v>6184</v>
      </c>
      <c r="D2729" t="s">
        <v>6835</v>
      </c>
      <c r="E2729" s="3" t="str">
        <f>HYPERLINK("https://www.amazon.com/Klein-Tools-Impact-Adjustable-Screwdriver/dp/B0BGZPZCPF/ref=sr_1_3?keywords=Klein+Tools+32900+7-in-1+Impact+Flip+Socket+with+Handle&amp;qid=1695174143&amp;sr=8-3", "https://www.amazon.com/Klein-Tools-Impact-Adjustable-Screwdriver/dp/B0BGZPZCPF/ref=sr_1_3?keywords=Klein+Tools+32900+7-in-1+Impact+Flip+Socket+with+Handle&amp;qid=1695174143&amp;sr=8-3")</f>
        <v>https://www.amazon.com/Klein-Tools-Impact-Adjustable-Screwdriver/dp/B0BGZPZCPF/ref=sr_1_3?keywords=Klein+Tools+32900+7-in-1+Impact+Flip+Socket+with+Handle&amp;qid=1695174143&amp;sr=8-3</v>
      </c>
      <c r="F2729" t="s">
        <v>6836</v>
      </c>
      <c r="G2729" t="e">
        <f ca="1">_xludf.IMAGE("https://edmondsonsupply.com/cdn/shop/products/32900_b.jpg?v=1666024787")</f>
        <v>#NAME?</v>
      </c>
      <c r="H2729" t="e">
        <f ca="1">_xludf.IMAGE("https://m.media-amazon.com/images/I/417x0MgjU7L._AC_UL320_.jpg")</f>
        <v>#NAME?</v>
      </c>
      <c r="I2729" t="s">
        <v>824</v>
      </c>
      <c r="J2729">
        <v>54.74</v>
      </c>
      <c r="K2729" s="4">
        <v>0.82650000000000001</v>
      </c>
      <c r="L2729">
        <v>4.8</v>
      </c>
      <c r="M2729">
        <v>9</v>
      </c>
      <c r="O2729" t="s">
        <v>25</v>
      </c>
      <c r="P2729" t="s">
        <v>73</v>
      </c>
      <c r="Q2729" t="s">
        <v>6187</v>
      </c>
    </row>
    <row r="2730" spans="1:17" ht="15.5" x14ac:dyDescent="0.35">
      <c r="A2730" s="3" t="str">
        <f>HYPERLINK("https://edmondsonsupply.com/collections/electricians-tools/products/milwaukee-48-22-6625-compact-tape-measure-25ft", "https://edmondsonsupply.com/collections/electricians-tools/products/milwaukee-48-22-6625-compact-tape-measure-25ft")</f>
        <v>https://edmondsonsupply.com/collections/electricians-tools/products/milwaukee-48-22-6625-compact-tape-measure-25ft</v>
      </c>
      <c r="B2730" s="3" t="str">
        <f>HYPERLINK("https://edmondsonsupply.com/products/milwaukee-48-22-6625-compact-tape-measure-25ft", "https://edmondsonsupply.com/products/milwaukee-48-22-6625-compact-tape-measure-25ft")</f>
        <v>https://edmondsonsupply.com/products/milwaukee-48-22-6625-compact-tape-measure-25ft</v>
      </c>
      <c r="C2730" t="s">
        <v>6310</v>
      </c>
      <c r="D2730" t="s">
        <v>6837</v>
      </c>
      <c r="E2730" s="3" t="str">
        <f>HYPERLINK("https://www.amazon.com/Milwaukee-48-22-6625-Compact-Measure-2-Pack/dp/B07KQG1WW2/ref=sr_1_4?keywords=Milwaukee+48-22-6625+Compact+Tape+Measure%2C+25ft&amp;qid=1695174071&amp;sr=8-4", "https://www.amazon.com/Milwaukee-48-22-6625-Compact-Measure-2-Pack/dp/B07KQG1WW2/ref=sr_1_4?keywords=Milwaukee+48-22-6625+Compact+Tape+Measure%2C+25ft&amp;qid=1695174071&amp;sr=8-4")</f>
        <v>https://www.amazon.com/Milwaukee-48-22-6625-Compact-Measure-2-Pack/dp/B07KQG1WW2/ref=sr_1_4?keywords=Milwaukee+48-22-6625+Compact+Tape+Measure%2C+25ft&amp;qid=1695174071&amp;sr=8-4</v>
      </c>
      <c r="F2730" t="s">
        <v>6838</v>
      </c>
      <c r="G2730" t="e">
        <f ca="1">_xludf.IMAGE("https://edmondsonsupply.com/cdn/shop/products/48-22-6625_1.png?v=1675692460")</f>
        <v>#NAME?</v>
      </c>
      <c r="H2730" t="e">
        <f ca="1">_xludf.IMAGE("https://m.media-amazon.com/images/I/51+MaY-77gL._AC_UL320_.jpg")</f>
        <v>#NAME?</v>
      </c>
      <c r="I2730" t="s">
        <v>4985</v>
      </c>
      <c r="J2730">
        <v>30.97</v>
      </c>
      <c r="K2730" s="4">
        <v>0.82499999999999996</v>
      </c>
      <c r="L2730">
        <v>4.2</v>
      </c>
      <c r="M2730">
        <v>48</v>
      </c>
      <c r="O2730" t="s">
        <v>25</v>
      </c>
      <c r="P2730" t="s">
        <v>6313</v>
      </c>
      <c r="Q2730" t="s">
        <v>6314</v>
      </c>
    </row>
    <row r="2731" spans="1:17" ht="15.5" x14ac:dyDescent="0.35">
      <c r="A2731"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2731"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2731" t="s">
        <v>6225</v>
      </c>
      <c r="D2731" t="s">
        <v>3393</v>
      </c>
      <c r="E2731" s="3" t="str">
        <f>HYPERLINK("https://www.amazon.com/Journeyman-T-Handle-Klein-Tools-JTH6M4BE/dp/B005G3951G/ref=sr_1_8?keywords=Klein+Tools+JTH4E09+9%2F64-Inch+Hex+Key+Journeyman+T-Handle+4-Inch&amp;qid=1695174238&amp;sr=8-8", "https://www.amazon.com/Journeyman-T-Handle-Klein-Tools-JTH6M4BE/dp/B005G3951G/ref=sr_1_8?keywords=Klein+Tools+JTH4E09+9%2F64-Inch+Hex+Key+Journeyman+T-Handle+4-Inch&amp;qid=1695174238&amp;sr=8-8")</f>
        <v>https://www.amazon.com/Journeyman-T-Handle-Klein-Tools-JTH6M4BE/dp/B005G3951G/ref=sr_1_8?keywords=Klein+Tools+JTH4E09+9%2F64-Inch+Hex+Key+Journeyman+T-Handle+4-Inch&amp;qid=1695174238&amp;sr=8-8</v>
      </c>
      <c r="F2731" t="s">
        <v>3394</v>
      </c>
      <c r="G2731" t="e">
        <f ca="1">_xludf.IMAGE("https://edmondsonsupply.com/cdn/shop/products/jth4e06_be5118a6-2e9d-44f5-81ad-c027572dd2d3.jpg?v=1635981570")</f>
        <v>#NAME?</v>
      </c>
      <c r="H2731" t="e">
        <f ca="1">_xludf.IMAGE("https://m.media-amazon.com/images/I/51huXA+ij8L._AC_UL320_.jpg")</f>
        <v>#NAME?</v>
      </c>
      <c r="I2731" t="s">
        <v>6228</v>
      </c>
      <c r="J2731">
        <v>6.91</v>
      </c>
      <c r="K2731" s="4">
        <v>0.82320000000000004</v>
      </c>
      <c r="L2731">
        <v>4.8</v>
      </c>
      <c r="M2731">
        <v>988</v>
      </c>
      <c r="O2731" t="s">
        <v>25</v>
      </c>
      <c r="P2731" t="s">
        <v>6229</v>
      </c>
      <c r="Q2731" t="s">
        <v>6230</v>
      </c>
    </row>
    <row r="2732" spans="1:17" ht="15.5" x14ac:dyDescent="0.35">
      <c r="A2732"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2732" s="3" t="str">
        <f>HYPERLINK("https://edmondsonsupply.com/products/diablo-tools-dag1110-7-8-in-x-7-1-2-in-auger-bit", "https://edmondsonsupply.com/products/diablo-tools-dag1110-7-8-in-x-7-1-2-in-auger-bit")</f>
        <v>https://edmondsonsupply.com/products/diablo-tools-dag1110-7-8-in-x-7-1-2-in-auger-bit</v>
      </c>
      <c r="C2732" t="s">
        <v>6839</v>
      </c>
      <c r="D2732" t="s">
        <v>6820</v>
      </c>
      <c r="E2732" s="3" t="str">
        <f>HYPERLINK("https://www.amazon.com/Diablo-17-1-Auger-Bit/dp/B089LG8GYB/ref=sr_1_5?keywords=Diablo+Tools+DAG1110+7%2F8+in.+x+7-1%2F2+in.+Auger+Bit&amp;qid=1695174030&amp;sr=8-5", "https://www.amazon.com/Diablo-17-1-Auger-Bit/dp/B089LG8GYB/ref=sr_1_5?keywords=Diablo+Tools+DAG1110+7%2F8+in.+x+7-1%2F2+in.+Auger+Bit&amp;qid=1695174030&amp;sr=8-5")</f>
        <v>https://www.amazon.com/Diablo-17-1-Auger-Bit/dp/B089LG8GYB/ref=sr_1_5?keywords=Diablo+Tools+DAG1110+7%2F8+in.+x+7-1%2F2+in.+Auger+Bit&amp;qid=1695174030&amp;sr=8-5</v>
      </c>
      <c r="F2732" t="s">
        <v>6821</v>
      </c>
      <c r="G2732" t="e">
        <f ca="1">_xludf.IMAGE("https://edmondsonsupply.com/cdn/shop/products/yel7mbaiyy08ii0assd5.webp?v=1680187136")</f>
        <v>#NAME?</v>
      </c>
      <c r="H2732" t="e">
        <f ca="1">_xludf.IMAGE("https://m.media-amazon.com/images/I/61QXZJGNQTL._AC_UL320_.jpg")</f>
        <v>#NAME?</v>
      </c>
      <c r="I2732" t="s">
        <v>4985</v>
      </c>
      <c r="J2732">
        <v>30.9</v>
      </c>
      <c r="K2732" s="4">
        <v>0.82089999999999996</v>
      </c>
      <c r="L2732">
        <v>4.3</v>
      </c>
      <c r="M2732">
        <v>29</v>
      </c>
      <c r="O2732" t="s">
        <v>25</v>
      </c>
      <c r="P2732" t="s">
        <v>6840</v>
      </c>
      <c r="Q2732" t="s">
        <v>6841</v>
      </c>
    </row>
    <row r="2733" spans="1:17" ht="15.5" x14ac:dyDescent="0.35">
      <c r="A2733" s="3" t="str">
        <f>HYPERLINK("https://edmondsonsupply.com/collections/electricians-tools/products/channellock-432", "https://edmondsonsupply.com/collections/electricians-tools/products/channellock-432")</f>
        <v>https://edmondsonsupply.com/collections/electricians-tools/products/channellock-432</v>
      </c>
      <c r="B2733" s="3" t="str">
        <f>HYPERLINK("https://edmondsonsupply.com/products/channellock-432", "https://edmondsonsupply.com/products/channellock-432")</f>
        <v>https://edmondsonsupply.com/products/channellock-432</v>
      </c>
      <c r="C2733" t="s">
        <v>2472</v>
      </c>
      <c r="D2733" t="s">
        <v>2643</v>
      </c>
      <c r="E2733" s="3" t="str">
        <f>HYPERLINK("https://www.amazon.com/Channellock-Tongue-12-Inch-Straight-Comfort/dp/B0BFXKVMMD/ref=sr_1_4?keywords=Channellock+440+12%22+Straight+Jaw+Tongue+%26+Groove+Pliers&amp;qid=1695173955&amp;sr=8-4", "https://www.amazon.com/Channellock-Tongue-12-Inch-Straight-Comfort/dp/B0BFXKVMMD/ref=sr_1_4?keywords=Channellock+440+12%22+Straight+Jaw+Tongue+%26+Groove+Pliers&amp;qid=1695173955&amp;sr=8-4")</f>
        <v>https://www.amazon.com/Channellock-Tongue-12-Inch-Straight-Comfort/dp/B0BFXKVMMD/ref=sr_1_4?keywords=Channellock+440+12%22+Straight+Jaw+Tongue+%26+Groove+Pliers&amp;qid=1695173955&amp;sr=8-4</v>
      </c>
      <c r="F2733" t="s">
        <v>2644</v>
      </c>
      <c r="G2733" t="e">
        <f ca="1">_xludf.IMAGE("https://edmondsonsupply.com/cdn/shop/products/440-546x1024.jpg?v=1587148892")</f>
        <v>#NAME?</v>
      </c>
      <c r="H2733" t="e">
        <f ca="1">_xludf.IMAGE("https://m.media-amazon.com/images/I/41AZjjLwtIL._AC_UL320_.jpg")</f>
        <v>#NAME?</v>
      </c>
      <c r="I2733" t="s">
        <v>2475</v>
      </c>
      <c r="J2733">
        <v>39.94</v>
      </c>
      <c r="K2733" s="4">
        <v>0.8196</v>
      </c>
      <c r="L2733">
        <v>3</v>
      </c>
      <c r="M2733">
        <v>1</v>
      </c>
      <c r="O2733" t="s">
        <v>25</v>
      </c>
      <c r="P2733" t="s">
        <v>2476</v>
      </c>
      <c r="Q2733" t="s">
        <v>2477</v>
      </c>
    </row>
    <row r="2734" spans="1:17" ht="15.5" x14ac:dyDescent="0.35">
      <c r="A2734"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2734" s="3" t="str">
        <f>HYPERLINK("https://edmondsonsupply.com/products/klein-tools-vdv526-200-lan-scout-%c2%ae-jr-2-cable-tester", "https://edmondsonsupply.com/products/klein-tools-vdv526-200-lan-scout-%c2%ae-jr-2-cable-tester")</f>
        <v>https://edmondsonsupply.com/products/klein-tools-vdv526-200-lan-scout-%c2%ae-jr-2-cable-tester</v>
      </c>
      <c r="C2734" t="s">
        <v>6500</v>
      </c>
      <c r="D2734" t="s">
        <v>6605</v>
      </c>
      <c r="E2734" s="3" t="str">
        <f>HYPERLINK("https://www.amazon.com/Klein-Tools-VDV526-200-Replaceable-Non-Metallic/dp/B09Y84486X/ref=sr_1_3?keywords=Klein+Tools+VDV526-200+LAN+Scout+%C2%AE+Jr.+2+Cable+Tester&amp;qid=1695174153&amp;sr=8-3", "https://www.amazon.com/Klein-Tools-VDV526-200-Replaceable-Non-Metallic/dp/B09Y84486X/ref=sr_1_3?keywords=Klein+Tools+VDV526-200+LAN+Scout+%C2%AE+Jr.+2+Cable+Tester&amp;qid=1695174153&amp;sr=8-3")</f>
        <v>https://www.amazon.com/Klein-Tools-VDV526-200-Replaceable-Non-Metallic/dp/B09Y84486X/ref=sr_1_3?keywords=Klein+Tools+VDV526-200+LAN+Scout+%C2%AE+Jr.+2+Cable+Tester&amp;qid=1695174153&amp;sr=8-3</v>
      </c>
      <c r="F2734" t="s">
        <v>6606</v>
      </c>
      <c r="G2734" t="e">
        <f ca="1">_xludf.IMAGE("https://edmondsonsupply.com/cdn/shop/products/vdv526200.jpg?v=1663689949")</f>
        <v>#NAME?</v>
      </c>
      <c r="H2734" t="e">
        <f ca="1">_xludf.IMAGE("https://m.media-amazon.com/images/I/51l43d13j-L._AC_UY218_.jpg")</f>
        <v>#NAME?</v>
      </c>
      <c r="I2734" t="s">
        <v>3359</v>
      </c>
      <c r="J2734">
        <v>99.96</v>
      </c>
      <c r="K2734" s="4">
        <v>0.81840000000000002</v>
      </c>
      <c r="L2734">
        <v>4.8</v>
      </c>
      <c r="M2734">
        <v>12</v>
      </c>
      <c r="O2734" t="s">
        <v>25</v>
      </c>
      <c r="P2734" t="s">
        <v>6503</v>
      </c>
      <c r="Q2734" t="s">
        <v>6504</v>
      </c>
    </row>
    <row r="2735" spans="1:17" ht="15.5" x14ac:dyDescent="0.35">
      <c r="A2735"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2735" s="3" t="str">
        <f>HYPERLINK("https://edmondsonsupply.com/products/klein-tools-31940-bi-metal-hole-saw-2-1-2-inch", "https://edmondsonsupply.com/products/klein-tools-31940-bi-metal-hole-saw-2-1-2-inch")</f>
        <v>https://edmondsonsupply.com/products/klein-tools-31940-bi-metal-hole-saw-2-1-2-inch</v>
      </c>
      <c r="C2735" t="s">
        <v>6842</v>
      </c>
      <c r="D2735" t="s">
        <v>6843</v>
      </c>
      <c r="E2735" s="3" t="str">
        <f>HYPERLINK("https://www.amazon.com/LENOX-Tools-Bi-Metal-Arbored-Technology/dp/B004YK5DHW/ref=sr_1_3?keywords=Klein+Tools+31940+Bi-Metal+Hole+Saw%2C+2-1%2F2-Inch&amp;qid=1695174215&amp;sr=8-3", "https://www.amazon.com/LENOX-Tools-Bi-Metal-Arbored-Technology/dp/B004YK5DHW/ref=sr_1_3?keywords=Klein+Tools+31940+Bi-Metal+Hole+Saw%2C+2-1%2F2-Inch&amp;qid=1695174215&amp;sr=8-3")</f>
        <v>https://www.amazon.com/LENOX-Tools-Bi-Metal-Arbored-Technology/dp/B004YK5DHW/ref=sr_1_3?keywords=Klein+Tools+31940+Bi-Metal+Hole+Saw%2C+2-1%2F2-Inch&amp;qid=1695174215&amp;sr=8-3</v>
      </c>
      <c r="F2735" t="s">
        <v>6844</v>
      </c>
      <c r="G2735" t="e">
        <f ca="1">_xludf.IMAGE("https://edmondsonsupply.com/cdn/shop/products/31940.jpg?v=1649380086")</f>
        <v>#NAME?</v>
      </c>
      <c r="H2735" t="e">
        <f ca="1">_xludf.IMAGE("https://m.media-amazon.com/images/I/71OOVEuCxtL._AC_UL320_.jpg")</f>
        <v>#NAME?</v>
      </c>
      <c r="I2735" t="s">
        <v>288</v>
      </c>
      <c r="J2735">
        <v>25.44</v>
      </c>
      <c r="K2735" s="4">
        <v>0.81840000000000002</v>
      </c>
      <c r="L2735">
        <v>4.7</v>
      </c>
      <c r="M2735">
        <v>517</v>
      </c>
      <c r="O2735" t="s">
        <v>25</v>
      </c>
      <c r="P2735" t="s">
        <v>6845</v>
      </c>
      <c r="Q2735" t="s">
        <v>6846</v>
      </c>
    </row>
    <row r="2736" spans="1:17" ht="15.5" x14ac:dyDescent="0.35">
      <c r="A2736" s="3" t="str">
        <f>HYPERLINK("https://edmondsonsupply.com/collections/electricians-tools/products/malco-tools-mshlc1-2-5-8-c-rhex-cleanable-reversible-magnetic-hex-driver-5-16-3-8", "https://edmondsonsupply.com/collections/electricians-tools/products/malco-tools-mshlc1-2-5-8-c-rhex-cleanable-reversible-magnetic-hex-driver-5-16-3-8")</f>
        <v>https://edmondsonsupply.com/collections/electricians-tools/products/malco-tools-mshlc1-2-5-8-c-rhex-cleanable-reversible-magnetic-hex-driver-5-16-3-8</v>
      </c>
      <c r="B2736" s="3" t="str">
        <f>HYPERLINK("https://edmondsonsupply.com/products/malco-tools-mshlc1-2-5-8-c-rhex-cleanable-reversible-magnetic-hex-driver-5-16-3-8", "https://edmondsonsupply.com/products/malco-tools-mshlc1-2-5-8-c-rhex-cleanable-reversible-magnetic-hex-driver-5-16-3-8")</f>
        <v>https://edmondsonsupply.com/products/malco-tools-mshlc1-2-5-8-c-rhex-cleanable-reversible-magnetic-hex-driver-5-16-3-8</v>
      </c>
      <c r="C2736" t="s">
        <v>2649</v>
      </c>
      <c r="D2736" t="s">
        <v>2650</v>
      </c>
      <c r="E2736" s="3" t="str">
        <f>HYPERLINK("https://www.amazon.com/C-RHEX-Cleanable-Reversible-Magnetic-Driver/dp/B09RPKFRDN/ref=sr_1_10?keywords=Malco+Tools+MSHLC1+2-5%2F8%22+C-Rhex+Cleanable%2C+Reversible+Magnetic+Hex+Driver%2C+5%2F16%22+%26+3%2F8%22&amp;qid=1695173902&amp;sr=8-10", "https://www.amazon.com/C-RHEX-Cleanable-Reversible-Magnetic-Driver/dp/B09RPKFRDN/ref=sr_1_10?keywords=Malco+Tools+MSHLC1+2-5%2F8%22+C-Rhex+Cleanable%2C+Reversible+Magnetic+Hex+Driver%2C+5%2F16%22+%26+3%2F8%22&amp;qid=1695173902&amp;sr=8-10")</f>
        <v>https://www.amazon.com/C-RHEX-Cleanable-Reversible-Magnetic-Driver/dp/B09RPKFRDN/ref=sr_1_10?keywords=Malco+Tools+MSHLC1+2-5%2F8%22+C-Rhex+Cleanable%2C+Reversible+Magnetic+Hex+Driver%2C+5%2F16%22+%26+3%2F8%22&amp;qid=1695173902&amp;sr=8-10</v>
      </c>
      <c r="F2736" t="s">
        <v>2651</v>
      </c>
      <c r="G2736" t="e">
        <f ca="1">_xludf.IMAGE("https://edmondsonsupply.com/cdn/shop/products/Malco-MSHLC1-516-38-1.jpg?v=1647198201")</f>
        <v>#NAME?</v>
      </c>
      <c r="H2736" t="e">
        <f ca="1">_xludf.IMAGE("https://m.media-amazon.com/images/I/31qo9UYAsJL._AC_UL320_.jpg")</f>
        <v>#NAME?</v>
      </c>
      <c r="I2736" t="s">
        <v>924</v>
      </c>
      <c r="J2736">
        <v>16.25</v>
      </c>
      <c r="K2736" s="4">
        <v>0.80759999999999998</v>
      </c>
      <c r="L2736">
        <v>5</v>
      </c>
      <c r="M2736">
        <v>1</v>
      </c>
      <c r="O2736" t="s">
        <v>25</v>
      </c>
      <c r="P2736" t="s">
        <v>2609</v>
      </c>
      <c r="Q2736" t="s">
        <v>2652</v>
      </c>
    </row>
    <row r="2737" spans="1:17" ht="15.5" x14ac:dyDescent="0.35">
      <c r="A2737"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2737" s="3" t="str">
        <f>HYPERLINK("https://edmondsonsupply.com/products/klein-tools-32307-27-in-1-multi-bit-tamperproof-screwdriver", "https://edmondsonsupply.com/products/klein-tools-32307-27-in-1-multi-bit-tamperproof-screwdriver")</f>
        <v>https://edmondsonsupply.com/products/klein-tools-32307-27-in-1-multi-bit-tamperproof-screwdriver</v>
      </c>
      <c r="C2737" t="s">
        <v>6847</v>
      </c>
      <c r="D2737" t="s">
        <v>6848</v>
      </c>
      <c r="E2737" s="3" t="str">
        <f>HYPERLINK("https://www.amazon.com/Klein-Tools-Ratcheting-Screwdriver-Tamperproof/dp/B09Y7PBFQ1/ref=sr_1_6?keywords=Klein+Tools+32307+27-in-1+Multi-Bit+Tamperproof+Screwdriver&amp;qid=1695174232&amp;sr=8-6", "https://www.amazon.com/Klein-Tools-Ratcheting-Screwdriver-Tamperproof/dp/B09Y7PBFQ1/ref=sr_1_6?keywords=Klein+Tools+32307+27-in-1+Multi-Bit+Tamperproof+Screwdriver&amp;qid=1695174232&amp;sr=8-6")</f>
        <v>https://www.amazon.com/Klein-Tools-Ratcheting-Screwdriver-Tamperproof/dp/B09Y7PBFQ1/ref=sr_1_6?keywords=Klein+Tools+32307+27-in-1+Multi-Bit+Tamperproof+Screwdriver&amp;qid=1695174232&amp;sr=8-6</v>
      </c>
      <c r="F2737" t="s">
        <v>6849</v>
      </c>
      <c r="G2737" t="e">
        <f ca="1">_xludf.IMAGE("https://edmondsonsupply.com/cdn/shop/products/32307.jpg?v=1647347524")</f>
        <v>#NAME?</v>
      </c>
      <c r="H2737" t="e">
        <f ca="1">_xludf.IMAGE("https://m.media-amazon.com/images/I/41T6TsQqpLL._AC_UL320_.jpg")</f>
        <v>#NAME?</v>
      </c>
      <c r="I2737" t="s">
        <v>911</v>
      </c>
      <c r="J2737">
        <v>46.94</v>
      </c>
      <c r="K2737" s="4">
        <v>0.8075</v>
      </c>
      <c r="L2737">
        <v>4.7</v>
      </c>
      <c r="M2737">
        <v>22</v>
      </c>
      <c r="O2737" t="s">
        <v>25</v>
      </c>
      <c r="P2737" t="s">
        <v>6850</v>
      </c>
      <c r="Q2737" t="s">
        <v>6851</v>
      </c>
    </row>
    <row r="2738" spans="1:17" ht="15.5" x14ac:dyDescent="0.35">
      <c r="A2738"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2738"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2738" t="s">
        <v>2659</v>
      </c>
      <c r="D2738" t="s">
        <v>2660</v>
      </c>
      <c r="E2738" s="3" t="str">
        <f>HYPERLINK("https://www.amazon.com/Klein-Tools-Ratchet-5-Piece-Phillips/dp/B0CF2CH27G/ref=sr_1_2?keywords=Klein+Tools+70550+Pro+Folding+Hex+Key+Set%2C+11-Key%2C+SAE+Sizes&amp;qid=1695173950&amp;sr=8-2", "https://www.amazon.com/Klein-Tools-Ratchet-5-Piece-Phillips/dp/B0CF2CH27G/ref=sr_1_2?keywords=Klein+Tools+70550+Pro+Folding+Hex+Key+Set%2C+11-Key%2C+SAE+Sizes&amp;qid=1695173950&amp;sr=8-2")</f>
        <v>https://www.amazon.com/Klein-Tools-Ratchet-5-Piece-Phillips/dp/B0CF2CH27G/ref=sr_1_2?keywords=Klein+Tools+70550+Pro+Folding+Hex+Key+Set%2C+11-Key%2C+SAE+Sizes&amp;qid=1695173950&amp;sr=8-2</v>
      </c>
      <c r="F2738" t="s">
        <v>2661</v>
      </c>
      <c r="G2738" t="e">
        <f ca="1">_xludf.IMAGE("https://edmondsonsupply.com/cdn/shop/products/70550.jpg?v=1587145237")</f>
        <v>#NAME?</v>
      </c>
      <c r="H2738" t="e">
        <f ca="1">_xludf.IMAGE("https://m.media-amazon.com/images/I/51I-40ka6EL._AC_UL320_.jpg")</f>
        <v>#NAME?</v>
      </c>
      <c r="I2738" t="s">
        <v>893</v>
      </c>
      <c r="J2738">
        <v>35.93</v>
      </c>
      <c r="K2738" s="4">
        <v>0.79920000000000002</v>
      </c>
      <c r="L2738">
        <v>4.7</v>
      </c>
      <c r="M2738">
        <v>3970</v>
      </c>
      <c r="O2738" t="s">
        <v>25</v>
      </c>
      <c r="P2738" t="s">
        <v>2662</v>
      </c>
      <c r="Q2738" t="s">
        <v>2663</v>
      </c>
    </row>
    <row r="2739" spans="1:17" ht="15.5" x14ac:dyDescent="0.35">
      <c r="A2739"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2739"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2739" t="s">
        <v>6852</v>
      </c>
      <c r="D2739" t="s">
        <v>6853</v>
      </c>
      <c r="E2739" s="3" t="str">
        <f>HYPERLINK("https://www.amazon.com/Klein-Tools-Rechargeable-Flashlight-Floodlight/dp/B0BXKC43LR/ref=sr_1_4?keywords=Klein+Tools+56413+Rechargeable+2-Color+LED+Flashlight+with+Holster&amp;qid=1695174149&amp;sr=8-4", "https://www.amazon.com/Klein-Tools-Rechargeable-Flashlight-Floodlight/dp/B0BXKC43LR/ref=sr_1_4?keywords=Klein+Tools+56413+Rechargeable+2-Color+LED+Flashlight+with+Holster&amp;qid=1695174149&amp;sr=8-4")</f>
        <v>https://www.amazon.com/Klein-Tools-Rechargeable-Flashlight-Floodlight/dp/B0BXKC43LR/ref=sr_1_4?keywords=Klein+Tools+56413+Rechargeable+2-Color+LED+Flashlight+with+Holster&amp;qid=1695174149&amp;sr=8-4</v>
      </c>
      <c r="F2739" t="s">
        <v>6854</v>
      </c>
      <c r="G2739" t="e">
        <f ca="1">_xludf.IMAGE("https://edmondsonsupply.com/cdn/shop/products/56413.jpg?v=1663954210")</f>
        <v>#NAME?</v>
      </c>
      <c r="H2739" t="e">
        <f ca="1">_xludf.IMAGE("https://m.media-amazon.com/images/I/51VA0R00+KL._AC_UL320_.jpg")</f>
        <v>#NAME?</v>
      </c>
      <c r="I2739" t="s">
        <v>380</v>
      </c>
      <c r="J2739">
        <v>89.63</v>
      </c>
      <c r="K2739" s="4">
        <v>0.79369999999999996</v>
      </c>
      <c r="L2739">
        <v>5</v>
      </c>
      <c r="M2739">
        <v>1</v>
      </c>
      <c r="O2739" t="s">
        <v>25</v>
      </c>
      <c r="P2739" t="s">
        <v>6855</v>
      </c>
      <c r="Q2739" t="s">
        <v>6856</v>
      </c>
    </row>
    <row r="2740" spans="1:17" ht="15.5" x14ac:dyDescent="0.35">
      <c r="A2740"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2740"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2740" t="s">
        <v>2115</v>
      </c>
      <c r="D2740" t="s">
        <v>2674</v>
      </c>
      <c r="E2740" s="3" t="str">
        <f>HYPERLINK("https://www.amazon.com/Adjustable-Screwdriver-Drivers-Klein-Tools/dp/B09Y84RPSB/ref=sr_1_4?keywords=Klein+Tools+32304+14-in-1+HVAC+Adjustable-Length+Impact+Screwdriver+with+Flip+Socket&amp;qid=1695173856&amp;sr=8-4", "https://www.amazon.com/Adjustable-Screwdriver-Drivers-Klein-Tools/dp/B09Y84RPSB/ref=sr_1_4?keywords=Klein+Tools+32304+14-in-1+HVAC+Adjustable-Length+Impact+Screwdriver+with+Flip+Socket&amp;qid=1695173856&amp;sr=8-4")</f>
        <v>https://www.amazon.com/Adjustable-Screwdriver-Drivers-Klein-Tools/dp/B09Y84RPSB/ref=sr_1_4?keywords=Klein+Tools+32304+14-in-1+HVAC+Adjustable-Length+Impact+Screwdriver+with+Flip+Socket&amp;qid=1695173856&amp;sr=8-4</v>
      </c>
      <c r="F2740" t="s">
        <v>2675</v>
      </c>
      <c r="G2740" t="e">
        <f ca="1">_xludf.IMAGE("https://edmondsonsupply.com/cdn/shop/products/32304.jpg?v=1666019479")</f>
        <v>#NAME?</v>
      </c>
      <c r="H2740" t="e">
        <f ca="1">_xludf.IMAGE("https://m.media-amazon.com/images/I/41KTNungRUL._AC_UL320_.jpg")</f>
        <v>#NAME?</v>
      </c>
      <c r="I2740" t="s">
        <v>859</v>
      </c>
      <c r="J2740">
        <v>44.76</v>
      </c>
      <c r="K2740" s="4">
        <v>0.79259999999999997</v>
      </c>
      <c r="L2740">
        <v>4.8</v>
      </c>
      <c r="M2740">
        <v>88</v>
      </c>
      <c r="O2740" t="s">
        <v>25</v>
      </c>
      <c r="P2740" t="s">
        <v>602</v>
      </c>
      <c r="Q2740" t="s">
        <v>2118</v>
      </c>
    </row>
    <row r="2741" spans="1:17" ht="15.5" x14ac:dyDescent="0.35">
      <c r="A2741"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2741"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2741" t="s">
        <v>6059</v>
      </c>
      <c r="D2741" t="s">
        <v>6857</v>
      </c>
      <c r="E2741" s="3" t="str">
        <f>HYPERLINK("https://www.amazon.com/Komelon-7425-MagGrip-25-FootMeasuring-Magnetic/dp/B0000DD5GR/ref=sr_1_3?keywords=Komelon+7325+25%27+X+1%22+MagGrip%E2%84%A2+SpeedMark%E2%84%A2%2C+Magnetic+Tape+Measure&amp;qid=1695174274&amp;sr=8-3", "https://www.amazon.com/Komelon-7425-MagGrip-25-FootMeasuring-Magnetic/dp/B0000DD5GR/ref=sr_1_3?keywords=Komelon+7325+25%27+X+1%22+MagGrip%E2%84%A2+SpeedMark%E2%84%A2%2C+Magnetic+Tape+Measure&amp;qid=1695174274&amp;sr=8-3")</f>
        <v>https://www.amazon.com/Komelon-7425-MagGrip-25-FootMeasuring-Magnetic/dp/B0000DD5GR/ref=sr_1_3?keywords=Komelon+7325+25%27+X+1%22+MagGrip%E2%84%A2+SpeedMark%E2%84%A2%2C+Magnetic+Tape+Measure&amp;qid=1695174274&amp;sr=8-3</v>
      </c>
      <c r="F2741" t="s">
        <v>6858</v>
      </c>
      <c r="G2741" t="e">
        <f ca="1">_xludf.IMAGE("https://edmondsonsupply.com/cdn/shop/products/7325_angleExtended.jpg?v=1633030981")</f>
        <v>#NAME?</v>
      </c>
      <c r="H2741" t="e">
        <f ca="1">_xludf.IMAGE("https://m.media-amazon.com/images/I/71-NeT37yWL._AC_UL320_.jpg")</f>
        <v>#NAME?</v>
      </c>
      <c r="I2741" t="s">
        <v>288</v>
      </c>
      <c r="J2741">
        <v>25.03</v>
      </c>
      <c r="K2741" s="4">
        <v>0.78910000000000002</v>
      </c>
      <c r="L2741">
        <v>4.5</v>
      </c>
      <c r="M2741">
        <v>124</v>
      </c>
      <c r="O2741" t="s">
        <v>25</v>
      </c>
      <c r="P2741" t="s">
        <v>138</v>
      </c>
      <c r="Q2741" t="s">
        <v>6062</v>
      </c>
    </row>
    <row r="2742" spans="1:17" ht="15.5" x14ac:dyDescent="0.35">
      <c r="A2742"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2742" s="3" t="str">
        <f>HYPERLINK("https://edmondsonsupply.com/products/gorilla-glue-107450-original-gorilla-glue-20z-bottle", "https://edmondsonsupply.com/products/gorilla-glue-107450-original-gorilla-glue-20z-bottle")</f>
        <v>https://edmondsonsupply.com/products/gorilla-glue-107450-original-gorilla-glue-20z-bottle</v>
      </c>
      <c r="C2742" t="s">
        <v>6030</v>
      </c>
      <c r="D2742" t="s">
        <v>6859</v>
      </c>
      <c r="E2742" s="3" t="str">
        <f>HYPERLINK("https://www.amazon.com/Gorilla-Original-Waterproof-Polyurethane-Bottle/dp/B0000223UV/ref=sr_1_2?keywords=Gorilla+Glue+107450+Original+Gorilla+Glue%2C+2oz.+bottle&amp;qid=1695174069&amp;sr=8-2", "https://www.amazon.com/Gorilla-Original-Waterproof-Polyurethane-Bottle/dp/B0000223UV/ref=sr_1_2?keywords=Gorilla+Glue+107450+Original+Gorilla+Glue%2C+2oz.+bottle&amp;qid=1695174069&amp;sr=8-2")</f>
        <v>https://www.amazon.com/Gorilla-Original-Waterproof-Polyurethane-Bottle/dp/B0000223UV/ref=sr_1_2?keywords=Gorilla+Glue+107450+Original+Gorilla+Glue%2C+2oz.+bottle&amp;qid=1695174069&amp;sr=8-2</v>
      </c>
      <c r="F2742" t="s">
        <v>6860</v>
      </c>
      <c r="G2742" t="e">
        <f ca="1">_xludf.IMAGE("https://edmondsonsupply.com/cdn/shop/products/original_gorilla_glue_white_bg_v2-450x450-c-default.webp?v=1678801122")</f>
        <v>#NAME?</v>
      </c>
      <c r="H2742" t="e">
        <f ca="1">_xludf.IMAGE("https://m.media-amazon.com/images/I/71wBq4K7xML._AC_UY218_.jpg")</f>
        <v>#NAME?</v>
      </c>
      <c r="I2742" t="s">
        <v>6033</v>
      </c>
      <c r="J2742">
        <v>12.48</v>
      </c>
      <c r="K2742" s="4">
        <v>0.78800000000000003</v>
      </c>
      <c r="L2742">
        <v>4.5999999999999996</v>
      </c>
      <c r="M2742">
        <v>10646</v>
      </c>
      <c r="O2742" t="s">
        <v>25</v>
      </c>
      <c r="P2742" t="s">
        <v>138</v>
      </c>
      <c r="Q2742" t="s">
        <v>6034</v>
      </c>
    </row>
    <row r="2743" spans="1:17" ht="15.5" x14ac:dyDescent="0.35">
      <c r="A2743"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2743"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2743" t="s">
        <v>6861</v>
      </c>
      <c r="D2743" t="s">
        <v>6862</v>
      </c>
      <c r="E2743" s="3" t="str">
        <f>HYPERLINK("https://www.amazon.com/Klein-Tools-Auto-Ranging-Resistance-Continuity/dp/B0BNL6NFV7/ref=sr_1_4?keywords=Klein+Tools+CL220+Digital+Clamp+Meter%2C+AC+Auto-Ranging+400+Amp+with+Temp&amp;qid=1695174305&amp;sr=8-4", "https://www.amazon.com/Klein-Tools-Auto-Ranging-Resistance-Continuity/dp/B0BNL6NFV7/ref=sr_1_4?keywords=Klein+Tools+CL220+Digital+Clamp+Meter%2C+AC+Auto-Ranging+400+Amp+with+Temp&amp;qid=1695174305&amp;sr=8-4")</f>
        <v>https://www.amazon.com/Klein-Tools-Auto-Ranging-Resistance-Continuity/dp/B0BNL6NFV7/ref=sr_1_4?keywords=Klein+Tools+CL220+Digital+Clamp+Meter%2C+AC+Auto-Ranging+400+Amp+with+Temp&amp;qid=1695174305&amp;sr=8-4</v>
      </c>
      <c r="F2743" t="s">
        <v>6863</v>
      </c>
      <c r="G2743" t="e">
        <f ca="1">_xludf.IMAGE("https://edmondsonsupply.com/cdn/shop/products/cl220.jpg?v=1633030821")</f>
        <v>#NAME?</v>
      </c>
      <c r="H2743" t="e">
        <f ca="1">_xludf.IMAGE("https://m.media-amazon.com/images/I/51F5hkzephL._AC_UY218_.jpg")</f>
        <v>#NAME?</v>
      </c>
      <c r="I2743" t="s">
        <v>356</v>
      </c>
      <c r="J2743">
        <v>124.96</v>
      </c>
      <c r="K2743" s="4">
        <v>0.78590000000000004</v>
      </c>
      <c r="L2743">
        <v>5</v>
      </c>
      <c r="M2743">
        <v>1</v>
      </c>
      <c r="O2743" t="s">
        <v>25</v>
      </c>
      <c r="P2743" t="s">
        <v>6864</v>
      </c>
      <c r="Q2743" t="s">
        <v>6865</v>
      </c>
    </row>
    <row r="2744" spans="1:17" ht="15.5" x14ac:dyDescent="0.35">
      <c r="A2744"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2744"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2744" t="s">
        <v>6231</v>
      </c>
      <c r="D2744" t="s">
        <v>2698</v>
      </c>
      <c r="E2744" s="3" t="str">
        <f>HYPERLINK("https://www.amazon.com/Non-Contact-Receptacle-Klein-Tools-RT250KIT/dp/B08YDFQ2FV/ref=sr_1_3?keywords=Klein+Tools+NCVT1PKIT+Non-Contact+Voltage+and+GFCI+Receptacle+Test+Kit&amp;qid=1695174067&amp;sr=8-3", "https://www.amazon.com/Non-Contact-Receptacle-Klein-Tools-RT250KIT/dp/B08YDFQ2FV/ref=sr_1_3?keywords=Klein+Tools+NCVT1PKIT+Non-Contact+Voltage+and+GFCI+Receptacle+Test+Kit&amp;qid=1695174067&amp;sr=8-3")</f>
        <v>https://www.amazon.com/Non-Contact-Receptacle-Klein-Tools-RT250KIT/dp/B08YDFQ2FV/ref=sr_1_3?keywords=Klein+Tools+NCVT1PKIT+Non-Contact+Voltage+and+GFCI+Receptacle+Test+Kit&amp;qid=1695174067&amp;sr=8-3</v>
      </c>
      <c r="F2744" t="s">
        <v>2699</v>
      </c>
      <c r="G2744" t="e">
        <f ca="1">_xludf.IMAGE("https://edmondsonsupply.com/cdn/shop/products/ncvt1pkit.jpg?v=1677682920")</f>
        <v>#NAME?</v>
      </c>
      <c r="H2744" t="e">
        <f ca="1">_xludf.IMAGE("https://m.media-amazon.com/images/I/61WaBlkJfxL._AC_UL320_.jpg")</f>
        <v>#NAME?</v>
      </c>
      <c r="I2744" t="s">
        <v>859</v>
      </c>
      <c r="J2744">
        <v>44.54</v>
      </c>
      <c r="K2744" s="4">
        <v>0.78369999999999995</v>
      </c>
      <c r="L2744">
        <v>4.8</v>
      </c>
      <c r="M2744">
        <v>1269</v>
      </c>
      <c r="O2744" t="s">
        <v>25</v>
      </c>
      <c r="P2744" t="s">
        <v>6234</v>
      </c>
      <c r="Q2744" t="s">
        <v>6235</v>
      </c>
    </row>
    <row r="2745" spans="1:17" ht="15.5" x14ac:dyDescent="0.35">
      <c r="A2745"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2745"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2745" t="s">
        <v>2155</v>
      </c>
      <c r="D2745" t="s">
        <v>2698</v>
      </c>
      <c r="E2745" s="3" t="str">
        <f>HYPERLINK("https://www.amazon.com/Non-Contact-Receptacle-Klein-Tools-RT250KIT/dp/B08YDFQ2FV/ref=sr_1_2?keywords=Klein+Tools+NCVT1XTKIT+Non-Contact+Voltage+and+GFCI+Receptacle+Premium+Test+Kit&amp;qid=1695173872&amp;sr=8-2", "https://www.amazon.com/Non-Contact-Receptacle-Klein-Tools-RT250KIT/dp/B08YDFQ2FV/ref=sr_1_2?keywords=Klein+Tools+NCVT1XTKIT+Non-Contact+Voltage+and+GFCI+Receptacle+Premium+Test+Kit&amp;qid=1695173872&amp;sr=8-2")</f>
        <v>https://www.amazon.com/Non-Contact-Receptacle-Klein-Tools-RT250KIT/dp/B08YDFQ2FV/ref=sr_1_2?keywords=Klein+Tools+NCVT1XTKIT+Non-Contact+Voltage+and+GFCI+Receptacle+Premium+Test+Kit&amp;qid=1695173872&amp;sr=8-2</v>
      </c>
      <c r="F2745" t="s">
        <v>2699</v>
      </c>
      <c r="G2745" t="e">
        <f ca="1">_xludf.IMAGE("https://edmondsonsupply.com/cdn/shop/products/ncvt1xtkit.jpg?v=1674497102")</f>
        <v>#NAME?</v>
      </c>
      <c r="H2745" t="e">
        <f ca="1">_xludf.IMAGE("https://m.media-amazon.com/images/I/61WaBlkJfxL._AC_UL320_.jpg")</f>
        <v>#NAME?</v>
      </c>
      <c r="I2745" t="s">
        <v>471</v>
      </c>
      <c r="J2745">
        <v>44.54</v>
      </c>
      <c r="K2745" s="4">
        <v>0.7823</v>
      </c>
      <c r="L2745">
        <v>4.8</v>
      </c>
      <c r="M2745">
        <v>1269</v>
      </c>
      <c r="O2745" t="s">
        <v>25</v>
      </c>
      <c r="P2745" t="s">
        <v>2158</v>
      </c>
      <c r="Q2745" t="s">
        <v>2159</v>
      </c>
    </row>
    <row r="2746" spans="1:17" ht="15.5" x14ac:dyDescent="0.35">
      <c r="A2746" s="3" t="str">
        <f>HYPERLINK("https://edmondsonsupply.com/collections/electricians-tools/products/klein-tools-60159-standard-safety-glasses-clear-lens", "https://edmondsonsupply.com/collections/electricians-tools/products/klein-tools-60159-standard-safety-glasses-clear-lens")</f>
        <v>https://edmondsonsupply.com/collections/electricians-tools/products/klein-tools-60159-standard-safety-glasses-clear-lens</v>
      </c>
      <c r="B2746" s="3" t="str">
        <f>HYPERLINK("https://edmondsonsupply.com/products/klein-tools-60159-standard-safety-glasses-clear-lens", "https://edmondsonsupply.com/products/klein-tools-60159-standard-safety-glasses-clear-lens")</f>
        <v>https://edmondsonsupply.com/products/klein-tools-60159-standard-safety-glasses-clear-lens</v>
      </c>
      <c r="C2746" t="s">
        <v>921</v>
      </c>
      <c r="D2746" t="s">
        <v>922</v>
      </c>
      <c r="E2746" s="3" t="str">
        <f>HYPERLINK("https://www.amazon.com/Klein-60161-Professional-Protective-Resistant/dp/B08B496F57/ref=sr_1_4?keywords=Klein+Tools+60159+Standard+Safety+Glasses%2C+Clear+Lens&amp;qid=1695174312&amp;sr=8-4", "https://www.amazon.com/Klein-60161-Professional-Protective-Resistant/dp/B08B496F57/ref=sr_1_4?keywords=Klein+Tools+60159+Standard+Safety+Glasses%2C+Clear+Lens&amp;qid=1695174312&amp;sr=8-4")</f>
        <v>https://www.amazon.com/Klein-60161-Professional-Protective-Resistant/dp/B08B496F57/ref=sr_1_4?keywords=Klein+Tools+60159+Standard+Safety+Glasses%2C+Clear+Lens&amp;qid=1695174312&amp;sr=8-4</v>
      </c>
      <c r="F2746" t="s">
        <v>923</v>
      </c>
      <c r="G2746" t="e">
        <f ca="1">_xludf.IMAGE("https://edmondsonsupply.com/cdn/shop/products/60159.jpg?v=1633030842")</f>
        <v>#NAME?</v>
      </c>
      <c r="H2746" t="e">
        <f ca="1">_xludf.IMAGE("https://m.media-amazon.com/images/I/515pVZPvJ0L._AC_UL320_.jpg")</f>
        <v>#NAME?</v>
      </c>
      <c r="I2746" t="s">
        <v>924</v>
      </c>
      <c r="J2746">
        <v>15.99</v>
      </c>
      <c r="K2746" s="4">
        <v>0.77859999999999996</v>
      </c>
      <c r="L2746">
        <v>4.4000000000000004</v>
      </c>
      <c r="M2746">
        <v>374</v>
      </c>
      <c r="O2746" t="s">
        <v>25</v>
      </c>
      <c r="P2746" t="s">
        <v>925</v>
      </c>
      <c r="Q2746" t="s">
        <v>926</v>
      </c>
    </row>
    <row r="2747" spans="1:17" ht="15.5" x14ac:dyDescent="0.35">
      <c r="A2747" s="3" t="str">
        <f>HYPERLINK("https://edmondsonsupply.com/collections/electricians-tools/products/klein-tools-60159-standard-safety-glasses-clear-lens", "https://edmondsonsupply.com/collections/electricians-tools/products/klein-tools-60159-standard-safety-glasses-clear-lens")</f>
        <v>https://edmondsonsupply.com/collections/electricians-tools/products/klein-tools-60159-standard-safety-glasses-clear-lens</v>
      </c>
      <c r="B2747" s="3" t="str">
        <f>HYPERLINK("https://edmondsonsupply.com/products/klein-tools-60159-standard-safety-glasses-clear-lens", "https://edmondsonsupply.com/products/klein-tools-60159-standard-safety-glasses-clear-lens")</f>
        <v>https://edmondsonsupply.com/products/klein-tools-60159-standard-safety-glasses-clear-lens</v>
      </c>
      <c r="C2747" t="s">
        <v>921</v>
      </c>
      <c r="D2747" t="s">
        <v>927</v>
      </c>
      <c r="E2747" s="3" t="str">
        <f>HYPERLINK("https://www.amazon.com/Klein-60470-Protection-Anti-Fog-Resistant/dp/B0B69KPRPF/ref=sr_1_2?keywords=Klein+Tools+60159+Standard+Safety+Glasses%2C+Clear+Lens&amp;qid=1695174312&amp;sr=8-2", "https://www.amazon.com/Klein-60470-Protection-Anti-Fog-Resistant/dp/B0B69KPRPF/ref=sr_1_2?keywords=Klein+Tools+60159+Standard+Safety+Glasses%2C+Clear+Lens&amp;qid=1695174312&amp;sr=8-2")</f>
        <v>https://www.amazon.com/Klein-60470-Protection-Anti-Fog-Resistant/dp/B0B69KPRPF/ref=sr_1_2?keywords=Klein+Tools+60159+Standard+Safety+Glasses%2C+Clear+Lens&amp;qid=1695174312&amp;sr=8-2</v>
      </c>
      <c r="F2747" t="s">
        <v>928</v>
      </c>
      <c r="G2747" t="e">
        <f ca="1">_xludf.IMAGE("https://edmondsonsupply.com/cdn/shop/products/60159.jpg?v=1633030842")</f>
        <v>#NAME?</v>
      </c>
      <c r="H2747" t="e">
        <f ca="1">_xludf.IMAGE("https://m.media-amazon.com/images/I/51TkfiRMYgL._AC_UL320_.jpg")</f>
        <v>#NAME?</v>
      </c>
      <c r="I2747" t="s">
        <v>924</v>
      </c>
      <c r="J2747">
        <v>15.99</v>
      </c>
      <c r="K2747" s="4">
        <v>0.77859999999999996</v>
      </c>
      <c r="L2747">
        <v>4</v>
      </c>
      <c r="M2747">
        <v>29</v>
      </c>
      <c r="O2747" t="s">
        <v>25</v>
      </c>
      <c r="P2747" t="s">
        <v>925</v>
      </c>
      <c r="Q2747" t="s">
        <v>926</v>
      </c>
    </row>
    <row r="2748" spans="1:17" ht="15.5" x14ac:dyDescent="0.35">
      <c r="A2748" s="3" t="str">
        <f>HYPERLINK("https://edmondsonsupply.com/collections/electricians-tools/products/klein-tools-60160-standard-safety-glasses-gray-lens", "https://edmondsonsupply.com/collections/electricians-tools/products/klein-tools-60160-standard-safety-glasses-gray-lens")</f>
        <v>https://edmondsonsupply.com/collections/electricians-tools/products/klein-tools-60160-standard-safety-glasses-gray-lens</v>
      </c>
      <c r="B2748" s="3" t="str">
        <f>HYPERLINK("https://edmondsonsupply.com/products/klein-tools-60160-standard-safety-glasses-gray-lens", "https://edmondsonsupply.com/products/klein-tools-60160-standard-safety-glasses-gray-lens")</f>
        <v>https://edmondsonsupply.com/products/klein-tools-60160-standard-safety-glasses-gray-lens</v>
      </c>
      <c r="C2748" t="s">
        <v>929</v>
      </c>
      <c r="D2748" t="s">
        <v>930</v>
      </c>
      <c r="E2748" s="3" t="str">
        <f>HYPERLINK("https://www.amazon.com/Klein-60471-Protection-Anti-Fog-Resistant/dp/B0B69LNT2Y/ref=sr_1_5?keywords=Klein+Tools+60160+Standard+Safety+Glasses%2C+Gray+Lens&amp;qid=1695174305&amp;sr=8-5", "https://www.amazon.com/Klein-60471-Protection-Anti-Fog-Resistant/dp/B0B69LNT2Y/ref=sr_1_5?keywords=Klein+Tools+60160+Standard+Safety+Glasses%2C+Gray+Lens&amp;qid=1695174305&amp;sr=8-5")</f>
        <v>https://www.amazon.com/Klein-60471-Protection-Anti-Fog-Resistant/dp/B0B69LNT2Y/ref=sr_1_5?keywords=Klein+Tools+60160+Standard+Safety+Glasses%2C+Gray+Lens&amp;qid=1695174305&amp;sr=8-5</v>
      </c>
      <c r="F2748" t="s">
        <v>931</v>
      </c>
      <c r="G2748" t="e">
        <f ca="1">_xludf.IMAGE("https://edmondsonsupply.com/cdn/shop/products/60160.jpg?v=1633030843")</f>
        <v>#NAME?</v>
      </c>
      <c r="H2748" t="e">
        <f ca="1">_xludf.IMAGE("https://m.media-amazon.com/images/I/51z-a2tdJlL._AC_UL320_.jpg")</f>
        <v>#NAME?</v>
      </c>
      <c r="I2748" t="s">
        <v>924</v>
      </c>
      <c r="J2748">
        <v>15.99</v>
      </c>
      <c r="K2748" s="4">
        <v>0.77859999999999996</v>
      </c>
      <c r="L2748">
        <v>4.3</v>
      </c>
      <c r="M2748">
        <v>56</v>
      </c>
      <c r="O2748" t="s">
        <v>25</v>
      </c>
      <c r="P2748" t="s">
        <v>925</v>
      </c>
      <c r="Q2748" t="s">
        <v>932</v>
      </c>
    </row>
    <row r="2749" spans="1:17" ht="15.5" x14ac:dyDescent="0.35">
      <c r="A2749" s="3" t="str">
        <f>HYPERLINK("https://edmondsonsupply.com/collections/electricians-tools/products/klein-tools-31905-hole-saw-arbor-with-adapter-3-8-inch", "https://edmondsonsupply.com/collections/electricians-tools/products/klein-tools-31905-hole-saw-arbor-with-adapter-3-8-inch")</f>
        <v>https://edmondsonsupply.com/collections/electricians-tools/products/klein-tools-31905-hole-saw-arbor-with-adapter-3-8-inch</v>
      </c>
      <c r="B2749" s="3" t="str">
        <f>HYPERLINK("https://edmondsonsupply.com/products/klein-tools-31905-hole-saw-arbor-with-adapter-3-8-inch", "https://edmondsonsupply.com/products/klein-tools-31905-hole-saw-arbor-with-adapter-3-8-inch")</f>
        <v>https://edmondsonsupply.com/products/klein-tools-31905-hole-saw-arbor-with-adapter-3-8-inch</v>
      </c>
      <c r="C2749" t="s">
        <v>6866</v>
      </c>
      <c r="D2749" t="s">
        <v>6792</v>
      </c>
      <c r="E2749" s="3" t="str">
        <f>HYPERLINK("https://www.amazon.com/Arbor-16-Inch-Klein-Tools-31906/dp/B0198751UO/ref=sr_1_2?keywords=Klein+Tools+31905+Hole+Saw+Arbor+with+Adapter%2C+3%2F8-Inch&amp;qid=1695174150&amp;sr=8-2", "https://www.amazon.com/Arbor-16-Inch-Klein-Tools-31906/dp/B0198751UO/ref=sr_1_2?keywords=Klein+Tools+31905+Hole+Saw+Arbor+with+Adapter%2C+3%2F8-Inch&amp;qid=1695174150&amp;sr=8-2")</f>
        <v>https://www.amazon.com/Arbor-16-Inch-Klein-Tools-31906/dp/B0198751UO/ref=sr_1_2?keywords=Klein+Tools+31905+Hole+Saw+Arbor+with+Adapter%2C+3%2F8-Inch&amp;qid=1695174150&amp;sr=8-2</v>
      </c>
      <c r="F2749" t="s">
        <v>6867</v>
      </c>
      <c r="G2749" t="e">
        <f ca="1">_xludf.IMAGE("https://edmondsonsupply.com/cdn/shop/products/31905.jpg?v=1665602746")</f>
        <v>#NAME?</v>
      </c>
      <c r="H2749" t="e">
        <f ca="1">_xludf.IMAGE("https://m.media-amazon.com/images/I/51WjO5DQ0bL._AC_UL320_.jpg")</f>
        <v>#NAME?</v>
      </c>
      <c r="I2749" t="s">
        <v>924</v>
      </c>
      <c r="J2749">
        <v>15.99</v>
      </c>
      <c r="K2749" s="4">
        <v>0.77859999999999996</v>
      </c>
      <c r="L2749">
        <v>4.5</v>
      </c>
      <c r="M2749">
        <v>233</v>
      </c>
      <c r="O2749" t="s">
        <v>25</v>
      </c>
      <c r="P2749" t="s">
        <v>6868</v>
      </c>
      <c r="Q2749" t="s">
        <v>6869</v>
      </c>
    </row>
    <row r="2750" spans="1:17" ht="15.5" x14ac:dyDescent="0.35">
      <c r="A2750"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2750"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2750" t="s">
        <v>6870</v>
      </c>
      <c r="D2750" t="s">
        <v>2345</v>
      </c>
      <c r="E2750" s="3" t="str">
        <f>HYPERLINK("https://www.amazon.com/Klein-Tools-JTH6M3BE-Journeyman-T-Handle/dp/B0CGLYY7WP/ref=sr_1_2?keywords=Klein+Tools+JTH6E14BE+5%2F16-Inch+Ball+End+Hex+Key+with+T-Handle%2C+6-Inch&amp;qid=1695174246&amp;sr=8-2", "https://www.amazon.com/Klein-Tools-JTH6M3BE-Journeyman-T-Handle/dp/B0CGLYY7WP/ref=sr_1_2?keywords=Klein+Tools+JTH6E14BE+5%2F16-Inch+Ball+End+Hex+Key+with+T-Handle%2C+6-Inch&amp;qid=1695174246&amp;sr=8-2")</f>
        <v>https://www.amazon.com/Klein-Tools-JTH6M3BE-Journeyman-T-Handle/dp/B0CGLYY7WP/ref=sr_1_2?keywords=Klein+Tools+JTH6E14BE+5%2F16-Inch+Ball+End+Hex+Key+with+T-Handle%2C+6-Inch&amp;qid=1695174246&amp;sr=8-2</v>
      </c>
      <c r="F2750" t="s">
        <v>2346</v>
      </c>
      <c r="G2750" t="e">
        <f ca="1">_xludf.IMAGE("https://edmondsonsupply.com/cdn/shop/products/jth6e13be_0da4cca6-ce15-419c-bc75-cd610bd9637f.jpg?v=1629825198")</f>
        <v>#NAME?</v>
      </c>
      <c r="H2750" t="e">
        <f ca="1">_xludf.IMAGE("https://m.media-amazon.com/images/I/413sTNFMd7L._AC_UL320_.jpg")</f>
        <v>#NAME?</v>
      </c>
      <c r="I2750" t="s">
        <v>6394</v>
      </c>
      <c r="J2750">
        <v>15.1</v>
      </c>
      <c r="K2750" s="4">
        <v>0.77859999999999996</v>
      </c>
      <c r="L2750">
        <v>4.5999999999999996</v>
      </c>
      <c r="M2750">
        <v>184</v>
      </c>
      <c r="O2750" t="s">
        <v>25</v>
      </c>
      <c r="P2750" t="s">
        <v>6871</v>
      </c>
      <c r="Q2750" t="s">
        <v>6872</v>
      </c>
    </row>
    <row r="2751" spans="1:17" ht="15.5" x14ac:dyDescent="0.35">
      <c r="A2751" s="3" t="str">
        <f>HYPERLINK("https://edmondsonsupply.com/collections/electricians-tools/products/klein-tools-jth68mb-6-inch-metric-ball-end-t-handle-set-8-piece", "https://edmondsonsupply.com/collections/electricians-tools/products/klein-tools-jth68mb-6-inch-metric-ball-end-t-handle-set-8-piece")</f>
        <v>https://edmondsonsupply.com/collections/electricians-tools/products/klein-tools-jth68mb-6-inch-metric-ball-end-t-handle-set-8-piece</v>
      </c>
      <c r="B2751" s="3" t="str">
        <f>HYPERLINK("https://edmondsonsupply.com/products/klein-tools-jth68mb-6-inch-metric-ball-end-t-handle-set-8-piece", "https://edmondsonsupply.com/products/klein-tools-jth68mb-6-inch-metric-ball-end-t-handle-set-8-piece")</f>
        <v>https://edmondsonsupply.com/products/klein-tools-jth68mb-6-inch-metric-ball-end-t-handle-set-8-piece</v>
      </c>
      <c r="C2751" t="s">
        <v>6873</v>
      </c>
      <c r="D2751" t="s">
        <v>2299</v>
      </c>
      <c r="E2751" s="3" t="str">
        <f>HYPERLINK("https://www.amazon.com/T-Handle-8-Piece-Klein-Tools-JTH68MB/dp/B004DB8GSK/ref=sr_1_1?keywords=Klein+Tools+JTH68MB+Hex+Kit+Set%2C+Metric%2C+Ball+End+T-Handle%2C+6-Inch+with+Stand%2C+8-Piece&amp;qid=1695173917&amp;sr=8-1", "https://www.amazon.com/T-Handle-8-Piece-Klein-Tools-JTH68MB/dp/B004DB8GSK/ref=sr_1_1?keywords=Klein+Tools+JTH68MB+Hex+Kit+Set%2C+Metric%2C+Ball+End+T-Handle%2C+6-Inch+with+Stand%2C+8-Piece&amp;qid=1695173917&amp;sr=8-1")</f>
        <v>https://www.amazon.com/T-Handle-8-Piece-Klein-Tools-JTH68MB/dp/B004DB8GSK/ref=sr_1_1?keywords=Klein+Tools+JTH68MB+Hex+Kit+Set%2C+Metric%2C+Ball+End+T-Handle%2C+6-Inch+with+Stand%2C+8-Piece&amp;qid=1695173917&amp;sr=8-1</v>
      </c>
      <c r="F2751" t="s">
        <v>2300</v>
      </c>
      <c r="G2751" t="e">
        <f ca="1">_xludf.IMAGE("https://edmondsonsupply.com/cdn/shop/products/jth68mb.jpg?v=1587142826")</f>
        <v>#NAME?</v>
      </c>
      <c r="H2751" t="e">
        <f ca="1">_xludf.IMAGE("https://m.media-amazon.com/images/I/61XP-1Qh3UL._AC_UL320_.jpg")</f>
        <v>#NAME?</v>
      </c>
      <c r="I2751" t="s">
        <v>1931</v>
      </c>
      <c r="J2751">
        <v>88.87</v>
      </c>
      <c r="K2751" s="4">
        <v>0.77780000000000005</v>
      </c>
      <c r="L2751">
        <v>4.5999999999999996</v>
      </c>
      <c r="M2751">
        <v>426</v>
      </c>
      <c r="O2751" t="s">
        <v>25</v>
      </c>
      <c r="P2751" t="s">
        <v>4509</v>
      </c>
      <c r="Q2751" t="s">
        <v>6874</v>
      </c>
    </row>
    <row r="2752" spans="1:17" ht="15.5" x14ac:dyDescent="0.35">
      <c r="A2752" s="3" t="str">
        <f>HYPERLINK("https://edmondsonsupply.com/collections/electricians-tools/products/klein-tools-56220-led-headlamp-flashlight-with-strap-for-hard-hat", "https://edmondsonsupply.com/collections/electricians-tools/products/klein-tools-56220-led-headlamp-flashlight-with-strap-for-hard-hat")</f>
        <v>https://edmondsonsupply.com/collections/electricians-tools/products/klein-tools-56220-led-headlamp-flashlight-with-strap-for-hard-hat</v>
      </c>
      <c r="B2752"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2752" t="s">
        <v>933</v>
      </c>
      <c r="D2752" t="s">
        <v>934</v>
      </c>
      <c r="E2752" s="3" t="str">
        <f>HYPERLINK("https://www.amazon.com/Klein-Tools-Rechargeable-Auto-Off-Headlamp/dp/B09Z932C3Z/ref=sr_1_8?keywords=Klein+Tools+56220+LED+Headlamp+with+Silicone+Hard+Hat+Strap&amp;qid=1695173937&amp;sr=8-8", "https://www.amazon.com/Klein-Tools-Rechargeable-Auto-Off-Headlamp/dp/B09Z932C3Z/ref=sr_1_8?keywords=Klein+Tools+56220+LED+Headlamp+with+Silicone+Hard+Hat+Strap&amp;qid=1695173937&amp;sr=8-8")</f>
        <v>https://www.amazon.com/Klein-Tools-Rechargeable-Auto-Off-Headlamp/dp/B09Z932C3Z/ref=sr_1_8?keywords=Klein+Tools+56220+LED+Headlamp+with+Silicone+Hard+Hat+Strap&amp;qid=1695173937&amp;sr=8-8</v>
      </c>
      <c r="F2752" t="s">
        <v>935</v>
      </c>
      <c r="G2752" t="e">
        <f ca="1">_xludf.IMAGE("https://edmondsonsupply.com/cdn/shop/files/56220_874194e8-71d5-41d8-a579-6dec47b3f455.jpg?v=1687356671")</f>
        <v>#NAME?</v>
      </c>
      <c r="H2752" t="e">
        <f ca="1">_xludf.IMAGE("https://m.media-amazon.com/images/I/51-nHtYlwEL._AC_UL320_.jpg")</f>
        <v>#NAME?</v>
      </c>
      <c r="I2752" t="s">
        <v>936</v>
      </c>
      <c r="J2752">
        <v>47.94</v>
      </c>
      <c r="K2752" s="4">
        <v>0.77749999999999997</v>
      </c>
      <c r="L2752">
        <v>5</v>
      </c>
      <c r="M2752">
        <v>1</v>
      </c>
      <c r="O2752" t="s">
        <v>25</v>
      </c>
      <c r="P2752" t="s">
        <v>937</v>
      </c>
      <c r="Q2752" t="s">
        <v>938</v>
      </c>
    </row>
    <row r="2753" spans="1:17" ht="15.5" x14ac:dyDescent="0.35">
      <c r="A2753"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2753" s="3" t="str">
        <f>HYPERLINK("https://edmondsonsupply.com/products/klein-tools-vdv500-123-probe-pro-tracing-probe", "https://edmondsonsupply.com/products/klein-tools-vdv500-123-probe-pro-tracing-probe")</f>
        <v>https://edmondsonsupply.com/products/klein-tools-vdv500-123-probe-pro-tracing-probe</v>
      </c>
      <c r="C2753" t="s">
        <v>6065</v>
      </c>
      <c r="D2753" t="s">
        <v>6875</v>
      </c>
      <c r="E2753" s="3" t="str">
        <f>HYPERLINK("https://www.amazon.com/Klein-Tools-Tone-Probe-PRO/dp/B07VYN98QV/ref=sr_1_10?keywords=Klein+Tools+VDV500-123+Probe-PRO+Tracing+Probe&amp;qid=1695173898&amp;sr=8-10", "https://www.amazon.com/Klein-Tools-Tone-Probe-PRO/dp/B07VYN98QV/ref=sr_1_10?keywords=Klein+Tools+VDV500-123+Probe-PRO+Tracing+Probe&amp;qid=1695173898&amp;sr=8-10")</f>
        <v>https://www.amazon.com/Klein-Tools-Tone-Probe-PRO/dp/B07VYN98QV/ref=sr_1_10?keywords=Klein+Tools+VDV500-123+Probe-PRO+Tracing+Probe&amp;qid=1695173898&amp;sr=8-10</v>
      </c>
      <c r="F2753" t="s">
        <v>6876</v>
      </c>
      <c r="G2753" t="e">
        <f ca="1">_xludf.IMAGE("https://edmondsonsupply.com/cdn/shop/products/vdv500123.jpg?v=1587142783")</f>
        <v>#NAME?</v>
      </c>
      <c r="H2753" t="e">
        <f ca="1">_xludf.IMAGE("https://m.media-amazon.com/images/I/612EgCjy2xL._AC_UY218_.jpg")</f>
        <v>#NAME?</v>
      </c>
      <c r="I2753" t="s">
        <v>946</v>
      </c>
      <c r="J2753">
        <v>79.97</v>
      </c>
      <c r="K2753" s="4">
        <v>0.77749999999999997</v>
      </c>
      <c r="L2753">
        <v>4.7</v>
      </c>
      <c r="M2753">
        <v>3617</v>
      </c>
      <c r="O2753" t="s">
        <v>25</v>
      </c>
      <c r="P2753" t="s">
        <v>6068</v>
      </c>
      <c r="Q2753" t="s">
        <v>6069</v>
      </c>
    </row>
    <row r="2754" spans="1:17" ht="15.5" x14ac:dyDescent="0.35">
      <c r="A2754"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2754" s="3" t="str">
        <f>HYPERLINK("https://edmondsonsupply.com/products/klein-tools-32305-15-in-1-multi-bit-ratcheting-screwdriver", "https://edmondsonsupply.com/products/klein-tools-32305-15-in-1-multi-bit-ratcheting-screwdriver")</f>
        <v>https://edmondsonsupply.com/products/klein-tools-32305-15-in-1-multi-bit-ratcheting-screwdriver</v>
      </c>
      <c r="C2754" t="s">
        <v>6262</v>
      </c>
      <c r="D2754" t="s">
        <v>6877</v>
      </c>
      <c r="E2754" s="3" t="str">
        <f>HYPERLINK("https://www.amazon.com/Klein-Tools-Multi-bit-Screwdriver-Ratcheting/dp/B0B56L1H2R/ref=sr_1_2?keywords=Klein+Tools+32305+15-in-1+Multi-Bit+Ratcheting+Screwdriver&amp;qid=1695174215&amp;sr=8-2", "https://www.amazon.com/Klein-Tools-Multi-bit-Screwdriver-Ratcheting/dp/B0B56L1H2R/ref=sr_1_2?keywords=Klein+Tools+32305+15-in-1+Multi-Bit+Ratcheting+Screwdriver&amp;qid=1695174215&amp;sr=8-2")</f>
        <v>https://www.amazon.com/Klein-Tools-Multi-bit-Screwdriver-Ratcheting/dp/B0B56L1H2R/ref=sr_1_2?keywords=Klein+Tools+32305+15-in-1+Multi-Bit+Ratcheting+Screwdriver&amp;qid=1695174215&amp;sr=8-2</v>
      </c>
      <c r="F2754" t="s">
        <v>6878</v>
      </c>
      <c r="G2754" t="e">
        <f ca="1">_xludf.IMAGE("https://edmondsonsupply.com/cdn/shop/products/32305.jpg?v=1646965475")</f>
        <v>#NAME?</v>
      </c>
      <c r="H2754" t="e">
        <f ca="1">_xludf.IMAGE("https://m.media-amazon.com/images/I/51Y3KYHxHyL._AC_UL320_.jpg")</f>
        <v>#NAME?</v>
      </c>
      <c r="I2754" t="s">
        <v>2247</v>
      </c>
      <c r="J2754">
        <v>38.94</v>
      </c>
      <c r="K2754" s="4">
        <v>0.77239999999999998</v>
      </c>
      <c r="L2754">
        <v>4.7</v>
      </c>
      <c r="M2754">
        <v>127</v>
      </c>
      <c r="O2754" t="s">
        <v>25</v>
      </c>
      <c r="P2754" t="s">
        <v>6200</v>
      </c>
      <c r="Q2754" t="s">
        <v>6265</v>
      </c>
    </row>
    <row r="2755" spans="1:17" ht="15.5" x14ac:dyDescent="0.35">
      <c r="A2755"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2755" s="3" t="str">
        <f>HYPERLINK("https://edmondsonsupply.com/products/diablo-tools-d0824x-8-1-4-in-x-24-tooth-framing-saw-blade", "https://edmondsonsupply.com/products/diablo-tools-d0824x-8-1-4-in-x-24-tooth-framing-saw-blade")</f>
        <v>https://edmondsonsupply.com/products/diablo-tools-d0824x-8-1-4-in-x-24-tooth-framing-saw-blade</v>
      </c>
      <c r="C2755" t="s">
        <v>6161</v>
      </c>
      <c r="D2755" t="s">
        <v>6879</v>
      </c>
      <c r="E2755" s="3" t="str">
        <f>HYPERLINK("https://www.amazon.com/Diablo-D0824X-Circular-Framing-Blade/dp/B01JED7NYY/ref=sr_1_8?keywords=Diablo+Tools+D0824X+8-1%2F4+in.+x+24+Tooth+Framing+Saw+Blade&amp;qid=1695174053&amp;sr=8-8", "https://www.amazon.com/Diablo-D0824X-Circular-Framing-Blade/dp/B01JED7NYY/ref=sr_1_8?keywords=Diablo+Tools+D0824X+8-1%2F4+in.+x+24+Tooth+Framing+Saw+Blade&amp;qid=1695174053&amp;sr=8-8")</f>
        <v>https://www.amazon.com/Diablo-D0824X-Circular-Framing-Blade/dp/B01JED7NYY/ref=sr_1_8?keywords=Diablo+Tools+D0824X+8-1%2F4+in.+x+24+Tooth+Framing+Saw+Blade&amp;qid=1695174053&amp;sr=8-8</v>
      </c>
      <c r="F2755" t="s">
        <v>6880</v>
      </c>
      <c r="G2755" t="e">
        <f ca="1">_xludf.IMAGE("https://edmondsonsupply.com/cdn/shop/products/waqxzlwfclzed6nt6ziy.webp?v=1678979454")</f>
        <v>#NAME?</v>
      </c>
      <c r="H2755" t="e">
        <f ca="1">_xludf.IMAGE("https://m.media-amazon.com/images/I/51ls-l0pZ8L._AC_UL320_.jpg")</f>
        <v>#NAME?</v>
      </c>
      <c r="I2755" t="s">
        <v>6164</v>
      </c>
      <c r="J2755">
        <v>33.619999999999997</v>
      </c>
      <c r="K2755" s="4">
        <v>0.77229999999999999</v>
      </c>
      <c r="L2755">
        <v>3</v>
      </c>
      <c r="M2755">
        <v>2</v>
      </c>
      <c r="O2755" t="s">
        <v>25</v>
      </c>
      <c r="P2755" t="s">
        <v>6165</v>
      </c>
      <c r="Q2755" t="s">
        <v>6166</v>
      </c>
    </row>
    <row r="2756" spans="1:17" ht="15.5" x14ac:dyDescent="0.35">
      <c r="A2756" s="3" t="str">
        <f>HYPERLINK("https://edmondsonsupply.com/collections/electricians-tools/products/klein-tools-vdv770-126-carrying-case-for-scout%C2%AE-pro-3-tester-and-locator-remotes", "https://edmondsonsupply.com/collections/electricians-tools/products/klein-tools-vdv770-126-carrying-case-for-scout%C2%AE-pro-3-tester-and-locator-remotes")</f>
        <v>https://edmondsonsupply.com/collections/electricians-tools/products/klein-tools-vdv770-126-carrying-case-for-scout%C2%AE-pro-3-tester-and-locator-remotes</v>
      </c>
      <c r="B2756" s="3" t="str">
        <f>HYPERLINK("https://edmondsonsupply.com/products/klein-tools-vdv770-126-carrying-case-for-scout%c2%ae-pro-3-tester-and-locator-remotes", "https://edmondsonsupply.com/products/klein-tools-vdv770-126-carrying-case-for-scout%c2%ae-pro-3-tester-and-locator-remotes")</f>
        <v>https://edmondsonsupply.com/products/klein-tools-vdv770-126-carrying-case-for-scout%c2%ae-pro-3-tester-and-locator-remotes</v>
      </c>
      <c r="C2756" t="s">
        <v>6279</v>
      </c>
      <c r="D2756" t="s">
        <v>6881</v>
      </c>
      <c r="E2756" s="3" t="str">
        <f>HYPERLINK("https://www.amazon.com/Klein-Tools-VDV770-125-Replacement-Carrying/dp/B08C4LJTX8/ref=sr_1_3?keywords=Klein+Tools+VDV770-126+Carrying+Case+for+Scout%C2%AE+Pro+3+Tester+and+Locator+Remotes&amp;qid=1695174229&amp;sr=8-3", "https://www.amazon.com/Klein-Tools-VDV770-125-Replacement-Carrying/dp/B08C4LJTX8/ref=sr_1_3?keywords=Klein+Tools+VDV770-126+Carrying+Case+for+Scout%C2%AE+Pro+3+Tester+and+Locator+Remotes&amp;qid=1695174229&amp;sr=8-3")</f>
        <v>https://www.amazon.com/Klein-Tools-VDV770-125-Replacement-Carrying/dp/B08C4LJTX8/ref=sr_1_3?keywords=Klein+Tools+VDV770-126+Carrying+Case+for+Scout%C2%AE+Pro+3+Tester+and+Locator+Remotes&amp;qid=1695174229&amp;sr=8-3</v>
      </c>
      <c r="F2756" t="s">
        <v>6882</v>
      </c>
      <c r="G2756" t="e">
        <f ca="1">_xludf.IMAGE("https://edmondsonsupply.com/cdn/shop/products/vdv770126.jpg?v=1646011163")</f>
        <v>#NAME?</v>
      </c>
      <c r="H2756" t="e">
        <f ca="1">_xludf.IMAGE("https://m.media-amazon.com/images/I/713iEVC-N0L._AC_UL320_.jpg")</f>
        <v>#NAME?</v>
      </c>
      <c r="I2756" t="s">
        <v>6282</v>
      </c>
      <c r="J2756">
        <v>57.49</v>
      </c>
      <c r="K2756" s="4">
        <v>0.76949999999999996</v>
      </c>
      <c r="L2756">
        <v>4.8</v>
      </c>
      <c r="M2756">
        <v>44</v>
      </c>
      <c r="O2756" t="s">
        <v>25</v>
      </c>
      <c r="P2756" t="s">
        <v>6283</v>
      </c>
      <c r="Q2756" t="s">
        <v>6284</v>
      </c>
    </row>
    <row r="2757" spans="1:17" ht="15.5" x14ac:dyDescent="0.35">
      <c r="A2757" s="3" t="str">
        <f>HYPERLINK("https://edmondsonsupply.com/collections/electricians-tools/products/channellock-428", "https://edmondsonsupply.com/collections/electricians-tools/products/channellock-428")</f>
        <v>https://edmondsonsupply.com/collections/electricians-tools/products/channellock-428</v>
      </c>
      <c r="B2757" s="3" t="str">
        <f>HYPERLINK("https://edmondsonsupply.com/products/channellock-428", "https://edmondsonsupply.com/products/channellock-428")</f>
        <v>https://edmondsonsupply.com/products/channellock-428</v>
      </c>
      <c r="C2757" t="s">
        <v>1791</v>
      </c>
      <c r="D2757" t="s">
        <v>6883</v>
      </c>
      <c r="E2757" s="3" t="str">
        <f>HYPERLINK("https://www.amazon.com/Channellock-GS-1-2-Inch-Tongue-Groove/dp/B00011V0GG/ref=sr_1_9?keywords=Channellock+428+8-Inch+Straight+Jaw+Tongue+%26+Groove+Pliers&amp;qid=1695173963&amp;sr=8-9", "https://www.amazon.com/Channellock-GS-1-2-Inch-Tongue-Groove/dp/B00011V0GG/ref=sr_1_9?keywords=Channellock+428+8-Inch+Straight+Jaw+Tongue+%26+Groove+Pliers&amp;qid=1695173963&amp;sr=8-9")</f>
        <v>https://www.amazon.com/Channellock-GS-1-2-Inch-Tongue-Groove/dp/B00011V0GG/ref=sr_1_9?keywords=Channellock+428+8-Inch+Straight+Jaw+Tongue+%26+Groove+Pliers&amp;qid=1695173963&amp;sr=8-9</v>
      </c>
      <c r="F2757" t="s">
        <v>6884</v>
      </c>
      <c r="G2757" t="e">
        <f ca="1">_xludf.IMAGE("https://edmondsonsupply.com/cdn/shop/products/428-683x1024.jpg?v=1587145854")</f>
        <v>#NAME?</v>
      </c>
      <c r="H2757" t="e">
        <f ca="1">_xludf.IMAGE("https://m.media-amazon.com/images/I/71s6rp1zXLL._AC_UL320_.jpg")</f>
        <v>#NAME?</v>
      </c>
      <c r="I2757" t="s">
        <v>1554</v>
      </c>
      <c r="J2757">
        <v>29.95</v>
      </c>
      <c r="K2757" s="4">
        <v>0.76700000000000002</v>
      </c>
      <c r="L2757">
        <v>4.8</v>
      </c>
      <c r="M2757">
        <v>5487</v>
      </c>
      <c r="O2757" t="s">
        <v>25</v>
      </c>
      <c r="P2757" t="s">
        <v>1794</v>
      </c>
      <c r="Q2757" t="s">
        <v>1795</v>
      </c>
    </row>
    <row r="2758" spans="1:17" ht="15.5" x14ac:dyDescent="0.35">
      <c r="A2758"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2758"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2758" t="s">
        <v>6393</v>
      </c>
      <c r="D2758" t="s">
        <v>6885</v>
      </c>
      <c r="E2758" s="3" t="str">
        <f>HYPERLINK("https://www.amazon.com/Klein-Tools-32581INS-Precision-Screwdriver/dp/B0C1QDNC55/ref=sr_1_2?keywords=Klein+Tools+614-2+1%2F16-Inch+Slotted+Electronics+Screwdriver%2C+2-Inch&amp;qid=1695174229&amp;sr=8-2", "https://www.amazon.com/Klein-Tools-32581INS-Precision-Screwdriver/dp/B0C1QDNC55/ref=sr_1_2?keywords=Klein+Tools+614-2+1%2F16-Inch+Slotted+Electronics+Screwdriver%2C+2-Inch&amp;qid=1695174229&amp;sr=8-2")</f>
        <v>https://www.amazon.com/Klein-Tools-32581INS-Precision-Screwdriver/dp/B0C1QDNC55/ref=sr_1_2?keywords=Klein+Tools+614-2+1%2F16-Inch+Slotted+Electronics+Screwdriver%2C+2-Inch&amp;qid=1695174229&amp;sr=8-2</v>
      </c>
      <c r="F2758" t="s">
        <v>6886</v>
      </c>
      <c r="G2758" t="e">
        <f ca="1">_xludf.IMAGE("https://edmondsonsupply.com/cdn/shop/products/614-2.jpg?v=1637284311")</f>
        <v>#NAME?</v>
      </c>
      <c r="H2758" t="e">
        <f ca="1">_xludf.IMAGE("https://m.media-amazon.com/images/I/41yD1dTTQ8L._AC_UL320_.jpg")</f>
        <v>#NAME?</v>
      </c>
      <c r="I2758" t="s">
        <v>6394</v>
      </c>
      <c r="J2758">
        <v>14.97</v>
      </c>
      <c r="K2758" s="4">
        <v>0.76329999999999998</v>
      </c>
      <c r="L2758">
        <v>4.7</v>
      </c>
      <c r="M2758">
        <v>90</v>
      </c>
      <c r="O2758" t="s">
        <v>25</v>
      </c>
      <c r="P2758" t="s">
        <v>6395</v>
      </c>
      <c r="Q2758" t="s">
        <v>6396</v>
      </c>
    </row>
    <row r="2759" spans="1:17" ht="15.5" x14ac:dyDescent="0.35">
      <c r="A2759"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2759"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2759" t="s">
        <v>6393</v>
      </c>
      <c r="D2759" t="s">
        <v>6887</v>
      </c>
      <c r="E2759" s="3" t="str">
        <f>HYPERLINK("https://www.amazon.com/Klein-Tools-32614-Screwdriver-Electronics/dp/B07PNC5MPB/ref=sr_1_7?keywords=Klein+Tools+614-2+1%2F16-Inch+Slotted+Electronics+Screwdriver%2C+2-Inch&amp;qid=1695174229&amp;sr=8-7", "https://www.amazon.com/Klein-Tools-32614-Screwdriver-Electronics/dp/B07PNC5MPB/ref=sr_1_7?keywords=Klein+Tools+614-2+1%2F16-Inch+Slotted+Electronics+Screwdriver%2C+2-Inch&amp;qid=1695174229&amp;sr=8-7")</f>
        <v>https://www.amazon.com/Klein-Tools-32614-Screwdriver-Electronics/dp/B07PNC5MPB/ref=sr_1_7?keywords=Klein+Tools+614-2+1%2F16-Inch+Slotted+Electronics+Screwdriver%2C+2-Inch&amp;qid=1695174229&amp;sr=8-7</v>
      </c>
      <c r="F2759" t="s">
        <v>6888</v>
      </c>
      <c r="G2759" t="e">
        <f ca="1">_xludf.IMAGE("https://edmondsonsupply.com/cdn/shop/products/614-2.jpg?v=1637284311")</f>
        <v>#NAME?</v>
      </c>
      <c r="H2759" t="e">
        <f ca="1">_xludf.IMAGE("https://m.media-amazon.com/images/I/412OaAua5aL._AC_UL320_.jpg")</f>
        <v>#NAME?</v>
      </c>
      <c r="I2759" t="s">
        <v>6394</v>
      </c>
      <c r="J2759">
        <v>14.97</v>
      </c>
      <c r="K2759" s="4">
        <v>0.76329999999999998</v>
      </c>
      <c r="L2759">
        <v>4.7</v>
      </c>
      <c r="M2759">
        <v>9195</v>
      </c>
      <c r="O2759" t="s">
        <v>25</v>
      </c>
      <c r="P2759" t="s">
        <v>6395</v>
      </c>
      <c r="Q2759" t="s">
        <v>6396</v>
      </c>
    </row>
    <row r="2760" spans="1:17" ht="15.5" x14ac:dyDescent="0.35">
      <c r="A2760" s="3" t="str">
        <f>HYPERLINK("https://edmondsonsupply.com/collections/electricians-tools/products/klein-tools-32796-pro-impact-power-bits-assorted-7-pack", "https://edmondsonsupply.com/collections/electricians-tools/products/klein-tools-32796-pro-impact-power-bits-assorted-7-pack")</f>
        <v>https://edmondsonsupply.com/collections/electricians-tools/products/klein-tools-32796-pro-impact-power-bits-assorted-7-pack</v>
      </c>
      <c r="B2760" s="3" t="str">
        <f>HYPERLINK("https://edmondsonsupply.com/products/klein-tools-32796-pro-impact-power-bits-assorted-7-pack", "https://edmondsonsupply.com/products/klein-tools-32796-pro-impact-power-bits-assorted-7-pack")</f>
        <v>https://edmondsonsupply.com/products/klein-tools-32796-pro-impact-power-bits-assorted-7-pack</v>
      </c>
      <c r="C2760" t="s">
        <v>2711</v>
      </c>
      <c r="D2760" t="s">
        <v>2712</v>
      </c>
      <c r="E2760" s="3" t="str">
        <f>HYPERLINK("https://www.amazon.com/Klein-Tools-32796-Assorted-Drivers/dp/B07RL6TJPM/ref=sr_1_1?keywords=Klein+Tools+32796+Pro+Impact+Power+Bits%2C+Assorted+7-Pack&amp;qid=1695173955&amp;sr=8-1", "https://www.amazon.com/Klein-Tools-32796-Assorted-Drivers/dp/B07RL6TJPM/ref=sr_1_1?keywords=Klein+Tools+32796+Pro+Impact+Power+Bits%2C+Assorted+7-Pack&amp;qid=1695173955&amp;sr=8-1")</f>
        <v>https://www.amazon.com/Klein-Tools-32796-Assorted-Drivers/dp/B07RL6TJPM/ref=sr_1_1?keywords=Klein+Tools+32796+Pro+Impact+Power+Bits%2C+Assorted+7-Pack&amp;qid=1695173955&amp;sr=8-1</v>
      </c>
      <c r="F2760" t="s">
        <v>2713</v>
      </c>
      <c r="G2760" t="e">
        <f ca="1">_xludf.IMAGE("https://edmondsonsupply.com/cdn/shop/products/32796.jpg?v=1587146803")</f>
        <v>#NAME?</v>
      </c>
      <c r="H2760" t="e">
        <f ca="1">_xludf.IMAGE("https://m.media-amazon.com/images/I/51lVLHao0uL._AC_UL320_.jpg")</f>
        <v>#NAME?</v>
      </c>
      <c r="I2760" t="s">
        <v>2639</v>
      </c>
      <c r="J2760">
        <v>10.56</v>
      </c>
      <c r="K2760" s="4">
        <v>0.76290000000000002</v>
      </c>
      <c r="L2760">
        <v>4.4000000000000004</v>
      </c>
      <c r="M2760">
        <v>47</v>
      </c>
      <c r="O2760" t="s">
        <v>25</v>
      </c>
      <c r="P2760" t="s">
        <v>2714</v>
      </c>
      <c r="Q2760" t="s">
        <v>2715</v>
      </c>
    </row>
    <row r="2761" spans="1:17" ht="15.5" x14ac:dyDescent="0.35">
      <c r="A2761"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2761"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2761" t="s">
        <v>6889</v>
      </c>
      <c r="D2761" t="s">
        <v>2386</v>
      </c>
      <c r="E2761" s="3" t="str">
        <f>HYPERLINK("https://www.amazon.com/Journeyman-T-Handle-Klein-Tools-JTH6E13BE/dp/B004QW52YW/ref=sr_1_2?keywords=Klein+Tools+JTH4E13+1%2F4-Inch+Hex+Key%2C+Journeyman%E2%84%A2+T-Handle%2C+4-Inch&amp;qid=1695174202&amp;sr=8-2", "https://www.amazon.com/Journeyman-T-Handle-Klein-Tools-JTH6E13BE/dp/B004QW52YW/ref=sr_1_2?keywords=Klein+Tools+JTH4E13+1%2F4-Inch+Hex+Key%2C+Journeyman%E2%84%A2+T-Handle%2C+4-Inch&amp;qid=1695174202&amp;sr=8-2")</f>
        <v>https://www.amazon.com/Journeyman-T-Handle-Klein-Tools-JTH6E13BE/dp/B004QW52YW/ref=sr_1_2?keywords=Klein+Tools+JTH4E13+1%2F4-Inch+Hex+Key%2C+Journeyman%E2%84%A2+T-Handle%2C+4-Inch&amp;qid=1695174202&amp;sr=8-2</v>
      </c>
      <c r="F2761" t="s">
        <v>2387</v>
      </c>
      <c r="G2761" t="e">
        <f ca="1">_xludf.IMAGE("https://edmondsonsupply.com/cdn/shop/products/jth4e13.jpg?v=1660919816")</f>
        <v>#NAME?</v>
      </c>
      <c r="H2761" t="e">
        <f ca="1">_xludf.IMAGE("https://m.media-amazon.com/images/I/51f9vBFVXgL._AC_UL320_.jpg")</f>
        <v>#NAME?</v>
      </c>
      <c r="I2761" t="s">
        <v>2639</v>
      </c>
      <c r="J2761">
        <v>10.55</v>
      </c>
      <c r="K2761" s="4">
        <v>0.76129999999999998</v>
      </c>
      <c r="L2761">
        <v>4.7</v>
      </c>
      <c r="M2761">
        <v>32</v>
      </c>
      <c r="O2761" t="s">
        <v>25</v>
      </c>
      <c r="P2761" t="s">
        <v>6890</v>
      </c>
      <c r="Q2761" t="s">
        <v>6891</v>
      </c>
    </row>
    <row r="2762" spans="1:17" ht="15.5" x14ac:dyDescent="0.35">
      <c r="A2762"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2762"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2762" t="s">
        <v>6463</v>
      </c>
      <c r="D2762" t="s">
        <v>2386</v>
      </c>
      <c r="E2762" s="3" t="str">
        <f>HYPERLINK("https://www.amazon.com/Journeyman-T-Handle-Klein-Tools-JTH6E13BE/dp/B004QW52YW/ref=sr_1_5?keywords=Klein+Tools+JTH6M6BE+6+mm+Ball-End+Hex+Key%2C+Journeyman%E2%84%A2+T-Handle%2C+6-Inch&amp;qid=1695174142&amp;sr=8-5", "https://www.amazon.com/Journeyman-T-Handle-Klein-Tools-JTH6E13BE/dp/B004QW52YW/ref=sr_1_5?keywords=Klein+Tools+JTH6M6BE+6+mm+Ball-End+Hex+Key%2C+Journeyman%E2%84%A2+T-Handle%2C+6-Inch&amp;qid=1695174142&amp;sr=8-5")</f>
        <v>https://www.amazon.com/Journeyman-T-Handle-Klein-Tools-JTH6E13BE/dp/B004QW52YW/ref=sr_1_5?keywords=Klein+Tools+JTH6M6BE+6+mm+Ball-End+Hex+Key%2C+Journeyman%E2%84%A2+T-Handle%2C+6-Inch&amp;qid=1695174142&amp;sr=8-5</v>
      </c>
      <c r="F2762" t="s">
        <v>2387</v>
      </c>
      <c r="G2762" t="e">
        <f ca="1">_xludf.IMAGE("https://edmondsonsupply.com/cdn/shop/products/jth6m8be_8608088e-2ec0-429e-80d7-5bd927a3a1b6.jpg?v=1666111557")</f>
        <v>#NAME?</v>
      </c>
      <c r="H2762" t="e">
        <f ca="1">_xludf.IMAGE("https://m.media-amazon.com/images/I/51f9vBFVXgL._AC_UL320_.jpg")</f>
        <v>#NAME?</v>
      </c>
      <c r="I2762" t="s">
        <v>2639</v>
      </c>
      <c r="J2762">
        <v>10.55</v>
      </c>
      <c r="K2762" s="4">
        <v>0.76129999999999998</v>
      </c>
      <c r="L2762">
        <v>4.7</v>
      </c>
      <c r="M2762">
        <v>32</v>
      </c>
      <c r="O2762" t="s">
        <v>25</v>
      </c>
      <c r="P2762" t="s">
        <v>6464</v>
      </c>
      <c r="Q2762" t="s">
        <v>6465</v>
      </c>
    </row>
    <row r="2763" spans="1:17" ht="15.5" x14ac:dyDescent="0.35">
      <c r="A2763" s="3" t="str">
        <f>HYPERLINK("https://edmondsonsupply.com/collections/electricians-tools/products/diablo-tools-dsp2090-3-4-in-x-6-in-spade-bit", "https://edmondsonsupply.com/collections/electricians-tools/products/diablo-tools-dsp2090-3-4-in-x-6-in-spade-bit")</f>
        <v>https://edmondsonsupply.com/collections/electricians-tools/products/diablo-tools-dsp2090-3-4-in-x-6-in-spade-bit</v>
      </c>
      <c r="B2763" s="3" t="str">
        <f>HYPERLINK("https://edmondsonsupply.com/products/diablo-tools-dsp2090-3-4-in-x-6-in-spade-bit", "https://edmondsonsupply.com/products/diablo-tools-dsp2090-3-4-in-x-6-in-spade-bit")</f>
        <v>https://edmondsonsupply.com/products/diablo-tools-dsp2090-3-4-in-x-6-in-spade-bit</v>
      </c>
      <c r="C2763" t="s">
        <v>5819</v>
      </c>
      <c r="D2763" t="s">
        <v>5820</v>
      </c>
      <c r="E2763" s="3" t="str">
        <f>HYPERLINK("https://www.amazon.com/DEWALT-DW1578-4-Inch-6-Inch-Spade/dp/B0001LQYGM/ref=sr_1_7?keywords=Diablo+Tools+DSP2090+3%2F4+in.+x+6+in.+Spade+Bit&amp;qid=1695174000&amp;sr=8-7", "https://www.amazon.com/DEWALT-DW1578-4-Inch-6-Inch-Spade/dp/B0001LQYGM/ref=sr_1_7?keywords=Diablo+Tools+DSP2090+3%2F4+in.+x+6+in.+Spade+Bit&amp;qid=1695174000&amp;sr=8-7")</f>
        <v>https://www.amazon.com/DEWALT-DW1578-4-Inch-6-Inch-Spade/dp/B0001LQYGM/ref=sr_1_7?keywords=Diablo+Tools+DSP2090+3%2F4+in.+x+6+in.+Spade+Bit&amp;qid=1695174000&amp;sr=8-7</v>
      </c>
      <c r="F2763" t="s">
        <v>5821</v>
      </c>
      <c r="G2763" t="e">
        <f ca="1">_xludf.IMAGE("https://edmondsonsupply.com/cdn/shop/files/hg4rmyretai2aybkajqp.webp?v=1686587275")</f>
        <v>#NAME?</v>
      </c>
      <c r="H2763" t="e">
        <f ca="1">_xludf.IMAGE("https://m.media-amazon.com/images/I/61oA5ym2OLS._AC_UL320_.jpg")</f>
        <v>#NAME?</v>
      </c>
      <c r="I2763" t="s">
        <v>5822</v>
      </c>
      <c r="J2763">
        <v>9.43</v>
      </c>
      <c r="K2763" s="4">
        <v>0.75609999999999999</v>
      </c>
      <c r="L2763">
        <v>4.5999999999999996</v>
      </c>
      <c r="M2763">
        <v>6815</v>
      </c>
      <c r="O2763" t="s">
        <v>25</v>
      </c>
      <c r="P2763" t="s">
        <v>138</v>
      </c>
      <c r="Q2763" t="s">
        <v>5823</v>
      </c>
    </row>
    <row r="2764" spans="1:17" ht="15.5" x14ac:dyDescent="0.35">
      <c r="A2764"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2764"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2764" t="s">
        <v>6870</v>
      </c>
      <c r="D2764" t="s">
        <v>2368</v>
      </c>
      <c r="E2764" s="3" t="str">
        <f>HYPERLINK("https://www.amazon.com/Klein-Tools-JTH9E14-Journeyman-T-Handle/dp/B0CF2VDSX2/ref=sr_1_9?keywords=Klein+Tools+JTH6E14BE+5%2F16-Inch+Ball+End+Hex+Key+with+T-Handle%2C+6-Inch&amp;qid=1695174246&amp;sr=8-9", "https://www.amazon.com/Klein-Tools-JTH9E14-Journeyman-T-Handle/dp/B0CF2VDSX2/ref=sr_1_9?keywords=Klein+Tools+JTH6E14BE+5%2F16-Inch+Ball+End+Hex+Key+with+T-Handle%2C+6-Inch&amp;qid=1695174246&amp;sr=8-9")</f>
        <v>https://www.amazon.com/Klein-Tools-JTH9E14-Journeyman-T-Handle/dp/B0CF2VDSX2/ref=sr_1_9?keywords=Klein+Tools+JTH6E14BE+5%2F16-Inch+Ball+End+Hex+Key+with+T-Handle%2C+6-Inch&amp;qid=1695174246&amp;sr=8-9</v>
      </c>
      <c r="F2764" t="s">
        <v>2369</v>
      </c>
      <c r="G2764" t="e">
        <f ca="1">_xludf.IMAGE("https://edmondsonsupply.com/cdn/shop/products/jth6e13be_0da4cca6-ce15-419c-bc75-cd610bd9637f.jpg?v=1629825198")</f>
        <v>#NAME?</v>
      </c>
      <c r="H2764" t="e">
        <f ca="1">_xludf.IMAGE("https://m.media-amazon.com/images/I/317IAARii7L._AC_UL320_.jpg")</f>
        <v>#NAME?</v>
      </c>
      <c r="I2764" t="s">
        <v>6394</v>
      </c>
      <c r="J2764">
        <v>14.88</v>
      </c>
      <c r="K2764" s="4">
        <v>0.75270000000000004</v>
      </c>
      <c r="L2764">
        <v>4.5999999999999996</v>
      </c>
      <c r="M2764">
        <v>393</v>
      </c>
      <c r="O2764" t="s">
        <v>25</v>
      </c>
      <c r="P2764" t="s">
        <v>6871</v>
      </c>
      <c r="Q2764" t="s">
        <v>6872</v>
      </c>
    </row>
    <row r="2765" spans="1:17" ht="15.5" x14ac:dyDescent="0.35">
      <c r="A2765" s="3" t="str">
        <f>HYPERLINK("https://edmondsonsupply.com/collections/electricians-tools/products/klein-tools-94155-american-legacy-lineman-pliers-and-klein-kurve%C2%AE-wire-stripper-cutter", "https://edmondsonsupply.com/collections/electricians-tools/products/klein-tools-94155-american-legacy-lineman-pliers-and-klein-kurve%C2%AE-wire-stripper-cutter")</f>
        <v>https://edmondsonsupply.com/collections/electricians-tools/products/klein-tools-94155-american-legacy-lineman-pliers-and-klein-kurve%C2%AE-wire-stripper-cutter</v>
      </c>
      <c r="B2765"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2765" t="s">
        <v>195</v>
      </c>
      <c r="D2765" t="s">
        <v>196</v>
      </c>
      <c r="E2765" s="3" t="str">
        <f>HYPERLINK("https://www.amazon.com/Linemans-Side-Cutting-Klein-Tools-80043/dp/B0977RM5G5/ref=sr_1_4?keywords=Klein+Tools+94155+American+Legacy+Lineman+Pliers+and+Klein-Kurve%C2%AE+Wire+Stripper+%2F+Cutter&amp;qid=1695173851&amp;sr=8-4", "https://www.amazon.com/Linemans-Side-Cutting-Klein-Tools-80043/dp/B0977RM5G5/ref=sr_1_4?keywords=Klein+Tools+94155+American+Legacy+Lineman+Pliers+and+Klein-Kurve%C2%AE+Wire+Stripper+%2F+Cutter&amp;qid=1695173851&amp;sr=8-4")</f>
        <v>https://www.amazon.com/Linemans-Side-Cutting-Klein-Tools-80043/dp/B0977RM5G5/ref=sr_1_4?keywords=Klein+Tools+94155+American+Legacy+Lineman+Pliers+and+Klein-Kurve%C2%AE+Wire+Stripper+%2F+Cutter&amp;qid=1695173851&amp;sr=8-4</v>
      </c>
      <c r="F2765" t="s">
        <v>197</v>
      </c>
      <c r="G2765" t="e">
        <f ca="1">_xludf.IMAGE("https://edmondsonsupply.com/cdn/shop/products/94155.jpg?v=1674141590")</f>
        <v>#NAME?</v>
      </c>
      <c r="H2765" t="e">
        <f ca="1">_xludf.IMAGE("https://m.media-amazon.com/images/I/51t8JGB+SAS._AC_UL320_.jpg")</f>
        <v>#NAME?</v>
      </c>
      <c r="I2765" t="s">
        <v>198</v>
      </c>
      <c r="J2765">
        <v>69.989999999999995</v>
      </c>
      <c r="K2765" s="4">
        <v>0.75019999999999998</v>
      </c>
      <c r="L2765">
        <v>4.8</v>
      </c>
      <c r="M2765">
        <v>1451</v>
      </c>
      <c r="O2765" t="s">
        <v>25</v>
      </c>
      <c r="P2765" t="s">
        <v>199</v>
      </c>
      <c r="Q2765" t="s">
        <v>200</v>
      </c>
    </row>
    <row r="2766" spans="1:17" ht="15.5" x14ac:dyDescent="0.35">
      <c r="A2766"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2766"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2766" t="s">
        <v>6595</v>
      </c>
      <c r="D2766" t="s">
        <v>6743</v>
      </c>
      <c r="E2766" s="3" t="str">
        <f>HYPERLINK("https://www.amazon.com/Klein-Tools-VDV226-110-Ratcheting-Connections/dp/B09T6YN1NB/ref=sr_1_9?keywords=Klein+Tools+VDV526-052+Cable+Tester%2C+LAN+Scout%C2%AE+Jr.+Continuity+Tester&amp;qid=1695174034&amp;sr=8-9", "https://www.amazon.com/Klein-Tools-VDV226-110-Ratcheting-Connections/dp/B09T6YN1NB/ref=sr_1_9?keywords=Klein+Tools+VDV526-052+Cable+Tester%2C+LAN+Scout%C2%AE+Jr.+Continuity+Tester&amp;qid=1695174034&amp;sr=8-9")</f>
        <v>https://www.amazon.com/Klein-Tools-VDV226-110-Ratcheting-Connections/dp/B09T6YN1NB/ref=sr_1_9?keywords=Klein+Tools+VDV526-052+Cable+Tester%2C+LAN+Scout%C2%AE+Jr.+Continuity+Tester&amp;qid=1695174034&amp;sr=8-9</v>
      </c>
      <c r="F2766" t="s">
        <v>6744</v>
      </c>
      <c r="G2766" t="e">
        <f ca="1">_xludf.IMAGE("https://edmondsonsupply.com/cdn/shop/files/vdv526-052.jpg?v=1685032494")</f>
        <v>#NAME?</v>
      </c>
      <c r="H2766" t="e">
        <f ca="1">_xludf.IMAGE("https://m.media-amazon.com/images/I/51-TxWp0yoL._AC_UY218_.jpg")</f>
        <v>#NAME?</v>
      </c>
      <c r="I2766" t="s">
        <v>5197</v>
      </c>
      <c r="J2766">
        <v>104.94</v>
      </c>
      <c r="K2766" s="4">
        <v>0.74990000000000001</v>
      </c>
      <c r="L2766">
        <v>5</v>
      </c>
      <c r="M2766">
        <v>6</v>
      </c>
      <c r="O2766" t="s">
        <v>25</v>
      </c>
      <c r="P2766" t="s">
        <v>6596</v>
      </c>
      <c r="Q2766" t="s">
        <v>6597</v>
      </c>
    </row>
    <row r="2767" spans="1:17" ht="15.5" x14ac:dyDescent="0.35">
      <c r="A2767"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2767"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2767" t="s">
        <v>2659</v>
      </c>
      <c r="D2767" t="s">
        <v>2774</v>
      </c>
      <c r="E2767" s="3" t="str">
        <f>HYPERLINK("https://www.amazon.com/Klein-Tools-Conduit-Lockout-Locknuts/dp/B0CF2F1JTM/ref=sr_1_6?keywords=Klein+Tools+70550+Pro+Folding+Hex+Key+Set%2C+11-Key%2C+SAE+Sizes&amp;qid=1695173950&amp;sr=8-6", "https://www.amazon.com/Klein-Tools-Conduit-Lockout-Locknuts/dp/B0CF2F1JTM/ref=sr_1_6?keywords=Klein+Tools+70550+Pro+Folding+Hex+Key+Set%2C+11-Key%2C+SAE+Sizes&amp;qid=1695173950&amp;sr=8-6")</f>
        <v>https://www.amazon.com/Klein-Tools-Conduit-Lockout-Locknuts/dp/B0CF2F1JTM/ref=sr_1_6?keywords=Klein+Tools+70550+Pro+Folding+Hex+Key+Set%2C+11-Key%2C+SAE+Sizes&amp;qid=1695173950&amp;sr=8-6</v>
      </c>
      <c r="F2767" t="s">
        <v>2775</v>
      </c>
      <c r="G2767" t="e">
        <f ca="1">_xludf.IMAGE("https://edmondsonsupply.com/cdn/shop/products/70550.jpg?v=1587145237")</f>
        <v>#NAME?</v>
      </c>
      <c r="H2767" t="e">
        <f ca="1">_xludf.IMAGE("https://m.media-amazon.com/images/I/41bIGhL6z5L._AC_UL320_.jpg")</f>
        <v>#NAME?</v>
      </c>
      <c r="I2767" t="s">
        <v>893</v>
      </c>
      <c r="J2767">
        <v>34.94</v>
      </c>
      <c r="K2767" s="4">
        <v>0.74960000000000004</v>
      </c>
      <c r="L2767">
        <v>4.5</v>
      </c>
      <c r="M2767">
        <v>127</v>
      </c>
      <c r="O2767" t="s">
        <v>25</v>
      </c>
      <c r="P2767" t="s">
        <v>2662</v>
      </c>
      <c r="Q2767" t="s">
        <v>2663</v>
      </c>
    </row>
    <row r="2768" spans="1:17" ht="15.5" x14ac:dyDescent="0.35">
      <c r="A2768"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2768" s="3" t="str">
        <f>HYPERLINK("https://edmondsonsupply.com/products/klein-tools-32907-7-in-1-impact-flip-socket-set-no-handle", "https://edmondsonsupply.com/products/klein-tools-32907-7-in-1-impact-flip-socket-set-no-handle")</f>
        <v>https://edmondsonsupply.com/products/klein-tools-32907-7-in-1-impact-flip-socket-set-no-handle</v>
      </c>
      <c r="C2768" t="s">
        <v>1833</v>
      </c>
      <c r="D2768" t="s">
        <v>2776</v>
      </c>
      <c r="E2768" s="3" t="str">
        <f>HYPERLINK("https://www.amazon.com/Klein-Tools-Conduit-Lockout-Locknuts/dp/B0CF2DNQ9B/ref=sr_1_7?keywords=Klein+Tools+32907+7-in-1+Impact+Flip+Socket+Set%2C+No+Handle&amp;qid=1695173886&amp;sr=8-7", "https://www.amazon.com/Klein-Tools-Conduit-Lockout-Locknuts/dp/B0CF2DNQ9B/ref=sr_1_7?keywords=Klein+Tools+32907+7-in-1+Impact+Flip+Socket+Set%2C+No+Handle&amp;qid=1695173886&amp;sr=8-7")</f>
        <v>https://www.amazon.com/Klein-Tools-Conduit-Lockout-Locknuts/dp/B0CF2DNQ9B/ref=sr_1_7?keywords=Klein+Tools+32907+7-in-1+Impact+Flip+Socket+Set%2C+No+Handle&amp;qid=1695173886&amp;sr=8-7</v>
      </c>
      <c r="F2768" t="s">
        <v>2777</v>
      </c>
      <c r="G2768" t="e">
        <f ca="1">_xludf.IMAGE("https://edmondsonsupply.com/cdn/shop/products/32907_b.jpg?v=1666025282")</f>
        <v>#NAME?</v>
      </c>
      <c r="H2768" t="e">
        <f ca="1">_xludf.IMAGE("https://m.media-amazon.com/images/I/41kMxpco1dL._AC_UL320_.jpg")</f>
        <v>#NAME?</v>
      </c>
      <c r="I2768" t="s">
        <v>577</v>
      </c>
      <c r="J2768">
        <v>34.96</v>
      </c>
      <c r="K2768" s="4">
        <v>0.74890000000000001</v>
      </c>
      <c r="L2768">
        <v>4.5</v>
      </c>
      <c r="M2768">
        <v>127</v>
      </c>
      <c r="O2768" t="s">
        <v>25</v>
      </c>
      <c r="P2768" t="s">
        <v>1836</v>
      </c>
      <c r="Q2768" t="s">
        <v>1837</v>
      </c>
    </row>
    <row r="2769" spans="1:17" ht="15.5" x14ac:dyDescent="0.35">
      <c r="A2769"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2769" s="3" t="str">
        <f>HYPERLINK("https://edmondsonsupply.com/products/klein-tools-jth9m5-4-mm-hex-key-journeyman-t-handle-9-inch", "https://edmondsonsupply.com/products/klein-tools-jth9m5-4-mm-hex-key-journeyman-t-handle-9-inch")</f>
        <v>https://edmondsonsupply.com/products/klein-tools-jth9m5-4-mm-hex-key-journeyman-t-handle-9-inch</v>
      </c>
      <c r="C2769" t="s">
        <v>6121</v>
      </c>
      <c r="D2769" t="s">
        <v>3026</v>
      </c>
      <c r="E2769" s="3" t="str">
        <f>HYPERLINK("https://www.amazon.com/Journeyman-T-Handle-Klein-Tools-JTH9M4/dp/B005G3HJ8M/ref=sr_1_1?keywords=Klein+Tools+JTH9M4+4+mm+Hex+Key%2C+Journeyman+T-Handle%2C+9-Inch&amp;qid=1695174234&amp;sr=8-1", "https://www.amazon.com/Journeyman-T-Handle-Klein-Tools-JTH9M4/dp/B005G3HJ8M/ref=sr_1_1?keywords=Klein+Tools+JTH9M4+4+mm+Hex+Key%2C+Journeyman+T-Handle%2C+9-Inch&amp;qid=1695174234&amp;sr=8-1")</f>
        <v>https://www.amazon.com/Journeyman-T-Handle-Klein-Tools-JTH9M4/dp/B005G3HJ8M/ref=sr_1_1?keywords=Klein+Tools+JTH9M4+4+mm+Hex+Key%2C+Journeyman+T-Handle%2C+9-Inch&amp;qid=1695174234&amp;sr=8-1</v>
      </c>
      <c r="F2769" t="s">
        <v>3027</v>
      </c>
      <c r="G2769" t="e">
        <f ca="1">_xludf.IMAGE("https://edmondsonsupply.com/cdn/shop/products/jth9m_fa8a641d-d03f-4191-ab24-b9045963e4f7.jpg?v=1640191121")</f>
        <v>#NAME?</v>
      </c>
      <c r="H2769" t="e">
        <f ca="1">_xludf.IMAGE("https://m.media-amazon.com/images/I/51+1x0vz9XL._AC_UL320_.jpg")</f>
        <v>#NAME?</v>
      </c>
      <c r="I2769" t="s">
        <v>6122</v>
      </c>
      <c r="J2769">
        <v>7.84</v>
      </c>
      <c r="K2769" s="4">
        <v>0.74609999999999999</v>
      </c>
      <c r="L2769">
        <v>4.5999999999999996</v>
      </c>
      <c r="M2769">
        <v>135</v>
      </c>
      <c r="O2769" t="s">
        <v>25</v>
      </c>
      <c r="P2769" t="s">
        <v>6123</v>
      </c>
      <c r="Q2769" t="s">
        <v>6124</v>
      </c>
    </row>
    <row r="2770" spans="1:17" ht="15.5" x14ac:dyDescent="0.35">
      <c r="A2770" s="3" t="str">
        <f>HYPERLINK("https://edmondsonsupply.com/collections/electricians-tools/products/milwaukee-49-56-0509-diamond-max%E2%84%A2-hole-saws", "https://edmondsonsupply.com/collections/electricians-tools/products/milwaukee-49-56-0509-diamond-max%E2%84%A2-hole-saws")</f>
        <v>https://edmondsonsupply.com/collections/electricians-tools/products/milwaukee-49-56-0509-diamond-max%E2%84%A2-hole-saws</v>
      </c>
      <c r="B2770" s="3" t="str">
        <f>HYPERLINK("https://edmondsonsupply.com/products/milwaukee-49-56-0509-diamond-max%e2%84%a2-hole-saws", "https://edmondsonsupply.com/products/milwaukee-49-56-0509-diamond-max%e2%84%a2-hole-saws")</f>
        <v>https://edmondsonsupply.com/products/milwaukee-49-56-0509-diamond-max%e2%84%a2-hole-saws</v>
      </c>
      <c r="C2770" t="s">
        <v>6654</v>
      </c>
      <c r="D2770" t="s">
        <v>6892</v>
      </c>
      <c r="E2770" s="3" t="str">
        <f>HYPERLINK("https://www.amazon.com/Milwaukee-49-56-0500-Diamond-Grit-Piece/dp/B09L5DZ2TG/ref=sr_1_1?keywords=Milwaukee+49-56-0509+3%2F8%22+Diamond+MAX%E2%84%A2+Hole+Saw&amp;qid=1695174089&amp;sr=8-1", "https://www.amazon.com/Milwaukee-49-56-0500-Diamond-Grit-Piece/dp/B09L5DZ2TG/ref=sr_1_1?keywords=Milwaukee+49-56-0509+3%2F8%22+Diamond+MAX%E2%84%A2+Hole+Saw&amp;qid=1695174089&amp;sr=8-1")</f>
        <v>https://www.amazon.com/Milwaukee-49-56-0500-Diamond-Grit-Piece/dp/B09L5DZ2TG/ref=sr_1_1?keywords=Milwaukee+49-56-0509+3%2F8%22+Diamond+MAX%E2%84%A2+Hole+Saw&amp;qid=1695174089&amp;sr=8-1</v>
      </c>
      <c r="F2770" t="s">
        <v>6893</v>
      </c>
      <c r="G2770" t="e">
        <f ca="1">_xludf.IMAGE("https://edmondsonsupply.com/cdn/shop/products/images.jpg?v=1678461630")</f>
        <v>#NAME?</v>
      </c>
      <c r="H2770" t="e">
        <f ca="1">_xludf.IMAGE("https://m.media-amazon.com/images/I/71KrmL0Rx7L._AC_UL320_.jpg")</f>
        <v>#NAME?</v>
      </c>
      <c r="I2770" t="s">
        <v>3867</v>
      </c>
      <c r="J2770">
        <v>34.880000000000003</v>
      </c>
      <c r="K2770" s="4">
        <v>0.74570000000000003</v>
      </c>
      <c r="L2770">
        <v>4.8</v>
      </c>
      <c r="M2770">
        <v>31</v>
      </c>
      <c r="O2770" t="s">
        <v>25</v>
      </c>
      <c r="P2770" t="s">
        <v>6657</v>
      </c>
      <c r="Q2770" t="s">
        <v>6658</v>
      </c>
    </row>
    <row r="2771" spans="1:17" ht="15.5" x14ac:dyDescent="0.35">
      <c r="A2771" s="3" t="str">
        <f>HYPERLINK("https://edmondsonsupply.com/collections/electricians-tools/products/milwaukee-48-22-8485-packout%E2%84%A2-mounting-plate", "https://edmondsonsupply.com/collections/electricians-tools/products/milwaukee-48-22-8485-packout%E2%84%A2-mounting-plate")</f>
        <v>https://edmondsonsupply.com/collections/electricians-tools/products/milwaukee-48-22-8485-packout%E2%84%A2-mounting-plate</v>
      </c>
      <c r="B2771" s="3" t="str">
        <f>HYPERLINK("https://edmondsonsupply.com/products/milwaukee-48-22-8485-packout%e2%84%a2-mounting-plate", "https://edmondsonsupply.com/products/milwaukee-48-22-8485-packout%e2%84%a2-mounting-plate")</f>
        <v>https://edmondsonsupply.com/products/milwaukee-48-22-8485-packout%e2%84%a2-mounting-plate</v>
      </c>
      <c r="C2771" t="s">
        <v>6894</v>
      </c>
      <c r="D2771" t="s">
        <v>6895</v>
      </c>
      <c r="E2771" s="3" t="str">
        <f>HYPERLINK("https://www.amazon.com/48-22-8485-Packout-Floor-Mounting-Plate/dp/B09P3WTLRH/ref=sr_1_2?keywords=Milwaukee+48-22-8485+PACKOUT%E2%84%A2+Mounting+Plate&amp;qid=1695174070&amp;sr=8-2", "https://www.amazon.com/48-22-8485-Packout-Floor-Mounting-Plate/dp/B09P3WTLRH/ref=sr_1_2?keywords=Milwaukee+48-22-8485+PACKOUT%E2%84%A2+Mounting+Plate&amp;qid=1695174070&amp;sr=8-2")</f>
        <v>https://www.amazon.com/48-22-8485-Packout-Floor-Mounting-Plate/dp/B09P3WTLRH/ref=sr_1_2?keywords=Milwaukee+48-22-8485+PACKOUT%E2%84%A2+Mounting+Plate&amp;qid=1695174070&amp;sr=8-2</v>
      </c>
      <c r="F2771" t="s">
        <v>6896</v>
      </c>
      <c r="G2771" t="e">
        <f ca="1">_xludf.IMAGE("https://edmondsonsupply.com/cdn/shop/products/48-22-8485_3.png?v=1677252283")</f>
        <v>#NAME?</v>
      </c>
      <c r="H2771" t="e">
        <f ca="1">_xludf.IMAGE("https://m.media-amazon.com/images/I/41T8OMCzLzL._AC_UL320_.jpg")</f>
        <v>#NAME?</v>
      </c>
      <c r="I2771" t="s">
        <v>824</v>
      </c>
      <c r="J2771">
        <v>52.24</v>
      </c>
      <c r="K2771" s="4">
        <v>0.74309999999999998</v>
      </c>
      <c r="L2771">
        <v>4.8</v>
      </c>
      <c r="M2771">
        <v>6</v>
      </c>
      <c r="O2771" t="s">
        <v>25</v>
      </c>
      <c r="P2771" t="s">
        <v>6897</v>
      </c>
      <c r="Q2771" t="s">
        <v>6898</v>
      </c>
    </row>
    <row r="2772" spans="1:17" ht="15.5" x14ac:dyDescent="0.35">
      <c r="A2772" s="3" t="str">
        <f>HYPERLINK("https://edmondsonsupply.com/collections/electricians-tools/products/clc-1528-11", "https://edmondsonsupply.com/collections/electricians-tools/products/clc-1528-11")</f>
        <v>https://edmondsonsupply.com/collections/electricians-tools/products/clc-1528-11</v>
      </c>
      <c r="B2772" s="3" t="str">
        <f>HYPERLINK("https://edmondsonsupply.com/products/clc-1528-11", "https://edmondsonsupply.com/products/clc-1528-11")</f>
        <v>https://edmondsonsupply.com/products/clc-1528-11</v>
      </c>
      <c r="C2772" t="s">
        <v>389</v>
      </c>
      <c r="D2772" t="s">
        <v>390</v>
      </c>
      <c r="E2772" s="3" t="str">
        <f>HYPERLINK("https://www.amazon.com/Electrical-Maintenance-Carrier-Custom-LeatherCraft/dp/B0BFXQS1YT/ref=sr_1_3?keywords=CLC+1528+11%22+Electrical+%26+Maintenance+Tool+Carrier&amp;qid=1695173922&amp;sr=8-3", "https://www.amazon.com/Electrical-Maintenance-Carrier-Custom-LeatherCraft/dp/B0BFXQS1YT/ref=sr_1_3?keywords=CLC+1528+11%22+Electrical+%26+Maintenance+Tool+Carrier&amp;qid=1695173922&amp;sr=8-3")</f>
        <v>https://www.amazon.com/Electrical-Maintenance-Carrier-Custom-LeatherCraft/dp/B0BFXQS1YT/ref=sr_1_3?keywords=CLC+1528+11%22+Electrical+%26+Maintenance+Tool+Carrier&amp;qid=1695173922&amp;sr=8-3</v>
      </c>
      <c r="F2772" t="s">
        <v>391</v>
      </c>
      <c r="G2772" t="e">
        <f ca="1">_xludf.IMAGE("https://edmondsonsupply.com/cdn/shop/products/clc-1528__1_321x_3x.progressive_bf390c4e-ab2d-4119-a706-a1ca10a9b643.jpg?v=1609778372")</f>
        <v>#NAME?</v>
      </c>
      <c r="H2772" t="e">
        <f ca="1">_xludf.IMAGE("https://m.media-amazon.com/images/I/51Ev+6BezpL._AC_UL320_.jpg")</f>
        <v>#NAME?</v>
      </c>
      <c r="I2772" t="s">
        <v>392</v>
      </c>
      <c r="J2772">
        <v>121.75</v>
      </c>
      <c r="K2772" s="4">
        <v>0.74050000000000005</v>
      </c>
      <c r="L2772">
        <v>4.7</v>
      </c>
      <c r="M2772">
        <v>1781</v>
      </c>
      <c r="O2772" t="s">
        <v>25</v>
      </c>
      <c r="P2772" t="s">
        <v>393</v>
      </c>
      <c r="Q2772" t="s">
        <v>394</v>
      </c>
    </row>
    <row r="2773" spans="1:17" ht="15.5" x14ac:dyDescent="0.35">
      <c r="A2773" s="3" t="str">
        <f>HYPERLINK("https://edmondsonsupply.com/collections/electricians-tools/products/milwaukee-48-22-1502-fastback%E2%84%A2-folding-utility-knife-w-blade-storage", "https://edmondsonsupply.com/collections/electricians-tools/products/milwaukee-48-22-1502-fastback%E2%84%A2-folding-utility-knife-w-blade-storage")</f>
        <v>https://edmondsonsupply.com/collections/electricians-tools/products/milwaukee-48-22-1502-fastback%E2%84%A2-folding-utility-knife-w-blade-storage</v>
      </c>
      <c r="B2773" s="3" t="str">
        <f>HYPERLINK("https://edmondsonsupply.com/products/milwaukee-48-22-1502-fastback%e2%84%a2-folding-utility-knife-w-blade-storage", "https://edmondsonsupply.com/products/milwaukee-48-22-1502-fastback%e2%84%a2-folding-utility-knife-w-blade-storage")</f>
        <v>https://edmondsonsupply.com/products/milwaukee-48-22-1502-fastback%e2%84%a2-folding-utility-knife-w-blade-storage</v>
      </c>
      <c r="C2773" t="s">
        <v>2783</v>
      </c>
      <c r="D2773" t="s">
        <v>1942</v>
      </c>
      <c r="E2773" s="3" t="str">
        <f>HYPERLINK("https://www.amazon.com/Milwaukee-48-22-1505-FastbackTM-Folding-Utility/dp/B0C69TGH9K/ref=sr_1_4?keywords=Milwaukee+48-22-1502+FASTBACK%E2%84%A2+Folding+Utility+Knife+w%2F+Blade+Storage&amp;qid=1695173847&amp;sr=8-4", "https://www.amazon.com/Milwaukee-48-22-1505-FastbackTM-Folding-Utility/dp/B0C69TGH9K/ref=sr_1_4?keywords=Milwaukee+48-22-1502+FASTBACK%E2%84%A2+Folding+Utility+Knife+w%2F+Blade+Storage&amp;qid=1695173847&amp;sr=8-4")</f>
        <v>https://www.amazon.com/Milwaukee-48-22-1505-FastbackTM-Folding-Utility/dp/B0C69TGH9K/ref=sr_1_4?keywords=Milwaukee+48-22-1502+FASTBACK%E2%84%A2+Folding+Utility+Knife+w%2F+Blade+Storage&amp;qid=1695173847&amp;sr=8-4</v>
      </c>
      <c r="F2773" t="s">
        <v>1943</v>
      </c>
      <c r="G2773" t="e">
        <f ca="1">_xludf.IMAGE("https://edmondsonsupply.com/cdn/shop/products/48-22-1502_3.png?v=1587148345")</f>
        <v>#NAME?</v>
      </c>
      <c r="H2773" t="e">
        <f ca="1">_xludf.IMAGE("https://m.media-amazon.com/images/I/41ZUsUsHByL._AC_UL320_.jpg")</f>
        <v>#NAME?</v>
      </c>
      <c r="I2773" t="s">
        <v>2784</v>
      </c>
      <c r="J2773">
        <v>26</v>
      </c>
      <c r="K2773" s="4">
        <v>0.73680000000000001</v>
      </c>
      <c r="L2773">
        <v>4.7</v>
      </c>
      <c r="M2773">
        <v>4</v>
      </c>
      <c r="O2773" t="s">
        <v>25</v>
      </c>
      <c r="P2773" t="s">
        <v>1707</v>
      </c>
      <c r="Q2773" t="s">
        <v>2785</v>
      </c>
    </row>
    <row r="2774" spans="1:17" ht="15.5" x14ac:dyDescent="0.35">
      <c r="A2774" s="3" t="str">
        <f>HYPERLINK("https://edmondsonsupply.com/collections/electricians-tools/products/klein-tools-k1412-klein-kurve%C2%AE-dual-nm-cable-stripper-cutter", "https://edmondsonsupply.com/collections/electricians-tools/products/klein-tools-k1412-klein-kurve%C2%AE-dual-nm-cable-stripper-cutter")</f>
        <v>https://edmondsonsupply.com/collections/electricians-tools/products/klein-tools-k1412-klein-kurve%C2%AE-dual-nm-cable-stripper-cutter</v>
      </c>
      <c r="B2774" s="3" t="str">
        <f>HYPERLINK("https://edmondsonsupply.com/products/klein-tools-k1412-klein-kurve%c2%ae-dual-nm-cable-stripper-cutter", "https://edmondsonsupply.com/products/klein-tools-k1412-klein-kurve%c2%ae-dual-nm-cable-stripper-cutter")</f>
        <v>https://edmondsonsupply.com/products/klein-tools-k1412-klein-kurve%c2%ae-dual-nm-cable-stripper-cutter</v>
      </c>
      <c r="C2774" t="s">
        <v>6899</v>
      </c>
      <c r="D2774" t="s">
        <v>6900</v>
      </c>
      <c r="E2774" s="3" t="str">
        <f>HYPERLINK("https://www.amazon.com/Klein-Tools-Cutter-Stripper-Stranded/dp/B0C3BBD1YQ/ref=sr_1_3?keywords=Klein+Tools+K1412+Klein-Kurve%C2%AE+Dual+NM+Cable+Stripper%2FCutter&amp;qid=1695174281&amp;sr=8-3", "https://www.amazon.com/Klein-Tools-Cutter-Stripper-Stranded/dp/B0C3BBD1YQ/ref=sr_1_3?keywords=Klein+Tools+K1412+Klein-Kurve%C2%AE+Dual+NM+Cable+Stripper%2FCutter&amp;qid=1695174281&amp;sr=8-3")</f>
        <v>https://www.amazon.com/Klein-Tools-Cutter-Stripper-Stranded/dp/B0C3BBD1YQ/ref=sr_1_3?keywords=Klein+Tools+K1412+Klein-Kurve%C2%AE+Dual+NM+Cable+Stripper%2FCutter&amp;qid=1695174281&amp;sr=8-3</v>
      </c>
      <c r="F2774" t="s">
        <v>6901</v>
      </c>
      <c r="G2774" t="e">
        <f ca="1">_xludf.IMAGE("https://edmondsonsupply.com/cdn/shop/products/k1412_b.jpg?v=1646350543")</f>
        <v>#NAME?</v>
      </c>
      <c r="H2774" t="e">
        <f ca="1">_xludf.IMAGE("https://m.media-amazon.com/images/I/51josYM6p8L._AC_UL320_.jpg")</f>
        <v>#NAME?</v>
      </c>
      <c r="I2774" t="s">
        <v>824</v>
      </c>
      <c r="J2774">
        <v>51.94</v>
      </c>
      <c r="K2774" s="4">
        <v>0.73309999999999997</v>
      </c>
      <c r="L2774">
        <v>5</v>
      </c>
      <c r="M2774">
        <v>1</v>
      </c>
      <c r="O2774" t="s">
        <v>25</v>
      </c>
      <c r="P2774" t="s">
        <v>6902</v>
      </c>
      <c r="Q2774" t="s">
        <v>6903</v>
      </c>
    </row>
    <row r="2775" spans="1:17" ht="15.5" x14ac:dyDescent="0.35">
      <c r="A2775" s="3" t="str">
        <f>HYPERLINK("https://edmondsonsupply.com/collections/electricians-tools/products/klein-tools-5183-tradesman-pro%E2%84%A2-drill-pouch", "https://edmondsonsupply.com/collections/electricians-tools/products/klein-tools-5183-tradesman-pro%E2%84%A2-drill-pouch")</f>
        <v>https://edmondsonsupply.com/collections/electricians-tools/products/klein-tools-5183-tradesman-pro%E2%84%A2-drill-pouch</v>
      </c>
      <c r="B2775" s="3" t="str">
        <f>HYPERLINK("https://edmondsonsupply.com/products/klein-tools-5183-tradesman-pro%e2%84%a2-drill-pouch", "https://edmondsonsupply.com/products/klein-tools-5183-tradesman-pro%e2%84%a2-drill-pouch")</f>
        <v>https://edmondsonsupply.com/products/klein-tools-5183-tradesman-pro%e2%84%a2-drill-pouch</v>
      </c>
      <c r="C2775" t="s">
        <v>359</v>
      </c>
      <c r="D2775" t="s">
        <v>395</v>
      </c>
      <c r="E2775" s="3" t="str">
        <f>HYPERLINK("https://www.amazon.com/Klein-Tools-Tradesman-Maintenance-Ballistic/dp/B0BGJ64ZZV/ref=sr_1_3?keywords=Klein+Tools+5183+Tool+Bag%2C+Tradesman+Pro%E2%84%A2+Drill+Pouch&amp;qid=1695173941&amp;sr=8-3", "https://www.amazon.com/Klein-Tools-Tradesman-Maintenance-Ballistic/dp/B0BGJ64ZZV/ref=sr_1_3?keywords=Klein+Tools+5183+Tool+Bag%2C+Tradesman+Pro%E2%84%A2+Drill+Pouch&amp;qid=1695173941&amp;sr=8-3")</f>
        <v>https://www.amazon.com/Klein-Tools-Tradesman-Maintenance-Ballistic/dp/B0BGJ64ZZV/ref=sr_1_3?keywords=Klein+Tools+5183+Tool+Bag%2C+Tradesman+Pro%E2%84%A2+Drill+Pouch&amp;qid=1695173941&amp;sr=8-3</v>
      </c>
      <c r="F2775" t="s">
        <v>396</v>
      </c>
      <c r="G2775" t="e">
        <f ca="1">_xludf.IMAGE("https://edmondsonsupply.com/cdn/shop/products/5183.jpg?v=1587145505")</f>
        <v>#NAME?</v>
      </c>
      <c r="H2775" t="e">
        <f ca="1">_xludf.IMAGE("https://m.media-amazon.com/images/I/51MhFcPcwgL._AC_UL320_.jpg")</f>
        <v>#NAME?</v>
      </c>
      <c r="I2775" t="s">
        <v>362</v>
      </c>
      <c r="J2775">
        <v>44.99</v>
      </c>
      <c r="K2775" s="4">
        <v>0.73109999999999997</v>
      </c>
      <c r="L2775">
        <v>4.5999999999999996</v>
      </c>
      <c r="M2775">
        <v>3</v>
      </c>
      <c r="O2775" t="s">
        <v>25</v>
      </c>
      <c r="P2775" t="s">
        <v>363</v>
      </c>
      <c r="Q2775" t="s">
        <v>364</v>
      </c>
    </row>
    <row r="2776" spans="1:17" ht="15.5" x14ac:dyDescent="0.35">
      <c r="A2776" s="3" t="str">
        <f>HYPERLINK("https://edmondsonsupply.com/collections/electricians-tools/products/greenlee-611-1-1-4-foam-conduit-piston", "https://edmondsonsupply.com/collections/electricians-tools/products/greenlee-611-1-1-4-foam-conduit-piston")</f>
        <v>https://edmondsonsupply.com/collections/electricians-tools/products/greenlee-611-1-1-4-foam-conduit-piston</v>
      </c>
      <c r="B2776" s="3" t="str">
        <f>HYPERLINK("https://edmondsonsupply.com/products/greenlee-611-1-1-4-foam-conduit-piston", "https://edmondsonsupply.com/products/greenlee-611-1-1-4-foam-conduit-piston")</f>
        <v>https://edmondsonsupply.com/products/greenlee-611-1-1-4-foam-conduit-piston</v>
      </c>
      <c r="C2776" t="s">
        <v>6315</v>
      </c>
      <c r="D2776" t="s">
        <v>6904</v>
      </c>
      <c r="E2776" s="3" t="str">
        <f>HYPERLINK("https://www.amazon.com/Greenlee-611-Single-Piston-Conduit/dp/B00270XDXM/ref=sr_1_6?keywords=Greenlee+611+1-1%2F4%22+Foam+Conduit+Piston&amp;qid=1695174011&amp;sr=8-6", "https://www.amazon.com/Greenlee-611-Single-Piston-Conduit/dp/B00270XDXM/ref=sr_1_6?keywords=Greenlee+611+1-1%2F4%22+Foam+Conduit+Piston&amp;qid=1695174011&amp;sr=8-6")</f>
        <v>https://www.amazon.com/Greenlee-611-Single-Piston-Conduit/dp/B00270XDXM/ref=sr_1_6?keywords=Greenlee+611+1-1%2F4%22+Foam+Conduit+Piston&amp;qid=1695174011&amp;sr=8-6</v>
      </c>
      <c r="F2776" t="s">
        <v>6905</v>
      </c>
      <c r="G2776" t="e">
        <f ca="1">_xludf.IMAGE("https://edmondsonsupply.com/cdn/shop/files/Greenlee-611_1.jpg?v=1687449194")</f>
        <v>#NAME?</v>
      </c>
      <c r="H2776" t="e">
        <f ca="1">_xludf.IMAGE("https://m.media-amazon.com/images/I/814+dDxYnOL._AC_UL320_.jpg")</f>
        <v>#NAME?</v>
      </c>
      <c r="I2776" t="s">
        <v>6318</v>
      </c>
      <c r="J2776">
        <v>15.37</v>
      </c>
      <c r="K2776" s="4">
        <v>0.72889999999999999</v>
      </c>
      <c r="L2776">
        <v>5</v>
      </c>
      <c r="M2776">
        <v>6</v>
      </c>
      <c r="O2776" t="s">
        <v>25</v>
      </c>
      <c r="P2776" t="s">
        <v>6319</v>
      </c>
      <c r="Q2776" t="s">
        <v>6320</v>
      </c>
    </row>
    <row r="2777" spans="1:17" ht="15.5" x14ac:dyDescent="0.35">
      <c r="A2777"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2777" s="3" t="str">
        <f>HYPERLINK("https://edmondsonsupply.com/products/klein-tools-630-3-8m-3-8-magnetic-tip-nut-driver-3-hollow-shank", "https://edmondsonsupply.com/products/klein-tools-630-3-8m-3-8-magnetic-tip-nut-driver-3-hollow-shank")</f>
        <v>https://edmondsonsupply.com/products/klein-tools-630-3-8m-3-8-magnetic-tip-nut-driver-3-hollow-shank</v>
      </c>
      <c r="C2777" t="s">
        <v>6055</v>
      </c>
      <c r="D2777" t="s">
        <v>4520</v>
      </c>
      <c r="E2777" s="3" t="str">
        <f>HYPERLINK("https://www.amazon.com/Klein-Tools-Hollow-Magnetic-Driver/dp/B00080FO5I/ref=sr_1_10?keywords=Klein+Tools+630-3%2F8M+3%2F8-Inch+Magnetic+Tip+Nut+Driver&amp;qid=1695174153&amp;sr=8-10", "https://www.amazon.com/Klein-Tools-Hollow-Magnetic-Driver/dp/B00080FO5I/ref=sr_1_10?keywords=Klein+Tools+630-3%2F8M+3%2F8-Inch+Magnetic+Tip+Nut+Driver&amp;qid=1695174153&amp;sr=8-10")</f>
        <v>https://www.amazon.com/Klein-Tools-Hollow-Magnetic-Driver/dp/B00080FO5I/ref=sr_1_10?keywords=Klein+Tools+630-3%2F8M+3%2F8-Inch+Magnetic+Tip+Nut+Driver&amp;qid=1695174153&amp;sr=8-10</v>
      </c>
      <c r="F2777" t="s">
        <v>4521</v>
      </c>
      <c r="G2777" t="e">
        <f ca="1">_xludf.IMAGE("https://edmondsonsupply.com/cdn/shop/products/630-3-8m.jpg?v=1587145139")</f>
        <v>#NAME?</v>
      </c>
      <c r="H2777" t="e">
        <f ca="1">_xludf.IMAGE("https://m.media-amazon.com/images/I/41lx1kHoCZL._AC_UL320_.jpg")</f>
        <v>#NAME?</v>
      </c>
      <c r="I2777" t="s">
        <v>6056</v>
      </c>
      <c r="J2777">
        <v>18.989999999999998</v>
      </c>
      <c r="K2777" s="4">
        <v>0.72789999999999999</v>
      </c>
      <c r="L2777">
        <v>4.5999999999999996</v>
      </c>
      <c r="M2777">
        <v>451</v>
      </c>
      <c r="O2777" t="s">
        <v>25</v>
      </c>
      <c r="P2777" t="s">
        <v>6057</v>
      </c>
      <c r="Q2777" t="s">
        <v>6058</v>
      </c>
    </row>
    <row r="2778" spans="1:17" ht="15.5" x14ac:dyDescent="0.35">
      <c r="A2778" s="3" t="str">
        <f>HYPERLINK("https://edmondsonsupply.com/collections/electricians-tools/products/diablo-tools-dou125bw", "https://edmondsonsupply.com/collections/electricians-tools/products/diablo-tools-dou125bw")</f>
        <v>https://edmondsonsupply.com/collections/electricians-tools/products/diablo-tools-dou125bw</v>
      </c>
      <c r="B2778" s="3" t="str">
        <f>HYPERLINK("https://edmondsonsupply.com/products/diablo-tools-dou125bw", "https://edmondsonsupply.com/products/diablo-tools-dou125bw")</f>
        <v>https://edmondsonsupply.com/products/diablo-tools-dou125bw</v>
      </c>
      <c r="C2778" t="s">
        <v>6906</v>
      </c>
      <c r="D2778" t="s">
        <v>6907</v>
      </c>
      <c r="E2778" s="3" t="str">
        <f>HYPERLINK("https://www.amazon.com/Diablo-Universal-Bi-Metal-Blades-Nail-Embedded/dp/B089KW4T8J/ref=sr_1_8?keywords=Diablo+Tools+DOU125BW+1-1%2F4+in.+Universal+Fit+Bi-Metal+Oscillating+Blade+for+Nail-Embedded+Wood&amp;qid=1695174264&amp;sr=8-8", "https://www.amazon.com/Diablo-Universal-Bi-Metal-Blades-Nail-Embedded/dp/B089KW4T8J/ref=sr_1_8?keywords=Diablo+Tools+DOU125BW+1-1%2F4+in.+Universal+Fit+Bi-Metal+Oscillating+Blade+for+Nail-Embedded+Wood&amp;qid=1695174264&amp;sr=8-8")</f>
        <v>https://www.amazon.com/Diablo-Universal-Bi-Metal-Blades-Nail-Embedded/dp/B089KW4T8J/ref=sr_1_8?keywords=Diablo+Tools+DOU125BW+1-1%2F4+in.+Universal+Fit+Bi-Metal+Oscillating+Blade+for+Nail-Embedded+Wood&amp;qid=1695174264&amp;sr=8-8</v>
      </c>
      <c r="F2778" t="s">
        <v>6908</v>
      </c>
      <c r="G2778" t="e">
        <f ca="1">_xludf.IMAGE("https://edmondsonsupply.com/cdn/shop/products/gnn0wpqc8veb3qhldcrb.webp?v=1676040020")</f>
        <v>#NAME?</v>
      </c>
      <c r="H2778" t="e">
        <f ca="1">_xludf.IMAGE("https://m.media-amazon.com/images/I/71fhfiK3NaL._AC_UL320_.jpg")</f>
        <v>#NAME?</v>
      </c>
      <c r="I2778" t="s">
        <v>2586</v>
      </c>
      <c r="J2778">
        <v>31</v>
      </c>
      <c r="K2778" s="4">
        <v>0.72509999999999997</v>
      </c>
      <c r="L2778">
        <v>4.8</v>
      </c>
      <c r="M2778">
        <v>37</v>
      </c>
      <c r="O2778" t="s">
        <v>25</v>
      </c>
      <c r="P2778" t="s">
        <v>2152</v>
      </c>
      <c r="Q2778" t="s">
        <v>6909</v>
      </c>
    </row>
    <row r="2779" spans="1:17" ht="15.5" x14ac:dyDescent="0.35">
      <c r="A2779"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2779"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2779" t="s">
        <v>6587</v>
      </c>
      <c r="D2779" t="s">
        <v>6910</v>
      </c>
      <c r="E2779" s="3" t="str">
        <f>HYPERLINK("https://www.amazon.com/Klein-Tools-Non-Contact-Voltage-Distance/dp/B07SLFX6B2/ref=sr_1_8?keywords=Klein+Tools+NCVT-2P+Dual+Range+Non-Contact+Voltage+Tester+12+-+1000V+AC&amp;qid=1695174301&amp;sr=8-8", "https://www.amazon.com/Klein-Tools-Non-Contact-Voltage-Distance/dp/B07SLFX6B2/ref=sr_1_8?keywords=Klein+Tools+NCVT-2P+Dual+Range+Non-Contact+Voltage+Tester+12+-+1000V+AC&amp;qid=1695174301&amp;sr=8-8")</f>
        <v>https://www.amazon.com/Klein-Tools-Non-Contact-Voltage-Distance/dp/B07SLFX6B2/ref=sr_1_8?keywords=Klein+Tools+NCVT-2P+Dual+Range+Non-Contact+Voltage+Tester+12+-+1000V+AC&amp;qid=1695174301&amp;sr=8-8</v>
      </c>
      <c r="F2779" t="s">
        <v>6911</v>
      </c>
      <c r="G2779" t="e">
        <f ca="1">_xludf.IMAGE("https://edmondsonsupply.com/cdn/shop/products/ncvt2p.jpg?v=1633030824")</f>
        <v>#NAME?</v>
      </c>
      <c r="H2779" t="e">
        <f ca="1">_xludf.IMAGE("https://m.media-amazon.com/images/I/519VhV+q+VL._AC_UL320_.jpg")</f>
        <v>#NAME?</v>
      </c>
      <c r="I2779" t="s">
        <v>6588</v>
      </c>
      <c r="J2779">
        <v>48.2</v>
      </c>
      <c r="K2779" s="4">
        <v>0.72330000000000005</v>
      </c>
      <c r="L2779">
        <v>4.7</v>
      </c>
      <c r="M2779">
        <v>4139</v>
      </c>
      <c r="O2779" t="s">
        <v>25</v>
      </c>
      <c r="P2779" t="s">
        <v>6589</v>
      </c>
      <c r="Q2779" t="s">
        <v>6590</v>
      </c>
    </row>
    <row r="2780" spans="1:17" ht="15.5" x14ac:dyDescent="0.35">
      <c r="A2780" s="3" t="str">
        <f>HYPERLINK("https://edmondsonsupply.com/collections/electricians-tools/products/klein-tools-85073ins-screwdriver-set-1000v-insulated-3-piece", "https://edmondsonsupply.com/collections/electricians-tools/products/klein-tools-85073ins-screwdriver-set-1000v-insulated-3-piece")</f>
        <v>https://edmondsonsupply.com/collections/electricians-tools/products/klein-tools-85073ins-screwdriver-set-1000v-insulated-3-piece</v>
      </c>
      <c r="B2780"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2780" t="s">
        <v>2244</v>
      </c>
      <c r="D2780" t="s">
        <v>2798</v>
      </c>
      <c r="E2780" s="3" t="str">
        <f>HYPERLINK("https://www.amazon.com/Klein-Tools-33734INS-Insulated-Screwdriver/dp/B088NQ1D2B/ref=sr_1_8?keywords=Klein+Tools+85073INS+Screwdriver+Set%2C+1000V+Insulated%2C+3-Piece&amp;qid=1695173857&amp;sr=8-8", "https://www.amazon.com/Klein-Tools-33734INS-Insulated-Screwdriver/dp/B088NQ1D2B/ref=sr_1_8?keywords=Klein+Tools+85073INS+Screwdriver+Set%2C+1000V+Insulated%2C+3-Piece&amp;qid=1695173857&amp;sr=8-8")</f>
        <v>https://www.amazon.com/Klein-Tools-33734INS-Insulated-Screwdriver/dp/B088NQ1D2B/ref=sr_1_8?keywords=Klein+Tools+85073INS+Screwdriver+Set%2C+1000V+Insulated%2C+3-Piece&amp;qid=1695173857&amp;sr=8-8</v>
      </c>
      <c r="F2780" t="s">
        <v>2799</v>
      </c>
      <c r="G2780" t="e">
        <f ca="1">_xludf.IMAGE("https://edmondsonsupply.com/cdn/shop/products/85073ins.jpg?v=1664890503")</f>
        <v>#NAME?</v>
      </c>
      <c r="H2780" t="e">
        <f ca="1">_xludf.IMAGE("https://m.media-amazon.com/images/I/41+LCtq0IpL._AC_UL320_.jpg")</f>
        <v>#NAME?</v>
      </c>
      <c r="I2780" t="s">
        <v>2247</v>
      </c>
      <c r="J2780">
        <v>37.700000000000003</v>
      </c>
      <c r="K2780" s="4">
        <v>0.71599999999999997</v>
      </c>
      <c r="L2780">
        <v>4.8</v>
      </c>
      <c r="M2780">
        <v>1361</v>
      </c>
      <c r="O2780" t="s">
        <v>25</v>
      </c>
      <c r="P2780" t="s">
        <v>2158</v>
      </c>
      <c r="Q2780" t="s">
        <v>2248</v>
      </c>
    </row>
    <row r="2781" spans="1:17" ht="15.5" x14ac:dyDescent="0.35">
      <c r="A2781"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2781" s="3" t="str">
        <f>HYPERLINK("https://edmondsonsupply.com/products/klein-tools-32500mag-11-in-1-magnetic-screwdriver-nut-driver", "https://edmondsonsupply.com/products/klein-tools-32500mag-11-in-1-magnetic-screwdriver-nut-driver")</f>
        <v>https://edmondsonsupply.com/products/klein-tools-32500mag-11-in-1-magnetic-screwdriver-nut-driver</v>
      </c>
      <c r="C2781" t="s">
        <v>6522</v>
      </c>
      <c r="D2781" t="s">
        <v>2283</v>
      </c>
      <c r="E2781" s="3" t="str">
        <f>HYPERLINK("https://www.amazon.com/Klein-Tools-Screwdriver-Electronic-Tamperproof/dp/B0BC81C7SH/ref=sr_1_5?keywords=Klein+Tools+32500MAG+11-in-1+Magnetic+Screwdriver+%2F+Nut+Driver&amp;qid=1695174303&amp;sr=8-5", "https://www.amazon.com/Klein-Tools-Screwdriver-Electronic-Tamperproof/dp/B0BC81C7SH/ref=sr_1_5?keywords=Klein+Tools+32500MAG+11-in-1+Magnetic+Screwdriver+%2F+Nut+Driver&amp;qid=1695174303&amp;sr=8-5")</f>
        <v>https://www.amazon.com/Klein-Tools-Screwdriver-Electronic-Tamperproof/dp/B0BC81C7SH/ref=sr_1_5?keywords=Klein+Tools+32500MAG+11-in-1+Magnetic+Screwdriver+%2F+Nut+Driver&amp;qid=1695174303&amp;sr=8-5</v>
      </c>
      <c r="F2781" t="s">
        <v>2284</v>
      </c>
      <c r="G2781" t="e">
        <f ca="1">_xludf.IMAGE("https://edmondsonsupply.com/cdn/shop/products/32500mag.jpg?v=1633030832")</f>
        <v>#NAME?</v>
      </c>
      <c r="H2781" t="e">
        <f ca="1">_xludf.IMAGE("https://m.media-amazon.com/images/I/412Eu5ze4AL._AC_UL320_.jpg")</f>
        <v>#NAME?</v>
      </c>
      <c r="I2781" t="s">
        <v>2288</v>
      </c>
      <c r="J2781">
        <v>35.94</v>
      </c>
      <c r="K2781" s="4">
        <v>0.71389999999999998</v>
      </c>
      <c r="L2781">
        <v>5</v>
      </c>
      <c r="M2781">
        <v>2</v>
      </c>
      <c r="O2781" t="s">
        <v>25</v>
      </c>
      <c r="P2781" t="s">
        <v>6525</v>
      </c>
      <c r="Q2781" t="s">
        <v>6526</v>
      </c>
    </row>
    <row r="2782" spans="1:17" ht="15.5" x14ac:dyDescent="0.35">
      <c r="A2782" s="3" t="str">
        <f>HYPERLINK("https://edmondsonsupply.com/collections/electricians-tools/products/milwaukee-49-56-0082-1-1-2-hole-dozer%E2%84%A2-hole-saw-bi-metal-cup", "https://edmondsonsupply.com/collections/electricians-tools/products/milwaukee-49-56-0082-1-1-2-hole-dozer%E2%84%A2-hole-saw-bi-metal-cup")</f>
        <v>https://edmondsonsupply.com/collections/electricians-tools/products/milwaukee-49-56-0082-1-1-2-hole-dozer%E2%84%A2-hole-saw-bi-metal-cup</v>
      </c>
      <c r="B2782" s="3" t="str">
        <f>HYPERLINK("https://edmondsonsupply.com/products/milwaukee-49-56-0082-1-1-2-hole-dozer%e2%84%a2-hole-saw-bi-metal-cup", "https://edmondsonsupply.com/products/milwaukee-49-56-0082-1-1-2-hole-dozer%e2%84%a2-hole-saw-bi-metal-cup")</f>
        <v>https://edmondsonsupply.com/products/milwaukee-49-56-0082-1-1-2-hole-dozer%e2%84%a2-hole-saw-bi-metal-cup</v>
      </c>
      <c r="C2782" t="s">
        <v>6188</v>
      </c>
      <c r="D2782" t="s">
        <v>6912</v>
      </c>
      <c r="E2782" s="3" t="str">
        <f>HYPERLINK("https://www.amazon.com/Hole-Dozer-Bm-Hlsw-1-1/dp/B007FUMZ24/ref=sr_1_3?keywords=Milwaukee+49-56-0082+1-1%2F2%22+HOLE+DOZER%E2%84%A2+Hole+Saw+Bi-Metal+Cup&amp;qid=1695174052&amp;sr=8-3", "https://www.amazon.com/Hole-Dozer-Bm-Hlsw-1-1/dp/B007FUMZ24/ref=sr_1_3?keywords=Milwaukee+49-56-0082+1-1%2F2%22+HOLE+DOZER%E2%84%A2+Hole+Saw+Bi-Metal+Cup&amp;qid=1695174052&amp;sr=8-3")</f>
        <v>https://www.amazon.com/Hole-Dozer-Bm-Hlsw-1-1/dp/B007FUMZ24/ref=sr_1_3?keywords=Milwaukee+49-56-0082+1-1%2F2%22+HOLE+DOZER%E2%84%A2+Hole+Saw+Bi-Metal+Cup&amp;qid=1695174052&amp;sr=8-3</v>
      </c>
      <c r="F2782" t="s">
        <v>6913</v>
      </c>
      <c r="G2782" t="e">
        <f ca="1">_xludf.IMAGE("https://edmondsonsupply.com/cdn/shop/products/49-56-0052_101_2_3e59b3b5-5134-4f73-a3fb-157d3c19d4d7.webp?v=1679416989")</f>
        <v>#NAME?</v>
      </c>
      <c r="H2782" t="e">
        <f ca="1">_xludf.IMAGE("https://m.media-amazon.com/images/I/51sy14XxUFL._AC_UL320_.jpg")</f>
        <v>#NAME?</v>
      </c>
      <c r="I2782" t="s">
        <v>2347</v>
      </c>
      <c r="J2782">
        <v>11.97</v>
      </c>
      <c r="K2782" s="4">
        <v>0.71240000000000003</v>
      </c>
      <c r="L2782">
        <v>4.9000000000000004</v>
      </c>
      <c r="M2782">
        <v>21</v>
      </c>
      <c r="O2782" t="s">
        <v>25</v>
      </c>
      <c r="P2782" t="s">
        <v>3464</v>
      </c>
      <c r="Q2782" t="s">
        <v>6191</v>
      </c>
    </row>
    <row r="2783" spans="1:17" ht="15.5" x14ac:dyDescent="0.35">
      <c r="A2783" s="3" t="str">
        <f>HYPERLINK("https://edmondsonsupply.com/collections/electricians-tools/products/channellock-804", "https://edmondsonsupply.com/collections/electricians-tools/products/channellock-804")</f>
        <v>https://edmondsonsupply.com/collections/electricians-tools/products/channellock-804</v>
      </c>
      <c r="B2783" s="3" t="str">
        <f>HYPERLINK("https://edmondsonsupply.com/products/channellock-804", "https://edmondsonsupply.com/products/channellock-804")</f>
        <v>https://edmondsonsupply.com/products/channellock-804</v>
      </c>
      <c r="C2783" t="s">
        <v>1551</v>
      </c>
      <c r="D2783" t="s">
        <v>2819</v>
      </c>
      <c r="E2783" s="3" t="str">
        <f>HYPERLINK("https://www.amazon.com/Channellock-Adjustable-Wrench-Chrome-Plated/dp/B017082YG2/ref=sr_1_1?keywords=Channellock+804+4-Inch+Chrome+Adjustable+Wrench&amp;qid=1695173945&amp;sr=8-1", "https://www.amazon.com/Channellock-Adjustable-Wrench-Chrome-Plated/dp/B017082YG2/ref=sr_1_1?keywords=Channellock+804+4-Inch+Chrome+Adjustable+Wrench&amp;qid=1695173945&amp;sr=8-1")</f>
        <v>https://www.amazon.com/Channellock-Adjustable-Wrench-Chrome-Plated/dp/B017082YG2/ref=sr_1_1?keywords=Channellock+804+4-Inch+Chrome+Adjustable+Wrench&amp;qid=1695173945&amp;sr=8-1</v>
      </c>
      <c r="F2783" t="s">
        <v>2820</v>
      </c>
      <c r="G2783" t="e">
        <f ca="1">_xludf.IMAGE("https://edmondsonsupply.com/cdn/shop/products/804-683x1024.jpg?v=1587145853")</f>
        <v>#NAME?</v>
      </c>
      <c r="H2783" t="e">
        <f ca="1">_xludf.IMAGE("https://m.media-amazon.com/images/I/51KTfUlRtzL._AC_UL320_.jpg")</f>
        <v>#NAME?</v>
      </c>
      <c r="I2783" t="s">
        <v>1554</v>
      </c>
      <c r="J2783">
        <v>28.91</v>
      </c>
      <c r="K2783" s="4">
        <v>0.7056</v>
      </c>
      <c r="L2783">
        <v>5</v>
      </c>
      <c r="M2783">
        <v>3</v>
      </c>
      <c r="O2783" t="s">
        <v>25</v>
      </c>
      <c r="P2783" t="s">
        <v>1555</v>
      </c>
      <c r="Q2783" t="s">
        <v>1556</v>
      </c>
    </row>
    <row r="2784" spans="1:17" ht="15.5" x14ac:dyDescent="0.35">
      <c r="A2784"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2784" s="3" t="str">
        <f>HYPERLINK("https://edmondsonsupply.com/products/klein-tools-d502-10-pump-pliers-10-inch", "https://edmondsonsupply.com/products/klein-tools-d502-10-pump-pliers-10-inch")</f>
        <v>https://edmondsonsupply.com/products/klein-tools-d502-10-pump-pliers-10-inch</v>
      </c>
      <c r="C2784" t="s">
        <v>6607</v>
      </c>
      <c r="D2784" t="s">
        <v>3719</v>
      </c>
      <c r="E2784" s="3" t="str">
        <f>HYPERLINK("https://www.amazon.com/Quick-Adjust-10-Inch-Klein-Tools-D504-10B/dp/B00BJ4ORDM/ref=sr_1_8?keywords=Klein+Tools+D502-10+Pump+Pliers%2C+10-Inch&amp;qid=1695174291&amp;sr=8-8", "https://www.amazon.com/Quick-Adjust-10-Inch-Klein-Tools-D504-10B/dp/B00BJ4ORDM/ref=sr_1_8?keywords=Klein+Tools+D502-10+Pump+Pliers%2C+10-Inch&amp;qid=1695174291&amp;sr=8-8")</f>
        <v>https://www.amazon.com/Quick-Adjust-10-Inch-Klein-Tools-D504-10B/dp/B00BJ4ORDM/ref=sr_1_8?keywords=Klein+Tools+D502-10+Pump+Pliers%2C+10-Inch&amp;qid=1695174291&amp;sr=8-8</v>
      </c>
      <c r="F2784" t="s">
        <v>3720</v>
      </c>
      <c r="G2784" t="e">
        <f ca="1">_xludf.IMAGE("https://edmondsonsupply.com/cdn/shop/products/d50210_alt1.jpg?v=1633030884")</f>
        <v>#NAME?</v>
      </c>
      <c r="H2784" t="e">
        <f ca="1">_xludf.IMAGE("https://m.media-amazon.com/images/I/51G8XuICYiL._AC_UL320_.jpg")</f>
        <v>#NAME?</v>
      </c>
      <c r="I2784" t="s">
        <v>471</v>
      </c>
      <c r="J2784">
        <v>42.56</v>
      </c>
      <c r="K2784" s="4">
        <v>0.70309999999999995</v>
      </c>
      <c r="L2784">
        <v>4.7</v>
      </c>
      <c r="M2784">
        <v>259</v>
      </c>
      <c r="O2784" t="s">
        <v>25</v>
      </c>
      <c r="P2784" t="s">
        <v>6610</v>
      </c>
      <c r="Q2784" t="s">
        <v>6611</v>
      </c>
    </row>
    <row r="2785" spans="1:17" ht="15.5" x14ac:dyDescent="0.35">
      <c r="A2785"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2785" s="3" t="str">
        <f>HYPERLINK("https://edmondsonsupply.com/products/klein-tools-935dag-digital-angle-gauge-and-level", "https://edmondsonsupply.com/products/klein-tools-935dag-digital-angle-gauge-and-level")</f>
        <v>https://edmondsonsupply.com/products/klein-tools-935dag-digital-angle-gauge-and-level</v>
      </c>
      <c r="C2785" t="s">
        <v>1924</v>
      </c>
      <c r="D2785" t="s">
        <v>2821</v>
      </c>
      <c r="E2785" s="3" t="str">
        <f>HYPERLINK("https://www.amazon.com/Klein-Tools-Electronic-Measures-Protractor/dp/B09P843CWF/ref=sr_1_8?keywords=Klein+Tools+935DAG+Digital+Angle+Gauge+and+Level&amp;qid=1695173893&amp;sr=8-8", "https://www.amazon.com/Klein-Tools-Electronic-Measures-Protractor/dp/B09P843CWF/ref=sr_1_8?keywords=Klein+Tools+935DAG+Digital+Angle+Gauge+and+Level&amp;qid=1695173893&amp;sr=8-8")</f>
        <v>https://www.amazon.com/Klein-Tools-Electronic-Measures-Protractor/dp/B09P843CWF/ref=sr_1_8?keywords=Klein+Tools+935DAG+Digital+Angle+Gauge+and+Level&amp;qid=1695173893&amp;sr=8-8</v>
      </c>
      <c r="F2785" t="s">
        <v>2822</v>
      </c>
      <c r="G2785" t="e">
        <f ca="1">_xludf.IMAGE("https://edmondsonsupply.com/cdn/shop/products/935dag.jpg?v=1587145032")</f>
        <v>#NAME?</v>
      </c>
      <c r="H2785" t="e">
        <f ca="1">_xludf.IMAGE("https://m.media-amazon.com/images/I/51nqC5OG7xL._AC_UL320_.jpg")</f>
        <v>#NAME?</v>
      </c>
      <c r="I2785" t="s">
        <v>824</v>
      </c>
      <c r="J2785">
        <v>51.04</v>
      </c>
      <c r="K2785" s="4">
        <v>0.70299999999999996</v>
      </c>
      <c r="L2785">
        <v>4.8</v>
      </c>
      <c r="M2785">
        <v>29</v>
      </c>
      <c r="O2785" t="s">
        <v>25</v>
      </c>
      <c r="P2785" t="s">
        <v>73</v>
      </c>
      <c r="Q2785" t="s">
        <v>1927</v>
      </c>
    </row>
    <row r="2786" spans="1:17" ht="15.5" x14ac:dyDescent="0.35">
      <c r="A2786" s="3" t="str">
        <f>HYPERLINK("https://edmondsonsupply.com/collections/electricians-tools/products/klein-tools-jth6e12be", "https://edmondsonsupply.com/collections/electricians-tools/products/klein-tools-jth6e12be")</f>
        <v>https://edmondsonsupply.com/collections/electricians-tools/products/klein-tools-jth6e12be</v>
      </c>
      <c r="B2786" s="3" t="str">
        <f>HYPERLINK("https://edmondsonsupply.com/products/klein-tools-jth6e12be", "https://edmondsonsupply.com/products/klein-tools-jth6e12be")</f>
        <v>https://edmondsonsupply.com/products/klein-tools-jth6e12be</v>
      </c>
      <c r="C2786" t="s">
        <v>6914</v>
      </c>
      <c r="D2786" t="s">
        <v>6915</v>
      </c>
      <c r="E2786" s="3" t="str">
        <f>HYPERLINK("https://www.amazon.com/32-Inch-Ball-End-Klein-Tools-BL14/dp/B00093DXVG/ref=sr_1_9?keywords=Klein+Tools+JTH6E12BE+7%2F32-Inch+Ball-End+Hex+Key%2C+Journeyman%E2%84%A2+T-Handle%2C+6-Inch&amp;qid=1695174135&amp;sr=8-9", "https://www.amazon.com/32-Inch-Ball-End-Klein-Tools-BL14/dp/B00093DXVG/ref=sr_1_9?keywords=Klein+Tools+JTH6E12BE+7%2F32-Inch+Ball-End+Hex+Key%2C+Journeyman%E2%84%A2+T-Handle%2C+6-Inch&amp;qid=1695174135&amp;sr=8-9")</f>
        <v>https://www.amazon.com/32-Inch-Ball-End-Klein-Tools-BL14/dp/B00093DXVG/ref=sr_1_9?keywords=Klein+Tools+JTH6E12BE+7%2F32-Inch+Ball-End+Hex+Key%2C+Journeyman%E2%84%A2+T-Handle%2C+6-Inch&amp;qid=1695174135&amp;sr=8-9</v>
      </c>
      <c r="F2786" t="s">
        <v>6916</v>
      </c>
      <c r="G2786" t="e">
        <f ca="1">_xludf.IMAGE("https://edmondsonsupply.com/cdn/shop/products/jth6e13be_a85bb43d-b61b-410b-8eb2-5915b239751a.jpg?v=1666110771")</f>
        <v>#NAME?</v>
      </c>
      <c r="H2786" t="e">
        <f ca="1">_xludf.IMAGE("https://m.media-amazon.com/images/I/41LcJXQVZbL._AC_UL320_.jpg")</f>
        <v>#NAME?</v>
      </c>
      <c r="I2786" t="s">
        <v>4617</v>
      </c>
      <c r="J2786">
        <v>11.04</v>
      </c>
      <c r="K2786" s="4">
        <v>0.70109999999999995</v>
      </c>
      <c r="L2786">
        <v>4.8</v>
      </c>
      <c r="M2786">
        <v>14</v>
      </c>
      <c r="O2786" t="s">
        <v>25</v>
      </c>
      <c r="P2786" t="s">
        <v>6917</v>
      </c>
      <c r="Q2786" t="s">
        <v>6918</v>
      </c>
    </row>
    <row r="2787" spans="1:17" ht="15.5" x14ac:dyDescent="0.35">
      <c r="A2787"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2787" s="3" t="str">
        <f>HYPERLINK("https://edmondsonsupply.com/products/klein-tools-69410-replacement-test-lead-set-right-angle", "https://edmondsonsupply.com/products/klein-tools-69410-replacement-test-lead-set-right-angle")</f>
        <v>https://edmondsonsupply.com/products/klein-tools-69410-replacement-test-lead-set-right-angle</v>
      </c>
      <c r="C2787" t="s">
        <v>1463</v>
      </c>
      <c r="D2787" t="s">
        <v>2828</v>
      </c>
      <c r="E2787" s="3" t="str">
        <f>HYPERLINK("https://www.amazon.com/Klein-Tools-Replacement-Alligator-Heavy-Duty/dp/B0C3B9WXP6/ref=sr_1_2?keywords=Klein+Tools+69410+Replacement+Test+Lead+Set%2C+Right+Angle&amp;qid=1695173944&amp;sr=8-2", "https://www.amazon.com/Klein-Tools-Replacement-Alligator-Heavy-Duty/dp/B0C3B9WXP6/ref=sr_1_2?keywords=Klein+Tools+69410+Replacement+Test+Lead+Set%2C+Right+Angle&amp;qid=1695173944&amp;sr=8-2")</f>
        <v>https://www.amazon.com/Klein-Tools-Replacement-Alligator-Heavy-Duty/dp/B0C3B9WXP6/ref=sr_1_2?keywords=Klein+Tools+69410+Replacement+Test+Lead+Set%2C+Right+Angle&amp;qid=1695173944&amp;sr=8-2</v>
      </c>
      <c r="F2787" t="s">
        <v>2829</v>
      </c>
      <c r="G2787" t="e">
        <f ca="1">_xludf.IMAGE("https://edmondsonsupply.com/cdn/shop/products/69410.jpg?v=1587143393")</f>
        <v>#NAME?</v>
      </c>
      <c r="H2787" t="e">
        <f ca="1">_xludf.IMAGE("https://m.media-amazon.com/images/I/51n7wUjxshL._AC_UY218_.jpg")</f>
        <v>#NAME?</v>
      </c>
      <c r="I2787" t="s">
        <v>893</v>
      </c>
      <c r="J2787">
        <v>33.96</v>
      </c>
      <c r="K2787" s="4">
        <v>0.7006</v>
      </c>
      <c r="L2787">
        <v>4.5</v>
      </c>
      <c r="M2787">
        <v>10</v>
      </c>
      <c r="O2787" t="s">
        <v>25</v>
      </c>
      <c r="P2787" t="s">
        <v>1466</v>
      </c>
      <c r="Q2787" t="s">
        <v>1467</v>
      </c>
    </row>
    <row r="2788" spans="1:17" ht="15.5" x14ac:dyDescent="0.35">
      <c r="A2788"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2788" s="3" t="str">
        <f>HYPERLINK("https://edmondsonsupply.com/products/klein-tools-d507-8-adjustable-wrench-extra-capacity-8-inch", "https://edmondsonsupply.com/products/klein-tools-d507-8-adjustable-wrench-extra-capacity-8-inch")</f>
        <v>https://edmondsonsupply.com/products/klein-tools-d507-8-adjustable-wrench-extra-capacity-8-inch</v>
      </c>
      <c r="C2788" t="s">
        <v>6699</v>
      </c>
      <c r="D2788" t="s">
        <v>6919</v>
      </c>
      <c r="E2788" s="3" t="str">
        <f>HYPERLINK("https://www.amazon.com/Adjustable-Capacity-Klein-Tools-D507-12/dp/B000936OVW/ref=sr_1_5?keywords=Klein+Tools+D507-8+Adjustable+Wrench%2C+Extra+Capacity+8-Inch&amp;qid=1695173949&amp;sr=8-5", "https://www.amazon.com/Adjustable-Capacity-Klein-Tools-D507-12/dp/B000936OVW/ref=sr_1_5?keywords=Klein+Tools+D507-8+Adjustable+Wrench%2C+Extra+Capacity+8-Inch&amp;qid=1695173949&amp;sr=8-5")</f>
        <v>https://www.amazon.com/Adjustable-Capacity-Klein-Tools-D507-12/dp/B000936OVW/ref=sr_1_5?keywords=Klein+Tools+D507-8+Adjustable+Wrench%2C+Extra+Capacity+8-Inch&amp;qid=1695173949&amp;sr=8-5</v>
      </c>
      <c r="F2788" t="s">
        <v>6920</v>
      </c>
      <c r="G2788" t="e">
        <f ca="1">_xludf.IMAGE("https://edmondsonsupply.com/cdn/shop/products/d5078_b.jpg?v=1666010497")</f>
        <v>#NAME?</v>
      </c>
      <c r="H2788" t="e">
        <f ca="1">_xludf.IMAGE("https://m.media-amazon.com/images/I/51Bvc2AeFZL._AC_UL320_.jpg")</f>
        <v>#NAME?</v>
      </c>
      <c r="I2788" t="s">
        <v>26</v>
      </c>
      <c r="J2788">
        <v>50.99</v>
      </c>
      <c r="K2788" s="4">
        <v>0.70020000000000004</v>
      </c>
      <c r="L2788">
        <v>4.8</v>
      </c>
      <c r="M2788">
        <v>383</v>
      </c>
      <c r="O2788" t="s">
        <v>25</v>
      </c>
      <c r="P2788" t="s">
        <v>1327</v>
      </c>
      <c r="Q2788" t="s">
        <v>6700</v>
      </c>
    </row>
    <row r="2789" spans="1:17" ht="15.5" x14ac:dyDescent="0.35">
      <c r="A2789"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2789"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2789" t="s">
        <v>6921</v>
      </c>
      <c r="D2789" t="s">
        <v>6922</v>
      </c>
      <c r="E2789" s="3" t="str">
        <f>HYPERLINK("https://www.amazon.com/Crescent-Wiss-Metalmaster-Straight-Aviation/dp/B087492PJS/ref=sr_1_7?keywords=Crescent+Wiss+M2P+9-3%2F4%22+Compound+Action+Straight+and+Right+Cut+Aviation+Snips&amp;qid=1695174052&amp;sr=8-7", "https://www.amazon.com/Crescent-Wiss-Metalmaster-Straight-Aviation/dp/B087492PJS/ref=sr_1_7?keywords=Crescent+Wiss+M2P+9-3%2F4%22+Compound+Action+Straight+and+Right+Cut+Aviation+Snips&amp;qid=1695174052&amp;sr=8-7")</f>
        <v>https://www.amazon.com/Crescent-Wiss-Metalmaster-Straight-Aviation/dp/B087492PJS/ref=sr_1_7?keywords=Crescent+Wiss+M2P+9-3%2F4%22+Compound+Action+Straight+and+Right+Cut+Aviation+Snips&amp;qid=1695174052&amp;sr=8-7</v>
      </c>
      <c r="F2789" t="s">
        <v>6923</v>
      </c>
      <c r="G2789" t="e">
        <f ca="1">_xludf.IMAGE("https://edmondsonsupply.com/cdn/shop/products/WIS_M2P_IMG_ANG_01.jpg?v=1679674099")</f>
        <v>#NAME?</v>
      </c>
      <c r="H2789" t="e">
        <f ca="1">_xludf.IMAGE("https://m.media-amazon.com/images/I/71EUUFflT7S._AC_UL320_.jpg")</f>
        <v>#NAME?</v>
      </c>
      <c r="I2789" t="s">
        <v>577</v>
      </c>
      <c r="J2789">
        <v>33.979999999999997</v>
      </c>
      <c r="K2789" s="4">
        <v>0.69979999999999998</v>
      </c>
      <c r="L2789">
        <v>4.0999999999999996</v>
      </c>
      <c r="M2789">
        <v>34</v>
      </c>
      <c r="O2789" t="s">
        <v>25</v>
      </c>
      <c r="P2789" t="s">
        <v>6924</v>
      </c>
      <c r="Q2789" t="s">
        <v>6925</v>
      </c>
    </row>
    <row r="2790" spans="1:17" ht="15.5" x14ac:dyDescent="0.35">
      <c r="A2790" s="3" t="str">
        <f>HYPERLINK("https://edmondsonsupply.com/collections/electricians-tools/products/reed-mfg-cw4-4-chrome-adjustable-wrench", "https://edmondsonsupply.com/collections/electricians-tools/products/reed-mfg-cw4-4-chrome-adjustable-wrench")</f>
        <v>https://edmondsonsupply.com/collections/electricians-tools/products/reed-mfg-cw4-4-chrome-adjustable-wrench</v>
      </c>
      <c r="B2790" s="3" t="str">
        <f>HYPERLINK("https://edmondsonsupply.com/products/reed-mfg-cw4-4-chrome-adjustable-wrench", "https://edmondsonsupply.com/products/reed-mfg-cw4-4-chrome-adjustable-wrench")</f>
        <v>https://edmondsonsupply.com/products/reed-mfg-cw4-4-chrome-adjustable-wrench</v>
      </c>
      <c r="C2790" t="s">
        <v>6926</v>
      </c>
      <c r="D2790" t="s">
        <v>6927</v>
      </c>
      <c r="E2790" s="3" t="str">
        <f>HYPERLINK("https://www.amazon.com/Reed-Tool-CW4-Chrome-Adjustable/dp/B001H4RT7K/ref=sr_1_2?keywords=Reed+Mfg+CW4+4%22+Chrome+Adjustable+Wrench&amp;qid=1695174271&amp;sr=8-2", "https://www.amazon.com/Reed-Tool-CW4-Chrome-Adjustable/dp/B001H4RT7K/ref=sr_1_2?keywords=Reed+Mfg+CW4+4%22+Chrome+Adjustable+Wrench&amp;qid=1695174271&amp;sr=8-2")</f>
        <v>https://www.amazon.com/Reed-Tool-CW4-Chrome-Adjustable/dp/B001H4RT7K/ref=sr_1_2?keywords=Reed+Mfg+CW4+4%22+Chrome+Adjustable+Wrench&amp;qid=1695174271&amp;sr=8-2</v>
      </c>
      <c r="F2790" t="s">
        <v>6928</v>
      </c>
      <c r="G2790" t="e">
        <f ca="1">_xludf.IMAGE("https://edmondsonsupply.com/cdn/shop/products/02199-CW4-RGB.jpg?v=1633031008")</f>
        <v>#NAME?</v>
      </c>
      <c r="H2790" t="e">
        <f ca="1">_xludf.IMAGE("https://m.media-amazon.com/images/I/51m4cRm98GL._AC_UL320_.jpg")</f>
        <v>#NAME?</v>
      </c>
      <c r="I2790" t="s">
        <v>6929</v>
      </c>
      <c r="J2790">
        <v>25.12</v>
      </c>
      <c r="K2790" s="4">
        <v>0.6996</v>
      </c>
      <c r="L2790">
        <v>1</v>
      </c>
      <c r="M2790">
        <v>1</v>
      </c>
      <c r="O2790" t="s">
        <v>25</v>
      </c>
      <c r="P2790" t="s">
        <v>6930</v>
      </c>
      <c r="Q2790" t="s">
        <v>6931</v>
      </c>
    </row>
    <row r="2791" spans="1:17" ht="15.5" x14ac:dyDescent="0.35">
      <c r="A2791"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2791" s="3" t="str">
        <f>HYPERLINK("https://edmondsonsupply.com/products/milwaukee-48-22-0305-folding-jab-saw", "https://edmondsonsupply.com/products/milwaukee-48-22-0305-folding-jab-saw")</f>
        <v>https://edmondsonsupply.com/products/milwaukee-48-22-0305-folding-jab-saw</v>
      </c>
      <c r="C2791" t="s">
        <v>2139</v>
      </c>
      <c r="D2791" t="s">
        <v>2139</v>
      </c>
      <c r="E2791" s="3" t="str">
        <f>HYPERLINK("https://www.amazon.com/Milwaukee-48-22-0305-Folding-Jab-Saw/dp/B07FB3LJ2M/ref=sr_1_4?keywords=Milwaukee+48-22-0305+Folding+Jab+Saw&amp;qid=1695173950&amp;sr=8-4", "https://www.amazon.com/Milwaukee-48-22-0305-Folding-Jab-Saw/dp/B07FB3LJ2M/ref=sr_1_4?keywords=Milwaukee+48-22-0305+Folding+Jab+Saw&amp;qid=1695173950&amp;sr=8-4")</f>
        <v>https://www.amazon.com/Milwaukee-48-22-0305-Folding-Jab-Saw/dp/B07FB3LJ2M/ref=sr_1_4?keywords=Milwaukee+48-22-0305+Folding+Jab+Saw&amp;qid=1695173950&amp;sr=8-4</v>
      </c>
      <c r="F2791" t="s">
        <v>2837</v>
      </c>
      <c r="G2791" t="e">
        <f ca="1">_xludf.IMAGE("https://edmondsonsupply.com/cdn/shop/products/49678_48-22-0305-lg.jpg?v=1587148349")</f>
        <v>#NAME?</v>
      </c>
      <c r="H2791" t="e">
        <f ca="1">_xludf.IMAGE("https://m.media-amazon.com/images/I/31MwF2AgpNL._AC_UL320_.jpg")</f>
        <v>#NAME?</v>
      </c>
      <c r="I2791" t="s">
        <v>893</v>
      </c>
      <c r="J2791">
        <v>33.869999999999997</v>
      </c>
      <c r="K2791" s="4">
        <v>0.69599999999999995</v>
      </c>
      <c r="L2791">
        <v>4.0999999999999996</v>
      </c>
      <c r="M2791">
        <v>19</v>
      </c>
      <c r="O2791" t="s">
        <v>25</v>
      </c>
      <c r="P2791" t="s">
        <v>2142</v>
      </c>
      <c r="Q2791" t="s">
        <v>2143</v>
      </c>
    </row>
    <row r="2792" spans="1:17" ht="15.5" x14ac:dyDescent="0.35">
      <c r="A2792"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2792"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2792" t="s">
        <v>6932</v>
      </c>
      <c r="D2792" t="s">
        <v>6933</v>
      </c>
      <c r="E2792" s="3" t="str">
        <f>HYPERLINK("https://www.amazon.com/Diablo-Freud-DOU125JBW3-Universal-Oscillating/dp/B089KX3SWM/ref=sr_1_2?keywords=Diablo+Tools+DOU250JBW+2-1%2F2+in.+Universal+Fit+Bi-Metal+Oscillating+Blade+for+Clean+Wood&amp;qid=1695174020&amp;sr=8-2", "https://www.amazon.com/Diablo-Freud-DOU125JBW3-Universal-Oscillating/dp/B089KX3SWM/ref=sr_1_2?keywords=Diablo+Tools+DOU250JBW+2-1%2F2+in.+Universal+Fit+Bi-Metal+Oscillating+Blade+for+Clean+Wood&amp;qid=1695174020&amp;sr=8-2")</f>
        <v>https://www.amazon.com/Diablo-Freud-DOU125JBW3-Universal-Oscillating/dp/B089KX3SWM/ref=sr_1_2?keywords=Diablo+Tools+DOU250JBW+2-1%2F2+in.+Universal+Fit+Bi-Metal+Oscillating+Blade+for+Clean+Wood&amp;qid=1695174020&amp;sr=8-2</v>
      </c>
      <c r="F2792" t="s">
        <v>6934</v>
      </c>
      <c r="G2792" t="e">
        <f ca="1">_xludf.IMAGE("https://edmondsonsupply.com/cdn/shop/files/pycnap4eb1urn2hxvudq.webp?v=1685718789")</f>
        <v>#NAME?</v>
      </c>
      <c r="H2792" t="e">
        <f ca="1">_xludf.IMAGE("https://m.media-amazon.com/images/I/61wFHtmEH5L._AC_UL320_.jpg")</f>
        <v>#NAME?</v>
      </c>
      <c r="I2792" t="s">
        <v>6935</v>
      </c>
      <c r="J2792">
        <v>26.5</v>
      </c>
      <c r="K2792" s="4">
        <v>0.69330000000000003</v>
      </c>
      <c r="L2792">
        <v>4.5</v>
      </c>
      <c r="M2792">
        <v>48</v>
      </c>
      <c r="O2792" t="s">
        <v>25</v>
      </c>
      <c r="P2792" t="s">
        <v>6936</v>
      </c>
      <c r="Q2792" t="s">
        <v>6937</v>
      </c>
    </row>
    <row r="2793" spans="1:17" ht="15.5" x14ac:dyDescent="0.35">
      <c r="A2793"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2793"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2793" t="s">
        <v>6870</v>
      </c>
      <c r="D2793" t="s">
        <v>6252</v>
      </c>
      <c r="E2793" s="3" t="str">
        <f>HYPERLINK("https://www.amazon.com/Klein-Tools-JTH6E09BE-Ball-End-Journeyman/dp/B0CGLVC75M/ref=sr_1_7?keywords=Klein+Tools+JTH6E14BE+5%2F16-Inch+Ball+End+Hex+Key+with+T-Handle%2C+6-Inch&amp;qid=1695174246&amp;sr=8-7", "https://www.amazon.com/Klein-Tools-JTH6E09BE-Ball-End-Journeyman/dp/B0CGLVC75M/ref=sr_1_7?keywords=Klein+Tools+JTH6E14BE+5%2F16-Inch+Ball+End+Hex+Key+with+T-Handle%2C+6-Inch&amp;qid=1695174246&amp;sr=8-7")</f>
        <v>https://www.amazon.com/Klein-Tools-JTH6E09BE-Ball-End-Journeyman/dp/B0CGLVC75M/ref=sr_1_7?keywords=Klein+Tools+JTH6E14BE+5%2F16-Inch+Ball+End+Hex+Key+with+T-Handle%2C+6-Inch&amp;qid=1695174246&amp;sr=8-7</v>
      </c>
      <c r="F2793" t="s">
        <v>6253</v>
      </c>
      <c r="G2793" t="e">
        <f ca="1">_xludf.IMAGE("https://edmondsonsupply.com/cdn/shop/products/jth6e13be_0da4cca6-ce15-419c-bc75-cd610bd9637f.jpg?v=1629825198")</f>
        <v>#NAME?</v>
      </c>
      <c r="H2793" t="e">
        <f ca="1">_xludf.IMAGE("https://m.media-amazon.com/images/I/41bN+I19ReL._AC_UL320_.jpg")</f>
        <v>#NAME?</v>
      </c>
      <c r="I2793" t="s">
        <v>6394</v>
      </c>
      <c r="J2793">
        <v>14.36</v>
      </c>
      <c r="K2793" s="4">
        <v>0.69140000000000001</v>
      </c>
      <c r="L2793">
        <v>4.9000000000000004</v>
      </c>
      <c r="M2793">
        <v>65</v>
      </c>
      <c r="O2793" t="s">
        <v>25</v>
      </c>
      <c r="P2793" t="s">
        <v>6871</v>
      </c>
      <c r="Q2793" t="s">
        <v>6872</v>
      </c>
    </row>
    <row r="2794" spans="1:17" ht="15.5" x14ac:dyDescent="0.35">
      <c r="A2794"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2794" s="3" t="str">
        <f>HYPERLINK("https://edmondsonsupply.com/products/fluke-373-true-rms-ac-clamp-meter", "https://edmondsonsupply.com/products/fluke-373-true-rms-ac-clamp-meter")</f>
        <v>https://edmondsonsupply.com/products/fluke-373-true-rms-ac-clamp-meter</v>
      </c>
      <c r="C2794" t="s">
        <v>5826</v>
      </c>
      <c r="D2794" t="s">
        <v>5827</v>
      </c>
      <c r="E2794" s="3" t="str">
        <f>HYPERLINK("https://www.amazon.com/Fluke-374-FC-AMZN-NIST-Traceable-Calibration-Certificate/dp/B01CFXIMCC/ref=sr_1_7?keywords=Fluke+373+True-RMS+AC+Clamp+Meter&amp;qid=1695173996&amp;sr=8-7", "https://www.amazon.com/Fluke-374-FC-AMZN-NIST-Traceable-Calibration-Certificate/dp/B01CFXIMCC/ref=sr_1_7?keywords=Fluke+373+True-RMS+AC+Clamp+Meter&amp;qid=1695173996&amp;sr=8-7")</f>
        <v>https://www.amazon.com/Fluke-374-FC-AMZN-NIST-Traceable-Calibration-Certificate/dp/B01CFXIMCC/ref=sr_1_7?keywords=Fluke+373+True-RMS+AC+Clamp+Meter&amp;qid=1695173996&amp;sr=8-7</v>
      </c>
      <c r="F2794" t="s">
        <v>5828</v>
      </c>
      <c r="G2794" t="e">
        <f ca="1">_xludf.IMAGE("https://edmondsonsupply.com/cdn/shop/files/f-373-01d-1500x1000.webp?v=1689369435")</f>
        <v>#NAME?</v>
      </c>
      <c r="H2794" t="e">
        <f ca="1">_xludf.IMAGE("https://m.media-amazon.com/images/I/61cUiZ0qhwL._AC_UY218_.jpg")</f>
        <v>#NAME?</v>
      </c>
      <c r="I2794" t="s">
        <v>5829</v>
      </c>
      <c r="J2794">
        <v>490</v>
      </c>
      <c r="K2794" s="4">
        <v>0.68940000000000001</v>
      </c>
      <c r="L2794">
        <v>3.8</v>
      </c>
      <c r="M2794">
        <v>12</v>
      </c>
      <c r="O2794" t="s">
        <v>25</v>
      </c>
      <c r="P2794" t="s">
        <v>138</v>
      </c>
      <c r="Q2794" t="s">
        <v>5830</v>
      </c>
    </row>
    <row r="2795" spans="1:17" ht="15.5" x14ac:dyDescent="0.35">
      <c r="A2795"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2795" s="3" t="str">
        <f>HYPERLINK("https://edmondsonsupply.com/products/klein-tools-646-5-16-5-16-inch-nut-driver-6-inch-hollow-shaft", "https://edmondsonsupply.com/products/klein-tools-646-5-16-5-16-inch-nut-driver-6-inch-hollow-shaft")</f>
        <v>https://edmondsonsupply.com/products/klein-tools-646-5-16-5-16-inch-nut-driver-6-inch-hollow-shaft</v>
      </c>
      <c r="C2795" t="s">
        <v>1893</v>
      </c>
      <c r="D2795" t="s">
        <v>6938</v>
      </c>
      <c r="E2795" s="3" t="str">
        <f>HYPERLINK("https://www.amazon.com/Klein-Tools-646-5-Cushion-Grip-Hollow-Shank/dp/B000QJHJSG/ref=sr_1_10?keywords=Klein+Tools+646-5%2F16+5%2F16-Inch+Nut+Driver%2C+6-Inch+Hollow+Shaft&amp;qid=1695173904&amp;sr=8-10", "https://www.amazon.com/Klein-Tools-646-5-Cushion-Grip-Hollow-Shank/dp/B000QJHJSG/ref=sr_1_10?keywords=Klein+Tools+646-5%2F16+5%2F16-Inch+Nut+Driver%2C+6-Inch+Hollow+Shaft&amp;qid=1695173904&amp;sr=8-10")</f>
        <v>https://www.amazon.com/Klein-Tools-646-5-Cushion-Grip-Hollow-Shank/dp/B000QJHJSG/ref=sr_1_10?keywords=Klein+Tools+646-5%2F16+5%2F16-Inch+Nut+Driver%2C+6-Inch+Hollow+Shaft&amp;qid=1695173904&amp;sr=8-10</v>
      </c>
      <c r="F2795" t="s">
        <v>6939</v>
      </c>
      <c r="G2795" t="e">
        <f ca="1">_xludf.IMAGE("https://edmondsonsupply.com/cdn/shop/products/646-1-2_e1540905-f750-4509-90c5-74ff653e4d83.jpg?v=1587145119")</f>
        <v>#NAME?</v>
      </c>
      <c r="H2795" t="e">
        <f ca="1">_xludf.IMAGE("https://m.media-amazon.com/images/I/41esdWE3JCL._AC_UL320_.jpg")</f>
        <v>#NAME?</v>
      </c>
      <c r="I2795" t="s">
        <v>1003</v>
      </c>
      <c r="J2795">
        <v>13.49</v>
      </c>
      <c r="K2795" s="4">
        <v>0.68840000000000001</v>
      </c>
      <c r="L2795">
        <v>4.9000000000000004</v>
      </c>
      <c r="M2795">
        <v>45</v>
      </c>
      <c r="O2795" t="s">
        <v>25</v>
      </c>
      <c r="P2795" t="s">
        <v>1481</v>
      </c>
      <c r="Q2795" t="s">
        <v>1896</v>
      </c>
    </row>
    <row r="2796" spans="1:17" ht="15.5" x14ac:dyDescent="0.35">
      <c r="A2796"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2796" s="3" t="str">
        <f>HYPERLINK("https://edmondsonsupply.com/products/klein-tools-et450-advanced-circuit-tracer-kit", "https://edmondsonsupply.com/products/klein-tools-et450-advanced-circuit-tracer-kit")</f>
        <v>https://edmondsonsupply.com/products/klein-tools-et450-advanced-circuit-tracer-kit</v>
      </c>
      <c r="C2796" t="s">
        <v>2849</v>
      </c>
      <c r="D2796" t="s">
        <v>2850</v>
      </c>
      <c r="E2796" s="3" t="str">
        <f>HYPERLINK("https://www.amazon.com/Klein-Tools-Megohmmeter-Insulation-Ohms-Resistance-Auto-Ranging/dp/B0C2V14DQF/ref=sr_1_9?keywords=Klein+Tools+ET450+Advanced+Circuit+Tracer+Kit&amp;qid=1695173869&amp;sr=8-9", "https://www.amazon.com/Klein-Tools-Megohmmeter-Insulation-Ohms-Resistance-Auto-Ranging/dp/B0C2V14DQF/ref=sr_1_9?keywords=Klein+Tools+ET450+Advanced+Circuit+Tracer+Kit&amp;qid=1695173869&amp;sr=8-9")</f>
        <v>https://www.amazon.com/Klein-Tools-Megohmmeter-Insulation-Ohms-Resistance-Auto-Ranging/dp/B0C2V14DQF/ref=sr_1_9?keywords=Klein+Tools+ET450+Advanced+Circuit+Tracer+Kit&amp;qid=1695173869&amp;sr=8-9</v>
      </c>
      <c r="F2796" t="s">
        <v>2851</v>
      </c>
      <c r="G2796" t="e">
        <f ca="1">_xludf.IMAGE("https://edmondsonsupply.com/cdn/shop/products/et450.jpg?v=1660165248")</f>
        <v>#NAME?</v>
      </c>
      <c r="H2796" t="e">
        <f ca="1">_xludf.IMAGE("https://m.media-amazon.com/images/I/61413mHKf0L._AC_UL320_.jpg")</f>
        <v>#NAME?</v>
      </c>
      <c r="I2796" t="s">
        <v>759</v>
      </c>
      <c r="J2796">
        <v>404.98</v>
      </c>
      <c r="K2796" s="4">
        <v>0.6875</v>
      </c>
      <c r="L2796">
        <v>5</v>
      </c>
      <c r="M2796">
        <v>1</v>
      </c>
      <c r="O2796" t="s">
        <v>25</v>
      </c>
      <c r="P2796" t="s">
        <v>2852</v>
      </c>
      <c r="Q2796" t="s">
        <v>2853</v>
      </c>
    </row>
    <row r="2797" spans="1:17" ht="15.5" x14ac:dyDescent="0.35">
      <c r="A2797"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2797"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2797" t="s">
        <v>6940</v>
      </c>
      <c r="D2797" t="s">
        <v>6941</v>
      </c>
      <c r="E2797" s="3" t="str">
        <f>HYPERLINK("https://www.amazon.com/Diablo-Freud-DOU125CF3-Universal-Oscillating/dp/B089LKXD7L/ref=sr_1_8?keywords=Diablo+Tools+DOU125BF+1-1%2F4+in.+Universal+Fit+Bi-Metal+Oscillating+Blade+for+Metal&amp;qid=1695174025&amp;sr=8-8", "https://www.amazon.com/Diablo-Freud-DOU125CF3-Universal-Oscillating/dp/B089LKXD7L/ref=sr_1_8?keywords=Diablo+Tools+DOU125BF+1-1%2F4+in.+Universal+Fit+Bi-Metal+Oscillating+Blade+for+Metal&amp;qid=1695174025&amp;sr=8-8")</f>
        <v>https://www.amazon.com/Diablo-Freud-DOU125CF3-Universal-Oscillating/dp/B089LKXD7L/ref=sr_1_8?keywords=Diablo+Tools+DOU125BF+1-1%2F4+in.+Universal+Fit+Bi-Metal+Oscillating+Blade+for+Metal&amp;qid=1695174025&amp;sr=8-8</v>
      </c>
      <c r="F2797" t="s">
        <v>6942</v>
      </c>
      <c r="G2797" t="e">
        <f ca="1">_xludf.IMAGE("https://edmondsonsupply.com/cdn/shop/files/k1d1qiwmm4npznsdbwtg.webp?v=1685467858")</f>
        <v>#NAME?</v>
      </c>
      <c r="H2797" t="e">
        <f ca="1">_xludf.IMAGE("https://m.media-amazon.com/images/I/71izb0UUOkL._AC_UL320_.jpg")</f>
        <v>#NAME?</v>
      </c>
      <c r="I2797" t="s">
        <v>6164</v>
      </c>
      <c r="J2797">
        <v>32</v>
      </c>
      <c r="K2797" s="4">
        <v>0.68689999999999996</v>
      </c>
      <c r="L2797">
        <v>4.5</v>
      </c>
      <c r="M2797">
        <v>164</v>
      </c>
      <c r="O2797" t="s">
        <v>25</v>
      </c>
      <c r="P2797" t="s">
        <v>6943</v>
      </c>
      <c r="Q2797" t="s">
        <v>6944</v>
      </c>
    </row>
    <row r="2798" spans="1:17" ht="15.5" x14ac:dyDescent="0.35">
      <c r="A2798"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2798" s="3" t="str">
        <f>HYPERLINK("https://edmondsonsupply.com/products/greenlee-dtap1-4-20-drill-tap-1-4-20", "https://edmondsonsupply.com/products/greenlee-dtap1-4-20-drill-tap-1-4-20")</f>
        <v>https://edmondsonsupply.com/products/greenlee-dtap1-4-20-drill-tap-1-4-20</v>
      </c>
      <c r="C2798" t="s">
        <v>2854</v>
      </c>
      <c r="D2798" t="s">
        <v>2855</v>
      </c>
      <c r="E2798" s="3" t="str">
        <f>HYPERLINK("https://www.amazon.com/Greenlee-LDTAP1-4-20-Long-Drill/dp/B00E62G6AG/ref=sr_1_2?keywords=Greenlee+DTAP1%2F4-20+Drill%2FTap%2C+1%2F4-20&amp;qid=1695173937&amp;sr=8-2", "https://www.amazon.com/Greenlee-LDTAP1-4-20-Long-Drill/dp/B00E62G6AG/ref=sr_1_2?keywords=Greenlee+DTAP1%2F4-20+Drill%2FTap%2C+1%2F4-20&amp;qid=1695173937&amp;sr=8-2")</f>
        <v>https://www.amazon.com/Greenlee-LDTAP1-4-20-Long-Drill/dp/B00E62G6AG/ref=sr_1_2?keywords=Greenlee+DTAP1%2F4-20+Drill%2FTap%2C+1%2F4-20&amp;qid=1695173937&amp;sr=8-2</v>
      </c>
      <c r="F2798" t="s">
        <v>2856</v>
      </c>
      <c r="G2798" t="e">
        <f ca="1">_xludf.IMAGE("https://edmondsonsupply.com/cdn/shop/products/DTAP1-4-20.jpg?v=1587151009")</f>
        <v>#NAME?</v>
      </c>
      <c r="H2798" t="e">
        <f ca="1">_xludf.IMAGE("https://m.media-amazon.com/images/I/61R41z3ZKQL._AC_UL320_.jpg")</f>
        <v>#NAME?</v>
      </c>
      <c r="I2798" t="s">
        <v>924</v>
      </c>
      <c r="J2798">
        <v>15.16</v>
      </c>
      <c r="K2798" s="4">
        <v>0.68630000000000002</v>
      </c>
      <c r="L2798">
        <v>3.7</v>
      </c>
      <c r="M2798">
        <v>7</v>
      </c>
      <c r="O2798" t="s">
        <v>25</v>
      </c>
      <c r="P2798" t="s">
        <v>2857</v>
      </c>
      <c r="Q2798" t="s">
        <v>2858</v>
      </c>
    </row>
    <row r="2799" spans="1:17" ht="15.5" x14ac:dyDescent="0.35">
      <c r="A2799"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2799"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2799" t="s">
        <v>2391</v>
      </c>
      <c r="D2799" t="s">
        <v>2859</v>
      </c>
      <c r="E2799" s="3" t="str">
        <f>HYPERLINK("https://www.amazon.com/Journeyman-T-Handle-Klein-Tools-JTH6M3BE/dp/B005G394V2/ref=sr_1_4?keywords=Klein+Tools+JTH6E11+3%2F16-Inch+Hex+Key%2C+Journeyman+T-Handle%2C+6-Inch&amp;qid=1695173898&amp;sr=8-4", "https://www.amazon.com/Journeyman-T-Handle-Klein-Tools-JTH6M3BE/dp/B005G394V2/ref=sr_1_4?keywords=Klein+Tools+JTH6E11+3%2F16-Inch+Hex+Key%2C+Journeyman+T-Handle%2C+6-Inch&amp;qid=1695173898&amp;sr=8-4")</f>
        <v>https://www.amazon.com/Journeyman-T-Handle-Klein-Tools-JTH6M3BE/dp/B005G394V2/ref=sr_1_4?keywords=Klein+Tools+JTH6E11+3%2F16-Inch+Hex+Key%2C+Journeyman+T-Handle%2C+6-Inch&amp;qid=1695173898&amp;sr=8-4</v>
      </c>
      <c r="F2799" t="s">
        <v>2860</v>
      </c>
      <c r="G2799" t="e">
        <f ca="1">_xludf.IMAGE("https://edmondsonsupply.com/cdn/shop/products/jth6e15_0266106d-0a3b-44ba-997b-66db7749d83f.jpg?v=1587144829")</f>
        <v>#NAME?</v>
      </c>
      <c r="H2799" t="e">
        <f ca="1">_xludf.IMAGE("https://m.media-amazon.com/images/I/51huXA+ij8L._AC_UL320_.jpg")</f>
        <v>#NAME?</v>
      </c>
      <c r="I2799" t="s">
        <v>2388</v>
      </c>
      <c r="J2799">
        <v>8.41</v>
      </c>
      <c r="K2799" s="4">
        <v>0.68540000000000001</v>
      </c>
      <c r="L2799">
        <v>4.5999999999999996</v>
      </c>
      <c r="M2799">
        <v>184</v>
      </c>
      <c r="O2799" t="s">
        <v>25</v>
      </c>
      <c r="P2799" t="s">
        <v>2392</v>
      </c>
      <c r="Q2799" t="s">
        <v>2393</v>
      </c>
    </row>
    <row r="2800" spans="1:17" ht="15.5" x14ac:dyDescent="0.35">
      <c r="A2800"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2800" s="3" t="str">
        <f>HYPERLINK("https://edmondsonsupply.com/products/klein-tools-jth4e17-1-2-inch-hex-key-journeyman-t-handle-4-inch", "https://edmondsonsupply.com/products/klein-tools-jth4e17-1-2-inch-hex-key-journeyman-t-handle-4-inch")</f>
        <v>https://edmondsonsupply.com/products/klein-tools-jth4e17-1-2-inch-hex-key-journeyman-t-handle-4-inch</v>
      </c>
      <c r="C2800" t="s">
        <v>2385</v>
      </c>
      <c r="D2800" t="s">
        <v>2859</v>
      </c>
      <c r="E2800" s="3" t="str">
        <f>HYPERLINK("https://www.amazon.com/Journeyman-T-Handle-Klein-Tools-JTH6M3BE/dp/B005G394V2/ref=sr_1_7?keywords=Klein+Tools+JTH4E11+3%2F16-Inch+Hex+Key+with+Journeyman+T-Handle%2C+4-Inch&amp;qid=1695173897&amp;sr=8-7", "https://www.amazon.com/Journeyman-T-Handle-Klein-Tools-JTH6M3BE/dp/B005G394V2/ref=sr_1_7?keywords=Klein+Tools+JTH4E11+3%2F16-Inch+Hex+Key+with+Journeyman+T-Handle%2C+4-Inch&amp;qid=1695173897&amp;sr=8-7")</f>
        <v>https://www.amazon.com/Journeyman-T-Handle-Klein-Tools-JTH6M3BE/dp/B005G394V2/ref=sr_1_7?keywords=Klein+Tools+JTH4E11+3%2F16-Inch+Hex+Key+with+Journeyman+T-Handle%2C+4-Inch&amp;qid=1695173897&amp;sr=8-7</v>
      </c>
      <c r="F2800" t="s">
        <v>2860</v>
      </c>
      <c r="G2800" t="e">
        <f ca="1">_xludf.IMAGE("https://edmondsonsupply.com/cdn/shop/products/jth4e17.jpg?v=1587144836")</f>
        <v>#NAME?</v>
      </c>
      <c r="H2800" t="e">
        <f ca="1">_xludf.IMAGE("https://m.media-amazon.com/images/I/51huXA+ij8L._AC_UL320_.jpg")</f>
        <v>#NAME?</v>
      </c>
      <c r="I2800" t="s">
        <v>2388</v>
      </c>
      <c r="J2800">
        <v>8.41</v>
      </c>
      <c r="K2800" s="4">
        <v>0.68540000000000001</v>
      </c>
      <c r="L2800">
        <v>4.5999999999999996</v>
      </c>
      <c r="M2800">
        <v>184</v>
      </c>
      <c r="O2800" t="s">
        <v>25</v>
      </c>
      <c r="P2800" t="s">
        <v>2389</v>
      </c>
      <c r="Q2800" t="s">
        <v>2390</v>
      </c>
    </row>
    <row r="2801" spans="1:17" ht="15.5" x14ac:dyDescent="0.35">
      <c r="A2801"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2801" s="3" t="str">
        <f>HYPERLINK("https://edmondsonsupply.com/products/klein-tools-jth6m10-10-mm-hex-key-journeyman-t-handle-6-inch", "https://edmondsonsupply.com/products/klein-tools-jth6m10-10-mm-hex-key-journeyman-t-handle-6-inch")</f>
        <v>https://edmondsonsupply.com/products/klein-tools-jth6m10-10-mm-hex-key-journeyman-t-handle-6-inch</v>
      </c>
      <c r="C2801" t="s">
        <v>6945</v>
      </c>
      <c r="D2801" t="s">
        <v>6226</v>
      </c>
      <c r="E2801" s="3" t="str">
        <f>HYPERLINK("https://www.amazon.com/Journeyman-T-Handle-Klein-Tools-JTH9M10/dp/B005G3HIA6/ref=sr_1_2?keywords=Klein+Tools+JTH6M10+10+mm+Hex+Key+Journeyman+T-Handle+6-Inch&amp;qid=1695174255&amp;sr=8-2", "https://www.amazon.com/Journeyman-T-Handle-Klein-Tools-JTH9M10/dp/B005G3HIA6/ref=sr_1_2?keywords=Klein+Tools+JTH6M10+10+mm+Hex+Key+Journeyman+T-Handle+6-Inch&amp;qid=1695174255&amp;sr=8-2")</f>
        <v>https://www.amazon.com/Journeyman-T-Handle-Klein-Tools-JTH9M10/dp/B005G3HIA6/ref=sr_1_2?keywords=Klein+Tools+JTH6M10+10+mm+Hex+Key+Journeyman+T-Handle+6-Inch&amp;qid=1695174255&amp;sr=8-2</v>
      </c>
      <c r="F2801" t="s">
        <v>6227</v>
      </c>
      <c r="G2801" t="e">
        <f ca="1">_xludf.IMAGE("https://edmondsonsupply.com/cdn/shop/products/jth6m8_64c2c8d3-e13e-4b81-9b34-745be7fd837a.jpg?v=1627827117")</f>
        <v>#NAME?</v>
      </c>
      <c r="H2801" t="e">
        <f ca="1">_xludf.IMAGE("https://m.media-amazon.com/images/I/51+1x0vz9XL._AC_UL320_.jpg")</f>
        <v>#NAME?</v>
      </c>
      <c r="I2801" t="s">
        <v>924</v>
      </c>
      <c r="J2801">
        <v>15.15</v>
      </c>
      <c r="K2801" s="4">
        <v>0.68520000000000003</v>
      </c>
      <c r="L2801">
        <v>5</v>
      </c>
      <c r="M2801">
        <v>2</v>
      </c>
      <c r="O2801" t="s">
        <v>25</v>
      </c>
      <c r="P2801" t="s">
        <v>6946</v>
      </c>
      <c r="Q2801" t="s">
        <v>6947</v>
      </c>
    </row>
    <row r="2802" spans="1:17" ht="15.5" x14ac:dyDescent="0.35">
      <c r="A2802"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2802"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2802" t="s">
        <v>6948</v>
      </c>
      <c r="D2802" t="s">
        <v>4533</v>
      </c>
      <c r="E2802" s="3" t="str">
        <f>HYPERLINK("https://www.amazon.com/Keystone-Demolition-Klein-Tools-602-4DD/dp/B00B9HIC12/ref=sr_1_3?keywords=Klein+Tools+602-4+1%2F4-Inch+Keystone+Screwdriver%2C+4-Inch+Round+Shank&amp;qid=1695174315&amp;sr=8-3", "https://www.amazon.com/Keystone-Demolition-Klein-Tools-602-4DD/dp/B00B9HIC12/ref=sr_1_3?keywords=Klein+Tools+602-4+1%2F4-Inch+Keystone+Screwdriver%2C+4-Inch+Round+Shank&amp;qid=1695174315&amp;sr=8-3")</f>
        <v>https://www.amazon.com/Keystone-Demolition-Klein-Tools-602-4DD/dp/B00B9HIC12/ref=sr_1_3?keywords=Klein+Tools+602-4+1%2F4-Inch+Keystone+Screwdriver%2C+4-Inch+Round+Shank&amp;qid=1695174315&amp;sr=8-3</v>
      </c>
      <c r="F2802" t="s">
        <v>4534</v>
      </c>
      <c r="G2802" t="e">
        <f ca="1">_xludf.IMAGE("https://edmondsonsupply.com/cdn/shop/products/602-6.jpg?v=1633030821")</f>
        <v>#NAME?</v>
      </c>
      <c r="H2802" t="e">
        <f ca="1">_xludf.IMAGE("https://m.media-amazon.com/images/I/41LGnPo9m-L._AC_UL320_.jpg")</f>
        <v>#NAME?</v>
      </c>
      <c r="I2802" t="s">
        <v>2433</v>
      </c>
      <c r="J2802">
        <v>15.99</v>
      </c>
      <c r="K2802" s="4">
        <v>0.68489999999999995</v>
      </c>
      <c r="L2802">
        <v>4.8</v>
      </c>
      <c r="M2802">
        <v>996</v>
      </c>
      <c r="O2802" t="s">
        <v>25</v>
      </c>
      <c r="P2802" t="s">
        <v>6949</v>
      </c>
      <c r="Q2802" t="s">
        <v>6950</v>
      </c>
    </row>
    <row r="2803" spans="1:17" ht="15.5" x14ac:dyDescent="0.35">
      <c r="A2803" s="3" t="str">
        <f>HYPERLINK("https://edmondsonsupply.com/collections/electricians-tools/products/milwaukee-2111-21-475-lumen-usb-rechargeable-hard-hat-headlamp", "https://edmondsonsupply.com/collections/electricians-tools/products/milwaukee-2111-21-475-lumen-usb-rechargeable-hard-hat-headlamp")</f>
        <v>https://edmondsonsupply.com/collections/electricians-tools/products/milwaukee-2111-21-475-lumen-usb-rechargeable-hard-hat-headlamp</v>
      </c>
      <c r="B2803" s="3" t="str">
        <f>HYPERLINK("https://edmondsonsupply.com/products/milwaukee-2111-21-475-lumen-usb-rechargeable-hard-hat-headlamp", "https://edmondsonsupply.com/products/milwaukee-2111-21-475-lumen-usb-rechargeable-hard-hat-headlamp")</f>
        <v>https://edmondsonsupply.com/products/milwaukee-2111-21-475-lumen-usb-rechargeable-hard-hat-headlamp</v>
      </c>
      <c r="C2803" t="s">
        <v>2863</v>
      </c>
      <c r="D2803" t="s">
        <v>2864</v>
      </c>
      <c r="E2803" s="3" t="str">
        <f>HYPERLINK("https://www.amazon.com/Milwaukee-2111-21-Rechargeable-TRUEVIEW-Headlamp/dp/B07XZFN514/ref=sr_1_1?keywords=Milwaukee+2111-21+475-Lumen+USB+Rechargeable+Hard+Hat+Headlamp&amp;qid=1695173940&amp;sr=8-1", "https://www.amazon.com/Milwaukee-2111-21-Rechargeable-TRUEVIEW-Headlamp/dp/B07XZFN514/ref=sr_1_1?keywords=Milwaukee+2111-21+475-Lumen+USB+Rechargeable+Hard+Hat+Headlamp&amp;qid=1695173940&amp;sr=8-1")</f>
        <v>https://www.amazon.com/Milwaukee-2111-21-Rechargeable-TRUEVIEW-Headlamp/dp/B07XZFN514/ref=sr_1_1?keywords=Milwaukee+2111-21+475-Lumen+USB+Rechargeable+Hard+Hat+Headlamp&amp;qid=1695173940&amp;sr=8-1</v>
      </c>
      <c r="F2803" t="s">
        <v>2865</v>
      </c>
      <c r="G2803" t="e">
        <f ca="1">_xludf.IMAGE("https://edmondsonsupply.com/cdn/shop/products/2111-21_3_Overlay_1.png?v=1587142535")</f>
        <v>#NAME?</v>
      </c>
      <c r="H2803" t="e">
        <f ca="1">_xludf.IMAGE("https://m.media-amazon.com/images/I/71r+OMacODL._AC_UL320_.jpg")</f>
        <v>#NAME?</v>
      </c>
      <c r="I2803" t="s">
        <v>356</v>
      </c>
      <c r="J2803">
        <v>117.84</v>
      </c>
      <c r="K2803" s="4">
        <v>0.68420000000000003</v>
      </c>
      <c r="L2803">
        <v>4.7</v>
      </c>
      <c r="M2803">
        <v>264</v>
      </c>
      <c r="O2803" t="s">
        <v>171</v>
      </c>
      <c r="P2803" t="s">
        <v>2866</v>
      </c>
      <c r="Q2803" t="s">
        <v>2867</v>
      </c>
    </row>
    <row r="2804" spans="1:17" ht="15.5" x14ac:dyDescent="0.35">
      <c r="A2804"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2804" s="3" t="str">
        <f>HYPERLINK("https://edmondsonsupply.com/products/klein-tools-60401-hard-hat-vented-full-brim-style", "https://edmondsonsupply.com/products/klein-tools-60401-hard-hat-vented-full-brim-style")</f>
        <v>https://edmondsonsupply.com/products/klein-tools-60401-hard-hat-vented-full-brim-style</v>
      </c>
      <c r="C2804" t="s">
        <v>943</v>
      </c>
      <c r="D2804" t="s">
        <v>944</v>
      </c>
      <c r="E2804" s="3" t="str">
        <f>HYPERLINK("https://www.amazon.com/Klein-Tools-KHHTOPPAD-Replaceable-Suspension/dp/B08KGPS8XH/ref=sr_1_6?keywords=Klein+Tools+60401+Hard+Hat%2C+Vented%2C+Full+Brim+Style&amp;qid=1695173946&amp;sr=8-6", "https://www.amazon.com/Klein-Tools-KHHTOPPAD-Replaceable-Suspension/dp/B08KGPS8XH/ref=sr_1_6?keywords=Klein+Tools+60401+Hard+Hat%2C+Vented%2C+Full+Brim+Style&amp;qid=1695173946&amp;sr=8-6")</f>
        <v>https://www.amazon.com/Klein-Tools-KHHTOPPAD-Replaceable-Suspension/dp/B08KGPS8XH/ref=sr_1_6?keywords=Klein+Tools+60401+Hard+Hat%2C+Vented%2C+Full+Brim+Style&amp;qid=1695173946&amp;sr=8-6</v>
      </c>
      <c r="F2804" t="s">
        <v>945</v>
      </c>
      <c r="G2804" t="e">
        <f ca="1">_xludf.IMAGE("https://edmondsonsupply.com/cdn/shop/products/60401.jpg?v=1587143271")</f>
        <v>#NAME?</v>
      </c>
      <c r="H2804" t="e">
        <f ca="1">_xludf.IMAGE("https://m.media-amazon.com/images/I/61bjZBPtOIL._AC_UL320_.jpg")</f>
        <v>#NAME?</v>
      </c>
      <c r="I2804" t="s">
        <v>946</v>
      </c>
      <c r="J2804">
        <v>75.709999999999994</v>
      </c>
      <c r="K2804" s="4">
        <v>0.68279999999999996</v>
      </c>
      <c r="L2804">
        <v>4.7</v>
      </c>
      <c r="M2804">
        <v>19</v>
      </c>
      <c r="O2804" t="s">
        <v>25</v>
      </c>
      <c r="P2804" t="s">
        <v>947</v>
      </c>
      <c r="Q2804" t="s">
        <v>948</v>
      </c>
    </row>
    <row r="2805" spans="1:17" ht="15.5" x14ac:dyDescent="0.35">
      <c r="A2805" s="3" t="str">
        <f>HYPERLINK("https://edmondsonsupply.com/collections/electricians-tools/products/uei-dl429b-true-rms-digital-clamp-meter-w-wireless-and-differential-temperature", "https://edmondsonsupply.com/collections/electricians-tools/products/uei-dl429b-true-rms-digital-clamp-meter-w-wireless-and-differential-temperature")</f>
        <v>https://edmondsonsupply.com/collections/electricians-tools/products/uei-dl429b-true-rms-digital-clamp-meter-w-wireless-and-differential-temperature</v>
      </c>
      <c r="B2805"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2805" t="s">
        <v>2868</v>
      </c>
      <c r="D2805" t="s">
        <v>2869</v>
      </c>
      <c r="E2805" s="3" t="str">
        <f>HYPERLINK("https://www.amazon.com/UEi-Test-Instruments-DL429-Phoenix/dp/B00W5B15P6/ref=sr_1_3?keywords=UEi+DL479+AC+600A+True+RMS+HVAC%2FR+Clamp+Meter&amp;qid=1695173895&amp;sr=8-3", "https://www.amazon.com/UEi-Test-Instruments-DL429-Phoenix/dp/B00W5B15P6/ref=sr_1_3?keywords=UEi+DL479+AC+600A+True+RMS+HVAC%2FR+Clamp+Meter&amp;qid=1695173895&amp;sr=8-3")</f>
        <v>https://www.amazon.com/UEi-Test-Instruments-DL429-Phoenix/dp/B00W5B15P6/ref=sr_1_3?keywords=UEi+DL479+AC+600A+True+RMS+HVAC%2FR+Clamp+Meter&amp;qid=1695173895&amp;sr=8-3</v>
      </c>
      <c r="F2805" t="s">
        <v>2870</v>
      </c>
      <c r="G2805" t="e">
        <f ca="1">_xludf.IMAGE("https://edmondsonsupply.com/cdn/shop/products/DL479-1.jpg?v=1587142104")</f>
        <v>#NAME?</v>
      </c>
      <c r="H2805" t="e">
        <f ca="1">_xludf.IMAGE("https://m.media-amazon.com/images/I/61BXB98tFDS._AC_UY218_.jpg")</f>
        <v>#NAME?</v>
      </c>
      <c r="I2805" t="s">
        <v>2871</v>
      </c>
      <c r="J2805">
        <v>232.99</v>
      </c>
      <c r="K2805" s="4">
        <v>0.68210000000000004</v>
      </c>
      <c r="L2805">
        <v>4.5</v>
      </c>
      <c r="M2805">
        <v>184</v>
      </c>
      <c r="O2805" t="s">
        <v>171</v>
      </c>
      <c r="P2805" t="s">
        <v>2872</v>
      </c>
      <c r="Q2805" t="s">
        <v>2873</v>
      </c>
    </row>
    <row r="2806" spans="1:17" ht="15.5" x14ac:dyDescent="0.35">
      <c r="A2806"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2806" s="3" t="str">
        <f>HYPERLINK("https://edmondsonsupply.com/products/klein-tools-jth6m10-10-mm-hex-key-journeyman-t-handle-6-inch", "https://edmondsonsupply.com/products/klein-tools-jth6m10-10-mm-hex-key-journeyman-t-handle-6-inch")</f>
        <v>https://edmondsonsupply.com/products/klein-tools-jth6m10-10-mm-hex-key-journeyman-t-handle-6-inch</v>
      </c>
      <c r="C2806" t="s">
        <v>6945</v>
      </c>
      <c r="D2806" t="s">
        <v>2345</v>
      </c>
      <c r="E2806" s="3" t="str">
        <f>HYPERLINK("https://www.amazon.com/Klein-Tools-JTH6M3BE-Journeyman-T-Handle/dp/B0CGLYY7WP/ref=sr_1_5?keywords=Klein+Tools+JTH6M10+10+mm+Hex+Key+Journeyman+T-Handle+6-Inch&amp;qid=1695174255&amp;sr=8-5", "https://www.amazon.com/Klein-Tools-JTH6M3BE-Journeyman-T-Handle/dp/B0CGLYY7WP/ref=sr_1_5?keywords=Klein+Tools+JTH6M10+10+mm+Hex+Key+Journeyman+T-Handle+6-Inch&amp;qid=1695174255&amp;sr=8-5")</f>
        <v>https://www.amazon.com/Klein-Tools-JTH6M3BE-Journeyman-T-Handle/dp/B0CGLYY7WP/ref=sr_1_5?keywords=Klein+Tools+JTH6M10+10+mm+Hex+Key+Journeyman+T-Handle+6-Inch&amp;qid=1695174255&amp;sr=8-5</v>
      </c>
      <c r="F2806" t="s">
        <v>2346</v>
      </c>
      <c r="G2806" t="e">
        <f ca="1">_xludf.IMAGE("https://edmondsonsupply.com/cdn/shop/products/jth6m8_64c2c8d3-e13e-4b81-9b34-745be7fd837a.jpg?v=1627827117")</f>
        <v>#NAME?</v>
      </c>
      <c r="H2806" t="e">
        <f ca="1">_xludf.IMAGE("https://m.media-amazon.com/images/I/413sTNFMd7L._AC_UL320_.jpg")</f>
        <v>#NAME?</v>
      </c>
      <c r="I2806" t="s">
        <v>924</v>
      </c>
      <c r="J2806">
        <v>15.1</v>
      </c>
      <c r="K2806" s="4">
        <v>0.67959999999999998</v>
      </c>
      <c r="L2806">
        <v>4.5999999999999996</v>
      </c>
      <c r="M2806">
        <v>184</v>
      </c>
      <c r="O2806" t="s">
        <v>25</v>
      </c>
      <c r="P2806" t="s">
        <v>6946</v>
      </c>
      <c r="Q2806" t="s">
        <v>6947</v>
      </c>
    </row>
    <row r="2807" spans="1:17" ht="15.5" x14ac:dyDescent="0.35">
      <c r="A2807" s="3" t="str">
        <f>HYPERLINK("https://edmondsonsupply.com/collections/electricians-tools/products/klein-tools-60246-p100-half-mask-respirator-s-m", "https://edmondsonsupply.com/collections/electricians-tools/products/klein-tools-60246-p100-half-mask-respirator-s-m")</f>
        <v>https://edmondsonsupply.com/collections/electricians-tools/products/klein-tools-60246-p100-half-mask-respirator-s-m</v>
      </c>
      <c r="B2807" s="3" t="str">
        <f>HYPERLINK("https://edmondsonsupply.com/products/klein-tools-60246-p100-half-mask-respirator-s-m", "https://edmondsonsupply.com/products/klein-tools-60246-p100-half-mask-respirator-s-m")</f>
        <v>https://edmondsonsupply.com/products/klein-tools-60246-p100-half-mask-respirator-s-m</v>
      </c>
      <c r="C2807" t="s">
        <v>951</v>
      </c>
      <c r="D2807" t="s">
        <v>843</v>
      </c>
      <c r="E2807" s="3" t="str">
        <f>HYPERLINK("https://www.amazon.com/Klein-80044-Half-Mask-Respirator-Replacement/dp/B09FW2FRX8/ref=sr_1_2?keywords=Klein+Tools+60246+P100+Half-Mask+Respirator%2C+S%2FM&amp;qid=1695173886&amp;sr=8-2", "https://www.amazon.com/Klein-80044-Half-Mask-Respirator-Replacement/dp/B09FW2FRX8/ref=sr_1_2?keywords=Klein+Tools+60246+P100+Half-Mask+Respirator%2C+S%2FM&amp;qid=1695173886&amp;sr=8-2")</f>
        <v>https://www.amazon.com/Klein-80044-Half-Mask-Respirator-Replacement/dp/B09FW2FRX8/ref=sr_1_2?keywords=Klein+Tools+60246+P100+Half-Mask+Respirator%2C+S%2FM&amp;qid=1695173886&amp;sr=8-2</v>
      </c>
      <c r="F2807" t="s">
        <v>844</v>
      </c>
      <c r="G2807" t="e">
        <f ca="1">_xludf.IMAGE("https://edmondsonsupply.com/cdn/shop/products/60246.jpg?v=1661862728")</f>
        <v>#NAME?</v>
      </c>
      <c r="H2807" t="e">
        <f ca="1">_xludf.IMAGE("https://m.media-amazon.com/images/I/61kQgRHQL4L._AC_UL320_.jpg")</f>
        <v>#NAME?</v>
      </c>
      <c r="I2807" t="s">
        <v>26</v>
      </c>
      <c r="J2807">
        <v>50.35</v>
      </c>
      <c r="K2807" s="4">
        <v>0.67889999999999995</v>
      </c>
      <c r="L2807">
        <v>4.5</v>
      </c>
      <c r="M2807">
        <v>21</v>
      </c>
      <c r="O2807" t="s">
        <v>25</v>
      </c>
      <c r="P2807" t="s">
        <v>952</v>
      </c>
      <c r="Q2807" t="s">
        <v>953</v>
      </c>
    </row>
    <row r="2808" spans="1:17" ht="15.5" x14ac:dyDescent="0.35">
      <c r="A2808" s="3" t="str">
        <f>HYPERLINK("https://edmondsonsupply.com/collections/electricians-tools/products/klein-tools-60244-p100-half-mask-respirator-m-l", "https://edmondsonsupply.com/collections/electricians-tools/products/klein-tools-60244-p100-half-mask-respirator-m-l")</f>
        <v>https://edmondsonsupply.com/collections/electricians-tools/products/klein-tools-60244-p100-half-mask-respirator-m-l</v>
      </c>
      <c r="B2808" s="3" t="str">
        <f>HYPERLINK("https://edmondsonsupply.com/products/klein-tools-60244-p100-half-mask-respirator-m-l", "https://edmondsonsupply.com/products/klein-tools-60244-p100-half-mask-respirator-m-l")</f>
        <v>https://edmondsonsupply.com/products/klein-tools-60244-p100-half-mask-respirator-m-l</v>
      </c>
      <c r="C2808" t="s">
        <v>954</v>
      </c>
      <c r="D2808" t="s">
        <v>843</v>
      </c>
      <c r="E2808" s="3" t="str">
        <f>HYPERLINK("https://www.amazon.com/Klein-80044-Half-Mask-Respirator-Replacement/dp/B09FW2FRX8/ref=sr_1_3?keywords=Klein+Tools+60244+P100+Half-Mask+Respirator%2C+M%2FL&amp;qid=1695174163&amp;sr=8-3", "https://www.amazon.com/Klein-80044-Half-Mask-Respirator-Replacement/dp/B09FW2FRX8/ref=sr_1_3?keywords=Klein+Tools+60244+P100+Half-Mask+Respirator%2C+M%2FL&amp;qid=1695174163&amp;sr=8-3")</f>
        <v>https://www.amazon.com/Klein-80044-Half-Mask-Respirator-Replacement/dp/B09FW2FRX8/ref=sr_1_3?keywords=Klein+Tools+60244+P100+Half-Mask+Respirator%2C+M%2FL&amp;qid=1695174163&amp;sr=8-3</v>
      </c>
      <c r="F2808" t="s">
        <v>844</v>
      </c>
      <c r="G2808" t="e">
        <f ca="1">_xludf.IMAGE("https://edmondsonsupply.com/cdn/shop/products/60246_7e68115f-7e07-4587-a48b-41d81558644a.jpg?v=1661864149")</f>
        <v>#NAME?</v>
      </c>
      <c r="H2808" t="e">
        <f ca="1">_xludf.IMAGE("https://m.media-amazon.com/images/I/61kQgRHQL4L._AC_UL320_.jpg")</f>
        <v>#NAME?</v>
      </c>
      <c r="I2808" t="s">
        <v>26</v>
      </c>
      <c r="J2808">
        <v>50.35</v>
      </c>
      <c r="K2808" s="4">
        <v>0.67889999999999995</v>
      </c>
      <c r="L2808">
        <v>4.5</v>
      </c>
      <c r="M2808">
        <v>21</v>
      </c>
      <c r="O2808" t="s">
        <v>25</v>
      </c>
      <c r="P2808" t="s">
        <v>952</v>
      </c>
      <c r="Q2808" t="s">
        <v>955</v>
      </c>
    </row>
    <row r="2809" spans="1:17" ht="15.5" x14ac:dyDescent="0.35">
      <c r="A2809" s="3" t="str">
        <f>HYPERLINK("https://edmondsonsupply.com/collections/electricians-tools/products/greenlee-gsb02-1-2-step-bit-2", "https://edmondsonsupply.com/collections/electricians-tools/products/greenlee-gsb02-1-2-step-bit-2")</f>
        <v>https://edmondsonsupply.com/collections/electricians-tools/products/greenlee-gsb02-1-2-step-bit-2</v>
      </c>
      <c r="B2809" s="3" t="str">
        <f>HYPERLINK("https://edmondsonsupply.com/products/greenlee-gsb02-1-2-step-bit-2", "https://edmondsonsupply.com/products/greenlee-gsb02-1-2-step-bit-2")</f>
        <v>https://edmondsonsupply.com/products/greenlee-gsb02-1-2-step-bit-2</v>
      </c>
      <c r="C2809" t="s">
        <v>2882</v>
      </c>
      <c r="D2809" t="s">
        <v>2320</v>
      </c>
      <c r="E2809" s="3" t="str">
        <f>HYPERLINK("https://www.amazon.com/Greenlee-Patented-Split-Step-Design-Cutting/dp/B08TVGF4MS/ref=sr_1_4?keywords=Greenlee+GSB02+1%2F2%22+Step+Bit+%28%232%29&amp;qid=1695173993&amp;sr=8-4", "https://www.amazon.com/Greenlee-Patented-Split-Step-Design-Cutting/dp/B08TVGF4MS/ref=sr_1_4?keywords=Greenlee+GSB02+1%2F2%22+Step+Bit+%28%232%29&amp;qid=1695173993&amp;sr=8-4")</f>
        <v>https://www.amazon.com/Greenlee-Patented-Split-Step-Design-Cutting/dp/B08TVGF4MS/ref=sr_1_4?keywords=Greenlee+GSB02+1%2F2%22+Step+Bit+%28%232%29&amp;qid=1695173993&amp;sr=8-4</v>
      </c>
      <c r="F2809" t="s">
        <v>2321</v>
      </c>
      <c r="G2809" t="e">
        <f ca="1">_xludf.IMAGE("https://edmondsonsupply.com/cdn/shop/files/GSB02_CAT1_72dpi.jpg?v=1687783943")</f>
        <v>#NAME?</v>
      </c>
      <c r="H2809" t="e">
        <f ca="1">_xludf.IMAGE("https://m.media-amazon.com/images/I/41J5YEXJLpL._AC_UY218_.jpg")</f>
        <v>#NAME?</v>
      </c>
      <c r="I2809" t="s">
        <v>2883</v>
      </c>
      <c r="J2809">
        <v>65.81</v>
      </c>
      <c r="K2809" s="4">
        <v>0.67500000000000004</v>
      </c>
      <c r="L2809">
        <v>3.8</v>
      </c>
      <c r="M2809">
        <v>5</v>
      </c>
      <c r="O2809" t="s">
        <v>25</v>
      </c>
      <c r="P2809" t="s">
        <v>2884</v>
      </c>
      <c r="Q2809" t="s">
        <v>2885</v>
      </c>
    </row>
    <row r="2810" spans="1:17" ht="15.5" x14ac:dyDescent="0.35">
      <c r="A2810"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2810" s="3" t="str">
        <f>HYPERLINK("https://edmondsonsupply.com/products/fluke-393-solar-clamp-meter-cat-iii-1500-v", "https://edmondsonsupply.com/products/fluke-393-solar-clamp-meter-cat-iii-1500-v")</f>
        <v>https://edmondsonsupply.com/products/fluke-393-solar-clamp-meter-cat-iii-1500-v</v>
      </c>
      <c r="C2810" t="s">
        <v>6951</v>
      </c>
      <c r="D2810" t="s">
        <v>6952</v>
      </c>
      <c r="E2810" s="3" t="str">
        <f>HYPERLINK("https://www.amazon.com/Fluke-Irradiance-Measure-Ambient-Temperature/dp/B0B49954PS/ref=sr_1_4?keywords=Fluke+393+FC+Solar+Clamp+Meter+CAT+III+1500+V&amp;qid=1695174164&amp;sr=8-4", "https://www.amazon.com/Fluke-Irradiance-Measure-Ambient-Temperature/dp/B0B49954PS/ref=sr_1_4?keywords=Fluke+393+FC+Solar+Clamp+Meter+CAT+III+1500+V&amp;qid=1695174164&amp;sr=8-4")</f>
        <v>https://www.amazon.com/Fluke-Irradiance-Measure-Ambient-Temperature/dp/B0B49954PS/ref=sr_1_4?keywords=Fluke+393+FC+Solar+Clamp+Meter+CAT+III+1500+V&amp;qid=1695174164&amp;sr=8-4</v>
      </c>
      <c r="F2810" t="s">
        <v>6953</v>
      </c>
      <c r="G2810" t="e">
        <f ca="1">_xludf.IMAGE("https://edmondsonsupply.com/cdn/shop/products/F-393fc_01a_w.webp?v=1662652371")</f>
        <v>#NAME?</v>
      </c>
      <c r="H2810" t="e">
        <f ca="1">_xludf.IMAGE("https://m.media-amazon.com/images/I/61ej9j9PdPL._AC_UY218_.jpg")</f>
        <v>#NAME?</v>
      </c>
      <c r="I2810" t="s">
        <v>6954</v>
      </c>
      <c r="J2810">
        <v>1132.99</v>
      </c>
      <c r="K2810" s="4">
        <v>0.67410000000000003</v>
      </c>
      <c r="L2810">
        <v>4</v>
      </c>
      <c r="M2810">
        <v>2</v>
      </c>
      <c r="O2810" t="s">
        <v>25</v>
      </c>
      <c r="P2810" t="s">
        <v>6955</v>
      </c>
      <c r="Q2810" t="s">
        <v>6956</v>
      </c>
    </row>
    <row r="2811" spans="1:17" ht="15.5" x14ac:dyDescent="0.35">
      <c r="A2811"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2811"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2811" t="s">
        <v>6425</v>
      </c>
      <c r="D2811" t="s">
        <v>3854</v>
      </c>
      <c r="E2811" s="3" t="str">
        <f>HYPERLINK("https://www.amazon.com/Klein-Tools-80077-Electronic-Non-Contact/dp/B0B11F7Q69/ref=sr_1_7?keywords=Klein+Tools+ET45VP+AC%2FDC+Voltage+and+GFCI+Receptacle+Outlet+Test+Kit&amp;qid=1695174178&amp;sr=8-7", "https://www.amazon.com/Klein-Tools-80077-Electronic-Non-Contact/dp/B0B11F7Q69/ref=sr_1_7?keywords=Klein+Tools+ET45VP+AC%2FDC+Voltage+and+GFCI+Receptacle+Outlet+Test+Kit&amp;qid=1695174178&amp;sr=8-7")</f>
        <v>https://www.amazon.com/Klein-Tools-80077-Electronic-Non-Contact/dp/B0B11F7Q69/ref=sr_1_7?keywords=Klein+Tools+ET45VP+AC%2FDC+Voltage+and+GFCI+Receptacle+Outlet+Test+Kit&amp;qid=1695174178&amp;sr=8-7</v>
      </c>
      <c r="F2811" t="s">
        <v>3855</v>
      </c>
      <c r="G2811" t="e">
        <f ca="1">_xludf.IMAGE("https://edmondsonsupply.com/cdn/shop/products/et45vp.jpg?v=1660755922")</f>
        <v>#NAME?</v>
      </c>
      <c r="H2811" t="e">
        <f ca="1">_xludf.IMAGE("https://m.media-amazon.com/images/I/51cU3aEkbCL._AC_UL320_.jpg")</f>
        <v>#NAME?</v>
      </c>
      <c r="I2811" t="s">
        <v>2586</v>
      </c>
      <c r="J2811">
        <v>29.99</v>
      </c>
      <c r="K2811" s="4">
        <v>0.66890000000000005</v>
      </c>
      <c r="L2811">
        <v>4.5999999999999996</v>
      </c>
      <c r="M2811">
        <v>183</v>
      </c>
      <c r="O2811" t="s">
        <v>25</v>
      </c>
      <c r="P2811" t="s">
        <v>6426</v>
      </c>
      <c r="Q2811" t="s">
        <v>6427</v>
      </c>
    </row>
    <row r="2812" spans="1:17" ht="15.5" x14ac:dyDescent="0.35">
      <c r="A2812" s="3" t="str">
        <f>HYPERLINK("https://edmondsonsupply.com/collections/electricians-tools/products/klein-tools-60160-standard-safety-glasses-gray-lens", "https://edmondsonsupply.com/collections/electricians-tools/products/klein-tools-60160-standard-safety-glasses-gray-lens")</f>
        <v>https://edmondsonsupply.com/collections/electricians-tools/products/klein-tools-60160-standard-safety-glasses-gray-lens</v>
      </c>
      <c r="B2812" s="3" t="str">
        <f>HYPERLINK("https://edmondsonsupply.com/products/klein-tools-60160-standard-safety-glasses-gray-lens", "https://edmondsonsupply.com/products/klein-tools-60160-standard-safety-glasses-gray-lens")</f>
        <v>https://edmondsonsupply.com/products/klein-tools-60160-standard-safety-glasses-gray-lens</v>
      </c>
      <c r="C2812" t="s">
        <v>929</v>
      </c>
      <c r="D2812" t="s">
        <v>958</v>
      </c>
      <c r="E2812" s="3" t="str">
        <f>HYPERLINK("https://www.amazon.com/Klein-60164-Professional-Protective-Resistant/dp/B08B4BNSHM/ref=sr_1_4?keywords=Klein+Tools+60160+Standard+Safety+Glasses%2C+Gray+Lens&amp;qid=1695174305&amp;sr=8-4", "https://www.amazon.com/Klein-60164-Professional-Protective-Resistant/dp/B08B4BNSHM/ref=sr_1_4?keywords=Klein+Tools+60160+Standard+Safety+Glasses%2C+Gray+Lens&amp;qid=1695174305&amp;sr=8-4")</f>
        <v>https://www.amazon.com/Klein-60164-Professional-Protective-Resistant/dp/B08B4BNSHM/ref=sr_1_4?keywords=Klein+Tools+60160+Standard+Safety+Glasses%2C+Gray+Lens&amp;qid=1695174305&amp;sr=8-4</v>
      </c>
      <c r="F2812" t="s">
        <v>959</v>
      </c>
      <c r="G2812" t="e">
        <f ca="1">_xludf.IMAGE("https://edmondsonsupply.com/cdn/shop/products/60160.jpg?v=1633030843")</f>
        <v>#NAME?</v>
      </c>
      <c r="H2812" t="e">
        <f ca="1">_xludf.IMAGE("https://m.media-amazon.com/images/I/41bNrH9NnFL._AC_UL320_.jpg")</f>
        <v>#NAME?</v>
      </c>
      <c r="I2812" t="s">
        <v>924</v>
      </c>
      <c r="J2812">
        <v>14.99</v>
      </c>
      <c r="K2812" s="4">
        <v>0.66739999999999999</v>
      </c>
      <c r="L2812">
        <v>4.4000000000000004</v>
      </c>
      <c r="M2812">
        <v>463</v>
      </c>
      <c r="O2812" t="s">
        <v>25</v>
      </c>
      <c r="P2812" t="s">
        <v>925</v>
      </c>
      <c r="Q2812" t="s">
        <v>932</v>
      </c>
    </row>
    <row r="2813" spans="1:17" ht="15.5" x14ac:dyDescent="0.35">
      <c r="A2813" s="3" t="str">
        <f>HYPERLINK("https://edmondsonsupply.com/collections/electricians-tools/products/klein-tools-60159-standard-safety-glasses-clear-lens", "https://edmondsonsupply.com/collections/electricians-tools/products/klein-tools-60159-standard-safety-glasses-clear-lens")</f>
        <v>https://edmondsonsupply.com/collections/electricians-tools/products/klein-tools-60159-standard-safety-glasses-clear-lens</v>
      </c>
      <c r="B2813" s="3" t="str">
        <f>HYPERLINK("https://edmondsonsupply.com/products/klein-tools-60159-standard-safety-glasses-clear-lens", "https://edmondsonsupply.com/products/klein-tools-60159-standard-safety-glasses-clear-lens")</f>
        <v>https://edmondsonsupply.com/products/klein-tools-60159-standard-safety-glasses-clear-lens</v>
      </c>
      <c r="C2813" t="s">
        <v>921</v>
      </c>
      <c r="D2813" t="s">
        <v>956</v>
      </c>
      <c r="E2813" s="3" t="str">
        <f>HYPERLINK("https://www.amazon.com/Klein-60163-Professional-Protective-Resistant/dp/B08B48CZ5V/ref=sr_1_3?keywords=Klein+Tools+60159+Standard+Safety+Glasses%2C+Clear+Lens&amp;qid=1695174312&amp;sr=8-3", "https://www.amazon.com/Klein-60163-Professional-Protective-Resistant/dp/B08B48CZ5V/ref=sr_1_3?keywords=Klein+Tools+60159+Standard+Safety+Glasses%2C+Clear+Lens&amp;qid=1695174312&amp;sr=8-3")</f>
        <v>https://www.amazon.com/Klein-60163-Professional-Protective-Resistant/dp/B08B48CZ5V/ref=sr_1_3?keywords=Klein+Tools+60159+Standard+Safety+Glasses%2C+Clear+Lens&amp;qid=1695174312&amp;sr=8-3</v>
      </c>
      <c r="F2813" t="s">
        <v>957</v>
      </c>
      <c r="G2813" t="e">
        <f ca="1">_xludf.IMAGE("https://edmondsonsupply.com/cdn/shop/products/60159.jpg?v=1633030842")</f>
        <v>#NAME?</v>
      </c>
      <c r="H2813" t="e">
        <f ca="1">_xludf.IMAGE("https://m.media-amazon.com/images/I/41IY8K6EFLL._AC_UL320_.jpg")</f>
        <v>#NAME?</v>
      </c>
      <c r="I2813" t="s">
        <v>924</v>
      </c>
      <c r="J2813">
        <v>14.99</v>
      </c>
      <c r="K2813" s="4">
        <v>0.66739999999999999</v>
      </c>
      <c r="L2813">
        <v>4.4000000000000004</v>
      </c>
      <c r="M2813">
        <v>198</v>
      </c>
      <c r="O2813" t="s">
        <v>25</v>
      </c>
      <c r="P2813" t="s">
        <v>925</v>
      </c>
      <c r="Q2813" t="s">
        <v>926</v>
      </c>
    </row>
    <row r="2814" spans="1:17" ht="15.5" x14ac:dyDescent="0.35">
      <c r="A2814"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814" s="3" t="str">
        <f>HYPERLINK("https://edmondsonsupply.com/products/klein-tools-32900-7-in-1-impact-flip-socket-with-handle", "https://edmondsonsupply.com/products/klein-tools-32900-7-in-1-impact-flip-socket-with-handle")</f>
        <v>https://edmondsonsupply.com/products/klein-tools-32900-7-in-1-impact-flip-socket-with-handle</v>
      </c>
      <c r="C2814" t="s">
        <v>6184</v>
      </c>
      <c r="D2814" t="s">
        <v>1834</v>
      </c>
      <c r="E2814" s="3" t="str">
        <f>HYPERLINK("https://www.amazon.com/Klein-Tools-66070-Sockets-Adapters/dp/B0B33XLXD1/ref=sr_1_10?keywords=Klein+Tools+32900+7-in-1+Impact+Flip+Socket+with+Handle&amp;qid=1695174143&amp;sr=8-10", "https://www.amazon.com/Klein-Tools-66070-Sockets-Adapters/dp/B0B33XLXD1/ref=sr_1_10?keywords=Klein+Tools+32900+7-in-1+Impact+Flip+Socket+with+Handle&amp;qid=1695174143&amp;sr=8-10")</f>
        <v>https://www.amazon.com/Klein-Tools-66070-Sockets-Adapters/dp/B0B33XLXD1/ref=sr_1_10?keywords=Klein+Tools+32900+7-in-1+Impact+Flip+Socket+with+Handle&amp;qid=1695174143&amp;sr=8-10</v>
      </c>
      <c r="F2814" t="s">
        <v>2106</v>
      </c>
      <c r="G2814" t="e">
        <f ca="1">_xludf.IMAGE("https://edmondsonsupply.com/cdn/shop/products/32900_b.jpg?v=1666024787")</f>
        <v>#NAME?</v>
      </c>
      <c r="H2814" t="e">
        <f ca="1">_xludf.IMAGE("https://m.media-amazon.com/images/I/71D23SffznL._AC_UL320_.jpg")</f>
        <v>#NAME?</v>
      </c>
      <c r="I2814" t="s">
        <v>824</v>
      </c>
      <c r="J2814">
        <v>49.97</v>
      </c>
      <c r="K2814" s="4">
        <v>0.6673</v>
      </c>
      <c r="L2814">
        <v>4.8</v>
      </c>
      <c r="M2814">
        <v>1158</v>
      </c>
      <c r="O2814" t="s">
        <v>25</v>
      </c>
      <c r="P2814" t="s">
        <v>73</v>
      </c>
      <c r="Q2814" t="s">
        <v>6187</v>
      </c>
    </row>
    <row r="2815" spans="1:17" ht="15.5" x14ac:dyDescent="0.35">
      <c r="A2815"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2815"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2815" t="s">
        <v>6957</v>
      </c>
      <c r="D2815" t="s">
        <v>3737</v>
      </c>
      <c r="E2815" s="3" t="str">
        <f>HYPERLINK("https://www.amazon.com/16-Inch-Keystone-Demolition-Klein-Tools/dp/B00B9HIBYA/ref=sr_1_4?keywords=Klein+Tools+602-6+5%2F16-Inch+Keystone+Tip+Screwdriver%2C+Cushion+Grip%2C+6-Inch&amp;qid=1695174298&amp;sr=8-4", "https://www.amazon.com/16-Inch-Keystone-Demolition-Klein-Tools/dp/B00B9HIBYA/ref=sr_1_4?keywords=Klein+Tools+602-6+5%2F16-Inch+Keystone+Tip+Screwdriver%2C+Cushion+Grip%2C+6-Inch&amp;qid=1695174298&amp;sr=8-4")</f>
        <v>https://www.amazon.com/16-Inch-Keystone-Demolition-Klein-Tools/dp/B00B9HIBYA/ref=sr_1_4?keywords=Klein+Tools+602-6+5%2F16-Inch+Keystone+Tip+Screwdriver%2C+Cushion+Grip%2C+6-Inch&amp;qid=1695174298&amp;sr=8-4</v>
      </c>
      <c r="F2815" t="s">
        <v>3738</v>
      </c>
      <c r="G2815" t="e">
        <f ca="1">_xludf.IMAGE("https://edmondsonsupply.com/cdn/shop/products/602-6_162e3283-acea-47de-aecf-2a25f009fdcb.jpg?v=1633030880")</f>
        <v>#NAME?</v>
      </c>
      <c r="H2815" t="e">
        <f ca="1">_xludf.IMAGE("https://m.media-amazon.com/images/I/41sh3Q2vVYL._AC_UL320_.jpg")</f>
        <v>#NAME?</v>
      </c>
      <c r="I2815" t="s">
        <v>2337</v>
      </c>
      <c r="J2815">
        <v>19.989999999999998</v>
      </c>
      <c r="K2815" s="4">
        <v>0.66720000000000002</v>
      </c>
      <c r="L2815">
        <v>4.8</v>
      </c>
      <c r="M2815">
        <v>1377</v>
      </c>
      <c r="O2815" t="s">
        <v>25</v>
      </c>
      <c r="P2815" t="s">
        <v>1212</v>
      </c>
      <c r="Q2815" t="s">
        <v>6958</v>
      </c>
    </row>
    <row r="2816" spans="1:17" ht="15.5" x14ac:dyDescent="0.35">
      <c r="A2816"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2816" s="3" t="str">
        <f>HYPERLINK("https://edmondsonsupply.com/products/klein-tools-55559-stand-up-zipper-bags-7-inch-and-14-inch-2-pack", "https://edmondsonsupply.com/products/klein-tools-55559-stand-up-zipper-bags-7-inch-and-14-inch-2-pack")</f>
        <v>https://edmondsonsupply.com/products/klein-tools-55559-stand-up-zipper-bags-7-inch-and-14-inch-2-pack</v>
      </c>
      <c r="C2816" t="s">
        <v>273</v>
      </c>
      <c r="D2816" t="s">
        <v>375</v>
      </c>
      <c r="E2816" s="3" t="str">
        <f>HYPERLINK("https://www.amazon.com/Klein-Tools-Stand-Up-4-25-Inch-Natural/dp/B0BR25QG1Q/ref=sr_1_4?keywords=Klein+Tools+55559+Stand-up+Zipper+Bags%2C+7-Inch+and+14-Inch%2C+2-Pack&amp;qid=1695174132&amp;sr=8-4", "https://www.amazon.com/Klein-Tools-Stand-Up-4-25-Inch-Natural/dp/B0BR25QG1Q/ref=sr_1_4?keywords=Klein+Tools+55559+Stand-up+Zipper+Bags%2C+7-Inch+and+14-Inch%2C+2-Pack&amp;qid=1695174132&amp;sr=8-4")</f>
        <v>https://www.amazon.com/Klein-Tools-Stand-Up-4-25-Inch-Natural/dp/B0BR25QG1Q/ref=sr_1_4?keywords=Klein+Tools+55559+Stand-up+Zipper+Bags%2C+7-Inch+and+14-Inch%2C+2-Pack&amp;qid=1695174132&amp;sr=8-4</v>
      </c>
      <c r="F2816" t="s">
        <v>376</v>
      </c>
      <c r="G2816" t="e">
        <f ca="1">_xludf.IMAGE("https://edmondsonsupply.com/cdn/shop/products/55559.jpg?v=1666900727")</f>
        <v>#NAME?</v>
      </c>
      <c r="H2816" t="e">
        <f ca="1">_xludf.IMAGE("https://m.media-amazon.com/images/I/51j3cDVxrVL._AC_UL320_.jpg")</f>
        <v>#NAME?</v>
      </c>
      <c r="I2816" t="s">
        <v>276</v>
      </c>
      <c r="J2816">
        <v>24.99</v>
      </c>
      <c r="K2816" s="4">
        <v>0.66710000000000003</v>
      </c>
      <c r="L2816">
        <v>5</v>
      </c>
      <c r="M2816">
        <v>2</v>
      </c>
      <c r="O2816" t="s">
        <v>25</v>
      </c>
      <c r="P2816" t="s">
        <v>277</v>
      </c>
      <c r="Q2816" t="s">
        <v>278</v>
      </c>
    </row>
    <row r="2817" spans="1:17" ht="15.5" x14ac:dyDescent="0.35">
      <c r="A2817" s="3" t="str">
        <f>HYPERLINK("https://edmondsonsupply.com/collections/electricians-tools/products/wiha-tools-66991-13-piece-magicring-ball-end-hex-l-key-set-inch", "https://edmondsonsupply.com/collections/electricians-tools/products/wiha-tools-66991-13-piece-magicring-ball-end-hex-l-key-set-inch")</f>
        <v>https://edmondsonsupply.com/collections/electricians-tools/products/wiha-tools-66991-13-piece-magicring-ball-end-hex-l-key-set-inch</v>
      </c>
      <c r="B2817" s="3" t="str">
        <f>HYPERLINK("https://edmondsonsupply.com/products/wiha-tools-66991-13-piece-magicring-ball-end-hex-l-key-set-inch", "https://edmondsonsupply.com/products/wiha-tools-66991-13-piece-magicring-ball-end-hex-l-key-set-inch")</f>
        <v>https://edmondsonsupply.com/products/wiha-tools-66991-13-piece-magicring-ball-end-hex-l-key-set-inch</v>
      </c>
      <c r="C2817" t="s">
        <v>6959</v>
      </c>
      <c r="D2817" t="s">
        <v>4920</v>
      </c>
      <c r="E2817" s="3" t="str">
        <f>HYPERLINK("https://www.amazon.com/Wiha-66992-MagicRing-L-Key-Holders/dp/B000LF2LJM/ref=sr_1_3?keywords=Wiha+Tools+66991+13+Piece+MagicRing+Ball+End+Hex+L-Key+Set+-+Inch&amp;qid=1695173986&amp;sr=8-3", "https://www.amazon.com/Wiha-66992-MagicRing-L-Key-Holders/dp/B000LF2LJM/ref=sr_1_3?keywords=Wiha+Tools+66991+13+Piece+MagicRing+Ball+End+Hex+L-Key+Set+-+Inch&amp;qid=1695173986&amp;sr=8-3")</f>
        <v>https://www.amazon.com/Wiha-66992-MagicRing-L-Key-Holders/dp/B000LF2LJM/ref=sr_1_3?keywords=Wiha+Tools+66991+13+Piece+MagicRing+Ball+End+Hex+L-Key+Set+-+Inch&amp;qid=1695173986&amp;sr=8-3</v>
      </c>
      <c r="F2817" t="s">
        <v>4921</v>
      </c>
      <c r="G2817" t="e">
        <f ca="1">_xludf.IMAGE("https://edmondsonsupply.com/cdn/shop/files/203e9943d7bc6da0913f39b14430d97570f6257a_1000x_25f5521b-5db2-4e3a-9496-a87eed5e7da1.webp?v=1690841742")</f>
        <v>#NAME?</v>
      </c>
      <c r="H2817" t="e">
        <f ca="1">_xludf.IMAGE("https://m.media-amazon.com/images/I/71eB60IkANL._AC_UL320_.jpg")</f>
        <v>#NAME?</v>
      </c>
      <c r="I2817" t="s">
        <v>6960</v>
      </c>
      <c r="J2817">
        <v>81.03</v>
      </c>
      <c r="K2817" s="4">
        <v>0.66690000000000005</v>
      </c>
      <c r="L2817">
        <v>4.7</v>
      </c>
      <c r="M2817">
        <v>533</v>
      </c>
      <c r="O2817" t="s">
        <v>25</v>
      </c>
      <c r="P2817" t="s">
        <v>6961</v>
      </c>
      <c r="Q2817" t="s">
        <v>6962</v>
      </c>
    </row>
    <row r="2818" spans="1:17" ht="15.5" x14ac:dyDescent="0.35">
      <c r="A2818"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2818"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2818" t="s">
        <v>960</v>
      </c>
      <c r="D2818" t="s">
        <v>816</v>
      </c>
      <c r="E2818" s="3" t="str">
        <f>HYPERLINK("https://www.amazon.com/Klein-80055-Glasses-Professional-Breakaway/dp/B09HR9RV4H/ref=sr_1_5?keywords=Klein+Tools+60539+Professional+Safety+Glasses%2C+Full+Frame%2C+Polarized+Lens&amp;qid=1695174102&amp;sr=8-5", "https://www.amazon.com/Klein-80055-Glasses-Professional-Breakaway/dp/B09HR9RV4H/ref=sr_1_5?keywords=Klein+Tools+60539+Professional+Safety+Glasses%2C+Full+Frame%2C+Polarized+Lens&amp;qid=1695174102&amp;sr=8-5")</f>
        <v>https://www.amazon.com/Klein-80055-Glasses-Professional-Breakaway/dp/B09HR9RV4H/ref=sr_1_5?keywords=Klein+Tools+60539+Professional+Safety+Glasses%2C+Full+Frame%2C+Polarized+Lens&amp;qid=1695174102&amp;sr=8-5</v>
      </c>
      <c r="F2818" t="s">
        <v>817</v>
      </c>
      <c r="G2818" t="e">
        <f ca="1">_xludf.IMAGE("https://edmondsonsupply.com/cdn/shop/products/60539.jpg?v=1670948006")</f>
        <v>#NAME?</v>
      </c>
      <c r="H2818" t="e">
        <f ca="1">_xludf.IMAGE("https://m.media-amazon.com/images/I/61L5l7dmmiL._AC_UL320_.jpg")</f>
        <v>#NAME?</v>
      </c>
      <c r="I2818" t="s">
        <v>26</v>
      </c>
      <c r="J2818">
        <v>49.99</v>
      </c>
      <c r="K2818" s="4">
        <v>0.66690000000000005</v>
      </c>
      <c r="L2818">
        <v>4.5</v>
      </c>
      <c r="M2818">
        <v>13</v>
      </c>
      <c r="O2818" t="s">
        <v>25</v>
      </c>
      <c r="P2818" t="s">
        <v>562</v>
      </c>
      <c r="Q2818" t="s">
        <v>961</v>
      </c>
    </row>
    <row r="2819" spans="1:17" ht="15.5" x14ac:dyDescent="0.35">
      <c r="A2819"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2819"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2819" t="s">
        <v>6595</v>
      </c>
      <c r="D2819" t="s">
        <v>6605</v>
      </c>
      <c r="E2819" s="3" t="str">
        <f>HYPERLINK("https://www.amazon.com/Klein-Tools-VDV526-200-Replaceable-Non-Metallic/dp/B09Y84486X/ref=sr_1_4?keywords=Klein+Tools+VDV526-052+Cable+Tester%2C+LAN+Scout%C2%AE+Jr.+Continuity+Tester&amp;qid=1695174034&amp;sr=8-4", "https://www.amazon.com/Klein-Tools-VDV526-200-Replaceable-Non-Metallic/dp/B09Y84486X/ref=sr_1_4?keywords=Klein+Tools+VDV526-052+Cable+Tester%2C+LAN+Scout%C2%AE+Jr.+Continuity+Tester&amp;qid=1695174034&amp;sr=8-4")</f>
        <v>https://www.amazon.com/Klein-Tools-VDV526-200-Replaceable-Non-Metallic/dp/B09Y84486X/ref=sr_1_4?keywords=Klein+Tools+VDV526-052+Cable+Tester%2C+LAN+Scout%C2%AE+Jr.+Continuity+Tester&amp;qid=1695174034&amp;sr=8-4</v>
      </c>
      <c r="F2819" t="s">
        <v>6606</v>
      </c>
      <c r="G2819" t="e">
        <f ca="1">_xludf.IMAGE("https://edmondsonsupply.com/cdn/shop/files/vdv526-052.jpg?v=1685032494")</f>
        <v>#NAME?</v>
      </c>
      <c r="H2819" t="e">
        <f ca="1">_xludf.IMAGE("https://m.media-amazon.com/images/I/51l43d13j-L._AC_UY218_.jpg")</f>
        <v>#NAME?</v>
      </c>
      <c r="I2819" t="s">
        <v>5197</v>
      </c>
      <c r="J2819">
        <v>99.96</v>
      </c>
      <c r="K2819" s="4">
        <v>0.66679999999999995</v>
      </c>
      <c r="L2819">
        <v>4.8</v>
      </c>
      <c r="M2819">
        <v>12</v>
      </c>
      <c r="O2819" t="s">
        <v>25</v>
      </c>
      <c r="P2819" t="s">
        <v>6596</v>
      </c>
      <c r="Q2819" t="s">
        <v>6597</v>
      </c>
    </row>
    <row r="2820" spans="1:17" ht="15.5" x14ac:dyDescent="0.35">
      <c r="A2820" s="3" t="str">
        <f>HYPERLINK("https://edmondsonsupply.com/collections/electricians-tools/products/klein-tools-51607-aluminum-conduit-bender-full-assembly-3-4-inch-emt-with-angle-setter%E2%84%A2", "https://edmondsonsupply.com/collections/electricians-tools/products/klein-tools-51607-aluminum-conduit-bender-full-assembly-3-4-inch-emt-with-angle-setter%E2%84%A2")</f>
        <v>https://edmondsonsupply.com/collections/electricians-tools/products/klein-tools-51607-aluminum-conduit-bender-full-assembly-3-4-inch-emt-with-angle-setter%E2%84%A2</v>
      </c>
      <c r="B2820" s="3" t="str">
        <f>HYPERLINK("https://edmondsonsupply.com/products/klein-tools-51607-aluminum-conduit-bender-full-assembly-3-4-inch-emt-with-angle-setter%e2%84%a2", "https://edmondsonsupply.com/products/klein-tools-51607-aluminum-conduit-bender-full-assembly-3-4-inch-emt-with-angle-setter%e2%84%a2")</f>
        <v>https://edmondsonsupply.com/products/klein-tools-51607-aluminum-conduit-bender-full-assembly-3-4-inch-emt-with-angle-setter%e2%84%a2</v>
      </c>
      <c r="C2820" t="s">
        <v>6601</v>
      </c>
      <c r="D2820" t="s">
        <v>6047</v>
      </c>
      <c r="E2820" s="3" t="str">
        <f>HYPERLINK("https://www.amazon.com/Conduit-Features-Klein-Tools-51604/dp/B08V8YVWH1/ref=sr_1_4?keywords=Klein+Tools+51607+Aluminum+Conduit+Bender+Full+Assembly%2C+3%2F4-Inch+EMT+with+Angle+Setter%E2%84%A2&amp;qid=1695174169&amp;sr=8-4", "https://www.amazon.com/Conduit-Features-Klein-Tools-51604/dp/B08V8YVWH1/ref=sr_1_4?keywords=Klein+Tools+51607+Aluminum+Conduit+Bender+Full+Assembly%2C+3%2F4-Inch+EMT+with+Angle+Setter%E2%84%A2&amp;qid=1695174169&amp;sr=8-4")</f>
        <v>https://www.amazon.com/Conduit-Features-Klein-Tools-51604/dp/B08V8YVWH1/ref=sr_1_4?keywords=Klein+Tools+51607+Aluminum+Conduit+Bender+Full+Assembly%2C+3%2F4-Inch+EMT+with+Angle+Setter%E2%84%A2&amp;qid=1695174169&amp;sr=8-4</v>
      </c>
      <c r="F2820" t="s">
        <v>6048</v>
      </c>
      <c r="G2820" t="e">
        <f ca="1">_xludf.IMAGE("https://edmondsonsupply.com/cdn/shop/products/51607.jpg?v=1663942654")</f>
        <v>#NAME?</v>
      </c>
      <c r="H2820" t="e">
        <f ca="1">_xludf.IMAGE("https://m.media-amazon.com/images/I/41DkDVmyczL._AC_UL320_.jpg")</f>
        <v>#NAME?</v>
      </c>
      <c r="I2820" t="s">
        <v>946</v>
      </c>
      <c r="J2820">
        <v>74.989999999999995</v>
      </c>
      <c r="K2820" s="4">
        <v>0.66679999999999995</v>
      </c>
      <c r="L2820">
        <v>4.8</v>
      </c>
      <c r="M2820">
        <v>43</v>
      </c>
      <c r="O2820" t="s">
        <v>25</v>
      </c>
      <c r="P2820" t="s">
        <v>6068</v>
      </c>
      <c r="Q2820" t="s">
        <v>6604</v>
      </c>
    </row>
    <row r="2821" spans="1:17" ht="15.5" x14ac:dyDescent="0.35">
      <c r="A2821" s="3" t="str">
        <f>HYPERLINK("https://edmondsonsupply.com/collections/electricians-tools/products/klein-tools-60345-hard-hat-premium-karbn%E2%84%A2-pattern-non-vented-full-brim-class-e", "https://edmondsonsupply.com/collections/electricians-tools/products/klein-tools-60345-hard-hat-premium-karbn%E2%84%A2-pattern-non-vented-full-brim-class-e")</f>
        <v>https://edmondsonsupply.com/collections/electricians-tools/products/klein-tools-60345-hard-hat-premium-karbn%E2%84%A2-pattern-non-vented-full-brim-class-e</v>
      </c>
      <c r="B2821" s="3" t="str">
        <f>HYPERLINK("https://edmondsonsupply.com/products/klein-tools-60345-hard-hat-premium-karbn%e2%84%a2-pattern-non-vented-full-brim-class-e", "https://edmondsonsupply.com/products/klein-tools-60345-hard-hat-premium-karbn%e2%84%a2-pattern-non-vented-full-brim-class-e")</f>
        <v>https://edmondsonsupply.com/products/klein-tools-60345-hard-hat-premium-karbn%e2%84%a2-pattern-non-vented-full-brim-class-e</v>
      </c>
      <c r="C2821" t="s">
        <v>902</v>
      </c>
      <c r="D2821" t="s">
        <v>962</v>
      </c>
      <c r="E2821" s="3" t="str">
        <f>HYPERLINK("https://www.amazon.com/Klein-Tools-Non-Vented-Premium-Pattern/dp/B09Z8ZC2TJ/ref=sr_1_3?keywords=Klein+Tools+60345+Hard+Hat%2C+Premium+KARBN%E2%84%A2+Pattern%2C+Non-Vented+Full+Brim%2C+Class+E&amp;qid=1695174204&amp;sr=8-3", "https://www.amazon.com/Klein-Tools-Non-Vented-Premium-Pattern/dp/B09Z8ZC2TJ/ref=sr_1_3?keywords=Klein+Tools+60345+Hard+Hat%2C+Premium+KARBN%E2%84%A2+Pattern%2C+Non-Vented+Full+Brim%2C+Class+E&amp;qid=1695174204&amp;sr=8-3")</f>
        <v>https://www.amazon.com/Klein-Tools-Non-Vented-Premium-Pattern/dp/B09Z8ZC2TJ/ref=sr_1_3?keywords=Klein+Tools+60345+Hard+Hat%2C+Premium+KARBN%E2%84%A2+Pattern%2C+Non-Vented+Full+Brim%2C+Class+E&amp;qid=1695174204&amp;sr=8-3</v>
      </c>
      <c r="F2821" t="s">
        <v>963</v>
      </c>
      <c r="G2821" t="e">
        <f ca="1">_xludf.IMAGE("https://edmondsonsupply.com/cdn/shop/products/60345.jpg?v=1660171739")</f>
        <v>#NAME?</v>
      </c>
      <c r="H2821" t="e">
        <f ca="1">_xludf.IMAGE("https://m.media-amazon.com/images/I/51OeMTIeiuL._AC_UL320_.jpg")</f>
        <v>#NAME?</v>
      </c>
      <c r="I2821" t="s">
        <v>905</v>
      </c>
      <c r="J2821">
        <v>99.98</v>
      </c>
      <c r="K2821" s="4">
        <v>0.66659999999999997</v>
      </c>
      <c r="L2821">
        <v>4.7</v>
      </c>
      <c r="M2821">
        <v>8</v>
      </c>
      <c r="O2821" t="s">
        <v>25</v>
      </c>
      <c r="P2821" t="s">
        <v>906</v>
      </c>
      <c r="Q2821" t="s">
        <v>907</v>
      </c>
    </row>
    <row r="2822" spans="1:17" ht="15.5" x14ac:dyDescent="0.35">
      <c r="A2822"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2822"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2822" t="s">
        <v>6963</v>
      </c>
      <c r="D2822" t="s">
        <v>6602</v>
      </c>
      <c r="E2822" s="3" t="str">
        <f>HYPERLINK("https://www.amazon.com/Conduit-Technology-Benchmark-Klein-Tools/dp/B08L3ZQCT1/ref=sr_1_6?keywords=Klein+Tools+51603+Iron+Conduit+Bender+Full+Assembly%2C+1%2F2-Inch+EMT+with+Angle+Setter%E2%84%A2&amp;qid=1695173919&amp;sr=8-6", "https://www.amazon.com/Conduit-Technology-Benchmark-Klein-Tools/dp/B08L3ZQCT1/ref=sr_1_6?keywords=Klein+Tools+51603+Iron+Conduit+Bender+Full+Assembly%2C+1%2F2-Inch+EMT+with+Angle+Setter%E2%84%A2&amp;qid=1695173919&amp;sr=8-6")</f>
        <v>https://www.amazon.com/Conduit-Technology-Benchmark-Klein-Tools/dp/B08L3ZQCT1/ref=sr_1_6?keywords=Klein+Tools+51603+Iron+Conduit+Bender+Full+Assembly%2C+1%2F2-Inch+EMT+with+Angle+Setter%E2%84%A2&amp;qid=1695173919&amp;sr=8-6</v>
      </c>
      <c r="F2822" t="s">
        <v>6603</v>
      </c>
      <c r="G2822" t="e">
        <f ca="1">_xludf.IMAGE("https://edmondsonsupply.com/cdn/shop/products/51604.jpg?v=1663940749")</f>
        <v>#NAME?</v>
      </c>
      <c r="H2822" t="e">
        <f ca="1">_xludf.IMAGE("https://m.media-amazon.com/images/I/41stj4NcdUL._AC_UL320_.jpg")</f>
        <v>#NAME?</v>
      </c>
      <c r="I2822" t="s">
        <v>905</v>
      </c>
      <c r="J2822">
        <v>99.97</v>
      </c>
      <c r="K2822" s="4">
        <v>0.66639999999999999</v>
      </c>
      <c r="L2822">
        <v>4.7</v>
      </c>
      <c r="M2822">
        <v>60</v>
      </c>
      <c r="O2822" t="s">
        <v>25</v>
      </c>
      <c r="P2822" t="s">
        <v>6964</v>
      </c>
      <c r="Q2822" t="s">
        <v>6965</v>
      </c>
    </row>
    <row r="2823" spans="1:17" ht="15.5" x14ac:dyDescent="0.35">
      <c r="A2823"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2823" s="3" t="str">
        <f>HYPERLINK("https://edmondsonsupply.com/products/klein-tools-51609-3-4-inch-iron-conduit-bender-head", "https://edmondsonsupply.com/products/klein-tools-51609-3-4-inch-iron-conduit-bender-head")</f>
        <v>https://edmondsonsupply.com/products/klein-tools-51609-3-4-inch-iron-conduit-bender-head</v>
      </c>
      <c r="C2823" t="s">
        <v>6966</v>
      </c>
      <c r="D2823" t="s">
        <v>6602</v>
      </c>
      <c r="E2823" s="3" t="str">
        <f>HYPERLINK("https://www.amazon.com/Conduit-Technology-Benchmark-Klein-Tools/dp/B08L3ZQCT1/ref=sr_1_6?keywords=Klein+Tools+51609+3%2F4-Inch+Iron+Conduit+Bender+Head&amp;qid=1695174173&amp;sr=8-6", "https://www.amazon.com/Conduit-Technology-Benchmark-Klein-Tools/dp/B08L3ZQCT1/ref=sr_1_6?keywords=Klein+Tools+51609+3%2F4-Inch+Iron+Conduit+Bender+Head&amp;qid=1695174173&amp;sr=8-6")</f>
        <v>https://www.amazon.com/Conduit-Technology-Benchmark-Klein-Tools/dp/B08L3ZQCT1/ref=sr_1_6?keywords=Klein+Tools+51609+3%2F4-Inch+Iron+Conduit+Bender+Head&amp;qid=1695174173&amp;sr=8-6</v>
      </c>
      <c r="F2823" t="s">
        <v>6603</v>
      </c>
      <c r="G2823" t="e">
        <f ca="1">_xludf.IMAGE("https://edmondsonsupply.com/cdn/shop/products/51609.jpg?v=1661867147")</f>
        <v>#NAME?</v>
      </c>
      <c r="H2823" t="e">
        <f ca="1">_xludf.IMAGE("https://m.media-amazon.com/images/I/41stj4NcdUL._AC_UL320_.jpg")</f>
        <v>#NAME?</v>
      </c>
      <c r="I2823" t="s">
        <v>905</v>
      </c>
      <c r="J2823">
        <v>99.97</v>
      </c>
      <c r="K2823" s="4">
        <v>0.66639999999999999</v>
      </c>
      <c r="L2823">
        <v>4.7</v>
      </c>
      <c r="M2823">
        <v>60</v>
      </c>
      <c r="O2823" t="s">
        <v>25</v>
      </c>
      <c r="P2823" t="s">
        <v>6967</v>
      </c>
      <c r="Q2823" t="s">
        <v>6968</v>
      </c>
    </row>
    <row r="2824" spans="1:17" ht="15.5" x14ac:dyDescent="0.35">
      <c r="A2824"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2824"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2824" t="s">
        <v>6969</v>
      </c>
      <c r="D2824" t="s">
        <v>6970</v>
      </c>
      <c r="E2824" s="3" t="str">
        <f>HYPERLINK("https://www.amazon.com/Lightweight-Lockback-Klein-Tools-44007/dp/B001TJ1JVK/ref=sr_1_3?keywords=Klein+Tools+1550-2+2+Blade+Pocket+Knife%2C+Steel%2C+2-1%2F2-Inch+Blade&amp;qid=1695174176&amp;sr=8-3", "https://www.amazon.com/Lightweight-Lockback-Klein-Tools-44007/dp/B001TJ1JVK/ref=sr_1_3?keywords=Klein+Tools+1550-2+2+Blade+Pocket+Knife%2C+Steel%2C+2-1%2F2-Inch+Blade&amp;qid=1695174176&amp;sr=8-3")</f>
        <v>https://www.amazon.com/Lightweight-Lockback-Klein-Tools-44007/dp/B001TJ1JVK/ref=sr_1_3?keywords=Klein+Tools+1550-2+2+Blade+Pocket+Knife%2C+Steel%2C+2-1%2F2-Inch+Blade&amp;qid=1695174176&amp;sr=8-3</v>
      </c>
      <c r="F2824" t="s">
        <v>6971</v>
      </c>
      <c r="G2824" t="e">
        <f ca="1">_xludf.IMAGE("https://edmondsonsupply.com/cdn/shop/products/15502_b.jpg?v=1658020543")</f>
        <v>#NAME?</v>
      </c>
      <c r="H2824" t="e">
        <f ca="1">_xludf.IMAGE("https://m.media-amazon.com/images/I/71-kYHzVBIL._AC_UL320_.jpg")</f>
        <v>#NAME?</v>
      </c>
      <c r="I2824" t="s">
        <v>26</v>
      </c>
      <c r="J2824">
        <v>49.97</v>
      </c>
      <c r="K2824" s="4">
        <v>0.66620000000000001</v>
      </c>
      <c r="L2824">
        <v>4.5999999999999996</v>
      </c>
      <c r="M2824">
        <v>60</v>
      </c>
      <c r="O2824" t="s">
        <v>25</v>
      </c>
      <c r="P2824" t="s">
        <v>6972</v>
      </c>
      <c r="Q2824" t="s">
        <v>6973</v>
      </c>
    </row>
    <row r="2825" spans="1:17" ht="15.5" x14ac:dyDescent="0.35">
      <c r="A2825" s="3" t="str">
        <f>HYPERLINK("https://edmondsonsupply.com/collections/electricians-tools/products/klein-tools-66078-flip-impact-socket-adapter-large-1-2-to-1-2-inch", "https://edmondsonsupply.com/collections/electricians-tools/products/klein-tools-66078-flip-impact-socket-adapter-large-1-2-to-1-2-inch")</f>
        <v>https://edmondsonsupply.com/collections/electricians-tools/products/klein-tools-66078-flip-impact-socket-adapter-large-1-2-to-1-2-inch</v>
      </c>
      <c r="B2825" s="3" t="str">
        <f>HYPERLINK("https://edmondsonsupply.com/products/klein-tools-66078-flip-impact-socket-adapter-large-1-2-to-1-2-inch", "https://edmondsonsupply.com/products/klein-tools-66078-flip-impact-socket-adapter-large-1-2-to-1-2-inch")</f>
        <v>https://edmondsonsupply.com/products/klein-tools-66078-flip-impact-socket-adapter-large-1-2-to-1-2-inch</v>
      </c>
      <c r="C2825" t="s">
        <v>6125</v>
      </c>
      <c r="D2825" t="s">
        <v>6591</v>
      </c>
      <c r="E2825" s="3" t="str">
        <f>HYPERLINK("https://www.amazon.com/Klein-Tools-66078-Impact-Adapter/dp/B0B33T15XS/ref=sr_1_1?keywords=Klein+Tools+66078+Flip+Impact+Socket+Adapter%2C+Large%2C+1%2F2+to+1%2F2-Inch&amp;qid=1695174159&amp;sr=8-1", "https://www.amazon.com/Klein-Tools-66078-Impact-Adapter/dp/B0B33T15XS/ref=sr_1_1?keywords=Klein+Tools+66078+Flip+Impact+Socket+Adapter%2C+Large%2C+1%2F2+to+1%2F2-Inch&amp;qid=1695174159&amp;sr=8-1")</f>
        <v>https://www.amazon.com/Klein-Tools-66078-Impact-Adapter/dp/B0B33T15XS/ref=sr_1_1?keywords=Klein+Tools+66078+Flip+Impact+Socket+Adapter%2C+Large%2C+1%2F2+to+1%2F2-Inch&amp;qid=1695174159&amp;sr=8-1</v>
      </c>
      <c r="F2825" t="s">
        <v>6592</v>
      </c>
      <c r="G2825" t="e">
        <f ca="1">_xludf.IMAGE("https://edmondsonsupply.com/cdn/shop/products/66078.jpg?v=1674145294")</f>
        <v>#NAME?</v>
      </c>
      <c r="H2825" t="e">
        <f ca="1">_xludf.IMAGE("https://m.media-amazon.com/images/I/51cFYcsM3kL._AC_UL320_.jpg")</f>
        <v>#NAME?</v>
      </c>
      <c r="I2825" t="s">
        <v>6128</v>
      </c>
      <c r="J2825">
        <v>15.58</v>
      </c>
      <c r="K2825" s="4">
        <v>0.66449999999999998</v>
      </c>
      <c r="L2825">
        <v>5</v>
      </c>
      <c r="M2825">
        <v>1</v>
      </c>
      <c r="O2825" t="s">
        <v>25</v>
      </c>
      <c r="P2825" t="s">
        <v>6129</v>
      </c>
      <c r="Q2825" t="s">
        <v>6130</v>
      </c>
    </row>
    <row r="2826" spans="1:17" ht="15.5" x14ac:dyDescent="0.35">
      <c r="A2826"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2826"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2826" t="s">
        <v>6827</v>
      </c>
      <c r="D2826" t="s">
        <v>6974</v>
      </c>
      <c r="E2826" s="3" t="str">
        <f>HYPERLINK("https://www.amazon.com/Diablo-SDS-Max-4-Cutter-Carbide-Tipped-Hammer/dp/B089KVRR1J/ref=sr_1_5?keywords=Diablo+Tools+DMAMX1360+1-1%2F2+in.+x+16+in.+x+21+in.+Rebar+Demon%E2%84%A2+SDS-Max+4-Cutter+Carbide-Tipped+Hammer+Drill+Bit&amp;qid=1695174071&amp;sr=8-5", "https://www.amazon.com/Diablo-SDS-Max-4-Cutter-Carbide-Tipped-Hammer/dp/B089KVRR1J/ref=sr_1_5?keywords=Diablo+Tools+DMAMX1360+1-1%2F2+in.+x+16+in.+x+21+in.+Rebar+Demon%E2%84%A2+SDS-Max+4-Cutter+Carbide-Tipped+Hammer+Drill+Bit&amp;qid=1695174071&amp;sr=8-5")</f>
        <v>https://www.amazon.com/Diablo-SDS-Max-4-Cutter-Carbide-Tipped-Hammer/dp/B089KVRR1J/ref=sr_1_5?keywords=Diablo+Tools+DMAMX1360+1-1%2F2+in.+x+16+in.+x+21+in.+Rebar+Demon%E2%84%A2+SDS-Max+4-Cutter+Carbide-Tipped+Hammer+Drill+Bit&amp;qid=1695174071&amp;sr=8-5</v>
      </c>
      <c r="F2826" t="s">
        <v>6975</v>
      </c>
      <c r="G2826" t="e">
        <f ca="1">_xludf.IMAGE("https://edmondsonsupply.com/cdn/shop/products/z2umcsdaj3y4uvsfnxoh.webp?v=1677257156")</f>
        <v>#NAME?</v>
      </c>
      <c r="H2826" t="e">
        <f ca="1">_xludf.IMAGE("https://m.media-amazon.com/images/I/61BDKHxJ3YL._AC_UL320_.jpg")</f>
        <v>#NAME?</v>
      </c>
      <c r="I2826" t="s">
        <v>6830</v>
      </c>
      <c r="J2826">
        <v>155.99</v>
      </c>
      <c r="K2826" s="4">
        <v>0.66180000000000005</v>
      </c>
      <c r="L2826">
        <v>5</v>
      </c>
      <c r="M2826">
        <v>3</v>
      </c>
      <c r="O2826" t="s">
        <v>25</v>
      </c>
      <c r="P2826" t="s">
        <v>6831</v>
      </c>
      <c r="Q2826" t="s">
        <v>6832</v>
      </c>
    </row>
    <row r="2827" spans="1:17" ht="15.5" x14ac:dyDescent="0.35">
      <c r="A2827"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2827" s="3" t="str">
        <f>HYPERLINK("https://edmondsonsupply.com/products/klein-tools-jth9m5-4-mm-hex-key-journeyman-t-handle-9-inch", "https://edmondsonsupply.com/products/klein-tools-jth9m5-4-mm-hex-key-journeyman-t-handle-9-inch")</f>
        <v>https://edmondsonsupply.com/products/klein-tools-jth9m5-4-mm-hex-key-journeyman-t-handle-9-inch</v>
      </c>
      <c r="C2827" t="s">
        <v>6121</v>
      </c>
      <c r="D2827" t="s">
        <v>3163</v>
      </c>
      <c r="E2827" s="3" t="str">
        <f>HYPERLINK("https://www.amazon.com/Journeyman-T-Handle-Klein-Tools-JTH9E14/dp/B004QVAH4I/ref=sr_1_9?keywords=Klein+Tools+JTH9M4+4+mm+Hex+Key%2C+Journeyman+T-Handle%2C+9-Inch&amp;qid=1695174234&amp;sr=8-9", "https://www.amazon.com/Journeyman-T-Handle-Klein-Tools-JTH9E14/dp/B004QVAH4I/ref=sr_1_9?keywords=Klein+Tools+JTH9M4+4+mm+Hex+Key%2C+Journeyman+T-Handle%2C+9-Inch&amp;qid=1695174234&amp;sr=8-9")</f>
        <v>https://www.amazon.com/Journeyman-T-Handle-Klein-Tools-JTH9E14/dp/B004QVAH4I/ref=sr_1_9?keywords=Klein+Tools+JTH9M4+4+mm+Hex+Key%2C+Journeyman+T-Handle%2C+9-Inch&amp;qid=1695174234&amp;sr=8-9</v>
      </c>
      <c r="F2827" t="s">
        <v>3164</v>
      </c>
      <c r="G2827" t="e">
        <f ca="1">_xludf.IMAGE("https://edmondsonsupply.com/cdn/shop/products/jth9m_fa8a641d-d03f-4191-ab24-b9045963e4f7.jpg?v=1640191121")</f>
        <v>#NAME?</v>
      </c>
      <c r="H2827" t="e">
        <f ca="1">_xludf.IMAGE("https://m.media-amazon.com/images/I/51Yb8h41vLL._AC_UL320_.jpg")</f>
        <v>#NAME?</v>
      </c>
      <c r="I2827" t="s">
        <v>6122</v>
      </c>
      <c r="J2827">
        <v>7.44</v>
      </c>
      <c r="K2827" s="4">
        <v>0.65700000000000003</v>
      </c>
      <c r="L2827">
        <v>4.8</v>
      </c>
      <c r="M2827">
        <v>114</v>
      </c>
      <c r="O2827" t="s">
        <v>25</v>
      </c>
      <c r="P2827" t="s">
        <v>6123</v>
      </c>
      <c r="Q2827" t="s">
        <v>6124</v>
      </c>
    </row>
    <row r="2828" spans="1:17" ht="15.5" x14ac:dyDescent="0.35">
      <c r="A2828"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2828"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2828" t="s">
        <v>6976</v>
      </c>
      <c r="D2828" t="s">
        <v>2345</v>
      </c>
      <c r="E2828" s="3" t="str">
        <f>HYPERLINK("https://www.amazon.com/Klein-Tools-JTH6M3BE-Journeyman-T-Handle/dp/B0CGLYY7WP/ref=sr_1_2?keywords=Klein+Tools+JTH6E11BE+3%2F16-Inch+Ball+Hex+Key%2C+Journeyman+T-Handle+6-Inch&amp;qid=1695174298&amp;sr=8-2", "https://www.amazon.com/Klein-Tools-JTH6M3BE-Journeyman-T-Handle/dp/B0CGLYY7WP/ref=sr_1_2?keywords=Klein+Tools+JTH6E11BE+3%2F16-Inch+Ball+Hex+Key%2C+Journeyman+T-Handle+6-Inch&amp;qid=1695174298&amp;sr=8-2")</f>
        <v>https://www.amazon.com/Klein-Tools-JTH6M3BE-Journeyman-T-Handle/dp/B0CGLYY7WP/ref=sr_1_2?keywords=Klein+Tools+JTH6E11BE+3%2F16-Inch+Ball+Hex+Key%2C+Journeyman+T-Handle+6-Inch&amp;qid=1695174298&amp;sr=8-2</v>
      </c>
      <c r="F2828" t="s">
        <v>2346</v>
      </c>
      <c r="G2828" t="e">
        <f ca="1">_xludf.IMAGE("https://edmondsonsupply.com/cdn/shop/products/jth6e13be_9dba8a6a-8a07-4d76-a54f-fe57b92b3fea.jpg?v=1610659188")</f>
        <v>#NAME?</v>
      </c>
      <c r="H2828" t="e">
        <f ca="1">_xludf.IMAGE("https://m.media-amazon.com/images/I/413sTNFMd7L._AC_UL320_.jpg")</f>
        <v>#NAME?</v>
      </c>
      <c r="I2828" t="s">
        <v>6464</v>
      </c>
      <c r="J2828">
        <v>15.1</v>
      </c>
      <c r="K2828" s="4">
        <v>0.65569999999999995</v>
      </c>
      <c r="L2828">
        <v>4.5999999999999996</v>
      </c>
      <c r="M2828">
        <v>184</v>
      </c>
      <c r="O2828" t="s">
        <v>25</v>
      </c>
      <c r="P2828" t="s">
        <v>138</v>
      </c>
      <c r="Q2828" t="s">
        <v>6977</v>
      </c>
    </row>
    <row r="2829" spans="1:17" ht="15.5" x14ac:dyDescent="0.35">
      <c r="A2829" s="3" t="str">
        <f>HYPERLINK("https://edmondsonsupply.com/collections/electricians-tools/products/rack-a-tiers-84000-dirt-bag", "https://edmondsonsupply.com/collections/electricians-tools/products/rack-a-tiers-84000-dirt-bag")</f>
        <v>https://edmondsonsupply.com/collections/electricians-tools/products/rack-a-tiers-84000-dirt-bag</v>
      </c>
      <c r="B2829" s="3" t="str">
        <f>HYPERLINK("https://edmondsonsupply.com/products/rack-a-tiers-84000-dirt-bag", "https://edmondsonsupply.com/products/rack-a-tiers-84000-dirt-bag")</f>
        <v>https://edmondsonsupply.com/products/rack-a-tiers-84000-dirt-bag</v>
      </c>
      <c r="C2829" t="s">
        <v>6978</v>
      </c>
      <c r="D2829" t="s">
        <v>6979</v>
      </c>
      <c r="E2829" s="3" t="str">
        <f>HYPERLINK("https://www.amazon.com/Rack-Tiers-Dirt-Bag-Magnetic/dp/B09R5R87NQ/ref=sr_1_1?keywords=Rack-A-Tiers+84000+Dirt+Bag&amp;qid=1695173850&amp;sr=8-1", "https://www.amazon.com/Rack-Tiers-Dirt-Bag-Magnetic/dp/B09R5R87NQ/ref=sr_1_1?keywords=Rack-A-Tiers+84000+Dirt+Bag&amp;qid=1695173850&amp;sr=8-1")</f>
        <v>https://www.amazon.com/Rack-Tiers-Dirt-Bag-Magnetic/dp/B09R5R87NQ/ref=sr_1_1?keywords=Rack-A-Tiers+84000+Dirt+Bag&amp;qid=1695173850&amp;sr=8-1</v>
      </c>
      <c r="F2829" t="s">
        <v>6980</v>
      </c>
      <c r="G2829" t="e">
        <f ca="1">_xludf.IMAGE("https://edmondsonsupply.com/cdn/shop/products/rack-a-tiers-drill-attachments-84000-64_1000.jpg?v=1587149964")</f>
        <v>#NAME?</v>
      </c>
      <c r="H2829" t="e">
        <f ca="1">_xludf.IMAGE("https://m.media-amazon.com/images/I/312CS5arvCL._AC_UL320_.jpg")</f>
        <v>#NAME?</v>
      </c>
      <c r="I2829" t="s">
        <v>3042</v>
      </c>
      <c r="J2829">
        <v>80.09</v>
      </c>
      <c r="K2829" s="4">
        <v>0.65169999999999995</v>
      </c>
      <c r="L2829">
        <v>3.8</v>
      </c>
      <c r="M2829">
        <v>4</v>
      </c>
      <c r="O2829" t="s">
        <v>171</v>
      </c>
      <c r="P2829" t="s">
        <v>6981</v>
      </c>
      <c r="Q2829" t="s">
        <v>6982</v>
      </c>
    </row>
    <row r="2830" spans="1:17" ht="15.5" x14ac:dyDescent="0.35">
      <c r="A2830"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2830"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2830" t="s">
        <v>5886</v>
      </c>
      <c r="D2830" t="s">
        <v>6983</v>
      </c>
      <c r="E2830" s="3" t="str">
        <f>HYPERLINK("https://www.amazon.com/Diablo-Starlock-Carbide-Oscillating-General/dp/B089LJS9ZL/ref=sr_1_6?keywords=Diablo+Tools+DOU125CGP+1-1%2F4+in.+Universal+Fit+Carbide+Oscillating+Blade+for+General+Purpose+Cuts&amp;qid=1695174006&amp;sr=8-6", "https://www.amazon.com/Diablo-Starlock-Carbide-Oscillating-General/dp/B089LJS9ZL/ref=sr_1_6?keywords=Diablo+Tools+DOU125CGP+1-1%2F4+in.+Universal+Fit+Carbide+Oscillating+Blade+for+General+Purpose+Cuts&amp;qid=1695174006&amp;sr=8-6")</f>
        <v>https://www.amazon.com/Diablo-Starlock-Carbide-Oscillating-General/dp/B089LJS9ZL/ref=sr_1_6?keywords=Diablo+Tools+DOU125CGP+1-1%2F4+in.+Universal+Fit+Carbide+Oscillating+Blade+for+General+Purpose+Cuts&amp;qid=1695174006&amp;sr=8-6</v>
      </c>
      <c r="F2830" t="s">
        <v>6984</v>
      </c>
      <c r="G2830" t="e">
        <f ca="1">_xludf.IMAGE("https://edmondsonsupply.com/cdn/shop/files/htobgrjt150mygkkk6to_dca17485-ff4c-4cd2-9345-f1b96a9206f3.webp?v=1686146827")</f>
        <v>#NAME?</v>
      </c>
      <c r="H2830" t="e">
        <f ca="1">_xludf.IMAGE("https://m.media-amazon.com/images/I/71Hcp8-r23L._AC_UL320_.jpg")</f>
        <v>#NAME?</v>
      </c>
      <c r="I2830" t="s">
        <v>1716</v>
      </c>
      <c r="J2830">
        <v>37.9</v>
      </c>
      <c r="K2830" s="4">
        <v>0.65</v>
      </c>
      <c r="L2830">
        <v>4.5999999999999996</v>
      </c>
      <c r="M2830">
        <v>22</v>
      </c>
      <c r="O2830" t="s">
        <v>25</v>
      </c>
      <c r="P2830" t="s">
        <v>5889</v>
      </c>
      <c r="Q2830" t="s">
        <v>5890</v>
      </c>
    </row>
    <row r="2831" spans="1:17" ht="15.5" x14ac:dyDescent="0.35">
      <c r="A2831"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2831"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2831" t="s">
        <v>6236</v>
      </c>
      <c r="D2831" t="s">
        <v>6985</v>
      </c>
      <c r="E2831" s="3" t="str">
        <f>HYPERLINK("https://www.amazon.com/Klein-Tools-Multi-bit-Screwdriver-Multi-Bit/dp/B0B7N8RXDY/ref=sr_1_7?keywords=Klein+Tools+32308+8-in-1+Multi-Bit+Adjustable+Length+Stubby+Screwdriver&amp;qid=1695174224&amp;sr=8-7", "https://www.amazon.com/Klein-Tools-Multi-bit-Screwdriver-Multi-Bit/dp/B0B7N8RXDY/ref=sr_1_7?keywords=Klein+Tools+32308+8-in-1+Multi-Bit+Adjustable+Length+Stubby+Screwdriver&amp;qid=1695174224&amp;sr=8-7")</f>
        <v>https://www.amazon.com/Klein-Tools-Multi-bit-Screwdriver-Multi-Bit/dp/B0B7N8RXDY/ref=sr_1_7?keywords=Klein+Tools+32308+8-in-1+Multi-Bit+Adjustable+Length+Stubby+Screwdriver&amp;qid=1695174224&amp;sr=8-7</v>
      </c>
      <c r="F2831" t="s">
        <v>6986</v>
      </c>
      <c r="G2831" t="e">
        <f ca="1">_xludf.IMAGE("https://edmondsonsupply.com/cdn/shop/products/32308_b.jpg?v=1647348209")</f>
        <v>#NAME?</v>
      </c>
      <c r="H2831" t="e">
        <f ca="1">_xludf.IMAGE("https://m.media-amazon.com/images/I/514uFlHpM3L._AC_UL320_.jpg")</f>
        <v>#NAME?</v>
      </c>
      <c r="I2831" t="s">
        <v>4985</v>
      </c>
      <c r="J2831">
        <v>27.94</v>
      </c>
      <c r="K2831" s="4">
        <v>0.64639999999999997</v>
      </c>
      <c r="L2831">
        <v>5</v>
      </c>
      <c r="M2831">
        <v>3</v>
      </c>
      <c r="O2831" t="s">
        <v>25</v>
      </c>
      <c r="P2831" t="s">
        <v>996</v>
      </c>
      <c r="Q2831" t="s">
        <v>6239</v>
      </c>
    </row>
    <row r="2832" spans="1:17" ht="15.5" x14ac:dyDescent="0.35">
      <c r="A2832"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2832"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2832" t="s">
        <v>6463</v>
      </c>
      <c r="D2832" t="s">
        <v>2500</v>
      </c>
      <c r="E2832" s="3" t="str">
        <f>HYPERLINK("https://www.amazon.com/Journeyman-T-Handle-Klein-Tools-JTH9M6/dp/B005G3HJKU/ref=sr_1_8?keywords=Klein+Tools+JTH6M6BE+6+mm+Ball-End+Hex+Key%2C+Journeyman%E2%84%A2+T-Handle%2C+6-Inch&amp;qid=1695174142&amp;sr=8-8", "https://www.amazon.com/Journeyman-T-Handle-Klein-Tools-JTH9M6/dp/B005G3HJKU/ref=sr_1_8?keywords=Klein+Tools+JTH6M6BE+6+mm+Ball-End+Hex+Key%2C+Journeyman%E2%84%A2+T-Handle%2C+6-Inch&amp;qid=1695174142&amp;sr=8-8")</f>
        <v>https://www.amazon.com/Journeyman-T-Handle-Klein-Tools-JTH9M6/dp/B005G3HJKU/ref=sr_1_8?keywords=Klein+Tools+JTH6M6BE+6+mm+Ball-End+Hex+Key%2C+Journeyman%E2%84%A2+T-Handle%2C+6-Inch&amp;qid=1695174142&amp;sr=8-8</v>
      </c>
      <c r="F2832" t="s">
        <v>2501</v>
      </c>
      <c r="G2832" t="e">
        <f ca="1">_xludf.IMAGE("https://edmondsonsupply.com/cdn/shop/products/jth6m8be_8608088e-2ec0-429e-80d7-5bd927a3a1b6.jpg?v=1666111557")</f>
        <v>#NAME?</v>
      </c>
      <c r="H2832" t="e">
        <f ca="1">_xludf.IMAGE("https://m.media-amazon.com/images/I/51+1x0vz9XL._AC_UL320_.jpg")</f>
        <v>#NAME?</v>
      </c>
      <c r="I2832" t="s">
        <v>2639</v>
      </c>
      <c r="J2832">
        <v>9.84</v>
      </c>
      <c r="K2832" s="4">
        <v>0.64270000000000005</v>
      </c>
      <c r="L2832">
        <v>4.7</v>
      </c>
      <c r="M2832">
        <v>123</v>
      </c>
      <c r="O2832" t="s">
        <v>25</v>
      </c>
      <c r="P2832" t="s">
        <v>6464</v>
      </c>
      <c r="Q2832" t="s">
        <v>6465</v>
      </c>
    </row>
    <row r="2833" spans="1:17" ht="15.5" x14ac:dyDescent="0.35">
      <c r="A2833" s="3" t="str">
        <f>HYPERLINK("https://edmondsonsupply.com/collections/electricians-tools/products/klein-tools-jth9m6-6-mm-hex-key-journeyman%E2%84%A2-t-handle-9-inch", "https://edmondsonsupply.com/collections/electricians-tools/products/klein-tools-jth9m6-6-mm-hex-key-journeyman%E2%84%A2-t-handle-9-inch")</f>
        <v>https://edmondsonsupply.com/collections/electricians-tools/products/klein-tools-jth9m6-6-mm-hex-key-journeyman%E2%84%A2-t-handle-9-inch</v>
      </c>
      <c r="B2833" s="3" t="str">
        <f>HYPERLINK("https://edmondsonsupply.com/products/klein-tools-jth9m6-6-mm-hex-key-journeyman%e2%84%a2-t-handle-9-inch", "https://edmondsonsupply.com/products/klein-tools-jth9m6-6-mm-hex-key-journeyman%e2%84%a2-t-handle-9-inch")</f>
        <v>https://edmondsonsupply.com/products/klein-tools-jth9m6-6-mm-hex-key-journeyman%e2%84%a2-t-handle-9-inch</v>
      </c>
      <c r="C2833" t="s">
        <v>6987</v>
      </c>
      <c r="D2833" t="s">
        <v>2500</v>
      </c>
      <c r="E2833" s="3" t="str">
        <f>HYPERLINK("https://www.amazon.com/Journeyman-T-Handle-Klein-Tools-JTH9M6/dp/B005G3HJKU/ref=sr_1_1?keywords=Klein+Tools+JTH9M6+6+mm+Hex+Key%2C+Journeyman%E2%84%A2+T-Handle%2C+9-Inch&amp;qid=1695174139&amp;sr=8-1", "https://www.amazon.com/Journeyman-T-Handle-Klein-Tools-JTH9M6/dp/B005G3HJKU/ref=sr_1_1?keywords=Klein+Tools+JTH9M6+6+mm+Hex+Key%2C+Journeyman%E2%84%A2+T-Handle%2C+9-Inch&amp;qid=1695174139&amp;sr=8-1")</f>
        <v>https://www.amazon.com/Journeyman-T-Handle-Klein-Tools-JTH9M6/dp/B005G3HJKU/ref=sr_1_1?keywords=Klein+Tools+JTH9M6+6+mm+Hex+Key%2C+Journeyman%E2%84%A2+T-Handle%2C+9-Inch&amp;qid=1695174139&amp;sr=8-1</v>
      </c>
      <c r="F2833" t="s">
        <v>2501</v>
      </c>
      <c r="G2833" t="e">
        <f ca="1">_xludf.IMAGE("https://edmondsonsupply.com/cdn/shop/products/jth6m8_8e3ac188-6806-4676-8198-2058bbbd4836.jpg?v=1664891890")</f>
        <v>#NAME?</v>
      </c>
      <c r="H2833" t="e">
        <f ca="1">_xludf.IMAGE("https://m.media-amazon.com/images/I/51+1x0vz9XL._AC_UL320_.jpg")</f>
        <v>#NAME?</v>
      </c>
      <c r="I2833" t="s">
        <v>2639</v>
      </c>
      <c r="J2833">
        <v>9.84</v>
      </c>
      <c r="K2833" s="4">
        <v>0.64270000000000005</v>
      </c>
      <c r="L2833">
        <v>4.7</v>
      </c>
      <c r="M2833">
        <v>123</v>
      </c>
      <c r="O2833" t="s">
        <v>25</v>
      </c>
      <c r="P2833" t="s">
        <v>6988</v>
      </c>
      <c r="Q2833" t="s">
        <v>6989</v>
      </c>
    </row>
    <row r="2834" spans="1:17" ht="15.5" x14ac:dyDescent="0.35">
      <c r="A2834" s="3" t="str">
        <f>HYPERLINK("https://edmondsonsupply.com/collections/electricians-tools/products/diablo-tools-dmamm1030-3-16-in-x-4-in-x-6-in-multi-material-carbide-tipped-hammer-drill-bit", "https://edmondsonsupply.com/collections/electricians-tools/products/diablo-tools-dmamm1030-3-16-in-x-4-in-x-6-in-multi-material-carbide-tipped-hammer-drill-bit")</f>
        <v>https://edmondsonsupply.com/collections/electricians-tools/products/diablo-tools-dmamm1030-3-16-in-x-4-in-x-6-in-multi-material-carbide-tipped-hammer-drill-bit</v>
      </c>
      <c r="B2834" s="3" t="str">
        <f>HYPERLINK("https://edmondsonsupply.com/products/diablo-tools-dmamm1030-3-16-in-x-4-in-x-6-in-multi-material-carbide-tipped-hammer-drill-bit", "https://edmondsonsupply.com/products/diablo-tools-dmamm1030-3-16-in-x-4-in-x-6-in-multi-material-carbide-tipped-hammer-drill-bit")</f>
        <v>https://edmondsonsupply.com/products/diablo-tools-dmamm1030-3-16-in-x-4-in-x-6-in-multi-material-carbide-tipped-hammer-drill-bit</v>
      </c>
      <c r="C2834" t="s">
        <v>6990</v>
      </c>
      <c r="D2834" t="s">
        <v>6578</v>
      </c>
      <c r="E2834" s="3" t="str">
        <f>HYPERLINK("https://www.amazon.com/Diablo-DMAMM1120-Multi-Material-Carbide-Tipped/dp/B089LGQPBS/ref=sr_1_1?keywords=Diablo+Tools+DMAMM1030+3%2F16+in.+x+4+in.+x+6+in.+Multi-Material+Carbide+Tipped+Hammer+Drill+Bit&amp;qid=1695174028&amp;sr=8-1", "https://www.amazon.com/Diablo-DMAMM1120-Multi-Material-Carbide-Tipped/dp/B089LGQPBS/ref=sr_1_1?keywords=Diablo+Tools+DMAMM1030+3%2F16+in.+x+4+in.+x+6+in.+Multi-Material+Carbide+Tipped+Hammer+Drill+Bit&amp;qid=1695174028&amp;sr=8-1")</f>
        <v>https://www.amazon.com/Diablo-DMAMM1120-Multi-Material-Carbide-Tipped/dp/B089LGQPBS/ref=sr_1_1?keywords=Diablo+Tools+DMAMM1030+3%2F16+in.+x+4+in.+x+6+in.+Multi-Material+Carbide+Tipped+Hammer+Drill+Bit&amp;qid=1695174028&amp;sr=8-1</v>
      </c>
      <c r="F2834" t="s">
        <v>6579</v>
      </c>
      <c r="G2834" t="e">
        <f ca="1">_xludf.IMAGE("https://edmondsonsupply.com/cdn/shop/products/o0c0wf8feit5uxkyh0x8.webp?v=1680186241")</f>
        <v>#NAME?</v>
      </c>
      <c r="H2834" t="e">
        <f ca="1">_xludf.IMAGE("https://m.media-amazon.com/images/I/61aXKxa+esL._AC_UL320_.jpg")</f>
        <v>#NAME?</v>
      </c>
      <c r="I2834" t="s">
        <v>6991</v>
      </c>
      <c r="J2834">
        <v>11.42</v>
      </c>
      <c r="K2834" s="4">
        <v>0.63849999999999996</v>
      </c>
      <c r="L2834">
        <v>3.8</v>
      </c>
      <c r="M2834">
        <v>2</v>
      </c>
      <c r="O2834" t="s">
        <v>25</v>
      </c>
      <c r="P2834" t="s">
        <v>138</v>
      </c>
      <c r="Q2834" t="s">
        <v>6992</v>
      </c>
    </row>
    <row r="2835" spans="1:17" ht="15.5" x14ac:dyDescent="0.35">
      <c r="A2835" s="3" t="str">
        <f>HYPERLINK("https://edmondsonsupply.com/collections/electricians-tools/products/klein-tools-32791-pro-impact-power-bit-extension-1-4-inch-hex", "https://edmondsonsupply.com/collections/electricians-tools/products/klein-tools-32791-pro-impact-power-bit-extension-1-4-inch-hex")</f>
        <v>https://edmondsonsupply.com/collections/electricians-tools/products/klein-tools-32791-pro-impact-power-bit-extension-1-4-inch-hex</v>
      </c>
      <c r="B2835" s="3" t="str">
        <f>HYPERLINK("https://edmondsonsupply.com/products/klein-tools-32791-pro-impact-power-bit-extension-1-4-inch-hex", "https://edmondsonsupply.com/products/klein-tools-32791-pro-impact-power-bit-extension-1-4-inch-hex")</f>
        <v>https://edmondsonsupply.com/products/klein-tools-32791-pro-impact-power-bit-extension-1-4-inch-hex</v>
      </c>
      <c r="C2835" t="s">
        <v>2944</v>
      </c>
      <c r="D2835" t="s">
        <v>2945</v>
      </c>
      <c r="E2835" s="3" t="str">
        <f>HYPERLINK("https://www.amazon.com/Klein-Tools-32791-Impact-Extension/dp/B07RMQD27L/ref=sr_1_1?keywords=Klein+Tools+32791+Pro+Impact+Power+Bit+Extension+1%2F4-Inch+Hex&amp;qid=1695173960&amp;sr=8-1", "https://www.amazon.com/Klein-Tools-32791-Impact-Extension/dp/B07RMQD27L/ref=sr_1_1?keywords=Klein+Tools+32791+Pro+Impact+Power+Bit+Extension+1%2F4-Inch+Hex&amp;qid=1695173960&amp;sr=8-1")</f>
        <v>https://www.amazon.com/Klein-Tools-32791-Impact-Extension/dp/B07RMQD27L/ref=sr_1_1?keywords=Klein+Tools+32791+Pro+Impact+Power+Bit+Extension+1%2F4-Inch+Hex&amp;qid=1695173960&amp;sr=8-1</v>
      </c>
      <c r="F2835" t="s">
        <v>2946</v>
      </c>
      <c r="G2835" t="e">
        <f ca="1">_xludf.IMAGE("https://edmondsonsupply.com/cdn/shop/products/32791.jpg?v=1587145614")</f>
        <v>#NAME?</v>
      </c>
      <c r="H2835" t="e">
        <f ca="1">_xludf.IMAGE("https://m.media-amazon.com/images/I/51fXXIx2SdL._AC_UL320_.jpg")</f>
        <v>#NAME?</v>
      </c>
      <c r="I2835" t="s">
        <v>2347</v>
      </c>
      <c r="J2835">
        <v>11.44</v>
      </c>
      <c r="K2835" s="4">
        <v>0.63660000000000005</v>
      </c>
      <c r="L2835">
        <v>4.7</v>
      </c>
      <c r="M2835">
        <v>119</v>
      </c>
      <c r="O2835" t="s">
        <v>25</v>
      </c>
      <c r="P2835" t="s">
        <v>2826</v>
      </c>
      <c r="Q2835" t="s">
        <v>2947</v>
      </c>
    </row>
    <row r="2836" spans="1:17" ht="15.5" x14ac:dyDescent="0.35">
      <c r="A2836"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2836" s="3" t="str">
        <f>HYPERLINK("https://edmondsonsupply.com/products/klein-tools-ir07-dual-ir-probe-thermometer", "https://edmondsonsupply.com/products/klein-tools-ir07-dual-ir-probe-thermometer")</f>
        <v>https://edmondsonsupply.com/products/klein-tools-ir07-dual-ir-probe-thermometer</v>
      </c>
      <c r="C2836" t="s">
        <v>2948</v>
      </c>
      <c r="D2836" t="s">
        <v>2949</v>
      </c>
      <c r="E2836" s="3" t="str">
        <f>HYPERLINK("https://www.amazon.com/Klein-Tools-Thermometer-Non-Destructive-Detection/dp/B0BD41GF81/ref=sr_1_2?keywords=Klein+Tools+IR07+Dual+IR%2FProbe+Thermometer&amp;qid=1695173956&amp;sr=8-2", "https://www.amazon.com/Klein-Tools-Thermometer-Non-Destructive-Detection/dp/B0BD41GF81/ref=sr_1_2?keywords=Klein+Tools+IR07+Dual+IR%2FProbe+Thermometer&amp;qid=1695173956&amp;sr=8-2")</f>
        <v>https://www.amazon.com/Klein-Tools-Thermometer-Non-Destructive-Detection/dp/B0BD41GF81/ref=sr_1_2?keywords=Klein+Tools+IR07+Dual+IR%2FProbe+Thermometer&amp;qid=1695173956&amp;sr=8-2</v>
      </c>
      <c r="F2836" t="s">
        <v>2950</v>
      </c>
      <c r="G2836" t="e">
        <f ca="1">_xludf.IMAGE("https://edmondsonsupply.com/cdn/shop/products/ir07.jpg?v=1599003623")</f>
        <v>#NAME?</v>
      </c>
      <c r="H2836" t="e">
        <f ca="1">_xludf.IMAGE("https://m.media-amazon.com/images/I/41ZBBvpbShL._AC_UY218_.jpg")</f>
        <v>#NAME?</v>
      </c>
      <c r="I2836" t="s">
        <v>2951</v>
      </c>
      <c r="J2836">
        <v>93.94</v>
      </c>
      <c r="K2836" s="4">
        <v>0.63400000000000001</v>
      </c>
      <c r="L2836">
        <v>5</v>
      </c>
      <c r="M2836">
        <v>2</v>
      </c>
      <c r="O2836" t="s">
        <v>25</v>
      </c>
      <c r="P2836" t="s">
        <v>2952</v>
      </c>
      <c r="Q2836" t="s">
        <v>2953</v>
      </c>
    </row>
    <row r="2837" spans="1:17" ht="15.5" x14ac:dyDescent="0.35">
      <c r="A2837"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2837" s="3" t="str">
        <f>HYPERLINK("https://edmondsonsupply.com/products/klein-tools-3005cr-ratcheting-crimper-10-22-awg", "https://edmondsonsupply.com/products/klein-tools-3005cr-ratcheting-crimper-10-22-awg")</f>
        <v>https://edmondsonsupply.com/products/klein-tools-3005cr-ratcheting-crimper-10-22-awg</v>
      </c>
      <c r="C2837" t="s">
        <v>1987</v>
      </c>
      <c r="D2837" t="s">
        <v>2954</v>
      </c>
      <c r="E2837" s="3" t="str">
        <f>HYPERLINK("https://www.amazon.com/Titan-Ratcheting-Insulated-Terminals-Electrical/dp/B08DY433KH/ref=sr_1_6?keywords=Klein+Tools+3005CR+Ratcheting+Crimper%2C+10-22+AWG+-+Insulated+Terminals&amp;qid=1695173864&amp;sr=8-6", "https://www.amazon.com/Titan-Ratcheting-Insulated-Terminals-Electrical/dp/B08DY433KH/ref=sr_1_6?keywords=Klein+Tools+3005CR+Ratcheting+Crimper%2C+10-22+AWG+-+Insulated+Terminals&amp;qid=1695173864&amp;sr=8-6")</f>
        <v>https://www.amazon.com/Titan-Ratcheting-Insulated-Terminals-Electrical/dp/B08DY433KH/ref=sr_1_6?keywords=Klein+Tools+3005CR+Ratcheting+Crimper%2C+10-22+AWG+-+Insulated+Terminals&amp;qid=1695173864&amp;sr=8-6</v>
      </c>
      <c r="F2837" t="s">
        <v>2955</v>
      </c>
      <c r="G2837" t="e">
        <f ca="1">_xludf.IMAGE("https://edmondsonsupply.com/cdn/shop/products/3005cr.jpg?v=1587146892")</f>
        <v>#NAME?</v>
      </c>
      <c r="H2837" t="e">
        <f ca="1">_xludf.IMAGE("https://m.media-amazon.com/images/I/41RLyNO17GL._AC_UL320_.jpg")</f>
        <v>#NAME?</v>
      </c>
      <c r="I2837" t="s">
        <v>824</v>
      </c>
      <c r="J2837">
        <v>48.96</v>
      </c>
      <c r="K2837" s="4">
        <v>0.63360000000000005</v>
      </c>
      <c r="L2837">
        <v>4.5999999999999996</v>
      </c>
      <c r="M2837">
        <v>3</v>
      </c>
      <c r="O2837" t="s">
        <v>25</v>
      </c>
      <c r="P2837" t="s">
        <v>1990</v>
      </c>
      <c r="Q2837" t="s">
        <v>1991</v>
      </c>
    </row>
    <row r="2838" spans="1:17" ht="15.5" x14ac:dyDescent="0.35">
      <c r="A2838"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2838"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2838" t="s">
        <v>6932</v>
      </c>
      <c r="D2838" t="s">
        <v>5938</v>
      </c>
      <c r="E2838" s="3" t="str">
        <f>HYPERLINK("https://www.amazon.com/Diablo-Universal-Bi-Metal-Blades-Nail-Embedded/dp/B089KW2WVD/ref=sr_1_4?keywords=Diablo+Tools+DOU250JBW+2-1%2F2+in.+Universal+Fit+Bi-Metal+Oscillating+Blade+for+Clean+Wood&amp;qid=1695174020&amp;sr=8-4", "https://www.amazon.com/Diablo-Universal-Bi-Metal-Blades-Nail-Embedded/dp/B089KW2WVD/ref=sr_1_4?keywords=Diablo+Tools+DOU250JBW+2-1%2F2+in.+Universal+Fit+Bi-Metal+Oscillating+Blade+for+Clean+Wood&amp;qid=1695174020&amp;sr=8-4")</f>
        <v>https://www.amazon.com/Diablo-Universal-Bi-Metal-Blades-Nail-Embedded/dp/B089KW2WVD/ref=sr_1_4?keywords=Diablo+Tools+DOU250JBW+2-1%2F2+in.+Universal+Fit+Bi-Metal+Oscillating+Blade+for+Clean+Wood&amp;qid=1695174020&amp;sr=8-4</v>
      </c>
      <c r="F2838" t="s">
        <v>5939</v>
      </c>
      <c r="G2838" t="e">
        <f ca="1">_xludf.IMAGE("https://edmondsonsupply.com/cdn/shop/files/pycnap4eb1urn2hxvudq.webp?v=1685718789")</f>
        <v>#NAME?</v>
      </c>
      <c r="H2838" t="e">
        <f ca="1">_xludf.IMAGE("https://m.media-amazon.com/images/I/613ig7mNjfL._AC_UL320_.jpg")</f>
        <v>#NAME?</v>
      </c>
      <c r="I2838" t="s">
        <v>6935</v>
      </c>
      <c r="J2838">
        <v>25.49</v>
      </c>
      <c r="K2838" s="4">
        <v>0.62880000000000003</v>
      </c>
      <c r="L2838">
        <v>4.5999999999999996</v>
      </c>
      <c r="M2838">
        <v>148</v>
      </c>
      <c r="O2838" t="s">
        <v>25</v>
      </c>
      <c r="P2838" t="s">
        <v>6936</v>
      </c>
      <c r="Q2838" t="s">
        <v>6937</v>
      </c>
    </row>
    <row r="2839" spans="1:17" ht="15.5" x14ac:dyDescent="0.35">
      <c r="A2839" s="3" t="str">
        <f>HYPERLINK("https://edmondsonsupply.com/collections/electricians-tools/products/klein-tools-d2000-28-diagonal-cutting-pliers-heavy-duty-high-leverage-8-inch", "https://edmondsonsupply.com/collections/electricians-tools/products/klein-tools-d2000-28-diagonal-cutting-pliers-heavy-duty-high-leverage-8-inch")</f>
        <v>https://edmondsonsupply.com/collections/electricians-tools/products/klein-tools-d2000-28-diagonal-cutting-pliers-heavy-duty-high-leverage-8-inch</v>
      </c>
      <c r="B2839" s="3" t="str">
        <f>HYPERLINK("https://edmondsonsupply.com/products/klein-tools-d2000-28-diagonal-cutting-pliers-heavy-duty-high-leverage-8-inch", "https://edmondsonsupply.com/products/klein-tools-d2000-28-diagonal-cutting-pliers-heavy-duty-high-leverage-8-inch")</f>
        <v>https://edmondsonsupply.com/products/klein-tools-d2000-28-diagonal-cutting-pliers-heavy-duty-high-leverage-8-inch</v>
      </c>
      <c r="C2839" t="s">
        <v>6737</v>
      </c>
      <c r="D2839" t="s">
        <v>6993</v>
      </c>
      <c r="E2839" s="3" t="str">
        <f>HYPERLINK("https://www.amazon.com/Diagonal-Cutting-Insulated-Klein-Tools-D2000-28-INS/dp/B00093DXUC/ref=sr_1_1?keywords=Klein+Tools+D2000-28+Diagonal+Cutting+Pliers%2C+Heavy-Duty%2C+High-Leverage%2C+8-Inch&amp;qid=1695174291&amp;sr=8-1", "https://www.amazon.com/Diagonal-Cutting-Insulated-Klein-Tools-D2000-28-INS/dp/B00093DXUC/ref=sr_1_1?keywords=Klein+Tools+D2000-28+Diagonal+Cutting+Pliers%2C+Heavy-Duty%2C+High-Leverage%2C+8-Inch&amp;qid=1695174291&amp;sr=8-1")</f>
        <v>https://www.amazon.com/Diagonal-Cutting-Insulated-Klein-Tools-D2000-28-INS/dp/B00093DXUC/ref=sr_1_1?keywords=Klein+Tools+D2000-28+Diagonal+Cutting+Pliers%2C+Heavy-Duty%2C+High-Leverage%2C+8-Inch&amp;qid=1695174291&amp;sr=8-1</v>
      </c>
      <c r="F2839" t="s">
        <v>6994</v>
      </c>
      <c r="G2839" t="e">
        <f ca="1">_xludf.IMAGE("https://edmondsonsupply.com/cdn/shop/products/d200028.jpg?v=1633030882")</f>
        <v>#NAME?</v>
      </c>
      <c r="H2839" t="e">
        <f ca="1">_xludf.IMAGE("https://m.media-amazon.com/images/I/41b4ykuTkcL._AC_UL320_.jpg")</f>
        <v>#NAME?</v>
      </c>
      <c r="I2839" t="s">
        <v>571</v>
      </c>
      <c r="J2839">
        <v>56.91</v>
      </c>
      <c r="K2839" s="4">
        <v>0.62649999999999995</v>
      </c>
      <c r="L2839">
        <v>4.4000000000000004</v>
      </c>
      <c r="M2839">
        <v>68</v>
      </c>
      <c r="O2839" t="s">
        <v>25</v>
      </c>
      <c r="P2839" t="s">
        <v>5228</v>
      </c>
      <c r="Q2839" t="s">
        <v>6740</v>
      </c>
    </row>
    <row r="2840" spans="1:17" ht="15.5" x14ac:dyDescent="0.35">
      <c r="A2840"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2840"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2840" t="s">
        <v>6995</v>
      </c>
      <c r="D2840" t="s">
        <v>3553</v>
      </c>
      <c r="E2840" s="3" t="str">
        <f>HYPERLINK("https://www.amazon.com/Klein-Tools-80067-Thermometer-Non-Contact/dp/B0B11NG8XM/ref=sr_1_9?keywords=Klein+Tools+69149P+Test+Kit+with+Multimeter%2C+Non-Contact+Volt+Tester%2C+Receptacle+Tester&amp;qid=1695174288&amp;sr=8-9", "https://www.amazon.com/Klein-Tools-80067-Thermometer-Non-Contact/dp/B0B11NG8XM/ref=sr_1_9?keywords=Klein+Tools+69149P+Test+Kit+with+Multimeter%2C+Non-Contact+Volt+Tester%2C+Receptacle+Tester&amp;qid=1695174288&amp;sr=8-9")</f>
        <v>https://www.amazon.com/Klein-Tools-80067-Thermometer-Non-Contact/dp/B0B11NG8XM/ref=sr_1_9?keywords=Klein+Tools+69149P+Test+Kit+with+Multimeter%2C+Non-Contact+Volt+Tester%2C+Receptacle+Tester&amp;qid=1695174288&amp;sr=8-9</v>
      </c>
      <c r="F2840" t="s">
        <v>3554</v>
      </c>
      <c r="G2840" t="e">
        <f ca="1">_xludf.IMAGE("https://edmondsonsupply.com/cdn/shop/products/69149p.jpg?v=1664479017")</f>
        <v>#NAME?</v>
      </c>
      <c r="H2840" t="e">
        <f ca="1">_xludf.IMAGE("https://m.media-amazon.com/images/I/61M3CphXgvL._AC_UL320_.jpg")</f>
        <v>#NAME?</v>
      </c>
      <c r="I2840" t="s">
        <v>246</v>
      </c>
      <c r="J2840">
        <v>64.989999999999995</v>
      </c>
      <c r="K2840" s="4">
        <v>0.626</v>
      </c>
      <c r="L2840">
        <v>4.5</v>
      </c>
      <c r="M2840">
        <v>29</v>
      </c>
      <c r="O2840" t="s">
        <v>25</v>
      </c>
      <c r="P2840" t="s">
        <v>6996</v>
      </c>
      <c r="Q2840" t="s">
        <v>6997</v>
      </c>
    </row>
    <row r="2841" spans="1:17" ht="15.5" x14ac:dyDescent="0.35">
      <c r="A2841"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2841"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2841" t="s">
        <v>6276</v>
      </c>
      <c r="D2841" t="s">
        <v>2386</v>
      </c>
      <c r="E2841" s="3" t="str">
        <f>HYPERLINK("https://www.amazon.com/Journeyman-T-Handle-Klein-Tools-JTH6E13BE/dp/B004QW52YW/ref=sr_1_5?keywords=Klein+Tools+JTH9E13+1%2F4-Inch+Hex+Key+with+Journeyman+T-Handle%2C+9-Inch&amp;qid=1695174307&amp;sr=8-5", "https://www.amazon.com/Journeyman-T-Handle-Klein-Tools-JTH6E13BE/dp/B004QW52YW/ref=sr_1_5?keywords=Klein+Tools+JTH9E13+1%2F4-Inch+Hex+Key+with+Journeyman+T-Handle%2C+9-Inch&amp;qid=1695174307&amp;sr=8-5")</f>
        <v>https://www.amazon.com/Journeyman-T-Handle-Klein-Tools-JTH6E13BE/dp/B004QW52YW/ref=sr_1_5?keywords=Klein+Tools+JTH9E13+1%2F4-Inch+Hex+Key+with+Journeyman+T-Handle%2C+9-Inch&amp;qid=1695174307&amp;sr=8-5</v>
      </c>
      <c r="F2841" t="s">
        <v>2387</v>
      </c>
      <c r="G2841" t="e">
        <f ca="1">_xludf.IMAGE("https://edmondsonsupply.com/cdn/shop/products/jth9e12_7dcdbf9a-5acd-4824-8919-6aeb4a790072.jpg?v=1604060723")</f>
        <v>#NAME?</v>
      </c>
      <c r="H2841" t="e">
        <f ca="1">_xludf.IMAGE("https://m.media-amazon.com/images/I/51f9vBFVXgL._AC_UL320_.jpg")</f>
        <v>#NAME?</v>
      </c>
      <c r="I2841" t="s">
        <v>4617</v>
      </c>
      <c r="J2841">
        <v>10.55</v>
      </c>
      <c r="K2841" s="4">
        <v>0.62560000000000004</v>
      </c>
      <c r="L2841">
        <v>4.7</v>
      </c>
      <c r="M2841">
        <v>32</v>
      </c>
      <c r="O2841" t="s">
        <v>25</v>
      </c>
      <c r="P2841" t="s">
        <v>6277</v>
      </c>
      <c r="Q2841" t="s">
        <v>6278</v>
      </c>
    </row>
    <row r="2842" spans="1:17" ht="15.5" x14ac:dyDescent="0.35">
      <c r="A2842" s="3" t="str">
        <f>HYPERLINK("https://edmondsonsupply.com/collections/electricians-tools/products/klein-tools-94156-american-legacy-diagonal-plier-and-klein-kurve%C2%AE-wire-stripper-cutter", "https://edmondsonsupply.com/collections/electricians-tools/products/klein-tools-94156-american-legacy-diagonal-plier-and-klein-kurve%C2%AE-wire-stripper-cutter")</f>
        <v>https://edmondsonsupply.com/collections/electricians-tools/products/klein-tools-94156-american-legacy-diagonal-plier-and-klein-kurve%C2%AE-wire-stripper-cutter</v>
      </c>
      <c r="B2842" s="3" t="str">
        <f>HYPERLINK("https://edmondsonsupply.com/products/klein-tools-94156-american-legacy-diagonal-plier-and-klein-kurve%c2%ae-wire-stripper-cutter", "https://edmondsonsupply.com/products/klein-tools-94156-american-legacy-diagonal-plier-and-klein-kurve%c2%ae-wire-stripper-cutter")</f>
        <v>https://edmondsonsupply.com/products/klein-tools-94156-american-legacy-diagonal-plier-and-klein-kurve%c2%ae-wire-stripper-cutter</v>
      </c>
      <c r="C2842" t="s">
        <v>203</v>
      </c>
      <c r="D2842" t="s">
        <v>201</v>
      </c>
      <c r="E2842" s="3" t="str">
        <f>HYPERLINK("https://www.amazon.com/Klein-Tools-80121-Stripper-Strippers/dp/B0BMN726NC/ref=sr_1_2?keywords=Klein+Tools+94156+American+Legacy+Diagonal+Plier+and+Klein-Kurve%C2%AE+Wire+Stripper+%2F+Cutter&amp;qid=1695173858&amp;sr=8-2", "https://www.amazon.com/Klein-Tools-80121-Stripper-Strippers/dp/B0BMN726NC/ref=sr_1_2?keywords=Klein+Tools+94156+American+Legacy+Diagonal+Plier+and+Klein-Kurve%C2%AE+Wire+Stripper+%2F+Cutter&amp;qid=1695173858&amp;sr=8-2")</f>
        <v>https://www.amazon.com/Klein-Tools-80121-Stripper-Strippers/dp/B0BMN726NC/ref=sr_1_2?keywords=Klein+Tools+94156+American+Legacy+Diagonal+Plier+and+Klein-Kurve%C2%AE+Wire+Stripper+%2F+Cutter&amp;qid=1695173858&amp;sr=8-2</v>
      </c>
      <c r="F2842" t="s">
        <v>202</v>
      </c>
      <c r="G2842" t="e">
        <f ca="1">_xludf.IMAGE("https://edmondsonsupply.com/cdn/shop/products/94156.jpg?v=1674142114")</f>
        <v>#NAME?</v>
      </c>
      <c r="H2842" t="e">
        <f ca="1">_xludf.IMAGE("https://m.media-amazon.com/images/I/51BBSMLtwZL._AC_UL320_.jpg")</f>
        <v>#NAME?</v>
      </c>
      <c r="I2842" t="s">
        <v>198</v>
      </c>
      <c r="J2842">
        <v>64.989999999999995</v>
      </c>
      <c r="K2842" s="4">
        <v>0.62519999999999998</v>
      </c>
      <c r="L2842">
        <v>5</v>
      </c>
      <c r="M2842">
        <v>8</v>
      </c>
      <c r="O2842" t="s">
        <v>25</v>
      </c>
      <c r="P2842" t="s">
        <v>199</v>
      </c>
      <c r="Q2842" t="s">
        <v>204</v>
      </c>
    </row>
    <row r="2843" spans="1:17" ht="15.5" x14ac:dyDescent="0.35">
      <c r="A2843" s="3" t="str">
        <f>HYPERLINK("https://edmondsonsupply.com/collections/electricians-tools/products/klein-tools-94155-american-legacy-lineman-pliers-and-klein-kurve%C2%AE-wire-stripper-cutter", "https://edmondsonsupply.com/collections/electricians-tools/products/klein-tools-94155-american-legacy-lineman-pliers-and-klein-kurve%C2%AE-wire-stripper-cutter")</f>
        <v>https://edmondsonsupply.com/collections/electricians-tools/products/klein-tools-94155-american-legacy-lineman-pliers-and-klein-kurve%C2%AE-wire-stripper-cutter</v>
      </c>
      <c r="B2843"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2843" t="s">
        <v>195</v>
      </c>
      <c r="D2843" t="s">
        <v>201</v>
      </c>
      <c r="E2843" s="3" t="str">
        <f>HYPERLINK("https://www.amazon.com/Klein-Tools-80121-Stripper-Strippers/dp/B0BMN726NC/ref=sr_1_2?keywords=Klein+Tools+94155+American+Legacy+Lineman+Pliers+and+Klein-Kurve%C2%AE+Wire+Stripper+%2F+Cutter&amp;qid=1695173851&amp;sr=8-2", "https://www.amazon.com/Klein-Tools-80121-Stripper-Strippers/dp/B0BMN726NC/ref=sr_1_2?keywords=Klein+Tools+94155+American+Legacy+Lineman+Pliers+and+Klein-Kurve%C2%AE+Wire+Stripper+%2F+Cutter&amp;qid=1695173851&amp;sr=8-2")</f>
        <v>https://www.amazon.com/Klein-Tools-80121-Stripper-Strippers/dp/B0BMN726NC/ref=sr_1_2?keywords=Klein+Tools+94155+American+Legacy+Lineman+Pliers+and+Klein-Kurve%C2%AE+Wire+Stripper+%2F+Cutter&amp;qid=1695173851&amp;sr=8-2</v>
      </c>
      <c r="F2843" t="s">
        <v>202</v>
      </c>
      <c r="G2843" t="e">
        <f ca="1">_xludf.IMAGE("https://edmondsonsupply.com/cdn/shop/products/94155.jpg?v=1674141590")</f>
        <v>#NAME?</v>
      </c>
      <c r="H2843" t="e">
        <f ca="1">_xludf.IMAGE("https://m.media-amazon.com/images/I/51BBSMLtwZL._AC_UL320_.jpg")</f>
        <v>#NAME?</v>
      </c>
      <c r="I2843" t="s">
        <v>198</v>
      </c>
      <c r="J2843">
        <v>64.989999999999995</v>
      </c>
      <c r="K2843" s="4">
        <v>0.62519999999999998</v>
      </c>
      <c r="L2843">
        <v>5</v>
      </c>
      <c r="M2843">
        <v>8</v>
      </c>
      <c r="O2843" t="s">
        <v>25</v>
      </c>
      <c r="P2843" t="s">
        <v>199</v>
      </c>
      <c r="Q2843" t="s">
        <v>200</v>
      </c>
    </row>
    <row r="2844" spans="1:17" ht="15.5" x14ac:dyDescent="0.35">
      <c r="A2844"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2844" s="3" t="str">
        <f>HYPERLINK("https://edmondsonsupply.com/products/klein-tools-60100-hard-hat-non-vented-cap-style-white", "https://edmondsonsupply.com/products/klein-tools-60100-hard-hat-non-vented-cap-style-white")</f>
        <v>https://edmondsonsupply.com/products/klein-tools-60100-hard-hat-non-vented-cap-style-white</v>
      </c>
      <c r="C2844" t="s">
        <v>970</v>
      </c>
      <c r="D2844" t="s">
        <v>888</v>
      </c>
      <c r="E2844" s="3" t="str">
        <f>HYPERLINK("https://www.amazon.com/Klein-Tools-Self-Wicking-Odor-Resistant-Sweatband/dp/B0B68NYYM7/ref=sr_1_6?keywords=Klein+Tools+60100+Hard+Hat%2C+Non-Vented%2C+Cap+Style%2C+White&amp;qid=1695174219&amp;sr=8-6", "https://www.amazon.com/Klein-Tools-Self-Wicking-Odor-Resistant-Sweatband/dp/B0B68NYYM7/ref=sr_1_6?keywords=Klein+Tools+60100+Hard+Hat%2C+Non-Vented%2C+Cap+Style%2C+White&amp;qid=1695174219&amp;sr=8-6")</f>
        <v>https://www.amazon.com/Klein-Tools-Self-Wicking-Odor-Resistant-Sweatband/dp/B0B68NYYM7/ref=sr_1_6?keywords=Klein+Tools+60100+Hard+Hat%2C+Non-Vented%2C+Cap+Style%2C+White&amp;qid=1695174219&amp;sr=8-6</v>
      </c>
      <c r="F2844" t="s">
        <v>889</v>
      </c>
      <c r="G2844" t="e">
        <f ca="1">_xludf.IMAGE("https://edmondsonsupply.com/cdn/shop/products/60100_c.jpg?v=1648166061")</f>
        <v>#NAME?</v>
      </c>
      <c r="H2844" t="e">
        <f ca="1">_xludf.IMAGE("https://m.media-amazon.com/images/I/41IulVK0+jL._AC_UL320_.jpg")</f>
        <v>#NAME?</v>
      </c>
      <c r="I2844" t="s">
        <v>198</v>
      </c>
      <c r="J2844">
        <v>64.959999999999994</v>
      </c>
      <c r="K2844" s="4">
        <v>0.62439999999999996</v>
      </c>
      <c r="L2844">
        <v>4.5</v>
      </c>
      <c r="M2844">
        <v>15</v>
      </c>
      <c r="O2844" t="s">
        <v>171</v>
      </c>
      <c r="P2844" t="s">
        <v>971</v>
      </c>
      <c r="Q2844" t="s">
        <v>972</v>
      </c>
    </row>
    <row r="2845" spans="1:17" ht="15.5" x14ac:dyDescent="0.35">
      <c r="A2845"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2845" s="3" t="str">
        <f>HYPERLINK("https://edmondsonsupply.com/products/klein-tools-32314-14-in-1-precision-screwdriver-nut-driver", "https://edmondsonsupply.com/products/klein-tools-32314-14-in-1-precision-screwdriver-nut-driver")</f>
        <v>https://edmondsonsupply.com/products/klein-tools-32314-14-in-1-precision-screwdriver-nut-driver</v>
      </c>
      <c r="C2845" t="s">
        <v>1999</v>
      </c>
      <c r="D2845" t="s">
        <v>2958</v>
      </c>
      <c r="E2845" s="3" t="str">
        <f>HYPERLINK("https://www.amazon.com/Klein-Tools-Electronic-Screwdriver-Precision/dp/B09Z9278H4/ref=sr_1_3?keywords=Klein+Tools+32314+14-in-1+Precision+Screwdriver%2F+Nut+Driver&amp;qid=1695173878&amp;sr=8-3", "https://www.amazon.com/Klein-Tools-Electronic-Screwdriver-Precision/dp/B09Z9278H4/ref=sr_1_3?keywords=Klein+Tools+32314+14-in-1+Precision+Screwdriver%2F+Nut+Driver&amp;qid=1695173878&amp;sr=8-3")</f>
        <v>https://www.amazon.com/Klein-Tools-Electronic-Screwdriver-Precision/dp/B09Z9278H4/ref=sr_1_3?keywords=Klein+Tools+32314+14-in-1+Precision+Screwdriver%2F+Nut+Driver&amp;qid=1695173878&amp;sr=8-3</v>
      </c>
      <c r="F2845" t="s">
        <v>2959</v>
      </c>
      <c r="G2845" t="e">
        <f ca="1">_xludf.IMAGE("https://edmondsonsupply.com/cdn/shop/products/32314.jpg?v=1646593726")</f>
        <v>#NAME?</v>
      </c>
      <c r="H2845" t="e">
        <f ca="1">_xludf.IMAGE("https://m.media-amazon.com/images/I/41L4nOieMWL._AC_UL320_.jpg")</f>
        <v>#NAME?</v>
      </c>
      <c r="I2845" t="s">
        <v>143</v>
      </c>
      <c r="J2845">
        <v>25.94</v>
      </c>
      <c r="K2845" s="4">
        <v>0.62429999999999997</v>
      </c>
      <c r="L2845">
        <v>4.8</v>
      </c>
      <c r="M2845">
        <v>7</v>
      </c>
      <c r="O2845" t="s">
        <v>25</v>
      </c>
      <c r="P2845" t="s">
        <v>2002</v>
      </c>
      <c r="Q2845" t="s">
        <v>2003</v>
      </c>
    </row>
    <row r="2846" spans="1:17" ht="15.5" x14ac:dyDescent="0.35">
      <c r="A2846"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2846" s="3" t="str">
        <f>HYPERLINK("https://edmondsonsupply.com/products/klein-tools-65200-electricians-mini-ratchet-set-5-piece", "https://edmondsonsupply.com/products/klein-tools-65200-electricians-mini-ratchet-set-5-piece")</f>
        <v>https://edmondsonsupply.com/products/klein-tools-65200-electricians-mini-ratchet-set-5-piece</v>
      </c>
      <c r="C2846" t="s">
        <v>140</v>
      </c>
      <c r="D2846" t="s">
        <v>205</v>
      </c>
      <c r="E2846" s="3" t="str">
        <f>HYPERLINK("https://www.amazon.com/Klein-Tools-Demagnetizer-Magnetizer-Screwdriver/dp/B09Z917XB6/ref=sr_1_4?keywords=Klein+Tools+65200+Slim-Profile+Mini+Ratchet+Set%2C+5-Piece&amp;qid=1695173845&amp;sr=8-4", "https://www.amazon.com/Klein-Tools-Demagnetizer-Magnetizer-Screwdriver/dp/B09Z917XB6/ref=sr_1_4?keywords=Klein+Tools+65200+Slim-Profile+Mini+Ratchet+Set%2C+5-Piece&amp;qid=1695173845&amp;sr=8-4")</f>
        <v>https://www.amazon.com/Klein-Tools-Demagnetizer-Magnetizer-Screwdriver/dp/B09Z917XB6/ref=sr_1_4?keywords=Klein+Tools+65200+Slim-Profile+Mini+Ratchet+Set%2C+5-Piece&amp;qid=1695173845&amp;sr=8-4</v>
      </c>
      <c r="F2846" t="s">
        <v>206</v>
      </c>
      <c r="G2846" t="e">
        <f ca="1">_xludf.IMAGE("https://edmondsonsupply.com/cdn/shop/products/65200.jpg?v=1633030630")</f>
        <v>#NAME?</v>
      </c>
      <c r="H2846" t="e">
        <f ca="1">_xludf.IMAGE("https://m.media-amazon.com/images/I/41yfZTQhEVL._AC_UL320_.jpg")</f>
        <v>#NAME?</v>
      </c>
      <c r="I2846" t="s">
        <v>143</v>
      </c>
      <c r="J2846">
        <v>25.93</v>
      </c>
      <c r="K2846" s="4">
        <v>0.62370000000000003</v>
      </c>
      <c r="L2846">
        <v>4.9000000000000004</v>
      </c>
      <c r="M2846">
        <v>17</v>
      </c>
      <c r="O2846" t="s">
        <v>25</v>
      </c>
      <c r="P2846" t="s">
        <v>144</v>
      </c>
      <c r="Q2846" t="s">
        <v>145</v>
      </c>
    </row>
    <row r="2847" spans="1:17" ht="15.5" x14ac:dyDescent="0.35">
      <c r="A2847"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2847"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2847" t="s">
        <v>6998</v>
      </c>
      <c r="D2847" t="s">
        <v>6999</v>
      </c>
      <c r="E2847" s="3" t="str">
        <f>HYPERLINK("https://www.amazon.com/Klein-Tools-80065-Multi-Bit-Screwdriver/dp/B09SGPJ79X/ref=sr_1_4?keywords=Klein+Tools+65131+2-in-1+Nut+Driver%2C+Hex+Head+Slide+Drive%E2%84%A2%2C+1-1%2F2-Inch&amp;qid=1695174203&amp;sr=8-4", "https://www.amazon.com/Klein-Tools-80065-Multi-Bit-Screwdriver/dp/B09SGPJ79X/ref=sr_1_4?keywords=Klein+Tools+65131+2-in-1+Nut+Driver%2C+Hex+Head+Slide+Drive%E2%84%A2%2C+1-1%2F2-Inch&amp;qid=1695174203&amp;sr=8-4")</f>
        <v>https://www.amazon.com/Klein-Tools-80065-Multi-Bit-Screwdriver/dp/B09SGPJ79X/ref=sr_1_4?keywords=Klein+Tools+65131+2-in-1+Nut+Driver%2C+Hex+Head+Slide+Drive%E2%84%A2%2C+1-1%2F2-Inch&amp;qid=1695174203&amp;sr=8-4</v>
      </c>
      <c r="F2847" t="s">
        <v>7000</v>
      </c>
      <c r="G2847" t="e">
        <f ca="1">_xludf.IMAGE("https://edmondsonsupply.com/cdn/shop/products/65131.jpg?v=1660742745")</f>
        <v>#NAME?</v>
      </c>
      <c r="H2847" t="e">
        <f ca="1">_xludf.IMAGE("https://m.media-amazon.com/images/I/41GX7DrqSFL._AC_UL320_.jpg")</f>
        <v>#NAME?</v>
      </c>
      <c r="I2847" t="s">
        <v>2101</v>
      </c>
      <c r="J2847">
        <v>29.99</v>
      </c>
      <c r="K2847" s="4">
        <v>0.622</v>
      </c>
      <c r="L2847">
        <v>4.8</v>
      </c>
      <c r="M2847">
        <v>4204</v>
      </c>
      <c r="O2847" t="s">
        <v>25</v>
      </c>
      <c r="P2847" t="s">
        <v>7001</v>
      </c>
      <c r="Q2847" t="s">
        <v>7002</v>
      </c>
    </row>
    <row r="2848" spans="1:17" ht="15.5" x14ac:dyDescent="0.35">
      <c r="A2848"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2848"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2848" t="s">
        <v>6998</v>
      </c>
      <c r="D2848" t="s">
        <v>2599</v>
      </c>
      <c r="E2848" s="3" t="str">
        <f>HYPERLINK("https://www.amazon.com/Driver-Magnetic-Klein-Tools-32807MAG/dp/B07D4M51DQ/ref=sr_1_7?keywords=Klein+Tools+65131+2-in-1+Nut+Driver%2C+Hex+Head+Slide+Drive%E2%84%A2%2C+1-1%2F2-Inch&amp;qid=1695174203&amp;sr=8-7", "https://www.amazon.com/Driver-Magnetic-Klein-Tools-32807MAG/dp/B07D4M51DQ/ref=sr_1_7?keywords=Klein+Tools+65131+2-in-1+Nut+Driver%2C+Hex+Head+Slide+Drive%E2%84%A2%2C+1-1%2F2-Inch&amp;qid=1695174203&amp;sr=8-7")</f>
        <v>https://www.amazon.com/Driver-Magnetic-Klein-Tools-32807MAG/dp/B07D4M51DQ/ref=sr_1_7?keywords=Klein+Tools+65131+2-in-1+Nut+Driver%2C+Hex+Head+Slide+Drive%E2%84%A2%2C+1-1%2F2-Inch&amp;qid=1695174203&amp;sr=8-7</v>
      </c>
      <c r="F2848" t="s">
        <v>2600</v>
      </c>
      <c r="G2848" t="e">
        <f ca="1">_xludf.IMAGE("https://edmondsonsupply.com/cdn/shop/products/65131.jpg?v=1660742745")</f>
        <v>#NAME?</v>
      </c>
      <c r="H2848" t="e">
        <f ca="1">_xludf.IMAGE("https://m.media-amazon.com/images/I/61gwAJBzDAL._AC_UL320_.jpg")</f>
        <v>#NAME?</v>
      </c>
      <c r="I2848" t="s">
        <v>2101</v>
      </c>
      <c r="J2848">
        <v>29.97</v>
      </c>
      <c r="K2848" s="4">
        <v>0.62090000000000001</v>
      </c>
      <c r="L2848">
        <v>4.7</v>
      </c>
      <c r="M2848">
        <v>9161</v>
      </c>
      <c r="O2848" t="s">
        <v>25</v>
      </c>
      <c r="P2848" t="s">
        <v>7001</v>
      </c>
      <c r="Q2848" t="s">
        <v>7002</v>
      </c>
    </row>
    <row r="2849" spans="1:17" ht="15.5" x14ac:dyDescent="0.35">
      <c r="A2849" s="3" t="str">
        <f>HYPERLINK("https://edmondsonsupply.com/collections/electricians-tools/products/crescent-tools-cx6dbs2-2-pc-x6%E2%84%A2-4-in-1-black-oxide-spline-ratcheting-sae-wrench-set", "https://edmondsonsupply.com/collections/electricians-tools/products/crescent-tools-cx6dbs2-2-pc-x6%E2%84%A2-4-in-1-black-oxide-spline-ratcheting-sae-wrench-set")</f>
        <v>https://edmondsonsupply.com/collections/electricians-tools/products/crescent-tools-cx6dbs2-2-pc-x6%E2%84%A2-4-in-1-black-oxide-spline-ratcheting-sae-wrench-set</v>
      </c>
      <c r="B2849" s="3" t="str">
        <f>HYPERLINK("https://edmondsonsupply.com/products/crescent-tools-cx6dbs2-2-pc-x6%e2%84%a2-4-in-1-black-oxide-spline-ratcheting-sae-wrench-set", "https://edmondsonsupply.com/products/crescent-tools-cx6dbs2-2-pc-x6%e2%84%a2-4-in-1-black-oxide-spline-ratcheting-sae-wrench-set")</f>
        <v>https://edmondsonsupply.com/products/crescent-tools-cx6dbs2-2-pc-x6%e2%84%a2-4-in-1-black-oxide-spline-ratcheting-sae-wrench-set</v>
      </c>
      <c r="C2849" t="s">
        <v>6806</v>
      </c>
      <c r="D2849" t="s">
        <v>7003</v>
      </c>
      <c r="E2849" s="3" t="str">
        <f>HYPERLINK("https://www.amazon.com/Crescent-Black-Spline-Ratcheting-Wrench/dp/B0874GFK5Y/ref=sr_1_1?keywords=Crescent+Tools+CX6DBS2+2+Pc.+X6%E2%84%A2+4-in-1+Black+Oxide+Spline+Ratcheting+SAE+Wrench+Set&amp;qid=1695174022&amp;sr=8-1", "https://www.amazon.com/Crescent-Black-Spline-Ratcheting-Wrench/dp/B0874GFK5Y/ref=sr_1_1?keywords=Crescent+Tools+CX6DBS2+2+Pc.+X6%E2%84%A2+4-in-1+Black+Oxide+Spline+Ratcheting+SAE+Wrench+Set&amp;qid=1695174022&amp;sr=8-1")</f>
        <v>https://www.amazon.com/Crescent-Black-Spline-Ratcheting-Wrench/dp/B0874GFK5Y/ref=sr_1_1?keywords=Crescent+Tools+CX6DBS2+2+Pc.+X6%E2%84%A2+4-in-1+Black+Oxide+Spline+Ratcheting+SAE+Wrench+Set&amp;qid=1695174022&amp;sr=8-1</v>
      </c>
      <c r="F2849" t="s">
        <v>7004</v>
      </c>
      <c r="G2849" t="e">
        <f ca="1">_xludf.IMAGE("https://edmondsonsupply.com/cdn/shop/products/CRS_CX6DBS2_FRNT_MAIN.jpg?v=1681319485")</f>
        <v>#NAME?</v>
      </c>
      <c r="H2849" t="e">
        <f ca="1">_xludf.IMAGE("https://m.media-amazon.com/images/I/51OikbHFTxL._AC_UL320_.jpg")</f>
        <v>#NAME?</v>
      </c>
      <c r="I2849" t="s">
        <v>6809</v>
      </c>
      <c r="J2849">
        <v>55.05</v>
      </c>
      <c r="K2849" s="4">
        <v>0.62009999999999998</v>
      </c>
      <c r="L2849">
        <v>4.4000000000000004</v>
      </c>
      <c r="M2849">
        <v>10</v>
      </c>
      <c r="O2849" t="s">
        <v>25</v>
      </c>
      <c r="P2849" t="s">
        <v>6810</v>
      </c>
      <c r="Q2849" t="s">
        <v>6811</v>
      </c>
    </row>
    <row r="2850" spans="1:17" ht="15.5" x14ac:dyDescent="0.35">
      <c r="A2850" s="3" t="str">
        <f>HYPERLINK("https://edmondsonsupply.com/collections/electricians-tools/products/milwaukee-48-22-8485-packout%E2%84%A2-mounting-plate", "https://edmondsonsupply.com/collections/electricians-tools/products/milwaukee-48-22-8485-packout%E2%84%A2-mounting-plate")</f>
        <v>https://edmondsonsupply.com/collections/electricians-tools/products/milwaukee-48-22-8485-packout%E2%84%A2-mounting-plate</v>
      </c>
      <c r="B2850" s="3" t="str">
        <f>HYPERLINK("https://edmondsonsupply.com/products/milwaukee-48-22-8485-packout%e2%84%a2-mounting-plate", "https://edmondsonsupply.com/products/milwaukee-48-22-8485-packout%e2%84%a2-mounting-plate")</f>
        <v>https://edmondsonsupply.com/products/milwaukee-48-22-8485-packout%e2%84%a2-mounting-plate</v>
      </c>
      <c r="C2850" t="s">
        <v>6894</v>
      </c>
      <c r="D2850" t="s">
        <v>7005</v>
      </c>
      <c r="E2850" s="3" t="str">
        <f>HYPERLINK("https://www.amazon.com/CHAR-YONG-Replacement-Milwaukee-48-22-8485/dp/B0BP7DBCKW/ref=sr_1_5?keywords=Milwaukee+48-22-8485+PACKOUT%E2%84%A2+Mounting+Plate&amp;qid=1695174070&amp;sr=8-5", "https://www.amazon.com/CHAR-YONG-Replacement-Milwaukee-48-22-8485/dp/B0BP7DBCKW/ref=sr_1_5?keywords=Milwaukee+48-22-8485+PACKOUT%E2%84%A2+Mounting+Plate&amp;qid=1695174070&amp;sr=8-5")</f>
        <v>https://www.amazon.com/CHAR-YONG-Replacement-Milwaukee-48-22-8485/dp/B0BP7DBCKW/ref=sr_1_5?keywords=Milwaukee+48-22-8485+PACKOUT%E2%84%A2+Mounting+Plate&amp;qid=1695174070&amp;sr=8-5</v>
      </c>
      <c r="F2850" t="s">
        <v>7006</v>
      </c>
      <c r="G2850" t="e">
        <f ca="1">_xludf.IMAGE("https://edmondsonsupply.com/cdn/shop/products/48-22-8485_3.png?v=1677252283")</f>
        <v>#NAME?</v>
      </c>
      <c r="H2850" t="e">
        <f ca="1">_xludf.IMAGE("https://m.media-amazon.com/images/I/51Z78RGgm6L._AC_UL320_.jpg")</f>
        <v>#NAME?</v>
      </c>
      <c r="I2850" t="s">
        <v>824</v>
      </c>
      <c r="J2850">
        <v>48.55</v>
      </c>
      <c r="K2850" s="4">
        <v>0.62</v>
      </c>
      <c r="L2850">
        <v>5</v>
      </c>
      <c r="M2850">
        <v>1</v>
      </c>
      <c r="O2850" t="s">
        <v>25</v>
      </c>
      <c r="P2850" t="s">
        <v>6897</v>
      </c>
      <c r="Q2850" t="s">
        <v>6898</v>
      </c>
    </row>
    <row r="2851" spans="1:17" ht="15.5" x14ac:dyDescent="0.35">
      <c r="A2851"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2851"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2851" t="s">
        <v>6827</v>
      </c>
      <c r="D2851" t="s">
        <v>5838</v>
      </c>
      <c r="E2851" s="3" t="str">
        <f>HYPERLINK("https://www.amazon.com/Diablo-SDS-Max-4-Cutter-Carbide-Tipped-Hammer/dp/B089LHKFQ2/ref=sr_1_3?keywords=Diablo+Tools+DMAMX1360+1-1%2F2+in.+x+16+in.+x+21+in.+Rebar+Demon%E2%84%A2+SDS-Max+4-Cutter+Carbide-Tipped+Hammer+Drill+Bit&amp;qid=1695174071&amp;sr=8-3", "https://www.amazon.com/Diablo-SDS-Max-4-Cutter-Carbide-Tipped-Hammer/dp/B089LHKFQ2/ref=sr_1_3?keywords=Diablo+Tools+DMAMX1360+1-1%2F2+in.+x+16+in.+x+21+in.+Rebar+Demon%E2%84%A2+SDS-Max+4-Cutter+Carbide-Tipped+Hammer+Drill+Bit&amp;qid=1695174071&amp;sr=8-3")</f>
        <v>https://www.amazon.com/Diablo-SDS-Max-4-Cutter-Carbide-Tipped-Hammer/dp/B089LHKFQ2/ref=sr_1_3?keywords=Diablo+Tools+DMAMX1360+1-1%2F2+in.+x+16+in.+x+21+in.+Rebar+Demon%E2%84%A2+SDS-Max+4-Cutter+Carbide-Tipped+Hammer+Drill+Bit&amp;qid=1695174071&amp;sr=8-3</v>
      </c>
      <c r="F2851" t="s">
        <v>5839</v>
      </c>
      <c r="G2851" t="e">
        <f ca="1">_xludf.IMAGE("https://edmondsonsupply.com/cdn/shop/products/z2umcsdaj3y4uvsfnxoh.webp?v=1677257156")</f>
        <v>#NAME?</v>
      </c>
      <c r="H2851" t="e">
        <f ca="1">_xludf.IMAGE("https://m.media-amazon.com/images/I/61p4Q032qYL._AC_UL320_.jpg")</f>
        <v>#NAME?</v>
      </c>
      <c r="I2851" t="s">
        <v>6830</v>
      </c>
      <c r="J2851">
        <v>151.99</v>
      </c>
      <c r="K2851" s="4">
        <v>0.61919999999999997</v>
      </c>
      <c r="L2851">
        <v>4.4000000000000004</v>
      </c>
      <c r="M2851">
        <v>4</v>
      </c>
      <c r="O2851" t="s">
        <v>25</v>
      </c>
      <c r="P2851" t="s">
        <v>6831</v>
      </c>
      <c r="Q2851" t="s">
        <v>6832</v>
      </c>
    </row>
    <row r="2852" spans="1:17" ht="15.5" x14ac:dyDescent="0.35">
      <c r="A2852"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2852" s="3" t="str">
        <f>HYPERLINK("https://edmondsonsupply.com/products/klein-tools-vdv526-200-lan-scout-%c2%ae-jr-2-cable-tester", "https://edmondsonsupply.com/products/klein-tools-vdv526-200-lan-scout-%c2%ae-jr-2-cable-tester")</f>
        <v>https://edmondsonsupply.com/products/klein-tools-vdv526-200-lan-scout-%c2%ae-jr-2-cable-tester</v>
      </c>
      <c r="C2852" t="s">
        <v>6500</v>
      </c>
      <c r="D2852" t="s">
        <v>7007</v>
      </c>
      <c r="E2852" s="3" t="str">
        <f>HYPERLINK("https://www.amazon.com/Klein-Tools-VDV526-200-Connections-VDV226-011-SEN/dp/B0B68N3CXD/ref=sr_1_6?keywords=Klein+Tools+VDV526-200+LAN+Scout+%C2%AE+Jr.+2+Cable+Tester&amp;qid=1695174153&amp;sr=8-6", "https://www.amazon.com/Klein-Tools-VDV526-200-Connections-VDV226-011-SEN/dp/B0B68N3CXD/ref=sr_1_6?keywords=Klein+Tools+VDV526-200+LAN+Scout+%C2%AE+Jr.+2+Cable+Tester&amp;qid=1695174153&amp;sr=8-6")</f>
        <v>https://www.amazon.com/Klein-Tools-VDV526-200-Connections-VDV226-011-SEN/dp/B0B68N3CXD/ref=sr_1_6?keywords=Klein+Tools+VDV526-200+LAN+Scout+%C2%AE+Jr.+2+Cable+Tester&amp;qid=1695174153&amp;sr=8-6</v>
      </c>
      <c r="F2852" t="s">
        <v>7008</v>
      </c>
      <c r="G2852" t="e">
        <f ca="1">_xludf.IMAGE("https://edmondsonsupply.com/cdn/shop/products/vdv526200.jpg?v=1663689949")</f>
        <v>#NAME?</v>
      </c>
      <c r="H2852" t="e">
        <f ca="1">_xludf.IMAGE("https://m.media-amazon.com/images/I/518UGdBFRNL._AC_UY218_.jpg")</f>
        <v>#NAME?</v>
      </c>
      <c r="I2852" t="s">
        <v>3359</v>
      </c>
      <c r="J2852">
        <v>88.94</v>
      </c>
      <c r="K2852" s="4">
        <v>0.61799999999999999</v>
      </c>
      <c r="L2852">
        <v>5</v>
      </c>
      <c r="M2852">
        <v>3</v>
      </c>
      <c r="O2852" t="s">
        <v>25</v>
      </c>
      <c r="P2852" t="s">
        <v>6503</v>
      </c>
      <c r="Q2852" t="s">
        <v>6504</v>
      </c>
    </row>
    <row r="2853" spans="1:17" ht="15.5" x14ac:dyDescent="0.35">
      <c r="A2853"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2853" s="3" t="str">
        <f>HYPERLINK("https://edmondsonsupply.com/products/klein-tools-60162-professional-safety-glasses-gray-lens", "https://edmondsonsupply.com/products/klein-tools-60162-professional-safety-glasses-gray-lens")</f>
        <v>https://edmondsonsupply.com/products/klein-tools-60162-professional-safety-glasses-gray-lens</v>
      </c>
      <c r="C2853" t="s">
        <v>833</v>
      </c>
      <c r="D2853" t="s">
        <v>974</v>
      </c>
      <c r="E2853" s="3" t="str">
        <f>HYPERLINK("https://www.amazon.com/Klein-Tools-60537-Professional-Protective/dp/B0BLQM26TJ/ref=sr_1_10?keywords=Klein+Tools+60162+Professional+Safety+Glasses%2C+Gray+Lens&amp;qid=1695174302&amp;sr=8-10", "https://www.amazon.com/Klein-Tools-60537-Professional-Protective/dp/B0BLQM26TJ/ref=sr_1_10?keywords=Klein+Tools+60162+Professional+Safety+Glasses%2C+Gray+Lens&amp;qid=1695174302&amp;sr=8-10")</f>
        <v>https://www.amazon.com/Klein-Tools-60537-Professional-Protective/dp/B0BLQM26TJ/ref=sr_1_10?keywords=Klein+Tools+60162+Professional+Safety+Glasses%2C+Gray+Lens&amp;qid=1695174302&amp;sr=8-10</v>
      </c>
      <c r="F2853" t="s">
        <v>975</v>
      </c>
      <c r="G2853" t="e">
        <f ca="1">_xludf.IMAGE("https://edmondsonsupply.com/cdn/shop/products/60162.jpg?v=1633030847")</f>
        <v>#NAME?</v>
      </c>
      <c r="H2853" t="e">
        <f ca="1">_xludf.IMAGE("https://m.media-amazon.com/images/I/41ZbdEu2lCL._AC_UL320_.jpg")</f>
        <v>#NAME?</v>
      </c>
      <c r="I2853" t="s">
        <v>834</v>
      </c>
      <c r="J2853">
        <v>20.99</v>
      </c>
      <c r="K2853" s="4">
        <v>0.6159</v>
      </c>
      <c r="L2853">
        <v>4.5</v>
      </c>
      <c r="M2853">
        <v>15</v>
      </c>
      <c r="O2853" t="s">
        <v>25</v>
      </c>
      <c r="P2853" t="s">
        <v>835</v>
      </c>
      <c r="Q2853" t="s">
        <v>836</v>
      </c>
    </row>
    <row r="2854" spans="1:17" ht="15.5" x14ac:dyDescent="0.35">
      <c r="A2854" s="3" t="str">
        <f>HYPERLINK("https://edmondsonsupply.com/collections/electricians-tools/products/klein-tools-60536-professional-safety-glasses-indoor-outdoor-lens", "https://edmondsonsupply.com/collections/electricians-tools/products/klein-tools-60536-professional-safety-glasses-indoor-outdoor-lens")</f>
        <v>https://edmondsonsupply.com/collections/electricians-tools/products/klein-tools-60536-professional-safety-glasses-indoor-outdoor-lens</v>
      </c>
      <c r="B2854" s="3" t="str">
        <f>HYPERLINK("https://edmondsonsupply.com/products/klein-tools-60536-professional-safety-glasses-indoor-outdoor-lens", "https://edmondsonsupply.com/products/klein-tools-60536-professional-safety-glasses-indoor-outdoor-lens")</f>
        <v>https://edmondsonsupply.com/products/klein-tools-60536-professional-safety-glasses-indoor-outdoor-lens</v>
      </c>
      <c r="C2854" t="s">
        <v>973</v>
      </c>
      <c r="D2854" t="s">
        <v>974</v>
      </c>
      <c r="E2854" s="3" t="str">
        <f>HYPERLINK("https://www.amazon.com/Klein-Tools-60537-Professional-Protective/dp/B0BLQM26TJ/ref=sr_1_2?keywords=Klein+Tools+60536+Professional+Safety+Glasses%2C+Indoor%2FOutdoor+Lens&amp;qid=1695174102&amp;sr=8-2", "https://www.amazon.com/Klein-Tools-60537-Professional-Protective/dp/B0BLQM26TJ/ref=sr_1_2?keywords=Klein+Tools+60536+Professional+Safety+Glasses%2C+Indoor%2FOutdoor+Lens&amp;qid=1695174102&amp;sr=8-2")</f>
        <v>https://www.amazon.com/Klein-Tools-60537-Professional-Protective/dp/B0BLQM26TJ/ref=sr_1_2?keywords=Klein+Tools+60536+Professional+Safety+Glasses%2C+Indoor%2FOutdoor+Lens&amp;qid=1695174102&amp;sr=8-2</v>
      </c>
      <c r="F2854" t="s">
        <v>975</v>
      </c>
      <c r="G2854" t="e">
        <f ca="1">_xludf.IMAGE("https://edmondsonsupply.com/cdn/shop/products/60536.jpg?v=1670946435")</f>
        <v>#NAME?</v>
      </c>
      <c r="H2854" t="e">
        <f ca="1">_xludf.IMAGE("https://m.media-amazon.com/images/I/41ZbdEu2lCL._AC_UL320_.jpg")</f>
        <v>#NAME?</v>
      </c>
      <c r="I2854" t="s">
        <v>834</v>
      </c>
      <c r="J2854">
        <v>20.99</v>
      </c>
      <c r="K2854" s="4">
        <v>0.6159</v>
      </c>
      <c r="L2854">
        <v>4.5</v>
      </c>
      <c r="M2854">
        <v>15</v>
      </c>
      <c r="O2854" t="s">
        <v>25</v>
      </c>
      <c r="P2854" t="s">
        <v>835</v>
      </c>
      <c r="Q2854" t="s">
        <v>976</v>
      </c>
    </row>
    <row r="2855" spans="1:17" ht="15.5" x14ac:dyDescent="0.35">
      <c r="A2855"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2855" s="3" t="str">
        <f>HYPERLINK("https://edmondsonsupply.com/products/klein-tools-60161-professional-safety-glasses-clear-lens", "https://edmondsonsupply.com/products/klein-tools-60161-professional-safety-glasses-clear-lens")</f>
        <v>https://edmondsonsupply.com/products/klein-tools-60161-professional-safety-glasses-clear-lens</v>
      </c>
      <c r="C2855" t="s">
        <v>884</v>
      </c>
      <c r="D2855" t="s">
        <v>974</v>
      </c>
      <c r="E2855" s="3" t="str">
        <f>HYPERLINK("https://www.amazon.com/Klein-Tools-60537-Professional-Protective/dp/B0BLQM26TJ/ref=sr_1_8?keywords=Klein+Tools+60161+Professional+Safety+Glasses%2C+Clear+Lens&amp;qid=1695174304&amp;sr=8-8", "https://www.amazon.com/Klein-Tools-60537-Professional-Protective/dp/B0BLQM26TJ/ref=sr_1_8?keywords=Klein+Tools+60161+Professional+Safety+Glasses%2C+Clear+Lens&amp;qid=1695174304&amp;sr=8-8")</f>
        <v>https://www.amazon.com/Klein-Tools-60537-Professional-Protective/dp/B0BLQM26TJ/ref=sr_1_8?keywords=Klein+Tools+60161+Professional+Safety+Glasses%2C+Clear+Lens&amp;qid=1695174304&amp;sr=8-8</v>
      </c>
      <c r="F2855" t="s">
        <v>975</v>
      </c>
      <c r="G2855" t="e">
        <f ca="1">_xludf.IMAGE("https://edmondsonsupply.com/cdn/shop/products/60161.jpg?v=1633030845")</f>
        <v>#NAME?</v>
      </c>
      <c r="H2855" t="e">
        <f ca="1">_xludf.IMAGE("https://m.media-amazon.com/images/I/41ZbdEu2lCL._AC_UL320_.jpg")</f>
        <v>#NAME?</v>
      </c>
      <c r="I2855" t="s">
        <v>834</v>
      </c>
      <c r="J2855">
        <v>20.99</v>
      </c>
      <c r="K2855" s="4">
        <v>0.6159</v>
      </c>
      <c r="L2855">
        <v>4.5</v>
      </c>
      <c r="M2855">
        <v>15</v>
      </c>
      <c r="O2855" t="s">
        <v>25</v>
      </c>
      <c r="P2855" t="s">
        <v>835</v>
      </c>
      <c r="Q2855" t="s">
        <v>885</v>
      </c>
    </row>
    <row r="2856" spans="1:17" ht="15.5" x14ac:dyDescent="0.35">
      <c r="A2856" s="3" t="str">
        <f>HYPERLINK("https://edmondsonsupply.com/collections/electricians-tools/products/greenlee-0252-11-nm-cable-ripper", "https://edmondsonsupply.com/collections/electricians-tools/products/greenlee-0252-11-nm-cable-ripper")</f>
        <v>https://edmondsonsupply.com/collections/electricians-tools/products/greenlee-0252-11-nm-cable-ripper</v>
      </c>
      <c r="B2856" s="3" t="str">
        <f>HYPERLINK("https://edmondsonsupply.com/products/greenlee-0252-11-nm-cable-ripper", "https://edmondsonsupply.com/products/greenlee-0252-11-nm-cable-ripper")</f>
        <v>https://edmondsonsupply.com/products/greenlee-0252-11-nm-cable-ripper</v>
      </c>
      <c r="C2856" t="s">
        <v>7009</v>
      </c>
      <c r="D2856" t="s">
        <v>7009</v>
      </c>
      <c r="E2856" s="3" t="str">
        <f>HYPERLINK("https://www.amazon.com/Greenlee-0252-11-NM-Cable-Ripper/dp/B002JFMO1W/ref=sr_1_1?keywords=Greenlee+0252-11+NM+Cable+Ripper&amp;qid=1695174305&amp;sr=8-1", "https://www.amazon.com/Greenlee-0252-11-NM-Cable-Ripper/dp/B002JFMO1W/ref=sr_1_1?keywords=Greenlee+0252-11+NM+Cable+Ripper&amp;qid=1695174305&amp;sr=8-1")</f>
        <v>https://www.amazon.com/Greenlee-0252-11-NM-Cable-Ripper/dp/B002JFMO1W/ref=sr_1_1?keywords=Greenlee+0252-11+NM+Cable+Ripper&amp;qid=1695174305&amp;sr=8-1</v>
      </c>
      <c r="F2856" t="s">
        <v>7010</v>
      </c>
      <c r="G2856" t="e">
        <f ca="1">_xludf.IMAGE("https://edmondsonsupply.com/cdn/shop/products/0252-11.jpg?v=1633030807")</f>
        <v>#NAME?</v>
      </c>
      <c r="H2856" t="e">
        <f ca="1">_xludf.IMAGE("https://m.media-amazon.com/images/I/811S0j1WZaL._AC_UL320_.jpg")</f>
        <v>#NAME?</v>
      </c>
      <c r="I2856" t="s">
        <v>1476</v>
      </c>
      <c r="J2856">
        <v>7.07</v>
      </c>
      <c r="K2856" s="4">
        <v>0.61050000000000004</v>
      </c>
      <c r="L2856">
        <v>3.9</v>
      </c>
      <c r="M2856">
        <v>209</v>
      </c>
      <c r="O2856" t="s">
        <v>25</v>
      </c>
      <c r="P2856" t="s">
        <v>7011</v>
      </c>
      <c r="Q2856" t="s">
        <v>7012</v>
      </c>
    </row>
    <row r="2857" spans="1:17" ht="15.5" x14ac:dyDescent="0.35">
      <c r="A2857" s="3" t="str">
        <f>HYPERLINK("https://edmondsonsupply.com/collections/electricians-tools/products/klein-tools-51427-conduit-bender-handle-for-1-2-inch-3-4-inch-heads", "https://edmondsonsupply.com/collections/electricians-tools/products/klein-tools-51427-conduit-bender-handle-for-1-2-inch-3-4-inch-heads")</f>
        <v>https://edmondsonsupply.com/collections/electricians-tools/products/klein-tools-51427-conduit-bender-handle-for-1-2-inch-3-4-inch-heads</v>
      </c>
      <c r="B2857" s="3" t="str">
        <f>HYPERLINK("https://edmondsonsupply.com/products/klein-tools-51427-conduit-bender-handle-for-1-2-inch-3-4-inch-heads", "https://edmondsonsupply.com/products/klein-tools-51427-conduit-bender-handle-for-1-2-inch-3-4-inch-heads")</f>
        <v>https://edmondsonsupply.com/products/klein-tools-51427-conduit-bender-handle-for-1-2-inch-3-4-inch-heads</v>
      </c>
      <c r="C2857" t="s">
        <v>7013</v>
      </c>
      <c r="D2857" t="s">
        <v>6178</v>
      </c>
      <c r="E2857" s="3" t="str">
        <f>HYPERLINK("https://www.amazon.com/Conduit-Bender-Klein-Tools-51609/dp/B08VYFHL9J/ref=sr_1_2?keywords=Klein+Tools+51427+Conduit+Bender+Handle+for+1%2F2-Inch%2C+3%2F4-Inch+Heads&amp;qid=1695174154&amp;sr=8-2", "https://www.amazon.com/Conduit-Bender-Klein-Tools-51609/dp/B08VYFHL9J/ref=sr_1_2?keywords=Klein+Tools+51427+Conduit+Bender+Handle+for+1%2F2-Inch%2C+3%2F4-Inch+Heads&amp;qid=1695174154&amp;sr=8-2")</f>
        <v>https://www.amazon.com/Conduit-Bender-Klein-Tools-51609/dp/B08VYFHL9J/ref=sr_1_2?keywords=Klein+Tools+51427+Conduit+Bender+Handle+for+1%2F2-Inch%2C+3%2F4-Inch+Heads&amp;qid=1695174154&amp;sr=8-2</v>
      </c>
      <c r="F2857" t="s">
        <v>6179</v>
      </c>
      <c r="G2857" t="e">
        <f ca="1">_xludf.IMAGE("https://edmondsonsupply.com/cdn/shop/products/51429.jpg?v=1663694213")</f>
        <v>#NAME?</v>
      </c>
      <c r="H2857" t="e">
        <f ca="1">_xludf.IMAGE("https://m.media-amazon.com/images/I/61KifnC2xML._AC_UL320_.jpg")</f>
        <v>#NAME?</v>
      </c>
      <c r="I2857" t="s">
        <v>3207</v>
      </c>
      <c r="J2857">
        <v>44.99</v>
      </c>
      <c r="K2857" s="4">
        <v>0.60740000000000005</v>
      </c>
      <c r="L2857">
        <v>4.2</v>
      </c>
      <c r="M2857">
        <v>31</v>
      </c>
      <c r="O2857" t="s">
        <v>25</v>
      </c>
      <c r="P2857" t="s">
        <v>7014</v>
      </c>
      <c r="Q2857" t="s">
        <v>7015</v>
      </c>
    </row>
    <row r="2858" spans="1:17" ht="15.5" x14ac:dyDescent="0.35">
      <c r="A2858"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2858" s="3" t="str">
        <f>HYPERLINK("https://edmondsonsupply.com/products/diablo-tools-d0624x-6-1-2-in-24-tooth-framing-saw-blade", "https://edmondsonsupply.com/products/diablo-tools-d0624x-6-1-2-in-24-tooth-framing-saw-blade")</f>
        <v>https://edmondsonsupply.com/products/diablo-tools-d0624x-6-1-2-in-24-tooth-framing-saw-blade</v>
      </c>
      <c r="C2858" t="s">
        <v>6070</v>
      </c>
      <c r="D2858" t="s">
        <v>7016</v>
      </c>
      <c r="E2858" s="3" t="str">
        <f>HYPERLINK("https://www.amazon.com/D0624X-Diablo-2-Inch-24-Tooth-Framing/dp/B08RDYY4WQ/ref=sr_1_3?keywords=Diablo+Tools+D0624X+6-1%2F2+in.+24-Tooth+Framing+Saw+Blade&amp;qid=1695174066&amp;sr=8-3", "https://www.amazon.com/D0624X-Diablo-2-Inch-24-Tooth-Framing/dp/B08RDYY4WQ/ref=sr_1_3?keywords=Diablo+Tools+D0624X+6-1%2F2+in.+24-Tooth+Framing+Saw+Blade&amp;qid=1695174066&amp;sr=8-3")</f>
        <v>https://www.amazon.com/D0624X-Diablo-2-Inch-24-Tooth-Framing/dp/B08RDYY4WQ/ref=sr_1_3?keywords=Diablo+Tools+D0624X+6-1%2F2+in.+24-Tooth+Framing+Saw+Blade&amp;qid=1695174066&amp;sr=8-3</v>
      </c>
      <c r="F2858" t="s">
        <v>7017</v>
      </c>
      <c r="G2858" t="e">
        <f ca="1">_xludf.IMAGE("https://edmondsonsupply.com/cdn/shop/products/mfin0gl4ono6qztsnrth.webp?v=1678982694")</f>
        <v>#NAME?</v>
      </c>
      <c r="H2858" t="e">
        <f ca="1">_xludf.IMAGE("https://m.media-amazon.com/images/I/61dEXgIRSPL._AC_UL320_.jpg")</f>
        <v>#NAME?</v>
      </c>
      <c r="I2858" t="s">
        <v>6073</v>
      </c>
      <c r="J2858">
        <v>19.23</v>
      </c>
      <c r="K2858" s="4">
        <v>0.60650000000000004</v>
      </c>
      <c r="L2858">
        <v>5</v>
      </c>
      <c r="M2858">
        <v>1</v>
      </c>
      <c r="O2858" t="s">
        <v>25</v>
      </c>
      <c r="P2858" t="s">
        <v>6074</v>
      </c>
      <c r="Q2858" t="s">
        <v>6075</v>
      </c>
    </row>
    <row r="2859" spans="1:17" ht="15.5" x14ac:dyDescent="0.35">
      <c r="A2859" s="3" t="str">
        <f>HYPERLINK("https://edmondsonsupply.com/collections/electricians-tools/products/milwaukee-49-56-0177-3-1-8-hole-dozer%E2%84%A2-hole-saw-bi-metal-cup", "https://edmondsonsupply.com/collections/electricians-tools/products/milwaukee-49-56-0177-3-1-8-hole-dozer%E2%84%A2-hole-saw-bi-metal-cup")</f>
        <v>https://edmondsonsupply.com/collections/electricians-tools/products/milwaukee-49-56-0177-3-1-8-hole-dozer%E2%84%A2-hole-saw-bi-metal-cup</v>
      </c>
      <c r="B2859" s="3" t="str">
        <f>HYPERLINK("https://edmondsonsupply.com/products/milwaukee-49-56-0177-3-1-8-hole-dozer%e2%84%a2-hole-saw-bi-metal-cup", "https://edmondsonsupply.com/products/milwaukee-49-56-0177-3-1-8-hole-dozer%e2%84%a2-hole-saw-bi-metal-cup")</f>
        <v>https://edmondsonsupply.com/products/milwaukee-49-56-0177-3-1-8-hole-dozer%e2%84%a2-hole-saw-bi-metal-cup</v>
      </c>
      <c r="C2859" t="s">
        <v>7018</v>
      </c>
      <c r="D2859" t="s">
        <v>6447</v>
      </c>
      <c r="E2859" s="3" t="str">
        <f>HYPERLINK("https://www.amazon.com/Milwaukee-Electric-Tool-49-56-0193-Bi-Metal/dp/B0017WTULA/ref=sr_1_2?keywords=Milwaukee+49-56-0177+3-1%2F8%22+HOLE+DOZER%E2%84%A2+Hole+Saw+Bi-Metal+Cup&amp;qid=1695174062&amp;sr=8-2", "https://www.amazon.com/Milwaukee-Electric-Tool-49-56-0193-Bi-Metal/dp/B0017WTULA/ref=sr_1_2?keywords=Milwaukee+49-56-0177+3-1%2F8%22+HOLE+DOZER%E2%84%A2+Hole+Saw+Bi-Metal+Cup&amp;qid=1695174062&amp;sr=8-2")</f>
        <v>https://www.amazon.com/Milwaukee-Electric-Tool-49-56-0193-Bi-Metal/dp/B0017WTULA/ref=sr_1_2?keywords=Milwaukee+49-56-0177+3-1%2F8%22+HOLE+DOZER%E2%84%A2+Hole+Saw+Bi-Metal+Cup&amp;qid=1695174062&amp;sr=8-2</v>
      </c>
      <c r="F2859" t="s">
        <v>6448</v>
      </c>
      <c r="G2859" t="e">
        <f ca="1">_xludf.IMAGE("https://edmondsonsupply.com/cdn/shop/products/49-56-0052_101_2_4e65917d-b848-4641-821e-4fcc87f87d17.webp?v=1679333782")</f>
        <v>#NAME?</v>
      </c>
      <c r="H2859" t="e">
        <f ca="1">_xludf.IMAGE("https://m.media-amazon.com/images/I/51Yfl2-hbuL._AC_UL320_.jpg")</f>
        <v>#NAME?</v>
      </c>
      <c r="I2859" t="s">
        <v>7019</v>
      </c>
      <c r="J2859">
        <v>18.45</v>
      </c>
      <c r="K2859" s="4">
        <v>0.60570000000000002</v>
      </c>
      <c r="L2859">
        <v>4.5999999999999996</v>
      </c>
      <c r="M2859">
        <v>249</v>
      </c>
      <c r="O2859" t="s">
        <v>25</v>
      </c>
      <c r="P2859" t="s">
        <v>5754</v>
      </c>
      <c r="Q2859" t="s">
        <v>7020</v>
      </c>
    </row>
    <row r="2860" spans="1:17" ht="15.5" x14ac:dyDescent="0.35">
      <c r="A2860" s="3" t="str">
        <f>HYPERLINK("https://edmondsonsupply.com/collections/electricians-tools/products/klein-tools-66040-2-in-1-impact-socket-set-12-point-5-piece", "https://edmondsonsupply.com/collections/electricians-tools/products/klein-tools-66040-2-in-1-impact-socket-set-12-point-5-piece")</f>
        <v>https://edmondsonsupply.com/collections/electricians-tools/products/klein-tools-66040-2-in-1-impact-socket-set-12-point-5-piece</v>
      </c>
      <c r="B2860" s="3" t="str">
        <f>HYPERLINK("https://edmondsonsupply.com/products/klein-tools-66040-2-in-1-impact-socket-set-12-point-5-piece", "https://edmondsonsupply.com/products/klein-tools-66040-2-in-1-impact-socket-set-12-point-5-piece")</f>
        <v>https://edmondsonsupply.com/products/klein-tools-66040-2-in-1-impact-socket-set-12-point-5-piece</v>
      </c>
      <c r="C2860" t="s">
        <v>7021</v>
      </c>
      <c r="D2860" t="s">
        <v>7022</v>
      </c>
      <c r="E2860" s="3" t="str">
        <f>HYPERLINK("https://www.amazon.com/Klein-Tools-66010-High-Torque-12-Point/dp/B07NZS6998/ref=sr_1_4?keywords=Klein+Tools+66040+2-in-1+Impact+Socket+Set%2C+12-Point%2C+5-Piece&amp;qid=1695173922&amp;sr=8-4", "https://www.amazon.com/Klein-Tools-66010-High-Torque-12-Point/dp/B07NZS6998/ref=sr_1_4?keywords=Klein+Tools+66040+2-in-1+Impact+Socket+Set%2C+12-Point%2C+5-Piece&amp;qid=1695173922&amp;sr=8-4")</f>
        <v>https://www.amazon.com/Klein-Tools-66010-High-Torque-12-Point/dp/B07NZS6998/ref=sr_1_4?keywords=Klein+Tools+66040+2-in-1+Impact+Socket+Set%2C+12-Point%2C+5-Piece&amp;qid=1695173922&amp;sr=8-4</v>
      </c>
      <c r="F2860" t="s">
        <v>7023</v>
      </c>
      <c r="G2860" t="e">
        <f ca="1">_xludf.IMAGE("https://edmondsonsupply.com/cdn/shop/products/66040.jpg?v=1659120255")</f>
        <v>#NAME?</v>
      </c>
      <c r="H2860" t="e">
        <f ca="1">_xludf.IMAGE("https://m.media-amazon.com/images/I/51QnKGm7EiL._AC_UL320_.jpg")</f>
        <v>#NAME?</v>
      </c>
      <c r="I2860" t="s">
        <v>7024</v>
      </c>
      <c r="J2860">
        <v>199.99</v>
      </c>
      <c r="K2860" s="4">
        <v>0.60260000000000002</v>
      </c>
      <c r="L2860">
        <v>4.8</v>
      </c>
      <c r="M2860">
        <v>380</v>
      </c>
      <c r="O2860" t="s">
        <v>25</v>
      </c>
      <c r="P2860" t="s">
        <v>7025</v>
      </c>
      <c r="Q2860" t="s">
        <v>7026</v>
      </c>
    </row>
    <row r="2861" spans="1:17" ht="15.5" x14ac:dyDescent="0.35">
      <c r="A2861"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2861" s="3" t="str">
        <f>HYPERLINK("https://edmondsonsupply.com/products/milwaukee-49-90-1900-hepa-filter", "https://edmondsonsupply.com/products/milwaukee-49-90-1900-hepa-filter")</f>
        <v>https://edmondsonsupply.com/products/milwaukee-49-90-1900-hepa-filter</v>
      </c>
      <c r="C2861" t="s">
        <v>5831</v>
      </c>
      <c r="D2861" t="s">
        <v>5832</v>
      </c>
      <c r="E2861" s="3" t="str">
        <f>HYPERLINK("https://www.amazon.com/Fette-Filter-HEPA-Filter-Compatible-49-90-1900/dp/B08296RWMV/ref=sr_1_3?keywords=Milwaukee+49-90-1900+HEPA+Filter&amp;qid=1695174010&amp;sr=8-3", "https://www.amazon.com/Fette-Filter-HEPA-Filter-Compatible-49-90-1900/dp/B08296RWMV/ref=sr_1_3?keywords=Milwaukee+49-90-1900+HEPA+Filter&amp;qid=1695174010&amp;sr=8-3")</f>
        <v>https://www.amazon.com/Fette-Filter-HEPA-Filter-Compatible-49-90-1900/dp/B08296RWMV/ref=sr_1_3?keywords=Milwaukee+49-90-1900+HEPA+Filter&amp;qid=1695174010&amp;sr=8-3</v>
      </c>
      <c r="F2861" t="s">
        <v>5833</v>
      </c>
      <c r="G2861" t="e">
        <f ca="1">_xludf.IMAGE("https://edmondsonsupply.com/cdn/shop/files/49-90-1900_1.png?v=1686234774")</f>
        <v>#NAME?</v>
      </c>
      <c r="H2861" t="e">
        <f ca="1">_xludf.IMAGE("https://m.media-amazon.com/images/I/812bkkRRuQL._AC_UL320_.jpg")</f>
        <v>#NAME?</v>
      </c>
      <c r="I2861" t="s">
        <v>2170</v>
      </c>
      <c r="J2861">
        <v>39.99</v>
      </c>
      <c r="K2861" s="4">
        <v>0.60089999999999999</v>
      </c>
      <c r="L2861">
        <v>4.7</v>
      </c>
      <c r="M2861">
        <v>150</v>
      </c>
      <c r="O2861" t="s">
        <v>25</v>
      </c>
      <c r="P2861" t="s">
        <v>2470</v>
      </c>
      <c r="Q2861" t="s">
        <v>5834</v>
      </c>
    </row>
    <row r="2862" spans="1:17" ht="15.5" x14ac:dyDescent="0.35">
      <c r="A2862" s="3" t="str">
        <f>HYPERLINK("https://edmondsonsupply.com/collections/electricians-tools/products/channellock-gs-1x-2pc-speedgrip%E2%84%A2-tongue-groove-pliers-set", "https://edmondsonsupply.com/collections/electricians-tools/products/channellock-gs-1x-2pc-speedgrip%E2%84%A2-tongue-groove-pliers-set")</f>
        <v>https://edmondsonsupply.com/collections/electricians-tools/products/channellock-gs-1x-2pc-speedgrip%E2%84%A2-tongue-groove-pliers-set</v>
      </c>
      <c r="B2862" s="3" t="str">
        <f>HYPERLINK("https://edmondsonsupply.com/products/channellock-gs-1x-2pc-speedgrip%e2%84%a2-tongue-groove-pliers-set", "https://edmondsonsupply.com/products/channellock-gs-1x-2pc-speedgrip%e2%84%a2-tongue-groove-pliers-set")</f>
        <v>https://edmondsonsupply.com/products/channellock-gs-1x-2pc-speedgrip%e2%84%a2-tongue-groove-pliers-set</v>
      </c>
      <c r="C2862" t="s">
        <v>7027</v>
      </c>
      <c r="D2862" t="s">
        <v>7028</v>
      </c>
      <c r="E2862" s="3" t="str">
        <f>HYPERLINK("https://www.amazon.com/CHANNELLOCK-SPEEDGRIP-Tongue-Groove-Pliers/dp/B0B5FH5D7B/ref=sr_1_2?keywords=Channellock+GS-1X+2PC+SPEEDGRIP%E2%84%A2+Tongue+%26+Groove+Pliers+Set&amp;qid=1695174214&amp;sr=8-2", "https://www.amazon.com/CHANNELLOCK-SPEEDGRIP-Tongue-Groove-Pliers/dp/B0B5FH5D7B/ref=sr_1_2?keywords=Channellock+GS-1X+2PC+SPEEDGRIP%E2%84%A2+Tongue+%26+Groove+Pliers+Set&amp;qid=1695174214&amp;sr=8-2")</f>
        <v>https://www.amazon.com/CHANNELLOCK-SPEEDGRIP-Tongue-Groove-Pliers/dp/B0B5FH5D7B/ref=sr_1_2?keywords=Channellock+GS-1X+2PC+SPEEDGRIP%E2%84%A2+Tongue+%26+Groove+Pliers+Set&amp;qid=1695174214&amp;sr=8-2</v>
      </c>
      <c r="F2862" t="s">
        <v>7029</v>
      </c>
      <c r="G2862" t="e">
        <f ca="1">_xludf.IMAGE("https://edmondsonsupply.com/cdn/shop/products/GS1X.jpg?v=1647106166")</f>
        <v>#NAME?</v>
      </c>
      <c r="H2862" t="e">
        <f ca="1">_xludf.IMAGE("https://m.media-amazon.com/images/I/71ksLVjQoqL._AC_UL320_.jpg")</f>
        <v>#NAME?</v>
      </c>
      <c r="I2862" t="s">
        <v>540</v>
      </c>
      <c r="J2862">
        <v>79.95</v>
      </c>
      <c r="K2862" s="4">
        <v>0.60060000000000002</v>
      </c>
      <c r="L2862">
        <v>4.4000000000000004</v>
      </c>
      <c r="M2862">
        <v>578</v>
      </c>
      <c r="O2862" t="s">
        <v>25</v>
      </c>
      <c r="P2862" t="s">
        <v>7030</v>
      </c>
      <c r="Q2862" t="s">
        <v>7031</v>
      </c>
    </row>
    <row r="2863" spans="1:17" ht="15.5" x14ac:dyDescent="0.35">
      <c r="A2863"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2863"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2863" t="s">
        <v>6146</v>
      </c>
      <c r="D2863" t="s">
        <v>7032</v>
      </c>
      <c r="E2863" s="3" t="str">
        <f>HYPERLINK("https://www.amazon.com/Klein-Tools-Screwdriver-Electronics-Screwdrivers/dp/B09T6VZ31V/ref=sr_1_4?keywords=Klein+Tools+32288+8-in-1+Insulated+Interchangeable+Screwdriver+Set&amp;qid=1695173864&amp;sr=8-4", "https://www.amazon.com/Klein-Tools-Screwdriver-Electronics-Screwdrivers/dp/B09T6VZ31V/ref=sr_1_4?keywords=Klein+Tools+32288+8-in-1+Insulated+Interchangeable+Screwdriver+Set&amp;qid=1695173864&amp;sr=8-4")</f>
        <v>https://www.amazon.com/Klein-Tools-Screwdriver-Electronics-Screwdrivers/dp/B09T6VZ31V/ref=sr_1_4?keywords=Klein+Tools+32288+8-in-1+Insulated+Interchangeable+Screwdriver+Set&amp;qid=1695173864&amp;sr=8-4</v>
      </c>
      <c r="F2863" t="s">
        <v>7033</v>
      </c>
      <c r="G2863" t="e">
        <f ca="1">_xludf.IMAGE("https://edmondsonsupply.com/cdn/shop/products/32288.jpg?v=1587146849")</f>
        <v>#NAME?</v>
      </c>
      <c r="H2863" t="e">
        <f ca="1">_xludf.IMAGE("https://m.media-amazon.com/images/I/51gXavqPdDL._AC_UL320_.jpg")</f>
        <v>#NAME?</v>
      </c>
      <c r="I2863" t="s">
        <v>1931</v>
      </c>
      <c r="J2863">
        <v>79.98</v>
      </c>
      <c r="K2863" s="4">
        <v>0.59989999999999999</v>
      </c>
      <c r="L2863">
        <v>4.7</v>
      </c>
      <c r="M2863">
        <v>7</v>
      </c>
      <c r="O2863" t="s">
        <v>25</v>
      </c>
      <c r="P2863" t="s">
        <v>1114</v>
      </c>
      <c r="Q2863" t="s">
        <v>6149</v>
      </c>
    </row>
    <row r="2864" spans="1:17" ht="15.5" x14ac:dyDescent="0.35">
      <c r="A2864"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2864"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2864" t="s">
        <v>6146</v>
      </c>
      <c r="D2864" t="s">
        <v>7034</v>
      </c>
      <c r="E2864" s="3" t="str">
        <f>HYPERLINK("https://www.amazon.com/Klein-Tools-Insulated-Screwdriver-Impact/dp/B0BK4LCT3J/ref=sr_1_2?keywords=Klein+Tools+32288+8-in-1+Insulated+Interchangeable+Screwdriver+Set&amp;qid=1695173864&amp;sr=8-2", "https://www.amazon.com/Klein-Tools-Insulated-Screwdriver-Impact/dp/B0BK4LCT3J/ref=sr_1_2?keywords=Klein+Tools+32288+8-in-1+Insulated+Interchangeable+Screwdriver+Set&amp;qid=1695173864&amp;sr=8-2")</f>
        <v>https://www.amazon.com/Klein-Tools-Insulated-Screwdriver-Impact/dp/B0BK4LCT3J/ref=sr_1_2?keywords=Klein+Tools+32288+8-in-1+Insulated+Interchangeable+Screwdriver+Set&amp;qid=1695173864&amp;sr=8-2</v>
      </c>
      <c r="F2864" t="s">
        <v>7035</v>
      </c>
      <c r="G2864" t="e">
        <f ca="1">_xludf.IMAGE("https://edmondsonsupply.com/cdn/shop/products/32288.jpg?v=1587146849")</f>
        <v>#NAME?</v>
      </c>
      <c r="H2864" t="e">
        <f ca="1">_xludf.IMAGE("https://m.media-amazon.com/images/I/51whjRly5bL._AC_UL320_.jpg")</f>
        <v>#NAME?</v>
      </c>
      <c r="I2864" t="s">
        <v>1931</v>
      </c>
      <c r="J2864">
        <v>79.959999999999994</v>
      </c>
      <c r="K2864" s="4">
        <v>0.59950000000000003</v>
      </c>
      <c r="L2864">
        <v>5</v>
      </c>
      <c r="M2864">
        <v>4</v>
      </c>
      <c r="O2864" t="s">
        <v>25</v>
      </c>
      <c r="P2864" t="s">
        <v>1114</v>
      </c>
      <c r="Q2864" t="s">
        <v>6149</v>
      </c>
    </row>
    <row r="2865" spans="1:17" ht="15.5" x14ac:dyDescent="0.35">
      <c r="A2865"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2865" s="3" t="str">
        <f>HYPERLINK("https://edmondsonsupply.com/products/klein-tools-jth6m10-10-mm-hex-key-journeyman-t-handle-6-inch", "https://edmondsonsupply.com/products/klein-tools-jth6m10-10-mm-hex-key-journeyman-t-handle-6-inch")</f>
        <v>https://edmondsonsupply.com/products/klein-tools-jth6m10-10-mm-hex-key-journeyman-t-handle-6-inch</v>
      </c>
      <c r="C2865" t="s">
        <v>6945</v>
      </c>
      <c r="D2865" t="s">
        <v>6252</v>
      </c>
      <c r="E2865" s="3" t="str">
        <f>HYPERLINK("https://www.amazon.com/Klein-Tools-JTH6E09BE-Ball-End-Journeyman/dp/B0CGLVC75M/ref=sr_1_9?keywords=Klein+Tools+JTH6M10+10+mm+Hex+Key+Journeyman+T-Handle+6-Inch&amp;qid=1695174255&amp;sr=8-9", "https://www.amazon.com/Klein-Tools-JTH6E09BE-Ball-End-Journeyman/dp/B0CGLVC75M/ref=sr_1_9?keywords=Klein+Tools+JTH6M10+10+mm+Hex+Key+Journeyman+T-Handle+6-Inch&amp;qid=1695174255&amp;sr=8-9")</f>
        <v>https://www.amazon.com/Klein-Tools-JTH6E09BE-Ball-End-Journeyman/dp/B0CGLVC75M/ref=sr_1_9?keywords=Klein+Tools+JTH6M10+10+mm+Hex+Key+Journeyman+T-Handle+6-Inch&amp;qid=1695174255&amp;sr=8-9</v>
      </c>
      <c r="F2865" t="s">
        <v>6253</v>
      </c>
      <c r="G2865" t="e">
        <f ca="1">_xludf.IMAGE("https://edmondsonsupply.com/cdn/shop/products/jth6m8_64c2c8d3-e13e-4b81-9b34-745be7fd837a.jpg?v=1627827117")</f>
        <v>#NAME?</v>
      </c>
      <c r="H2865" t="e">
        <f ca="1">_xludf.IMAGE("https://m.media-amazon.com/images/I/41bN+I19ReL._AC_UL320_.jpg")</f>
        <v>#NAME?</v>
      </c>
      <c r="I2865" t="s">
        <v>924</v>
      </c>
      <c r="J2865">
        <v>14.36</v>
      </c>
      <c r="K2865" s="4">
        <v>0.59730000000000005</v>
      </c>
      <c r="L2865">
        <v>4.9000000000000004</v>
      </c>
      <c r="M2865">
        <v>65</v>
      </c>
      <c r="O2865" t="s">
        <v>25</v>
      </c>
      <c r="P2865" t="s">
        <v>6946</v>
      </c>
      <c r="Q2865" t="s">
        <v>6947</v>
      </c>
    </row>
    <row r="2866" spans="1:17" ht="15.5" x14ac:dyDescent="0.35">
      <c r="A2866" s="3" t="str">
        <f>HYPERLINK("https://edmondsonsupply.com/collections/electricians-tools/products/diablo-tools-dhs0312dg-5-16-in-diamond-grit-hole-saws", "https://edmondsonsupply.com/collections/electricians-tools/products/diablo-tools-dhs0312dg-5-16-in-diamond-grit-hole-saws")</f>
        <v>https://edmondsonsupply.com/collections/electricians-tools/products/diablo-tools-dhs0312dg-5-16-in-diamond-grit-hole-saws</v>
      </c>
      <c r="B2866" s="3" t="str">
        <f>HYPERLINK("https://edmondsonsupply.com/products/diablo-tools-dhs0312dg-5-16-in-diamond-grit-hole-saws", "https://edmondsonsupply.com/products/diablo-tools-dhs0312dg-5-16-in-diamond-grit-hole-saws")</f>
        <v>https://edmondsonsupply.com/products/diablo-tools-dhs0312dg-5-16-in-diamond-grit-hole-saws</v>
      </c>
      <c r="C2866" t="s">
        <v>7036</v>
      </c>
      <c r="D2866" t="s">
        <v>7037</v>
      </c>
      <c r="E2866" s="3" t="str">
        <f>HYPERLINK("https://www.amazon.com/Lenox-Tools-121085DGDS-Diamond-16-Inch/dp/B002TPXXOO/ref=sr_1_6?keywords=Diablo+Tools+DHS0312DG+5%2F16+in.+Diamond+Grit+Hole+Saws&amp;qid=1695174109&amp;sr=8-6", "https://www.amazon.com/Lenox-Tools-121085DGDS-Diamond-16-Inch/dp/B002TPXXOO/ref=sr_1_6?keywords=Diablo+Tools+DHS0312DG+5%2F16+in.+Diamond+Grit+Hole+Saws&amp;qid=1695174109&amp;sr=8-6")</f>
        <v>https://www.amazon.com/Lenox-Tools-121085DGDS-Diamond-16-Inch/dp/B002TPXXOO/ref=sr_1_6?keywords=Diablo+Tools+DHS0312DG+5%2F16+in.+Diamond+Grit+Hole+Saws&amp;qid=1695174109&amp;sr=8-6</v>
      </c>
      <c r="F2866" t="s">
        <v>7038</v>
      </c>
      <c r="G2866" t="e">
        <f ca="1">_xludf.IMAGE("https://edmondsonsupply.com/cdn/shop/products/rxizptsq5go5ndbgimh0.webp?v=1670004603")</f>
        <v>#NAME?</v>
      </c>
      <c r="H2866" t="e">
        <f ca="1">_xludf.IMAGE("https://m.media-amazon.com/images/I/51iEfA2HpPL._AC_UL320_.jpg")</f>
        <v>#NAME?</v>
      </c>
      <c r="I2866" t="s">
        <v>7039</v>
      </c>
      <c r="J2866">
        <v>20.32</v>
      </c>
      <c r="K2866" s="4">
        <v>0.59619999999999995</v>
      </c>
      <c r="L2866">
        <v>4.5999999999999996</v>
      </c>
      <c r="M2866">
        <v>279</v>
      </c>
      <c r="O2866" t="s">
        <v>25</v>
      </c>
      <c r="P2866" t="s">
        <v>7040</v>
      </c>
      <c r="Q2866" t="s">
        <v>7041</v>
      </c>
    </row>
    <row r="2867" spans="1:17" ht="15.5" x14ac:dyDescent="0.35">
      <c r="A2867" s="3" t="str">
        <f>HYPERLINK("https://edmondsonsupply.com/collections/electricians-tools/products/klein-tools-ncvt-4ir-non-contact-voltage-tester-pen-12-1000v-with-infrared-thermometer", "https://edmondsonsupply.com/collections/electricians-tools/products/klein-tools-ncvt-4ir-non-contact-voltage-tester-pen-12-1000v-with-infrared-thermometer")</f>
        <v>https://edmondsonsupply.com/collections/electricians-tools/products/klein-tools-ncvt-4ir-non-contact-voltage-tester-pen-12-1000v-with-infrared-thermometer</v>
      </c>
      <c r="B2867" s="3" t="str">
        <f>HYPERLINK("https://edmondsonsupply.com/products/klein-tools-ncvt-4ir-non-contact-voltage-tester-pen-12-1000v-with-infrared-thermometer", "https://edmondsonsupply.com/products/klein-tools-ncvt-4ir-non-contact-voltage-tester-pen-12-1000v-with-infrared-thermometer")</f>
        <v>https://edmondsonsupply.com/products/klein-tools-ncvt-4ir-non-contact-voltage-tester-pen-12-1000v-with-infrared-thermometer</v>
      </c>
      <c r="C2867" t="s">
        <v>2995</v>
      </c>
      <c r="D2867" t="s">
        <v>2996</v>
      </c>
      <c r="E2867" s="3" t="str">
        <f>HYPERLINK("https://www.amazon.com/Klein-Tools-NCVT-4IR-Non-Contact-Tester/dp/B0BD41QXCP/ref=sr_1_2?keywords=Klein+Tools+NCVT-4IR+Non-Contact+Voltage+Tester+Pen%2C+12-1000V%2C+with+Infrared+Thermometer&amp;qid=1695173884&amp;sr=8-2", "https://www.amazon.com/Klein-Tools-NCVT-4IR-Non-Contact-Tester/dp/B0BD41QXCP/ref=sr_1_2?keywords=Klein+Tools+NCVT-4IR+Non-Contact+Voltage+Tester+Pen%2C+12-1000V%2C+with+Infrared+Thermometer&amp;qid=1695173884&amp;sr=8-2")</f>
        <v>https://www.amazon.com/Klein-Tools-NCVT-4IR-Non-Contact-Tester/dp/B0BD41QXCP/ref=sr_1_2?keywords=Klein+Tools+NCVT-4IR+Non-Contact+Voltage+Tester+Pen%2C+12-1000V%2C+with+Infrared+Thermometer&amp;qid=1695173884&amp;sr=8-2</v>
      </c>
      <c r="F2867" t="s">
        <v>2997</v>
      </c>
      <c r="G2867" t="e">
        <f ca="1">_xludf.IMAGE("https://edmondsonsupply.com/cdn/shop/products/ncvt4ir.jpg?v=1633030412")</f>
        <v>#NAME?</v>
      </c>
      <c r="H2867" t="e">
        <f ca="1">_xludf.IMAGE("https://m.media-amazon.com/images/I/418deU9NDfL._AC_UL320_.jpg")</f>
        <v>#NAME?</v>
      </c>
      <c r="I2867" t="s">
        <v>198</v>
      </c>
      <c r="J2867">
        <v>63.65</v>
      </c>
      <c r="K2867" s="4">
        <v>0.59160000000000001</v>
      </c>
      <c r="L2867">
        <v>5</v>
      </c>
      <c r="M2867">
        <v>1</v>
      </c>
      <c r="O2867" t="s">
        <v>25</v>
      </c>
      <c r="P2867" t="s">
        <v>2998</v>
      </c>
      <c r="Q2867" t="s">
        <v>2999</v>
      </c>
    </row>
    <row r="2868" spans="1:17" ht="15.5" x14ac:dyDescent="0.35">
      <c r="A2868"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2868"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2868" t="s">
        <v>2115</v>
      </c>
      <c r="D2868" t="s">
        <v>2107</v>
      </c>
      <c r="E2868" s="3" t="str">
        <f>HYPERLINK("https://www.amazon.com/Screwdriver-Adjustable-Klein-Tools-Electronic/dp/B0BM34Q1QR/ref=sr_1_3?keywords=Klein+Tools+32304+14-in-1+HVAC+Adjustable-Length+Impact+Screwdriver+with+Flip+Socket&amp;qid=1695173856&amp;sr=8-3", "https://www.amazon.com/Screwdriver-Adjustable-Klein-Tools-Electronic/dp/B0BM34Q1QR/ref=sr_1_3?keywords=Klein+Tools+32304+14-in-1+HVAC+Adjustable-Length+Impact+Screwdriver+with+Flip+Socket&amp;qid=1695173856&amp;sr=8-3")</f>
        <v>https://www.amazon.com/Screwdriver-Adjustable-Klein-Tools-Electronic/dp/B0BM34Q1QR/ref=sr_1_3?keywords=Klein+Tools+32304+14-in-1+HVAC+Adjustable-Length+Impact+Screwdriver+with+Flip+Socket&amp;qid=1695173856&amp;sr=8-3</v>
      </c>
      <c r="F2868" t="s">
        <v>2108</v>
      </c>
      <c r="G2868" t="e">
        <f ca="1">_xludf.IMAGE("https://edmondsonsupply.com/cdn/shop/products/32304.jpg?v=1666019479")</f>
        <v>#NAME?</v>
      </c>
      <c r="H2868" t="e">
        <f ca="1">_xludf.IMAGE("https://m.media-amazon.com/images/I/41C5e4ThtpL._AC_UL320_.jpg")</f>
        <v>#NAME?</v>
      </c>
      <c r="I2868" t="s">
        <v>859</v>
      </c>
      <c r="J2868">
        <v>39.74</v>
      </c>
      <c r="K2868" s="4">
        <v>0.59150000000000003</v>
      </c>
      <c r="L2868">
        <v>5</v>
      </c>
      <c r="M2868">
        <v>1</v>
      </c>
      <c r="O2868" t="s">
        <v>25</v>
      </c>
      <c r="P2868" t="s">
        <v>602</v>
      </c>
      <c r="Q2868" t="s">
        <v>2118</v>
      </c>
    </row>
    <row r="2869" spans="1:17" ht="15.5" x14ac:dyDescent="0.35">
      <c r="A2869" s="3" t="str">
        <f>HYPERLINK("https://edmondsonsupply.com/collections/electricians-tools/products/greenlee-gsb03-3-4-step-bit-3", "https://edmondsonsupply.com/collections/electricians-tools/products/greenlee-gsb03-3-4-step-bit-3")</f>
        <v>https://edmondsonsupply.com/collections/electricians-tools/products/greenlee-gsb03-3-4-step-bit-3</v>
      </c>
      <c r="B2869" s="3" t="str">
        <f>HYPERLINK("https://edmondsonsupply.com/products/greenlee-gsb03-3-4-step-bit-3", "https://edmondsonsupply.com/products/greenlee-gsb03-3-4-step-bit-3")</f>
        <v>https://edmondsonsupply.com/products/greenlee-gsb03-3-4-step-bit-3</v>
      </c>
      <c r="C2869" t="s">
        <v>3000</v>
      </c>
      <c r="D2869" t="s">
        <v>3001</v>
      </c>
      <c r="E2869" s="3" t="str">
        <f>HYPERLINK("https://www.amazon.com/Greenlee-34403C-Cobalt-Step-Bit/dp/B016IZP4IS/ref=sr_1_10?keywords=Greenlee+GSB03+3%2F4%22+Step+Bit+%28%233%29&amp;qid=1695173995&amp;sr=8-10", "https://www.amazon.com/Greenlee-34403C-Cobalt-Step-Bit/dp/B016IZP4IS/ref=sr_1_10?keywords=Greenlee+GSB03+3%2F4%22+Step+Bit+%28%233%29&amp;qid=1695173995&amp;sr=8-10")</f>
        <v>https://www.amazon.com/Greenlee-34403C-Cobalt-Step-Bit/dp/B016IZP4IS/ref=sr_1_10?keywords=Greenlee+GSB03+3%2F4%22+Step+Bit+%28%233%29&amp;qid=1695173995&amp;sr=8-10</v>
      </c>
      <c r="F2869" t="s">
        <v>3002</v>
      </c>
      <c r="G2869" t="e">
        <f ca="1">_xludf.IMAGE("https://edmondsonsupply.com/cdn/shop/files/GSB03_CAT1_72dpi.jpg?v=1687784964")</f>
        <v>#NAME?</v>
      </c>
      <c r="H2869" t="e">
        <f ca="1">_xludf.IMAGE("https://m.media-amazon.com/images/I/71lpfxAxTRL._AC_UY218_.jpg")</f>
        <v>#NAME?</v>
      </c>
      <c r="I2869" t="s">
        <v>3003</v>
      </c>
      <c r="J2869">
        <v>76.989999999999995</v>
      </c>
      <c r="K2869" s="4">
        <v>0.59099999999999997</v>
      </c>
      <c r="L2869">
        <v>4</v>
      </c>
      <c r="M2869">
        <v>12</v>
      </c>
      <c r="O2869" t="s">
        <v>25</v>
      </c>
      <c r="P2869" t="s">
        <v>2614</v>
      </c>
      <c r="Q2869" t="s">
        <v>3004</v>
      </c>
    </row>
    <row r="2870" spans="1:17" ht="15.5" x14ac:dyDescent="0.35">
      <c r="A2870" s="3" t="str">
        <f>HYPERLINK("https://edmondsonsupply.com/collections/electricians-tools/products/milwaukee-49-56-0132-2-1-4-hole-dozer%E2%84%A2-hole-saw-bi-metal-cup", "https://edmondsonsupply.com/collections/electricians-tools/products/milwaukee-49-56-0132-2-1-4-hole-dozer%E2%84%A2-hole-saw-bi-metal-cup")</f>
        <v>https://edmondsonsupply.com/collections/electricians-tools/products/milwaukee-49-56-0132-2-1-4-hole-dozer%E2%84%A2-hole-saw-bi-metal-cup</v>
      </c>
      <c r="B2870" s="3" t="str">
        <f>HYPERLINK("https://edmondsonsupply.com/products/milwaukee-49-56-0132-2-1-4-hole-dozer%e2%84%a2-hole-saw-bi-metal-cup", "https://edmondsonsupply.com/products/milwaukee-49-56-0132-2-1-4-hole-dozer%e2%84%a2-hole-saw-bi-metal-cup")</f>
        <v>https://edmondsonsupply.com/products/milwaukee-49-56-0132-2-1-4-hole-dozer%e2%84%a2-hole-saw-bi-metal-cup</v>
      </c>
      <c r="C2870" t="s">
        <v>7042</v>
      </c>
      <c r="D2870" t="s">
        <v>6381</v>
      </c>
      <c r="E2870" s="3" t="str">
        <f>HYPERLINK("https://www.amazon.com/Milwaukee-49-56-0167-8-Inch-Hardened-Hole/dp/B0017WOBBO/ref=sr_1_9?keywords=Milwaukee+49-56-0132+2-1%2F4%22+HOLE+DOZER%E2%84%A2+Hole+Saw+Bi-Metal+Cup&amp;qid=1695174052&amp;sr=8-9", "https://www.amazon.com/Milwaukee-49-56-0167-8-Inch-Hardened-Hole/dp/B0017WOBBO/ref=sr_1_9?keywords=Milwaukee+49-56-0132+2-1%2F4%22+HOLE+DOZER%E2%84%A2+Hole+Saw+Bi-Metal+Cup&amp;qid=1695174052&amp;sr=8-9")</f>
        <v>https://www.amazon.com/Milwaukee-49-56-0167-8-Inch-Hardened-Hole/dp/B0017WOBBO/ref=sr_1_9?keywords=Milwaukee+49-56-0132+2-1%2F4%22+HOLE+DOZER%E2%84%A2+Hole+Saw+Bi-Metal+Cup&amp;qid=1695174052&amp;sr=8-9</v>
      </c>
      <c r="F2870" t="s">
        <v>6382</v>
      </c>
      <c r="G2870" t="e">
        <f ca="1">_xludf.IMAGE("https://edmondsonsupply.com/cdn/shop/products/49-56-0052_101_2_0a4e9864-4766-44b1-98d0-cb59081d8c47.webp?v=1679335131")</f>
        <v>#NAME?</v>
      </c>
      <c r="H2870" t="e">
        <f ca="1">_xludf.IMAGE("https://m.media-amazon.com/images/I/61csZT8rVjL._AC_UL320_.jpg")</f>
        <v>#NAME?</v>
      </c>
      <c r="I2870" t="s">
        <v>6056</v>
      </c>
      <c r="J2870">
        <v>17.46</v>
      </c>
      <c r="K2870" s="4">
        <v>0.5887</v>
      </c>
      <c r="L2870">
        <v>4.8</v>
      </c>
      <c r="M2870">
        <v>101</v>
      </c>
      <c r="O2870" t="s">
        <v>25</v>
      </c>
      <c r="P2870" t="s">
        <v>7043</v>
      </c>
      <c r="Q2870" t="s">
        <v>7044</v>
      </c>
    </row>
    <row r="2871" spans="1:17" ht="15.5" x14ac:dyDescent="0.35">
      <c r="A2871"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2871" s="3" t="str">
        <f>HYPERLINK("https://edmondsonsupply.com/products/klein-tools-d507-8-adjustable-wrench-extra-capacity-8-inch", "https://edmondsonsupply.com/products/klein-tools-d507-8-adjustable-wrench-extra-capacity-8-inch")</f>
        <v>https://edmondsonsupply.com/products/klein-tools-d507-8-adjustable-wrench-extra-capacity-8-inch</v>
      </c>
      <c r="C2871" t="s">
        <v>6699</v>
      </c>
      <c r="D2871" t="s">
        <v>7045</v>
      </c>
      <c r="E2871" s="3" t="str">
        <f>HYPERLINK("https://www.amazon.com/Klein-Tools-507-12-Adjustable-Capacity/dp/B000I1R5FE/ref=sr_1_10?keywords=Klein+Tools+D507-8+Adjustable+Wrench%2C+Extra+Capacity+8-Inch&amp;qid=1695173949&amp;sr=8-10", "https://www.amazon.com/Klein-Tools-507-12-Adjustable-Capacity/dp/B000I1R5FE/ref=sr_1_10?keywords=Klein+Tools+D507-8+Adjustable+Wrench%2C+Extra+Capacity+8-Inch&amp;qid=1695173949&amp;sr=8-10")</f>
        <v>https://www.amazon.com/Klein-Tools-507-12-Adjustable-Capacity/dp/B000I1R5FE/ref=sr_1_10?keywords=Klein+Tools+D507-8+Adjustable+Wrench%2C+Extra+Capacity+8-Inch&amp;qid=1695173949&amp;sr=8-10</v>
      </c>
      <c r="F2871" t="s">
        <v>7046</v>
      </c>
      <c r="G2871" t="e">
        <f ca="1">_xludf.IMAGE("https://edmondsonsupply.com/cdn/shop/products/d5078_b.jpg?v=1666010497")</f>
        <v>#NAME?</v>
      </c>
      <c r="H2871" t="e">
        <f ca="1">_xludf.IMAGE("https://m.media-amazon.com/images/I/418FdISjyWL._AC_UL320_.jpg")</f>
        <v>#NAME?</v>
      </c>
      <c r="I2871" t="s">
        <v>26</v>
      </c>
      <c r="J2871">
        <v>47.38</v>
      </c>
      <c r="K2871" s="4">
        <v>0.57989999999999997</v>
      </c>
      <c r="L2871">
        <v>4.8</v>
      </c>
      <c r="M2871">
        <v>27</v>
      </c>
      <c r="O2871" t="s">
        <v>25</v>
      </c>
      <c r="P2871" t="s">
        <v>1327</v>
      </c>
      <c r="Q2871" t="s">
        <v>6700</v>
      </c>
    </row>
    <row r="2872" spans="1:17" ht="15.5" x14ac:dyDescent="0.35">
      <c r="A2872"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2872" s="3" t="str">
        <f>HYPERLINK("https://edmondsonsupply.com/products/klein-tools-vdv427-300-impact-punchdown-tool-66-110-blade", "https://edmondsonsupply.com/products/klein-tools-vdv427-300-impact-punchdown-tool-66-110-blade")</f>
        <v>https://edmondsonsupply.com/products/klein-tools-vdv427-300-impact-punchdown-tool-66-110-blade</v>
      </c>
      <c r="C2872" t="s">
        <v>6289</v>
      </c>
      <c r="D2872" t="s">
        <v>7047</v>
      </c>
      <c r="E2872" s="3" t="str">
        <f>HYPERLINK("https://www.amazon.com/Klein-Tools-VDV427-300-Punchdown-21010-6-SEN/dp/B0BNL4X7CJ/ref=sr_1_3?keywords=Klein+Tools+VDV427-300+Impact+Punchdown+Tool%2C+66%2F110+Blade&amp;qid=1695174221&amp;sr=8-3", "https://www.amazon.com/Klein-Tools-VDV427-300-Punchdown-21010-6-SEN/dp/B0BNL4X7CJ/ref=sr_1_3?keywords=Klein+Tools+VDV427-300+Impact+Punchdown+Tool%2C+66%2F110+Blade&amp;qid=1695174221&amp;sr=8-3")</f>
        <v>https://www.amazon.com/Klein-Tools-VDV427-300-Punchdown-21010-6-SEN/dp/B0BNL4X7CJ/ref=sr_1_3?keywords=Klein+Tools+VDV427-300+Impact+Punchdown+Tool%2C+66%2F110+Blade&amp;qid=1695174221&amp;sr=8-3</v>
      </c>
      <c r="F2872" t="s">
        <v>7048</v>
      </c>
      <c r="G2872" t="e">
        <f ca="1">_xludf.IMAGE("https://edmondsonsupply.com/cdn/shop/products/vdv427300.jpg?v=1646010568")</f>
        <v>#NAME?</v>
      </c>
      <c r="H2872" t="e">
        <f ca="1">_xludf.IMAGE("https://m.media-amazon.com/images/I/41i2uMhepnL._AC_UL320_.jpg")</f>
        <v>#NAME?</v>
      </c>
      <c r="I2872" t="s">
        <v>246</v>
      </c>
      <c r="J2872">
        <v>63.07</v>
      </c>
      <c r="K2872" s="4">
        <v>0.57789999999999997</v>
      </c>
      <c r="L2872">
        <v>5</v>
      </c>
      <c r="M2872">
        <v>3</v>
      </c>
      <c r="O2872" t="s">
        <v>25</v>
      </c>
      <c r="P2872" t="s">
        <v>1027</v>
      </c>
      <c r="Q2872" t="s">
        <v>6292</v>
      </c>
    </row>
    <row r="2873" spans="1:17" ht="15.5" x14ac:dyDescent="0.35">
      <c r="A2873"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2873" s="3" t="str">
        <f>HYPERLINK("https://edmondsonsupply.com/products/klein-tools-31918-bi-metal-hole-saw-1-1-8-inch", "https://edmondsonsupply.com/products/klein-tools-31918-bi-metal-hole-saw-1-1-8-inch")</f>
        <v>https://edmondsonsupply.com/products/klein-tools-31918-bi-metal-hole-saw-1-1-8-inch</v>
      </c>
      <c r="C2873" t="s">
        <v>6001</v>
      </c>
      <c r="D2873" t="s">
        <v>7049</v>
      </c>
      <c r="E2873" s="3" t="str">
        <f>HYPERLINK("https://www.amazon.com/LENOX-Tools-Bi-Metal-Speed-Technology/dp/B00024389Y/ref=sr_1_5?keywords=Klein+Tools+31918+Bi-Metal+Hole+Saw%2C+1-1%2F8-Inch&amp;qid=1695174116&amp;sr=8-5", "https://www.amazon.com/LENOX-Tools-Bi-Metal-Speed-Technology/dp/B00024389Y/ref=sr_1_5?keywords=Klein+Tools+31918+Bi-Metal+Hole+Saw%2C+1-1%2F8-Inch&amp;qid=1695174116&amp;sr=8-5")</f>
        <v>https://www.amazon.com/LENOX-Tools-Bi-Metal-Speed-Technology/dp/B00024389Y/ref=sr_1_5?keywords=Klein+Tools+31918+Bi-Metal+Hole+Saw%2C+1-1%2F8-Inch&amp;qid=1695174116&amp;sr=8-5</v>
      </c>
      <c r="F2873" t="s">
        <v>7050</v>
      </c>
      <c r="G2873" t="e">
        <f ca="1">_xludf.IMAGE("https://edmondsonsupply.com/cdn/shop/products/31918.jpg?v=1669739998")</f>
        <v>#NAME?</v>
      </c>
      <c r="H2873" t="e">
        <f ca="1">_xludf.IMAGE("https://m.media-amazon.com/images/I/41qQLggkZ8L._AC_UL320_.jpg")</f>
        <v>#NAME?</v>
      </c>
      <c r="I2873" t="s">
        <v>1003</v>
      </c>
      <c r="J2873">
        <v>12.6</v>
      </c>
      <c r="K2873" s="4">
        <v>0.57699999999999996</v>
      </c>
      <c r="L2873">
        <v>4.5</v>
      </c>
      <c r="M2873">
        <v>83</v>
      </c>
      <c r="O2873" t="s">
        <v>25</v>
      </c>
      <c r="P2873" t="s">
        <v>2841</v>
      </c>
      <c r="Q2873" t="s">
        <v>6004</v>
      </c>
    </row>
    <row r="2874" spans="1:17" ht="15.5" x14ac:dyDescent="0.35">
      <c r="A2874" s="3" t="str">
        <f>HYPERLINK("https://edmondsonsupply.com/collections/electricians-tools/products/klein-tools-86602-3-8-inch-magnetic-hex-drivers-3-pack", "https://edmondsonsupply.com/collections/electricians-tools/products/klein-tools-86602-3-8-inch-magnetic-hex-drivers-3-pack")</f>
        <v>https://edmondsonsupply.com/collections/electricians-tools/products/klein-tools-86602-3-8-inch-magnetic-hex-drivers-3-pack</v>
      </c>
      <c r="B2874" s="3" t="str">
        <f>HYPERLINK("https://edmondsonsupply.com/products/klein-tools-86602-3-8-inch-magnetic-hex-drivers-3-pack", "https://edmondsonsupply.com/products/klein-tools-86602-3-8-inch-magnetic-hex-drivers-3-pack")</f>
        <v>https://edmondsonsupply.com/products/klein-tools-86602-3-8-inch-magnetic-hex-drivers-3-pack</v>
      </c>
      <c r="C2874" t="s">
        <v>6192</v>
      </c>
      <c r="D2874" t="s">
        <v>7051</v>
      </c>
      <c r="E2874" s="3" t="str">
        <f>HYPERLINK("https://www.amazon.com/Klein-Tools-32794-Impact-Driver/dp/B07RGVM3RS/ref=sr_1_2?keywords=Klein+Tools+86602+3%2F8-Inch+Magnetic+Hex+Drivers%2C+3-Pack&amp;qid=1695174145&amp;sr=8-2", "https://www.amazon.com/Klein-Tools-32794-Impact-Driver/dp/B07RGVM3RS/ref=sr_1_2?keywords=Klein+Tools+86602+3%2F8-Inch+Magnetic+Hex+Drivers%2C+3-Pack&amp;qid=1695174145&amp;sr=8-2")</f>
        <v>https://www.amazon.com/Klein-Tools-32794-Impact-Driver/dp/B07RGVM3RS/ref=sr_1_2?keywords=Klein+Tools+86602+3%2F8-Inch+Magnetic+Hex+Drivers%2C+3-Pack&amp;qid=1695174145&amp;sr=8-2</v>
      </c>
      <c r="F2874" t="s">
        <v>7052</v>
      </c>
      <c r="G2874" t="e">
        <f ca="1">_xludf.IMAGE("https://edmondsonsupply.com/cdn/shop/products/86602.jpg?v=1664460860")</f>
        <v>#NAME?</v>
      </c>
      <c r="H2874" t="e">
        <f ca="1">_xludf.IMAGE("https://m.media-amazon.com/images/I/51EHKugf8KL._AC_UL320_.jpg")</f>
        <v>#NAME?</v>
      </c>
      <c r="I2874" t="s">
        <v>2347</v>
      </c>
      <c r="J2874">
        <v>10.99</v>
      </c>
      <c r="K2874" s="4">
        <v>0.57220000000000004</v>
      </c>
      <c r="L2874">
        <v>4.8</v>
      </c>
      <c r="M2874">
        <v>133</v>
      </c>
      <c r="O2874" t="s">
        <v>25</v>
      </c>
      <c r="P2874" t="s">
        <v>6193</v>
      </c>
      <c r="Q2874" t="s">
        <v>6194</v>
      </c>
    </row>
    <row r="2875" spans="1:17" ht="15.5" x14ac:dyDescent="0.35">
      <c r="A2875"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2875"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2875" t="s">
        <v>6969</v>
      </c>
      <c r="D2875" t="s">
        <v>7053</v>
      </c>
      <c r="E2875" s="3" t="str">
        <f>HYPERLINK("https://www.amazon.com/Lightweight-Drop-Point-Klein-Tools-44001-BLK/dp/B0026T18RW/ref=sr_1_8?keywords=Klein+Tools+1550-2+2+Blade+Pocket+Knife%2C+Steel%2C+2-1%2F2-Inch+Blade&amp;qid=1695174176&amp;sr=8-8", "https://www.amazon.com/Lightweight-Drop-Point-Klein-Tools-44001-BLK/dp/B0026T18RW/ref=sr_1_8?keywords=Klein+Tools+1550-2+2+Blade+Pocket+Knife%2C+Steel%2C+2-1%2F2-Inch+Blade&amp;qid=1695174176&amp;sr=8-8")</f>
        <v>https://www.amazon.com/Lightweight-Drop-Point-Klein-Tools-44001-BLK/dp/B0026T18RW/ref=sr_1_8?keywords=Klein+Tools+1550-2+2+Blade+Pocket+Knife%2C+Steel%2C+2-1%2F2-Inch+Blade&amp;qid=1695174176&amp;sr=8-8</v>
      </c>
      <c r="F2875" t="s">
        <v>7054</v>
      </c>
      <c r="G2875" t="e">
        <f ca="1">_xludf.IMAGE("https://edmondsonsupply.com/cdn/shop/products/15502_b.jpg?v=1658020543")</f>
        <v>#NAME?</v>
      </c>
      <c r="H2875" t="e">
        <f ca="1">_xludf.IMAGE("https://m.media-amazon.com/images/I/41DnZjhhmnL._AC_UL320_.jpg")</f>
        <v>#NAME?</v>
      </c>
      <c r="I2875" t="s">
        <v>26</v>
      </c>
      <c r="J2875">
        <v>47.14</v>
      </c>
      <c r="K2875" s="4">
        <v>0.57189999999999996</v>
      </c>
      <c r="L2875">
        <v>4.5</v>
      </c>
      <c r="M2875">
        <v>68</v>
      </c>
      <c r="O2875" t="s">
        <v>25</v>
      </c>
      <c r="P2875" t="s">
        <v>6972</v>
      </c>
      <c r="Q2875" t="s">
        <v>6973</v>
      </c>
    </row>
    <row r="2876" spans="1:17" ht="15.5" x14ac:dyDescent="0.35">
      <c r="A2876"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2876"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2876" t="s">
        <v>7055</v>
      </c>
      <c r="D2876" t="s">
        <v>2286</v>
      </c>
      <c r="E2876" s="3" t="str">
        <f>HYPERLINK("https://www.amazon.com/Insulated-Klein-Kurve-Klein-Tools-11055-INS/dp/B000MKIPPU/ref=sr_1_2?keywords=Klein+Tools+11055RINS+Insulated+Klein-Kurve%C2%AE+Wire+Stripper+and+Cutter&amp;qid=1695174134&amp;sr=8-2", "https://www.amazon.com/Insulated-Klein-Kurve-Klein-Tools-11055-INS/dp/B000MKIPPU/ref=sr_1_2?keywords=Klein+Tools+11055RINS+Insulated+Klein-Kurve%C2%AE+Wire+Stripper+and+Cutter&amp;qid=1695174134&amp;sr=8-2")</f>
        <v>https://www.amazon.com/Insulated-Klein-Kurve-Klein-Tools-11055-INS/dp/B000MKIPPU/ref=sr_1_2?keywords=Klein+Tools+11055RINS+Insulated+Klein-Kurve%C2%AE+Wire+Stripper+and+Cutter&amp;qid=1695174134&amp;sr=8-2</v>
      </c>
      <c r="F2876" t="s">
        <v>2287</v>
      </c>
      <c r="G2876" t="e">
        <f ca="1">_xludf.IMAGE("https://edmondsonsupply.com/cdn/shop/products/11055rins.jpg?v=1667236979")</f>
        <v>#NAME?</v>
      </c>
      <c r="H2876" t="e">
        <f ca="1">_xludf.IMAGE("https://m.media-amazon.com/images/I/51U7ZuALPYL._AC_UL320_.jpg")</f>
        <v>#NAME?</v>
      </c>
      <c r="I2876" t="s">
        <v>824</v>
      </c>
      <c r="J2876">
        <v>47.07</v>
      </c>
      <c r="K2876" s="4">
        <v>0.5706</v>
      </c>
      <c r="L2876">
        <v>4.0999999999999996</v>
      </c>
      <c r="M2876">
        <v>17</v>
      </c>
      <c r="O2876" t="s">
        <v>25</v>
      </c>
      <c r="P2876" t="s">
        <v>562</v>
      </c>
      <c r="Q2876" t="s">
        <v>7056</v>
      </c>
    </row>
    <row r="2877" spans="1:17" ht="15.5" x14ac:dyDescent="0.35">
      <c r="A2877"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2877"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2877" t="s">
        <v>6254</v>
      </c>
      <c r="D2877" t="s">
        <v>7057</v>
      </c>
      <c r="E2877" s="3" t="str">
        <f>HYPERLINK("https://www.amazon.com/Klein-Tools-Thermometer-Non-Contact-Temperature/dp/B0B68MLBWN/ref=sr_1_6?keywords=Klein+Tools+IR1+Infrared+Digital+Thermometer+with+Targeting+Laser%2C+10%3A1&amp;qid=1695174178&amp;sr=8-6", "https://www.amazon.com/Klein-Tools-Thermometer-Non-Contact-Temperature/dp/B0B68MLBWN/ref=sr_1_6?keywords=Klein+Tools+IR1+Infrared+Digital+Thermometer+with+Targeting+Laser%2C+10%3A1&amp;qid=1695174178&amp;sr=8-6")</f>
        <v>https://www.amazon.com/Klein-Tools-Thermometer-Non-Contact-Temperature/dp/B0B68MLBWN/ref=sr_1_6?keywords=Klein+Tools+IR1+Infrared+Digital+Thermometer+with+Targeting+Laser%2C+10%3A1&amp;qid=1695174178&amp;sr=8-6</v>
      </c>
      <c r="F2877" t="s">
        <v>7058</v>
      </c>
      <c r="G2877" t="e">
        <f ca="1">_xludf.IMAGE("https://edmondsonsupply.com/cdn/shop/products/ir1.jpg?v=1659112251")</f>
        <v>#NAME?</v>
      </c>
      <c r="H2877" t="e">
        <f ca="1">_xludf.IMAGE("https://m.media-amazon.com/images/I/4105qZwKkyL._AC_UY218_.jpg")</f>
        <v>#NAME?</v>
      </c>
      <c r="I2877" t="s">
        <v>3578</v>
      </c>
      <c r="J2877">
        <v>51.71</v>
      </c>
      <c r="K2877" s="4">
        <v>0.56740000000000002</v>
      </c>
      <c r="L2877">
        <v>4.7</v>
      </c>
      <c r="M2877">
        <v>16</v>
      </c>
      <c r="O2877" t="s">
        <v>25</v>
      </c>
      <c r="P2877" t="s">
        <v>6255</v>
      </c>
      <c r="Q2877" t="s">
        <v>6256</v>
      </c>
    </row>
    <row r="2878" spans="1:17" ht="15.5" x14ac:dyDescent="0.35">
      <c r="A2878"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2878"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2878" t="s">
        <v>6969</v>
      </c>
      <c r="D2878" t="s">
        <v>7059</v>
      </c>
      <c r="E2878" s="3" t="str">
        <f>HYPERLINK("https://www.amazon.com/Klein-Tools-44001-Leightweight-Drop-Point/dp/B00093GDFE/ref=sr_1_4?keywords=Klein+Tools+1550-2+2+Blade+Pocket+Knife%2C+Steel%2C+2-1%2F2-Inch+Blade&amp;qid=1695174176&amp;sr=8-4", "https://www.amazon.com/Klein-Tools-44001-Leightweight-Drop-Point/dp/B00093GDFE/ref=sr_1_4?keywords=Klein+Tools+1550-2+2+Blade+Pocket+Knife%2C+Steel%2C+2-1%2F2-Inch+Blade&amp;qid=1695174176&amp;sr=8-4")</f>
        <v>https://www.amazon.com/Klein-Tools-44001-Leightweight-Drop-Point/dp/B00093GDFE/ref=sr_1_4?keywords=Klein+Tools+1550-2+2+Blade+Pocket+Knife%2C+Steel%2C+2-1%2F2-Inch+Blade&amp;qid=1695174176&amp;sr=8-4</v>
      </c>
      <c r="F2878" t="s">
        <v>7060</v>
      </c>
      <c r="G2878" t="e">
        <f ca="1">_xludf.IMAGE("https://edmondsonsupply.com/cdn/shop/products/15502_b.jpg?v=1658020543")</f>
        <v>#NAME?</v>
      </c>
      <c r="H2878" t="e">
        <f ca="1">_xludf.IMAGE("https://m.media-amazon.com/images/I/412UGD0fg+S._AC_UL320_.jpg")</f>
        <v>#NAME?</v>
      </c>
      <c r="I2878" t="s">
        <v>26</v>
      </c>
      <c r="J2878">
        <v>46.99</v>
      </c>
      <c r="K2878" s="4">
        <v>0.56689999999999996</v>
      </c>
      <c r="L2878">
        <v>4.7</v>
      </c>
      <c r="M2878">
        <v>186</v>
      </c>
      <c r="O2878" t="s">
        <v>25</v>
      </c>
      <c r="P2878" t="s">
        <v>6972</v>
      </c>
      <c r="Q2878" t="s">
        <v>6973</v>
      </c>
    </row>
    <row r="2879" spans="1:17" ht="15.5" x14ac:dyDescent="0.35">
      <c r="A2879"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2879" s="3" t="str">
        <f>HYPERLINK("https://edmondsonsupply.com/products/klein-tools-rt250-gfci-receptacle-tester-with-lcd", "https://edmondsonsupply.com/products/klein-tools-rt250-gfci-receptacle-tester-with-lcd")</f>
        <v>https://edmondsonsupply.com/products/klein-tools-rt250-gfci-receptacle-tester-with-lcd</v>
      </c>
      <c r="C2879" t="s">
        <v>6197</v>
      </c>
      <c r="D2879" t="s">
        <v>7061</v>
      </c>
      <c r="E2879" s="3" t="str">
        <f>HYPERLINK("https://www.amazon.com/Klein-Tools-Receptacle-Standard-Electrical/dp/B0B7NKSRX4/ref=sr_1_9?keywords=Klein+Tools+RT250+GFCI+Receptacle+Tester+with+LCD&amp;qid=1695174176&amp;sr=8-9", "https://www.amazon.com/Klein-Tools-Receptacle-Standard-Electrical/dp/B0B7NKSRX4/ref=sr_1_9?keywords=Klein+Tools+RT250+GFCI+Receptacle+Tester+with+LCD&amp;qid=1695174176&amp;sr=8-9")</f>
        <v>https://www.amazon.com/Klein-Tools-Receptacle-Standard-Electrical/dp/B0B7NKSRX4/ref=sr_1_9?keywords=Klein+Tools+RT250+GFCI+Receptacle+Tester+with+LCD&amp;qid=1695174176&amp;sr=8-9</v>
      </c>
      <c r="F2879" t="s">
        <v>7062</v>
      </c>
      <c r="G2879" t="e">
        <f ca="1">_xludf.IMAGE("https://edmondsonsupply.com/cdn/shop/products/rt250_photo_c.jpg?v=1661363824")</f>
        <v>#NAME?</v>
      </c>
      <c r="H2879" t="e">
        <f ca="1">_xludf.IMAGE("https://m.media-amazon.com/images/I/51lEi5BWv7L._AC_UL320_.jpg")</f>
        <v>#NAME?</v>
      </c>
      <c r="I2879" t="s">
        <v>2247</v>
      </c>
      <c r="J2879">
        <v>34.4</v>
      </c>
      <c r="K2879" s="4">
        <v>0.56579999999999997</v>
      </c>
      <c r="L2879">
        <v>5</v>
      </c>
      <c r="M2879">
        <v>7</v>
      </c>
      <c r="O2879" t="s">
        <v>25</v>
      </c>
      <c r="P2879" t="s">
        <v>6200</v>
      </c>
      <c r="Q2879" t="s">
        <v>6201</v>
      </c>
    </row>
    <row r="2880" spans="1:17" ht="15.5" x14ac:dyDescent="0.35">
      <c r="A2880"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2880" s="3" t="str">
        <f>HYPERLINK("https://edmondsonsupply.com/products/klein-tools-610-stubby-nut-driver-set-1-1-2-inch-shafts-2-piece", "https://edmondsonsupply.com/products/klein-tools-610-stubby-nut-driver-set-1-1-2-inch-shafts-2-piece")</f>
        <v>https://edmondsonsupply.com/products/klein-tools-610-stubby-nut-driver-set-1-1-2-inch-shafts-2-piece</v>
      </c>
      <c r="C2880" t="s">
        <v>3030</v>
      </c>
      <c r="D2880" t="s">
        <v>1894</v>
      </c>
      <c r="E2880" s="3" t="str">
        <f>HYPERLINK("https://www.amazon.com/Magnetic-16-Inch-Klein-Tools-646M/dp/B000936QV0/ref=sr_1_8?keywords=Klein+Tools+610+Stubby+Nut+Driver+Set+1-1%2F2-Inch+Shafts+2-Piece&amp;qid=1695173958&amp;sr=8-8", "https://www.amazon.com/Magnetic-16-Inch-Klein-Tools-646M/dp/B000936QV0/ref=sr_1_8?keywords=Klein+Tools+610+Stubby+Nut+Driver+Set+1-1%2F2-Inch+Shafts+2-Piece&amp;qid=1695173958&amp;sr=8-8")</f>
        <v>https://www.amazon.com/Magnetic-16-Inch-Klein-Tools-646M/dp/B000936QV0/ref=sr_1_8?keywords=Klein+Tools+610+Stubby+Nut+Driver+Set+1-1%2F2-Inch+Shafts+2-Piece&amp;qid=1695173958&amp;sr=8-8</v>
      </c>
      <c r="F2880" t="s">
        <v>1895</v>
      </c>
      <c r="G2880" t="e">
        <f ca="1">_xludf.IMAGE("https://edmondsonsupply.com/cdn/shop/products/610m_169714eb-6816-4f42-aa86-ea17ea5fcbbb.jpg?v=1633030110")</f>
        <v>#NAME?</v>
      </c>
      <c r="H2880" t="e">
        <f ca="1">_xludf.IMAGE("https://m.media-amazon.com/images/I/41lkJ6KRq9L._AC_UL320_.jpg")</f>
        <v>#NAME?</v>
      </c>
      <c r="I2880" t="s">
        <v>252</v>
      </c>
      <c r="J2880">
        <v>24.99</v>
      </c>
      <c r="K2880" s="4">
        <v>0.56289999999999996</v>
      </c>
      <c r="L2880">
        <v>4.8</v>
      </c>
      <c r="M2880">
        <v>1654</v>
      </c>
      <c r="O2880" t="s">
        <v>25</v>
      </c>
      <c r="P2880" t="s">
        <v>3031</v>
      </c>
      <c r="Q2880" t="s">
        <v>3032</v>
      </c>
    </row>
    <row r="2881" spans="1:17" ht="15.5" x14ac:dyDescent="0.35">
      <c r="A2881"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881" s="3" t="str">
        <f>HYPERLINK("https://edmondsonsupply.com/products/klein-tools-et45-ac-dc-voltage-tester", "https://edmondsonsupply.com/products/klein-tools-et45-ac-dc-voltage-tester")</f>
        <v>https://edmondsonsupply.com/products/klein-tools-et45-ac-dc-voltage-tester</v>
      </c>
      <c r="C2881" t="s">
        <v>6080</v>
      </c>
      <c r="D2881" t="s">
        <v>7063</v>
      </c>
      <c r="E2881" s="3" t="str">
        <f>HYPERLINK("https://www.amazon.com/Non-Contact-Detector-Klein-Tools-NCVT1P/dp/B099SJ6469/ref=sr_1_10?keywords=Klein+Tools+ET45+AC%2FDC+Voltage+Tester&amp;qid=1695174290&amp;sr=8-10", "https://www.amazon.com/Non-Contact-Detector-Klein-Tools-NCVT1P/dp/B099SJ6469/ref=sr_1_10?keywords=Klein+Tools+ET45+AC%2FDC+Voltage+Tester&amp;qid=1695174290&amp;sr=8-10")</f>
        <v>https://www.amazon.com/Non-Contact-Detector-Klein-Tools-NCVT1P/dp/B099SJ6469/ref=sr_1_10?keywords=Klein+Tools+ET45+AC%2FDC+Voltage+Tester&amp;qid=1695174290&amp;sr=8-10</v>
      </c>
      <c r="F2881" t="s">
        <v>7064</v>
      </c>
      <c r="G2881" t="e">
        <f ca="1">_xludf.IMAGE("https://edmondsonsupply.com/cdn/shop/products/et45.jpg?v=1647786270")</f>
        <v>#NAME?</v>
      </c>
      <c r="H2881" t="e">
        <f ca="1">_xludf.IMAGE("https://m.media-amazon.com/images/I/412nrsDmOxL._AC_UL320_.jpg")</f>
        <v>#NAME?</v>
      </c>
      <c r="I2881" t="s">
        <v>2337</v>
      </c>
      <c r="J2881">
        <v>18.72</v>
      </c>
      <c r="K2881" s="4">
        <v>0.56130000000000002</v>
      </c>
      <c r="L2881">
        <v>4.5999999999999996</v>
      </c>
      <c r="M2881">
        <v>3435</v>
      </c>
      <c r="O2881" t="s">
        <v>25</v>
      </c>
      <c r="P2881" t="s">
        <v>6083</v>
      </c>
      <c r="Q2881" t="s">
        <v>6084</v>
      </c>
    </row>
    <row r="2882" spans="1:17" ht="15.5" x14ac:dyDescent="0.35">
      <c r="A2882" s="3" t="str">
        <f>HYPERLINK("https://edmondsonsupply.com/collections/electricians-tools/products/diablo-tools-dsp2090-3-4-in-x-6-in-spade-bit", "https://edmondsonsupply.com/collections/electricians-tools/products/diablo-tools-dsp2090-3-4-in-x-6-in-spade-bit")</f>
        <v>https://edmondsonsupply.com/collections/electricians-tools/products/diablo-tools-dsp2090-3-4-in-x-6-in-spade-bit</v>
      </c>
      <c r="B2882" s="3" t="str">
        <f>HYPERLINK("https://edmondsonsupply.com/products/diablo-tools-dsp2090-3-4-in-x-6-in-spade-bit", "https://edmondsonsupply.com/products/diablo-tools-dsp2090-3-4-in-x-6-in-spade-bit")</f>
        <v>https://edmondsonsupply.com/products/diablo-tools-dsp2090-3-4-in-x-6-in-spade-bit</v>
      </c>
      <c r="C2882" t="s">
        <v>5819</v>
      </c>
      <c r="D2882" t="s">
        <v>5835</v>
      </c>
      <c r="E2882" s="3" t="str">
        <f>HYPERLINK("https://www.amazon.com/Diablo-SPEEDemon-Spade-Bit-2-Pack/dp/B089KV8K7W/ref=sr_1_1?keywords=Diablo+Tools+DSP2090+3%2F4+in.+x+6+in.+Spade+Bit&amp;qid=1695174000&amp;sr=8-1", "https://www.amazon.com/Diablo-SPEEDemon-Spade-Bit-2-Pack/dp/B089KV8K7W/ref=sr_1_1?keywords=Diablo+Tools+DSP2090+3%2F4+in.+x+6+in.+Spade+Bit&amp;qid=1695174000&amp;sr=8-1")</f>
        <v>https://www.amazon.com/Diablo-SPEEDemon-Spade-Bit-2-Pack/dp/B089KV8K7W/ref=sr_1_1?keywords=Diablo+Tools+DSP2090+3%2F4+in.+x+6+in.+Spade+Bit&amp;qid=1695174000&amp;sr=8-1</v>
      </c>
      <c r="F2882" t="s">
        <v>5836</v>
      </c>
      <c r="G2882" t="e">
        <f ca="1">_xludf.IMAGE("https://edmondsonsupply.com/cdn/shop/files/hg4rmyretai2aybkajqp.webp?v=1686587275")</f>
        <v>#NAME?</v>
      </c>
      <c r="H2882" t="e">
        <f ca="1">_xludf.IMAGE("https://m.media-amazon.com/images/I/610FU8LQY+L._AC_UL320_.jpg")</f>
        <v>#NAME?</v>
      </c>
      <c r="I2882" t="s">
        <v>5822</v>
      </c>
      <c r="J2882">
        <v>8.3800000000000008</v>
      </c>
      <c r="K2882" s="4">
        <v>0.5605</v>
      </c>
      <c r="L2882">
        <v>4.7</v>
      </c>
      <c r="M2882">
        <v>40</v>
      </c>
      <c r="O2882" t="s">
        <v>25</v>
      </c>
      <c r="P2882" t="s">
        <v>138</v>
      </c>
      <c r="Q2882" t="s">
        <v>5823</v>
      </c>
    </row>
    <row r="2883" spans="1:17" ht="15.5" x14ac:dyDescent="0.35">
      <c r="A2883" s="3" t="str">
        <f>HYPERLINK("https://edmondsonsupply.com/collections/electricians-tools/products/channellock-8wcb", "https://edmondsonsupply.com/collections/electricians-tools/products/channellock-8wcb")</f>
        <v>https://edmondsonsupply.com/collections/electricians-tools/products/channellock-8wcb</v>
      </c>
      <c r="B2883" s="3" t="str">
        <f>HYPERLINK("https://edmondsonsupply.com/products/channellock-8wcb", "https://edmondsonsupply.com/products/channellock-8wcb")</f>
        <v>https://edmondsonsupply.com/products/channellock-8wcb</v>
      </c>
      <c r="C2883" t="s">
        <v>3038</v>
      </c>
      <c r="D2883" t="s">
        <v>3039</v>
      </c>
      <c r="E2883" s="3" t="str">
        <f>HYPERLINK("https://www.amazon.com/Channellock-Adjustable-Wrenches-140-6Wcb-Bulk-adjustable/dp/B002FCM5AE/ref=sr_1_5?keywords=Channellock+8WCB+8%22+Code+Blue+WIDEAZZ+Adjustable+Wrench&amp;qid=1695173930&amp;sr=8-5", "https://www.amazon.com/Channellock-Adjustable-Wrenches-140-6Wcb-Bulk-adjustable/dp/B002FCM5AE/ref=sr_1_5?keywords=Channellock+8WCB+8%22+Code+Blue+WIDEAZZ+Adjustable+Wrench&amp;qid=1695173930&amp;sr=8-5")</f>
        <v>https://www.amazon.com/Channellock-Adjustable-Wrenches-140-6Wcb-Bulk-adjustable/dp/B002FCM5AE/ref=sr_1_5?keywords=Channellock+8WCB+8%22+Code+Blue+WIDEAZZ+Adjustable+Wrench&amp;qid=1695173930&amp;sr=8-5</v>
      </c>
      <c r="F2883" t="s">
        <v>3040</v>
      </c>
      <c r="G2883" t="e">
        <f ca="1">_xludf.IMAGE("https://edmondsonsupply.com/cdn/shop/products/8WCB-683x1024.jpg?v=1633030324")</f>
        <v>#NAME?</v>
      </c>
      <c r="H2883" t="e">
        <f ca="1">_xludf.IMAGE("https://m.media-amazon.com/images/I/31meoqqeFSL._AC_UL320_.jpg")</f>
        <v>#NAME?</v>
      </c>
      <c r="I2883" t="s">
        <v>3041</v>
      </c>
      <c r="J2883">
        <v>49.67</v>
      </c>
      <c r="K2883" s="4">
        <v>0.55459999999999998</v>
      </c>
      <c r="L2883">
        <v>4.8</v>
      </c>
      <c r="M2883">
        <v>3</v>
      </c>
      <c r="O2883" t="s">
        <v>25</v>
      </c>
      <c r="P2883" t="s">
        <v>3042</v>
      </c>
      <c r="Q2883" t="s">
        <v>3043</v>
      </c>
    </row>
    <row r="2884" spans="1:17" ht="15.5" x14ac:dyDescent="0.35">
      <c r="A2884"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2884" s="3" t="str">
        <f>HYPERLINK("https://edmondsonsupply.com/products/klein-tools-605-4-1-4-inch-cabinet-tip-screwdriver-4-inch-shank", "https://edmondsonsupply.com/products/klein-tools-605-4-1-4-inch-cabinet-tip-screwdriver-4-inch-shank")</f>
        <v>https://edmondsonsupply.com/products/klein-tools-605-4-1-4-inch-cabinet-tip-screwdriver-4-inch-shank</v>
      </c>
      <c r="C2884" t="s">
        <v>6418</v>
      </c>
      <c r="D2884" t="s">
        <v>7065</v>
      </c>
      <c r="E2884" s="3" t="str">
        <f>HYPERLINK("https://www.amazon.com/Klein-Tools-6924INS-Insulated-Screwdriver/dp/B088NRM4CC/ref=sr_1_5?keywords=Klein+Tools+605-4+1%2F4-Inch+Cabinet+Tip+Screwdriver+4-Inch+Shank&amp;qid=1695174135&amp;sr=8-5", "https://www.amazon.com/Klein-Tools-6924INS-Insulated-Screwdriver/dp/B088NRM4CC/ref=sr_1_5?keywords=Klein+Tools+605-4+1%2F4-Inch+Cabinet+Tip+Screwdriver+4-Inch+Shank&amp;qid=1695174135&amp;sr=8-5")</f>
        <v>https://www.amazon.com/Klein-Tools-6924INS-Insulated-Screwdriver/dp/B088NRM4CC/ref=sr_1_5?keywords=Klein+Tools+605-4+1%2F4-Inch+Cabinet+Tip+Screwdriver+4-Inch+Shank&amp;qid=1695174135&amp;sr=8-5</v>
      </c>
      <c r="F2884" t="s">
        <v>7066</v>
      </c>
      <c r="G2884" t="e">
        <f ca="1">_xludf.IMAGE("https://edmondsonsupply.com/cdn/shop/products/605-6_ac5e56ca-920d-4d55-842f-c7dc8361f892.jpg?v=1665688377")</f>
        <v>#NAME?</v>
      </c>
      <c r="H2884" t="e">
        <f ca="1">_xludf.IMAGE("https://m.media-amazon.com/images/I/419wtU12P3L._AC_UL320_.jpg")</f>
        <v>#NAME?</v>
      </c>
      <c r="I2884" t="s">
        <v>924</v>
      </c>
      <c r="J2884">
        <v>13.97</v>
      </c>
      <c r="K2884" s="4">
        <v>0.55389999999999995</v>
      </c>
      <c r="L2884">
        <v>4.8</v>
      </c>
      <c r="M2884">
        <v>1361</v>
      </c>
      <c r="O2884" t="s">
        <v>25</v>
      </c>
      <c r="P2884" t="s">
        <v>6421</v>
      </c>
      <c r="Q2884" t="s">
        <v>6422</v>
      </c>
    </row>
    <row r="2885" spans="1:17" ht="15.5" x14ac:dyDescent="0.35">
      <c r="A2885"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2885"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2885" t="s">
        <v>7067</v>
      </c>
      <c r="D2885" t="s">
        <v>6907</v>
      </c>
      <c r="E2885" s="3" t="str">
        <f>HYPERLINK("https://www.amazon.com/Diablo-Universal-Bi-Metal-Blades-Nail-Embedded/dp/B089KW4T8J/ref=sr_1_4?keywords=Diablo+Tools+DOU250BW+2-1%2F2+in.+Universal+Fit+Bi-Metal+Oscillating+Blade+for+Nail-Embedded+Wood&amp;qid=1695174021&amp;sr=8-4", "https://www.amazon.com/Diablo-Universal-Bi-Metal-Blades-Nail-Embedded/dp/B089KW4T8J/ref=sr_1_4?keywords=Diablo+Tools+DOU250BW+2-1%2F2+in.+Universal+Fit+Bi-Metal+Oscillating+Blade+for+Nail-Embedded+Wood&amp;qid=1695174021&amp;sr=8-4")</f>
        <v>https://www.amazon.com/Diablo-Universal-Bi-Metal-Blades-Nail-Embedded/dp/B089KW4T8J/ref=sr_1_4?keywords=Diablo+Tools+DOU250BW+2-1%2F2+in.+Universal+Fit+Bi-Metal+Oscillating+Blade+for+Nail-Embedded+Wood&amp;qid=1695174021&amp;sr=8-4</v>
      </c>
      <c r="F2885" t="s">
        <v>6908</v>
      </c>
      <c r="G2885" t="e">
        <f ca="1">_xludf.IMAGE("https://edmondsonsupply.com/cdn/shop/files/xcched1uye7bv2s0ryod.webp?v=1685717397")</f>
        <v>#NAME?</v>
      </c>
      <c r="H2885" t="e">
        <f ca="1">_xludf.IMAGE("https://m.media-amazon.com/images/I/71fhfiK3NaL._AC_UL320_.jpg")</f>
        <v>#NAME?</v>
      </c>
      <c r="I2885" t="s">
        <v>893</v>
      </c>
      <c r="J2885">
        <v>31</v>
      </c>
      <c r="K2885" s="4">
        <v>0.55230000000000001</v>
      </c>
      <c r="L2885">
        <v>4.8</v>
      </c>
      <c r="M2885">
        <v>37</v>
      </c>
      <c r="O2885" t="s">
        <v>25</v>
      </c>
      <c r="P2885" t="s">
        <v>6936</v>
      </c>
      <c r="Q2885" t="s">
        <v>7068</v>
      </c>
    </row>
    <row r="2886" spans="1:17" ht="15.5" x14ac:dyDescent="0.35">
      <c r="A2886"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2886"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2886" t="s">
        <v>6225</v>
      </c>
      <c r="D2886" t="s">
        <v>3905</v>
      </c>
      <c r="E2886" s="3" t="str">
        <f>HYPERLINK("https://www.amazon.com/Journeyman-T-Handle-Klein-Tools-JTH9M3/dp/B005G3HJ28/ref=sr_1_9?keywords=Klein+Tools+JTH4E09+9%2F64-Inch+Hex+Key+Journeyman+T-Handle+4-Inch&amp;qid=1695174238&amp;sr=8-9", "https://www.amazon.com/Journeyman-T-Handle-Klein-Tools-JTH9M3/dp/B005G3HJ28/ref=sr_1_9?keywords=Klein+Tools+JTH4E09+9%2F64-Inch+Hex+Key+Journeyman+T-Handle+4-Inch&amp;qid=1695174238&amp;sr=8-9")</f>
        <v>https://www.amazon.com/Journeyman-T-Handle-Klein-Tools-JTH9M3/dp/B005G3HJ28/ref=sr_1_9?keywords=Klein+Tools+JTH4E09+9%2F64-Inch+Hex+Key+Journeyman+T-Handle+4-Inch&amp;qid=1695174238&amp;sr=8-9</v>
      </c>
      <c r="F2886" t="s">
        <v>3906</v>
      </c>
      <c r="G2886" t="e">
        <f ca="1">_xludf.IMAGE("https://edmondsonsupply.com/cdn/shop/products/jth4e06_be5118a6-2e9d-44f5-81ad-c027572dd2d3.jpg?v=1635981570")</f>
        <v>#NAME?</v>
      </c>
      <c r="H2886" t="e">
        <f ca="1">_xludf.IMAGE("https://m.media-amazon.com/images/I/51MZtGjDOtL._AC_UL320_.jpg")</f>
        <v>#NAME?</v>
      </c>
      <c r="I2886" t="s">
        <v>6228</v>
      </c>
      <c r="J2886">
        <v>5.88</v>
      </c>
      <c r="K2886" s="4">
        <v>0.55149999999999999</v>
      </c>
      <c r="L2886">
        <v>4.5999999999999996</v>
      </c>
      <c r="M2886">
        <v>179</v>
      </c>
      <c r="O2886" t="s">
        <v>25</v>
      </c>
      <c r="P2886" t="s">
        <v>6229</v>
      </c>
      <c r="Q2886" t="s">
        <v>6230</v>
      </c>
    </row>
    <row r="2887" spans="1:17" ht="15.5" x14ac:dyDescent="0.35">
      <c r="A2887" s="3" t="str">
        <f>HYPERLINK("https://edmondsonsupply.com/collections/electricians-tools/products/klein-tools-et20-wifi-borescope-inspection-camera", "https://edmondsonsupply.com/collections/electricians-tools/products/klein-tools-et20-wifi-borescope-inspection-camera")</f>
        <v>https://edmondsonsupply.com/collections/electricians-tools/products/klein-tools-et20-wifi-borescope-inspection-camera</v>
      </c>
      <c r="B2887" s="3" t="str">
        <f>HYPERLINK("https://edmondsonsupply.com/products/klein-tools-et20-wifi-borescope-inspection-camera", "https://edmondsonsupply.com/products/klein-tools-et20-wifi-borescope-inspection-camera")</f>
        <v>https://edmondsonsupply.com/products/klein-tools-et20-wifi-borescope-inspection-camera</v>
      </c>
      <c r="C2887" t="s">
        <v>3049</v>
      </c>
      <c r="D2887" t="s">
        <v>3050</v>
      </c>
      <c r="E2887" s="3" t="str">
        <f>HYPERLINK("https://www.amazon.com/Klein-Tools-Borescope-Inspection-Accessories/dp/B0BGJ6GM38/ref=sr_1_2?keywords=Klein+Tools+ET20+WiFi+Borescope+Inspection+Camera&amp;qid=1695173958&amp;sr=8-2", "https://www.amazon.com/Klein-Tools-Borescope-Inspection-Accessories/dp/B0BGJ6GM38/ref=sr_1_2?keywords=Klein+Tools+ET20+WiFi+Borescope+Inspection+Camera&amp;qid=1695173958&amp;sr=8-2")</f>
        <v>https://www.amazon.com/Klein-Tools-Borescope-Inspection-Accessories/dp/B0BGJ6GM38/ref=sr_1_2?keywords=Klein+Tools+ET20+WiFi+Borescope+Inspection+Camera&amp;qid=1695173958&amp;sr=8-2</v>
      </c>
      <c r="F2887" t="s">
        <v>3051</v>
      </c>
      <c r="G2887" t="e">
        <f ca="1">_xludf.IMAGE("https://edmondsonsupply.com/cdn/shop/products/et20.jpg?v=1587143169")</f>
        <v>#NAME?</v>
      </c>
      <c r="H2887" t="e">
        <f ca="1">_xludf.IMAGE("https://m.media-amazon.com/images/I/51yUa-rPATL._AC_UY218_.jpg")</f>
        <v>#NAME?</v>
      </c>
      <c r="I2887" t="s">
        <v>2224</v>
      </c>
      <c r="J2887">
        <v>154.97999999999999</v>
      </c>
      <c r="K2887" s="4">
        <v>0.55000000000000004</v>
      </c>
      <c r="L2887">
        <v>5</v>
      </c>
      <c r="M2887">
        <v>1</v>
      </c>
      <c r="O2887" t="s">
        <v>25</v>
      </c>
      <c r="P2887" t="s">
        <v>3052</v>
      </c>
      <c r="Q2887" t="s">
        <v>3053</v>
      </c>
    </row>
    <row r="2888" spans="1:17" ht="15.5" x14ac:dyDescent="0.35">
      <c r="A2888"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2888" s="3" t="str">
        <f>HYPERLINK("https://edmondsonsupply.com/products/klein-tools-51610-1-iron-conduit-bender-head", "https://edmondsonsupply.com/products/klein-tools-51610-1-iron-conduit-bender-head")</f>
        <v>https://edmondsonsupply.com/products/klein-tools-51610-1-iron-conduit-bender-head</v>
      </c>
      <c r="C2888" t="s">
        <v>6220</v>
      </c>
      <c r="D2888" t="s">
        <v>7069</v>
      </c>
      <c r="E2888" s="3" t="str">
        <f>HYPERLINK("https://www.amazon.com/Klein-Tools-56210-Conduit-Bender/dp/B007OX1M6W/ref=sr_1_2?keywords=Klein+Tools+51610+1%22+Iron+Conduit+Bender+Head&amp;qid=1695174168&amp;sr=8-2", "https://www.amazon.com/Klein-Tools-56210-Conduit-Bender/dp/B007OX1M6W/ref=sr_1_2?keywords=Klein+Tools+51610+1%22+Iron+Conduit+Bender+Head&amp;qid=1695174168&amp;sr=8-2")</f>
        <v>https://www.amazon.com/Klein-Tools-56210-Conduit-Bender/dp/B007OX1M6W/ref=sr_1_2?keywords=Klein+Tools+51610+1%22+Iron+Conduit+Bender+Head&amp;qid=1695174168&amp;sr=8-2</v>
      </c>
      <c r="F2888" t="s">
        <v>7070</v>
      </c>
      <c r="G2888" t="e">
        <f ca="1">_xludf.IMAGE("https://edmondsonsupply.com/cdn/shop/products/51610.jpg?v=1661975879")</f>
        <v>#NAME?</v>
      </c>
      <c r="H2888" t="e">
        <f ca="1">_xludf.IMAGE("https://m.media-amazon.com/images/I/51s7bHmdWyL._AC_UL320_.jpg")</f>
        <v>#NAME?</v>
      </c>
      <c r="I2888" t="s">
        <v>320</v>
      </c>
      <c r="J2888">
        <v>116.13</v>
      </c>
      <c r="K2888" s="4">
        <v>0.54859999999999998</v>
      </c>
      <c r="L2888">
        <v>4</v>
      </c>
      <c r="M2888">
        <v>1</v>
      </c>
      <c r="O2888" t="s">
        <v>25</v>
      </c>
      <c r="P2888" t="s">
        <v>6223</v>
      </c>
      <c r="Q2888" t="s">
        <v>6224</v>
      </c>
    </row>
    <row r="2889" spans="1:17" ht="15.5" x14ac:dyDescent="0.35">
      <c r="A2889" s="3" t="str">
        <f>HYPERLINK("https://edmondsonsupply.com/collections/electricians-tools/products/klein-tools-60347-hard-hat-premium-karbn%E2%84%A2-pattern-vented-full-brim-class-c-lamp", "https://edmondsonsupply.com/collections/electricians-tools/products/klein-tools-60347-hard-hat-premium-karbn%E2%84%A2-pattern-vented-full-brim-class-c-lamp")</f>
        <v>https://edmondsonsupply.com/collections/electricians-tools/products/klein-tools-60347-hard-hat-premium-karbn%E2%84%A2-pattern-vented-full-brim-class-c-lamp</v>
      </c>
      <c r="B2889"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2889" t="s">
        <v>914</v>
      </c>
      <c r="D2889" t="s">
        <v>983</v>
      </c>
      <c r="E2889" s="3" t="str">
        <f>HYPERLINK("https://www.amazon.com/Klein-Tools-Rechargeable-Sweat-Wicking-Replacement/dp/B0BFXRMN4S/ref=sr_1_2?keywords=Klein+Tools+60347+Hard+Hat%2C+Premium+KARBN%E2%84%A2+Pattern%2C+Vented+Full+Brim%2C+Class+C%2C+Lamp&amp;qid=1695174177&amp;sr=8-2", "https://www.amazon.com/Klein-Tools-Rechargeable-Sweat-Wicking-Replacement/dp/B0BFXRMN4S/ref=sr_1_2?keywords=Klein+Tools+60347+Hard+Hat%2C+Premium+KARBN%E2%84%A2+Pattern%2C+Vented+Full+Brim%2C+Class+C%2C+Lamp&amp;qid=1695174177&amp;sr=8-2")</f>
        <v>https://www.amazon.com/Klein-Tools-Rechargeable-Sweat-Wicking-Replacement/dp/B0BFXRMN4S/ref=sr_1_2?keywords=Klein+Tools+60347+Hard+Hat%2C+Premium+KARBN%E2%84%A2+Pattern%2C+Vented+Full+Brim%2C+Class+C%2C+Lamp&amp;qid=1695174177&amp;sr=8-2</v>
      </c>
      <c r="F2889" t="s">
        <v>984</v>
      </c>
      <c r="G2889" t="e">
        <f ca="1">_xludf.IMAGE("https://edmondsonsupply.com/cdn/shop/products/60347.jpg?v=1659454043")</f>
        <v>#NAME?</v>
      </c>
      <c r="H2889" t="e">
        <f ca="1">_xludf.IMAGE("https://m.media-amazon.com/images/I/51cPFv+dtgL._AC_UL320_.jpg")</f>
        <v>#NAME?</v>
      </c>
      <c r="I2889" t="s">
        <v>315</v>
      </c>
      <c r="J2889">
        <v>138.87</v>
      </c>
      <c r="K2889" s="4">
        <v>0.54320000000000002</v>
      </c>
      <c r="L2889">
        <v>4.5</v>
      </c>
      <c r="M2889">
        <v>9</v>
      </c>
      <c r="O2889" t="s">
        <v>171</v>
      </c>
      <c r="P2889" t="s">
        <v>917</v>
      </c>
      <c r="Q2889" t="s">
        <v>918</v>
      </c>
    </row>
    <row r="2890" spans="1:17" ht="15.5" x14ac:dyDescent="0.35">
      <c r="A2890" s="3" t="str">
        <f>HYPERLINK("https://edmondsonsupply.com/collections/electricians-tools/products/greenlee-612-1-1-2-foam-conduit-piston", "https://edmondsonsupply.com/collections/electricians-tools/products/greenlee-612-1-1-2-foam-conduit-piston")</f>
        <v>https://edmondsonsupply.com/collections/electricians-tools/products/greenlee-612-1-1-2-foam-conduit-piston</v>
      </c>
      <c r="B2890" s="3" t="str">
        <f>HYPERLINK("https://edmondsonsupply.com/products/greenlee-612-1-1-2-foam-conduit-piston", "https://edmondsonsupply.com/products/greenlee-612-1-1-2-foam-conduit-piston")</f>
        <v>https://edmondsonsupply.com/products/greenlee-612-1-1-2-foam-conduit-piston</v>
      </c>
      <c r="C2890" t="s">
        <v>6509</v>
      </c>
      <c r="D2890" t="s">
        <v>7071</v>
      </c>
      <c r="E2890" s="3" t="str">
        <f>HYPERLINK("https://www.amazon.com/Greenlee-612-Piston-1-1-Conduit/dp/B002716FLS/ref=sr_1_9?keywords=Greenlee+612+1-1%2F2%22+Foam+Conduit+Piston&amp;qid=1695173998&amp;sr=8-9", "https://www.amazon.com/Greenlee-612-Piston-1-1-Conduit/dp/B002716FLS/ref=sr_1_9?keywords=Greenlee+612+1-1%2F2%22+Foam+Conduit+Piston&amp;qid=1695173998&amp;sr=8-9")</f>
        <v>https://www.amazon.com/Greenlee-612-Piston-1-1-Conduit/dp/B002716FLS/ref=sr_1_9?keywords=Greenlee+612+1-1%2F2%22+Foam+Conduit+Piston&amp;qid=1695173998&amp;sr=8-9</v>
      </c>
      <c r="F2890" t="s">
        <v>7072</v>
      </c>
      <c r="G2890" t="e">
        <f ca="1">_xludf.IMAGE("https://edmondsonsupply.com/cdn/shop/files/612.png?v=1687451101")</f>
        <v>#NAME?</v>
      </c>
      <c r="H2890" t="e">
        <f ca="1">_xludf.IMAGE("https://m.media-amazon.com/images/I/912TcLImvEL._AC_UL320_.jpg")</f>
        <v>#NAME?</v>
      </c>
      <c r="I2890" t="s">
        <v>6510</v>
      </c>
      <c r="J2890">
        <v>17.48</v>
      </c>
      <c r="K2890" s="4">
        <v>0.54279999999999995</v>
      </c>
      <c r="L2890">
        <v>5</v>
      </c>
      <c r="M2890">
        <v>4</v>
      </c>
      <c r="O2890" t="s">
        <v>25</v>
      </c>
      <c r="P2890" t="s">
        <v>138</v>
      </c>
      <c r="Q2890" t="s">
        <v>6511</v>
      </c>
    </row>
    <row r="2891" spans="1:17" ht="15.5" x14ac:dyDescent="0.35">
      <c r="A2891" s="3" t="str">
        <f>HYPERLINK("https://edmondsonsupply.com/collections/electricians-tools/products/diablo-tools-dou125bw", "https://edmondsonsupply.com/collections/electricians-tools/products/diablo-tools-dou125bw")</f>
        <v>https://edmondsonsupply.com/collections/electricians-tools/products/diablo-tools-dou125bw</v>
      </c>
      <c r="B2891" s="3" t="str">
        <f>HYPERLINK("https://edmondsonsupply.com/products/diablo-tools-dou125bw", "https://edmondsonsupply.com/products/diablo-tools-dou125bw")</f>
        <v>https://edmondsonsupply.com/products/diablo-tools-dou125bw</v>
      </c>
      <c r="C2891" t="s">
        <v>6906</v>
      </c>
      <c r="D2891" t="s">
        <v>7073</v>
      </c>
      <c r="E2891" s="3" t="str">
        <f>HYPERLINK("https://www.amazon.com/Diablo-Starlock-Bi-Metal-Oscillating-Nail-Embedded/dp/B089KX5FJS/ref=sr_1_6?keywords=Diablo+Tools+DOU125BW+1-1%2F4+in.+Universal+Fit+Bi-Metal+Oscillating+Blade+for+Nail-Embedded+Wood&amp;qid=1695174264&amp;sr=8-6", "https://www.amazon.com/Diablo-Starlock-Bi-Metal-Oscillating-Nail-Embedded/dp/B089KX5FJS/ref=sr_1_6?keywords=Diablo+Tools+DOU125BW+1-1%2F4+in.+Universal+Fit+Bi-Metal+Oscillating+Blade+for+Nail-Embedded+Wood&amp;qid=1695174264&amp;sr=8-6")</f>
        <v>https://www.amazon.com/Diablo-Starlock-Bi-Metal-Oscillating-Nail-Embedded/dp/B089KX5FJS/ref=sr_1_6?keywords=Diablo+Tools+DOU125BW+1-1%2F4+in.+Universal+Fit+Bi-Metal+Oscillating+Blade+for+Nail-Embedded+Wood&amp;qid=1695174264&amp;sr=8-6</v>
      </c>
      <c r="F2891" t="s">
        <v>7074</v>
      </c>
      <c r="G2891" t="e">
        <f ca="1">_xludf.IMAGE("https://edmondsonsupply.com/cdn/shop/products/gnn0wpqc8veb3qhldcrb.webp?v=1676040020")</f>
        <v>#NAME?</v>
      </c>
      <c r="H2891" t="e">
        <f ca="1">_xludf.IMAGE("https://m.media-amazon.com/images/I/717H6O1AhYL._AC_UL320_.jpg")</f>
        <v>#NAME?</v>
      </c>
      <c r="I2891" t="s">
        <v>2586</v>
      </c>
      <c r="J2891">
        <v>27.69</v>
      </c>
      <c r="K2891" s="4">
        <v>0.54090000000000005</v>
      </c>
      <c r="L2891">
        <v>4.7</v>
      </c>
      <c r="M2891">
        <v>65</v>
      </c>
      <c r="O2891" t="s">
        <v>25</v>
      </c>
      <c r="P2891" t="s">
        <v>2152</v>
      </c>
      <c r="Q2891" t="s">
        <v>6909</v>
      </c>
    </row>
    <row r="2892" spans="1:17" ht="15.5" x14ac:dyDescent="0.35">
      <c r="A2892"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2892" s="3" t="str">
        <f>HYPERLINK("https://edmondsonsupply.com/products/klein-tools-jth9m5-4-mm-hex-key-journeyman-t-handle-9-inch", "https://edmondsonsupply.com/products/klein-tools-jth9m5-4-mm-hex-key-journeyman-t-handle-9-inch")</f>
        <v>https://edmondsonsupply.com/products/klein-tools-jth9m5-4-mm-hex-key-journeyman-t-handle-9-inch</v>
      </c>
      <c r="C2892" t="s">
        <v>6121</v>
      </c>
      <c r="D2892" t="s">
        <v>3393</v>
      </c>
      <c r="E2892" s="3" t="str">
        <f>HYPERLINK("https://www.amazon.com/Journeyman-T-Handle-Klein-Tools-JTH6M4BE/dp/B005G3951G/ref=sr_1_4?keywords=Klein+Tools+JTH9M4+4+mm+Hex+Key%2C+Journeyman+T-Handle%2C+9-Inch&amp;qid=1695174234&amp;sr=8-4", "https://www.amazon.com/Journeyman-T-Handle-Klein-Tools-JTH6M4BE/dp/B005G3951G/ref=sr_1_4?keywords=Klein+Tools+JTH9M4+4+mm+Hex+Key%2C+Journeyman+T-Handle%2C+9-Inch&amp;qid=1695174234&amp;sr=8-4")</f>
        <v>https://www.amazon.com/Journeyman-T-Handle-Klein-Tools-JTH6M4BE/dp/B005G3951G/ref=sr_1_4?keywords=Klein+Tools+JTH9M4+4+mm+Hex+Key%2C+Journeyman+T-Handle%2C+9-Inch&amp;qid=1695174234&amp;sr=8-4</v>
      </c>
      <c r="F2892" t="s">
        <v>3394</v>
      </c>
      <c r="G2892" t="e">
        <f ca="1">_xludf.IMAGE("https://edmondsonsupply.com/cdn/shop/products/jth9m_fa8a641d-d03f-4191-ab24-b9045963e4f7.jpg?v=1640191121")</f>
        <v>#NAME?</v>
      </c>
      <c r="H2892" t="e">
        <f ca="1">_xludf.IMAGE("https://m.media-amazon.com/images/I/51huXA+ij8L._AC_UL320_.jpg")</f>
        <v>#NAME?</v>
      </c>
      <c r="I2892" t="s">
        <v>6122</v>
      </c>
      <c r="J2892">
        <v>6.91</v>
      </c>
      <c r="K2892" s="4">
        <v>0.53900000000000003</v>
      </c>
      <c r="L2892">
        <v>4.8</v>
      </c>
      <c r="M2892">
        <v>988</v>
      </c>
      <c r="O2892" t="s">
        <v>25</v>
      </c>
      <c r="P2892" t="s">
        <v>6123</v>
      </c>
      <c r="Q2892" t="s">
        <v>6124</v>
      </c>
    </row>
    <row r="2893" spans="1:17" ht="15.5" x14ac:dyDescent="0.35">
      <c r="A2893"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2893" s="3" t="str">
        <f>HYPERLINK("https://edmondsonsupply.com/products/klein-tools-rt310-afci-gfci-outlet-tester", "https://edmondsonsupply.com/products/klein-tools-rt310-afci-gfci-outlet-tester")</f>
        <v>https://edmondsonsupply.com/products/klein-tools-rt310-afci-gfci-outlet-tester</v>
      </c>
      <c r="C2893" t="s">
        <v>6210</v>
      </c>
      <c r="D2893" t="s">
        <v>6404</v>
      </c>
      <c r="E2893" s="3" t="str">
        <f>HYPERLINK("https://www.amazon.com/Klein-Tools-Receptacle-Standard-Electrical/dp/B0BD3YZ7JV/ref=sr_1_4?keywords=Klein+Tools+RT310+AFCI+%2F+GFCI+Outlet+Tester&amp;qid=1695173970&amp;sr=8-4", "https://www.amazon.com/Klein-Tools-Receptacle-Standard-Electrical/dp/B0BD3YZ7JV/ref=sr_1_4?keywords=Klein+Tools+RT310+AFCI+%2F+GFCI+Outlet+Tester&amp;qid=1695173970&amp;sr=8-4")</f>
        <v>https://www.amazon.com/Klein-Tools-Receptacle-Standard-Electrical/dp/B0BD3YZ7JV/ref=sr_1_4?keywords=Klein+Tools+RT310+AFCI+%2F+GFCI+Outlet+Tester&amp;qid=1695173970&amp;sr=8-4</v>
      </c>
      <c r="F2893" t="s">
        <v>6405</v>
      </c>
      <c r="G2893" t="e">
        <f ca="1">_xludf.IMAGE("https://edmondsonsupply.com/cdn/shop/products/rt310.jpg?v=1587148552")</f>
        <v>#NAME?</v>
      </c>
      <c r="H2893" t="e">
        <f ca="1">_xludf.IMAGE("https://m.media-amazon.com/images/I/51iiNw5cTJL._AC_UL320_.jpg")</f>
        <v>#NAME?</v>
      </c>
      <c r="I2893" t="s">
        <v>246</v>
      </c>
      <c r="J2893">
        <v>61.4</v>
      </c>
      <c r="K2893" s="4">
        <v>0.53620000000000001</v>
      </c>
      <c r="L2893">
        <v>4.7</v>
      </c>
      <c r="M2893">
        <v>6</v>
      </c>
      <c r="O2893" t="s">
        <v>25</v>
      </c>
      <c r="P2893" t="s">
        <v>6213</v>
      </c>
      <c r="Q2893" t="s">
        <v>6214</v>
      </c>
    </row>
    <row r="2894" spans="1:17" ht="15.5" x14ac:dyDescent="0.35">
      <c r="A2894" s="3" t="str">
        <f>HYPERLINK("https://edmondsonsupply.com/collections/electricians-tools/products/milwaukee-48-22-8301", "https://edmondsonsupply.com/collections/electricians-tools/products/milwaukee-48-22-8301")</f>
        <v>https://edmondsonsupply.com/collections/electricians-tools/products/milwaukee-48-22-8301</v>
      </c>
      <c r="B2894" s="3" t="str">
        <f>HYPERLINK("https://edmondsonsupply.com/products/milwaukee-48-22-8301", "https://edmondsonsupply.com/products/milwaukee-48-22-8301")</f>
        <v>https://edmondsonsupply.com/products/milwaukee-48-22-8301</v>
      </c>
      <c r="C2894" t="s">
        <v>415</v>
      </c>
      <c r="D2894" t="s">
        <v>416</v>
      </c>
      <c r="E2894" s="3" t="str">
        <f>HYPERLINK("https://www.amazon.com/48-22-8301-PACKOUT-Backpack-Milwaukee-Tear-Resistant/dp/B0BXNRZLWR/ref=sr_1_1?keywords=Milwaukee+48-22-8301+PACKOUT%E2%84%A2+Backpack&amp;qid=1695173957&amp;sr=8-1", "https://www.amazon.com/48-22-8301-PACKOUT-Backpack-Milwaukee-Tear-Resistant/dp/B0BXNRZLWR/ref=sr_1_1?keywords=Milwaukee+48-22-8301+PACKOUT%E2%84%A2+Backpack&amp;qid=1695173957&amp;sr=8-1")</f>
        <v>https://www.amazon.com/48-22-8301-PACKOUT-Backpack-Milwaukee-Tear-Resistant/dp/B0BXNRZLWR/ref=sr_1_1?keywords=Milwaukee+48-22-8301+PACKOUT%E2%84%A2+Backpack&amp;qid=1695173957&amp;sr=8-1</v>
      </c>
      <c r="F2894" t="s">
        <v>417</v>
      </c>
      <c r="G2894" t="e">
        <f ca="1">_xludf.IMAGE("https://edmondsonsupply.com/cdn/shop/products/48-22-8301_1.png?v=1587150030")</f>
        <v>#NAME?</v>
      </c>
      <c r="H2894" t="e">
        <f ca="1">_xludf.IMAGE("https://m.media-amazon.com/images/I/71YLu+AwebL._AC_UL320_.jpg")</f>
        <v>#NAME?</v>
      </c>
      <c r="I2894" t="s">
        <v>418</v>
      </c>
      <c r="J2894">
        <v>198</v>
      </c>
      <c r="K2894" s="4">
        <v>0.52339999999999998</v>
      </c>
      <c r="L2894">
        <v>5</v>
      </c>
      <c r="M2894">
        <v>1</v>
      </c>
      <c r="O2894" t="s">
        <v>25</v>
      </c>
      <c r="P2894" t="s">
        <v>419</v>
      </c>
      <c r="Q2894" t="s">
        <v>420</v>
      </c>
    </row>
    <row r="2895" spans="1:17" ht="15.5" x14ac:dyDescent="0.35">
      <c r="A2895" s="3" t="str">
        <f>HYPERLINK("https://edmondsonsupply.com/collections/electricians-tools/products/klein-tools-jth9m25-2-5-mm-hey-key-journeyman%E2%84%A2-t-handle-9-inch", "https://edmondsonsupply.com/collections/electricians-tools/products/klein-tools-jth9m25-2-5-mm-hey-key-journeyman%E2%84%A2-t-handle-9-inch")</f>
        <v>https://edmondsonsupply.com/collections/electricians-tools/products/klein-tools-jth9m25-2-5-mm-hey-key-journeyman%E2%84%A2-t-handle-9-inch</v>
      </c>
      <c r="B2895" s="3" t="str">
        <f>HYPERLINK("https://edmondsonsupply.com/products/klein-tools-jth9m25-2-5-mm-hey-key-journeyman%e2%84%a2-t-handle-9-inch", "https://edmondsonsupply.com/products/klein-tools-jth9m25-2-5-mm-hey-key-journeyman%e2%84%a2-t-handle-9-inch")</f>
        <v>https://edmondsonsupply.com/products/klein-tools-jth9m25-2-5-mm-hey-key-journeyman%e2%84%a2-t-handle-9-inch</v>
      </c>
      <c r="C2895" t="s">
        <v>7075</v>
      </c>
      <c r="D2895" t="s">
        <v>7076</v>
      </c>
      <c r="E2895" s="3" t="str">
        <f>HYPERLINK("https://www.amazon.com/Journeyman-T-Handle-Klein-Tools-JTH9M2/dp/B005G3HIHY/ref=sr_1_2?keywords=Klein+Tools+JTH9M25+2.5+mm+Hey+Key%2C+Journeyman%E2%84%A2+T-Handle%2C+9-Inch&amp;qid=1695174070&amp;sr=8-2", "https://www.amazon.com/Journeyman-T-Handle-Klein-Tools-JTH9M2/dp/B005G3HIHY/ref=sr_1_2?keywords=Klein+Tools+JTH9M25+2.5+mm+Hey+Key%2C+Journeyman%E2%84%A2+T-Handle%2C+9-Inch&amp;qid=1695174070&amp;sr=8-2")</f>
        <v>https://www.amazon.com/Journeyman-T-Handle-Klein-Tools-JTH9M2/dp/B005G3HIHY/ref=sr_1_2?keywords=Klein+Tools+JTH9M25+2.5+mm+Hey+Key%2C+Journeyman%E2%84%A2+T-Handle%2C+9-Inch&amp;qid=1695174070&amp;sr=8-2</v>
      </c>
      <c r="F2895" t="s">
        <v>7077</v>
      </c>
      <c r="G2895" t="e">
        <f ca="1">_xludf.IMAGE("https://edmondsonsupply.com/cdn/shop/products/jth6m8_7566f3df-6fcc-4a61-b504-1685e861a479.jpg?v=1678199657")</f>
        <v>#NAME?</v>
      </c>
      <c r="H2895" t="e">
        <f ca="1">_xludf.IMAGE("https://m.media-amazon.com/images/I/51+1x0vz9XL._AC_UL320_.jpg")</f>
        <v>#NAME?</v>
      </c>
      <c r="I2895" t="s">
        <v>6122</v>
      </c>
      <c r="J2895">
        <v>6.84</v>
      </c>
      <c r="K2895" s="4">
        <v>0.52339999999999998</v>
      </c>
      <c r="L2895">
        <v>4.5</v>
      </c>
      <c r="M2895">
        <v>49</v>
      </c>
      <c r="O2895" t="s">
        <v>25</v>
      </c>
      <c r="P2895" t="s">
        <v>6098</v>
      </c>
      <c r="Q2895" t="s">
        <v>7078</v>
      </c>
    </row>
    <row r="2896" spans="1:17" ht="15.5" x14ac:dyDescent="0.35">
      <c r="A2896" s="3" t="str">
        <f>HYPERLINK("https://edmondsonsupply.com/collections/electricians-tools/products/klein-tools-jth9m2-2-mm-hey-key-journeyman%E2%84%A2-t-handle-9-inch", "https://edmondsonsupply.com/collections/electricians-tools/products/klein-tools-jth9m2-2-mm-hey-key-journeyman%E2%84%A2-t-handle-9-inch")</f>
        <v>https://edmondsonsupply.com/collections/electricians-tools/products/klein-tools-jth9m2-2-mm-hey-key-journeyman%E2%84%A2-t-handle-9-inch</v>
      </c>
      <c r="B2896" s="3" t="str">
        <f>HYPERLINK("https://edmondsonsupply.com/products/klein-tools-jth9m2-2-mm-hey-key-journeyman%e2%84%a2-t-handle-9-inch", "https://edmondsonsupply.com/products/klein-tools-jth9m2-2-mm-hey-key-journeyman%e2%84%a2-t-handle-9-inch")</f>
        <v>https://edmondsonsupply.com/products/klein-tools-jth9m2-2-mm-hey-key-journeyman%e2%84%a2-t-handle-9-inch</v>
      </c>
      <c r="C2896" t="s">
        <v>7079</v>
      </c>
      <c r="D2896" t="s">
        <v>7080</v>
      </c>
      <c r="E2896" s="3" t="str">
        <f>HYPERLINK("https://www.amazon.com/Journeyman-T-Handle-Klein-Tools-JTH9M25/dp/B005G3HIRY/ref=sr_1_3?keywords=Klein+Tools+JTH9M2+2+mm+Hey+Key%2C+Journeyman%E2%84%A2+T-Handle%2C+9-Inch&amp;qid=1695174085&amp;sr=8-3", "https://www.amazon.com/Journeyman-T-Handle-Klein-Tools-JTH9M25/dp/B005G3HIRY/ref=sr_1_3?keywords=Klein+Tools+JTH9M2+2+mm+Hey+Key%2C+Journeyman%E2%84%A2+T-Handle%2C+9-Inch&amp;qid=1695174085&amp;sr=8-3")</f>
        <v>https://www.amazon.com/Journeyman-T-Handle-Klein-Tools-JTH9M25/dp/B005G3HIRY/ref=sr_1_3?keywords=Klein+Tools+JTH9M2+2+mm+Hey+Key%2C+Journeyman%E2%84%A2+T-Handle%2C+9-Inch&amp;qid=1695174085&amp;sr=8-3</v>
      </c>
      <c r="F2896" t="s">
        <v>7081</v>
      </c>
      <c r="G2896" t="e">
        <f ca="1">_xludf.IMAGE("https://edmondsonsupply.com/cdn/shop/products/jth6m8_ddd5a1ff-5024-4b1a-83d1-8e932306f033.jpg?v=1675271602")</f>
        <v>#NAME?</v>
      </c>
      <c r="H2896" t="e">
        <f ca="1">_xludf.IMAGE("https://m.media-amazon.com/images/I/51+1x0vz9XL._AC_UL320_.jpg")</f>
        <v>#NAME?</v>
      </c>
      <c r="I2896" t="s">
        <v>6122</v>
      </c>
      <c r="J2896">
        <v>6.84</v>
      </c>
      <c r="K2896" s="4">
        <v>0.52339999999999998</v>
      </c>
      <c r="L2896">
        <v>4.2</v>
      </c>
      <c r="M2896">
        <v>14</v>
      </c>
      <c r="O2896" t="s">
        <v>25</v>
      </c>
      <c r="P2896" t="s">
        <v>6098</v>
      </c>
      <c r="Q2896" t="s">
        <v>7082</v>
      </c>
    </row>
    <row r="2897" spans="1:17" ht="15.5" x14ac:dyDescent="0.35">
      <c r="A2897" s="3" t="str">
        <f>HYPERLINK("https://edmondsonsupply.com/collections/electricians-tools/products/klein-tools-jth9m2-2-mm-hey-key-journeyman%E2%84%A2-t-handle-9-inch", "https://edmondsonsupply.com/collections/electricians-tools/products/klein-tools-jth9m2-2-mm-hey-key-journeyman%E2%84%A2-t-handle-9-inch")</f>
        <v>https://edmondsonsupply.com/collections/electricians-tools/products/klein-tools-jth9m2-2-mm-hey-key-journeyman%E2%84%A2-t-handle-9-inch</v>
      </c>
      <c r="B2897" s="3" t="str">
        <f>HYPERLINK("https://edmondsonsupply.com/products/klein-tools-jth9m2-2-mm-hey-key-journeyman%e2%84%a2-t-handle-9-inch", "https://edmondsonsupply.com/products/klein-tools-jth9m2-2-mm-hey-key-journeyman%e2%84%a2-t-handle-9-inch")</f>
        <v>https://edmondsonsupply.com/products/klein-tools-jth9m2-2-mm-hey-key-journeyman%e2%84%a2-t-handle-9-inch</v>
      </c>
      <c r="C2897" t="s">
        <v>7079</v>
      </c>
      <c r="D2897" t="s">
        <v>7076</v>
      </c>
      <c r="E2897" s="3" t="str">
        <f>HYPERLINK("https://www.amazon.com/Journeyman-T-Handle-Klein-Tools-JTH9M2/dp/B005G3HIHY/ref=sr_1_1?keywords=Klein+Tools+JTH9M2+2+mm+Hey+Key%2C+Journeyman%E2%84%A2+T-Handle%2C+9-Inch&amp;qid=1695174085&amp;sr=8-1", "https://www.amazon.com/Journeyman-T-Handle-Klein-Tools-JTH9M2/dp/B005G3HIHY/ref=sr_1_1?keywords=Klein+Tools+JTH9M2+2+mm+Hey+Key%2C+Journeyman%E2%84%A2+T-Handle%2C+9-Inch&amp;qid=1695174085&amp;sr=8-1")</f>
        <v>https://www.amazon.com/Journeyman-T-Handle-Klein-Tools-JTH9M2/dp/B005G3HIHY/ref=sr_1_1?keywords=Klein+Tools+JTH9M2+2+mm+Hey+Key%2C+Journeyman%E2%84%A2+T-Handle%2C+9-Inch&amp;qid=1695174085&amp;sr=8-1</v>
      </c>
      <c r="F2897" t="s">
        <v>7077</v>
      </c>
      <c r="G2897" t="e">
        <f ca="1">_xludf.IMAGE("https://edmondsonsupply.com/cdn/shop/products/jth6m8_ddd5a1ff-5024-4b1a-83d1-8e932306f033.jpg?v=1675271602")</f>
        <v>#NAME?</v>
      </c>
      <c r="H2897" t="e">
        <f ca="1">_xludf.IMAGE("https://m.media-amazon.com/images/I/51+1x0vz9XL._AC_UL320_.jpg")</f>
        <v>#NAME?</v>
      </c>
      <c r="I2897" t="s">
        <v>6122</v>
      </c>
      <c r="J2897">
        <v>6.84</v>
      </c>
      <c r="K2897" s="4">
        <v>0.52339999999999998</v>
      </c>
      <c r="L2897">
        <v>4.5</v>
      </c>
      <c r="M2897">
        <v>49</v>
      </c>
      <c r="O2897" t="s">
        <v>25</v>
      </c>
      <c r="P2897" t="s">
        <v>6098</v>
      </c>
      <c r="Q2897" t="s">
        <v>7082</v>
      </c>
    </row>
    <row r="2898" spans="1:17" ht="15.5" x14ac:dyDescent="0.35">
      <c r="A2898"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2898" s="3" t="str">
        <f>HYPERLINK("https://edmondsonsupply.com/products/klein-tools-jth9m5-4-mm-hex-key-journeyman-t-handle-9-inch", "https://edmondsonsupply.com/products/klein-tools-jth9m5-4-mm-hex-key-journeyman-t-handle-9-inch")</f>
        <v>https://edmondsonsupply.com/products/klein-tools-jth9m5-4-mm-hex-key-journeyman-t-handle-9-inch</v>
      </c>
      <c r="C2898" t="s">
        <v>6121</v>
      </c>
      <c r="D2898" t="s">
        <v>7080</v>
      </c>
      <c r="E2898" s="3" t="str">
        <f>HYPERLINK("https://www.amazon.com/Journeyman-T-Handle-Klein-Tools-JTH9M25/dp/B005G3HIRY/ref=sr_1_7?keywords=Klein+Tools+JTH9M4+4+mm+Hex+Key%2C+Journeyman+T-Handle%2C+9-Inch&amp;qid=1695174234&amp;sr=8-7", "https://www.amazon.com/Journeyman-T-Handle-Klein-Tools-JTH9M25/dp/B005G3HIRY/ref=sr_1_7?keywords=Klein+Tools+JTH9M4+4+mm+Hex+Key%2C+Journeyman+T-Handle%2C+9-Inch&amp;qid=1695174234&amp;sr=8-7")</f>
        <v>https://www.amazon.com/Journeyman-T-Handle-Klein-Tools-JTH9M25/dp/B005G3HIRY/ref=sr_1_7?keywords=Klein+Tools+JTH9M4+4+mm+Hex+Key%2C+Journeyman+T-Handle%2C+9-Inch&amp;qid=1695174234&amp;sr=8-7</v>
      </c>
      <c r="F2898" t="s">
        <v>7081</v>
      </c>
      <c r="G2898" t="e">
        <f ca="1">_xludf.IMAGE("https://edmondsonsupply.com/cdn/shop/products/jth9m_fa8a641d-d03f-4191-ab24-b9045963e4f7.jpg?v=1640191121")</f>
        <v>#NAME?</v>
      </c>
      <c r="H2898" t="e">
        <f ca="1">_xludf.IMAGE("https://m.media-amazon.com/images/I/51+1x0vz9XL._AC_UL320_.jpg")</f>
        <v>#NAME?</v>
      </c>
      <c r="I2898" t="s">
        <v>6122</v>
      </c>
      <c r="J2898">
        <v>6.84</v>
      </c>
      <c r="K2898" s="4">
        <v>0.52339999999999998</v>
      </c>
      <c r="L2898">
        <v>4.2</v>
      </c>
      <c r="M2898">
        <v>14</v>
      </c>
      <c r="O2898" t="s">
        <v>25</v>
      </c>
      <c r="P2898" t="s">
        <v>6123</v>
      </c>
      <c r="Q2898" t="s">
        <v>6124</v>
      </c>
    </row>
    <row r="2899" spans="1:17" ht="15.5" x14ac:dyDescent="0.35">
      <c r="A2899" s="3" t="str">
        <f>HYPERLINK("https://edmondsonsupply.com/collections/electricians-tools/products/klein-tools-jth9m25-2-5-mm-hey-key-journeyman%E2%84%A2-t-handle-9-inch", "https://edmondsonsupply.com/collections/electricians-tools/products/klein-tools-jth9m25-2-5-mm-hey-key-journeyman%E2%84%A2-t-handle-9-inch")</f>
        <v>https://edmondsonsupply.com/collections/electricians-tools/products/klein-tools-jth9m25-2-5-mm-hey-key-journeyman%E2%84%A2-t-handle-9-inch</v>
      </c>
      <c r="B2899" s="3" t="str">
        <f>HYPERLINK("https://edmondsonsupply.com/products/klein-tools-jth9m25-2-5-mm-hey-key-journeyman%e2%84%a2-t-handle-9-inch", "https://edmondsonsupply.com/products/klein-tools-jth9m25-2-5-mm-hey-key-journeyman%e2%84%a2-t-handle-9-inch")</f>
        <v>https://edmondsonsupply.com/products/klein-tools-jth9m25-2-5-mm-hey-key-journeyman%e2%84%a2-t-handle-9-inch</v>
      </c>
      <c r="C2899" t="s">
        <v>7075</v>
      </c>
      <c r="D2899" t="s">
        <v>7080</v>
      </c>
      <c r="E2899" s="3" t="str">
        <f>HYPERLINK("https://www.amazon.com/Journeyman-T-Handle-Klein-Tools-JTH9M25/dp/B005G3HIRY/ref=sr_1_1?keywords=Klein+Tools+JTH9M25+2.5+mm+Hey+Key%2C+Journeyman%E2%84%A2+T-Handle%2C+9-Inch&amp;qid=1695174070&amp;sr=8-1", "https://www.amazon.com/Journeyman-T-Handle-Klein-Tools-JTH9M25/dp/B005G3HIRY/ref=sr_1_1?keywords=Klein+Tools+JTH9M25+2.5+mm+Hey+Key%2C+Journeyman%E2%84%A2+T-Handle%2C+9-Inch&amp;qid=1695174070&amp;sr=8-1")</f>
        <v>https://www.amazon.com/Journeyman-T-Handle-Klein-Tools-JTH9M25/dp/B005G3HIRY/ref=sr_1_1?keywords=Klein+Tools+JTH9M25+2.5+mm+Hey+Key%2C+Journeyman%E2%84%A2+T-Handle%2C+9-Inch&amp;qid=1695174070&amp;sr=8-1</v>
      </c>
      <c r="F2899" t="s">
        <v>7081</v>
      </c>
      <c r="G2899" t="e">
        <f ca="1">_xludf.IMAGE("https://edmondsonsupply.com/cdn/shop/products/jth6m8_7566f3df-6fcc-4a61-b504-1685e861a479.jpg?v=1678199657")</f>
        <v>#NAME?</v>
      </c>
      <c r="H2899" t="e">
        <f ca="1">_xludf.IMAGE("https://m.media-amazon.com/images/I/51+1x0vz9XL._AC_UL320_.jpg")</f>
        <v>#NAME?</v>
      </c>
      <c r="I2899" t="s">
        <v>6122</v>
      </c>
      <c r="J2899">
        <v>6.84</v>
      </c>
      <c r="K2899" s="4">
        <v>0.52339999999999998</v>
      </c>
      <c r="L2899">
        <v>4.2</v>
      </c>
      <c r="M2899">
        <v>14</v>
      </c>
      <c r="O2899" t="s">
        <v>25</v>
      </c>
      <c r="P2899" t="s">
        <v>6098</v>
      </c>
      <c r="Q2899" t="s">
        <v>7078</v>
      </c>
    </row>
    <row r="2900" spans="1:17" ht="15.5" x14ac:dyDescent="0.35">
      <c r="A2900" s="3" t="str">
        <f>HYPERLINK("https://edmondsonsupply.com/collections/electricians-tools/products/klein-tools-32478-bit-for-32476-and-32460-1-ph-3-16-inch-sl", "https://edmondsonsupply.com/collections/electricians-tools/products/klein-tools-32478-bit-for-32476-and-32460-1-ph-3-16-inch-sl")</f>
        <v>https://edmondsonsupply.com/collections/electricians-tools/products/klein-tools-32478-bit-for-32476-and-32460-1-ph-3-16-inch-sl</v>
      </c>
      <c r="B2900" s="3" t="str">
        <f>HYPERLINK("https://edmondsonsupply.com/products/klein-tools-32478-bit-for-32476-and-32460-1-ph-3-16-inch-sl", "https://edmondsonsupply.com/products/klein-tools-32478-bit-for-32476-and-32460-1-ph-3-16-inch-sl")</f>
        <v>https://edmondsonsupply.com/products/klein-tools-32478-bit-for-32476-and-32460-1-ph-3-16-inch-sl</v>
      </c>
      <c r="C2900" t="s">
        <v>7083</v>
      </c>
      <c r="D2900" t="s">
        <v>7084</v>
      </c>
      <c r="E2900" s="3" t="str">
        <f>HYPERLINK("https://www.amazon.com/Klein-Tools-Replacement-Phillips-Screwdriver/dp/B000936PTS/ref=sr_1_3?keywords=Klein+Tools+32478+Bit+for+32476+and+32460%2C&amp;qid=1695174271&amp;sr=8-3", "https://www.amazon.com/Klein-Tools-Replacement-Phillips-Screwdriver/dp/B000936PTS/ref=sr_1_3?keywords=Klein+Tools+32478+Bit+for+32476+and+32460%2C&amp;qid=1695174271&amp;sr=8-3")</f>
        <v>https://www.amazon.com/Klein-Tools-Replacement-Phillips-Screwdriver/dp/B000936PTS/ref=sr_1_3?keywords=Klein+Tools+32478+Bit+for+32476+and+32460%2C&amp;qid=1695174271&amp;sr=8-3</v>
      </c>
      <c r="F2900" t="s">
        <v>7085</v>
      </c>
      <c r="G2900" t="e">
        <f ca="1">_xludf.IMAGE("https://edmondsonsupply.com/cdn/shop/products/32478.jpg?v=1633031086")</f>
        <v>#NAME?</v>
      </c>
      <c r="H2900" t="e">
        <f ca="1">_xludf.IMAGE("https://m.media-amazon.com/images/I/51kEiCqvjBL._AC_UL320_.jpg")</f>
        <v>#NAME?</v>
      </c>
      <c r="I2900" t="s">
        <v>7086</v>
      </c>
      <c r="J2900">
        <v>4.99</v>
      </c>
      <c r="K2900" s="4">
        <v>0.51670000000000005</v>
      </c>
      <c r="L2900">
        <v>4.7</v>
      </c>
      <c r="M2900">
        <v>4276</v>
      </c>
      <c r="O2900" t="s">
        <v>25</v>
      </c>
      <c r="P2900" t="s">
        <v>7087</v>
      </c>
      <c r="Q2900" t="s">
        <v>7088</v>
      </c>
    </row>
    <row r="2901" spans="1:17" ht="15.5" x14ac:dyDescent="0.35">
      <c r="A2901"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2901" s="3" t="str">
        <f>HYPERLINK("https://edmondsonsupply.com/products/klein-tools-11046-wire-stripper-cutter-16-26-awg-stranded", "https://edmondsonsupply.com/products/klein-tools-11046-wire-stripper-cutter-16-26-awg-stranded")</f>
        <v>https://edmondsonsupply.com/products/klein-tools-11046-wire-stripper-cutter-16-26-awg-stranded</v>
      </c>
      <c r="C2901" t="s">
        <v>2278</v>
      </c>
      <c r="D2901" t="s">
        <v>3093</v>
      </c>
      <c r="E2901" s="3" t="str">
        <f>HYPERLINK("https://www.amazon.com/Klein-Tools-Stripper-Stranded-Hakko-CHP-170/dp/B0BSKRVY7T/ref=sr_1_3?keywords=Klein+Tools+11046+Wire+Stripper%2FCutter+16-26+AWG+Stranded&amp;qid=1695173951&amp;sr=8-3", "https://www.amazon.com/Klein-Tools-Stripper-Stranded-Hakko-CHP-170/dp/B0BSKRVY7T/ref=sr_1_3?keywords=Klein+Tools+11046+Wire+Stripper%2FCutter+16-26+AWG+Stranded&amp;qid=1695173951&amp;sr=8-3")</f>
        <v>https://www.amazon.com/Klein-Tools-Stripper-Stranded-Hakko-CHP-170/dp/B0BSKRVY7T/ref=sr_1_3?keywords=Klein+Tools+11046+Wire+Stripper%2FCutter+16-26+AWG+Stranded&amp;qid=1695173951&amp;sr=8-3</v>
      </c>
      <c r="F2901" t="s">
        <v>3094</v>
      </c>
      <c r="G2901" t="e">
        <f ca="1">_xludf.IMAGE("https://edmondsonsupply.com/cdn/shop/products/11046.jpg?v=1587147965")</f>
        <v>#NAME?</v>
      </c>
      <c r="H2901" t="e">
        <f ca="1">_xludf.IMAGE("https://m.media-amazon.com/images/I/41c3ukqCE4L._AC_UL320_.jpg")</f>
        <v>#NAME?</v>
      </c>
      <c r="I2901" t="s">
        <v>143</v>
      </c>
      <c r="J2901">
        <v>24.21</v>
      </c>
      <c r="K2901" s="4">
        <v>0.51600000000000001</v>
      </c>
      <c r="L2901">
        <v>5</v>
      </c>
      <c r="M2901">
        <v>1</v>
      </c>
      <c r="O2901" t="s">
        <v>25</v>
      </c>
      <c r="P2901" t="s">
        <v>2281</v>
      </c>
      <c r="Q2901" t="s">
        <v>2282</v>
      </c>
    </row>
    <row r="2902" spans="1:17" ht="15.5" x14ac:dyDescent="0.35">
      <c r="A2902"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2902"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2902" t="s">
        <v>7089</v>
      </c>
      <c r="D2902" t="s">
        <v>7090</v>
      </c>
      <c r="E2902" s="3" t="str">
        <f>HYPERLINK("https://www.amazon.com/Channellock-2-Inch-12-Inch-Tongue-Groove/dp/B000189GSI/ref=sr_1_4?keywords=Channellock+440X+12-Inch+SPEEDGRIP%E2%84%A2+Straight+Jaw+Tongue+%26+Groove+Pliers&amp;qid=1695174216&amp;sr=8-4", "https://www.amazon.com/Channellock-2-Inch-12-Inch-Tongue-Groove/dp/B000189GSI/ref=sr_1_4?keywords=Channellock+440X+12-Inch+SPEEDGRIP%E2%84%A2+Straight+Jaw+Tongue+%26+Groove+Pliers&amp;qid=1695174216&amp;sr=8-4")</f>
        <v>https://www.amazon.com/Channellock-2-Inch-12-Inch-Tongue-Groove/dp/B000189GSI/ref=sr_1_4?keywords=Channellock+440X+12-Inch+SPEEDGRIP%E2%84%A2+Straight+Jaw+Tongue+%26+Groove+Pliers&amp;qid=1695174216&amp;sr=8-4</v>
      </c>
      <c r="F2902" t="s">
        <v>7091</v>
      </c>
      <c r="G2902" t="e">
        <f ca="1">_xludf.IMAGE("https://edmondsonsupply.com/cdn/shop/products/440X.jpg?v=1647104734")</f>
        <v>#NAME?</v>
      </c>
      <c r="H2902" t="e">
        <f ca="1">_xludf.IMAGE("https://m.media-amazon.com/images/I/71Ywnx9+h8L._AC_UL320_.jpg")</f>
        <v>#NAME?</v>
      </c>
      <c r="I2902" t="s">
        <v>122</v>
      </c>
      <c r="J2902">
        <v>49.95</v>
      </c>
      <c r="K2902" s="4">
        <v>0.51590000000000003</v>
      </c>
      <c r="L2902">
        <v>4.8</v>
      </c>
      <c r="M2902">
        <v>5487</v>
      </c>
      <c r="O2902" t="s">
        <v>25</v>
      </c>
      <c r="P2902" t="s">
        <v>7092</v>
      </c>
      <c r="Q2902" t="s">
        <v>7093</v>
      </c>
    </row>
    <row r="2903" spans="1:17" ht="15.5" x14ac:dyDescent="0.35">
      <c r="A2903" s="3" t="str">
        <f>HYPERLINK("https://edmondsonsupply.com/collections/electricians-tools/products/milwaukee-49-56-0197-3-5-8-hole-dozer%E2%84%A2-hole-saw-bi-metal-cup", "https://edmondsonsupply.com/collections/electricians-tools/products/milwaukee-49-56-0197-3-5-8-hole-dozer%E2%84%A2-hole-saw-bi-metal-cup")</f>
        <v>https://edmondsonsupply.com/collections/electricians-tools/products/milwaukee-49-56-0197-3-5-8-hole-dozer%E2%84%A2-hole-saw-bi-metal-cup</v>
      </c>
      <c r="B2903" s="3" t="str">
        <f>HYPERLINK("https://edmondsonsupply.com/products/milwaukee-49-56-0197-3-5-8-hole-dozer%e2%84%a2-hole-saw-bi-metal-cup", "https://edmondsonsupply.com/products/milwaukee-49-56-0197-3-5-8-hole-dozer%e2%84%a2-hole-saw-bi-metal-cup")</f>
        <v>https://edmondsonsupply.com/products/milwaukee-49-56-0197-3-5-8-hole-dozer%e2%84%a2-hole-saw-bi-metal-cup</v>
      </c>
      <c r="C2903" t="s">
        <v>6494</v>
      </c>
      <c r="D2903" t="s">
        <v>6447</v>
      </c>
      <c r="E2903" s="3" t="str">
        <f>HYPERLINK("https://www.amazon.com/Milwaukee-Electric-Tool-49-56-0193-Bi-Metal/dp/B0017WTULA/ref=sr_1_2?keywords=Milwaukee+49-56-0197+3-5%2F8%22+HOLE+DOZER%E2%84%A2+Hole+Saw+Bi-Metal+Cup&amp;qid=1695174058&amp;sr=8-2", "https://www.amazon.com/Milwaukee-Electric-Tool-49-56-0193-Bi-Metal/dp/B0017WTULA/ref=sr_1_2?keywords=Milwaukee+49-56-0197+3-5%2F8%22+HOLE+DOZER%E2%84%A2+Hole+Saw+Bi-Metal+Cup&amp;qid=1695174058&amp;sr=8-2")</f>
        <v>https://www.amazon.com/Milwaukee-Electric-Tool-49-56-0193-Bi-Metal/dp/B0017WTULA/ref=sr_1_2?keywords=Milwaukee+49-56-0197+3-5%2F8%22+HOLE+DOZER%E2%84%A2+Hole+Saw+Bi-Metal+Cup&amp;qid=1695174058&amp;sr=8-2</v>
      </c>
      <c r="F2903" t="s">
        <v>6448</v>
      </c>
      <c r="G2903" t="e">
        <f ca="1">_xludf.IMAGE("https://edmondsonsupply.com/cdn/shop/products/49-56-0052_101_1_b485d0b4-965d-40fc-a007-7e23c4d86724.webp?v=1678912947")</f>
        <v>#NAME?</v>
      </c>
      <c r="H2903" t="e">
        <f ca="1">_xludf.IMAGE("https://m.media-amazon.com/images/I/51Yfl2-hbuL._AC_UL320_.jpg")</f>
        <v>#NAME?</v>
      </c>
      <c r="I2903" t="s">
        <v>6495</v>
      </c>
      <c r="J2903">
        <v>18.45</v>
      </c>
      <c r="K2903" s="4">
        <v>0.51349999999999996</v>
      </c>
      <c r="L2903">
        <v>4.5999999999999996</v>
      </c>
      <c r="M2903">
        <v>249</v>
      </c>
      <c r="O2903" t="s">
        <v>25</v>
      </c>
      <c r="P2903" t="s">
        <v>6496</v>
      </c>
      <c r="Q2903" t="s">
        <v>6497</v>
      </c>
    </row>
    <row r="2904" spans="1:17" ht="15.5" x14ac:dyDescent="0.35">
      <c r="A2904" s="3" t="str">
        <f>HYPERLINK("https://edmondsonsupply.com/collections/electricians-tools/products/klein-tools-55580-tradesman-tumbler", "https://edmondsonsupply.com/collections/electricians-tools/products/klein-tools-55580-tradesman-tumbler")</f>
        <v>https://edmondsonsupply.com/collections/electricians-tools/products/klein-tools-55580-tradesman-tumbler</v>
      </c>
      <c r="B2904" s="3" t="str">
        <f>HYPERLINK("https://edmondsonsupply.com/products/klein-tools-55580-tradesman-tumbler", "https://edmondsonsupply.com/products/klein-tools-55580-tradesman-tumbler")</f>
        <v>https://edmondsonsupply.com/products/klein-tools-55580-tradesman-tumbler</v>
      </c>
      <c r="C2904" t="s">
        <v>1947</v>
      </c>
      <c r="D2904" t="s">
        <v>3102</v>
      </c>
      <c r="E2904" s="3" t="str">
        <f>HYPERLINK("https://www.amazon.com/Klein-Tools-Stainless-Electricians-Splitting/dp/B0BNL9BF2K/ref=sr_1_5?keywords=Klein+Tools+55580+Tradesman+Tumbler&amp;qid=1695173884&amp;sr=8-5", "https://www.amazon.com/Klein-Tools-Stainless-Electricians-Splitting/dp/B0BNL9BF2K/ref=sr_1_5?keywords=Klein+Tools+55580+Tradesman+Tumbler&amp;qid=1695173884&amp;sr=8-5")</f>
        <v>https://www.amazon.com/Klein-Tools-Stainless-Electricians-Splitting/dp/B0BNL9BF2K/ref=sr_1_5?keywords=Klein+Tools+55580+Tradesman+Tumbler&amp;qid=1695173884&amp;sr=8-5</v>
      </c>
      <c r="F2904" t="s">
        <v>3103</v>
      </c>
      <c r="G2904" t="e">
        <f ca="1">_xludf.IMAGE("https://edmondsonsupply.com/cdn/shop/products/55580.jpg?v=1633030612")</f>
        <v>#NAME?</v>
      </c>
      <c r="H2904" t="e">
        <f ca="1">_xludf.IMAGE("https://m.media-amazon.com/images/I/41iUFla+16L._AC_UL320_.jpg")</f>
        <v>#NAME?</v>
      </c>
      <c r="I2904" t="s">
        <v>824</v>
      </c>
      <c r="J2904">
        <v>45.3</v>
      </c>
      <c r="K2904" s="4">
        <v>0.51149999999999995</v>
      </c>
      <c r="L2904">
        <v>5</v>
      </c>
      <c r="M2904">
        <v>1</v>
      </c>
      <c r="O2904" t="s">
        <v>25</v>
      </c>
      <c r="P2904" t="s">
        <v>562</v>
      </c>
      <c r="Q2904" t="s">
        <v>1950</v>
      </c>
    </row>
    <row r="2905" spans="1:17" ht="15.5" x14ac:dyDescent="0.35">
      <c r="A2905"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2905"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2905" t="s">
        <v>2344</v>
      </c>
      <c r="D2905" t="s">
        <v>2386</v>
      </c>
      <c r="E2905" s="3" t="str">
        <f>HYPERLINK("https://www.amazon.com/Journeyman-T-Handle-Klein-Tools-JTH6E13BE/dp/B004QW52YW/ref=sr_1_6?keywords=Klein+Tools+JTH6E14+5%2F16-Inch+Hex+Key+with+Journeyman+T-Handle%2C+6-Inch&amp;qid=1695173855&amp;sr=8-6", "https://www.amazon.com/Journeyman-T-Handle-Klein-Tools-JTH6E13BE/dp/B004QW52YW/ref=sr_1_6?keywords=Klein+Tools+JTH6E14+5%2F16-Inch+Hex+Key+with+Journeyman+T-Handle%2C+6-Inch&amp;qid=1695173855&amp;sr=8-6")</f>
        <v>https://www.amazon.com/Journeyman-T-Handle-Klein-Tools-JTH6E13BE/dp/B004QW52YW/ref=sr_1_6?keywords=Klein+Tools+JTH6E14+5%2F16-Inch+Hex+Key+with+Journeyman+T-Handle%2C+6-Inch&amp;qid=1695173855&amp;sr=8-6</v>
      </c>
      <c r="F2905" t="s">
        <v>2387</v>
      </c>
      <c r="G2905" t="e">
        <f ca="1">_xludf.IMAGE("https://edmondsonsupply.com/cdn/shop/products/jth6e15.jpg?v=1587148489")</f>
        <v>#NAME?</v>
      </c>
      <c r="H2905" t="e">
        <f ca="1">_xludf.IMAGE("https://m.media-amazon.com/images/I/51f9vBFVXgL._AC_UL320_.jpg")</f>
        <v>#NAME?</v>
      </c>
      <c r="I2905" t="s">
        <v>2347</v>
      </c>
      <c r="J2905">
        <v>10.55</v>
      </c>
      <c r="K2905" s="4">
        <v>0.50929999999999997</v>
      </c>
      <c r="L2905">
        <v>4.7</v>
      </c>
      <c r="M2905">
        <v>32</v>
      </c>
      <c r="O2905" t="s">
        <v>25</v>
      </c>
      <c r="P2905" t="s">
        <v>1140</v>
      </c>
      <c r="Q2905" t="s">
        <v>2348</v>
      </c>
    </row>
    <row r="2906" spans="1:17" ht="15.5" x14ac:dyDescent="0.35">
      <c r="A2906"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2906"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2906" t="s">
        <v>2344</v>
      </c>
      <c r="D2906" t="s">
        <v>3108</v>
      </c>
      <c r="E2906" s="3" t="str">
        <f>HYPERLINK("https://www.amazon.com/Journeyman-T-Handle-Klein-Tools-JTH6T15/dp/B005G3B43I/ref=sr_1_7?keywords=Klein+Tools+JTH6E14+5%2F16-Inch+Hex+Key+with+Journeyman+T-Handle%2C+6-Inch&amp;qid=1695173855&amp;sr=8-7", "https://www.amazon.com/Journeyman-T-Handle-Klein-Tools-JTH6T15/dp/B005G3B43I/ref=sr_1_7?keywords=Klein+Tools+JTH6E14+5%2F16-Inch+Hex+Key+with+Journeyman+T-Handle%2C+6-Inch&amp;qid=1695173855&amp;sr=8-7")</f>
        <v>https://www.amazon.com/Journeyman-T-Handle-Klein-Tools-JTH6T15/dp/B005G3B43I/ref=sr_1_7?keywords=Klein+Tools+JTH6E14+5%2F16-Inch+Hex+Key+with+Journeyman+T-Handle%2C+6-Inch&amp;qid=1695173855&amp;sr=8-7</v>
      </c>
      <c r="F2906" t="s">
        <v>3109</v>
      </c>
      <c r="G2906" t="e">
        <f ca="1">_xludf.IMAGE("https://edmondsonsupply.com/cdn/shop/products/jth6e15.jpg?v=1587148489")</f>
        <v>#NAME?</v>
      </c>
      <c r="H2906" t="e">
        <f ca="1">_xludf.IMAGE("https://m.media-amazon.com/images/I/51Xj0Vsb-EL._AC_UL320_.jpg")</f>
        <v>#NAME?</v>
      </c>
      <c r="I2906" t="s">
        <v>2347</v>
      </c>
      <c r="J2906">
        <v>10.53</v>
      </c>
      <c r="K2906" s="4">
        <v>0.50639999999999996</v>
      </c>
      <c r="L2906">
        <v>4.5999999999999996</v>
      </c>
      <c r="M2906">
        <v>232</v>
      </c>
      <c r="O2906" t="s">
        <v>25</v>
      </c>
      <c r="P2906" t="s">
        <v>1140</v>
      </c>
      <c r="Q2906" t="s">
        <v>2348</v>
      </c>
    </row>
    <row r="2907" spans="1:17" ht="15.5" x14ac:dyDescent="0.35">
      <c r="A2907" s="3" t="str">
        <f>HYPERLINK("https://edmondsonsupply.com/collections/electricians-tools/products/klein-tools-6884ins-insulated-screwdriver-1-square-tip-4-inch-shank", "https://edmondsonsupply.com/collections/electricians-tools/products/klein-tools-6884ins-insulated-screwdriver-1-square-tip-4-inch-shank")</f>
        <v>https://edmondsonsupply.com/collections/electricians-tools/products/klein-tools-6884ins-insulated-screwdriver-1-square-tip-4-inch-shank</v>
      </c>
      <c r="B2907" s="3" t="str">
        <f>HYPERLINK("https://edmondsonsupply.com/products/klein-tools-6884ins-insulated-screwdriver-1-square-tip-4-inch-shank", "https://edmondsonsupply.com/products/klein-tools-6884ins-insulated-screwdriver-1-square-tip-4-inch-shank")</f>
        <v>https://edmondsonsupply.com/products/klein-tools-6884ins-insulated-screwdriver-1-square-tip-4-inch-shank</v>
      </c>
      <c r="C2907" t="s">
        <v>7094</v>
      </c>
      <c r="D2907" t="s">
        <v>7095</v>
      </c>
      <c r="E2907" s="3" t="str">
        <f>HYPERLINK("https://www.amazon.com/Klein-Tools-6986INS-Screwdriver-Cushion-Grip/dp/B09GPYQ7DM/ref=sr_1_5?keywords=Klein+Tools+6884INS+Insulated+Screwdriver%2C&amp;qid=1695174141&amp;sr=8-5", "https://www.amazon.com/Klein-Tools-6986INS-Screwdriver-Cushion-Grip/dp/B09GPYQ7DM/ref=sr_1_5?keywords=Klein+Tools+6884INS+Insulated+Screwdriver%2C&amp;qid=1695174141&amp;sr=8-5")</f>
        <v>https://www.amazon.com/Klein-Tools-6986INS-Screwdriver-Cushion-Grip/dp/B09GPYQ7DM/ref=sr_1_5?keywords=Klein+Tools+6884INS+Insulated+Screwdriver%2C&amp;qid=1695174141&amp;sr=8-5</v>
      </c>
      <c r="F2907" t="s">
        <v>7096</v>
      </c>
      <c r="G2907" t="e">
        <f ca="1">_xludf.IMAGE("https://edmondsonsupply.com/cdn/shop/products/6884ins.jpg?v=1664889244")</f>
        <v>#NAME?</v>
      </c>
      <c r="H2907" t="e">
        <f ca="1">_xludf.IMAGE("https://m.media-amazon.com/images/I/41d5Ic37xZL._AC_UL320_.jpg")</f>
        <v>#NAME?</v>
      </c>
      <c r="I2907" t="s">
        <v>1427</v>
      </c>
      <c r="J2907">
        <v>14.99</v>
      </c>
      <c r="K2907" s="4">
        <v>0.50349999999999995</v>
      </c>
      <c r="L2907">
        <v>4.8</v>
      </c>
      <c r="M2907">
        <v>29</v>
      </c>
      <c r="O2907" t="s">
        <v>25</v>
      </c>
      <c r="P2907" t="s">
        <v>6735</v>
      </c>
      <c r="Q2907" t="s">
        <v>7097</v>
      </c>
    </row>
    <row r="2908" spans="1:17" ht="15.5" x14ac:dyDescent="0.35">
      <c r="A2908" s="3" t="str">
        <f>HYPERLINK("https://edmondsonsupply.com/collections/electricians-tools/products/klein-tools-6884ins-insulated-screwdriver-1-square-tip-4-inch-shank", "https://edmondsonsupply.com/collections/electricians-tools/products/klein-tools-6884ins-insulated-screwdriver-1-square-tip-4-inch-shank")</f>
        <v>https://edmondsonsupply.com/collections/electricians-tools/products/klein-tools-6884ins-insulated-screwdriver-1-square-tip-4-inch-shank</v>
      </c>
      <c r="B2908" s="3" t="str">
        <f>HYPERLINK("https://edmondsonsupply.com/products/klein-tools-6884ins-insulated-screwdriver-1-square-tip-4-inch-shank", "https://edmondsonsupply.com/products/klein-tools-6884ins-insulated-screwdriver-1-square-tip-4-inch-shank")</f>
        <v>https://edmondsonsupply.com/products/klein-tools-6884ins-insulated-screwdriver-1-square-tip-4-inch-shank</v>
      </c>
      <c r="C2908" t="s">
        <v>7094</v>
      </c>
      <c r="D2908" t="s">
        <v>7098</v>
      </c>
      <c r="E2908" s="3" t="str">
        <f>HYPERLINK("https://www.amazon.com/Klein-Tools-6926INS-Screwdriver-Cushion-Grip/dp/B09GL1X5SZ/ref=sr_1_4?keywords=Klein+Tools+6884INS+Insulated+Screwdriver%2C&amp;qid=1695174141&amp;sr=8-4", "https://www.amazon.com/Klein-Tools-6926INS-Screwdriver-Cushion-Grip/dp/B09GL1X5SZ/ref=sr_1_4?keywords=Klein+Tools+6884INS+Insulated+Screwdriver%2C&amp;qid=1695174141&amp;sr=8-4")</f>
        <v>https://www.amazon.com/Klein-Tools-6926INS-Screwdriver-Cushion-Grip/dp/B09GL1X5SZ/ref=sr_1_4?keywords=Klein+Tools+6884INS+Insulated+Screwdriver%2C&amp;qid=1695174141&amp;sr=8-4</v>
      </c>
      <c r="F2908" t="s">
        <v>7099</v>
      </c>
      <c r="G2908" t="e">
        <f ca="1">_xludf.IMAGE("https://edmondsonsupply.com/cdn/shop/products/6884ins.jpg?v=1664889244")</f>
        <v>#NAME?</v>
      </c>
      <c r="H2908" t="e">
        <f ca="1">_xludf.IMAGE("https://m.media-amazon.com/images/I/41JbepP5oGL._AC_UL320_.jpg")</f>
        <v>#NAME?</v>
      </c>
      <c r="I2908" t="s">
        <v>1427</v>
      </c>
      <c r="J2908">
        <v>14.99</v>
      </c>
      <c r="K2908" s="4">
        <v>0.50349999999999995</v>
      </c>
      <c r="L2908">
        <v>4.8</v>
      </c>
      <c r="M2908">
        <v>85</v>
      </c>
      <c r="O2908" t="s">
        <v>25</v>
      </c>
      <c r="P2908" t="s">
        <v>6735</v>
      </c>
      <c r="Q2908" t="s">
        <v>7097</v>
      </c>
    </row>
    <row r="2909" spans="1:17" ht="15.5" x14ac:dyDescent="0.35">
      <c r="A2909"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2909"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2909" t="s">
        <v>6812</v>
      </c>
      <c r="D2909" t="s">
        <v>7098</v>
      </c>
      <c r="E2909" s="3" t="str">
        <f>HYPERLINK("https://www.amazon.com/Klein-Tools-6926INS-Screwdriver-Cushion-Grip/dp/B09GL1X5SZ/ref=sr_1_5?keywords=Klein+Tools+6824INS+Insulated+Screwdriver%2C+1%2F4-Inch+Cabinet+Tip%2C+4-Inch+Round+Shank&amp;qid=1695174148&amp;sr=8-5", "https://www.amazon.com/Klein-Tools-6926INS-Screwdriver-Cushion-Grip/dp/B09GL1X5SZ/ref=sr_1_5?keywords=Klein+Tools+6824INS+Insulated+Screwdriver%2C+1%2F4-Inch+Cabinet+Tip%2C+4-Inch+Round+Shank&amp;qid=1695174148&amp;sr=8-5")</f>
        <v>https://www.amazon.com/Klein-Tools-6926INS-Screwdriver-Cushion-Grip/dp/B09GL1X5SZ/ref=sr_1_5?keywords=Klein+Tools+6824INS+Insulated+Screwdriver%2C+1%2F4-Inch+Cabinet+Tip%2C+4-Inch+Round+Shank&amp;qid=1695174148&amp;sr=8-5</v>
      </c>
      <c r="F2909" t="s">
        <v>7099</v>
      </c>
      <c r="G2909" t="e">
        <f ca="1">_xludf.IMAGE("https://edmondsonsupply.com/cdn/shop/products/6824ins.jpg?v=1664813487")</f>
        <v>#NAME?</v>
      </c>
      <c r="H2909" t="e">
        <f ca="1">_xludf.IMAGE("https://m.media-amazon.com/images/I/41JbepP5oGL._AC_UL320_.jpg")</f>
        <v>#NAME?</v>
      </c>
      <c r="I2909" t="s">
        <v>1427</v>
      </c>
      <c r="J2909">
        <v>14.99</v>
      </c>
      <c r="K2909" s="4">
        <v>0.50349999999999995</v>
      </c>
      <c r="L2909">
        <v>4.8</v>
      </c>
      <c r="M2909">
        <v>85</v>
      </c>
      <c r="O2909" t="s">
        <v>25</v>
      </c>
      <c r="P2909" t="s">
        <v>6813</v>
      </c>
      <c r="Q2909" t="s">
        <v>6814</v>
      </c>
    </row>
    <row r="2910" spans="1:17" ht="15.5" x14ac:dyDescent="0.35">
      <c r="A2910"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2910"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2910" t="s">
        <v>7100</v>
      </c>
      <c r="D2910" t="s">
        <v>7101</v>
      </c>
      <c r="E2910" s="3" t="str">
        <f>HYPERLINK("https://www.amazon.com/Diablo-DOS125JBW3-Starlock-Bi-Metal-Oscillating/dp/B089KWG9Z3/ref=sr_1_8?keywords=Diablo+Tools+DOU125JBW+1-1%2F4+in.+Universal+Fit+Bi-Metal+Oscillating+Blades+for+Clean+Wood&amp;qid=1695174246&amp;sr=8-8", "https://www.amazon.com/Diablo-DOS125JBW3-Starlock-Bi-Metal-Oscillating/dp/B089KWG9Z3/ref=sr_1_8?keywords=Diablo+Tools+DOU125JBW+1-1%2F4+in.+Universal+Fit+Bi-Metal+Oscillating+Blades+for+Clean+Wood&amp;qid=1695174246&amp;sr=8-8")</f>
        <v>https://www.amazon.com/Diablo-DOS125JBW3-Starlock-Bi-Metal-Oscillating/dp/B089KWG9Z3/ref=sr_1_8?keywords=Diablo+Tools+DOU125JBW+1-1%2F4+in.+Universal+Fit+Bi-Metal+Oscillating+Blades+for+Clean+Wood&amp;qid=1695174246&amp;sr=8-8</v>
      </c>
      <c r="F2910" t="s">
        <v>7102</v>
      </c>
      <c r="G2910" t="e">
        <f ca="1">_xludf.IMAGE("https://edmondsonsupply.com/cdn/shop/products/DOU125JBW_Main-Image.png?v=1633638363")</f>
        <v>#NAME?</v>
      </c>
      <c r="H2910" t="e">
        <f ca="1">_xludf.IMAGE("https://m.media-amazon.com/images/I/61pZ45bX2GL._AC_UL320_.jpg")</f>
        <v>#NAME?</v>
      </c>
      <c r="I2910" t="s">
        <v>2586</v>
      </c>
      <c r="J2910">
        <v>27</v>
      </c>
      <c r="K2910" s="4">
        <v>0.50249999999999995</v>
      </c>
      <c r="L2910">
        <v>4.4000000000000004</v>
      </c>
      <c r="M2910">
        <v>46</v>
      </c>
      <c r="O2910" t="s">
        <v>25</v>
      </c>
      <c r="P2910" t="s">
        <v>6943</v>
      </c>
      <c r="Q2910" t="s">
        <v>7103</v>
      </c>
    </row>
    <row r="2911" spans="1:17" ht="15.5" x14ac:dyDescent="0.35">
      <c r="A2911" s="3" t="str">
        <f>HYPERLINK("https://edmondsonsupply.com/collections/electricians-tools/products/edge-eyewear-sr116-reclus-black-frame-smoke-lens-safety-glasses", "https://edmondsonsupply.com/collections/electricians-tools/products/edge-eyewear-sr116-reclus-black-frame-smoke-lens-safety-glasses")</f>
        <v>https://edmondsonsupply.com/collections/electricians-tools/products/edge-eyewear-sr116-reclus-black-frame-smoke-lens-safety-glasses</v>
      </c>
      <c r="B2911"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2911" t="s">
        <v>985</v>
      </c>
      <c r="D2911" t="s">
        <v>986</v>
      </c>
      <c r="E2911" s="3" t="str">
        <f>HYPERLINK("https://www.amazon.com/TSR216-Polarized-Wrap-Around-Anti-Scratch-Compliant/dp/B08FXW56MB/ref=sr_1_2?keywords=Edge+Eyewear+SR116+Reclus+-+Black+Frame%2FSmoke+Lens%2C+Safety+Glasses&amp;qid=1695174291&amp;sr=8-2", "https://www.amazon.com/TSR216-Polarized-Wrap-Around-Anti-Scratch-Compliant/dp/B08FXW56MB/ref=sr_1_2?keywords=Edge+Eyewear+SR116+Reclus+-+Black+Frame%2FSmoke+Lens%2C+Safety+Glasses&amp;qid=1695174291&amp;sr=8-2")</f>
        <v>https://www.amazon.com/TSR216-Polarized-Wrap-Around-Anti-Scratch-Compliant/dp/B08FXW56MB/ref=sr_1_2?keywords=Edge+Eyewear+SR116+Reclus+-+Black+Frame%2FSmoke+Lens%2C+Safety+Glasses&amp;qid=1695174291&amp;sr=8-2</v>
      </c>
      <c r="F2911" t="s">
        <v>987</v>
      </c>
      <c r="G2911" t="e">
        <f ca="1">_xludf.IMAGE("https://edmondsonsupply.com/cdn/shop/products/SR116_1512x_cc8649c7-14e6-4c1c-9513-7dd61f5f7eb9.png?v=1633030940")</f>
        <v>#NAME?</v>
      </c>
      <c r="H2911" t="e">
        <f ca="1">_xludf.IMAGE("https://m.media-amazon.com/images/I/615MbbmlDXL._AC_UL320_.jpg")</f>
        <v>#NAME?</v>
      </c>
      <c r="I2911" t="s">
        <v>988</v>
      </c>
      <c r="J2911">
        <v>24.74</v>
      </c>
      <c r="K2911" s="4">
        <v>0.50209999999999999</v>
      </c>
      <c r="L2911">
        <v>3.8</v>
      </c>
      <c r="M2911">
        <v>7</v>
      </c>
      <c r="O2911" t="s">
        <v>25</v>
      </c>
      <c r="P2911" t="s">
        <v>989</v>
      </c>
      <c r="Q2911" t="s">
        <v>990</v>
      </c>
    </row>
    <row r="2912" spans="1:17" ht="15.5" x14ac:dyDescent="0.35">
      <c r="A2912"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2912"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2912" t="s">
        <v>7104</v>
      </c>
      <c r="D2912" t="s">
        <v>6999</v>
      </c>
      <c r="E2912" s="3" t="str">
        <f>HYPERLINK("https://www.amazon.com/Klein-Tools-80065-Multi-Bit-Screwdriver/dp/B09SGPJ79X/ref=sr_1_4?keywords=Klein+Tools+65129+2-in-1+Nut+Driver%2C+Hex+Head+Slide+Drive%E2%84%A2%2C+6-Inch&amp;qid=1695174155&amp;sr=8-4", "https://www.amazon.com/Klein-Tools-80065-Multi-Bit-Screwdriver/dp/B09SGPJ79X/ref=sr_1_4?keywords=Klein+Tools+65129+2-in-1+Nut+Driver%2C+Hex+Head+Slide+Drive%E2%84%A2%2C+6-Inch&amp;qid=1695174155&amp;sr=8-4")</f>
        <v>https://www.amazon.com/Klein-Tools-80065-Multi-Bit-Screwdriver/dp/B09SGPJ79X/ref=sr_1_4?keywords=Klein+Tools+65129+2-in-1+Nut+Driver%2C+Hex+Head+Slide+Drive%E2%84%A2%2C+6-Inch&amp;qid=1695174155&amp;sr=8-4</v>
      </c>
      <c r="F2912" t="s">
        <v>7000</v>
      </c>
      <c r="G2912" t="e">
        <f ca="1">_xludf.IMAGE("https://edmondsonsupply.com/cdn/shop/products/65129.jpg?v=1664459800")</f>
        <v>#NAME?</v>
      </c>
      <c r="H2912" t="e">
        <f ca="1">_xludf.IMAGE("https://m.media-amazon.com/images/I/41GX7DrqSFL._AC_UL320_.jpg")</f>
        <v>#NAME?</v>
      </c>
      <c r="I2912" t="s">
        <v>893</v>
      </c>
      <c r="J2912">
        <v>29.99</v>
      </c>
      <c r="K2912" s="4">
        <v>0.50180000000000002</v>
      </c>
      <c r="L2912">
        <v>4.8</v>
      </c>
      <c r="M2912">
        <v>4204</v>
      </c>
      <c r="O2912" t="s">
        <v>25</v>
      </c>
      <c r="P2912" t="s">
        <v>7105</v>
      </c>
      <c r="Q2912" t="s">
        <v>7106</v>
      </c>
    </row>
    <row r="2913" spans="1:17" ht="15.5" x14ac:dyDescent="0.35">
      <c r="A2913" s="3" t="str">
        <f>HYPERLINK("https://edmondsonsupply.com/collections/electricians-tools/products/channellock-431", "https://edmondsonsupply.com/collections/electricians-tools/products/channellock-431")</f>
        <v>https://edmondsonsupply.com/collections/electricians-tools/products/channellock-431</v>
      </c>
      <c r="B2913" s="3" t="str">
        <f>HYPERLINK("https://edmondsonsupply.com/products/channellock-431", "https://edmondsonsupply.com/products/channellock-431")</f>
        <v>https://edmondsonsupply.com/products/channellock-431</v>
      </c>
      <c r="C2913" t="s">
        <v>3341</v>
      </c>
      <c r="D2913" t="s">
        <v>6883</v>
      </c>
      <c r="E2913" s="3" t="str">
        <f>HYPERLINK("https://www.amazon.com/Channellock-GS-1-2-Inch-Tongue-Groove/dp/B00011V0GG/ref=sr_1_9?keywords=Channellock+432+10-Inch+V-Jaw+Tongue&amp;qid=1695173959&amp;sr=8-9", "https://www.amazon.com/Channellock-GS-1-2-Inch-Tongue-Groove/dp/B00011V0GG/ref=sr_1_9?keywords=Channellock+432+10-Inch+V-Jaw+Tongue&amp;qid=1695173959&amp;sr=8-9")</f>
        <v>https://www.amazon.com/Channellock-GS-1-2-Inch-Tongue-Groove/dp/B00011V0GG/ref=sr_1_9?keywords=Channellock+432+10-Inch+V-Jaw+Tongue&amp;qid=1695173959&amp;sr=8-9</v>
      </c>
      <c r="F2913" t="s">
        <v>6884</v>
      </c>
      <c r="G2913" t="e">
        <f ca="1">_xludf.IMAGE("https://edmondsonsupply.com/cdn/shop/products/432-683x1024.jpg?v=1587147134")</f>
        <v>#NAME?</v>
      </c>
      <c r="H2913" t="e">
        <f ca="1">_xludf.IMAGE("https://m.media-amazon.com/images/I/71s6rp1zXLL._AC_UL320_.jpg")</f>
        <v>#NAME?</v>
      </c>
      <c r="I2913" t="s">
        <v>488</v>
      </c>
      <c r="J2913">
        <v>29.95</v>
      </c>
      <c r="K2913" s="4">
        <v>0.50129999999999997</v>
      </c>
      <c r="L2913">
        <v>4.8</v>
      </c>
      <c r="M2913">
        <v>5487</v>
      </c>
      <c r="O2913" t="s">
        <v>25</v>
      </c>
      <c r="P2913" t="s">
        <v>3344</v>
      </c>
      <c r="Q2913" t="s">
        <v>3345</v>
      </c>
    </row>
    <row r="2914" spans="1:17" ht="15.5" x14ac:dyDescent="0.35">
      <c r="A2914"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914" s="3" t="str">
        <f>HYPERLINK("https://edmondsonsupply.com/products/klein-tools-32900-7-in-1-impact-flip-socket-with-handle", "https://edmondsonsupply.com/products/klein-tools-32900-7-in-1-impact-flip-socket-with-handle")</f>
        <v>https://edmondsonsupply.com/products/klein-tools-32900-7-in-1-impact-flip-socket-with-handle</v>
      </c>
      <c r="C2914" t="s">
        <v>6184</v>
      </c>
      <c r="D2914" t="s">
        <v>7107</v>
      </c>
      <c r="E2914" s="3" t="str">
        <f>HYPERLINK("https://www.amazon.com/Klein-Tools-80083-Adjustable-Screwdriver/dp/B0B97ZB7G2/ref=sr_1_9?keywords=Klein+Tools+32900+7-in-1+Impact+Flip+Socket+with+Handle&amp;qid=1695174143&amp;sr=8-9", "https://www.amazon.com/Klein-Tools-80083-Adjustable-Screwdriver/dp/B0B97ZB7G2/ref=sr_1_9?keywords=Klein+Tools+32900+7-in-1+Impact+Flip+Socket+with+Handle&amp;qid=1695174143&amp;sr=8-9")</f>
        <v>https://www.amazon.com/Klein-Tools-80083-Adjustable-Screwdriver/dp/B0B97ZB7G2/ref=sr_1_9?keywords=Klein+Tools+32900+7-in-1+Impact+Flip+Socket+with+Handle&amp;qid=1695174143&amp;sr=8-9</v>
      </c>
      <c r="F2914" t="s">
        <v>7108</v>
      </c>
      <c r="G2914" t="e">
        <f ca="1">_xludf.IMAGE("https://edmondsonsupply.com/cdn/shop/products/32900_b.jpg?v=1666024787")</f>
        <v>#NAME?</v>
      </c>
      <c r="H2914" t="e">
        <f ca="1">_xludf.IMAGE("https://m.media-amazon.com/images/I/511vxL5UeDL._AC_UL320_.jpg")</f>
        <v>#NAME?</v>
      </c>
      <c r="I2914" t="s">
        <v>824</v>
      </c>
      <c r="J2914">
        <v>44.99</v>
      </c>
      <c r="K2914" s="4">
        <v>0.50119999999999998</v>
      </c>
      <c r="L2914">
        <v>4.7</v>
      </c>
      <c r="M2914">
        <v>202</v>
      </c>
      <c r="O2914" t="s">
        <v>25</v>
      </c>
      <c r="P2914" t="s">
        <v>73</v>
      </c>
      <c r="Q2914" t="s">
        <v>6187</v>
      </c>
    </row>
    <row r="2915" spans="1:17" ht="15.5" x14ac:dyDescent="0.35">
      <c r="A2915" s="3" t="str">
        <f>HYPERLINK("https://edmondsonsupply.com/collections/electricians-tools/products/channellock-432", "https://edmondsonsupply.com/collections/electricians-tools/products/channellock-432")</f>
        <v>https://edmondsonsupply.com/collections/electricians-tools/products/channellock-432</v>
      </c>
      <c r="B2915" s="3" t="str">
        <f>HYPERLINK("https://edmondsonsupply.com/products/channellock-432", "https://edmondsonsupply.com/products/channellock-432")</f>
        <v>https://edmondsonsupply.com/products/channellock-432</v>
      </c>
      <c r="C2915" t="s">
        <v>2472</v>
      </c>
      <c r="D2915" t="s">
        <v>3112</v>
      </c>
      <c r="E2915" s="3" t="str">
        <f>HYPERLINK("https://www.amazon.com/CHANNELLOCK-440X-12-inch-SPEEDGRIP-Straight/dp/B07R11V4X3/ref=sr_1_2?keywords=Channellock+440+12%22+Straight+Jaw+Tongue+%26+Groove+Pliers&amp;qid=1695173955&amp;sr=8-2", "https://www.amazon.com/CHANNELLOCK-440X-12-inch-SPEEDGRIP-Straight/dp/B07R11V4X3/ref=sr_1_2?keywords=Channellock+440+12%22+Straight+Jaw+Tongue+%26+Groove+Pliers&amp;qid=1695173955&amp;sr=8-2")</f>
        <v>https://www.amazon.com/CHANNELLOCK-440X-12-inch-SPEEDGRIP-Straight/dp/B07R11V4X3/ref=sr_1_2?keywords=Channellock+440+12%22+Straight+Jaw+Tongue+%26+Groove+Pliers&amp;qid=1695173955&amp;sr=8-2</v>
      </c>
      <c r="F2915" t="s">
        <v>3113</v>
      </c>
      <c r="G2915" t="e">
        <f ca="1">_xludf.IMAGE("https://edmondsonsupply.com/cdn/shop/products/440-546x1024.jpg?v=1587148892")</f>
        <v>#NAME?</v>
      </c>
      <c r="H2915" t="e">
        <f ca="1">_xludf.IMAGE("https://m.media-amazon.com/images/I/61zy7hHkDbL._AC_UL320_.jpg")</f>
        <v>#NAME?</v>
      </c>
      <c r="I2915" t="s">
        <v>2475</v>
      </c>
      <c r="J2915">
        <v>32.950000000000003</v>
      </c>
      <c r="K2915" s="4">
        <v>0.50109999999999999</v>
      </c>
      <c r="L2915">
        <v>4.4000000000000004</v>
      </c>
      <c r="M2915">
        <v>578</v>
      </c>
      <c r="O2915" t="s">
        <v>25</v>
      </c>
      <c r="P2915" t="s">
        <v>2476</v>
      </c>
      <c r="Q2915" t="s">
        <v>2477</v>
      </c>
    </row>
    <row r="2916" spans="1:17" ht="15.5" x14ac:dyDescent="0.35">
      <c r="A2916" s="3" t="str">
        <f>HYPERLINK("https://edmondsonsupply.com/collections/electricians-tools/products/klein-tools-56412-rechargeable-led-flashlight-with-worklight", "https://edmondsonsupply.com/collections/electricians-tools/products/klein-tools-56412-rechargeable-led-flashlight-with-worklight")</f>
        <v>https://edmondsonsupply.com/collections/electricians-tools/products/klein-tools-56412-rechargeable-led-flashlight-with-worklight</v>
      </c>
      <c r="B2916" s="3" t="str">
        <f>HYPERLINK("https://edmondsonsupply.com/products/klein-tools-56412-rechargeable-led-flashlight-with-worklight", "https://edmondsonsupply.com/products/klein-tools-56412-rechargeable-led-flashlight-with-worklight")</f>
        <v>https://edmondsonsupply.com/products/klein-tools-56412-rechargeable-led-flashlight-with-worklight</v>
      </c>
      <c r="C2916" t="s">
        <v>7109</v>
      </c>
      <c r="D2916" t="s">
        <v>6694</v>
      </c>
      <c r="E2916" s="3" t="str">
        <f>HYPERLINK("https://www.amazon.com/Klein-Tools-80079-Rechargeable-Flashlight/dp/B0B11GSP2C/ref=sr_1_5?keywords=Klein+Tools+56412+Rechargeable+LED+Flashlight+with+Worklight&amp;qid=1695174153&amp;sr=8-5", "https://www.amazon.com/Klein-Tools-80079-Rechargeable-Flashlight/dp/B0B11GSP2C/ref=sr_1_5?keywords=Klein+Tools+56412+Rechargeable+LED+Flashlight+with+Worklight&amp;qid=1695174153&amp;sr=8-5")</f>
        <v>https://www.amazon.com/Klein-Tools-80079-Rechargeable-Flashlight/dp/B0B11GSP2C/ref=sr_1_5?keywords=Klein+Tools+56412+Rechargeable+LED+Flashlight+with+Worklight&amp;qid=1695174153&amp;sr=8-5</v>
      </c>
      <c r="F2916" t="s">
        <v>6695</v>
      </c>
      <c r="G2916" t="e">
        <f ca="1">_xludf.IMAGE("https://edmondsonsupply.com/cdn/shop/products/56412.jpg?v=1663953549")</f>
        <v>#NAME?</v>
      </c>
      <c r="H2916" t="e">
        <f ca="1">_xludf.IMAGE("https://m.media-amazon.com/images/I/61kxSho0oaL._AC_UL320_.jpg")</f>
        <v>#NAME?</v>
      </c>
      <c r="I2916" t="s">
        <v>246</v>
      </c>
      <c r="J2916">
        <v>59.99</v>
      </c>
      <c r="K2916" s="4">
        <v>0.50090000000000001</v>
      </c>
      <c r="L2916">
        <v>4.9000000000000004</v>
      </c>
      <c r="M2916">
        <v>22</v>
      </c>
      <c r="O2916" t="s">
        <v>25</v>
      </c>
      <c r="P2916" t="s">
        <v>7110</v>
      </c>
      <c r="Q2916" t="s">
        <v>7111</v>
      </c>
    </row>
    <row r="2917" spans="1:17" ht="15.5" x14ac:dyDescent="0.35">
      <c r="A2917" s="3" t="str">
        <f>HYPERLINK("https://edmondsonsupply.com/collections/electricians-tools/products/klein-tools-51606", "https://edmondsonsupply.com/collections/electricians-tools/products/klein-tools-51606")</f>
        <v>https://edmondsonsupply.com/collections/electricians-tools/products/klein-tools-51606</v>
      </c>
      <c r="B2917" s="3" t="str">
        <f>HYPERLINK("https://edmondsonsupply.com/products/klein-tools-51606", "https://edmondsonsupply.com/products/klein-tools-51606")</f>
        <v>https://edmondsonsupply.com/products/klein-tools-51606</v>
      </c>
      <c r="C2917" t="s">
        <v>6785</v>
      </c>
      <c r="D2917" t="s">
        <v>6101</v>
      </c>
      <c r="E2917" s="3" t="str">
        <f>HYPERLINK("https://www.amazon.com/Klein-Tools-51603-Conduit-Features/dp/B08W6GJTHW/ref=sr_1_5?keywords=Klein+Tools+51606+Aluminum+Conduit+Bender+Full+Assembly%2C+1%2F2-Inch+EMT+with+Angle+Setter%E2%84%A2&amp;qid=1695174158&amp;sr=8-5", "https://www.amazon.com/Klein-Tools-51603-Conduit-Features/dp/B08W6GJTHW/ref=sr_1_5?keywords=Klein+Tools+51606+Aluminum+Conduit+Bender+Full+Assembly%2C+1%2F2-Inch+EMT+with+Angle+Setter%E2%84%A2&amp;qid=1695174158&amp;sr=8-5")</f>
        <v>https://www.amazon.com/Klein-Tools-51603-Conduit-Features/dp/B08W6GJTHW/ref=sr_1_5?keywords=Klein+Tools+51606+Aluminum+Conduit+Bender+Full+Assembly%2C+1%2F2-Inch+EMT+with+Angle+Setter%E2%84%A2&amp;qid=1695174158&amp;sr=8-5</v>
      </c>
      <c r="F2917" t="s">
        <v>6102</v>
      </c>
      <c r="G2917" t="e">
        <f ca="1">_xludf.IMAGE("https://edmondsonsupply.com/cdn/shop/products/51606.jpg?v=1663942126")</f>
        <v>#NAME?</v>
      </c>
      <c r="H2917" t="e">
        <f ca="1">_xludf.IMAGE("https://m.media-amazon.com/images/I/31lf3y-9bSL._AC_UL320_.jpg")</f>
        <v>#NAME?</v>
      </c>
      <c r="I2917" t="s">
        <v>246</v>
      </c>
      <c r="J2917">
        <v>59.99</v>
      </c>
      <c r="K2917" s="4">
        <v>0.50090000000000001</v>
      </c>
      <c r="L2917">
        <v>4.9000000000000004</v>
      </c>
      <c r="M2917">
        <v>31</v>
      </c>
      <c r="O2917" t="s">
        <v>25</v>
      </c>
      <c r="P2917" t="s">
        <v>1027</v>
      </c>
      <c r="Q2917" t="s">
        <v>6786</v>
      </c>
    </row>
    <row r="2918" spans="1:17" ht="15.5" x14ac:dyDescent="0.35">
      <c r="A2918"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2918"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2918" t="s">
        <v>7104</v>
      </c>
      <c r="D2918" t="s">
        <v>2599</v>
      </c>
      <c r="E2918" s="3" t="str">
        <f>HYPERLINK("https://www.amazon.com/Driver-Magnetic-Klein-Tools-32807MAG/dp/B07D4M51DQ/ref=sr_1_6?keywords=Klein+Tools+65129+2-in-1+Nut+Driver%2C+Hex+Head+Slide+Drive%E2%84%A2%2C+6-Inch&amp;qid=1695174155&amp;sr=8-6", "https://www.amazon.com/Driver-Magnetic-Klein-Tools-32807MAG/dp/B07D4M51DQ/ref=sr_1_6?keywords=Klein+Tools+65129+2-in-1+Nut+Driver%2C+Hex+Head+Slide+Drive%E2%84%A2%2C+6-Inch&amp;qid=1695174155&amp;sr=8-6")</f>
        <v>https://www.amazon.com/Driver-Magnetic-Klein-Tools-32807MAG/dp/B07D4M51DQ/ref=sr_1_6?keywords=Klein+Tools+65129+2-in-1+Nut+Driver%2C+Hex+Head+Slide+Drive%E2%84%A2%2C+6-Inch&amp;qid=1695174155&amp;sr=8-6</v>
      </c>
      <c r="F2918" t="s">
        <v>2600</v>
      </c>
      <c r="G2918" t="e">
        <f ca="1">_xludf.IMAGE("https://edmondsonsupply.com/cdn/shop/products/65129.jpg?v=1664459800")</f>
        <v>#NAME?</v>
      </c>
      <c r="H2918" t="e">
        <f ca="1">_xludf.IMAGE("https://m.media-amazon.com/images/I/61gwAJBzDAL._AC_UL320_.jpg")</f>
        <v>#NAME?</v>
      </c>
      <c r="I2918" t="s">
        <v>893</v>
      </c>
      <c r="J2918">
        <v>29.97</v>
      </c>
      <c r="K2918" s="4">
        <v>0.50080000000000002</v>
      </c>
      <c r="L2918">
        <v>4.7</v>
      </c>
      <c r="M2918">
        <v>9161</v>
      </c>
      <c r="O2918" t="s">
        <v>25</v>
      </c>
      <c r="P2918" t="s">
        <v>7105</v>
      </c>
      <c r="Q2918" t="s">
        <v>7106</v>
      </c>
    </row>
    <row r="2919" spans="1:17" ht="15.5" x14ac:dyDescent="0.35">
      <c r="A2919"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2919" s="3" t="str">
        <f>HYPERLINK("https://edmondsonsupply.com/products/klein-tools-646-5-16-5-16-inch-nut-driver-6-inch-hollow-shaft", "https://edmondsonsupply.com/products/klein-tools-646-5-16-5-16-inch-nut-driver-6-inch-hollow-shaft")</f>
        <v>https://edmondsonsupply.com/products/klein-tools-646-5-16-5-16-inch-nut-driver-6-inch-hollow-shaft</v>
      </c>
      <c r="C2919" t="s">
        <v>1893</v>
      </c>
      <c r="D2919" t="s">
        <v>3114</v>
      </c>
      <c r="E2919" s="3" t="str">
        <f>HYPERLINK("https://www.amazon.com/Magnetic-Comfordome-Klein-Tools-S106M/dp/B0002RIA26/ref=sr_1_3?keywords=Klein+Tools+646-5%2F16+5%2F16-Inch+Nut+Driver%2C+6-Inch+Hollow+Shaft&amp;qid=1695173904&amp;sr=8-3", "https://www.amazon.com/Magnetic-Comfordome-Klein-Tools-S106M/dp/B0002RIA26/ref=sr_1_3?keywords=Klein+Tools+646-5%2F16+5%2F16-Inch+Nut+Driver%2C+6-Inch+Hollow+Shaft&amp;qid=1695173904&amp;sr=8-3")</f>
        <v>https://www.amazon.com/Magnetic-Comfordome-Klein-Tools-S106M/dp/B0002RIA26/ref=sr_1_3?keywords=Klein+Tools+646-5%2F16+5%2F16-Inch+Nut+Driver%2C+6-Inch+Hollow+Shaft&amp;qid=1695173904&amp;sr=8-3</v>
      </c>
      <c r="F2919" t="s">
        <v>3115</v>
      </c>
      <c r="G2919" t="e">
        <f ca="1">_xludf.IMAGE("https://edmondsonsupply.com/cdn/shop/products/646-1-2_e1540905-f750-4509-90c5-74ff653e4d83.jpg?v=1587145119")</f>
        <v>#NAME?</v>
      </c>
      <c r="H2919" t="e">
        <f ca="1">_xludf.IMAGE("https://m.media-amazon.com/images/I/310q8QPN+KL._AC_UL320_.jpg")</f>
        <v>#NAME?</v>
      </c>
      <c r="I2919" t="s">
        <v>1003</v>
      </c>
      <c r="J2919">
        <v>11.99</v>
      </c>
      <c r="K2919" s="4">
        <v>0.50060000000000004</v>
      </c>
      <c r="L2919">
        <v>4.5999999999999996</v>
      </c>
      <c r="M2919">
        <v>231</v>
      </c>
      <c r="O2919" t="s">
        <v>25</v>
      </c>
      <c r="P2919" t="s">
        <v>1481</v>
      </c>
      <c r="Q2919" t="s">
        <v>1896</v>
      </c>
    </row>
    <row r="2920" spans="1:17" ht="15.5" x14ac:dyDescent="0.35">
      <c r="A2920"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2920" s="3" t="str">
        <f>HYPERLINK("https://edmondsonsupply.com/products/klein-tools-646-5-16-5-16-inch-nut-driver-6-inch-hollow-shaft", "https://edmondsonsupply.com/products/klein-tools-646-5-16-5-16-inch-nut-driver-6-inch-hollow-shaft")</f>
        <v>https://edmondsonsupply.com/products/klein-tools-646-5-16-5-16-inch-nut-driver-6-inch-hollow-shaft</v>
      </c>
      <c r="C2920" t="s">
        <v>1893</v>
      </c>
      <c r="D2920" t="s">
        <v>3116</v>
      </c>
      <c r="E2920" s="3" t="str">
        <f>HYPERLINK("https://www.amazon.com/Heavy-Duty-Driver-16-Inch-Klein-Tools/dp/B01D6FKW58/ref=sr_1_7?keywords=Klein+Tools+646-5%2F16+5%2F16-Inch+Nut+Driver%2C+6-Inch+Hollow+Shaft&amp;qid=1695173904&amp;sr=8-7", "https://www.amazon.com/Heavy-Duty-Driver-16-Inch-Klein-Tools/dp/B01D6FKW58/ref=sr_1_7?keywords=Klein+Tools+646-5%2F16+5%2F16-Inch+Nut+Driver%2C+6-Inch+Hollow+Shaft&amp;qid=1695173904&amp;sr=8-7")</f>
        <v>https://www.amazon.com/Heavy-Duty-Driver-16-Inch-Klein-Tools/dp/B01D6FKW58/ref=sr_1_7?keywords=Klein+Tools+646-5%2F16+5%2F16-Inch+Nut+Driver%2C+6-Inch+Hollow+Shaft&amp;qid=1695173904&amp;sr=8-7</v>
      </c>
      <c r="F2920" t="s">
        <v>3117</v>
      </c>
      <c r="G2920" t="e">
        <f ca="1">_xludf.IMAGE("https://edmondsonsupply.com/cdn/shop/products/646-1-2_e1540905-f750-4509-90c5-74ff653e4d83.jpg?v=1587145119")</f>
        <v>#NAME?</v>
      </c>
      <c r="H2920" t="e">
        <f ca="1">_xludf.IMAGE("https://m.media-amazon.com/images/I/41FuKJjYruL._AC_UL320_.jpg")</f>
        <v>#NAME?</v>
      </c>
      <c r="I2920" t="s">
        <v>1003</v>
      </c>
      <c r="J2920">
        <v>11.99</v>
      </c>
      <c r="K2920" s="4">
        <v>0.50060000000000004</v>
      </c>
      <c r="L2920">
        <v>4.7</v>
      </c>
      <c r="M2920">
        <v>971</v>
      </c>
      <c r="O2920" t="s">
        <v>25</v>
      </c>
      <c r="P2920" t="s">
        <v>1481</v>
      </c>
      <c r="Q2920" t="s">
        <v>1896</v>
      </c>
    </row>
    <row r="2921" spans="1:17" ht="15.5" x14ac:dyDescent="0.35">
      <c r="A2921"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2921"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2921" t="s">
        <v>3118</v>
      </c>
      <c r="D2921" t="s">
        <v>3119</v>
      </c>
      <c r="E2921" s="3" t="str">
        <f>HYPERLINK("https://www.amazon.com/Journeyman-T-Handle-Klein-Tools-JTH9E17/dp/B004QV6NL4/ref=sr_1_2?keywords=Klein+Tools+JTH4E17+1%2F2-Inch+Hex+Key%2C+Journeyman+T-Handle%2C+4-Inch&amp;qid=1695173921&amp;sr=8-2", "https://www.amazon.com/Journeyman-T-Handle-Klein-Tools-JTH9E17/dp/B004QV6NL4/ref=sr_1_2?keywords=Klein+Tools+JTH4E17+1%2F2-Inch+Hex+Key%2C+Journeyman+T-Handle%2C+4-Inch&amp;qid=1695173921&amp;sr=8-2")</f>
        <v>https://www.amazon.com/Journeyman-T-Handle-Klein-Tools-JTH9E17/dp/B004QV6NL4/ref=sr_1_2?keywords=Klein+Tools+JTH4E17+1%2F2-Inch+Hex+Key%2C+Journeyman+T-Handle%2C+4-Inch&amp;qid=1695173921&amp;sr=8-2</v>
      </c>
      <c r="F2921" t="s">
        <v>3120</v>
      </c>
      <c r="G2921" t="e">
        <f ca="1">_xludf.IMAGE("https://edmondsonsupply.com/cdn/shop/products/jth4e17_583549be-7b42-43c7-9c3d-a92f2416ede5.jpg?v=1610655610")</f>
        <v>#NAME?</v>
      </c>
      <c r="H2921" t="e">
        <f ca="1">_xludf.IMAGE("https://m.media-amazon.com/images/I/51Yb8h41vLL._AC_UL320_.jpg")</f>
        <v>#NAME?</v>
      </c>
      <c r="I2921" t="s">
        <v>252</v>
      </c>
      <c r="J2921">
        <v>23.99</v>
      </c>
      <c r="K2921" s="4">
        <v>0.50029999999999997</v>
      </c>
      <c r="L2921">
        <v>4.8</v>
      </c>
      <c r="M2921">
        <v>194</v>
      </c>
      <c r="O2921" t="s">
        <v>25</v>
      </c>
      <c r="P2921" t="s">
        <v>3121</v>
      </c>
      <c r="Q2921" t="s">
        <v>3122</v>
      </c>
    </row>
    <row r="2922" spans="1:17" ht="15.5" x14ac:dyDescent="0.35">
      <c r="A2922" s="3" t="str">
        <f>HYPERLINK("https://edmondsonsupply.com/collections/electricians-tools/products/klein-tools-935r-aluminum-torpedo-level-rare-earth-magnet", "https://edmondsonsupply.com/collections/electricians-tools/products/klein-tools-935r-aluminum-torpedo-level-rare-earth-magnet")</f>
        <v>https://edmondsonsupply.com/collections/electricians-tools/products/klein-tools-935r-aluminum-torpedo-level-rare-earth-magnet</v>
      </c>
      <c r="B2922" s="3" t="str">
        <f>HYPERLINK("https://edmondsonsupply.com/products/klein-tools-935r-aluminum-torpedo-level-rare-earth-magnet", "https://edmondsonsupply.com/products/klein-tools-935r-aluminum-torpedo-level-rare-earth-magnet")</f>
        <v>https://edmondsonsupply.com/products/klein-tools-935r-aluminum-torpedo-level-rare-earth-magnet</v>
      </c>
      <c r="C2922" t="s">
        <v>3123</v>
      </c>
      <c r="D2922" t="s">
        <v>3124</v>
      </c>
      <c r="E2922" s="3" t="str">
        <f>HYPERLINK("https://www.amazon.com/Magnetic-Torpedo-Klein-Tools-9319RETT/dp/B01FFTADZW/ref=sr_1_3?keywords=Klein+Tools+935R+Aluminum+Torpedo+Level+Rare+Earth+Magnet%2C+9-Inch&amp;qid=1695173905&amp;sr=8-3", "https://www.amazon.com/Magnetic-Torpedo-Klein-Tools-9319RETT/dp/B01FFTADZW/ref=sr_1_3?keywords=Klein+Tools+935R+Aluminum+Torpedo+Level+Rare+Earth+Magnet%2C+9-Inch&amp;qid=1695173905&amp;sr=8-3")</f>
        <v>https://www.amazon.com/Magnetic-Torpedo-Klein-Tools-9319RETT/dp/B01FFTADZW/ref=sr_1_3?keywords=Klein+Tools+935R+Aluminum+Torpedo+Level+Rare+Earth+Magnet%2C+9-Inch&amp;qid=1695173905&amp;sr=8-3</v>
      </c>
      <c r="F2922" t="s">
        <v>3125</v>
      </c>
      <c r="G2922" t="e">
        <f ca="1">_xludf.IMAGE("https://edmondsonsupply.com/cdn/shop/products/935r_b.jpg?v=1658103129")</f>
        <v>#NAME?</v>
      </c>
      <c r="H2922" t="e">
        <f ca="1">_xludf.IMAGE("https://m.media-amazon.com/images/I/51koTKccewL._AC_UL320_.jpg")</f>
        <v>#NAME?</v>
      </c>
      <c r="I2922" t="s">
        <v>577</v>
      </c>
      <c r="J2922">
        <v>29.99</v>
      </c>
      <c r="K2922" s="4">
        <v>0.50029999999999997</v>
      </c>
      <c r="L2922">
        <v>4.4000000000000004</v>
      </c>
      <c r="M2922">
        <v>66</v>
      </c>
      <c r="O2922" t="s">
        <v>25</v>
      </c>
      <c r="P2922" t="s">
        <v>466</v>
      </c>
      <c r="Q2922" t="s">
        <v>3126</v>
      </c>
    </row>
    <row r="2923" spans="1:17" ht="15.5" x14ac:dyDescent="0.35">
      <c r="A2923"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2923" s="3" t="str">
        <f>HYPERLINK("https://edmondsonsupply.com/products/klein-tools-88910-mini-tube-cutter", "https://edmondsonsupply.com/products/klein-tools-88910-mini-tube-cutter")</f>
        <v>https://edmondsonsupply.com/products/klein-tools-88910-mini-tube-cutter</v>
      </c>
      <c r="C2923" t="s">
        <v>6372</v>
      </c>
      <c r="D2923" t="s">
        <v>7112</v>
      </c>
      <c r="E2923" s="3" t="str">
        <f>HYPERLINK("https://www.amazon.com/Klein-Tools-88977-Professional-Cutter/dp/B005TU32JC/ref=sr_1_5?keywords=Klein+Tools+88910+Mini+Tube+Cutter&amp;qid=1695174232&amp;sr=8-5", "https://www.amazon.com/Klein-Tools-88977-Professional-Cutter/dp/B005TU32JC/ref=sr_1_5?keywords=Klein+Tools+88910+Mini+Tube+Cutter&amp;qid=1695174232&amp;sr=8-5")</f>
        <v>https://www.amazon.com/Klein-Tools-88977-Professional-Cutter/dp/B005TU32JC/ref=sr_1_5?keywords=Klein+Tools+88910+Mini+Tube+Cutter&amp;qid=1695174232&amp;sr=8-5</v>
      </c>
      <c r="F2923" t="s">
        <v>7113</v>
      </c>
      <c r="G2923" t="e">
        <f ca="1">_xludf.IMAGE("https://edmondsonsupply.com/cdn/shop/products/88910.jpg?v=1638577903")</f>
        <v>#NAME?</v>
      </c>
      <c r="H2923" t="e">
        <f ca="1">_xludf.IMAGE("https://m.media-amazon.com/images/I/61SWwVVJuLL._AC_UL320_.jpg")</f>
        <v>#NAME?</v>
      </c>
      <c r="I2923" t="s">
        <v>577</v>
      </c>
      <c r="J2923">
        <v>29.99</v>
      </c>
      <c r="K2923" s="4">
        <v>0.50029999999999997</v>
      </c>
      <c r="L2923">
        <v>3.3</v>
      </c>
      <c r="M2923">
        <v>6</v>
      </c>
      <c r="O2923" t="s">
        <v>25</v>
      </c>
      <c r="P2923" t="s">
        <v>6375</v>
      </c>
      <c r="Q2923" t="s">
        <v>6376</v>
      </c>
    </row>
    <row r="2924" spans="1:17" ht="15.5" x14ac:dyDescent="0.35">
      <c r="A2924"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2924" s="3" t="str">
        <f>HYPERLINK("https://edmondsonsupply.com/products/klein-tools-d507-8-adjustable-wrench-extra-capacity-8-inch", "https://edmondsonsupply.com/products/klein-tools-d507-8-adjustable-wrench-extra-capacity-8-inch")</f>
        <v>https://edmondsonsupply.com/products/klein-tools-d507-8-adjustable-wrench-extra-capacity-8-inch</v>
      </c>
      <c r="C2924" t="s">
        <v>6699</v>
      </c>
      <c r="D2924" t="s">
        <v>7114</v>
      </c>
      <c r="E2924" s="3" t="str">
        <f>HYPERLINK("https://www.amazon.com/Slim-Jaw-Adjustable-Klein-Tools-D86936/dp/B075X84TBJ/ref=sr_1_6?keywords=Klein+Tools+D507-8+Adjustable+Wrench%2C+Extra+Capacity+8-Inch&amp;qid=1695173949&amp;sr=8-6", "https://www.amazon.com/Slim-Jaw-Adjustable-Klein-Tools-D86936/dp/B075X84TBJ/ref=sr_1_6?keywords=Klein+Tools+D507-8+Adjustable+Wrench%2C+Extra+Capacity+8-Inch&amp;qid=1695173949&amp;sr=8-6")</f>
        <v>https://www.amazon.com/Slim-Jaw-Adjustable-Klein-Tools-D86936/dp/B075X84TBJ/ref=sr_1_6?keywords=Klein+Tools+D507-8+Adjustable+Wrench%2C+Extra+Capacity+8-Inch&amp;qid=1695173949&amp;sr=8-6</v>
      </c>
      <c r="F2924" t="s">
        <v>7115</v>
      </c>
      <c r="G2924" t="e">
        <f ca="1">_xludf.IMAGE("https://edmondsonsupply.com/cdn/shop/products/d5078_b.jpg?v=1666010497")</f>
        <v>#NAME?</v>
      </c>
      <c r="H2924" t="e">
        <f ca="1">_xludf.IMAGE("https://m.media-amazon.com/images/I/41CJoXWRm0L._AC_UL320_.jpg")</f>
        <v>#NAME?</v>
      </c>
      <c r="I2924" t="s">
        <v>26</v>
      </c>
      <c r="J2924">
        <v>44.99</v>
      </c>
      <c r="K2924" s="4">
        <v>0.50019999999999998</v>
      </c>
      <c r="L2924">
        <v>4.7</v>
      </c>
      <c r="M2924">
        <v>87</v>
      </c>
      <c r="O2924" t="s">
        <v>25</v>
      </c>
      <c r="P2924" t="s">
        <v>1327</v>
      </c>
      <c r="Q2924" t="s">
        <v>6700</v>
      </c>
    </row>
    <row r="2925" spans="1:17" ht="15.5" x14ac:dyDescent="0.35">
      <c r="A2925"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2925" s="3" t="str">
        <f>HYPERLINK("https://edmondsonsupply.com/products/klein-tools-60345-hard-hat-earmuffs-full-brim-style", "https://edmondsonsupply.com/products/klein-tools-60345-hard-hat-earmuffs-full-brim-style")</f>
        <v>https://edmondsonsupply.com/products/klein-tools-60345-hard-hat-earmuffs-full-brim-style</v>
      </c>
      <c r="C2925" t="s">
        <v>868</v>
      </c>
      <c r="D2925" t="s">
        <v>991</v>
      </c>
      <c r="E2925" s="3" t="str">
        <f>HYPERLINK("https://www.amazon.com/Klein-Tools-Hard-Non-vented-Style/dp/B07TQNTCKL/ref=sr_1_10?keywords=Klein+Tools+60502+Hard+Hat+Earmuffs%2C+Full+Brim+Style&amp;qid=1695174082&amp;sr=8-10", "https://www.amazon.com/Klein-Tools-Hard-Non-vented-Style/dp/B07TQNTCKL/ref=sr_1_10?keywords=Klein+Tools+60502+Hard+Hat+Earmuffs%2C+Full+Brim+Style&amp;qid=1695174082&amp;sr=8-10")</f>
        <v>https://www.amazon.com/Klein-Tools-Hard-Non-vented-Style/dp/B07TQNTCKL/ref=sr_1_10?keywords=Klein+Tools+60502+Hard+Hat+Earmuffs%2C+Full+Brim+Style&amp;qid=1695174082&amp;sr=8-10</v>
      </c>
      <c r="F2925" t="s">
        <v>992</v>
      </c>
      <c r="G2925" t="e">
        <f ca="1">_xludf.IMAGE("https://edmondsonsupply.com/cdn/shop/products/60502.jpg?v=1674486730")</f>
        <v>#NAME?</v>
      </c>
      <c r="H2925" t="e">
        <f ca="1">_xludf.IMAGE("https://m.media-amazon.com/images/I/61IcdM8MBnL._AC_UL320_.jpg")</f>
        <v>#NAME?</v>
      </c>
      <c r="I2925" t="s">
        <v>26</v>
      </c>
      <c r="J2925">
        <v>44.99</v>
      </c>
      <c r="K2925" s="4">
        <v>0.50019999999999998</v>
      </c>
      <c r="L2925">
        <v>4.7</v>
      </c>
      <c r="M2925">
        <v>358</v>
      </c>
      <c r="O2925" t="s">
        <v>25</v>
      </c>
      <c r="P2925" t="s">
        <v>562</v>
      </c>
      <c r="Q2925" t="s">
        <v>871</v>
      </c>
    </row>
    <row r="2926" spans="1:17" ht="15.5" x14ac:dyDescent="0.35">
      <c r="A2926"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2926" s="3" t="str">
        <f>HYPERLINK("https://edmondsonsupply.com/products/klein-tools-51608-1-2-inch-iron-conduit-bender-head", "https://edmondsonsupply.com/products/klein-tools-51608-1-2-inch-iron-conduit-bender-head")</f>
        <v>https://edmondsonsupply.com/products/klein-tools-51608-1-2-inch-iron-conduit-bender-head</v>
      </c>
      <c r="C2926" t="s">
        <v>6789</v>
      </c>
      <c r="D2926" t="s">
        <v>6101</v>
      </c>
      <c r="E2926" s="3" t="str">
        <f>HYPERLINK("https://www.amazon.com/Klein-Tools-51603-Conduit-Features/dp/B08W6GJTHW/ref=sr_1_4?keywords=Klein+Tools+51608+1%2F2-inch+Iron+Conduit+Bender+Head&amp;qid=1695174222&amp;sr=8-4", "https://www.amazon.com/Klein-Tools-51603-Conduit-Features/dp/B08W6GJTHW/ref=sr_1_4?keywords=Klein+Tools+51608+1%2F2-inch+Iron+Conduit+Bender+Head&amp;qid=1695174222&amp;sr=8-4")</f>
        <v>https://www.amazon.com/Klein-Tools-51603-Conduit-Features/dp/B08W6GJTHW/ref=sr_1_4?keywords=Klein+Tools+51608+1%2F2-inch+Iron+Conduit+Bender+Head&amp;qid=1695174222&amp;sr=8-4</v>
      </c>
      <c r="F2926" t="s">
        <v>6102</v>
      </c>
      <c r="G2926" t="e">
        <f ca="1">_xludf.IMAGE("https://edmondsonsupply.com/cdn/shop/products/51608.jpg?v=1643679335")</f>
        <v>#NAME?</v>
      </c>
      <c r="H2926" t="e">
        <f ca="1">_xludf.IMAGE("https://m.media-amazon.com/images/I/31lf3y-9bSL._AC_UL320_.jpg")</f>
        <v>#NAME?</v>
      </c>
      <c r="I2926" t="s">
        <v>198</v>
      </c>
      <c r="J2926">
        <v>59.99</v>
      </c>
      <c r="K2926" s="4">
        <v>0.50009999999999999</v>
      </c>
      <c r="L2926">
        <v>4.9000000000000004</v>
      </c>
      <c r="M2926">
        <v>31</v>
      </c>
      <c r="O2926" t="s">
        <v>25</v>
      </c>
      <c r="P2926" t="s">
        <v>6790</v>
      </c>
      <c r="Q2926" t="s">
        <v>6791</v>
      </c>
    </row>
    <row r="2927" spans="1:17" ht="15.5" x14ac:dyDescent="0.35">
      <c r="A2927"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2927" s="3" t="str">
        <f>HYPERLINK("https://edmondsonsupply.com/products/klein-tools-94130-1000v-insulated-tool-kit-5-piece", "https://edmondsonsupply.com/products/klein-tools-94130-1000v-insulated-tool-kit-5-piece")</f>
        <v>https://edmondsonsupply.com/products/klein-tools-94130-1000v-insulated-tool-kit-5-piece</v>
      </c>
      <c r="C2927" t="s">
        <v>2221</v>
      </c>
      <c r="D2927" t="s">
        <v>3137</v>
      </c>
      <c r="E2927" s="3" t="str">
        <f>HYPERLINK("https://www.amazon.com/Klein-Tools-Insulated-Screwdriver-Multi-Bit/dp/B0B56SPFP5/ref=sr_1_4?keywords=Klein+Tools+94130+1000V+Insulated+Tool+Kit%2C+5-Piece&amp;qid=1695173888&amp;sr=8-4", "https://www.amazon.com/Klein-Tools-Insulated-Screwdriver-Multi-Bit/dp/B0B56SPFP5/ref=sr_1_4?keywords=Klein+Tools+94130+1000V+Insulated+Tool+Kit%2C+5-Piece&amp;qid=1695173888&amp;sr=8-4")</f>
        <v>https://www.amazon.com/Klein-Tools-Insulated-Screwdriver-Multi-Bit/dp/B0B56SPFP5/ref=sr_1_4?keywords=Klein+Tools+94130+1000V+Insulated+Tool+Kit%2C+5-Piece&amp;qid=1695173888&amp;sr=8-4</v>
      </c>
      <c r="F2927" t="s">
        <v>3138</v>
      </c>
      <c r="G2927" t="e">
        <f ca="1">_xludf.IMAGE("https://edmondsonsupply.com/cdn/shop/products/94130.jpg?v=1633030386")</f>
        <v>#NAME?</v>
      </c>
      <c r="H2927" t="e">
        <f ca="1">_xludf.IMAGE("https://m.media-amazon.com/images/I/51tr7--NQkL._AC_UL320_.jpg")</f>
        <v>#NAME?</v>
      </c>
      <c r="I2927" t="s">
        <v>2224</v>
      </c>
      <c r="J2927">
        <v>149.97999999999999</v>
      </c>
      <c r="K2927" s="4">
        <v>0.49990000000000001</v>
      </c>
      <c r="L2927">
        <v>4.9000000000000004</v>
      </c>
      <c r="M2927">
        <v>11</v>
      </c>
      <c r="O2927" t="s">
        <v>25</v>
      </c>
      <c r="P2927" t="s">
        <v>2225</v>
      </c>
      <c r="Q2927" t="s">
        <v>2226</v>
      </c>
    </row>
    <row r="2928" spans="1:17" ht="15.5" x14ac:dyDescent="0.35">
      <c r="A2928"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2928"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2928" t="s">
        <v>6921</v>
      </c>
      <c r="D2928" t="s">
        <v>7116</v>
      </c>
      <c r="E2928" s="3" t="str">
        <f>HYPERLINK("https://www.amazon.com/Crescent-Wiss-Straight-Aviation-Snips/dp/B093TXCS3X/ref=sr_1_4?keywords=Crescent+Wiss+M2P+9-3%2F4%22+Compound+Action+Straight+and+Right+Cut+Aviation+Snips&amp;qid=1695174052&amp;sr=8-4", "https://www.amazon.com/Crescent-Wiss-Straight-Aviation-Snips/dp/B093TXCS3X/ref=sr_1_4?keywords=Crescent+Wiss+M2P+9-3%2F4%22+Compound+Action+Straight+and+Right+Cut+Aviation+Snips&amp;qid=1695174052&amp;sr=8-4")</f>
        <v>https://www.amazon.com/Crescent-Wiss-Straight-Aviation-Snips/dp/B093TXCS3X/ref=sr_1_4?keywords=Crescent+Wiss+M2P+9-3%2F4%22+Compound+Action+Straight+and+Right+Cut+Aviation+Snips&amp;qid=1695174052&amp;sr=8-4</v>
      </c>
      <c r="F2928" t="s">
        <v>7117</v>
      </c>
      <c r="G2928" t="e">
        <f ca="1">_xludf.IMAGE("https://edmondsonsupply.com/cdn/shop/products/WIS_M2P_IMG_ANG_01.jpg?v=1679674099")</f>
        <v>#NAME?</v>
      </c>
      <c r="H2928" t="e">
        <f ca="1">_xludf.IMAGE("https://m.media-amazon.com/images/I/41SEWCwniGS._AC_UL320_.jpg")</f>
        <v>#NAME?</v>
      </c>
      <c r="I2928" t="s">
        <v>577</v>
      </c>
      <c r="J2928">
        <v>29.98</v>
      </c>
      <c r="K2928" s="4">
        <v>0.49969999999999998</v>
      </c>
      <c r="L2928">
        <v>5</v>
      </c>
      <c r="M2928">
        <v>1</v>
      </c>
      <c r="O2928" t="s">
        <v>25</v>
      </c>
      <c r="P2928" t="s">
        <v>6924</v>
      </c>
      <c r="Q2928" t="s">
        <v>6925</v>
      </c>
    </row>
    <row r="2929" spans="1:17" ht="15.5" x14ac:dyDescent="0.35">
      <c r="A2929" s="3" t="str">
        <f>HYPERLINK("https://edmondsonsupply.com/collections/electricians-tools/products/crescent-wiss-m1p-9-3-4-compound-action-straight-and-left-aviation-snips", "https://edmondsonsupply.com/collections/electricians-tools/products/crescent-wiss-m1p-9-3-4-compound-action-straight-and-left-aviation-snips")</f>
        <v>https://edmondsonsupply.com/collections/electricians-tools/products/crescent-wiss-m1p-9-3-4-compound-action-straight-and-left-aviation-snips</v>
      </c>
      <c r="B2929" s="3" t="str">
        <f>HYPERLINK("https://edmondsonsupply.com/products/crescent-wiss-m1p-9-3-4-compound-action-straight-and-left-aviation-snips", "https://edmondsonsupply.com/products/crescent-wiss-m1p-9-3-4-compound-action-straight-and-left-aviation-snips")</f>
        <v>https://edmondsonsupply.com/products/crescent-wiss-m1p-9-3-4-compound-action-straight-and-left-aviation-snips</v>
      </c>
      <c r="C2929" t="s">
        <v>7118</v>
      </c>
      <c r="D2929" t="s">
        <v>7116</v>
      </c>
      <c r="E2929" s="3" t="str">
        <f>HYPERLINK("https://www.amazon.com/Crescent-Wiss-Straight-Aviation-Snips/dp/B093TXCS3X/ref=sr_1_2?keywords=Crescent+Wiss+M1P+9-3%2F4%22+Compound+Action+Straight+and+Left+Aviation+Snips&amp;qid=1695174043&amp;sr=8-2", "https://www.amazon.com/Crescent-Wiss-Straight-Aviation-Snips/dp/B093TXCS3X/ref=sr_1_2?keywords=Crescent+Wiss+M1P+9-3%2F4%22+Compound+Action+Straight+and+Left+Aviation+Snips&amp;qid=1695174043&amp;sr=8-2")</f>
        <v>https://www.amazon.com/Crescent-Wiss-Straight-Aviation-Snips/dp/B093TXCS3X/ref=sr_1_2?keywords=Crescent+Wiss+M1P+9-3%2F4%22+Compound+Action+Straight+and+Left+Aviation+Snips&amp;qid=1695174043&amp;sr=8-2</v>
      </c>
      <c r="F2929" t="s">
        <v>7117</v>
      </c>
      <c r="G2929" t="e">
        <f ca="1">_xludf.IMAGE("https://edmondsonsupply.com/cdn/shop/products/WIS_M1P_IMG_ANG_01.jpg?v=1679672536")</f>
        <v>#NAME?</v>
      </c>
      <c r="H2929" t="e">
        <f ca="1">_xludf.IMAGE("https://m.media-amazon.com/images/I/41SEWCwniGS._AC_UL320_.jpg")</f>
        <v>#NAME?</v>
      </c>
      <c r="I2929" t="s">
        <v>577</v>
      </c>
      <c r="J2929">
        <v>29.98</v>
      </c>
      <c r="K2929" s="4">
        <v>0.49969999999999998</v>
      </c>
      <c r="L2929">
        <v>5</v>
      </c>
      <c r="M2929">
        <v>1</v>
      </c>
      <c r="O2929" t="s">
        <v>25</v>
      </c>
      <c r="P2929" t="s">
        <v>6924</v>
      </c>
      <c r="Q2929" t="s">
        <v>7119</v>
      </c>
    </row>
    <row r="2930" spans="1:17" ht="15.5" x14ac:dyDescent="0.35">
      <c r="A2930"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2930"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2930" t="s">
        <v>7120</v>
      </c>
      <c r="D2930" t="s">
        <v>7116</v>
      </c>
      <c r="E2930" s="3" t="str">
        <f>HYPERLINK("https://www.amazon.com/Crescent-Wiss-Straight-Aviation-Snips/dp/B093TXCS3X/ref=sr_1_1?keywords=Crescent+Wiss+M3P+9-3%2F4%22+Compound+Action+Straight%2C+Left+and+Right+Cut+Snips&amp;qid=1695174052&amp;sr=8-1", "https://www.amazon.com/Crescent-Wiss-Straight-Aviation-Snips/dp/B093TXCS3X/ref=sr_1_1?keywords=Crescent+Wiss+M3P+9-3%2F4%22+Compound+Action+Straight%2C+Left+and+Right+Cut+Snips&amp;qid=1695174052&amp;sr=8-1")</f>
        <v>https://www.amazon.com/Crescent-Wiss-Straight-Aviation-Snips/dp/B093TXCS3X/ref=sr_1_1?keywords=Crescent+Wiss+M3P+9-3%2F4%22+Compound+Action+Straight%2C+Left+and+Right+Cut+Snips&amp;qid=1695174052&amp;sr=8-1</v>
      </c>
      <c r="F2930" t="s">
        <v>7117</v>
      </c>
      <c r="G2930" t="e">
        <f ca="1">_xludf.IMAGE("https://edmondsonsupply.com/cdn/shop/products/WIS_M3P_IMG_ANG_01.jpg?v=1679675102")</f>
        <v>#NAME?</v>
      </c>
      <c r="H2930" t="e">
        <f ca="1">_xludf.IMAGE("https://m.media-amazon.com/images/I/41SEWCwniGS._AC_UL320_.jpg")</f>
        <v>#NAME?</v>
      </c>
      <c r="I2930" t="s">
        <v>577</v>
      </c>
      <c r="J2930">
        <v>29.98</v>
      </c>
      <c r="K2930" s="4">
        <v>0.49969999999999998</v>
      </c>
      <c r="L2930">
        <v>5</v>
      </c>
      <c r="M2930">
        <v>1</v>
      </c>
      <c r="O2930" t="s">
        <v>25</v>
      </c>
      <c r="P2930" t="s">
        <v>6924</v>
      </c>
      <c r="Q2930" t="s">
        <v>7121</v>
      </c>
    </row>
    <row r="2931" spans="1:17" ht="15.5" x14ac:dyDescent="0.35">
      <c r="A2931"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2931" s="3" t="str">
        <f>HYPERLINK("https://edmondsonsupply.com/products/klein-tools-935dagl-digital-level-with-programmable-angles", "https://edmondsonsupply.com/products/klein-tools-935dagl-digital-level-with-programmable-angles")</f>
        <v>https://edmondsonsupply.com/products/klein-tools-935dagl-digital-level-with-programmable-angles</v>
      </c>
      <c r="C2931" t="s">
        <v>7122</v>
      </c>
      <c r="D2931" t="s">
        <v>1925</v>
      </c>
      <c r="E2931" s="3" t="str">
        <f>HYPERLINK("https://www.amazon.com/Klein-Tools-935DAGL-Electronic-Measures/dp/B0BNL46JTV/ref=sr_1_2?keywords=Klein+Tools+935DAGL+Digital+Level+with+Programmable+Angles&amp;qid=1695174178&amp;sr=8-2", "https://www.amazon.com/Klein-Tools-935DAGL-Electronic-Measures/dp/B0BNL46JTV/ref=sr_1_2?keywords=Klein+Tools+935DAGL+Digital+Level+with+Programmable+Angles&amp;qid=1695174178&amp;sr=8-2")</f>
        <v>https://www.amazon.com/Klein-Tools-935DAGL-Electronic-Measures/dp/B0BNL46JTV/ref=sr_1_2?keywords=Klein+Tools+935DAGL+Digital+Level+with+Programmable+Angles&amp;qid=1695174178&amp;sr=8-2</v>
      </c>
      <c r="F2931" t="s">
        <v>1926</v>
      </c>
      <c r="G2931" t="e">
        <f ca="1">_xludf.IMAGE("https://edmondsonsupply.com/cdn/shop/products/935dagl.jpg?v=1660749694")</f>
        <v>#NAME?</v>
      </c>
      <c r="H2931" t="e">
        <f ca="1">_xludf.IMAGE("https://m.media-amazon.com/images/I/518pZRTQawL._AC_UL320_.jpg")</f>
        <v>#NAME?</v>
      </c>
      <c r="I2931" t="s">
        <v>5197</v>
      </c>
      <c r="J2931">
        <v>89.94</v>
      </c>
      <c r="K2931" s="4">
        <v>0.49969999999999998</v>
      </c>
      <c r="L2931">
        <v>4.7</v>
      </c>
      <c r="M2931">
        <v>5</v>
      </c>
      <c r="O2931" t="s">
        <v>25</v>
      </c>
      <c r="P2931" t="s">
        <v>7123</v>
      </c>
      <c r="Q2931" t="s">
        <v>7124</v>
      </c>
    </row>
    <row r="2932" spans="1:17" ht="15.5" x14ac:dyDescent="0.35">
      <c r="A2932"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2932" s="3" t="str">
        <f>HYPERLINK("https://edmondsonsupply.com/products/klein-tools-32907-7-in-1-impact-flip-socket-set-no-handle", "https://edmondsonsupply.com/products/klein-tools-32907-7-in-1-impact-flip-socket-set-no-handle")</f>
        <v>https://edmondsonsupply.com/products/klein-tools-32907-7-in-1-impact-flip-socket-set-no-handle</v>
      </c>
      <c r="C2932" t="s">
        <v>1833</v>
      </c>
      <c r="D2932" t="s">
        <v>3143</v>
      </c>
      <c r="E2932" s="3" t="str">
        <f>HYPERLINK("https://www.amazon.com/Klein-Tools-Precision-Screwdriver-Multi-Function/dp/B0CB12C2ND/ref=sr_1_10?keywords=Klein+Tools+32907+7-in-1+Impact+Flip+Socket+Set%2C+No+Handle&amp;qid=1695173886&amp;sr=8-10", "https://www.amazon.com/Klein-Tools-Precision-Screwdriver-Multi-Function/dp/B0CB12C2ND/ref=sr_1_10?keywords=Klein+Tools+32907+7-in-1+Impact+Flip+Socket+Set%2C+No+Handle&amp;qid=1695173886&amp;sr=8-10")</f>
        <v>https://www.amazon.com/Klein-Tools-Precision-Screwdriver-Multi-Function/dp/B0CB12C2ND/ref=sr_1_10?keywords=Klein+Tools+32907+7-in-1+Impact+Flip+Socket+Set%2C+No+Handle&amp;qid=1695173886&amp;sr=8-10</v>
      </c>
      <c r="F2932" t="s">
        <v>3144</v>
      </c>
      <c r="G2932" t="e">
        <f ca="1">_xludf.IMAGE("https://edmondsonsupply.com/cdn/shop/products/32907_b.jpg?v=1666025282")</f>
        <v>#NAME?</v>
      </c>
      <c r="H2932" t="e">
        <f ca="1">_xludf.IMAGE("https://m.media-amazon.com/images/I/51QIIQOlsBL._AC_UL320_.jpg")</f>
        <v>#NAME?</v>
      </c>
      <c r="I2932" t="s">
        <v>577</v>
      </c>
      <c r="J2932">
        <v>29.97</v>
      </c>
      <c r="K2932" s="4">
        <v>0.49919999999999998</v>
      </c>
      <c r="L2932">
        <v>4.9000000000000004</v>
      </c>
      <c r="M2932">
        <v>2770</v>
      </c>
      <c r="O2932" t="s">
        <v>25</v>
      </c>
      <c r="P2932" t="s">
        <v>1836</v>
      </c>
      <c r="Q2932" t="s">
        <v>1837</v>
      </c>
    </row>
    <row r="2933" spans="1:17" ht="15.5" x14ac:dyDescent="0.35">
      <c r="A2933"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2933" s="3" t="str">
        <f>HYPERLINK("https://edmondsonsupply.com/products/klein-tools-et45-ac-dc-voltage-tester", "https://edmondsonsupply.com/products/klein-tools-et45-ac-dc-voltage-tester")</f>
        <v>https://edmondsonsupply.com/products/klein-tools-et45-ac-dc-voltage-tester</v>
      </c>
      <c r="C2933" t="s">
        <v>6080</v>
      </c>
      <c r="D2933" t="s">
        <v>7125</v>
      </c>
      <c r="E2933" s="3" t="str">
        <f>HYPERLINK("https://www.amazon.com/Receptacle-Electrical-Klein-Tools-ET45VP/dp/B08Y63ZG1B/ref=sr_1_3?keywords=Klein+Tools+ET45+AC%2FDC+Voltage+Tester&amp;qid=1695174290&amp;sr=8-3", "https://www.amazon.com/Receptacle-Electrical-Klein-Tools-ET45VP/dp/B08Y63ZG1B/ref=sr_1_3?keywords=Klein+Tools+ET45+AC%2FDC+Voltage+Tester&amp;qid=1695174290&amp;sr=8-3")</f>
        <v>https://www.amazon.com/Receptacle-Electrical-Klein-Tools-ET45VP/dp/B08Y63ZG1B/ref=sr_1_3?keywords=Klein+Tools+ET45+AC%2FDC+Voltage+Tester&amp;qid=1695174290&amp;sr=8-3</v>
      </c>
      <c r="F2933" t="s">
        <v>7126</v>
      </c>
      <c r="G2933" t="e">
        <f ca="1">_xludf.IMAGE("https://edmondsonsupply.com/cdn/shop/products/et45.jpg?v=1647786270")</f>
        <v>#NAME?</v>
      </c>
      <c r="H2933" t="e">
        <f ca="1">_xludf.IMAGE("https://m.media-amazon.com/images/I/51g9gSN+3SL._AC_UL320_.jpg")</f>
        <v>#NAME?</v>
      </c>
      <c r="I2933" t="s">
        <v>2337</v>
      </c>
      <c r="J2933">
        <v>17.97</v>
      </c>
      <c r="K2933" s="4">
        <v>0.49869999999999998</v>
      </c>
      <c r="L2933">
        <v>4.5999999999999996</v>
      </c>
      <c r="M2933">
        <v>241</v>
      </c>
      <c r="O2933" t="s">
        <v>25</v>
      </c>
      <c r="P2933" t="s">
        <v>6083</v>
      </c>
      <c r="Q2933" t="s">
        <v>6084</v>
      </c>
    </row>
    <row r="2934" spans="1:17" ht="15.5" x14ac:dyDescent="0.35">
      <c r="A2934"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2934"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2934" t="s">
        <v>5837</v>
      </c>
      <c r="D2934" t="s">
        <v>5838</v>
      </c>
      <c r="E2934" s="3" t="str">
        <f>HYPERLINK("https://www.amazon.com/Diablo-SDS-Max-4-Cutter-Carbide-Tipped-Hammer/dp/B089LHKFQ2/ref=sr_1_3?keywords=Diablo+Tools+DMAMXCC5010+2+in.+x+7+in.+SDS-Max+Carbide+Tipped+Core+Bit&amp;qid=1695174008&amp;sr=8-3", "https://www.amazon.com/Diablo-SDS-Max-4-Cutter-Carbide-Tipped-Hammer/dp/B089LHKFQ2/ref=sr_1_3?keywords=Diablo+Tools+DMAMXCC5010+2+in.+x+7+in.+SDS-Max+Carbide+Tipped+Core+Bit&amp;qid=1695174008&amp;sr=8-3")</f>
        <v>https://www.amazon.com/Diablo-SDS-Max-4-Cutter-Carbide-Tipped-Hammer/dp/B089LHKFQ2/ref=sr_1_3?keywords=Diablo+Tools+DMAMXCC5010+2+in.+x+7+in.+SDS-Max+Carbide+Tipped+Core+Bit&amp;qid=1695174008&amp;sr=8-3</v>
      </c>
      <c r="F2934" t="s">
        <v>5839</v>
      </c>
      <c r="G2934" t="e">
        <f ca="1">_xludf.IMAGE("https://edmondsonsupply.com/cdn/shop/files/kbs61qpkymnshwvx13k1.webp?v=1686583113")</f>
        <v>#NAME?</v>
      </c>
      <c r="H2934" t="e">
        <f ca="1">_xludf.IMAGE("https://m.media-amazon.com/images/I/61p4Q032qYL._AC_UL320_.jpg")</f>
        <v>#NAME?</v>
      </c>
      <c r="I2934" t="s">
        <v>5840</v>
      </c>
      <c r="J2934">
        <v>151.99</v>
      </c>
      <c r="K2934" s="4">
        <v>0.49759999999999999</v>
      </c>
      <c r="L2934">
        <v>4.4000000000000004</v>
      </c>
      <c r="M2934">
        <v>4</v>
      </c>
      <c r="O2934" t="s">
        <v>25</v>
      </c>
      <c r="P2934" t="s">
        <v>5841</v>
      </c>
      <c r="Q2934" t="s">
        <v>5842</v>
      </c>
    </row>
    <row r="2935" spans="1:17" ht="15.5" x14ac:dyDescent="0.35">
      <c r="A2935"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2935"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2935" t="s">
        <v>6437</v>
      </c>
      <c r="D2935" t="s">
        <v>5844</v>
      </c>
      <c r="E2935" s="3" t="str">
        <f>HYPERLINK("https://www.amazon.com/Milwaukee-48-39-0521-Compact-Portable-Blade/dp/B002ZC81DO/ref=sr_1_2?keywords=Milwaukee+48-39-0572+18+TPI+Standard+Compact+Portable+Band+Saw+Blade+BULK+100&amp;qid=1695174058&amp;sr=8-2", "https://www.amazon.com/Milwaukee-48-39-0521-Compact-Portable-Blade/dp/B002ZC81DO/ref=sr_1_2?keywords=Milwaukee+48-39-0572+18+TPI+Standard+Compact+Portable+Band+Saw+Blade+BULK+100&amp;qid=1695174058&amp;sr=8-2")</f>
        <v>https://www.amazon.com/Milwaukee-48-39-0521-Compact-Portable-Blade/dp/B002ZC81DO/ref=sr_1_2?keywords=Milwaukee+48-39-0572+18+TPI+Standard+Compact+Portable+Band+Saw+Blade+BULK+100&amp;qid=1695174058&amp;sr=8-2</v>
      </c>
      <c r="F2935" t="s">
        <v>5845</v>
      </c>
      <c r="G2935" t="e">
        <f ca="1">_xludf.IMAGE("https://edmondsonsupply.com/cdn/shop/products/21432_48-39-0510.jpg?v=1678901662")</f>
        <v>#NAME?</v>
      </c>
      <c r="H2935" t="e">
        <f ca="1">_xludf.IMAGE("https://m.media-amazon.com/images/I/41tfNWcm0oL._AC_UL320_.jpg")</f>
        <v>#NAME?</v>
      </c>
      <c r="I2935" t="s">
        <v>2247</v>
      </c>
      <c r="J2935">
        <v>32.9</v>
      </c>
      <c r="K2935" s="4">
        <v>0.4975</v>
      </c>
      <c r="L2935">
        <v>4.3</v>
      </c>
      <c r="M2935">
        <v>32</v>
      </c>
      <c r="O2935" t="s">
        <v>25</v>
      </c>
      <c r="P2935" t="s">
        <v>6313</v>
      </c>
      <c r="Q2935" t="s">
        <v>6438</v>
      </c>
    </row>
    <row r="2936" spans="1:17" ht="15.5" x14ac:dyDescent="0.35">
      <c r="A2936"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2936" s="3" t="str">
        <f>HYPERLINK("https://edmondsonsupply.com/products/milwaukee-48-39-0521-18-tpi-band-saw-blade-deep-cut-3-pack", "https://edmondsonsupply.com/products/milwaukee-48-39-0521-18-tpi-band-saw-blade-deep-cut-3-pack")</f>
        <v>https://edmondsonsupply.com/products/milwaukee-48-39-0521-18-tpi-band-saw-blade-deep-cut-3-pack</v>
      </c>
      <c r="C2936" t="s">
        <v>5843</v>
      </c>
      <c r="D2936" t="s">
        <v>5844</v>
      </c>
      <c r="E2936" s="3" t="str">
        <f>HYPERLINK("https://www.amazon.com/Milwaukee-48-39-0521-Compact-Portable-Blade/dp/B002ZC81DO/ref=sr_1_1?keywords=Milwaukee+48-39-0521+18+TPI+Band+Saw+Blade%2C+Deep+Cut-+3+Pack&amp;qid=1695174009&amp;sr=8-1", "https://www.amazon.com/Milwaukee-48-39-0521-Compact-Portable-Blade/dp/B002ZC81DO/ref=sr_1_1?keywords=Milwaukee+48-39-0521+18+TPI+Band+Saw+Blade%2C+Deep+Cut-+3+Pack&amp;qid=1695174009&amp;sr=8-1")</f>
        <v>https://www.amazon.com/Milwaukee-48-39-0521-Compact-Portable-Blade/dp/B002ZC81DO/ref=sr_1_1?keywords=Milwaukee+48-39-0521+18+TPI+Band+Saw+Blade%2C+Deep+Cut-+3+Pack&amp;qid=1695174009&amp;sr=8-1</v>
      </c>
      <c r="F2936" t="s">
        <v>5845</v>
      </c>
      <c r="G2936" t="e">
        <f ca="1">_xludf.IMAGE("https://edmondsonsupply.com/cdn/shop/files/21432_48-39-0510_1.jpg?v=1686932969")</f>
        <v>#NAME?</v>
      </c>
      <c r="H2936" t="e">
        <f ca="1">_xludf.IMAGE("https://m.media-amazon.com/images/I/41tfNWcm0oL._AC_UL320_.jpg")</f>
        <v>#NAME?</v>
      </c>
      <c r="I2936" t="s">
        <v>2247</v>
      </c>
      <c r="J2936">
        <v>32.9</v>
      </c>
      <c r="K2936" s="4">
        <v>0.4975</v>
      </c>
      <c r="L2936">
        <v>4.3</v>
      </c>
      <c r="M2936">
        <v>32</v>
      </c>
      <c r="O2936" t="s">
        <v>25</v>
      </c>
      <c r="P2936" t="s">
        <v>5846</v>
      </c>
      <c r="Q2936" t="s">
        <v>5847</v>
      </c>
    </row>
    <row r="2937" spans="1:17" ht="15.5" x14ac:dyDescent="0.35">
      <c r="A2937"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2937" s="3" t="str">
        <f>HYPERLINK("https://edmondsonsupply.com/products/klein-tools-d502-10-pump-pliers-10-inch", "https://edmondsonsupply.com/products/klein-tools-d502-10-pump-pliers-10-inch")</f>
        <v>https://edmondsonsupply.com/products/klein-tools-d502-10-pump-pliers-10-inch</v>
      </c>
      <c r="C2937" t="s">
        <v>6607</v>
      </c>
      <c r="D2937" t="s">
        <v>7127</v>
      </c>
      <c r="E2937" s="3" t="str">
        <f>HYPERLINK("https://www.amazon.com/Pliers-10-Inch-Klein-Tools-D502-10TT/dp/B072BQM873/ref=sr_1_3?keywords=Klein+Tools+D502-10+Pump+Pliers%2C+10-Inch&amp;qid=1695174291&amp;sr=8-3", "https://www.amazon.com/Pliers-10-Inch-Klein-Tools-D502-10TT/dp/B072BQM873/ref=sr_1_3?keywords=Klein+Tools+D502-10+Pump+Pliers%2C+10-Inch&amp;qid=1695174291&amp;sr=8-3")</f>
        <v>https://www.amazon.com/Pliers-10-Inch-Klein-Tools-D502-10TT/dp/B072BQM873/ref=sr_1_3?keywords=Klein+Tools+D502-10+Pump+Pliers%2C+10-Inch&amp;qid=1695174291&amp;sr=8-3</v>
      </c>
      <c r="F2937" t="s">
        <v>7128</v>
      </c>
      <c r="G2937" t="e">
        <f ca="1">_xludf.IMAGE("https://edmondsonsupply.com/cdn/shop/products/d50210_alt1.jpg?v=1633030884")</f>
        <v>#NAME?</v>
      </c>
      <c r="H2937" t="e">
        <f ca="1">_xludf.IMAGE("https://m.media-amazon.com/images/I/41M283brlxL._AC_UL320_.jpg")</f>
        <v>#NAME?</v>
      </c>
      <c r="I2937" t="s">
        <v>471</v>
      </c>
      <c r="J2937">
        <v>37.4</v>
      </c>
      <c r="K2937" s="4">
        <v>0.49659999999999999</v>
      </c>
      <c r="L2937">
        <v>5</v>
      </c>
      <c r="M2937">
        <v>2</v>
      </c>
      <c r="O2937" t="s">
        <v>25</v>
      </c>
      <c r="P2937" t="s">
        <v>6610</v>
      </c>
      <c r="Q2937" t="s">
        <v>6611</v>
      </c>
    </row>
    <row r="2938" spans="1:17" ht="15.5" x14ac:dyDescent="0.35">
      <c r="A2938"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2938" s="3" t="str">
        <f>HYPERLINK("https://edmondsonsupply.com/products/klein-tools-32900-7-in-1-impact-flip-socket-with-handle", "https://edmondsonsupply.com/products/klein-tools-32900-7-in-1-impact-flip-socket-with-handle")</f>
        <v>https://edmondsonsupply.com/products/klein-tools-32900-7-in-1-impact-flip-socket-with-handle</v>
      </c>
      <c r="C2938" t="s">
        <v>6184</v>
      </c>
      <c r="D2938" t="s">
        <v>2674</v>
      </c>
      <c r="E2938" s="3" t="str">
        <f>HYPERLINK("https://www.amazon.com/Adjustable-Screwdriver-Drivers-Klein-Tools/dp/B09Y84RPSB/ref=sr_1_7?keywords=Klein+Tools+32900+7-in-1+Impact+Flip+Socket+with+Handle&amp;qid=1695174143&amp;sr=8-7", "https://www.amazon.com/Adjustable-Screwdriver-Drivers-Klein-Tools/dp/B09Y84RPSB/ref=sr_1_7?keywords=Klein+Tools+32900+7-in-1+Impact+Flip+Socket+with+Handle&amp;qid=1695174143&amp;sr=8-7")</f>
        <v>https://www.amazon.com/Adjustable-Screwdriver-Drivers-Klein-Tools/dp/B09Y84RPSB/ref=sr_1_7?keywords=Klein+Tools+32900+7-in-1+Impact+Flip+Socket+with+Handle&amp;qid=1695174143&amp;sr=8-7</v>
      </c>
      <c r="F2938" t="s">
        <v>2675</v>
      </c>
      <c r="G2938" t="e">
        <f ca="1">_xludf.IMAGE("https://edmondsonsupply.com/cdn/shop/products/32900_b.jpg?v=1666024787")</f>
        <v>#NAME?</v>
      </c>
      <c r="H2938" t="e">
        <f ca="1">_xludf.IMAGE("https://m.media-amazon.com/images/I/41KTNungRUL._AC_UL320_.jpg")</f>
        <v>#NAME?</v>
      </c>
      <c r="I2938" t="s">
        <v>824</v>
      </c>
      <c r="J2938">
        <v>44.76</v>
      </c>
      <c r="K2938" s="4">
        <v>0.49349999999999999</v>
      </c>
      <c r="L2938">
        <v>4.8</v>
      </c>
      <c r="M2938">
        <v>88</v>
      </c>
      <c r="O2938" t="s">
        <v>25</v>
      </c>
      <c r="P2938" t="s">
        <v>73</v>
      </c>
      <c r="Q2938" t="s">
        <v>6187</v>
      </c>
    </row>
    <row r="2939" spans="1:17" ht="15.5" x14ac:dyDescent="0.35">
      <c r="A2939" s="3" t="str">
        <f>HYPERLINK("https://edmondsonsupply.com/collections/electricians-tools/products/rack-a-tiers-65300-ladder-mate", "https://edmondsonsupply.com/collections/electricians-tools/products/rack-a-tiers-65300-ladder-mate")</f>
        <v>https://edmondsonsupply.com/collections/electricians-tools/products/rack-a-tiers-65300-ladder-mate</v>
      </c>
      <c r="B2939" s="3" t="str">
        <f>HYPERLINK("https://edmondsonsupply.com/products/rack-a-tiers-65300-ladder-mate", "https://edmondsonsupply.com/products/rack-a-tiers-65300-ladder-mate")</f>
        <v>https://edmondsonsupply.com/products/rack-a-tiers-65300-ladder-mate</v>
      </c>
      <c r="C2939" t="s">
        <v>257</v>
      </c>
      <c r="D2939" t="s">
        <v>257</v>
      </c>
      <c r="E2939" s="3" t="str">
        <f>HYPERLINK("https://www.amazon.com/Rack-A-Tiers-CECOMINOD071287-65300-Ladder-Mate/dp/B00ZVDLDZ2/ref=sr_1_1?keywords=Rack-A-Tiers+65300+Ladder+Mate&amp;qid=1695173847&amp;sr=8-1", "https://www.amazon.com/Rack-A-Tiers-CECOMINOD071287-65300-Ladder-Mate/dp/B00ZVDLDZ2/ref=sr_1_1?keywords=Rack-A-Tiers+65300+Ladder+Mate&amp;qid=1695173847&amp;sr=8-1")</f>
        <v>https://www.amazon.com/Rack-A-Tiers-CECOMINOD071287-65300-Ladder-Mate/dp/B00ZVDLDZ2/ref=sr_1_1?keywords=Rack-A-Tiers+65300+Ladder+Mate&amp;qid=1695173847&amp;sr=8-1</v>
      </c>
      <c r="F2939" t="s">
        <v>426</v>
      </c>
      <c r="G2939" t="e">
        <f ca="1">_xludf.IMAGE("https://edmondsonsupply.com/cdn/shop/products/65300-Ladder-Mate.png?v=1633031066")</f>
        <v>#NAME?</v>
      </c>
      <c r="H2939" t="e">
        <f ca="1">_xludf.IMAGE("https://m.media-amazon.com/images/I/41fRbR1BozL._AC_UL320_.jpg")</f>
        <v>#NAME?</v>
      </c>
      <c r="I2939" t="s">
        <v>260</v>
      </c>
      <c r="J2939">
        <v>49.99</v>
      </c>
      <c r="K2939" s="4">
        <v>0.49270000000000003</v>
      </c>
      <c r="L2939">
        <v>4.8</v>
      </c>
      <c r="M2939">
        <v>145</v>
      </c>
      <c r="O2939" t="s">
        <v>25</v>
      </c>
      <c r="P2939" t="s">
        <v>261</v>
      </c>
      <c r="Q2939" t="s">
        <v>262</v>
      </c>
    </row>
    <row r="2940" spans="1:17" ht="15.5" x14ac:dyDescent="0.35">
      <c r="A2940" s="3" t="str">
        <f>HYPERLINK("https://edmondsonsupply.com/collections/electricians-tools/products/milwaukee-2880-22-m18-fuel%E2%84%A2-4-1-2-5-grinder-paddle-switch-no-lock-kit", "https://edmondsonsupply.com/collections/electricians-tools/products/milwaukee-2880-22-m18-fuel%E2%84%A2-4-1-2-5-grinder-paddle-switch-no-lock-kit")</f>
        <v>https://edmondsonsupply.com/collections/electricians-tools/products/milwaukee-2880-22-m18-fuel%E2%84%A2-4-1-2-5-grinder-paddle-switch-no-lock-kit</v>
      </c>
      <c r="B2940" s="3" t="str">
        <f>HYPERLINK("https://edmondsonsupply.com/products/milwaukee-2880-22-m18-fuel%e2%84%a2-4-1-2-5-grinder-paddle-switch-no-lock-kit", "https://edmondsonsupply.com/products/milwaukee-2880-22-m18-fuel%e2%84%a2-4-1-2-5-grinder-paddle-switch-no-lock-kit")</f>
        <v>https://edmondsonsupply.com/products/milwaukee-2880-22-m18-fuel%e2%84%a2-4-1-2-5-grinder-paddle-switch-no-lock-kit</v>
      </c>
      <c r="C2940" t="s">
        <v>7129</v>
      </c>
      <c r="D2940" t="s">
        <v>6322</v>
      </c>
      <c r="E2940" s="3" t="str">
        <f>HYPERLINK("https://www.amazon.com/Milwaukee-2780-22-Grinder-Paddle-No-Lock/dp/B01N45B1K5/ref=sr_1_2?keywords=Milwaukee+2880-22+M18+FUEL%E2%84%A2+4-1%2F2%22+%2F+5%22+Grinder+Paddle+Switch%2C+No-Lock+%28Kit%29&amp;qid=1695174132&amp;sr=8-2", "https://www.amazon.com/Milwaukee-2780-22-Grinder-Paddle-No-Lock/dp/B01N45B1K5/ref=sr_1_2?keywords=Milwaukee+2880-22+M18+FUEL%E2%84%A2+4-1%2F2%22+%2F+5%22+Grinder+Paddle+Switch%2C+No-Lock+%28Kit%29&amp;qid=1695174132&amp;sr=8-2")</f>
        <v>https://www.amazon.com/Milwaukee-2780-22-Grinder-Paddle-No-Lock/dp/B01N45B1K5/ref=sr_1_2?keywords=Milwaukee+2880-22+M18+FUEL%E2%84%A2+4-1%2F2%22+%2F+5%22+Grinder+Paddle+Switch%2C+No-Lock+%28Kit%29&amp;qid=1695174132&amp;sr=8-2</v>
      </c>
      <c r="F2940" t="s">
        <v>6323</v>
      </c>
      <c r="G2940" t="e">
        <f ca="1">_xludf.IMAGE("https://edmondsonsupply.com/cdn/shop/products/2880-22_1.png?v=1668015986")</f>
        <v>#NAME?</v>
      </c>
      <c r="H2940" t="e">
        <f ca="1">_xludf.IMAGE("https://m.media-amazon.com/images/I/61hjyVlQ1pL._AC_UL320_.jpg")</f>
        <v>#NAME?</v>
      </c>
      <c r="I2940" t="s">
        <v>7130</v>
      </c>
      <c r="J2940">
        <v>669.99</v>
      </c>
      <c r="K2940" s="4">
        <v>0.49220000000000003</v>
      </c>
      <c r="L2940">
        <v>5</v>
      </c>
      <c r="M2940">
        <v>2</v>
      </c>
      <c r="O2940" t="s">
        <v>171</v>
      </c>
      <c r="P2940" t="s">
        <v>7131</v>
      </c>
      <c r="Q2940" t="s">
        <v>7132</v>
      </c>
    </row>
    <row r="2941" spans="1:17" ht="15.5" x14ac:dyDescent="0.35">
      <c r="A2941"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2941"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2941" t="s">
        <v>2391</v>
      </c>
      <c r="D2941" t="s">
        <v>3163</v>
      </c>
      <c r="E2941" s="3" t="str">
        <f>HYPERLINK("https://www.amazon.com/Journeyman-T-Handle-Klein-Tools-JTH9E14/dp/B004QVAH4I/ref=sr_1_6?keywords=Klein+Tools+JTH6E11+3%2F16-Inch+Hex+Key%2C+Journeyman+T-Handle%2C+6-Inch&amp;qid=1695173898&amp;sr=8-6", "https://www.amazon.com/Journeyman-T-Handle-Klein-Tools-JTH9E14/dp/B004QVAH4I/ref=sr_1_6?keywords=Klein+Tools+JTH6E11+3%2F16-Inch+Hex+Key%2C+Journeyman+T-Handle%2C+6-Inch&amp;qid=1695173898&amp;sr=8-6")</f>
        <v>https://www.amazon.com/Journeyman-T-Handle-Klein-Tools-JTH9E14/dp/B004QVAH4I/ref=sr_1_6?keywords=Klein+Tools+JTH6E11+3%2F16-Inch+Hex+Key%2C+Journeyman+T-Handle%2C+6-Inch&amp;qid=1695173898&amp;sr=8-6</v>
      </c>
      <c r="F2941" t="s">
        <v>3164</v>
      </c>
      <c r="G2941" t="e">
        <f ca="1">_xludf.IMAGE("https://edmondsonsupply.com/cdn/shop/products/jth6e15_0266106d-0a3b-44ba-997b-66db7749d83f.jpg?v=1587144829")</f>
        <v>#NAME?</v>
      </c>
      <c r="H2941" t="e">
        <f ca="1">_xludf.IMAGE("https://m.media-amazon.com/images/I/51Yb8h41vLL._AC_UL320_.jpg")</f>
        <v>#NAME?</v>
      </c>
      <c r="I2941" t="s">
        <v>2388</v>
      </c>
      <c r="J2941">
        <v>7.44</v>
      </c>
      <c r="K2941" s="4">
        <v>0.49099999999999999</v>
      </c>
      <c r="L2941">
        <v>4.8</v>
      </c>
      <c r="M2941">
        <v>114</v>
      </c>
      <c r="O2941" t="s">
        <v>25</v>
      </c>
      <c r="P2941" t="s">
        <v>2392</v>
      </c>
      <c r="Q2941" t="s">
        <v>2393</v>
      </c>
    </row>
    <row r="2942" spans="1:17" ht="15.5" x14ac:dyDescent="0.35">
      <c r="A2942"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2942" s="3" t="str">
        <f>HYPERLINK("https://edmondsonsupply.com/products/klein-tools-jth9m5-5-mm-hex-key-journeyman-t-handle-9-inch", "https://edmondsonsupply.com/products/klein-tools-jth9m5-5-mm-hex-key-journeyman-t-handle-9-inch")</f>
        <v>https://edmondsonsupply.com/products/klein-tools-jth9m5-5-mm-hex-key-journeyman-t-handle-9-inch</v>
      </c>
      <c r="C2942" t="s">
        <v>6167</v>
      </c>
      <c r="D2942" t="s">
        <v>3163</v>
      </c>
      <c r="E2942" s="3" t="str">
        <f>HYPERLINK("https://www.amazon.com/Journeyman-T-Handle-Klein-Tools-JTH9E14/dp/B004QVAH4I/ref=sr_1_5?keywords=Klein+Tools+JTH9M5+5+mm+Hex+Key%2C+Journeyman+T-Handle+9-Inch&amp;qid=1695174264&amp;sr=8-5", "https://www.amazon.com/Journeyman-T-Handle-Klein-Tools-JTH9E14/dp/B004QVAH4I/ref=sr_1_5?keywords=Klein+Tools+JTH9M5+5+mm+Hex+Key%2C+Journeyman+T-Handle+9-Inch&amp;qid=1695174264&amp;sr=8-5")</f>
        <v>https://www.amazon.com/Journeyman-T-Handle-Klein-Tools-JTH9E14/dp/B004QVAH4I/ref=sr_1_5?keywords=Klein+Tools+JTH9M5+5+mm+Hex+Key%2C+Journeyman+T-Handle+9-Inch&amp;qid=1695174264&amp;sr=8-5</v>
      </c>
      <c r="F2942" t="s">
        <v>3164</v>
      </c>
      <c r="G2942" t="e">
        <f ca="1">_xludf.IMAGE("https://edmondsonsupply.com/cdn/shop/products/jth9m_84ad507b-889a-4b5c-80a2-9633c898cd48.jpg?v=1633031048")</f>
        <v>#NAME?</v>
      </c>
      <c r="H2942" t="e">
        <f ca="1">_xludf.IMAGE("https://m.media-amazon.com/images/I/51Yb8h41vLL._AC_UL320_.jpg")</f>
        <v>#NAME?</v>
      </c>
      <c r="I2942" t="s">
        <v>2388</v>
      </c>
      <c r="J2942">
        <v>7.44</v>
      </c>
      <c r="K2942" s="4">
        <v>0.49099999999999999</v>
      </c>
      <c r="L2942">
        <v>4.8</v>
      </c>
      <c r="M2942">
        <v>114</v>
      </c>
      <c r="O2942" t="s">
        <v>25</v>
      </c>
      <c r="P2942" t="s">
        <v>6168</v>
      </c>
      <c r="Q2942" t="s">
        <v>6169</v>
      </c>
    </row>
    <row r="2943" spans="1:17" ht="15.5" x14ac:dyDescent="0.35">
      <c r="A2943"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2943" s="3" t="str">
        <f>HYPERLINK("https://edmondsonsupply.com/products/klein-tools-jth4e17-1-2-inch-hex-key-journeyman-t-handle-4-inch", "https://edmondsonsupply.com/products/klein-tools-jth4e17-1-2-inch-hex-key-journeyman-t-handle-4-inch")</f>
        <v>https://edmondsonsupply.com/products/klein-tools-jth4e17-1-2-inch-hex-key-journeyman-t-handle-4-inch</v>
      </c>
      <c r="C2943" t="s">
        <v>2385</v>
      </c>
      <c r="D2943" t="s">
        <v>3163</v>
      </c>
      <c r="E2943" s="3" t="str">
        <f>HYPERLINK("https://www.amazon.com/Journeyman-T-Handle-Klein-Tools-JTH9E14/dp/B004QVAH4I/ref=sr_1_2?keywords=Klein+Tools+JTH4E11+3%2F16-Inch+Hex+Key+with+Journeyman+T-Handle%2C+4-Inch&amp;qid=1695173897&amp;sr=8-2", "https://www.amazon.com/Journeyman-T-Handle-Klein-Tools-JTH9E14/dp/B004QVAH4I/ref=sr_1_2?keywords=Klein+Tools+JTH4E11+3%2F16-Inch+Hex+Key+with+Journeyman+T-Handle%2C+4-Inch&amp;qid=1695173897&amp;sr=8-2")</f>
        <v>https://www.amazon.com/Journeyman-T-Handle-Klein-Tools-JTH9E14/dp/B004QVAH4I/ref=sr_1_2?keywords=Klein+Tools+JTH4E11+3%2F16-Inch+Hex+Key+with+Journeyman+T-Handle%2C+4-Inch&amp;qid=1695173897&amp;sr=8-2</v>
      </c>
      <c r="F2943" t="s">
        <v>3164</v>
      </c>
      <c r="G2943" t="e">
        <f ca="1">_xludf.IMAGE("https://edmondsonsupply.com/cdn/shop/products/jth4e17.jpg?v=1587144836")</f>
        <v>#NAME?</v>
      </c>
      <c r="H2943" t="e">
        <f ca="1">_xludf.IMAGE("https://m.media-amazon.com/images/I/51Yb8h41vLL._AC_UL320_.jpg")</f>
        <v>#NAME?</v>
      </c>
      <c r="I2943" t="s">
        <v>2388</v>
      </c>
      <c r="J2943">
        <v>7.44</v>
      </c>
      <c r="K2943" s="4">
        <v>0.49099999999999999</v>
      </c>
      <c r="L2943">
        <v>4.8</v>
      </c>
      <c r="M2943">
        <v>114</v>
      </c>
      <c r="O2943" t="s">
        <v>25</v>
      </c>
      <c r="P2943" t="s">
        <v>2389</v>
      </c>
      <c r="Q2943" t="s">
        <v>2390</v>
      </c>
    </row>
    <row r="2944" spans="1:17" ht="15.5" x14ac:dyDescent="0.35">
      <c r="A2944"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2944"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2944" t="s">
        <v>2903</v>
      </c>
      <c r="D2944" t="s">
        <v>3170</v>
      </c>
      <c r="E2944" s="3" t="str">
        <f>HYPERLINK("https://www.amazon.com/Diablo-SDS-Max-4-Cutter-Carbide-Tipped-Hammer/dp/B089KXF4R5/ref=sr_1_10?keywords=Diablo+Tools+DMAMX1300+1-1%2F4+in.+x+16+in.+x+21+in.+Rebar+Demon%E2%84%A2+SDS-Max+4-Cutter+Full+Carbide+Head+Hammer+Drill+Bit&amp;qid=1695173871&amp;sr=8-10", "https://www.amazon.com/Diablo-SDS-Max-4-Cutter-Carbide-Tipped-Hammer/dp/B089KXF4R5/ref=sr_1_10?keywords=Diablo+Tools+DMAMX1300+1-1%2F4+in.+x+16+in.+x+21+in.+Rebar+Demon%E2%84%A2+SDS-Max+4-Cutter+Full+Carbide+Head+Hammer+Drill+Bit&amp;qid=1695173871&amp;sr=8-10")</f>
        <v>https://www.amazon.com/Diablo-SDS-Max-4-Cutter-Carbide-Tipped-Hammer/dp/B089KXF4R5/ref=sr_1_10?keywords=Diablo+Tools+DMAMX1300+1-1%2F4+in.+x+16+in.+x+21+in.+Rebar+Demon%E2%84%A2+SDS-Max+4-Cutter+Full+Carbide+Head+Hammer+Drill+Bit&amp;qid=1695173871&amp;sr=8-10</v>
      </c>
      <c r="F2944" t="s">
        <v>3171</v>
      </c>
      <c r="G2944" t="e">
        <f ca="1">_xludf.IMAGE("https://edmondsonsupply.com/cdn/shop/files/immoyh7jjmbau4fzhuq6_7dd7fd73-2865-4c12-9443-da45b48dbd51.webp?v=1685465465")</f>
        <v>#NAME?</v>
      </c>
      <c r="H2944" t="e">
        <f ca="1">_xludf.IMAGE("https://m.media-amazon.com/images/I/61MTkJ-cWaL._AC_UL320_.jpg")</f>
        <v>#NAME?</v>
      </c>
      <c r="I2944" t="s">
        <v>2906</v>
      </c>
      <c r="J2944">
        <v>98.99</v>
      </c>
      <c r="K2944" s="4">
        <v>0.49080000000000001</v>
      </c>
      <c r="L2944">
        <v>5</v>
      </c>
      <c r="M2944">
        <v>5</v>
      </c>
      <c r="O2944" t="s">
        <v>171</v>
      </c>
      <c r="P2944" t="s">
        <v>2907</v>
      </c>
      <c r="Q2944" t="s">
        <v>2908</v>
      </c>
    </row>
    <row r="2945" spans="1:17" ht="15.5" x14ac:dyDescent="0.35">
      <c r="A2945"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2945" s="3" t="str">
        <f>HYPERLINK("https://edmondsonsupply.com/products/klein-tools-jth9m5-5-mm-hex-key-journeyman-t-handle-9-inch", "https://edmondsonsupply.com/products/klein-tools-jth9m5-5-mm-hex-key-journeyman-t-handle-9-inch")</f>
        <v>https://edmondsonsupply.com/products/klein-tools-jth9m5-5-mm-hex-key-journeyman-t-handle-9-inch</v>
      </c>
      <c r="C2945" t="s">
        <v>6167</v>
      </c>
      <c r="D2945" t="s">
        <v>3172</v>
      </c>
      <c r="E2945" s="3" t="str">
        <f>HYPERLINK("https://www.amazon.com/Journeyman-T-Handle-Klein-Tools-JTH6M5BE/dp/B005G3959S/ref=sr_1_4?keywords=Klein+Tools+JTH9M5+5+mm+Hex+Key%2C+Journeyman+T-Handle+9-Inch&amp;qid=1695174264&amp;sr=8-4", "https://www.amazon.com/Journeyman-T-Handle-Klein-Tools-JTH6M5BE/dp/B005G3959S/ref=sr_1_4?keywords=Klein+Tools+JTH9M5+5+mm+Hex+Key%2C+Journeyman+T-Handle+9-Inch&amp;qid=1695174264&amp;sr=8-4")</f>
        <v>https://www.amazon.com/Journeyman-T-Handle-Klein-Tools-JTH6M5BE/dp/B005G3959S/ref=sr_1_4?keywords=Klein+Tools+JTH9M5+5+mm+Hex+Key%2C+Journeyman+T-Handle+9-Inch&amp;qid=1695174264&amp;sr=8-4</v>
      </c>
      <c r="F2945" t="s">
        <v>3173</v>
      </c>
      <c r="G2945" t="e">
        <f ca="1">_xludf.IMAGE("https://edmondsonsupply.com/cdn/shop/products/jth9m_84ad507b-889a-4b5c-80a2-9633c898cd48.jpg?v=1633031048")</f>
        <v>#NAME?</v>
      </c>
      <c r="H2945" t="e">
        <f ca="1">_xludf.IMAGE("https://m.media-amazon.com/images/I/51huXA+ij8L._AC_UL320_.jpg")</f>
        <v>#NAME?</v>
      </c>
      <c r="I2945" t="s">
        <v>2388</v>
      </c>
      <c r="J2945">
        <v>7.43</v>
      </c>
      <c r="K2945" s="4">
        <v>0.48899999999999999</v>
      </c>
      <c r="L2945">
        <v>4.8</v>
      </c>
      <c r="M2945">
        <v>988</v>
      </c>
      <c r="O2945" t="s">
        <v>25</v>
      </c>
      <c r="P2945" t="s">
        <v>6168</v>
      </c>
      <c r="Q2945" t="s">
        <v>6169</v>
      </c>
    </row>
    <row r="2946" spans="1:17" ht="15.5" x14ac:dyDescent="0.35">
      <c r="A2946"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2946"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2946" t="s">
        <v>2391</v>
      </c>
      <c r="D2946" t="s">
        <v>3172</v>
      </c>
      <c r="E2946" s="3" t="str">
        <f>HYPERLINK("https://www.amazon.com/Journeyman-T-Handle-Klein-Tools-JTH6M5BE/dp/B005G3959S/ref=sr_1_3?keywords=Klein+Tools+JTH6E11+3%2F16-Inch+Hex+Key%2C+Journeyman+T-Handle%2C+6-Inch&amp;qid=1695173898&amp;sr=8-3", "https://www.amazon.com/Journeyman-T-Handle-Klein-Tools-JTH6M5BE/dp/B005G3959S/ref=sr_1_3?keywords=Klein+Tools+JTH6E11+3%2F16-Inch+Hex+Key%2C+Journeyman+T-Handle%2C+6-Inch&amp;qid=1695173898&amp;sr=8-3")</f>
        <v>https://www.amazon.com/Journeyman-T-Handle-Klein-Tools-JTH6M5BE/dp/B005G3959S/ref=sr_1_3?keywords=Klein+Tools+JTH6E11+3%2F16-Inch+Hex+Key%2C+Journeyman+T-Handle%2C+6-Inch&amp;qid=1695173898&amp;sr=8-3</v>
      </c>
      <c r="F2946" t="s">
        <v>3173</v>
      </c>
      <c r="G2946" t="e">
        <f ca="1">_xludf.IMAGE("https://edmondsonsupply.com/cdn/shop/products/jth6e15_0266106d-0a3b-44ba-997b-66db7749d83f.jpg?v=1587144829")</f>
        <v>#NAME?</v>
      </c>
      <c r="H2946" t="e">
        <f ca="1">_xludf.IMAGE("https://m.media-amazon.com/images/I/51huXA+ij8L._AC_UL320_.jpg")</f>
        <v>#NAME?</v>
      </c>
      <c r="I2946" t="s">
        <v>2388</v>
      </c>
      <c r="J2946">
        <v>7.43</v>
      </c>
      <c r="K2946" s="4">
        <v>0.48899999999999999</v>
      </c>
      <c r="L2946">
        <v>4.8</v>
      </c>
      <c r="M2946">
        <v>988</v>
      </c>
      <c r="O2946" t="s">
        <v>25</v>
      </c>
      <c r="P2946" t="s">
        <v>2392</v>
      </c>
      <c r="Q2946" t="s">
        <v>2393</v>
      </c>
    </row>
    <row r="2947" spans="1:17" ht="15.5" x14ac:dyDescent="0.35">
      <c r="A2947"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2947" s="3" t="str">
        <f>HYPERLINK("https://edmondsonsupply.com/products/diablo-tools-dag1130-1-in-x-7-1-2-in-auger-bit", "https://edmondsonsupply.com/products/diablo-tools-dag1130-1-in-x-7-1-2-in-auger-bit")</f>
        <v>https://edmondsonsupply.com/products/diablo-tools-dag1130-1-in-x-7-1-2-in-auger-bit</v>
      </c>
      <c r="C2947" t="s">
        <v>3530</v>
      </c>
      <c r="D2947" t="s">
        <v>7133</v>
      </c>
      <c r="E2947" s="3" t="str">
        <f>HYPERLINK("https://www.amazon.com/Diablo-Freud-DAG3050-17-1-Auger/dp/B089KWL81X/ref=sr_1_8?keywords=Diablo+Tools+DAG1130+1+in.+x+7-1%2F2+in.+Auger+Bit&amp;qid=1695173913&amp;sr=8-8", "https://www.amazon.com/Diablo-Freud-DAG3050-17-1-Auger/dp/B089KWL81X/ref=sr_1_8?keywords=Diablo+Tools+DAG1130+1+in.+x+7-1%2F2+in.+Auger+Bit&amp;qid=1695173913&amp;sr=8-8")</f>
        <v>https://www.amazon.com/Diablo-Freud-DAG3050-17-1-Auger/dp/B089KWL81X/ref=sr_1_8?keywords=Diablo+Tools+DAG1130+1+in.+x+7-1%2F2+in.+Auger+Bit&amp;qid=1695173913&amp;sr=8-8</v>
      </c>
      <c r="F2947" t="s">
        <v>7134</v>
      </c>
      <c r="G2947" t="e">
        <f ca="1">_xludf.IMAGE("https://edmondsonsupply.com/cdn/shop/products/DAG1130_Main-Image20200712.png?v=1633031124")</f>
        <v>#NAME?</v>
      </c>
      <c r="H2947" t="e">
        <f ca="1">_xludf.IMAGE("https://m.media-amazon.com/images/I/61DWkFmOdeL._AC_UL320_.jpg")</f>
        <v>#NAME?</v>
      </c>
      <c r="I2947" t="s">
        <v>3533</v>
      </c>
      <c r="J2947">
        <v>24.35</v>
      </c>
      <c r="K2947" s="4">
        <v>0.48749999999999999</v>
      </c>
      <c r="L2947">
        <v>4.3</v>
      </c>
      <c r="M2947">
        <v>20</v>
      </c>
      <c r="O2947" t="s">
        <v>25</v>
      </c>
      <c r="P2947" t="s">
        <v>3534</v>
      </c>
      <c r="Q2947" t="s">
        <v>3535</v>
      </c>
    </row>
    <row r="2948" spans="1:17" ht="15.5" x14ac:dyDescent="0.35">
      <c r="A2948"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2948"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2948" t="s">
        <v>3174</v>
      </c>
      <c r="D2948" t="s">
        <v>3175</v>
      </c>
      <c r="E2948" s="3" t="str">
        <f>HYPERLINK("https://www.amazon.com/Klein-Tools-Stripper-Stranded-Electrical/dp/B08XKMZF55/ref=sr_1_1?keywords=Klein+Tools+K12065CR+Klein-Kurve%C2%AE+Heavy-Duty+Wire+Stripper+%2F+Cutter+%2F+Crimper+Multi+Tool%2C+8-20+AWG&amp;qid=1695173857&amp;sr=8-1", "https://www.amazon.com/Klein-Tools-Stripper-Stranded-Electrical/dp/B08XKMZF55/ref=sr_1_1?keywords=Klein+Tools+K12065CR+Klein-Kurve%C2%AE+Heavy-Duty+Wire+Stripper+%2F+Cutter+%2F+Crimper+Multi+Tool%2C+8-20+AWG&amp;qid=1695173857&amp;sr=8-1")</f>
        <v>https://www.amazon.com/Klein-Tools-Stripper-Stranded-Electrical/dp/B08XKMZF55/ref=sr_1_1?keywords=Klein+Tools+K12065CR+Klein-Kurve%C2%AE+Heavy-Duty+Wire+Stripper+%2F+Cutter+%2F+Crimper+Multi+Tool%2C+8-20+AWG&amp;qid=1695173857&amp;sr=8-1</v>
      </c>
      <c r="F2948" t="s">
        <v>3176</v>
      </c>
      <c r="G2948" t="e">
        <f ca="1">_xludf.IMAGE("https://edmondsonsupply.com/cdn/shop/products/k12065cr_b.jpg?v=1650066835")</f>
        <v>#NAME?</v>
      </c>
      <c r="H2948" t="e">
        <f ca="1">_xludf.IMAGE("https://m.media-amazon.com/images/I/410rkxkOErL._AC_UL320_.jpg")</f>
        <v>#NAME?</v>
      </c>
      <c r="I2948" t="s">
        <v>246</v>
      </c>
      <c r="J2948">
        <v>59.45</v>
      </c>
      <c r="K2948" s="4">
        <v>0.4874</v>
      </c>
      <c r="L2948">
        <v>4.9000000000000004</v>
      </c>
      <c r="M2948">
        <v>14</v>
      </c>
      <c r="O2948" t="s">
        <v>25</v>
      </c>
      <c r="P2948" t="s">
        <v>3177</v>
      </c>
      <c r="Q2948" t="s">
        <v>3178</v>
      </c>
    </row>
    <row r="2949" spans="1:17" ht="15.5" x14ac:dyDescent="0.35">
      <c r="A2949" s="3" t="str">
        <f>HYPERLINK("https://edmondsonsupply.com/collections/electricians-tools/products/klein-tools-s18hb", "https://edmondsonsupply.com/collections/electricians-tools/products/klein-tools-s18hb")</f>
        <v>https://edmondsonsupply.com/collections/electricians-tools/products/klein-tools-s18hb</v>
      </c>
      <c r="B2949" s="3" t="str">
        <f>HYPERLINK("https://edmondsonsupply.com/products/klein-tools-s18hb", "https://edmondsonsupply.com/products/klein-tools-s18hb")</f>
        <v>https://edmondsonsupply.com/products/klein-tools-s18hb</v>
      </c>
      <c r="C2949" t="s">
        <v>4724</v>
      </c>
      <c r="D2949" t="s">
        <v>5573</v>
      </c>
      <c r="E2949" s="3" t="str">
        <f>HYPERLINK("https://www.amazon.com/Wrenches-18-Inch-Klein-Tools-S-18H/dp/B00093DYFQ/ref=sr_1_2?keywords=Klein+Tools+S18HB+Grip-It%E2%84%A2+Strap+Wrench%2C+1-1%2F8+to+8-Inch%2C+18-Inch+Handle&amp;qid=1695173985&amp;sr=8-2", "https://www.amazon.com/Wrenches-18-Inch-Klein-Tools-S-18H/dp/B00093DYFQ/ref=sr_1_2?keywords=Klein+Tools+S18HB+Grip-It%E2%84%A2+Strap+Wrench%2C+1-1%2F8+to+8-Inch%2C+18-Inch+Handle&amp;qid=1695173985&amp;sr=8-2")</f>
        <v>https://www.amazon.com/Wrenches-18-Inch-Klein-Tools-S-18H/dp/B00093DYFQ/ref=sr_1_2?keywords=Klein+Tools+S18HB+Grip-It%E2%84%A2+Strap+Wrench%2C+1-1%2F8+to+8-Inch%2C+18-Inch+Handle&amp;qid=1695173985&amp;sr=8-2</v>
      </c>
      <c r="F2949" t="s">
        <v>5574</v>
      </c>
      <c r="G2949" t="e">
        <f ca="1">_xludf.IMAGE("https://edmondsonsupply.com/cdn/shop/files/s18hb_b.jpg?v=1689785962")</f>
        <v>#NAME?</v>
      </c>
      <c r="H2949" t="e">
        <f ca="1">_xludf.IMAGE("https://m.media-amazon.com/images/I/41jmnfPST7L._AC_UL320_.jpg")</f>
        <v>#NAME?</v>
      </c>
      <c r="I2949" t="s">
        <v>905</v>
      </c>
      <c r="J2949">
        <v>88.99</v>
      </c>
      <c r="K2949" s="4">
        <v>0.4834</v>
      </c>
      <c r="L2949">
        <v>4.4000000000000004</v>
      </c>
      <c r="M2949">
        <v>149</v>
      </c>
      <c r="O2949" t="s">
        <v>25</v>
      </c>
      <c r="P2949" t="s">
        <v>4727</v>
      </c>
      <c r="Q2949" t="s">
        <v>4728</v>
      </c>
    </row>
    <row r="2950" spans="1:17" ht="15.5" x14ac:dyDescent="0.35">
      <c r="A2950" s="3" t="str">
        <f>HYPERLINK("https://edmondsonsupply.com/collections/electricians-tools/products/reed-mfg-r12dn-1-2-r12-segmental-dies-1-2-npt", "https://edmondsonsupply.com/collections/electricians-tools/products/reed-mfg-r12dn-1-2-r12-segmental-dies-1-2-npt")</f>
        <v>https://edmondsonsupply.com/collections/electricians-tools/products/reed-mfg-r12dn-1-2-r12-segmental-dies-1-2-npt</v>
      </c>
      <c r="B2950" s="3" t="str">
        <f>HYPERLINK("https://edmondsonsupply.com/products/reed-mfg-r12dn-1-2-r12-segmental-dies-1-2-npt", "https://edmondsonsupply.com/products/reed-mfg-r12dn-1-2-r12-segmental-dies-1-2-npt")</f>
        <v>https://edmondsonsupply.com/products/reed-mfg-r12dn-1-2-r12-segmental-dies-1-2-npt</v>
      </c>
      <c r="C2950" t="s">
        <v>7135</v>
      </c>
      <c r="D2950" t="s">
        <v>7136</v>
      </c>
      <c r="E2950" s="3" t="str">
        <f>HYPERLINK("https://www.amazon.com/Reed-Tool-R12DN-Segmental-1-Inch/dp/B001H4K78I/ref=sr_1_fkmr0_1?keywords=Reed+Mfg+R12DN+1%2F2+R12%2B+Segmental+Dies%2C+1%2F2%22+NPT&amp;qid=1695174267&amp;sr=8-1-fkmr0", "https://www.amazon.com/Reed-Tool-R12DN-Segmental-1-Inch/dp/B001H4K78I/ref=sr_1_fkmr0_1?keywords=Reed+Mfg+R12DN+1%2F2+R12%2B+Segmental+Dies%2C+1%2F2%22+NPT&amp;qid=1695174267&amp;sr=8-1-fkmr0")</f>
        <v>https://www.amazon.com/Reed-Tool-R12DN-Segmental-1-Inch/dp/B001H4K78I/ref=sr_1_fkmr0_1?keywords=Reed+Mfg+R12DN+1%2F2+R12%2B+Segmental+Dies%2C+1%2F2%22+NPT&amp;qid=1695174267&amp;sr=8-1-fkmr0</v>
      </c>
      <c r="F2950" t="s">
        <v>7137</v>
      </c>
      <c r="G2950" t="e">
        <f ca="1">_xludf.IMAGE("https://edmondsonsupply.com/cdn/shop/products/05608-R12DN3-4-dies-RGB.jpg?v=1633031014")</f>
        <v>#NAME?</v>
      </c>
      <c r="H2950" t="e">
        <f ca="1">_xludf.IMAGE("https://m.media-amazon.com/images/I/31dWFq4VtpL._AC_UY218_.jpg")</f>
        <v>#NAME?</v>
      </c>
      <c r="I2950" t="s">
        <v>946</v>
      </c>
      <c r="J2950">
        <v>66.73</v>
      </c>
      <c r="K2950" s="4">
        <v>0.48320000000000002</v>
      </c>
      <c r="L2950">
        <v>5</v>
      </c>
      <c r="M2950">
        <v>1</v>
      </c>
      <c r="O2950" t="s">
        <v>25</v>
      </c>
      <c r="P2950" t="s">
        <v>7138</v>
      </c>
      <c r="Q2950" t="s">
        <v>7139</v>
      </c>
    </row>
    <row r="2951" spans="1:17" ht="15.5" x14ac:dyDescent="0.35">
      <c r="A2951"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2951"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2951" t="s">
        <v>6595</v>
      </c>
      <c r="D2951" t="s">
        <v>7007</v>
      </c>
      <c r="E2951" s="3" t="str">
        <f>HYPERLINK("https://www.amazon.com/Klein-Tools-VDV526-200-Connections-VDV226-011-SEN/dp/B0B68N3CXD/ref=sr_1_6?keywords=Klein+Tools+VDV526-052+Cable+Tester%2C+LAN+Scout%C2%AE+Jr.+Continuity+Tester&amp;qid=1695174034&amp;sr=8-6", "https://www.amazon.com/Klein-Tools-VDV526-200-Connections-VDV226-011-SEN/dp/B0B68N3CXD/ref=sr_1_6?keywords=Klein+Tools+VDV526-052+Cable+Tester%2C+LAN+Scout%C2%AE+Jr.+Continuity+Tester&amp;qid=1695174034&amp;sr=8-6")</f>
        <v>https://www.amazon.com/Klein-Tools-VDV526-200-Connections-VDV226-011-SEN/dp/B0B68N3CXD/ref=sr_1_6?keywords=Klein+Tools+VDV526-052+Cable+Tester%2C+LAN+Scout%C2%AE+Jr.+Continuity+Tester&amp;qid=1695174034&amp;sr=8-6</v>
      </c>
      <c r="F2951" t="s">
        <v>7008</v>
      </c>
      <c r="G2951" t="e">
        <f ca="1">_xludf.IMAGE("https://edmondsonsupply.com/cdn/shop/files/vdv526-052.jpg?v=1685032494")</f>
        <v>#NAME?</v>
      </c>
      <c r="H2951" t="e">
        <f ca="1">_xludf.IMAGE("https://m.media-amazon.com/images/I/518UGdBFRNL._AC_UY218_.jpg")</f>
        <v>#NAME?</v>
      </c>
      <c r="I2951" t="s">
        <v>5197</v>
      </c>
      <c r="J2951">
        <v>88.94</v>
      </c>
      <c r="K2951" s="4">
        <v>0.48309999999999997</v>
      </c>
      <c r="L2951">
        <v>5</v>
      </c>
      <c r="M2951">
        <v>3</v>
      </c>
      <c r="O2951" t="s">
        <v>25</v>
      </c>
      <c r="P2951" t="s">
        <v>6596</v>
      </c>
      <c r="Q2951" t="s">
        <v>6597</v>
      </c>
    </row>
    <row r="2952" spans="1:17" ht="15.5" x14ac:dyDescent="0.35">
      <c r="A2952" s="3" t="str">
        <f>HYPERLINK("https://edmondsonsupply.com/collections/electricians-tools/products/klein-tools-s12hb-grip-it%E2%84%A2-strap-wrench-1-1-2-to-5-inch-12-inch-handle", "https://edmondsonsupply.com/collections/electricians-tools/products/klein-tools-s12hb-grip-it%E2%84%A2-strap-wrench-1-1-2-to-5-inch-12-inch-handle")</f>
        <v>https://edmondsonsupply.com/collections/electricians-tools/products/klein-tools-s12hb-grip-it%E2%84%A2-strap-wrench-1-1-2-to-5-inch-12-inch-handle</v>
      </c>
      <c r="B2952" s="3" t="str">
        <f>HYPERLINK("https://edmondsonsupply.com/products/klein-tools-s12hb-grip-it%e2%84%a2-strap-wrench-1-1-2-to-5-inch-12-inch-handle", "https://edmondsonsupply.com/products/klein-tools-s12hb-grip-it%e2%84%a2-strap-wrench-1-1-2-to-5-inch-12-inch-handle")</f>
        <v>https://edmondsonsupply.com/products/klein-tools-s12hb-grip-it%e2%84%a2-strap-wrench-1-1-2-to-5-inch-12-inch-handle</v>
      </c>
      <c r="C2952" t="s">
        <v>3065</v>
      </c>
      <c r="D2952" t="s">
        <v>3066</v>
      </c>
      <c r="E2952" s="3" t="str">
        <f>HYPERLINK("https://www.amazon.com/Klein-Tools-S-12H-Capacity-12-Inch/dp/B0000DINCH/ref=sr_1_2?keywords=Klein+Tools+S12HB+Grip-It%E2%84%A2+Strap+Wrench%2C+1-1%2F2+to+5-Inch%2C+12-Inch+Handle&amp;qid=1695173989&amp;sr=8-2", "https://www.amazon.com/Klein-Tools-S-12H-Capacity-12-Inch/dp/B0000DINCH/ref=sr_1_2?keywords=Klein+Tools+S12HB+Grip-It%E2%84%A2+Strap+Wrench%2C+1-1%2F2+to+5-Inch%2C+12-Inch+Handle&amp;qid=1695173989&amp;sr=8-2")</f>
        <v>https://www.amazon.com/Klein-Tools-S-12H-Capacity-12-Inch/dp/B0000DINCH/ref=sr_1_2?keywords=Klein+Tools+S12HB+Grip-It%E2%84%A2+Strap+Wrench%2C+1-1%2F2+to+5-Inch%2C+12-Inch+Handle&amp;qid=1695173989&amp;sr=8-2</v>
      </c>
      <c r="F2952" t="s">
        <v>3067</v>
      </c>
      <c r="G2952" t="e">
        <f ca="1">_xludf.IMAGE("https://edmondsonsupply.com/cdn/shop/files/s12hb_b.jpg?v=1689783564")</f>
        <v>#NAME?</v>
      </c>
      <c r="H2952" t="e">
        <f ca="1">_xludf.IMAGE("https://m.media-amazon.com/images/I/51vbjGI4zpL._AC_UL320_.jpg")</f>
        <v>#NAME?</v>
      </c>
      <c r="I2952" t="s">
        <v>577</v>
      </c>
      <c r="J2952">
        <v>29.64</v>
      </c>
      <c r="K2952" s="4">
        <v>0.48270000000000002</v>
      </c>
      <c r="L2952">
        <v>4.4000000000000004</v>
      </c>
      <c r="M2952">
        <v>149</v>
      </c>
      <c r="O2952" t="s">
        <v>25</v>
      </c>
      <c r="P2952" t="s">
        <v>3068</v>
      </c>
      <c r="Q2952" t="s">
        <v>3069</v>
      </c>
    </row>
    <row r="2953" spans="1:17" ht="15.5" x14ac:dyDescent="0.35">
      <c r="A2953"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2953" s="3" t="str">
        <f>HYPERLINK("https://edmondsonsupply.com/products/klein-tools-56028-flashlight-with-worklight-led-flashlight", "https://edmondsonsupply.com/products/klein-tools-56028-flashlight-with-worklight-led-flashlight")</f>
        <v>https://edmondsonsupply.com/products/klein-tools-56028-flashlight-with-worklight-led-flashlight</v>
      </c>
      <c r="C2953" t="s">
        <v>7140</v>
      </c>
      <c r="D2953" t="s">
        <v>5270</v>
      </c>
      <c r="E2953" s="3" t="str">
        <f>HYPERLINK("https://www.amazon.com/Klein-Tools-56403-Rechargeable-Illumination/dp/B07V4FTX6C/ref=sr_1_2?keywords=Klein+Tools+56028+LED+Flashlight+with+Work+Light&amp;qid=1695174266&amp;sr=8-2", "https://www.amazon.com/Klein-Tools-56403-Rechargeable-Illumination/dp/B07V4FTX6C/ref=sr_1_2?keywords=Klein+Tools+56028+LED+Flashlight+with+Work+Light&amp;qid=1695174266&amp;sr=8-2")</f>
        <v>https://www.amazon.com/Klein-Tools-56403-Rechargeable-Illumination/dp/B07V4FTX6C/ref=sr_1_2?keywords=Klein+Tools+56028+LED+Flashlight+with+Work+Light&amp;qid=1695174266&amp;sr=8-2</v>
      </c>
      <c r="F2953" t="s">
        <v>5271</v>
      </c>
      <c r="G2953" t="e">
        <f ca="1">_xludf.IMAGE("https://edmondsonsupply.com/cdn/shop/products/56028.jpg?v=1587148656")</f>
        <v>#NAME?</v>
      </c>
      <c r="H2953" t="e">
        <f ca="1">_xludf.IMAGE("https://m.media-amazon.com/images/I/61Gs90A8wDL._AC_UL320_.jpg")</f>
        <v>#NAME?</v>
      </c>
      <c r="I2953" t="s">
        <v>936</v>
      </c>
      <c r="J2953">
        <v>39.97</v>
      </c>
      <c r="K2953" s="4">
        <v>0.48199999999999998</v>
      </c>
      <c r="L2953">
        <v>4.8</v>
      </c>
      <c r="M2953">
        <v>2756</v>
      </c>
      <c r="O2953" t="s">
        <v>25</v>
      </c>
      <c r="P2953" t="s">
        <v>7141</v>
      </c>
      <c r="Q2953" t="s">
        <v>7142</v>
      </c>
    </row>
    <row r="2954" spans="1:17" ht="15.5" x14ac:dyDescent="0.35">
      <c r="A2954"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2954" s="3" t="str">
        <f>HYPERLINK("https://edmondsonsupply.com/products/klein-tools-56028-flashlight-with-worklight-led-flashlight", "https://edmondsonsupply.com/products/klein-tools-56028-flashlight-with-worklight-led-flashlight")</f>
        <v>https://edmondsonsupply.com/products/klein-tools-56028-flashlight-with-worklight-led-flashlight</v>
      </c>
      <c r="C2954" t="s">
        <v>7140</v>
      </c>
      <c r="D2954" t="s">
        <v>6708</v>
      </c>
      <c r="E2954" s="3" t="str">
        <f>HYPERLINK("https://www.amazon.com/Rechargeable-Flashlight-Worklight-Klein-Tools/dp/B0947YMH51/ref=sr_1_1?keywords=Klein+Tools+56028+LED+Flashlight+with+Work+Light&amp;qid=1695174266&amp;sr=8-1", "https://www.amazon.com/Rechargeable-Flashlight-Worklight-Klein-Tools/dp/B0947YMH51/ref=sr_1_1?keywords=Klein+Tools+56028+LED+Flashlight+with+Work+Light&amp;qid=1695174266&amp;sr=8-1")</f>
        <v>https://www.amazon.com/Rechargeable-Flashlight-Worklight-Klein-Tools/dp/B0947YMH51/ref=sr_1_1?keywords=Klein+Tools+56028+LED+Flashlight+with+Work+Light&amp;qid=1695174266&amp;sr=8-1</v>
      </c>
      <c r="F2954" t="s">
        <v>6709</v>
      </c>
      <c r="G2954" t="e">
        <f ca="1">_xludf.IMAGE("https://edmondsonsupply.com/cdn/shop/products/56028.jpg?v=1587148656")</f>
        <v>#NAME?</v>
      </c>
      <c r="H2954" t="e">
        <f ca="1">_xludf.IMAGE("https://m.media-amazon.com/images/I/51Of8ojN4aS._AC_UL320_.jpg")</f>
        <v>#NAME?</v>
      </c>
      <c r="I2954" t="s">
        <v>936</v>
      </c>
      <c r="J2954">
        <v>39.97</v>
      </c>
      <c r="K2954" s="4">
        <v>0.48199999999999998</v>
      </c>
      <c r="L2954">
        <v>4.5999999999999996</v>
      </c>
      <c r="M2954">
        <v>424</v>
      </c>
      <c r="O2954" t="s">
        <v>25</v>
      </c>
      <c r="P2954" t="s">
        <v>7141</v>
      </c>
      <c r="Q2954" t="s">
        <v>7142</v>
      </c>
    </row>
    <row r="2955" spans="1:17" ht="15.5" x14ac:dyDescent="0.35">
      <c r="A2955" s="3" t="str">
        <f>HYPERLINK("https://edmondsonsupply.com/collections/electricians-tools/products/crescent-wiss-m8p-9-4-5-offset-straight-left-and-right-cut-aviation-snips", "https://edmondsonsupply.com/collections/electricians-tools/products/crescent-wiss-m8p-9-4-5-offset-straight-left-and-right-cut-aviation-snips")</f>
        <v>https://edmondsonsupply.com/collections/electricians-tools/products/crescent-wiss-m8p-9-4-5-offset-straight-left-and-right-cut-aviation-snips</v>
      </c>
      <c r="B2955" s="3" t="str">
        <f>HYPERLINK("https://edmondsonsupply.com/products/crescent-wiss-m8p-9-4-5-offset-straight-left-and-right-cut-aviation-snips", "https://edmondsonsupply.com/products/crescent-wiss-m8p-9-4-5-offset-straight-left-and-right-cut-aviation-snips")</f>
        <v>https://edmondsonsupply.com/products/crescent-wiss-m8p-9-4-5-offset-straight-left-and-right-cut-aviation-snips</v>
      </c>
      <c r="C2955" t="s">
        <v>7143</v>
      </c>
      <c r="D2955" t="s">
        <v>6922</v>
      </c>
      <c r="E2955" s="3" t="str">
        <f>HYPERLINK("https://www.amazon.com/Crescent-Wiss-Metalmaster-Straight-Aviation/dp/B087492PJS/ref=sr_1_1?keywords=Crescent+Wiss+M8P+9-4%2F5%22+Offset+Straight%2C+Left+and+Right+Cut+Aviation+Snips&amp;qid=1695174053&amp;sr=8-1", "https://www.amazon.com/Crescent-Wiss-Metalmaster-Straight-Aviation/dp/B087492PJS/ref=sr_1_1?keywords=Crescent+Wiss+M8P+9-4%2F5%22+Offset+Straight%2C+Left+and+Right+Cut+Aviation+Snips&amp;qid=1695174053&amp;sr=8-1")</f>
        <v>https://www.amazon.com/Crescent-Wiss-Metalmaster-Straight-Aviation/dp/B087492PJS/ref=sr_1_1?keywords=Crescent+Wiss+M8P+9-4%2F5%22+Offset+Straight%2C+Left+and+Right+Cut+Aviation+Snips&amp;qid=1695174053&amp;sr=8-1</v>
      </c>
      <c r="F2955" t="s">
        <v>6923</v>
      </c>
      <c r="G2955" t="e">
        <f ca="1">_xludf.IMAGE("https://edmondsonsupply.com/cdn/shop/products/WIS_M8P_IMG_ANG_01.jpg?v=1679676030")</f>
        <v>#NAME?</v>
      </c>
      <c r="H2955" t="e">
        <f ca="1">_xludf.IMAGE("https://m.media-amazon.com/images/I/71EUUFflT7S._AC_UL320_.jpg")</f>
        <v>#NAME?</v>
      </c>
      <c r="I2955" t="s">
        <v>1589</v>
      </c>
      <c r="J2955">
        <v>33.979999999999997</v>
      </c>
      <c r="K2955" s="4">
        <v>0.47799999999999998</v>
      </c>
      <c r="L2955">
        <v>4.0999999999999996</v>
      </c>
      <c r="M2955">
        <v>34</v>
      </c>
      <c r="O2955" t="s">
        <v>25</v>
      </c>
      <c r="P2955" t="s">
        <v>7144</v>
      </c>
      <c r="Q2955" t="s">
        <v>7145</v>
      </c>
    </row>
    <row r="2956" spans="1:17" ht="15.5" x14ac:dyDescent="0.35">
      <c r="A2956"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2956"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2956" t="s">
        <v>7146</v>
      </c>
      <c r="D2956" t="s">
        <v>6922</v>
      </c>
      <c r="E2956" s="3" t="str">
        <f>HYPERLINK("https://www.amazon.com/Crescent-Wiss-Metalmaster-Straight-Aviation/dp/B087492PJS/ref=sr_1_1?keywords=Crescent+Wiss+M6P+9-1%2F4%22+Offset+Straight+and+Left+Cut+Aviation+Snips&amp;qid=1695174043&amp;sr=8-1", "https://www.amazon.com/Crescent-Wiss-Metalmaster-Straight-Aviation/dp/B087492PJS/ref=sr_1_1?keywords=Crescent+Wiss+M6P+9-1%2F4%22+Offset+Straight+and+Left+Cut+Aviation+Snips&amp;qid=1695174043&amp;sr=8-1")</f>
        <v>https://www.amazon.com/Crescent-Wiss-Metalmaster-Straight-Aviation/dp/B087492PJS/ref=sr_1_1?keywords=Crescent+Wiss+M6P+9-1%2F4%22+Offset+Straight+and+Left+Cut+Aviation+Snips&amp;qid=1695174043&amp;sr=8-1</v>
      </c>
      <c r="F2956" t="s">
        <v>6923</v>
      </c>
      <c r="G2956" t="e">
        <f ca="1">_xludf.IMAGE("https://edmondsonsupply.com/cdn/shop/products/WIS_M6P_IMG_MAIN_01.jpg?v=1679497499")</f>
        <v>#NAME?</v>
      </c>
      <c r="H2956" t="e">
        <f ca="1">_xludf.IMAGE("https://m.media-amazon.com/images/I/71EUUFflT7S._AC_UL320_.jpg")</f>
        <v>#NAME?</v>
      </c>
      <c r="I2956" t="s">
        <v>1589</v>
      </c>
      <c r="J2956">
        <v>33.979999999999997</v>
      </c>
      <c r="K2956" s="4">
        <v>0.47799999999999998</v>
      </c>
      <c r="L2956">
        <v>4.0999999999999996</v>
      </c>
      <c r="M2956">
        <v>34</v>
      </c>
      <c r="O2956" t="s">
        <v>25</v>
      </c>
      <c r="P2956" t="s">
        <v>7144</v>
      </c>
      <c r="Q2956" t="s">
        <v>7147</v>
      </c>
    </row>
    <row r="2957" spans="1:17" ht="15.5" x14ac:dyDescent="0.35">
      <c r="A2957"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2957"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2957" t="s">
        <v>7148</v>
      </c>
      <c r="D2957" t="s">
        <v>6922</v>
      </c>
      <c r="E2957" s="3" t="str">
        <f>HYPERLINK("https://www.amazon.com/Crescent-Wiss-Metalmaster-Straight-Aviation/dp/B087492PJS/ref=sr_1_2?keywords=Crescent+Wiss+M7P+9-1%2F4%22+Offset+Straight+and+Right+Cut+Aviation+Snips&amp;qid=1695174041&amp;sr=8-2", "https://www.amazon.com/Crescent-Wiss-Metalmaster-Straight-Aviation/dp/B087492PJS/ref=sr_1_2?keywords=Crescent+Wiss+M7P+9-1%2F4%22+Offset+Straight+and+Right+Cut+Aviation+Snips&amp;qid=1695174041&amp;sr=8-2")</f>
        <v>https://www.amazon.com/Crescent-Wiss-Metalmaster-Straight-Aviation/dp/B087492PJS/ref=sr_1_2?keywords=Crescent+Wiss+M7P+9-1%2F4%22+Offset+Straight+and+Right+Cut+Aviation+Snips&amp;qid=1695174041&amp;sr=8-2</v>
      </c>
      <c r="F2957" t="s">
        <v>6923</v>
      </c>
      <c r="G2957" t="e">
        <f ca="1">_xludf.IMAGE("https://edmondsonsupply.com/cdn/shop/products/WIS_M7P_IMG_ANG_01.jpg?v=1679669941")</f>
        <v>#NAME?</v>
      </c>
      <c r="H2957" t="e">
        <f ca="1">_xludf.IMAGE("https://m.media-amazon.com/images/I/71EUUFflT7S._AC_UL320_.jpg")</f>
        <v>#NAME?</v>
      </c>
      <c r="I2957" t="s">
        <v>1589</v>
      </c>
      <c r="J2957">
        <v>33.979999999999997</v>
      </c>
      <c r="K2957" s="4">
        <v>0.47799999999999998</v>
      </c>
      <c r="L2957">
        <v>4.0999999999999996</v>
      </c>
      <c r="M2957">
        <v>34</v>
      </c>
      <c r="O2957" t="s">
        <v>25</v>
      </c>
      <c r="P2957" t="s">
        <v>7144</v>
      </c>
      <c r="Q2957" t="s">
        <v>7149</v>
      </c>
    </row>
    <row r="2958" spans="1:17" ht="15.5" x14ac:dyDescent="0.35">
      <c r="A2958" s="3" t="str">
        <f>HYPERLINK("https://edmondsonsupply.com/collections/electricians-tools/products/klein-tools-d502-6-pump-pliers-6-inch", "https://edmondsonsupply.com/collections/electricians-tools/products/klein-tools-d502-6-pump-pliers-6-inch")</f>
        <v>https://edmondsonsupply.com/collections/electricians-tools/products/klein-tools-d502-6-pump-pliers-6-inch</v>
      </c>
      <c r="B2958" s="3" t="str">
        <f>HYPERLINK("https://edmondsonsupply.com/products/klein-tools-d502-6-pump-pliers-6-inch", "https://edmondsonsupply.com/products/klein-tools-d502-6-pump-pliers-6-inch")</f>
        <v>https://edmondsonsupply.com/products/klein-tools-d502-6-pump-pliers-6-inch</v>
      </c>
      <c r="C2958" t="s">
        <v>3182</v>
      </c>
      <c r="D2958" t="s">
        <v>3183</v>
      </c>
      <c r="E2958" s="3" t="str">
        <f>HYPERLINK("https://www.amazon.com/Pliers-12-Inch-Klein-Tools-D502-12/dp/B000ODU0N0/ref=sr_1_fkmr0_1?keywords=Klein+Tools+D502-6+Pump+Pliers%2C+6-Inch&amp;qid=1695173894&amp;sr=8-1-fkmr0", "https://www.amazon.com/Pliers-12-Inch-Klein-Tools-D502-12/dp/B000ODU0N0/ref=sr_1_fkmr0_1?keywords=Klein+Tools+D502-6+Pump+Pliers%2C+6-Inch&amp;qid=1695173894&amp;sr=8-1-fkmr0")</f>
        <v>https://www.amazon.com/Pliers-12-Inch-Klein-Tools-D502-12/dp/B000ODU0N0/ref=sr_1_fkmr0_1?keywords=Klein+Tools+D502-6+Pump+Pliers%2C+6-Inch&amp;qid=1695173894&amp;sr=8-1-fkmr0</v>
      </c>
      <c r="F2958" t="s">
        <v>3184</v>
      </c>
      <c r="G2958" t="e">
        <f ca="1">_xludf.IMAGE("https://edmondsonsupply.com/cdn/shop/products/d5026.jpg?v=1587150839")</f>
        <v>#NAME?</v>
      </c>
      <c r="H2958" t="e">
        <f ca="1">_xludf.IMAGE("https://m.media-amazon.com/images/I/41h2qUlpjEL._AC_UL320_.jpg")</f>
        <v>#NAME?</v>
      </c>
      <c r="I2958" t="s">
        <v>3185</v>
      </c>
      <c r="J2958">
        <v>30.99</v>
      </c>
      <c r="K2958" s="4">
        <v>0.47639999999999999</v>
      </c>
      <c r="L2958">
        <v>4.8</v>
      </c>
      <c r="M2958">
        <v>59</v>
      </c>
      <c r="O2958" t="s">
        <v>25</v>
      </c>
      <c r="P2958" t="s">
        <v>3186</v>
      </c>
      <c r="Q2958" t="s">
        <v>3187</v>
      </c>
    </row>
    <row r="2959" spans="1:17" ht="15.5" x14ac:dyDescent="0.35">
      <c r="A2959" s="3" t="str">
        <f>HYPERLINK("https://edmondsonsupply.com/collections/electricians-tools/products/sensible-products-dwl-1-dual-worklight-blue", "https://edmondsonsupply.com/collections/electricians-tools/products/sensible-products-dwl-1-dual-worklight-blue")</f>
        <v>https://edmondsonsupply.com/collections/electricians-tools/products/sensible-products-dwl-1-dual-worklight-blue</v>
      </c>
      <c r="B2959" s="3" t="str">
        <f>HYPERLINK("https://edmondsonsupply.com/products/sensible-products-dwl-1-dual-worklight-blue", "https://edmondsonsupply.com/products/sensible-products-dwl-1-dual-worklight-blue")</f>
        <v>https://edmondsonsupply.com/products/sensible-products-dwl-1-dual-worklight-blue</v>
      </c>
      <c r="C2959" t="s">
        <v>3190</v>
      </c>
      <c r="D2959" t="s">
        <v>3191</v>
      </c>
      <c r="E2959" s="3" t="str">
        <f>HYPERLINK("https://www.amazon.com/Sensible-Products-Light-DWL-1-Holster/dp/B0BVGG3JRQ/ref=sr_1_1?keywords=Sensible+Products+DWL-1+Dual+Worklight%2C+Blue&amp;qid=1695173846&amp;sr=8-1", "https://www.amazon.com/Sensible-Products-Light-DWL-1-Holster/dp/B0BVGG3JRQ/ref=sr_1_1?keywords=Sensible+Products+DWL-1+Dual+Worklight%2C+Blue&amp;qid=1695173846&amp;sr=8-1")</f>
        <v>https://www.amazon.com/Sensible-Products-Light-DWL-1-Holster/dp/B0BVGG3JRQ/ref=sr_1_1?keywords=Sensible+Products+DWL-1+Dual+Worklight%2C+Blue&amp;qid=1695173846&amp;sr=8-1</v>
      </c>
      <c r="F2959" t="s">
        <v>3192</v>
      </c>
      <c r="G2959" t="e">
        <f ca="1">_xludf.IMAGE("https://edmondsonsupply.com/cdn/shop/products/DWL-1-2.jpg?v=1587148321")</f>
        <v>#NAME?</v>
      </c>
      <c r="H2959" t="e">
        <f ca="1">_xludf.IMAGE("https://m.media-amazon.com/images/I/51bpVy8B6iL._AC_UL320_.jpg")</f>
        <v>#NAME?</v>
      </c>
      <c r="I2959" t="s">
        <v>3193</v>
      </c>
      <c r="J2959">
        <v>41</v>
      </c>
      <c r="K2959" s="4">
        <v>0.47539999999999999</v>
      </c>
      <c r="L2959">
        <v>3</v>
      </c>
      <c r="M2959">
        <v>1</v>
      </c>
      <c r="O2959" t="s">
        <v>25</v>
      </c>
      <c r="P2959" t="s">
        <v>138</v>
      </c>
      <c r="Q2959" t="s">
        <v>3194</v>
      </c>
    </row>
    <row r="2960" spans="1:17" ht="15.5" x14ac:dyDescent="0.35">
      <c r="A2960"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2960"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2960" t="s">
        <v>7100</v>
      </c>
      <c r="D2960" t="s">
        <v>6933</v>
      </c>
      <c r="E2960" s="3" t="str">
        <f>HYPERLINK("https://www.amazon.com/Diablo-Freud-DOU125JBW3-Universal-Oscillating/dp/B089KX3SWM/ref=sr_1_2?keywords=Diablo+Tools+DOU125JBW+1-1%2F4+in.+Universal+Fit+Bi-Metal+Oscillating+Blades+for+Clean+Wood&amp;qid=1695174246&amp;sr=8-2", "https://www.amazon.com/Diablo-Freud-DOU125JBW3-Universal-Oscillating/dp/B089KX3SWM/ref=sr_1_2?keywords=Diablo+Tools+DOU125JBW+1-1%2F4+in.+Universal+Fit+Bi-Metal+Oscillating+Blades+for+Clean+Wood&amp;qid=1695174246&amp;sr=8-2")</f>
        <v>https://www.amazon.com/Diablo-Freud-DOU125JBW3-Universal-Oscillating/dp/B089KX3SWM/ref=sr_1_2?keywords=Diablo+Tools+DOU125JBW+1-1%2F4+in.+Universal+Fit+Bi-Metal+Oscillating+Blades+for+Clean+Wood&amp;qid=1695174246&amp;sr=8-2</v>
      </c>
      <c r="F2960" t="s">
        <v>6934</v>
      </c>
      <c r="G2960" t="e">
        <f ca="1">_xludf.IMAGE("https://edmondsonsupply.com/cdn/shop/products/DOU125JBW_Main-Image.png?v=1633638363")</f>
        <v>#NAME?</v>
      </c>
      <c r="H2960" t="e">
        <f ca="1">_xludf.IMAGE("https://m.media-amazon.com/images/I/61wFHtmEH5L._AC_UL320_.jpg")</f>
        <v>#NAME?</v>
      </c>
      <c r="I2960" t="s">
        <v>2586</v>
      </c>
      <c r="J2960">
        <v>26.5</v>
      </c>
      <c r="K2960" s="4">
        <v>0.47470000000000001</v>
      </c>
      <c r="L2960">
        <v>4.5</v>
      </c>
      <c r="M2960">
        <v>48</v>
      </c>
      <c r="O2960" t="s">
        <v>25</v>
      </c>
      <c r="P2960" t="s">
        <v>6943</v>
      </c>
      <c r="Q2960" t="s">
        <v>7103</v>
      </c>
    </row>
    <row r="2961" spans="1:17" ht="15.5" x14ac:dyDescent="0.35">
      <c r="A2961" s="3" t="str">
        <f>HYPERLINK("https://edmondsonsupply.com/collections/electricians-tools/products/diablo-tools-dou125bw", "https://edmondsonsupply.com/collections/electricians-tools/products/diablo-tools-dou125bw")</f>
        <v>https://edmondsonsupply.com/collections/electricians-tools/products/diablo-tools-dou125bw</v>
      </c>
      <c r="B2961" s="3" t="str">
        <f>HYPERLINK("https://edmondsonsupply.com/products/diablo-tools-dou125bw", "https://edmondsonsupply.com/products/diablo-tools-dou125bw")</f>
        <v>https://edmondsonsupply.com/products/diablo-tools-dou125bw</v>
      </c>
      <c r="C2961" t="s">
        <v>6906</v>
      </c>
      <c r="D2961" t="s">
        <v>6933</v>
      </c>
      <c r="E2961" s="3" t="str">
        <f>HYPERLINK("https://www.amazon.com/Diablo-Freud-DOU125JBW3-Universal-Oscillating/dp/B089KX3SWM/ref=sr_1_5?keywords=Diablo+Tools+DOU125BW+1-1%2F4+in.+Universal+Fit+Bi-Metal+Oscillating+Blade+for+Nail-Embedded+Wood&amp;qid=1695174264&amp;sr=8-5", "https://www.amazon.com/Diablo-Freud-DOU125JBW3-Universal-Oscillating/dp/B089KX3SWM/ref=sr_1_5?keywords=Diablo+Tools+DOU125BW+1-1%2F4+in.+Universal+Fit+Bi-Metal+Oscillating+Blade+for+Nail-Embedded+Wood&amp;qid=1695174264&amp;sr=8-5")</f>
        <v>https://www.amazon.com/Diablo-Freud-DOU125JBW3-Universal-Oscillating/dp/B089KX3SWM/ref=sr_1_5?keywords=Diablo+Tools+DOU125BW+1-1%2F4+in.+Universal+Fit+Bi-Metal+Oscillating+Blade+for+Nail-Embedded+Wood&amp;qid=1695174264&amp;sr=8-5</v>
      </c>
      <c r="F2961" t="s">
        <v>6934</v>
      </c>
      <c r="G2961" t="e">
        <f ca="1">_xludf.IMAGE("https://edmondsonsupply.com/cdn/shop/products/gnn0wpqc8veb3qhldcrb.webp?v=1676040020")</f>
        <v>#NAME?</v>
      </c>
      <c r="H2961" t="e">
        <f ca="1">_xludf.IMAGE("https://m.media-amazon.com/images/I/61wFHtmEH5L._AC_UL320_.jpg")</f>
        <v>#NAME?</v>
      </c>
      <c r="I2961" t="s">
        <v>2586</v>
      </c>
      <c r="J2961">
        <v>26.5</v>
      </c>
      <c r="K2961" s="4">
        <v>0.47470000000000001</v>
      </c>
      <c r="L2961">
        <v>4.5</v>
      </c>
      <c r="M2961">
        <v>48</v>
      </c>
      <c r="O2961" t="s">
        <v>25</v>
      </c>
      <c r="P2961" t="s">
        <v>2152</v>
      </c>
      <c r="Q2961" t="s">
        <v>6909</v>
      </c>
    </row>
    <row r="2962" spans="1:17" ht="15.5" x14ac:dyDescent="0.35">
      <c r="A2962"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2962"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2962" t="s">
        <v>6443</v>
      </c>
      <c r="D2962" t="s">
        <v>3905</v>
      </c>
      <c r="E2962" s="3" t="str">
        <f>HYPERLINK("https://www.amazon.com/Journeyman-T-Handle-Klein-Tools-JTH9M3/dp/B005G3HJ28/ref=sr_1_10?keywords=Klein+Tools+JTH4E06+3%2F32-Inch+Hex+Key%2C+Journeyman+T-Handle%2C+4-Inch&amp;qid=1695174228&amp;sr=8-10", "https://www.amazon.com/Journeyman-T-Handle-Klein-Tools-JTH9M3/dp/B005G3HJ28/ref=sr_1_10?keywords=Klein+Tools+JTH4E06+3%2F32-Inch+Hex+Key%2C+Journeyman+T-Handle%2C+4-Inch&amp;qid=1695174228&amp;sr=8-10")</f>
        <v>https://www.amazon.com/Journeyman-T-Handle-Klein-Tools-JTH9M3/dp/B005G3HJ28/ref=sr_1_10?keywords=Klein+Tools+JTH4E06+3%2F32-Inch+Hex+Key%2C+Journeyman+T-Handle%2C+4-Inch&amp;qid=1695174228&amp;sr=8-10</v>
      </c>
      <c r="F2962" t="s">
        <v>3906</v>
      </c>
      <c r="G2962" t="e">
        <f ca="1">_xludf.IMAGE("https://edmondsonsupply.com/cdn/shop/products/jth4e06.jpg?v=1635112029")</f>
        <v>#NAME?</v>
      </c>
      <c r="H2962" t="e">
        <f ca="1">_xludf.IMAGE("https://m.media-amazon.com/images/I/51MZtGjDOtL._AC_UL320_.jpg")</f>
        <v>#NAME?</v>
      </c>
      <c r="I2962" t="s">
        <v>6444</v>
      </c>
      <c r="J2962">
        <v>5.88</v>
      </c>
      <c r="K2962" s="4">
        <v>0.47370000000000001</v>
      </c>
      <c r="L2962">
        <v>4.5999999999999996</v>
      </c>
      <c r="M2962">
        <v>179</v>
      </c>
      <c r="O2962" t="s">
        <v>25</v>
      </c>
      <c r="P2962" t="s">
        <v>2044</v>
      </c>
      <c r="Q2962" t="s">
        <v>6445</v>
      </c>
    </row>
    <row r="2963" spans="1:17" ht="15.5" x14ac:dyDescent="0.35">
      <c r="A2963"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2963"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2963" t="s">
        <v>7150</v>
      </c>
      <c r="D2963" t="s">
        <v>7151</v>
      </c>
      <c r="E2963" s="3" t="str">
        <f>HYPERLINK("https://www.amazon.com/Klein-Tools-Digital-Contrast-Microamps/dp/B09T6X3TL9/ref=sr_1_9?keywords=Klein+Tools+CL390+AC%2FDC+Digital+Clamp+Meter%2C+Auto-Ranging+400+Amp&amp;qid=1695174165&amp;sr=8-9", "https://www.amazon.com/Klein-Tools-Digital-Contrast-Microamps/dp/B09T6X3TL9/ref=sr_1_9?keywords=Klein+Tools+CL390+AC%2FDC+Digital+Clamp+Meter%2C+Auto-Ranging+400+Amp&amp;qid=1695174165&amp;sr=8-9")</f>
        <v>https://www.amazon.com/Klein-Tools-Digital-Contrast-Microamps/dp/B09T6X3TL9/ref=sr_1_9?keywords=Klein+Tools+CL390+AC%2FDC+Digital+Clamp+Meter%2C+Auto-Ranging+400+Amp&amp;qid=1695174165&amp;sr=8-9</v>
      </c>
      <c r="F2963" t="s">
        <v>7152</v>
      </c>
      <c r="G2963" t="e">
        <f ca="1">_xludf.IMAGE("https://edmondsonsupply.com/cdn/shop/products/cl390.jpg?v=1662670722")</f>
        <v>#NAME?</v>
      </c>
      <c r="H2963" t="e">
        <f ca="1">_xludf.IMAGE("https://m.media-amazon.com/images/I/51OYmfiB8vL._AC_UY218_.jpg")</f>
        <v>#NAME?</v>
      </c>
      <c r="I2963" t="s">
        <v>545</v>
      </c>
      <c r="J2963">
        <v>147.22</v>
      </c>
      <c r="K2963" s="4">
        <v>0.47260000000000002</v>
      </c>
      <c r="L2963">
        <v>5</v>
      </c>
      <c r="M2963">
        <v>2</v>
      </c>
      <c r="O2963" t="s">
        <v>25</v>
      </c>
      <c r="P2963" t="s">
        <v>7153</v>
      </c>
      <c r="Q2963" t="s">
        <v>7154</v>
      </c>
    </row>
    <row r="2964" spans="1:17" ht="15.5" x14ac:dyDescent="0.35">
      <c r="A2964"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2964"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2964" t="s">
        <v>6948</v>
      </c>
      <c r="D2964" t="s">
        <v>7065</v>
      </c>
      <c r="E2964" s="3" t="str">
        <f>HYPERLINK("https://www.amazon.com/Klein-Tools-6924INS-Insulated-Screwdriver/dp/B088NRM4CC/ref=sr_1_7?keywords=Klein+Tools+602-4+1%2F4-Inch+Keystone+Screwdriver%2C+4-Inch+Round+Shank&amp;qid=1695174315&amp;sr=8-7", "https://www.amazon.com/Klein-Tools-6924INS-Insulated-Screwdriver/dp/B088NRM4CC/ref=sr_1_7?keywords=Klein+Tools+602-4+1%2F4-Inch+Keystone+Screwdriver%2C+4-Inch+Round+Shank&amp;qid=1695174315&amp;sr=8-7")</f>
        <v>https://www.amazon.com/Klein-Tools-6924INS-Insulated-Screwdriver/dp/B088NRM4CC/ref=sr_1_7?keywords=Klein+Tools+602-4+1%2F4-Inch+Keystone+Screwdriver%2C+4-Inch+Round+Shank&amp;qid=1695174315&amp;sr=8-7</v>
      </c>
      <c r="F2964" t="s">
        <v>7066</v>
      </c>
      <c r="G2964" t="e">
        <f ca="1">_xludf.IMAGE("https://edmondsonsupply.com/cdn/shop/products/602-6.jpg?v=1633030821")</f>
        <v>#NAME?</v>
      </c>
      <c r="H2964" t="e">
        <f ca="1">_xludf.IMAGE("https://m.media-amazon.com/images/I/419wtU12P3L._AC_UL320_.jpg")</f>
        <v>#NAME?</v>
      </c>
      <c r="I2964" t="s">
        <v>2433</v>
      </c>
      <c r="J2964">
        <v>13.97</v>
      </c>
      <c r="K2964" s="4">
        <v>0.47210000000000002</v>
      </c>
      <c r="L2964">
        <v>4.8</v>
      </c>
      <c r="M2964">
        <v>1361</v>
      </c>
      <c r="O2964" t="s">
        <v>25</v>
      </c>
      <c r="P2964" t="s">
        <v>6949</v>
      </c>
      <c r="Q2964" t="s">
        <v>6950</v>
      </c>
    </row>
    <row r="2965" spans="1:17" ht="15.5" x14ac:dyDescent="0.35">
      <c r="A2965" s="3" t="str">
        <f>HYPERLINK("https://edmondsonsupply.com/collections/electricians-tools/products/channellock-428", "https://edmondsonsupply.com/collections/electricians-tools/products/channellock-428")</f>
        <v>https://edmondsonsupply.com/collections/electricians-tools/products/channellock-428</v>
      </c>
      <c r="B2965" s="3" t="str">
        <f>HYPERLINK("https://edmondsonsupply.com/products/channellock-428", "https://edmondsonsupply.com/products/channellock-428")</f>
        <v>https://edmondsonsupply.com/products/channellock-428</v>
      </c>
      <c r="C2965" t="s">
        <v>1791</v>
      </c>
      <c r="D2965" t="s">
        <v>3197</v>
      </c>
      <c r="E2965" s="3" t="str">
        <f>HYPERLINK("https://www.amazon.com/CHANNELLOCK-428X-8-inch-SPEEDGRIP-Straight/dp/B07R27B4CJ/ref=sr_1_2?keywords=Channellock+428+8-Inch+Straight+Jaw+Tongue+%26+Groove+Pliers&amp;qid=1695173963&amp;sr=8-2", "https://www.amazon.com/CHANNELLOCK-428X-8-inch-SPEEDGRIP-Straight/dp/B07R27B4CJ/ref=sr_1_2?keywords=Channellock+428+8-Inch+Straight+Jaw+Tongue+%26+Groove+Pliers&amp;qid=1695173963&amp;sr=8-2")</f>
        <v>https://www.amazon.com/CHANNELLOCK-428X-8-inch-SPEEDGRIP-Straight/dp/B07R27B4CJ/ref=sr_1_2?keywords=Channellock+428+8-Inch+Straight+Jaw+Tongue+%26+Groove+Pliers&amp;qid=1695173963&amp;sr=8-2</v>
      </c>
      <c r="F2965" t="s">
        <v>3198</v>
      </c>
      <c r="G2965" t="e">
        <f ca="1">_xludf.IMAGE("https://edmondsonsupply.com/cdn/shop/products/428-683x1024.jpg?v=1587145854")</f>
        <v>#NAME?</v>
      </c>
      <c r="H2965" t="e">
        <f ca="1">_xludf.IMAGE("https://m.media-amazon.com/images/I/71WmLP+C0IL._AC_UL320_.jpg")</f>
        <v>#NAME?</v>
      </c>
      <c r="I2965" t="s">
        <v>1554</v>
      </c>
      <c r="J2965">
        <v>24.95</v>
      </c>
      <c r="K2965" s="4">
        <v>0.47199999999999998</v>
      </c>
      <c r="L2965">
        <v>4.4000000000000004</v>
      </c>
      <c r="M2965">
        <v>578</v>
      </c>
      <c r="O2965" t="s">
        <v>25</v>
      </c>
      <c r="P2965" t="s">
        <v>1794</v>
      </c>
      <c r="Q2965" t="s">
        <v>1795</v>
      </c>
    </row>
    <row r="2966" spans="1:17" ht="15.5" x14ac:dyDescent="0.35">
      <c r="A2966"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2966" s="3" t="str">
        <f>HYPERLINK("https://edmondsonsupply.com/products/klein-tools-56028-flashlight-with-worklight-led-flashlight", "https://edmondsonsupply.com/products/klein-tools-56028-flashlight-with-worklight-led-flashlight")</f>
        <v>https://edmondsonsupply.com/products/klein-tools-56028-flashlight-with-worklight-led-flashlight</v>
      </c>
      <c r="C2966" t="s">
        <v>7140</v>
      </c>
      <c r="D2966" t="s">
        <v>4836</v>
      </c>
      <c r="E2966" s="3" t="str">
        <f>HYPERLINK("https://www.amazon.com/Klein-56040-Rechargeable-Focus-Flashlight/dp/B0828NGD4V/ref=sr_1_4?keywords=Klein+Tools+56028+LED+Flashlight+with+Work+Light&amp;qid=1695174266&amp;sr=8-4", "https://www.amazon.com/Klein-56040-Rechargeable-Focus-Flashlight/dp/B0828NGD4V/ref=sr_1_4?keywords=Klein+Tools+56028+LED+Flashlight+with+Work+Light&amp;qid=1695174266&amp;sr=8-4")</f>
        <v>https://www.amazon.com/Klein-56040-Rechargeable-Focus-Flashlight/dp/B0828NGD4V/ref=sr_1_4?keywords=Klein+Tools+56028+LED+Flashlight+with+Work+Light&amp;qid=1695174266&amp;sr=8-4</v>
      </c>
      <c r="F2966" t="s">
        <v>4837</v>
      </c>
      <c r="G2966" t="e">
        <f ca="1">_xludf.IMAGE("https://edmondsonsupply.com/cdn/shop/products/56028.jpg?v=1587148656")</f>
        <v>#NAME?</v>
      </c>
      <c r="H2966" t="e">
        <f ca="1">_xludf.IMAGE("https://m.media-amazon.com/images/I/51XNgm063EL._AC_UL320_.jpg")</f>
        <v>#NAME?</v>
      </c>
      <c r="I2966" t="s">
        <v>936</v>
      </c>
      <c r="J2966">
        <v>39.659999999999997</v>
      </c>
      <c r="K2966" s="4">
        <v>0.47049999999999997</v>
      </c>
      <c r="L2966">
        <v>4.5999999999999996</v>
      </c>
      <c r="M2966">
        <v>476</v>
      </c>
      <c r="O2966" t="s">
        <v>25</v>
      </c>
      <c r="P2966" t="s">
        <v>7141</v>
      </c>
      <c r="Q2966" t="s">
        <v>7142</v>
      </c>
    </row>
    <row r="2967" spans="1:17" ht="15.5" x14ac:dyDescent="0.35">
      <c r="A2967" s="3" t="str">
        <f>HYPERLINK("https://edmondsonsupply.com/collections/electricians-tools/products/diablo-tools-d0724da-7-1-4-in-24-tooth-%E2%84%A2-framing-demolition-saw-blade", "https://edmondsonsupply.com/collections/electricians-tools/products/diablo-tools-d0724da-7-1-4-in-24-tooth-%E2%84%A2-framing-demolition-saw-blade")</f>
        <v>https://edmondsonsupply.com/collections/electricians-tools/products/diablo-tools-d0724da-7-1-4-in-24-tooth-%E2%84%A2-framing-demolition-saw-blade</v>
      </c>
      <c r="B2967" s="3" t="str">
        <f>HYPERLINK("https://edmondsonsupply.com/products/diablo-tools-d0724da-7-1-4-in-24-tooth-%e2%84%a2-framing-demolition-saw-blade", "https://edmondsonsupply.com/products/diablo-tools-d0724da-7-1-4-in-24-tooth-%e2%84%a2-framing-demolition-saw-blade")</f>
        <v>https://edmondsonsupply.com/products/diablo-tools-d0724da-7-1-4-in-24-tooth-%e2%84%a2-framing-demolition-saw-blade</v>
      </c>
      <c r="C2967" t="s">
        <v>6107</v>
      </c>
      <c r="D2967" t="s">
        <v>6612</v>
      </c>
      <c r="E2967" s="3" t="str">
        <f>HYPERLINK("https://www.amazon.com/Diablo-2-Pack-Framing-Circular-Blades/dp/B09K81GP9V/ref=sr_1_4?keywords=Diablo+Tools+D0724DA+7-1%2F4+in.+24-Tooth+%E2%84%A2+Framing%2FDemolition+Saw+Blade&amp;qid=1695174061&amp;sr=8-4", "https://www.amazon.com/Diablo-2-Pack-Framing-Circular-Blades/dp/B09K81GP9V/ref=sr_1_4?keywords=Diablo+Tools+D0724DA+7-1%2F4+in.+24-Tooth+%E2%84%A2+Framing%2FDemolition+Saw+Blade&amp;qid=1695174061&amp;sr=8-4")</f>
        <v>https://www.amazon.com/Diablo-2-Pack-Framing-Circular-Blades/dp/B09K81GP9V/ref=sr_1_4?keywords=Diablo+Tools+D0724DA+7-1%2F4+in.+24-Tooth+%E2%84%A2+Framing%2FDemolition+Saw+Blade&amp;qid=1695174061&amp;sr=8-4</v>
      </c>
      <c r="F2967" t="s">
        <v>6613</v>
      </c>
      <c r="G2967" t="e">
        <f ca="1">_xludf.IMAGE("https://edmondsonsupply.com/cdn/shop/products/ms7ofgpqtqo0aptxxu1k.webp?v=1678973703")</f>
        <v>#NAME?</v>
      </c>
      <c r="H2967" t="e">
        <f ca="1">_xludf.IMAGE("https://m.media-amazon.com/images/I/61MhRzf0xyL._AC_UL320_.jpg")</f>
        <v>#NAME?</v>
      </c>
      <c r="I2967" t="s">
        <v>2784</v>
      </c>
      <c r="J2967">
        <v>21.98</v>
      </c>
      <c r="K2967" s="4">
        <v>0.46829999999999999</v>
      </c>
      <c r="L2967">
        <v>4.7</v>
      </c>
      <c r="M2967">
        <v>8</v>
      </c>
      <c r="O2967" t="s">
        <v>25</v>
      </c>
      <c r="P2967" t="s">
        <v>6110</v>
      </c>
      <c r="Q2967" t="s">
        <v>6111</v>
      </c>
    </row>
    <row r="2968" spans="1:17" ht="15.5" x14ac:dyDescent="0.35">
      <c r="A2968" s="3" t="str">
        <f>HYPERLINK("https://edmondsonsupply.com/collections/electricians-tools/products/milwaukee-48-22-8452", "https://edmondsonsupply.com/collections/electricians-tools/products/milwaukee-48-22-8452")</f>
        <v>https://edmondsonsupply.com/collections/electricians-tools/products/milwaukee-48-22-8452</v>
      </c>
      <c r="B2968" s="3" t="str">
        <f>HYPERLINK("https://edmondsonsupply.com/products/milwaukee-48-22-8452", "https://edmondsonsupply.com/products/milwaukee-48-22-8452")</f>
        <v>https://edmondsonsupply.com/products/milwaukee-48-22-8452</v>
      </c>
      <c r="C2968" t="s">
        <v>7155</v>
      </c>
      <c r="D2968" t="s">
        <v>7156</v>
      </c>
      <c r="E2968" s="3" t="str">
        <f>HYPERLINK("https://www.amazon.com/48-22-8451-Milwaukee-Packout-Inserts-Boxes-2PC/dp/B0BZTT7L29/ref=sr_1_7?keywords=Milwaukee+48-22-8452+Customizable+Foam+Insert+for+PACKOUT%E2%84%A2+Drawer+Tool+Boxes&amp;qid=1695174164&amp;sr=8-7", "https://www.amazon.com/48-22-8451-Milwaukee-Packout-Inserts-Boxes-2PC/dp/B0BZTT7L29/ref=sr_1_7?keywords=Milwaukee+48-22-8452+Customizable+Foam+Insert+for+PACKOUT%E2%84%A2+Drawer+Tool+Boxes&amp;qid=1695174164&amp;sr=8-7")</f>
        <v>https://www.amazon.com/48-22-8451-Milwaukee-Packout-Inserts-Boxes-2PC/dp/B0BZTT7L29/ref=sr_1_7?keywords=Milwaukee+48-22-8452+Customizable+Foam+Insert+for+PACKOUT%E2%84%A2+Drawer+Tool+Boxes&amp;qid=1695174164&amp;sr=8-7</v>
      </c>
      <c r="F2968" t="s">
        <v>7157</v>
      </c>
      <c r="G2968" t="e">
        <f ca="1">_xludf.IMAGE("https://edmondsonsupply.com/cdn/shop/products/48-22-8452_4.png?v=1663605573")</f>
        <v>#NAME?</v>
      </c>
      <c r="H2968" t="e">
        <f ca="1">_xludf.IMAGE("https://m.media-amazon.com/images/I/81FbhALEbKL._AC_UL320_.jpg")</f>
        <v>#NAME?</v>
      </c>
      <c r="I2968" t="s">
        <v>471</v>
      </c>
      <c r="J2968">
        <v>36.69</v>
      </c>
      <c r="K2968" s="4">
        <v>0.46820000000000001</v>
      </c>
      <c r="L2968">
        <v>4.0999999999999996</v>
      </c>
      <c r="M2968">
        <v>8</v>
      </c>
      <c r="O2968" t="s">
        <v>25</v>
      </c>
      <c r="P2968" t="s">
        <v>7158</v>
      </c>
      <c r="Q2968" t="s">
        <v>7159</v>
      </c>
    </row>
    <row r="2969" spans="1:17" ht="15.5" x14ac:dyDescent="0.35">
      <c r="A2969" s="3" t="str">
        <f>HYPERLINK("https://edmondsonsupply.com/collections/electricians-tools/products/milwaukee-48-22-7218-18-aluminum-pipe-wrench", "https://edmondsonsupply.com/collections/electricians-tools/products/milwaukee-48-22-7218-18-aluminum-pipe-wrench")</f>
        <v>https://edmondsonsupply.com/collections/electricians-tools/products/milwaukee-48-22-7218-18-aluminum-pipe-wrench</v>
      </c>
      <c r="B2969" s="3" t="str">
        <f>HYPERLINK("https://edmondsonsupply.com/products/milwaukee-48-22-7218-18-aluminum-pipe-wrench", "https://edmondsonsupply.com/products/milwaukee-48-22-7218-18-aluminum-pipe-wrench")</f>
        <v>https://edmondsonsupply.com/products/milwaukee-48-22-7218-18-aluminum-pipe-wrench</v>
      </c>
      <c r="C2969" t="s">
        <v>7160</v>
      </c>
      <c r="D2969" t="s">
        <v>6761</v>
      </c>
      <c r="E2969" s="3" t="str">
        <f>HYPERLINK("https://www.amazon.com/MILWAUKEE-48-22-7224-Milwaukee/dp/B01HOXID1I/ref=sr_1_8?keywords=Milwaukee+48-22-7218+18%22+Aluminum+Pipe+Wrench&amp;qid=1695174033&amp;sr=8-8", "https://www.amazon.com/MILWAUKEE-48-22-7224-Milwaukee/dp/B01HOXID1I/ref=sr_1_8?keywords=Milwaukee+48-22-7218+18%22+Aluminum+Pipe+Wrench&amp;qid=1695174033&amp;sr=8-8")</f>
        <v>https://www.amazon.com/MILWAUKEE-48-22-7224-Milwaukee/dp/B01HOXID1I/ref=sr_1_8?keywords=Milwaukee+48-22-7218+18%22+Aluminum+Pipe+Wrench&amp;qid=1695174033&amp;sr=8-8</v>
      </c>
      <c r="F2969" t="s">
        <v>6762</v>
      </c>
      <c r="G2969" t="e">
        <f ca="1">_xludf.IMAGE("https://edmondsonsupply.com/cdn/shop/products/48-22-7218_2_1_742fcb03-c548-4ed9-8aa1-934894b7f36d.png?v=1680096673")</f>
        <v>#NAME?</v>
      </c>
      <c r="H2969" t="e">
        <f ca="1">_xludf.IMAGE("https://m.media-amazon.com/images/I/7198DLJ590L._AC_UL320_.jpg")</f>
        <v>#NAME?</v>
      </c>
      <c r="I2969" t="s">
        <v>305</v>
      </c>
      <c r="J2969">
        <v>94.99</v>
      </c>
      <c r="K2969" s="4">
        <v>0.46210000000000001</v>
      </c>
      <c r="L2969">
        <v>4.5999999999999996</v>
      </c>
      <c r="M2969">
        <v>44</v>
      </c>
      <c r="O2969" t="s">
        <v>25</v>
      </c>
      <c r="P2969" t="s">
        <v>7161</v>
      </c>
      <c r="Q2969" t="s">
        <v>7162</v>
      </c>
    </row>
    <row r="2970" spans="1:17" ht="15.5" x14ac:dyDescent="0.35">
      <c r="A2970" s="3" t="str">
        <f>HYPERLINK("https://edmondsonsupply.com/collections/electricians-tools/products/klein-tools-2139nerins-insulated-pliers-side-cutters-9-inch", "https://edmondsonsupply.com/collections/electricians-tools/products/klein-tools-2139nerins-insulated-pliers-side-cutters-9-inch")</f>
        <v>https://edmondsonsupply.com/collections/electricians-tools/products/klein-tools-2139nerins-insulated-pliers-side-cutters-9-inch</v>
      </c>
      <c r="B2970" s="3" t="str">
        <f>HYPERLINK("https://edmondsonsupply.com/products/klein-tools-2139nerins-insulated-pliers-side-cutters-9-inch", "https://edmondsonsupply.com/products/klein-tools-2139nerins-insulated-pliers-side-cutters-9-inch")</f>
        <v>https://edmondsonsupply.com/products/klein-tools-2139nerins-insulated-pliers-side-cutters-9-inch</v>
      </c>
      <c r="C2970" t="s">
        <v>7163</v>
      </c>
      <c r="D2970" t="s">
        <v>5005</v>
      </c>
      <c r="E2970" s="3" t="str">
        <f>HYPERLINK("https://www.amazon.com/Klein-Tools-2139NEEINS-Cutting-Pliers/dp/B00JGG5RNE/ref=sr_1_2?keywords=Klein+Tools+2139NERINS+Insulated+Pliers%2C+Side+Cutters%2C+9-Inch&amp;qid=1695174127&amp;sr=8-2", "https://www.amazon.com/Klein-Tools-2139NEEINS-Cutting-Pliers/dp/B00JGG5RNE/ref=sr_1_2?keywords=Klein+Tools+2139NERINS+Insulated+Pliers%2C+Side+Cutters%2C+9-Inch&amp;qid=1695174127&amp;sr=8-2")</f>
        <v>https://www.amazon.com/Klein-Tools-2139NEEINS-Cutting-Pliers/dp/B00JGG5RNE/ref=sr_1_2?keywords=Klein+Tools+2139NERINS+Insulated+Pliers%2C+Side+Cutters%2C+9-Inch&amp;qid=1695174127&amp;sr=8-2</v>
      </c>
      <c r="F2970" t="s">
        <v>5006</v>
      </c>
      <c r="G2970" t="e">
        <f ca="1">_xludf.IMAGE("https://edmondsonsupply.com/cdn/shop/products/2139nerins.jpg?v=1667237928")</f>
        <v>#NAME?</v>
      </c>
      <c r="H2970" t="e">
        <f ca="1">_xludf.IMAGE("https://m.media-amazon.com/images/I/51eEwVZhacL._AC_UL320_.jpg")</f>
        <v>#NAME?</v>
      </c>
      <c r="I2970" t="s">
        <v>4108</v>
      </c>
      <c r="J2970">
        <v>65.599999999999994</v>
      </c>
      <c r="K2970" s="4">
        <v>0.45879999999999999</v>
      </c>
      <c r="L2970">
        <v>4.7</v>
      </c>
      <c r="M2970">
        <v>242</v>
      </c>
      <c r="O2970" t="s">
        <v>25</v>
      </c>
      <c r="P2970" t="s">
        <v>7164</v>
      </c>
      <c r="Q2970" t="s">
        <v>7165</v>
      </c>
    </row>
    <row r="2971" spans="1:17" ht="15.5" x14ac:dyDescent="0.35">
      <c r="A2971" s="3" t="str">
        <f>HYPERLINK("https://edmondsonsupply.com/collections/electricians-tools/products/klein-tools-jth6e07be-7-64-inch-ball-end-hex-key-journeyman%E2%84%A2-t-handle-6-inch", "https://edmondsonsupply.com/collections/electricians-tools/products/klein-tools-jth6e07be-7-64-inch-ball-end-hex-key-journeyman%E2%84%A2-t-handle-6-inch")</f>
        <v>https://edmondsonsupply.com/collections/electricians-tools/products/klein-tools-jth6e07be-7-64-inch-ball-end-hex-key-journeyman%E2%84%A2-t-handle-6-inch</v>
      </c>
      <c r="B2971" s="3" t="str">
        <f>HYPERLINK("https://edmondsonsupply.com/products/klein-tools-jth6e07be-7-64-inch-ball-end-hex-key-journeyman%e2%84%a2-t-handle-6-inch", "https://edmondsonsupply.com/products/klein-tools-jth6e07be-7-64-inch-ball-end-hex-key-journeyman%e2%84%a2-t-handle-6-inch")</f>
        <v>https://edmondsonsupply.com/products/klein-tools-jth6e07be-7-64-inch-ball-end-hex-key-journeyman%e2%84%a2-t-handle-6-inch</v>
      </c>
      <c r="C2971" t="s">
        <v>7166</v>
      </c>
      <c r="D2971" t="s">
        <v>7167</v>
      </c>
      <c r="E2971" s="3" t="str">
        <f>HYPERLINK("https://www.amazon.com/Ball-End-Journeyman-Klein-Tools-JTH6E09BE/dp/B004QW2H9U/ref=sr_1_6?keywords=Klein+Tools+JTH6E07BE+7%2F64-Inch+Ball-End+Hex+Key%2C+Journeyman%E2%84%A2+T-Handle%2C+6-Inch&amp;qid=1695174129&amp;sr=8-6", "https://www.amazon.com/Ball-End-Journeyman-Klein-Tools-JTH6E09BE/dp/B004QW2H9U/ref=sr_1_6?keywords=Klein+Tools+JTH6E07BE+7%2F64-Inch+Ball-End+Hex+Key%2C+Journeyman%E2%84%A2+T-Handle%2C+6-Inch&amp;qid=1695174129&amp;sr=8-6")</f>
        <v>https://www.amazon.com/Ball-End-Journeyman-Klein-Tools-JTH6E09BE/dp/B004QW2H9U/ref=sr_1_6?keywords=Klein+Tools+JTH6E07BE+7%2F64-Inch+Ball-End+Hex+Key%2C+Journeyman%E2%84%A2+T-Handle%2C+6-Inch&amp;qid=1695174129&amp;sr=8-6</v>
      </c>
      <c r="F2971" t="s">
        <v>7168</v>
      </c>
      <c r="G2971" t="e">
        <f ca="1">_xludf.IMAGE("https://edmondsonsupply.com/cdn/shop/products/jth6e13be_1.jpg?v=1667224705")</f>
        <v>#NAME?</v>
      </c>
      <c r="H2971" t="e">
        <f ca="1">_xludf.IMAGE("https://m.media-amazon.com/images/I/51f9vBFVXgL._AC_UL320_.jpg")</f>
        <v>#NAME?</v>
      </c>
      <c r="I2971" t="s">
        <v>2388</v>
      </c>
      <c r="J2971">
        <v>7.26</v>
      </c>
      <c r="K2971" s="4">
        <v>0.45490000000000003</v>
      </c>
      <c r="L2971">
        <v>4.9000000000000004</v>
      </c>
      <c r="M2971">
        <v>65</v>
      </c>
      <c r="O2971" t="s">
        <v>25</v>
      </c>
      <c r="P2971" t="s">
        <v>6356</v>
      </c>
      <c r="Q2971" t="s">
        <v>7169</v>
      </c>
    </row>
    <row r="2972" spans="1:17" ht="15.5" x14ac:dyDescent="0.35">
      <c r="A2972"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2972"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2972" t="s">
        <v>7170</v>
      </c>
      <c r="D2972" t="s">
        <v>1691</v>
      </c>
      <c r="E2972" s="3" t="str">
        <f>HYPERLINK("https://www.amazon.com/Klein-Tools-647M-Magnetic-7-Piece/dp/B000MKIUYQ/ref=sr_1_7?keywords=Klein+Tools+635-4+Nut+Driver+Set%2C+Magnetic+Nut+Drivers%2C+Heavy+Duty%2C+4-Piece&amp;qid=1695174225&amp;sr=8-7", "https://www.amazon.com/Klein-Tools-647M-Magnetic-7-Piece/dp/B000MKIUYQ/ref=sr_1_7?keywords=Klein+Tools+635-4+Nut+Driver+Set%2C+Magnetic+Nut+Drivers%2C+Heavy+Duty%2C+4-Piece&amp;qid=1695174225&amp;sr=8-7")</f>
        <v>https://www.amazon.com/Klein-Tools-647M-Magnetic-7-Piece/dp/B000MKIUYQ/ref=sr_1_7?keywords=Klein+Tools+635-4+Nut+Driver+Set%2C+Magnetic+Nut+Drivers%2C+Heavy+Duty%2C+4-Piece&amp;qid=1695174225&amp;sr=8-7</v>
      </c>
      <c r="F2972" t="s">
        <v>1692</v>
      </c>
      <c r="G2972" t="e">
        <f ca="1">_xludf.IMAGE("https://edmondsonsupply.com/cdn/shop/products/635-4.jpg?v=1640815398")</f>
        <v>#NAME?</v>
      </c>
      <c r="H2972" t="e">
        <f ca="1">_xludf.IMAGE("https://m.media-amazon.com/images/I/61PNUE211uL._AC_UL320_.jpg")</f>
        <v>#NAME?</v>
      </c>
      <c r="I2972" t="s">
        <v>269</v>
      </c>
      <c r="J2972">
        <v>79.989999999999995</v>
      </c>
      <c r="K2972" s="4">
        <v>0.4546</v>
      </c>
      <c r="L2972">
        <v>4.8</v>
      </c>
      <c r="M2972">
        <v>985</v>
      </c>
      <c r="O2972" t="s">
        <v>25</v>
      </c>
      <c r="P2972" t="s">
        <v>7171</v>
      </c>
      <c r="Q2972" t="s">
        <v>7172</v>
      </c>
    </row>
    <row r="2973" spans="1:17" ht="15.5" x14ac:dyDescent="0.35">
      <c r="A2973" s="3" t="str">
        <f>HYPERLINK("https://edmondsonsupply.com/collections/electricians-tools/products/fieldpiece-sc260", "https://edmondsonsupply.com/collections/electricians-tools/products/fieldpiece-sc260")</f>
        <v>https://edmondsonsupply.com/collections/electricians-tools/products/fieldpiece-sc260</v>
      </c>
      <c r="B2973" s="3" t="str">
        <f>HYPERLINK("https://edmondsonsupply.com/products/fieldpiece-sc260", "https://edmondsonsupply.com/products/fieldpiece-sc260")</f>
        <v>https://edmondsonsupply.com/products/fieldpiece-sc260</v>
      </c>
      <c r="C2973" t="s">
        <v>3222</v>
      </c>
      <c r="D2973" t="s">
        <v>3223</v>
      </c>
      <c r="E2973" s="3" t="str">
        <f>HYPERLINK("https://www.amazon.com/Fieldpiece-SC440-Temperature-Capacitance-Backlight/dp/B00KLYJMNQ/ref=sr_1_3?keywords=Fieldpiece+SC260+Compact+Clamp+Meter+with+True+RMS&amp;qid=1695173924&amp;sr=8-3", "https://www.amazon.com/Fieldpiece-SC440-Temperature-Capacitance-Backlight/dp/B00KLYJMNQ/ref=sr_1_3?keywords=Fieldpiece+SC260+Compact+Clamp+Meter+with+True+RMS&amp;qid=1695173924&amp;sr=8-3")</f>
        <v>https://www.amazon.com/Fieldpiece-SC440-Temperature-Capacitance-Backlight/dp/B00KLYJMNQ/ref=sr_1_3?keywords=Fieldpiece+SC260+Compact+Clamp+Meter+with+True+RMS&amp;qid=1695173924&amp;sr=8-3</v>
      </c>
      <c r="F2973" t="s">
        <v>3224</v>
      </c>
      <c r="G2973" t="e">
        <f ca="1">_xludf.IMAGE("https://edmondsonsupply.com/cdn/shop/products/SC260-SRC-product.jpg?v=1633030161")</f>
        <v>#NAME?</v>
      </c>
      <c r="H2973" t="e">
        <f ca="1">_xludf.IMAGE("https://m.media-amazon.com/images/I/51Yh8BCUNPL._AC_UY218_.jpg")</f>
        <v>#NAME?</v>
      </c>
      <c r="I2973" t="s">
        <v>3225</v>
      </c>
      <c r="J2973">
        <v>201.45</v>
      </c>
      <c r="K2973" s="4">
        <v>0.45400000000000001</v>
      </c>
      <c r="L2973">
        <v>4.7</v>
      </c>
      <c r="M2973">
        <v>700</v>
      </c>
      <c r="O2973" t="s">
        <v>25</v>
      </c>
      <c r="P2973" t="s">
        <v>1508</v>
      </c>
      <c r="Q2973" t="s">
        <v>3226</v>
      </c>
    </row>
    <row r="2974" spans="1:17" ht="15.5" x14ac:dyDescent="0.35">
      <c r="A2974"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2974"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2974" t="s">
        <v>6254</v>
      </c>
      <c r="D2974" t="s">
        <v>1920</v>
      </c>
      <c r="E2974" s="3" t="str">
        <f>HYPERLINK("https://www.amazon.com/Klein-Tools-Thermometer-Non-Contact-Temperature/dp/B0BC88SF8V/ref=sr_1_3?keywords=Klein+Tools+IR1+Infrared+Digital+Thermometer+with+Targeting+Laser%2C+10%3A1&amp;qid=1695174178&amp;sr=8-3", "https://www.amazon.com/Klein-Tools-Thermometer-Non-Contact-Temperature/dp/B0BC88SF8V/ref=sr_1_3?keywords=Klein+Tools+IR1+Infrared+Digital+Thermometer+with+Targeting+Laser%2C+10%3A1&amp;qid=1695174178&amp;sr=8-3")</f>
        <v>https://www.amazon.com/Klein-Tools-Thermometer-Non-Contact-Temperature/dp/B0BC88SF8V/ref=sr_1_3?keywords=Klein+Tools+IR1+Infrared+Digital+Thermometer+with+Targeting+Laser%2C+10%3A1&amp;qid=1695174178&amp;sr=8-3</v>
      </c>
      <c r="F2974" t="s">
        <v>1921</v>
      </c>
      <c r="G2974" t="e">
        <f ca="1">_xludf.IMAGE("https://edmondsonsupply.com/cdn/shop/products/ir1.jpg?v=1659112251")</f>
        <v>#NAME?</v>
      </c>
      <c r="H2974" t="e">
        <f ca="1">_xludf.IMAGE("https://m.media-amazon.com/images/I/41SkeuD-HkL._AC_UY218_.jpg")</f>
        <v>#NAME?</v>
      </c>
      <c r="I2974" t="s">
        <v>3578</v>
      </c>
      <c r="J2974">
        <v>47.96</v>
      </c>
      <c r="K2974" s="4">
        <v>0.45379999999999998</v>
      </c>
      <c r="L2974">
        <v>5</v>
      </c>
      <c r="M2974">
        <v>4</v>
      </c>
      <c r="O2974" t="s">
        <v>25</v>
      </c>
      <c r="P2974" t="s">
        <v>6255</v>
      </c>
      <c r="Q2974" t="s">
        <v>6256</v>
      </c>
    </row>
    <row r="2975" spans="1:17" ht="15.5" x14ac:dyDescent="0.35">
      <c r="A2975"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2975" s="3" t="str">
        <f>HYPERLINK("https://edmondsonsupply.com/products/klein-tools-ncvt1xt-non-contact-voltage-tester-70-to-1000v-ac", "https://edmondsonsupply.com/products/klein-tools-ncvt1xt-non-contact-voltage-tester-70-to-1000v-ac")</f>
        <v>https://edmondsonsupply.com/products/klein-tools-ncvt1xt-non-contact-voltage-tester-70-to-1000v-ac</v>
      </c>
      <c r="C2975" t="s">
        <v>6346</v>
      </c>
      <c r="D2975" t="s">
        <v>4912</v>
      </c>
      <c r="E2975" s="3" t="str">
        <f>HYPERLINK("https://www.amazon.com/Klein-Tools-NCVT2PKIT-Non-Contact-Application/dp/B08FPHS6HL/ref=sr_1_6?keywords=Klein+Tools+NCVT1XT+Non-Contact+Voltage+Tester%2C+70+to+1000V+AC&amp;qid=1695174075&amp;sr=8-6", "https://www.amazon.com/Klein-Tools-NCVT2PKIT-Non-Contact-Application/dp/B08FPHS6HL/ref=sr_1_6?keywords=Klein+Tools+NCVT1XT+Non-Contact+Voltage+Tester%2C+70+to+1000V+AC&amp;qid=1695174075&amp;sr=8-6")</f>
        <v>https://www.amazon.com/Klein-Tools-NCVT2PKIT-Non-Contact-Application/dp/B08FPHS6HL/ref=sr_1_6?keywords=Klein+Tools+NCVT1XT+Non-Contact+Voltage+Tester%2C+70+to+1000V+AC&amp;qid=1695174075&amp;sr=8-6</v>
      </c>
      <c r="F2975" t="s">
        <v>4913</v>
      </c>
      <c r="G2975" t="e">
        <f ca="1">_xludf.IMAGE("https://edmondsonsupply.com/cdn/shop/products/ncvt1xt.jpg?v=1674496568")</f>
        <v>#NAME?</v>
      </c>
      <c r="H2975" t="e">
        <f ca="1">_xludf.IMAGE("https://m.media-amazon.com/images/I/511RscwJPxL._AC_UL320_.jpg")</f>
        <v>#NAME?</v>
      </c>
      <c r="I2975" t="s">
        <v>893</v>
      </c>
      <c r="J2975">
        <v>28.99</v>
      </c>
      <c r="K2975" s="4">
        <v>0.45169999999999999</v>
      </c>
      <c r="L2975">
        <v>4.8</v>
      </c>
      <c r="M2975">
        <v>3262</v>
      </c>
      <c r="O2975" t="s">
        <v>25</v>
      </c>
      <c r="P2975" t="s">
        <v>6347</v>
      </c>
      <c r="Q2975" t="s">
        <v>6348</v>
      </c>
    </row>
    <row r="2976" spans="1:17" ht="15.5" x14ac:dyDescent="0.35">
      <c r="A2976"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2976"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2976" t="s">
        <v>3227</v>
      </c>
      <c r="D2976" t="s">
        <v>3228</v>
      </c>
      <c r="E2976" s="3" t="str">
        <f>HYPERLINK("https://www.amazon.com/Multimeter-Non-Contact-Klein-Tools-Electricians/dp/B0BVGB1TXZ/ref=sr_1_2?keywords=Klein+Tools+MM320KIT+Digital+Multimeter+Electrical+Test+Kit&amp;qid=1695173860&amp;sr=8-2", "https://www.amazon.com/Multimeter-Non-Contact-Klein-Tools-Electricians/dp/B0BVGB1TXZ/ref=sr_1_2?keywords=Klein+Tools+MM320KIT+Digital+Multimeter+Electrical+Test+Kit&amp;qid=1695173860&amp;sr=8-2")</f>
        <v>https://www.amazon.com/Multimeter-Non-Contact-Klein-Tools-Electricians/dp/B0BVGB1TXZ/ref=sr_1_2?keywords=Klein+Tools+MM320KIT+Digital+Multimeter+Electrical+Test+Kit&amp;qid=1695173860&amp;sr=8-2</v>
      </c>
      <c r="F2976" t="s">
        <v>3229</v>
      </c>
      <c r="G2976" t="e">
        <f ca="1">_xludf.IMAGE("https://edmondsonsupply.com/cdn/shop/products/mm320kit_photo.jpg?v=1660756496")</f>
        <v>#NAME?</v>
      </c>
      <c r="H2976" t="e">
        <f ca="1">_xludf.IMAGE("https://m.media-amazon.com/images/I/5187WRo8ulL._AC_UL320_.jpg")</f>
        <v>#NAME?</v>
      </c>
      <c r="I2976" t="s">
        <v>380</v>
      </c>
      <c r="J2976">
        <v>72.459999999999994</v>
      </c>
      <c r="K2976" s="4">
        <v>0.4501</v>
      </c>
      <c r="L2976">
        <v>5</v>
      </c>
      <c r="M2976">
        <v>1</v>
      </c>
      <c r="O2976" t="s">
        <v>25</v>
      </c>
      <c r="P2976" t="s">
        <v>3230</v>
      </c>
      <c r="Q2976" t="s">
        <v>3231</v>
      </c>
    </row>
    <row r="2977" spans="1:17" ht="15.5" x14ac:dyDescent="0.35">
      <c r="A2977"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2977"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2977" t="s">
        <v>6870</v>
      </c>
      <c r="D2977" t="s">
        <v>6488</v>
      </c>
      <c r="E2977" s="3" t="str">
        <f>HYPERLINK("https://www.amazon.com/Klein-Tools-JTH6E12BE-Journeyman-T-Handle/dp/B0CFKJBMTP/ref=sr_1_6?keywords=Klein+Tools+JTH6E14BE+5%2F16-Inch+Ball+End+Hex+Key+with+T-Handle%2C+6-Inch&amp;qid=1695174246&amp;sr=8-6", "https://www.amazon.com/Klein-Tools-JTH6E12BE-Journeyman-T-Handle/dp/B0CFKJBMTP/ref=sr_1_6?keywords=Klein+Tools+JTH6E14BE+5%2F16-Inch+Ball+End+Hex+Key+with+T-Handle%2C+6-Inch&amp;qid=1695174246&amp;sr=8-6")</f>
        <v>https://www.amazon.com/Klein-Tools-JTH6E12BE-Journeyman-T-Handle/dp/B0CFKJBMTP/ref=sr_1_6?keywords=Klein+Tools+JTH6E14BE+5%2F16-Inch+Ball+End+Hex+Key+with+T-Handle%2C+6-Inch&amp;qid=1695174246&amp;sr=8-6</v>
      </c>
      <c r="F2977" t="s">
        <v>6489</v>
      </c>
      <c r="G2977" t="e">
        <f ca="1">_xludf.IMAGE("https://edmondsonsupply.com/cdn/shop/products/jth6e13be_0da4cca6-ce15-419c-bc75-cd610bd9637f.jpg?v=1629825198")</f>
        <v>#NAME?</v>
      </c>
      <c r="H2977" t="e">
        <f ca="1">_xludf.IMAGE("https://m.media-amazon.com/images/I/41bN+I19ReL._AC_UL320_.jpg")</f>
        <v>#NAME?</v>
      </c>
      <c r="I2977" t="s">
        <v>6394</v>
      </c>
      <c r="J2977">
        <v>12.3</v>
      </c>
      <c r="K2977" s="4">
        <v>0.44879999999999998</v>
      </c>
      <c r="L2977">
        <v>4.5</v>
      </c>
      <c r="M2977">
        <v>9</v>
      </c>
      <c r="O2977" t="s">
        <v>25</v>
      </c>
      <c r="P2977" t="s">
        <v>6871</v>
      </c>
      <c r="Q2977" t="s">
        <v>6872</v>
      </c>
    </row>
    <row r="2978" spans="1:17" ht="15.5" x14ac:dyDescent="0.35">
      <c r="A2978" s="3" t="str">
        <f>HYPERLINK("https://edmondsonsupply.com/collections/electricians-tools/products/milwaukee-48-22-7214-14-aluminum-pipe-wrench", "https://edmondsonsupply.com/collections/electricians-tools/products/milwaukee-48-22-7214-14-aluminum-pipe-wrench")</f>
        <v>https://edmondsonsupply.com/collections/electricians-tools/products/milwaukee-48-22-7214-14-aluminum-pipe-wrench</v>
      </c>
      <c r="B2978" s="3" t="str">
        <f>HYPERLINK("https://edmondsonsupply.com/products/milwaukee-48-22-7214-14-aluminum-pipe-wrench", "https://edmondsonsupply.com/products/milwaukee-48-22-7214-14-aluminum-pipe-wrench")</f>
        <v>https://edmondsonsupply.com/products/milwaukee-48-22-7214-14-aluminum-pipe-wrench</v>
      </c>
      <c r="C2978" t="s">
        <v>6765</v>
      </c>
      <c r="D2978" t="s">
        <v>3516</v>
      </c>
      <c r="E2978" s="3" t="str">
        <f>HYPERLINK("https://www.amazon.com/Milwaukee-48-22-7213-Aluminum-Wrench-POWERLENGTH/dp/B09VQ6CYDG/ref=sr_1_4?keywords=Milwaukee+48-22-7214+14%22+Aluminum+Pipe+Wrench&amp;qid=1695174078&amp;sr=8-4", "https://www.amazon.com/Milwaukee-48-22-7213-Aluminum-Wrench-POWERLENGTH/dp/B09VQ6CYDG/ref=sr_1_4?keywords=Milwaukee+48-22-7214+14%22+Aluminum+Pipe+Wrench&amp;qid=1695174078&amp;sr=8-4")</f>
        <v>https://www.amazon.com/Milwaukee-48-22-7213-Aluminum-Wrench-POWERLENGTH/dp/B09VQ6CYDG/ref=sr_1_4?keywords=Milwaukee+48-22-7214+14%22+Aluminum+Pipe+Wrench&amp;qid=1695174078&amp;sr=8-4</v>
      </c>
      <c r="F2978" t="s">
        <v>3517</v>
      </c>
      <c r="G2978" t="e">
        <f ca="1">_xludf.IMAGE("https://edmondsonsupply.com/cdn/shop/products/48-22-7218_2.png?v=1675700722")</f>
        <v>#NAME?</v>
      </c>
      <c r="H2978" t="e">
        <f ca="1">_xludf.IMAGE("https://m.media-amazon.com/images/I/51qzHa1LxNL._AC_UL320_.jpg")</f>
        <v>#NAME?</v>
      </c>
      <c r="I2978" t="s">
        <v>380</v>
      </c>
      <c r="J2978">
        <v>72.36</v>
      </c>
      <c r="K2978" s="4">
        <v>0.4481</v>
      </c>
      <c r="L2978">
        <v>5</v>
      </c>
      <c r="M2978">
        <v>6</v>
      </c>
      <c r="O2978" t="s">
        <v>25</v>
      </c>
      <c r="P2978" t="s">
        <v>6766</v>
      </c>
      <c r="Q2978" t="s">
        <v>6767</v>
      </c>
    </row>
    <row r="2979" spans="1:17" ht="15.5" x14ac:dyDescent="0.35">
      <c r="A2979" s="3" t="str">
        <f>HYPERLINK("https://edmondsonsupply.com/collections/electricians-tools/products/milwaukee-48-22-7212-12-aluminum-pipe-wrench", "https://edmondsonsupply.com/collections/electricians-tools/products/milwaukee-48-22-7212-12-aluminum-pipe-wrench")</f>
        <v>https://edmondsonsupply.com/collections/electricians-tools/products/milwaukee-48-22-7212-12-aluminum-pipe-wrench</v>
      </c>
      <c r="B2979" s="3" t="str">
        <f>HYPERLINK("https://edmondsonsupply.com/products/milwaukee-48-22-7212-12-aluminum-pipe-wrench", "https://edmondsonsupply.com/products/milwaukee-48-22-7212-12-aluminum-pipe-wrench")</f>
        <v>https://edmondsonsupply.com/products/milwaukee-48-22-7212-12-aluminum-pipe-wrench</v>
      </c>
      <c r="C2979" t="s">
        <v>6760</v>
      </c>
      <c r="D2979" t="s">
        <v>3516</v>
      </c>
      <c r="E2979" s="3" t="str">
        <f>HYPERLINK("https://www.amazon.com/Milwaukee-48-22-7213-Aluminum-Wrench-POWERLENGTH/dp/B09VQ6CYDG/ref=sr_1_3?keywords=Milwaukee+48-22-7212+12%22+Aluminum+Pipe+Wrench&amp;qid=1695174041&amp;sr=8-3", "https://www.amazon.com/Milwaukee-48-22-7213-Aluminum-Wrench-POWERLENGTH/dp/B09VQ6CYDG/ref=sr_1_3?keywords=Milwaukee+48-22-7212+12%22+Aluminum+Pipe+Wrench&amp;qid=1695174041&amp;sr=8-3")</f>
        <v>https://www.amazon.com/Milwaukee-48-22-7213-Aluminum-Wrench-POWERLENGTH/dp/B09VQ6CYDG/ref=sr_1_3?keywords=Milwaukee+48-22-7212+12%22+Aluminum+Pipe+Wrench&amp;qid=1695174041&amp;sr=8-3</v>
      </c>
      <c r="F2979" t="s">
        <v>3517</v>
      </c>
      <c r="G2979" t="e">
        <f ca="1">_xludf.IMAGE("https://edmondsonsupply.com/cdn/shop/products/48-22-7218_2_1.png?v=1680096437")</f>
        <v>#NAME?</v>
      </c>
      <c r="H2979" t="e">
        <f ca="1">_xludf.IMAGE("https://m.media-amazon.com/images/I/51qzHa1LxNL._AC_UL320_.jpg")</f>
        <v>#NAME?</v>
      </c>
      <c r="I2979" t="s">
        <v>380</v>
      </c>
      <c r="J2979">
        <v>72.36</v>
      </c>
      <c r="K2979" s="4">
        <v>0.4481</v>
      </c>
      <c r="L2979">
        <v>5</v>
      </c>
      <c r="M2979">
        <v>6</v>
      </c>
      <c r="O2979" t="s">
        <v>25</v>
      </c>
      <c r="P2979" t="s">
        <v>6763</v>
      </c>
      <c r="Q2979" t="s">
        <v>6764</v>
      </c>
    </row>
    <row r="2980" spans="1:17" ht="15.5" x14ac:dyDescent="0.35">
      <c r="A2980"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2980" s="3" t="str">
        <f>HYPERLINK("https://edmondsonsupply.com/products/fluke-373-true-rms-ac-clamp-meter", "https://edmondsonsupply.com/products/fluke-373-true-rms-ac-clamp-meter")</f>
        <v>https://edmondsonsupply.com/products/fluke-373-true-rms-ac-clamp-meter</v>
      </c>
      <c r="C2980" t="s">
        <v>5826</v>
      </c>
      <c r="D2980" t="s">
        <v>5848</v>
      </c>
      <c r="E2980" s="3" t="str">
        <f>HYPERLINK("https://www.amazon.com/Fluke-True-RMS-Measures-Batteries-Carrying/dp/B017OVC1U4/ref=sr_1_9?keywords=Fluke+373+True-RMS+AC+Clamp+Meter&amp;qid=1695173996&amp;sr=8-9", "https://www.amazon.com/Fluke-True-RMS-Measures-Batteries-Carrying/dp/B017OVC1U4/ref=sr_1_9?keywords=Fluke+373+True-RMS+AC+Clamp+Meter&amp;qid=1695173996&amp;sr=8-9")</f>
        <v>https://www.amazon.com/Fluke-True-RMS-Measures-Batteries-Carrying/dp/B017OVC1U4/ref=sr_1_9?keywords=Fluke+373+True-RMS+AC+Clamp+Meter&amp;qid=1695173996&amp;sr=8-9</v>
      </c>
      <c r="F2980" t="s">
        <v>5849</v>
      </c>
      <c r="G2980" t="e">
        <f ca="1">_xludf.IMAGE("https://edmondsonsupply.com/cdn/shop/files/f-373-01d-1500x1000.webp?v=1689369435")</f>
        <v>#NAME?</v>
      </c>
      <c r="H2980" t="e">
        <f ca="1">_xludf.IMAGE("https://m.media-amazon.com/images/I/71-9RICQeuL._AC_UY218_.jpg")</f>
        <v>#NAME?</v>
      </c>
      <c r="I2980" t="s">
        <v>5829</v>
      </c>
      <c r="J2980">
        <v>420</v>
      </c>
      <c r="K2980" s="4">
        <v>0.44800000000000001</v>
      </c>
      <c r="L2980">
        <v>4.8</v>
      </c>
      <c r="M2980">
        <v>283</v>
      </c>
      <c r="O2980" t="s">
        <v>25</v>
      </c>
      <c r="P2980" t="s">
        <v>138</v>
      </c>
      <c r="Q2980" t="s">
        <v>5830</v>
      </c>
    </row>
    <row r="2981" spans="1:17" ht="15.5" x14ac:dyDescent="0.35">
      <c r="A2981"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2981"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2981" t="s">
        <v>2344</v>
      </c>
      <c r="D2981" t="s">
        <v>3243</v>
      </c>
      <c r="E2981" s="3" t="str">
        <f>HYPERLINK("https://www.amazon.com/Journeyman-T-Handle-Klein-Tools-JTH6E14BE/dp/B004QW1IC2/ref=sr_1_2?keywords=Klein+Tools+JTH6E14+5%2F16-Inch+Hex+Key+with+Journeyman+T-Handle%2C+6-Inch&amp;qid=1695173855&amp;sr=8-2", "https://www.amazon.com/Journeyman-T-Handle-Klein-Tools-JTH6E14BE/dp/B004QW1IC2/ref=sr_1_2?keywords=Klein+Tools+JTH6E14+5%2F16-Inch+Hex+Key+with+Journeyman+T-Handle%2C+6-Inch&amp;qid=1695173855&amp;sr=8-2")</f>
        <v>https://www.amazon.com/Journeyman-T-Handle-Klein-Tools-JTH6E14BE/dp/B004QW1IC2/ref=sr_1_2?keywords=Klein+Tools+JTH6E14+5%2F16-Inch+Hex+Key+with+Journeyman+T-Handle%2C+6-Inch&amp;qid=1695173855&amp;sr=8-2</v>
      </c>
      <c r="F2981" t="s">
        <v>3244</v>
      </c>
      <c r="G2981" t="e">
        <f ca="1">_xludf.IMAGE("https://edmondsonsupply.com/cdn/shop/products/jth6e15.jpg?v=1587148489")</f>
        <v>#NAME?</v>
      </c>
      <c r="H2981" t="e">
        <f ca="1">_xludf.IMAGE("https://m.media-amazon.com/images/I/51f9vBFVXgL._AC_UL320_.jpg")</f>
        <v>#NAME?</v>
      </c>
      <c r="I2981" t="s">
        <v>2347</v>
      </c>
      <c r="J2981">
        <v>10.11</v>
      </c>
      <c r="K2981" s="4">
        <v>0.44640000000000002</v>
      </c>
      <c r="L2981">
        <v>4.8</v>
      </c>
      <c r="M2981">
        <v>456</v>
      </c>
      <c r="O2981" t="s">
        <v>25</v>
      </c>
      <c r="P2981" t="s">
        <v>1140</v>
      </c>
      <c r="Q2981" t="s">
        <v>2348</v>
      </c>
    </row>
    <row r="2982" spans="1:17" ht="15.5" x14ac:dyDescent="0.35">
      <c r="A2982"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2982"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2982" t="s">
        <v>6425</v>
      </c>
      <c r="D2982" t="s">
        <v>4313</v>
      </c>
      <c r="E2982" s="3" t="str">
        <f>HYPERLINK("https://www.amazon.com/Klein-Tools-80097-Beginner-3-Piece/dp/B0B7Z178B1/ref=sr_1_5?keywords=Klein+Tools+ET45VP+AC%2FDC+Voltage+and+GFCI+Receptacle+Outlet+Test+Kit&amp;qid=1695174178&amp;sr=8-5", "https://www.amazon.com/Klein-Tools-80097-Beginner-3-Piece/dp/B0B7Z178B1/ref=sr_1_5?keywords=Klein+Tools+ET45VP+AC%2FDC+Voltage+and+GFCI+Receptacle+Outlet+Test+Kit&amp;qid=1695174178&amp;sr=8-5")</f>
        <v>https://www.amazon.com/Klein-Tools-80097-Beginner-3-Piece/dp/B0B7Z178B1/ref=sr_1_5?keywords=Klein+Tools+ET45VP+AC%2FDC+Voltage+and+GFCI+Receptacle+Outlet+Test+Kit&amp;qid=1695174178&amp;sr=8-5</v>
      </c>
      <c r="F2982" t="s">
        <v>4314</v>
      </c>
      <c r="G2982" t="e">
        <f ca="1">_xludf.IMAGE("https://edmondsonsupply.com/cdn/shop/products/et45vp.jpg?v=1660755922")</f>
        <v>#NAME?</v>
      </c>
      <c r="H2982" t="e">
        <f ca="1">_xludf.IMAGE("https://m.media-amazon.com/images/I/51TWbZ0INyL._AC_UL320_.jpg")</f>
        <v>#NAME?</v>
      </c>
      <c r="I2982" t="s">
        <v>2586</v>
      </c>
      <c r="J2982">
        <v>25.99</v>
      </c>
      <c r="K2982" s="4">
        <v>0.44629999999999997</v>
      </c>
      <c r="L2982">
        <v>4.5999999999999996</v>
      </c>
      <c r="M2982">
        <v>121</v>
      </c>
      <c r="O2982" t="s">
        <v>25</v>
      </c>
      <c r="P2982" t="s">
        <v>6426</v>
      </c>
      <c r="Q2982" t="s">
        <v>6427</v>
      </c>
    </row>
    <row r="2983" spans="1:17" ht="15.5" x14ac:dyDescent="0.35">
      <c r="A2983"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2983" s="3" t="str">
        <f>HYPERLINK("https://edmondsonsupply.com/products/klein-tools-630-3-8-3-8-inch-nut-driver-with-3-inch-hollow-shaft", "https://edmondsonsupply.com/products/klein-tools-630-3-8-3-8-inch-nut-driver-with-3-inch-hollow-shaft")</f>
        <v>https://edmondsonsupply.com/products/klein-tools-630-3-8-3-8-inch-nut-driver-with-3-inch-hollow-shaft</v>
      </c>
      <c r="C2983" t="s">
        <v>6150</v>
      </c>
      <c r="D2983" t="s">
        <v>7173</v>
      </c>
      <c r="E2983" s="3" t="str">
        <f>HYPERLINK("https://www.amazon.com/8-Inch-Heavy-Duty-Driver-Klein-Tools/dp/B01D6E8NSM/ref=sr_1_7?keywords=Klein+Tools+630-3%2F8+3%2F8-Inch+Nut+Driver+with+3-Inch+Hollow+Shaft&amp;qid=1695174289&amp;sr=8-7", "https://www.amazon.com/8-Inch-Heavy-Duty-Driver-Klein-Tools/dp/B01D6E8NSM/ref=sr_1_7?keywords=Klein+Tools+630-3%2F8+3%2F8-Inch+Nut+Driver+with+3-Inch+Hollow+Shaft&amp;qid=1695174289&amp;sr=8-7")</f>
        <v>https://www.amazon.com/8-Inch-Heavy-Duty-Driver-Klein-Tools/dp/B01D6E8NSM/ref=sr_1_7?keywords=Klein+Tools+630-3%2F8+3%2F8-Inch+Nut+Driver+with+3-Inch+Hollow+Shaft&amp;qid=1695174289&amp;sr=8-7</v>
      </c>
      <c r="F2983" t="s">
        <v>7174</v>
      </c>
      <c r="G2983" t="e">
        <f ca="1">_xludf.IMAGE("https://edmondsonsupply.com/cdn/shop/products/630-1-2_e23f9fbd-a282-44d7-b743-2cfe0f84edfa.jpg?v=1633030906")</f>
        <v>#NAME?</v>
      </c>
      <c r="H2983" t="e">
        <f ca="1">_xludf.IMAGE("https://m.media-amazon.com/images/I/41Iii738a4L._AC_UL320_.jpg")</f>
        <v>#NAME?</v>
      </c>
      <c r="I2983" t="s">
        <v>924</v>
      </c>
      <c r="J2983">
        <v>12.99</v>
      </c>
      <c r="K2983" s="4">
        <v>0.44490000000000002</v>
      </c>
      <c r="L2983">
        <v>4.7</v>
      </c>
      <c r="M2983">
        <v>91</v>
      </c>
      <c r="O2983" t="s">
        <v>25</v>
      </c>
      <c r="P2983" t="s">
        <v>6153</v>
      </c>
      <c r="Q2983" t="s">
        <v>6154</v>
      </c>
    </row>
    <row r="2984" spans="1:17" ht="15.5" x14ac:dyDescent="0.35">
      <c r="A2984"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2984" s="3" t="str">
        <f>HYPERLINK("https://edmondsonsupply.com/products/klein-tools-60401-hard-hat-vented-full-brim-style", "https://edmondsonsupply.com/products/klein-tools-60401-hard-hat-vented-full-brim-style")</f>
        <v>https://edmondsonsupply.com/products/klein-tools-60401-hard-hat-vented-full-brim-style</v>
      </c>
      <c r="C2984" t="s">
        <v>943</v>
      </c>
      <c r="D2984" t="s">
        <v>998</v>
      </c>
      <c r="E2984" s="3" t="str">
        <f>HYPERLINK("https://www.amazon.com/Klein-Tools-Headlamp-Multi-point-Adjustment/dp/B08KGCJDG8/ref=sr_1_5?keywords=Klein+Tools+60401+Hard+Hat%2C+Vented%2C+Full+Brim+Style&amp;qid=1695173946&amp;sr=8-5", "https://www.amazon.com/Klein-Tools-Headlamp-Multi-point-Adjustment/dp/B08KGCJDG8/ref=sr_1_5?keywords=Klein+Tools+60401+Hard+Hat%2C+Vented%2C+Full+Brim+Style&amp;qid=1695173946&amp;sr=8-5")</f>
        <v>https://www.amazon.com/Klein-Tools-Headlamp-Multi-point-Adjustment/dp/B08KGCJDG8/ref=sr_1_5?keywords=Klein+Tools+60401+Hard+Hat%2C+Vented%2C+Full+Brim+Style&amp;qid=1695173946&amp;sr=8-5</v>
      </c>
      <c r="F2984" t="s">
        <v>999</v>
      </c>
      <c r="G2984" t="e">
        <f ca="1">_xludf.IMAGE("https://edmondsonsupply.com/cdn/shop/products/60401.jpg?v=1587143271")</f>
        <v>#NAME?</v>
      </c>
      <c r="H2984" t="e">
        <f ca="1">_xludf.IMAGE("https://m.media-amazon.com/images/I/51tnGRYa57L._AC_UL320_.jpg")</f>
        <v>#NAME?</v>
      </c>
      <c r="I2984" t="s">
        <v>946</v>
      </c>
      <c r="J2984">
        <v>64.959999999999994</v>
      </c>
      <c r="K2984" s="4">
        <v>0.44390000000000002</v>
      </c>
      <c r="L2984">
        <v>4.8</v>
      </c>
      <c r="M2984">
        <v>8</v>
      </c>
      <c r="O2984" t="s">
        <v>25</v>
      </c>
      <c r="P2984" t="s">
        <v>947</v>
      </c>
      <c r="Q2984" t="s">
        <v>948</v>
      </c>
    </row>
    <row r="2985" spans="1:17" ht="15.5" x14ac:dyDescent="0.35">
      <c r="A2985"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2985" s="3" t="str">
        <f>HYPERLINK("https://edmondsonsupply.com/products/klein-tools-60401-hard-hat-vented-full-brim-style", "https://edmondsonsupply.com/products/klein-tools-60401-hard-hat-vented-full-brim-style")</f>
        <v>https://edmondsonsupply.com/products/klein-tools-60401-hard-hat-vented-full-brim-style</v>
      </c>
      <c r="C2985" t="s">
        <v>943</v>
      </c>
      <c r="D2985" t="s">
        <v>888</v>
      </c>
      <c r="E2985" s="3" t="str">
        <f>HYPERLINK("https://www.amazon.com/Klein-Tools-Self-Wicking-Odor-Resistant-Sweatband/dp/B0B68NYYM7/ref=sr_1_9?keywords=Klein+Tools+60401+Hard+Hat%2C+Vented%2C+Full+Brim+Style&amp;qid=1695173946&amp;sr=8-9", "https://www.amazon.com/Klein-Tools-Self-Wicking-Odor-Resistant-Sweatband/dp/B0B68NYYM7/ref=sr_1_9?keywords=Klein+Tools+60401+Hard+Hat%2C+Vented%2C+Full+Brim+Style&amp;qid=1695173946&amp;sr=8-9")</f>
        <v>https://www.amazon.com/Klein-Tools-Self-Wicking-Odor-Resistant-Sweatband/dp/B0B68NYYM7/ref=sr_1_9?keywords=Klein+Tools+60401+Hard+Hat%2C+Vented%2C+Full+Brim+Style&amp;qid=1695173946&amp;sr=8-9</v>
      </c>
      <c r="F2985" t="s">
        <v>889</v>
      </c>
      <c r="G2985" t="e">
        <f ca="1">_xludf.IMAGE("https://edmondsonsupply.com/cdn/shop/products/60401.jpg?v=1587143271")</f>
        <v>#NAME?</v>
      </c>
      <c r="H2985" t="e">
        <f ca="1">_xludf.IMAGE("https://m.media-amazon.com/images/I/41IulVK0+jL._AC_UL320_.jpg")</f>
        <v>#NAME?</v>
      </c>
      <c r="I2985" t="s">
        <v>946</v>
      </c>
      <c r="J2985">
        <v>64.959999999999994</v>
      </c>
      <c r="K2985" s="4">
        <v>0.44390000000000002</v>
      </c>
      <c r="L2985">
        <v>4.5</v>
      </c>
      <c r="M2985">
        <v>15</v>
      </c>
      <c r="O2985" t="s">
        <v>25</v>
      </c>
      <c r="P2985" t="s">
        <v>947</v>
      </c>
      <c r="Q2985" t="s">
        <v>948</v>
      </c>
    </row>
    <row r="2986" spans="1:17" ht="15.5" x14ac:dyDescent="0.35">
      <c r="A2986"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2986" s="3" t="str">
        <f>HYPERLINK("https://edmondsonsupply.com/products/klein-tools-630-3-8-3-8-inch-nut-driver-with-3-inch-hollow-shaft", "https://edmondsonsupply.com/products/klein-tools-630-3-8-3-8-inch-nut-driver-with-3-inch-hollow-shaft")</f>
        <v>https://edmondsonsupply.com/products/klein-tools-630-3-8-3-8-inch-nut-driver-with-3-inch-hollow-shaft</v>
      </c>
      <c r="C2986" t="s">
        <v>6150</v>
      </c>
      <c r="D2986" t="s">
        <v>7175</v>
      </c>
      <c r="E2986" s="3" t="str">
        <f>HYPERLINK("https://www.amazon.com/Magnetic-Comfordome-Klein-Tools-S126M/dp/B0009OODZU/ref=sr_1_9?keywords=Klein+Tools+630-3%2F8+3%2F8-Inch+Nut+Driver+with+3-Inch+Hollow+Shaft&amp;qid=1695174289&amp;sr=8-9", "https://www.amazon.com/Magnetic-Comfordome-Klein-Tools-S126M/dp/B0009OODZU/ref=sr_1_9?keywords=Klein+Tools+630-3%2F8+3%2F8-Inch+Nut+Driver+with+3-Inch+Hollow+Shaft&amp;qid=1695174289&amp;sr=8-9")</f>
        <v>https://www.amazon.com/Magnetic-Comfordome-Klein-Tools-S126M/dp/B0009OODZU/ref=sr_1_9?keywords=Klein+Tools+630-3%2F8+3%2F8-Inch+Nut+Driver+with+3-Inch+Hollow+Shaft&amp;qid=1695174289&amp;sr=8-9</v>
      </c>
      <c r="F2986" t="s">
        <v>7176</v>
      </c>
      <c r="G2986" t="e">
        <f ca="1">_xludf.IMAGE("https://edmondsonsupply.com/cdn/shop/products/630-1-2_e23f9fbd-a282-44d7-b743-2cfe0f84edfa.jpg?v=1633030906")</f>
        <v>#NAME?</v>
      </c>
      <c r="H2986" t="e">
        <f ca="1">_xludf.IMAGE("https://m.media-amazon.com/images/I/318IOnHWWJL._AC_UL320_.jpg")</f>
        <v>#NAME?</v>
      </c>
      <c r="I2986" t="s">
        <v>924</v>
      </c>
      <c r="J2986">
        <v>12.97</v>
      </c>
      <c r="K2986" s="4">
        <v>0.44269999999999998</v>
      </c>
      <c r="L2986">
        <v>4.5999999999999996</v>
      </c>
      <c r="M2986">
        <v>231</v>
      </c>
      <c r="O2986" t="s">
        <v>25</v>
      </c>
      <c r="P2986" t="s">
        <v>6153</v>
      </c>
      <c r="Q2986" t="s">
        <v>6154</v>
      </c>
    </row>
    <row r="2987" spans="1:17" ht="15.5" x14ac:dyDescent="0.35">
      <c r="A2987" s="3" t="str">
        <f>HYPERLINK("https://edmondsonsupply.com/collections/electricians-tools/products/klein-tools-60443-reusable-face-mask-filter-replacement-3-pack", "https://edmondsonsupply.com/collections/electricians-tools/products/klein-tools-60443-reusable-face-mask-filter-replacement-3-pack")</f>
        <v>https://edmondsonsupply.com/collections/electricians-tools/products/klein-tools-60443-reusable-face-mask-filter-replacement-3-pack</v>
      </c>
      <c r="B2987" s="3" t="str">
        <f>HYPERLINK("https://edmondsonsupply.com/products/klein-tools-60443-reusable-face-mask-filter-replacement-3-pack", "https://edmondsonsupply.com/products/klein-tools-60443-reusable-face-mask-filter-replacement-3-pack")</f>
        <v>https://edmondsonsupply.com/products/klein-tools-60443-reusable-face-mask-filter-replacement-3-pack</v>
      </c>
      <c r="C2987" t="s">
        <v>1000</v>
      </c>
      <c r="D2987" t="s">
        <v>1001</v>
      </c>
      <c r="E2987" s="3" t="str">
        <f>HYPERLINK("https://www.amazon.com/Klein-Tools-60443-Reusable-Replacement/dp/B08P3SYJ5X/ref=sr_1_1?keywords=Klein+Tools+60443+Reusable+Face+Mask+Filter+Replacement%2C+3-Pack&amp;qid=1695174191&amp;sr=8-1", "https://www.amazon.com/Klein-Tools-60443-Reusable-Replacement/dp/B08P3SYJ5X/ref=sr_1_1?keywords=Klein+Tools+60443+Reusable+Face+Mask+Filter+Replacement%2C+3-Pack&amp;qid=1695174191&amp;sr=8-1")</f>
        <v>https://www.amazon.com/Klein-Tools-60443-Reusable-Replacement/dp/B08P3SYJ5X/ref=sr_1_1?keywords=Klein+Tools+60443+Reusable+Face+Mask+Filter+Replacement%2C+3-Pack&amp;qid=1695174191&amp;sr=8-1</v>
      </c>
      <c r="F2987" t="s">
        <v>1002</v>
      </c>
      <c r="G2987" t="e">
        <f ca="1">_xludf.IMAGE("https://edmondsonsupply.com/cdn/shop/products/60443.jpg?v=1659119117")</f>
        <v>#NAME?</v>
      </c>
      <c r="H2987" t="e">
        <f ca="1">_xludf.IMAGE("https://m.media-amazon.com/images/I/61HSGQnqs9L._AC_UL320_.jpg")</f>
        <v>#NAME?</v>
      </c>
      <c r="I2987" t="s">
        <v>1003</v>
      </c>
      <c r="J2987">
        <v>11.52</v>
      </c>
      <c r="K2987" s="4">
        <v>0.44180000000000003</v>
      </c>
      <c r="L2987">
        <v>4.3</v>
      </c>
      <c r="M2987">
        <v>167</v>
      </c>
      <c r="O2987" t="s">
        <v>25</v>
      </c>
      <c r="P2987" t="s">
        <v>1004</v>
      </c>
      <c r="Q2987" t="s">
        <v>1005</v>
      </c>
    </row>
    <row r="2988" spans="1:17" ht="15.5" x14ac:dyDescent="0.35">
      <c r="A2988" s="3" t="str">
        <f>HYPERLINK("https://edmondsonsupply.com/collections/electricians-tools/products/greenlee-gsb01-1-2-step-bit-1", "https://edmondsonsupply.com/collections/electricians-tools/products/greenlee-gsb01-1-2-step-bit-1")</f>
        <v>https://edmondsonsupply.com/collections/electricians-tools/products/greenlee-gsb01-1-2-step-bit-1</v>
      </c>
      <c r="B2988" s="3" t="str">
        <f>HYPERLINK("https://edmondsonsupply.com/products/greenlee-gsb01-1-2-step-bit-1", "https://edmondsonsupply.com/products/greenlee-gsb01-1-2-step-bit-1")</f>
        <v>https://edmondsonsupply.com/products/greenlee-gsb01-1-2-step-bit-1</v>
      </c>
      <c r="C2988" t="s">
        <v>2319</v>
      </c>
      <c r="D2988" t="s">
        <v>3245</v>
      </c>
      <c r="E2988" s="3" t="str">
        <f>HYPERLINK("https://www.amazon.com/Greenlee-GSB12-Step-Bit-1-3/dp/B08TVF7KMP/ref=sr_1_2?keywords=Greenlee+GSB01+1%2F2%22+Step+Bit+%28%231%29&amp;qid=1695173990&amp;sr=8-2", "https://www.amazon.com/Greenlee-GSB12-Step-Bit-1-3/dp/B08TVF7KMP/ref=sr_1_2?keywords=Greenlee+GSB01+1%2F2%22+Step+Bit+%28%231%29&amp;qid=1695173990&amp;sr=8-2")</f>
        <v>https://www.amazon.com/Greenlee-GSB12-Step-Bit-1-3/dp/B08TVF7KMP/ref=sr_1_2?keywords=Greenlee+GSB01+1%2F2%22+Step+Bit+%28%231%29&amp;qid=1695173990&amp;sr=8-2</v>
      </c>
      <c r="F2988" t="s">
        <v>3246</v>
      </c>
      <c r="G2988" t="e">
        <f ca="1">_xludf.IMAGE("https://edmondsonsupply.com/cdn/shop/files/GSB01_CAT1_72dpi_1.jpg?v=1687790366")</f>
        <v>#NAME?</v>
      </c>
      <c r="H2988" t="e">
        <f ca="1">_xludf.IMAGE("https://m.media-amazon.com/images/I/41Z8kxeeZfL._AC_UY218_.jpg")</f>
        <v>#NAME?</v>
      </c>
      <c r="I2988" t="s">
        <v>2322</v>
      </c>
      <c r="J2988">
        <v>45</v>
      </c>
      <c r="K2988" s="4">
        <v>0.44140000000000001</v>
      </c>
      <c r="L2988">
        <v>4.8</v>
      </c>
      <c r="M2988">
        <v>27</v>
      </c>
      <c r="O2988" t="s">
        <v>25</v>
      </c>
      <c r="P2988" t="s">
        <v>138</v>
      </c>
      <c r="Q2988" t="s">
        <v>2323</v>
      </c>
    </row>
    <row r="2989" spans="1:17" ht="15.5" x14ac:dyDescent="0.35">
      <c r="A2989" s="3" t="str">
        <f>HYPERLINK("https://edmondsonsupply.com/collections/electricians-tools/products/klein-tools-650-cushion-grip-scratch-awl", "https://edmondsonsupply.com/collections/electricians-tools/products/klein-tools-650-cushion-grip-scratch-awl")</f>
        <v>https://edmondsonsupply.com/collections/electricians-tools/products/klein-tools-650-cushion-grip-scratch-awl</v>
      </c>
      <c r="B2989" s="3" t="str">
        <f>HYPERLINK("https://edmondsonsupply.com/products/klein-tools-650-cushion-grip-scratch-awl", "https://edmondsonsupply.com/products/klein-tools-650-cushion-grip-scratch-awl")</f>
        <v>https://edmondsonsupply.com/products/klein-tools-650-cushion-grip-scratch-awl</v>
      </c>
      <c r="C2989" t="s">
        <v>7177</v>
      </c>
      <c r="D2989" t="s">
        <v>4477</v>
      </c>
      <c r="E2989" s="3" t="str">
        <f>HYPERLINK("https://www.amazon.com/Demolition-Scratch-Klein-Tools-650DD/dp/B00LUBVL9C/ref=sr_1_3?keywords=Klein+Tools+650+Cushion-Grip+Scratch+Awl&amp;qid=1695174325&amp;sr=8-3", "https://www.amazon.com/Demolition-Scratch-Klein-Tools-650DD/dp/B00LUBVL9C/ref=sr_1_3?keywords=Klein+Tools+650+Cushion-Grip+Scratch+Awl&amp;qid=1695174325&amp;sr=8-3")</f>
        <v>https://www.amazon.com/Demolition-Scratch-Klein-Tools-650DD/dp/B00LUBVL9C/ref=sr_1_3?keywords=Klein+Tools+650+Cushion-Grip+Scratch+Awl&amp;qid=1695174325&amp;sr=8-3</v>
      </c>
      <c r="F2989" t="s">
        <v>4478</v>
      </c>
      <c r="G2989" t="e">
        <f ca="1">_xludf.IMAGE("https://edmondsonsupply.com/cdn/shop/products/650.jpg?v=1633030813")</f>
        <v>#NAME?</v>
      </c>
      <c r="H2989" t="e">
        <f ca="1">_xludf.IMAGE("https://m.media-amazon.com/images/I/41Rko-I--ML._AC_UL320_.jpg")</f>
        <v>#NAME?</v>
      </c>
      <c r="I2989" t="s">
        <v>6632</v>
      </c>
      <c r="J2989">
        <v>17.989999999999998</v>
      </c>
      <c r="K2989" s="4">
        <v>0.44040000000000001</v>
      </c>
      <c r="L2989">
        <v>4.7</v>
      </c>
      <c r="M2989">
        <v>362</v>
      </c>
      <c r="O2989" t="s">
        <v>25</v>
      </c>
      <c r="P2989" t="s">
        <v>2328</v>
      </c>
      <c r="Q2989" t="s">
        <v>7178</v>
      </c>
    </row>
    <row r="2990" spans="1:17" ht="15.5" x14ac:dyDescent="0.35">
      <c r="A2990" s="3" t="str">
        <f>HYPERLINK("https://edmondsonsupply.com/collections/electricians-tools/products/diablo-tools-dmamm1030-3-16-in-x-4-in-x-6-in-multi-material-carbide-tipped-hammer-drill-bit", "https://edmondsonsupply.com/collections/electricians-tools/products/diablo-tools-dmamm1030-3-16-in-x-4-in-x-6-in-multi-material-carbide-tipped-hammer-drill-bit")</f>
        <v>https://edmondsonsupply.com/collections/electricians-tools/products/diablo-tools-dmamm1030-3-16-in-x-4-in-x-6-in-multi-material-carbide-tipped-hammer-drill-bit</v>
      </c>
      <c r="B2990" s="3" t="str">
        <f>HYPERLINK("https://edmondsonsupply.com/products/diablo-tools-dmamm1030-3-16-in-x-4-in-x-6-in-multi-material-carbide-tipped-hammer-drill-bit", "https://edmondsonsupply.com/products/diablo-tools-dmamm1030-3-16-in-x-4-in-x-6-in-multi-material-carbide-tipped-hammer-drill-bit")</f>
        <v>https://edmondsonsupply.com/products/diablo-tools-dmamm1030-3-16-in-x-4-in-x-6-in-multi-material-carbide-tipped-hammer-drill-bit</v>
      </c>
      <c r="C2990" t="s">
        <v>6990</v>
      </c>
      <c r="D2990" t="s">
        <v>7179</v>
      </c>
      <c r="E2990" s="3" t="str">
        <f>HYPERLINK("https://www.amazon.com/Diablo-Carbide-Concrete-Anchor-Hammer/dp/B089KWDK51/ref=sr_1_3?keywords=Diablo+Tools+DMAMM1030+3%2F16+in.+x+4+in.+x+6+in.+Multi-Material+Carbide+Tipped+Hammer+Drill+Bit&amp;qid=1695174028&amp;sr=8-3", "https://www.amazon.com/Diablo-Carbide-Concrete-Anchor-Hammer/dp/B089KWDK51/ref=sr_1_3?keywords=Diablo+Tools+DMAMM1030+3%2F16+in.+x+4+in.+x+6+in.+Multi-Material+Carbide+Tipped+Hammer+Drill+Bit&amp;qid=1695174028&amp;sr=8-3")</f>
        <v>https://www.amazon.com/Diablo-Carbide-Concrete-Anchor-Hammer/dp/B089KWDK51/ref=sr_1_3?keywords=Diablo+Tools+DMAMM1030+3%2F16+in.+x+4+in.+x+6+in.+Multi-Material+Carbide+Tipped+Hammer+Drill+Bit&amp;qid=1695174028&amp;sr=8-3</v>
      </c>
      <c r="F2990" t="s">
        <v>7180</v>
      </c>
      <c r="G2990" t="e">
        <f ca="1">_xludf.IMAGE("https://edmondsonsupply.com/cdn/shop/products/o0c0wf8feit5uxkyh0x8.webp?v=1680186241")</f>
        <v>#NAME?</v>
      </c>
      <c r="H2990" t="e">
        <f ca="1">_xludf.IMAGE("https://m.media-amazon.com/images/I/61VCLLn-a7L._AC_UL320_.jpg")</f>
        <v>#NAME?</v>
      </c>
      <c r="I2990" t="s">
        <v>6991</v>
      </c>
      <c r="J2990">
        <v>9.99</v>
      </c>
      <c r="K2990" s="4">
        <v>0.43330000000000002</v>
      </c>
      <c r="L2990">
        <v>3</v>
      </c>
      <c r="M2990">
        <v>1</v>
      </c>
      <c r="O2990" t="s">
        <v>25</v>
      </c>
      <c r="P2990" t="s">
        <v>138</v>
      </c>
      <c r="Q2990" t="s">
        <v>6992</v>
      </c>
    </row>
    <row r="2991" spans="1:17" ht="15.5" x14ac:dyDescent="0.35">
      <c r="A2991" s="3" t="str">
        <f>HYPERLINK("https://edmondsonsupply.com/collections/electricians-tools/products/supco-ecmpro-ecm-universal-tester", "https://edmondsonsupply.com/collections/electricians-tools/products/supco-ecmpro-ecm-universal-tester")</f>
        <v>https://edmondsonsupply.com/collections/electricians-tools/products/supco-ecmpro-ecm-universal-tester</v>
      </c>
      <c r="B2991" s="3" t="str">
        <f>HYPERLINK("https://edmondsonsupply.com/products/supco-ecmpro-ecm-universal-tester", "https://edmondsonsupply.com/products/supco-ecmpro-ecm-universal-tester")</f>
        <v>https://edmondsonsupply.com/products/supco-ecmpro-ecm-universal-tester</v>
      </c>
      <c r="C2991" t="s">
        <v>3260</v>
      </c>
      <c r="D2991" t="s">
        <v>3261</v>
      </c>
      <c r="E2991" s="3" t="str">
        <f>HYPERLINK("https://www.amazon.com/Airstar-Supply-ECMPRO-Universal-Tester/dp/B08NXWDYMV/ref=sr_1_2?keywords=Supco+ECMPRO+ECM+Universal+Tester&amp;qid=1695173845&amp;sr=8-2", "https://www.amazon.com/Airstar-Supply-ECMPRO-Universal-Tester/dp/B08NXWDYMV/ref=sr_1_2?keywords=Supco+ECMPRO+ECM+Universal+Tester&amp;qid=1695173845&amp;sr=8-2")</f>
        <v>https://www.amazon.com/Airstar-Supply-ECMPRO-Universal-Tester/dp/B08NXWDYMV/ref=sr_1_2?keywords=Supco+ECMPRO+ECM+Universal+Tester&amp;qid=1695173845&amp;sr=8-2</v>
      </c>
      <c r="F2991" t="s">
        <v>3262</v>
      </c>
      <c r="G2991" t="e">
        <f ca="1">_xludf.IMAGE("https://edmondsonsupply.com/cdn/shop/products/ECMPRO_L.png?v=1587142591")</f>
        <v>#NAME?</v>
      </c>
      <c r="H2991" t="e">
        <f ca="1">_xludf.IMAGE("https://m.media-amazon.com/images/I/41umt7JlOeL._AC_UY218_.jpg")</f>
        <v>#NAME?</v>
      </c>
      <c r="I2991" t="s">
        <v>3263</v>
      </c>
      <c r="J2991">
        <v>75.55</v>
      </c>
      <c r="K2991" s="4">
        <v>0.43280000000000002</v>
      </c>
      <c r="L2991">
        <v>4.5999999999999996</v>
      </c>
      <c r="M2991">
        <v>92</v>
      </c>
      <c r="O2991" t="s">
        <v>25</v>
      </c>
      <c r="P2991" t="s">
        <v>138</v>
      </c>
      <c r="Q2991" t="s">
        <v>3264</v>
      </c>
    </row>
    <row r="2992" spans="1:17" ht="15.5" x14ac:dyDescent="0.35">
      <c r="A2992" s="3" t="str">
        <f>HYPERLINK("https://edmondsonsupply.com/collections/electricians-tools/products/diablo-tools-dag", "https://edmondsonsupply.com/collections/electricians-tools/products/diablo-tools-dag")</f>
        <v>https://edmondsonsupply.com/collections/electricians-tools/products/diablo-tools-dag</v>
      </c>
      <c r="B2992" s="3" t="str">
        <f>HYPERLINK("https://edmondsonsupply.com/products/diablo-tools-dag", "https://edmondsonsupply.com/products/diablo-tools-dag")</f>
        <v>https://edmondsonsupply.com/products/diablo-tools-dag</v>
      </c>
      <c r="C2992" t="s">
        <v>6819</v>
      </c>
      <c r="D2992" t="s">
        <v>7181</v>
      </c>
      <c r="E2992" s="3" t="str">
        <f>HYPERLINK("https://www.amazon.com/Diablo-17-1-Auger-Bit/dp/B089LHKRPP/ref=sr_1_5?keywords=Diablo+Tools+DAG3010+3%2F8+in.+x+17-1%2F2+in.+Auger+Bit&amp;qid=1695174114&amp;sr=8-5", "https://www.amazon.com/Diablo-17-1-Auger-Bit/dp/B089LHKRPP/ref=sr_1_5?keywords=Diablo+Tools+DAG3010+3%2F8+in.+x+17-1%2F2+in.+Auger+Bit&amp;qid=1695174114&amp;sr=8-5")</f>
        <v>https://www.amazon.com/Diablo-17-1-Auger-Bit/dp/B089LHKRPP/ref=sr_1_5?keywords=Diablo+Tools+DAG3010+3%2F8+in.+x+17-1%2F2+in.+Auger+Bit&amp;qid=1695174114&amp;sr=8-5</v>
      </c>
      <c r="F2992" t="s">
        <v>7182</v>
      </c>
      <c r="G2992" t="e">
        <f ca="1">_xludf.IMAGE("https://edmondsonsupply.com/cdn/shop/products/xfctdbahz5wx3g461fm8.webp?v=1669991052")</f>
        <v>#NAME?</v>
      </c>
      <c r="H2992" t="e">
        <f ca="1">_xludf.IMAGE("https://m.media-amazon.com/images/I/61aMNURt08L._AC_UL320_.jpg")</f>
        <v>#NAME?</v>
      </c>
      <c r="I2992" t="s">
        <v>5147</v>
      </c>
      <c r="J2992">
        <v>25</v>
      </c>
      <c r="K2992" s="4">
        <v>0.43099999999999999</v>
      </c>
      <c r="L2992">
        <v>4.5999999999999996</v>
      </c>
      <c r="M2992">
        <v>61</v>
      </c>
      <c r="O2992" t="s">
        <v>25</v>
      </c>
      <c r="P2992" t="s">
        <v>6822</v>
      </c>
      <c r="Q2992" t="s">
        <v>6823</v>
      </c>
    </row>
    <row r="2993" spans="1:17" ht="15.5" x14ac:dyDescent="0.35">
      <c r="A2993" s="3" t="str">
        <f>HYPERLINK("https://edmondsonsupply.com/collections/electricians-tools/products/klein-tools-50550-glow-in-the-dark-fish-tape-20-foot", "https://edmondsonsupply.com/collections/electricians-tools/products/klein-tools-50550-glow-in-the-dark-fish-tape-20-foot")</f>
        <v>https://edmondsonsupply.com/collections/electricians-tools/products/klein-tools-50550-glow-in-the-dark-fish-tape-20-foot</v>
      </c>
      <c r="B2993" s="3" t="str">
        <f>HYPERLINK("https://edmondsonsupply.com/products/klein-tools-50550-glow-in-the-dark-fish-tape-20-foot", "https://edmondsonsupply.com/products/klein-tools-50550-glow-in-the-dark-fish-tape-20-foot")</f>
        <v>https://edmondsonsupply.com/products/klein-tools-50550-glow-in-the-dark-fish-tape-20-foot</v>
      </c>
      <c r="C2993" t="s">
        <v>7183</v>
      </c>
      <c r="D2993" t="s">
        <v>6141</v>
      </c>
      <c r="E2993" s="3" t="str">
        <f>HYPERLINK("https://www.amazon.com/Illuminated-Attachments-Klein-Tools-80050/dp/B09FRBGCZD/ref=sr_1_3?keywords=Klein+Tools+50550+Glow+in+the+Dark+Fish+Tape%2C+20-Foot&amp;qid=1695174211&amp;sr=8-3", "https://www.amazon.com/Illuminated-Attachments-Klein-Tools-80050/dp/B09FRBGCZD/ref=sr_1_3?keywords=Klein+Tools+50550+Glow+in+the+Dark+Fish+Tape%2C+20-Foot&amp;qid=1695174211&amp;sr=8-3")</f>
        <v>https://www.amazon.com/Illuminated-Attachments-Klein-Tools-80050/dp/B09FRBGCZD/ref=sr_1_3?keywords=Klein+Tools+50550+Glow+in+the+Dark+Fish+Tape%2C+20-Foot&amp;qid=1695174211&amp;sr=8-3</v>
      </c>
      <c r="F2993" t="s">
        <v>6142</v>
      </c>
      <c r="G2993" t="e">
        <f ca="1">_xludf.IMAGE("https://edmondsonsupply.com/cdn/shop/products/50550_c.jpg?v=1650066147")</f>
        <v>#NAME?</v>
      </c>
      <c r="H2993" t="e">
        <f ca="1">_xludf.IMAGE("https://m.media-amazon.com/images/I/51K8WFeudSL._AC_UL320_.jpg")</f>
        <v>#NAME?</v>
      </c>
      <c r="I2993" t="s">
        <v>340</v>
      </c>
      <c r="J2993">
        <v>49.99</v>
      </c>
      <c r="K2993" s="4">
        <v>0.42949999999999999</v>
      </c>
      <c r="L2993">
        <v>4.3</v>
      </c>
      <c r="M2993">
        <v>22</v>
      </c>
      <c r="O2993" t="s">
        <v>25</v>
      </c>
      <c r="P2993" t="s">
        <v>7184</v>
      </c>
      <c r="Q2993" t="s">
        <v>7185</v>
      </c>
    </row>
    <row r="2994" spans="1:17" ht="15.5" x14ac:dyDescent="0.35">
      <c r="A2994"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2994" s="3" t="str">
        <f>HYPERLINK("https://edmondsonsupply.com/products/klein-tools-11053-klein-kurve%c2%ae-wire-stripper-cutter", "https://edmondsonsupply.com/products/klein-tools-11053-klein-kurve%c2%ae-wire-stripper-cutter")</f>
        <v>https://edmondsonsupply.com/products/klein-tools-11053-klein-kurve%c2%ae-wire-stripper-cutter</v>
      </c>
      <c r="C2994" t="s">
        <v>2285</v>
      </c>
      <c r="D2994" t="s">
        <v>3269</v>
      </c>
      <c r="E2994" s="3" t="str">
        <f>HYPERLINK("https://www.amazon.com/Cutter-Stripper-Klein-Tools-K1412/dp/B000F9HIEC/ref=sr_1_10?keywords=Klein+Tools+11053+Klein-Kurve%C2%AE+Wire+Stripper%2FCutter&amp;qid=1695173869&amp;sr=8-10", "https://www.amazon.com/Cutter-Stripper-Klein-Tools-K1412/dp/B000F9HIEC/ref=sr_1_10?keywords=Klein+Tools+11053+Klein-Kurve%C2%AE+Wire+Stripper%2FCutter&amp;qid=1695173869&amp;sr=8-10")</f>
        <v>https://www.amazon.com/Cutter-Stripper-Klein-Tools-K1412/dp/B000F9HIEC/ref=sr_1_10?keywords=Klein+Tools+11053+Klein-Kurve%C2%AE+Wire+Stripper%2FCutter&amp;qid=1695173869&amp;sr=8-10</v>
      </c>
      <c r="F2994" t="s">
        <v>3270</v>
      </c>
      <c r="G2994" t="e">
        <f ca="1">_xludf.IMAGE("https://edmondsonsupply.com/cdn/shop/products/11053.jpg?v=1633030511")</f>
        <v>#NAME?</v>
      </c>
      <c r="H2994" t="e">
        <f ca="1">_xludf.IMAGE("https://m.media-amazon.com/images/I/41sdPMsHXcL._AC_UL320_.jpg")</f>
        <v>#NAME?</v>
      </c>
      <c r="I2994" t="s">
        <v>2288</v>
      </c>
      <c r="J2994">
        <v>29.97</v>
      </c>
      <c r="K2994" s="4">
        <v>0.42920000000000003</v>
      </c>
      <c r="L2994">
        <v>4.8</v>
      </c>
      <c r="M2994">
        <v>1850</v>
      </c>
      <c r="O2994" t="s">
        <v>25</v>
      </c>
      <c r="P2994" t="s">
        <v>2289</v>
      </c>
      <c r="Q2994" t="s">
        <v>2290</v>
      </c>
    </row>
    <row r="2995" spans="1:17" ht="15.5" x14ac:dyDescent="0.35">
      <c r="A2995"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2995"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2995" t="s">
        <v>6753</v>
      </c>
      <c r="D2995" t="s">
        <v>3271</v>
      </c>
      <c r="E2995" s="3" t="str">
        <f>HYPERLINK("https://www.amazon.com/Klein-Tools-11055RINS-Insulated-Stripper/dp/B0BFZBQ9XF/ref=sr_1_9?keywords=Klein+Tools+K11095+Klein-Kurve%C2%AE+Wire+Stripper+%2F+Cutter%2C+8-20+AWG&amp;qid=1695174173&amp;sr=8-9", "https://www.amazon.com/Klein-Tools-11055RINS-Insulated-Stripper/dp/B0BFZBQ9XF/ref=sr_1_9?keywords=Klein+Tools+K11095+Klein-Kurve%C2%AE+Wire+Stripper+%2F+Cutter%2C+8-20+AWG&amp;qid=1695174173&amp;sr=8-9")</f>
        <v>https://www.amazon.com/Klein-Tools-11055RINS-Insulated-Stripper/dp/B0BFZBQ9XF/ref=sr_1_9?keywords=Klein+Tools+K11095+Klein-Kurve%C2%AE+Wire+Stripper+%2F+Cutter%2C+8-20+AWG&amp;qid=1695174173&amp;sr=8-9</v>
      </c>
      <c r="F2995" t="s">
        <v>3272</v>
      </c>
      <c r="G2995" t="e">
        <f ca="1">_xludf.IMAGE("https://edmondsonsupply.com/cdn/shop/products/k11095_b_front_vertical.jpg?v=1661364611")</f>
        <v>#NAME?</v>
      </c>
      <c r="H2995" t="e">
        <f ca="1">_xludf.IMAGE("https://m.media-amazon.com/images/I/41Pemveg6bL._AC_UL320_.jpg")</f>
        <v>#NAME?</v>
      </c>
      <c r="I2995" t="s">
        <v>2288</v>
      </c>
      <c r="J2995">
        <v>29.97</v>
      </c>
      <c r="K2995" s="4">
        <v>0.42920000000000003</v>
      </c>
      <c r="L2995">
        <v>4.5999999999999996</v>
      </c>
      <c r="M2995">
        <v>55</v>
      </c>
      <c r="O2995" t="s">
        <v>25</v>
      </c>
      <c r="P2995" t="s">
        <v>6525</v>
      </c>
      <c r="Q2995" t="s">
        <v>6754</v>
      </c>
    </row>
    <row r="2996" spans="1:17" ht="15.5" x14ac:dyDescent="0.35">
      <c r="A2996"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2996" s="3" t="str">
        <f>HYPERLINK("https://edmondsonsupply.com/products/klein-tools-11053-klein-kurve%c2%ae-wire-stripper-cutter", "https://edmondsonsupply.com/products/klein-tools-11053-klein-kurve%c2%ae-wire-stripper-cutter")</f>
        <v>https://edmondsonsupply.com/products/klein-tools-11053-klein-kurve%c2%ae-wire-stripper-cutter</v>
      </c>
      <c r="C2996" t="s">
        <v>2285</v>
      </c>
      <c r="D2996" t="s">
        <v>3271</v>
      </c>
      <c r="E2996" s="3" t="str">
        <f>HYPERLINK("https://www.amazon.com/Klein-Tools-11055RINS-Insulated-Stripper/dp/B0BFZBQ9XF/ref=sr_1_9?keywords=Klein+Tools+11053+Klein-Kurve%C2%AE+Wire+Stripper%2FCutter&amp;qid=1695173869&amp;sr=8-9", "https://www.amazon.com/Klein-Tools-11055RINS-Insulated-Stripper/dp/B0BFZBQ9XF/ref=sr_1_9?keywords=Klein+Tools+11053+Klein-Kurve%C2%AE+Wire+Stripper%2FCutter&amp;qid=1695173869&amp;sr=8-9")</f>
        <v>https://www.amazon.com/Klein-Tools-11055RINS-Insulated-Stripper/dp/B0BFZBQ9XF/ref=sr_1_9?keywords=Klein+Tools+11053+Klein-Kurve%C2%AE+Wire+Stripper%2FCutter&amp;qid=1695173869&amp;sr=8-9</v>
      </c>
      <c r="F2996" t="s">
        <v>3272</v>
      </c>
      <c r="G2996" t="e">
        <f ca="1">_xludf.IMAGE("https://edmondsonsupply.com/cdn/shop/products/11053.jpg?v=1633030511")</f>
        <v>#NAME?</v>
      </c>
      <c r="H2996" t="e">
        <f ca="1">_xludf.IMAGE("https://m.media-amazon.com/images/I/41Pemveg6bL._AC_UL320_.jpg")</f>
        <v>#NAME?</v>
      </c>
      <c r="I2996" t="s">
        <v>2288</v>
      </c>
      <c r="J2996">
        <v>29.97</v>
      </c>
      <c r="K2996" s="4">
        <v>0.42920000000000003</v>
      </c>
      <c r="L2996">
        <v>4.5999999999999996</v>
      </c>
      <c r="M2996">
        <v>55</v>
      </c>
      <c r="O2996" t="s">
        <v>25</v>
      </c>
      <c r="P2996" t="s">
        <v>2289</v>
      </c>
      <c r="Q2996" t="s">
        <v>2290</v>
      </c>
    </row>
    <row r="2997" spans="1:17" ht="15.5" x14ac:dyDescent="0.35">
      <c r="A2997"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2997"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2997" t="s">
        <v>6753</v>
      </c>
      <c r="D2997" t="s">
        <v>5178</v>
      </c>
      <c r="E2997" s="3" t="str">
        <f>HYPERLINK("https://www.amazon.com/Stripper-Electrical-Klein-Tools-11063W/dp/B00BC39YFQ/ref=sr_1_10?keywords=Klein+Tools+K11095+Klein-Kurve%C2%AE+Wire+Stripper+%2F+Cutter%2C+8-20+AWG&amp;qid=1695174173&amp;sr=8-10", "https://www.amazon.com/Stripper-Electrical-Klein-Tools-11063W/dp/B00BC39YFQ/ref=sr_1_10?keywords=Klein+Tools+K11095+Klein-Kurve%C2%AE+Wire+Stripper+%2F+Cutter%2C+8-20+AWG&amp;qid=1695174173&amp;sr=8-10")</f>
        <v>https://www.amazon.com/Stripper-Electrical-Klein-Tools-11063W/dp/B00BC39YFQ/ref=sr_1_10?keywords=Klein+Tools+K11095+Klein-Kurve%C2%AE+Wire+Stripper+%2F+Cutter%2C+8-20+AWG&amp;qid=1695174173&amp;sr=8-10</v>
      </c>
      <c r="F2997" t="s">
        <v>5179</v>
      </c>
      <c r="G2997" t="e">
        <f ca="1">_xludf.IMAGE("https://edmondsonsupply.com/cdn/shop/products/k11095_b_front_vertical.jpg?v=1661364611")</f>
        <v>#NAME?</v>
      </c>
      <c r="H2997" t="e">
        <f ca="1">_xludf.IMAGE("https://m.media-amazon.com/images/I/51cWJR-r31L._AC_UL320_.jpg")</f>
        <v>#NAME?</v>
      </c>
      <c r="I2997" t="s">
        <v>2288</v>
      </c>
      <c r="J2997">
        <v>29.97</v>
      </c>
      <c r="K2997" s="4">
        <v>0.42920000000000003</v>
      </c>
      <c r="L2997">
        <v>4.8</v>
      </c>
      <c r="M2997">
        <v>9121</v>
      </c>
      <c r="O2997" t="s">
        <v>25</v>
      </c>
      <c r="P2997" t="s">
        <v>6525</v>
      </c>
      <c r="Q2997" t="s">
        <v>6754</v>
      </c>
    </row>
    <row r="2998" spans="1:17" ht="15.5" x14ac:dyDescent="0.35">
      <c r="A2998"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2998"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2998" t="s">
        <v>6824</v>
      </c>
      <c r="D2998" t="s">
        <v>6340</v>
      </c>
      <c r="E2998" s="3" t="str">
        <f>HYPERLINK("https://www.amazon.com/Klein-Tools-Integrated-Receptacle-Electrical/dp/B09P85276K/ref=sr_1_7?keywords=Klein+Tools+ET310+Digital+Circuit+Breaker+Finder+with+GFCI+Outlet+Tester&amp;qid=1695173862&amp;sr=8-7", "https://www.amazon.com/Klein-Tools-Integrated-Receptacle-Electrical/dp/B09P85276K/ref=sr_1_7?keywords=Klein+Tools+ET310+Digital+Circuit+Breaker+Finder+with+GFCI+Outlet+Tester&amp;qid=1695173862&amp;sr=8-7")</f>
        <v>https://www.amazon.com/Klein-Tools-Integrated-Receptacle-Electrical/dp/B09P85276K/ref=sr_1_7?keywords=Klein+Tools+ET310+Digital+Circuit+Breaker+Finder+with+GFCI+Outlet+Tester&amp;qid=1695173862&amp;sr=8-7</v>
      </c>
      <c r="F2998" t="s">
        <v>6341</v>
      </c>
      <c r="G2998" t="e">
        <f ca="1">_xludf.IMAGE("https://edmondsonsupply.com/cdn/shop/products/et310_c.jpg?v=1646963918")</f>
        <v>#NAME?</v>
      </c>
      <c r="H2998" t="e">
        <f ca="1">_xludf.IMAGE("https://m.media-amazon.com/images/I/51AwhghGlRL._AC_UL320_.jpg")</f>
        <v>#NAME?</v>
      </c>
      <c r="I2998" t="s">
        <v>380</v>
      </c>
      <c r="J2998">
        <v>71.400000000000006</v>
      </c>
      <c r="K2998" s="4">
        <v>0.4289</v>
      </c>
      <c r="L2998">
        <v>4.8</v>
      </c>
      <c r="M2998">
        <v>235</v>
      </c>
      <c r="O2998" t="s">
        <v>25</v>
      </c>
      <c r="P2998" t="s">
        <v>6825</v>
      </c>
      <c r="Q2998" t="s">
        <v>6826</v>
      </c>
    </row>
    <row r="2999" spans="1:17" ht="15.5" x14ac:dyDescent="0.35">
      <c r="A2999"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2999"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2999" t="s">
        <v>6146</v>
      </c>
      <c r="D2999" t="s">
        <v>7186</v>
      </c>
      <c r="E2999" s="3" t="str">
        <f>HYPERLINK("https://www.amazon.com/Klein-Tools-Screwdriver-Receptacle-Electrical/dp/B0BC81C7T9/ref=sr_1_8?keywords=Klein+Tools+32288+8-in-1+Insulated+Interchangeable+Screwdriver+Set&amp;qid=1695173864&amp;sr=8-8", "https://www.amazon.com/Klein-Tools-Screwdriver-Receptacle-Electrical/dp/B0BC81C7T9/ref=sr_1_8?keywords=Klein+Tools+32288+8-in-1+Insulated+Interchangeable+Screwdriver+Set&amp;qid=1695173864&amp;sr=8-8")</f>
        <v>https://www.amazon.com/Klein-Tools-Screwdriver-Receptacle-Electrical/dp/B0BC81C7T9/ref=sr_1_8?keywords=Klein+Tools+32288+8-in-1+Insulated+Interchangeable+Screwdriver+Set&amp;qid=1695173864&amp;sr=8-8</v>
      </c>
      <c r="F2999" t="s">
        <v>7187</v>
      </c>
      <c r="G2999" t="e">
        <f ca="1">_xludf.IMAGE("https://edmondsonsupply.com/cdn/shop/products/32288.jpg?v=1587146849")</f>
        <v>#NAME?</v>
      </c>
      <c r="H2999" t="e">
        <f ca="1">_xludf.IMAGE("https://m.media-amazon.com/images/I/5148u43zoXL._AC_UL320_.jpg")</f>
        <v>#NAME?</v>
      </c>
      <c r="I2999" t="s">
        <v>1931</v>
      </c>
      <c r="J2999">
        <v>71.42</v>
      </c>
      <c r="K2999" s="4">
        <v>0.42870000000000003</v>
      </c>
      <c r="L2999">
        <v>5</v>
      </c>
      <c r="M2999">
        <v>1</v>
      </c>
      <c r="O2999" t="s">
        <v>25</v>
      </c>
      <c r="P2999" t="s">
        <v>1114</v>
      </c>
      <c r="Q2999" t="s">
        <v>6149</v>
      </c>
    </row>
    <row r="3000" spans="1:17" ht="15.5" x14ac:dyDescent="0.35">
      <c r="A3000" s="3" t="str">
        <f>HYPERLINK("https://edmondsonsupply.com/collections/electricians-tools/products/klein-tools-56380-multi-groove-fiberglass-fish-tape-with-spiral-steel-leader-100-foot", "https://edmondsonsupply.com/collections/electricians-tools/products/klein-tools-56380-multi-groove-fiberglass-fish-tape-with-spiral-steel-leader-100-foot")</f>
        <v>https://edmondsonsupply.com/collections/electricians-tools/products/klein-tools-56380-multi-groove-fiberglass-fish-tape-with-spiral-steel-leader-100-foot</v>
      </c>
      <c r="B3000"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3000" t="s">
        <v>3273</v>
      </c>
      <c r="D3000" t="s">
        <v>3274</v>
      </c>
      <c r="E3000" s="3" t="str">
        <f>HYPERLINK("https://www.amazon.com/Multi-Groove-Fiberglass-200-Foot-Klein-Tools/dp/B00N6Y8RRA/ref=sr_1_5?keywords=Klein+Tools+56380+Multi-Groove+Fiberglass+Fish+Tape+with+Spiral+Steel+Leader%2C+100-Foot&amp;qid=1695173932&amp;sr=8-5", "https://www.amazon.com/Multi-Groove-Fiberglass-200-Foot-Klein-Tools/dp/B00N6Y8RRA/ref=sr_1_5?keywords=Klein+Tools+56380+Multi-Groove+Fiberglass+Fish+Tape+with+Spiral+Steel+Leader%2C+100-Foot&amp;qid=1695173932&amp;sr=8-5")</f>
        <v>https://www.amazon.com/Multi-Groove-Fiberglass-200-Foot-Klein-Tools/dp/B00N6Y8RRA/ref=sr_1_5?keywords=Klein+Tools+56380+Multi-Groove+Fiberglass+Fish+Tape+with+Spiral+Steel+Leader%2C+100-Foot&amp;qid=1695173932&amp;sr=8-5</v>
      </c>
      <c r="F3000" t="s">
        <v>3275</v>
      </c>
      <c r="G3000" t="e">
        <f ca="1">_xludf.IMAGE("https://edmondsonsupply.com/cdn/shop/products/56380.jpg?v=1587147762")</f>
        <v>#NAME?</v>
      </c>
      <c r="H3000" t="e">
        <f ca="1">_xludf.IMAGE("https://m.media-amazon.com/images/I/61-dcSdFpvL._AC_UL320_.jpg")</f>
        <v>#NAME?</v>
      </c>
      <c r="I3000" t="s">
        <v>3276</v>
      </c>
      <c r="J3000">
        <v>199.99</v>
      </c>
      <c r="K3000" s="4">
        <v>0.42859999999999998</v>
      </c>
      <c r="L3000">
        <v>4.4000000000000004</v>
      </c>
      <c r="M3000">
        <v>86</v>
      </c>
      <c r="O3000" t="s">
        <v>25</v>
      </c>
      <c r="P3000" t="s">
        <v>3277</v>
      </c>
      <c r="Q3000" t="s">
        <v>3278</v>
      </c>
    </row>
    <row r="3001" spans="1:17" ht="15.5" x14ac:dyDescent="0.35">
      <c r="A3001"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3001" s="3" t="str">
        <f>HYPERLINK("https://edmondsonsupply.com/products/fluke-80ak-a-thermocouple-adapter-type-k", "https://edmondsonsupply.com/products/fluke-80ak-a-thermocouple-adapter-type-k")</f>
        <v>https://edmondsonsupply.com/products/fluke-80ak-a-thermocouple-adapter-type-k</v>
      </c>
      <c r="C3001" t="s">
        <v>7188</v>
      </c>
      <c r="D3001" t="s">
        <v>7189</v>
      </c>
      <c r="E3001" s="3" t="str">
        <f>HYPERLINK("https://www.amazon.com/Fluke-80PK-11-Type-K-Thermocouple-Temperature/dp/B000R81U3G/ref=sr_1_10?keywords=Fluke+80AK-A+Thermocouple+Adapter%2C+Type+K&amp;qid=1695174160&amp;sr=8-10", "https://www.amazon.com/Fluke-80PK-11-Type-K-Thermocouple-Temperature/dp/B000R81U3G/ref=sr_1_10?keywords=Fluke+80AK-A+Thermocouple+Adapter%2C+Type+K&amp;qid=1695174160&amp;sr=8-10")</f>
        <v>https://www.amazon.com/Fluke-80PK-11-Type-K-Thermocouple-Temperature/dp/B000R81U3G/ref=sr_1_10?keywords=Fluke+80AK-A+Thermocouple+Adapter%2C+Type+K&amp;qid=1695174160&amp;sr=8-10</v>
      </c>
      <c r="F3001" t="s">
        <v>7190</v>
      </c>
      <c r="G3001" t="e">
        <f ca="1">_xludf.IMAGE("https://edmondsonsupply.com/cdn/shop/products/f-80ak-a_01a_h-1500x1000.webp?v=1662642921")</f>
        <v>#NAME?</v>
      </c>
      <c r="H3001" t="e">
        <f ca="1">_xludf.IMAGE("https://m.media-amazon.com/images/I/51HSoQzN4JL._AC_UY218_.jpg")</f>
        <v>#NAME?</v>
      </c>
      <c r="I3001" t="s">
        <v>198</v>
      </c>
      <c r="J3001">
        <v>57.12</v>
      </c>
      <c r="K3001" s="4">
        <v>0.4284</v>
      </c>
      <c r="L3001">
        <v>3.7</v>
      </c>
      <c r="M3001">
        <v>19</v>
      </c>
      <c r="O3001" t="s">
        <v>25</v>
      </c>
      <c r="P3001" t="s">
        <v>3496</v>
      </c>
      <c r="Q3001" t="s">
        <v>7191</v>
      </c>
    </row>
    <row r="3002" spans="1:17" ht="15.5" x14ac:dyDescent="0.35">
      <c r="A3002"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3002"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3002" t="s">
        <v>6529</v>
      </c>
      <c r="D3002" t="s">
        <v>7192</v>
      </c>
      <c r="E3002" s="3" t="str">
        <f>HYPERLINK("https://www.amazon.com/Klein-Tools-Electrical-Dual-Range-Non-Contact/dp/B0BNL8GVPW/ref=sr_1_4?keywords=Klein+Tools+NCVT3PKIT+Dual+Range+NCVT+and+AC%2FDC+Voltage+Tester+Electrical+Test+Kit&amp;qid=1695174124&amp;sr=8-4", "https://www.amazon.com/Klein-Tools-Electrical-Dual-Range-Non-Contact/dp/B0BNL8GVPW/ref=sr_1_4?keywords=Klein+Tools+NCVT3PKIT+Dual+Range+NCVT+and+AC%2FDC+Voltage+Tester+Electrical+Test+Kit&amp;qid=1695174124&amp;sr=8-4")</f>
        <v>https://www.amazon.com/Klein-Tools-Electrical-Dual-Range-Non-Contact/dp/B0BNL8GVPW/ref=sr_1_4?keywords=Klein+Tools+NCVT3PKIT+Dual+Range+NCVT+and+AC%2FDC+Voltage+Tester+Electrical+Test+Kit&amp;qid=1695174124&amp;sr=8-4</v>
      </c>
      <c r="F3002" t="s">
        <v>7193</v>
      </c>
      <c r="G3002" t="e">
        <f ca="1">_xludf.IMAGE("https://edmondsonsupply.com/cdn/shop/products/ncvt3pkit.jpg?v=1667228452")</f>
        <v>#NAME?</v>
      </c>
      <c r="H3002" t="e">
        <f ca="1">_xludf.IMAGE("https://m.media-amazon.com/images/I/51YZJ-zkhPL._AC_UL320_.jpg")</f>
        <v>#NAME?</v>
      </c>
      <c r="I3002" t="s">
        <v>571</v>
      </c>
      <c r="J3002">
        <v>49.96</v>
      </c>
      <c r="K3002" s="4">
        <v>0.42780000000000001</v>
      </c>
      <c r="L3002">
        <v>4.5999999999999996</v>
      </c>
      <c r="M3002">
        <v>3</v>
      </c>
      <c r="O3002" t="s">
        <v>25</v>
      </c>
      <c r="P3002" t="s">
        <v>6532</v>
      </c>
      <c r="Q3002" t="s">
        <v>6533</v>
      </c>
    </row>
    <row r="3003" spans="1:17" ht="15.5" x14ac:dyDescent="0.35">
      <c r="A3003" s="3" t="str">
        <f>HYPERLINK("https://edmondsonsupply.com/collections/electricians-tools/products/reed-mfg-dhr12-1-2npt-r12-drophead-1-2-npt", "https://edmondsonsupply.com/collections/electricians-tools/products/reed-mfg-dhr12-1-2npt-r12-drophead-1-2-npt")</f>
        <v>https://edmondsonsupply.com/collections/electricians-tools/products/reed-mfg-dhr12-1-2npt-r12-drophead-1-2-npt</v>
      </c>
      <c r="B3003" s="3" t="str">
        <f>HYPERLINK("https://edmondsonsupply.com/products/reed-mfg-dhr12-1-2npt-r12-drophead-1-2-npt", "https://edmondsonsupply.com/products/reed-mfg-dhr12-1-2npt-r12-drophead-1-2-npt")</f>
        <v>https://edmondsonsupply.com/products/reed-mfg-dhr12-1-2npt-r12-drophead-1-2-npt</v>
      </c>
      <c r="C3003" t="s">
        <v>7194</v>
      </c>
      <c r="D3003" t="s">
        <v>7195</v>
      </c>
      <c r="E3003" s="3" t="str">
        <f>HYPERLINK("https://www.amazon.com/Reed-Tool-DHR12-2NPT-Drophead/dp/B000ZGXUMY/ref=sr_1_1?keywords=Reed+Mfg+DHR12+1%2F2NPT+R12%2B+Drophead%2C+1%2F2%22+NPT&amp;qid=1695174269&amp;sr=8-1", "https://www.amazon.com/Reed-Tool-DHR12-2NPT-Drophead/dp/B000ZGXUMY/ref=sr_1_1?keywords=Reed+Mfg+DHR12+1%2F2NPT+R12%2B+Drophead%2C+1%2F2%22+NPT&amp;qid=1695174269&amp;sr=8-1")</f>
        <v>https://www.amazon.com/Reed-Tool-DHR12-2NPT-Drophead/dp/B000ZGXUMY/ref=sr_1_1?keywords=Reed+Mfg+DHR12+1%2F2NPT+R12%2B+Drophead%2C+1%2F2%22+NPT&amp;qid=1695174269&amp;sr=8-1</v>
      </c>
      <c r="F3003" t="s">
        <v>7196</v>
      </c>
      <c r="G3003" t="e">
        <f ca="1">_xludf.IMAGE("https://edmondsonsupply.com/cdn/shop/products/05626-DHR12-1-2NPT-RGB.jpg?v=1633031013")</f>
        <v>#NAME?</v>
      </c>
      <c r="H3003" t="e">
        <f ca="1">_xludf.IMAGE("https://m.media-amazon.com/images/I/61Y5u+qPi2L._AC_UY218_.jpg")</f>
        <v>#NAME?</v>
      </c>
      <c r="I3003" t="s">
        <v>7197</v>
      </c>
      <c r="J3003">
        <v>172.93</v>
      </c>
      <c r="K3003" s="4">
        <v>0.42730000000000001</v>
      </c>
      <c r="L3003">
        <v>1</v>
      </c>
      <c r="M3003">
        <v>1</v>
      </c>
      <c r="O3003" t="s">
        <v>25</v>
      </c>
      <c r="P3003" t="s">
        <v>7198</v>
      </c>
      <c r="Q3003" t="s">
        <v>7199</v>
      </c>
    </row>
    <row r="3004" spans="1:17" ht="15.5" x14ac:dyDescent="0.35">
      <c r="A3004"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3004"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3004" t="s">
        <v>6587</v>
      </c>
      <c r="D3004" t="s">
        <v>3501</v>
      </c>
      <c r="E3004" s="3" t="str">
        <f>HYPERLINK("https://www.amazon.com/Non-Contact-Voltage-Flashlight-Klein-Tools/dp/B00XJQ9ZE4/ref=sr_1_6?keywords=Klein+Tools+NCVT-2P+Dual+Range+Non-Contact+Voltage+Tester+12+-+1000V+AC&amp;qid=1695174301&amp;sr=8-6", "https://www.amazon.com/Non-Contact-Voltage-Flashlight-Klein-Tools/dp/B00XJQ9ZE4/ref=sr_1_6?keywords=Klein+Tools+NCVT-2P+Dual+Range+Non-Contact+Voltage+Tester+12+-+1000V+AC&amp;qid=1695174301&amp;sr=8-6")</f>
        <v>https://www.amazon.com/Non-Contact-Voltage-Flashlight-Klein-Tools/dp/B00XJQ9ZE4/ref=sr_1_6?keywords=Klein+Tools+NCVT-2P+Dual+Range+Non-Contact+Voltage+Tester+12+-+1000V+AC&amp;qid=1695174301&amp;sr=8-6</v>
      </c>
      <c r="F3004" t="s">
        <v>3502</v>
      </c>
      <c r="G3004" t="e">
        <f ca="1">_xludf.IMAGE("https://edmondsonsupply.com/cdn/shop/products/ncvt2p.jpg?v=1633030824")</f>
        <v>#NAME?</v>
      </c>
      <c r="H3004" t="e">
        <f ca="1">_xludf.IMAGE("https://m.media-amazon.com/images/I/51dcyyMwUjL._AC_UL320_.jpg")</f>
        <v>#NAME?</v>
      </c>
      <c r="I3004" t="s">
        <v>6588</v>
      </c>
      <c r="J3004">
        <v>39.89</v>
      </c>
      <c r="K3004" s="4">
        <v>0.42620000000000002</v>
      </c>
      <c r="L3004">
        <v>4.5</v>
      </c>
      <c r="M3004">
        <v>1685</v>
      </c>
      <c r="O3004" t="s">
        <v>25</v>
      </c>
      <c r="P3004" t="s">
        <v>6589</v>
      </c>
      <c r="Q3004" t="s">
        <v>6590</v>
      </c>
    </row>
    <row r="3005" spans="1:17" ht="15.5" x14ac:dyDescent="0.35">
      <c r="A3005" s="3" t="str">
        <f>HYPERLINK("https://edmondsonsupply.com/collections/electricians-tools/products/sensible-products-hrf-1-high-beam-rechargeable-flashlight-black", "https://edmondsonsupply.com/collections/electricians-tools/products/sensible-products-hrf-1-high-beam-rechargeable-flashlight-black")</f>
        <v>https://edmondsonsupply.com/collections/electricians-tools/products/sensible-products-hrf-1-high-beam-rechargeable-flashlight-black</v>
      </c>
      <c r="B3005" s="3" t="str">
        <f>HYPERLINK("https://edmondsonsupply.com/products/sensible-products-hrf-1-high-beam-rechargeable-flashlight-black", "https://edmondsonsupply.com/products/sensible-products-hrf-1-high-beam-rechargeable-flashlight-black")</f>
        <v>https://edmondsonsupply.com/products/sensible-products-hrf-1-high-beam-rechargeable-flashlight-black</v>
      </c>
      <c r="C3005" t="s">
        <v>3285</v>
      </c>
      <c r="D3005" t="s">
        <v>3286</v>
      </c>
      <c r="E3005" s="3" t="str">
        <f>HYPERLINK("https://www.amazon.com/Sensible-Products-High-Beam-Rechargeable-Flashlight/dp/B0BVGLNYDK/ref=sr_1_1?keywords=Sensible+Products+HRF-1+High-Beam+Rechargeable+Flashlight%2C+Black&amp;qid=1695173847&amp;sr=8-1", "https://www.amazon.com/Sensible-Products-High-Beam-Rechargeable-Flashlight/dp/B0BVGLNYDK/ref=sr_1_1?keywords=Sensible+Products+HRF-1+High-Beam+Rechargeable+Flashlight%2C+Black&amp;qid=1695173847&amp;sr=8-1")</f>
        <v>https://www.amazon.com/Sensible-Products-High-Beam-Rechargeable-Flashlight/dp/B0BVGLNYDK/ref=sr_1_1?keywords=Sensible+Products+HRF-1+High-Beam+Rechargeable+Flashlight%2C+Black&amp;qid=1695173847&amp;sr=8-1</v>
      </c>
      <c r="F3005" t="s">
        <v>3287</v>
      </c>
      <c r="G3005" t="e">
        <f ca="1">_xludf.IMAGE("https://edmondsonsupply.com/cdn/shop/products/HRF1BLACK-2.jpg?v=1587144533")</f>
        <v>#NAME?</v>
      </c>
      <c r="H3005" t="e">
        <f ca="1">_xludf.IMAGE("https://m.media-amazon.com/images/I/31tIPF-TUsL._AC_UL320_.jpg")</f>
        <v>#NAME?</v>
      </c>
      <c r="I3005" t="s">
        <v>3288</v>
      </c>
      <c r="J3005">
        <v>38.950000000000003</v>
      </c>
      <c r="K3005" s="4">
        <v>0.42520000000000002</v>
      </c>
      <c r="L3005">
        <v>5</v>
      </c>
      <c r="M3005">
        <v>1</v>
      </c>
      <c r="O3005" t="s">
        <v>25</v>
      </c>
      <c r="P3005" t="s">
        <v>138</v>
      </c>
      <c r="Q3005" t="s">
        <v>3289</v>
      </c>
    </row>
    <row r="3006" spans="1:17" ht="15.5" x14ac:dyDescent="0.35">
      <c r="A3006" s="3" t="str">
        <f>HYPERLINK("https://edmondsonsupply.com/collections/electricians-tools/products/sensible-products-hrf-1-high-beam-rechargeable-flashlight-silver", "https://edmondsonsupply.com/collections/electricians-tools/products/sensible-products-hrf-1-high-beam-rechargeable-flashlight-silver")</f>
        <v>https://edmondsonsupply.com/collections/electricians-tools/products/sensible-products-hrf-1-high-beam-rechargeable-flashlight-silver</v>
      </c>
      <c r="B3006" s="3" t="str">
        <f>HYPERLINK("https://edmondsonsupply.com/products/sensible-products-hrf-1-high-beam-rechargeable-flashlight-silver", "https://edmondsonsupply.com/products/sensible-products-hrf-1-high-beam-rechargeable-flashlight-silver")</f>
        <v>https://edmondsonsupply.com/products/sensible-products-hrf-1-high-beam-rechargeable-flashlight-silver</v>
      </c>
      <c r="C3006" t="s">
        <v>3290</v>
      </c>
      <c r="D3006" t="s">
        <v>3286</v>
      </c>
      <c r="E3006" s="3" t="str">
        <f>HYPERLINK("https://www.amazon.com/Sensible-Products-High-Beam-Rechargeable-Flashlight/dp/B0BVGLNYDK/ref=sr_1_2?keywords=Sensible+Products+HRF-1+High-Beam+Rechargeable+Flashlight%2C+Silver&amp;qid=1695173859&amp;sr=8-2", "https://www.amazon.com/Sensible-Products-High-Beam-Rechargeable-Flashlight/dp/B0BVGLNYDK/ref=sr_1_2?keywords=Sensible+Products+HRF-1+High-Beam+Rechargeable+Flashlight%2C+Silver&amp;qid=1695173859&amp;sr=8-2")</f>
        <v>https://www.amazon.com/Sensible-Products-High-Beam-Rechargeable-Flashlight/dp/B0BVGLNYDK/ref=sr_1_2?keywords=Sensible+Products+HRF-1+High-Beam+Rechargeable+Flashlight%2C+Silver&amp;qid=1695173859&amp;sr=8-2</v>
      </c>
      <c r="F3006" t="s">
        <v>3287</v>
      </c>
      <c r="G3006" t="e">
        <f ca="1">_xludf.IMAGE("https://edmondsonsupply.com/cdn/shop/products/HRF1SILVER-2.jpg?v=1587142434")</f>
        <v>#NAME?</v>
      </c>
      <c r="H3006" t="e">
        <f ca="1">_xludf.IMAGE("https://m.media-amazon.com/images/I/31tIPF-TUsL._AC_UL320_.jpg")</f>
        <v>#NAME?</v>
      </c>
      <c r="I3006" t="s">
        <v>3288</v>
      </c>
      <c r="J3006">
        <v>38.950000000000003</v>
      </c>
      <c r="K3006" s="4">
        <v>0.42520000000000002</v>
      </c>
      <c r="L3006">
        <v>5</v>
      </c>
      <c r="M3006">
        <v>1</v>
      </c>
      <c r="O3006" t="s">
        <v>25</v>
      </c>
      <c r="P3006" t="s">
        <v>138</v>
      </c>
      <c r="Q3006" t="s">
        <v>3291</v>
      </c>
    </row>
    <row r="3007" spans="1:17" ht="15.5" x14ac:dyDescent="0.35">
      <c r="A3007" s="3" t="str">
        <f>HYPERLINK("https://edmondsonsupply.com/collections/electricians-tools/products/diablo-tools-dsp2150-1-3-8-in-x-6-in-spade-bit", "https://edmondsonsupply.com/collections/electricians-tools/products/diablo-tools-dsp2150-1-3-8-in-x-6-in-spade-bit")</f>
        <v>https://edmondsonsupply.com/collections/electricians-tools/products/diablo-tools-dsp2150-1-3-8-in-x-6-in-spade-bit</v>
      </c>
      <c r="B3007" s="3" t="str">
        <f>HYPERLINK("https://edmondsonsupply.com/products/diablo-tools-dsp2150-1-3-8-in-x-6-in-spade-bit", "https://edmondsonsupply.com/products/diablo-tools-dsp2150-1-3-8-in-x-6-in-spade-bit")</f>
        <v>https://edmondsonsupply.com/products/diablo-tools-dsp2150-1-3-8-in-x-6-in-spade-bit</v>
      </c>
      <c r="C3007" t="s">
        <v>7200</v>
      </c>
      <c r="D3007" t="s">
        <v>5850</v>
      </c>
      <c r="E3007" s="3" t="str">
        <f>HYPERLINK("https://www.amazon.com/Diablo-16-SPEEDemon-Spade-Bit/dp/B089LKXD6Z/ref=sr_1_7?keywords=Diablo+Tools+DSP2160+1-3%2F8+in.+x+6+in.+SPEEDemon%E2%84%A2+Spade+Bit&amp;qid=1695174215&amp;sr=8-7", "https://www.amazon.com/Diablo-16-SPEEDemon-Spade-Bit/dp/B089LKXD6Z/ref=sr_1_7?keywords=Diablo+Tools+DSP2160+1-3%2F8+in.+x+6+in.+SPEEDemon%E2%84%A2+Spade+Bit&amp;qid=1695174215&amp;sr=8-7")</f>
        <v>https://www.amazon.com/Diablo-16-SPEEDemon-Spade-Bit/dp/B089LKXD6Z/ref=sr_1_7?keywords=Diablo+Tools+DSP2160+1-3%2F8+in.+x+6+in.+SPEEDemon%E2%84%A2+Spade+Bit&amp;qid=1695174215&amp;sr=8-7</v>
      </c>
      <c r="F3007" t="s">
        <v>5851</v>
      </c>
      <c r="G3007" t="e">
        <f ca="1">_xludf.IMAGE("https://edmondsonsupply.com/cdn/shop/products/DSP2160.webp?v=1647634103")</f>
        <v>#NAME?</v>
      </c>
      <c r="H3007" t="e">
        <f ca="1">_xludf.IMAGE("https://m.media-amazon.com/images/I/616SIXUQ4mL._AC_UL320_.jpg")</f>
        <v>#NAME?</v>
      </c>
      <c r="I3007" t="s">
        <v>6991</v>
      </c>
      <c r="J3007">
        <v>9.93</v>
      </c>
      <c r="K3007" s="4">
        <v>0.42470000000000002</v>
      </c>
      <c r="L3007">
        <v>4.3</v>
      </c>
      <c r="M3007">
        <v>10</v>
      </c>
      <c r="O3007" t="s">
        <v>25</v>
      </c>
      <c r="P3007" t="s">
        <v>138</v>
      </c>
      <c r="Q3007" t="s">
        <v>7201</v>
      </c>
    </row>
    <row r="3008" spans="1:17" ht="15.5" x14ac:dyDescent="0.35">
      <c r="A3008"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3008"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3008" t="s">
        <v>3118</v>
      </c>
      <c r="D3008" t="s">
        <v>3292</v>
      </c>
      <c r="E3008" s="3" t="str">
        <f>HYPERLINK("https://www.amazon.com/Journeyman-T-Handle-Klein-Tools-JTH6E17BE/dp/B004QW58Q4/ref=sr_1_5?keywords=Klein+Tools+JTH4E17+1%2F2-Inch+Hex+Key%2C+Journeyman+T-Handle%2C+4-Inch&amp;qid=1695173921&amp;sr=8-5", "https://www.amazon.com/Journeyman-T-Handle-Klein-Tools-JTH6E17BE/dp/B004QW58Q4/ref=sr_1_5?keywords=Klein+Tools+JTH4E17+1%2F2-Inch+Hex+Key%2C+Journeyman+T-Handle%2C+4-Inch&amp;qid=1695173921&amp;sr=8-5")</f>
        <v>https://www.amazon.com/Journeyman-T-Handle-Klein-Tools-JTH6E17BE/dp/B004QW58Q4/ref=sr_1_5?keywords=Klein+Tools+JTH4E17+1%2F2-Inch+Hex+Key%2C+Journeyman+T-Handle%2C+4-Inch&amp;qid=1695173921&amp;sr=8-5</v>
      </c>
      <c r="F3008" t="s">
        <v>3293</v>
      </c>
      <c r="G3008" t="e">
        <f ca="1">_xludf.IMAGE("https://edmondsonsupply.com/cdn/shop/products/jth4e17_583549be-7b42-43c7-9c3d-a92f2416ede5.jpg?v=1610655610")</f>
        <v>#NAME?</v>
      </c>
      <c r="H3008" t="e">
        <f ca="1">_xludf.IMAGE("https://m.media-amazon.com/images/I/51f9vBFVXgL._AC_UL320_.jpg")</f>
        <v>#NAME?</v>
      </c>
      <c r="I3008" t="s">
        <v>252</v>
      </c>
      <c r="J3008">
        <v>22.72</v>
      </c>
      <c r="K3008" s="4">
        <v>0.4209</v>
      </c>
      <c r="L3008">
        <v>4.8</v>
      </c>
      <c r="M3008">
        <v>456</v>
      </c>
      <c r="O3008" t="s">
        <v>25</v>
      </c>
      <c r="P3008" t="s">
        <v>3121</v>
      </c>
      <c r="Q3008" t="s">
        <v>3122</v>
      </c>
    </row>
    <row r="3009" spans="1:17" ht="15.5" x14ac:dyDescent="0.35">
      <c r="A3009" s="3" t="str">
        <f>HYPERLINK("https://edmondsonsupply.com/collections/electricians-tools/products/diablo-tools-dsp3050-7-8-in-x-16-in-spade-bit", "https://edmondsonsupply.com/collections/electricians-tools/products/diablo-tools-dsp3050-7-8-in-x-16-in-spade-bit")</f>
        <v>https://edmondsonsupply.com/collections/electricians-tools/products/diablo-tools-dsp3050-7-8-in-x-16-in-spade-bit</v>
      </c>
      <c r="B3009" s="3" t="str">
        <f>HYPERLINK("https://edmondsonsupply.com/products/diablo-tools-dsp3050-7-8-in-x-16-in-spade-bit", "https://edmondsonsupply.com/products/diablo-tools-dsp3050-7-8-in-x-16-in-spade-bit")</f>
        <v>https://edmondsonsupply.com/products/diablo-tools-dsp3050-7-8-in-x-16-in-spade-bit</v>
      </c>
      <c r="C3009" t="s">
        <v>5814</v>
      </c>
      <c r="D3009" t="s">
        <v>5850</v>
      </c>
      <c r="E3009" s="3" t="str">
        <f>HYPERLINK("https://www.amazon.com/Diablo-16-SPEEDemon-Spade-Bit/dp/B089LKXD6Z/ref=sr_1_9?keywords=Diablo+Tools+DSP3050+7%2F8+in.+x+16+in.+Spade+Bit&amp;qid=1695174014&amp;sr=8-9", "https://www.amazon.com/Diablo-16-SPEEDemon-Spade-Bit/dp/B089LKXD6Z/ref=sr_1_9?keywords=Diablo+Tools+DSP3050+7%2F8+in.+x+16+in.+Spade+Bit&amp;qid=1695174014&amp;sr=8-9")</f>
        <v>https://www.amazon.com/Diablo-16-SPEEDemon-Spade-Bit/dp/B089LKXD6Z/ref=sr_1_9?keywords=Diablo+Tools+DSP3050+7%2F8+in.+x+16+in.+Spade+Bit&amp;qid=1695174014&amp;sr=8-9</v>
      </c>
      <c r="F3009" t="s">
        <v>5851</v>
      </c>
      <c r="G3009" t="e">
        <f ca="1">_xludf.IMAGE("https://edmondsonsupply.com/cdn/shop/files/y2jtkhe6p1ztkurhqyvu.webp?v=1685722260")</f>
        <v>#NAME?</v>
      </c>
      <c r="H3009" t="e">
        <f ca="1">_xludf.IMAGE("https://m.media-amazon.com/images/I/616SIXUQ4mL._AC_UL320_.jpg")</f>
        <v>#NAME?</v>
      </c>
      <c r="I3009" t="s">
        <v>2347</v>
      </c>
      <c r="J3009">
        <v>9.93</v>
      </c>
      <c r="K3009" s="4">
        <v>0.42059999999999997</v>
      </c>
      <c r="L3009">
        <v>4.3</v>
      </c>
      <c r="M3009">
        <v>10</v>
      </c>
      <c r="O3009" t="s">
        <v>25</v>
      </c>
      <c r="P3009" t="s">
        <v>5817</v>
      </c>
      <c r="Q3009" t="s">
        <v>5818</v>
      </c>
    </row>
    <row r="3010" spans="1:17" ht="15.5" x14ac:dyDescent="0.35">
      <c r="A3010"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3010" s="3" t="str">
        <f>HYPERLINK("https://edmondsonsupply.com/products/klein-tools-630-5-8-nut-driver-5-8-inch-4-inch-hollow-shaft", "https://edmondsonsupply.com/products/klein-tools-630-5-8-nut-driver-5-8-inch-4-inch-hollow-shaft")</f>
        <v>https://edmondsonsupply.com/products/klein-tools-630-5-8-nut-driver-5-8-inch-4-inch-hollow-shaft</v>
      </c>
      <c r="C3010" t="s">
        <v>6629</v>
      </c>
      <c r="D3010" t="s">
        <v>7202</v>
      </c>
      <c r="E3010" s="3" t="str">
        <f>HYPERLINK("https://www.amazon.com/8-Inch-Comfordome-Klein-Tools-S20/dp/B0002RIA2Q/ref=sr_1_2?keywords=Klein+Tools+630-5%2F8+Nut+Driver%2C+5%2F8-Inch%2C+4-Inch+Hollow+Shaft&amp;qid=1695174302&amp;sr=8-2", "https://www.amazon.com/8-Inch-Comfordome-Klein-Tools-S20/dp/B0002RIA2Q/ref=sr_1_2?keywords=Klein+Tools+630-5%2F8+Nut+Driver%2C+5%2F8-Inch%2C+4-Inch+Hollow+Shaft&amp;qid=1695174302&amp;sr=8-2")</f>
        <v>https://www.amazon.com/8-Inch-Comfordome-Klein-Tools-S20/dp/B0002RIA2Q/ref=sr_1_2?keywords=Klein+Tools+630-5%2F8+Nut+Driver%2C+5%2F8-Inch%2C+4-Inch+Hollow+Shaft&amp;qid=1695174302&amp;sr=8-2</v>
      </c>
      <c r="F3010" t="s">
        <v>7203</v>
      </c>
      <c r="G3010" t="e">
        <f ca="1">_xludf.IMAGE("https://edmondsonsupply.com/cdn/shop/products/630-1-2_df0ca74a-79e7-41f4-ad94-60312e01e692.jpg?v=1633031052")</f>
        <v>#NAME?</v>
      </c>
      <c r="H3010" t="e">
        <f ca="1">_xludf.IMAGE("https://m.media-amazon.com/images/I/51ES8ZYN+AL._AC_UL320_.jpg")</f>
        <v>#NAME?</v>
      </c>
      <c r="I3010" t="s">
        <v>6632</v>
      </c>
      <c r="J3010">
        <v>17.739999999999998</v>
      </c>
      <c r="K3010" s="4">
        <v>0.42030000000000001</v>
      </c>
      <c r="L3010">
        <v>4.5</v>
      </c>
      <c r="M3010">
        <v>225</v>
      </c>
      <c r="O3010" t="s">
        <v>25</v>
      </c>
      <c r="P3010" t="s">
        <v>2328</v>
      </c>
      <c r="Q3010" t="s">
        <v>6633</v>
      </c>
    </row>
    <row r="3011" spans="1:17" ht="15.5" x14ac:dyDescent="0.35">
      <c r="A3011"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3011"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3011" t="s">
        <v>7204</v>
      </c>
      <c r="D3011" t="s">
        <v>6775</v>
      </c>
      <c r="E3011" s="3" t="str">
        <f>HYPERLINK("https://www.amazon.com/Insulated-Screwdriver-Klein-Tools-601-4-INS/dp/B000LEBVIK/ref=sr_1_6?keywords=Klein+Tools+6816INS+Insulated+Screwdriver%2C+3%2F16-Inch+Cabinet+Tip%2C+6-Inch+Round+Shank&amp;qid=1695174141&amp;sr=8-6", "https://www.amazon.com/Insulated-Screwdriver-Klein-Tools-601-4-INS/dp/B000LEBVIK/ref=sr_1_6?keywords=Klein+Tools+6816INS+Insulated+Screwdriver%2C+3%2F16-Inch+Cabinet+Tip%2C+6-Inch+Round+Shank&amp;qid=1695174141&amp;sr=8-6")</f>
        <v>https://www.amazon.com/Insulated-Screwdriver-Klein-Tools-601-4-INS/dp/B000LEBVIK/ref=sr_1_6?keywords=Klein+Tools+6816INS+Insulated+Screwdriver%2C+3%2F16-Inch+Cabinet+Tip%2C+6-Inch+Round+Shank&amp;qid=1695174141&amp;sr=8-6</v>
      </c>
      <c r="F3011" t="s">
        <v>6776</v>
      </c>
      <c r="G3011" t="e">
        <f ca="1">_xludf.IMAGE("https://edmondsonsupply.com/cdn/shop/products/6816ins.jpg?v=1664812840")</f>
        <v>#NAME?</v>
      </c>
      <c r="H3011" t="e">
        <f ca="1">_xludf.IMAGE("https://m.media-amazon.com/images/I/41SIcZZiIAL._AC_UL320_.jpg")</f>
        <v>#NAME?</v>
      </c>
      <c r="I3011" t="s">
        <v>6073</v>
      </c>
      <c r="J3011">
        <v>16.989999999999998</v>
      </c>
      <c r="K3011" s="4">
        <v>0.4194</v>
      </c>
      <c r="L3011">
        <v>4.8</v>
      </c>
      <c r="M3011">
        <v>1064</v>
      </c>
      <c r="O3011" t="s">
        <v>25</v>
      </c>
      <c r="P3011" t="s">
        <v>6728</v>
      </c>
      <c r="Q3011" t="s">
        <v>7205</v>
      </c>
    </row>
    <row r="3012" spans="1:17" ht="15.5" x14ac:dyDescent="0.35">
      <c r="A3012"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3012" s="3" t="str">
        <f>HYPERLINK("https://edmondsonsupply.com/products/klein-tools-646-5-16-5-16-inch-nut-driver-6-inch-hollow-shaft", "https://edmondsonsupply.com/products/klein-tools-646-5-16-5-16-inch-nut-driver-6-inch-hollow-shaft")</f>
        <v>https://edmondsonsupply.com/products/klein-tools-646-5-16-5-16-inch-nut-driver-6-inch-hollow-shaft</v>
      </c>
      <c r="C3012" t="s">
        <v>1893</v>
      </c>
      <c r="D3012" t="s">
        <v>3301</v>
      </c>
      <c r="E3012" s="3" t="str">
        <f>HYPERLINK("https://www.amazon.com/Magnetic-Klein-Tools-610-5-16M/dp/B00093DZP0/ref=sr_1_6?keywords=Klein+Tools+646-5%2F16+5%2F16-Inch+Nut+Driver%2C+6-Inch+Hollow+Shaft&amp;qid=1695173904&amp;sr=8-6", "https://www.amazon.com/Magnetic-Klein-Tools-610-5-16M/dp/B00093DZP0/ref=sr_1_6?keywords=Klein+Tools+646-5%2F16+5%2F16-Inch+Nut+Driver%2C+6-Inch+Hollow+Shaft&amp;qid=1695173904&amp;sr=8-6")</f>
        <v>https://www.amazon.com/Magnetic-Klein-Tools-610-5-16M/dp/B00093DZP0/ref=sr_1_6?keywords=Klein+Tools+646-5%2F16+5%2F16-Inch+Nut+Driver%2C+6-Inch+Hollow+Shaft&amp;qid=1695173904&amp;sr=8-6</v>
      </c>
      <c r="F3012" t="s">
        <v>3302</v>
      </c>
      <c r="G3012" t="e">
        <f ca="1">_xludf.IMAGE("https://edmondsonsupply.com/cdn/shop/products/646-1-2_e1540905-f750-4509-90c5-74ff653e4d83.jpg?v=1587145119")</f>
        <v>#NAME?</v>
      </c>
      <c r="H3012" t="e">
        <f ca="1">_xludf.IMAGE("https://m.media-amazon.com/images/I/41rQZ0-NNZL._AC_UL320_.jpg")</f>
        <v>#NAME?</v>
      </c>
      <c r="I3012" t="s">
        <v>1003</v>
      </c>
      <c r="J3012">
        <v>11.34</v>
      </c>
      <c r="K3012" s="4">
        <v>0.41930000000000001</v>
      </c>
      <c r="L3012">
        <v>4.8</v>
      </c>
      <c r="M3012">
        <v>260</v>
      </c>
      <c r="O3012" t="s">
        <v>25</v>
      </c>
      <c r="P3012" t="s">
        <v>1481</v>
      </c>
      <c r="Q3012" t="s">
        <v>1896</v>
      </c>
    </row>
    <row r="3013" spans="1:17" ht="15.5" x14ac:dyDescent="0.35">
      <c r="A3013"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3013"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3013" t="s">
        <v>7100</v>
      </c>
      <c r="D3013" t="s">
        <v>5938</v>
      </c>
      <c r="E3013" s="3" t="str">
        <f>HYPERLINK("https://www.amazon.com/Diablo-Universal-Bi-Metal-Blades-Nail-Embedded/dp/B089KW2WVD/ref=sr_1_4?keywords=Diablo+Tools+DOU125JBW+1-1%2F4+in.+Universal+Fit+Bi-Metal+Oscillating+Blades+for+Clean+Wood&amp;qid=1695174246&amp;sr=8-4", "https://www.amazon.com/Diablo-Universal-Bi-Metal-Blades-Nail-Embedded/dp/B089KW2WVD/ref=sr_1_4?keywords=Diablo+Tools+DOU125JBW+1-1%2F4+in.+Universal+Fit+Bi-Metal+Oscillating+Blades+for+Clean+Wood&amp;qid=1695174246&amp;sr=8-4")</f>
        <v>https://www.amazon.com/Diablo-Universal-Bi-Metal-Blades-Nail-Embedded/dp/B089KW2WVD/ref=sr_1_4?keywords=Diablo+Tools+DOU125JBW+1-1%2F4+in.+Universal+Fit+Bi-Metal+Oscillating+Blades+for+Clean+Wood&amp;qid=1695174246&amp;sr=8-4</v>
      </c>
      <c r="F3013" t="s">
        <v>5939</v>
      </c>
      <c r="G3013" t="e">
        <f ca="1">_xludf.IMAGE("https://edmondsonsupply.com/cdn/shop/products/DOU125JBW_Main-Image.png?v=1633638363")</f>
        <v>#NAME?</v>
      </c>
      <c r="H3013" t="e">
        <f ca="1">_xludf.IMAGE("https://m.media-amazon.com/images/I/613ig7mNjfL._AC_UL320_.jpg")</f>
        <v>#NAME?</v>
      </c>
      <c r="I3013" t="s">
        <v>2586</v>
      </c>
      <c r="J3013">
        <v>25.49</v>
      </c>
      <c r="K3013" s="4">
        <v>0.41849999999999998</v>
      </c>
      <c r="L3013">
        <v>4.5999999999999996</v>
      </c>
      <c r="M3013">
        <v>148</v>
      </c>
      <c r="O3013" t="s">
        <v>25</v>
      </c>
      <c r="P3013" t="s">
        <v>6943</v>
      </c>
      <c r="Q3013" t="s">
        <v>7103</v>
      </c>
    </row>
    <row r="3014" spans="1:17" ht="15.5" x14ac:dyDescent="0.35">
      <c r="A3014"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3014"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3014" t="s">
        <v>7206</v>
      </c>
      <c r="D3014" t="s">
        <v>7207</v>
      </c>
      <c r="E3014" s="3" t="str">
        <f>HYPERLINK("https://www.amazon.com/Milwaukee-Mid-Torque-Impact-Wrench-Friction/dp/B08P3RPQ4M/ref=sr_1_3?keywords=Milwaukee+2960-22+M18+FUEL%E2%84%A2+3%2F8+%22+Mid-Torque+Impact+Wrench+w%2F+Friction+Ring+Kit&amp;qid=1695174167&amp;sr=8-3", "https://www.amazon.com/Milwaukee-Mid-Torque-Impact-Wrench-Friction/dp/B08P3RPQ4M/ref=sr_1_3?keywords=Milwaukee+2960-22+M18+FUEL%E2%84%A2+3%2F8+%22+Mid-Torque+Impact+Wrench+w%2F+Friction+Ring+Kit&amp;qid=1695174167&amp;sr=8-3")</f>
        <v>https://www.amazon.com/Milwaukee-Mid-Torque-Impact-Wrench-Friction/dp/B08P3RPQ4M/ref=sr_1_3?keywords=Milwaukee+2960-22+M18+FUEL%E2%84%A2+3%2F8+%22+Mid-Torque+Impact+Wrench+w%2F+Friction+Ring+Kit&amp;qid=1695174167&amp;sr=8-3</v>
      </c>
      <c r="F3014" t="s">
        <v>7208</v>
      </c>
      <c r="G3014" t="e">
        <f ca="1">_xludf.IMAGE("https://edmondsonsupply.com/cdn/shop/products/2960-22_Kit_1.png?v=1661616340")</f>
        <v>#NAME?</v>
      </c>
      <c r="H3014" t="e">
        <f ca="1">_xludf.IMAGE("https://m.media-amazon.com/images/I/41WfocGQmdL._AC_UL320_.jpg")</f>
        <v>#NAME?</v>
      </c>
      <c r="I3014" t="s">
        <v>4404</v>
      </c>
      <c r="J3014">
        <v>650.5</v>
      </c>
      <c r="K3014" s="4">
        <v>0.41720000000000002</v>
      </c>
      <c r="L3014">
        <v>5</v>
      </c>
      <c r="M3014">
        <v>1</v>
      </c>
      <c r="O3014" t="s">
        <v>25</v>
      </c>
      <c r="P3014" t="s">
        <v>7209</v>
      </c>
      <c r="Q3014" t="s">
        <v>7210</v>
      </c>
    </row>
    <row r="3015" spans="1:17" ht="15.5" x14ac:dyDescent="0.35">
      <c r="A3015"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3015" s="3" t="str">
        <f>HYPERLINK("https://edmondsonsupply.com/products/greenlee-dtap1-4-20-drill-tap-1-4-20", "https://edmondsonsupply.com/products/greenlee-dtap1-4-20-drill-tap-1-4-20")</f>
        <v>https://edmondsonsupply.com/products/greenlee-dtap1-4-20-drill-tap-1-4-20</v>
      </c>
      <c r="C3015" t="s">
        <v>2854</v>
      </c>
      <c r="D3015" t="s">
        <v>3312</v>
      </c>
      <c r="E3015" s="3" t="str">
        <f>HYPERLINK("https://www.amazon.com/Greenlee-DTAP1-4-20-Combination-Deburr/dp/B000FCEQ8K/ref=sr_1_1?keywords=Greenlee+DTAP1%2F4-20+Drill%2FTap%2C+1%2F4-20&amp;qid=1695173937&amp;sr=8-1", "https://www.amazon.com/Greenlee-DTAP1-4-20-Combination-Deburr/dp/B000FCEQ8K/ref=sr_1_1?keywords=Greenlee+DTAP1%2F4-20+Drill%2FTap%2C+1%2F4-20&amp;qid=1695173937&amp;sr=8-1")</f>
        <v>https://www.amazon.com/Greenlee-DTAP1-4-20-Combination-Deburr/dp/B000FCEQ8K/ref=sr_1_1?keywords=Greenlee+DTAP1%2F4-20+Drill%2FTap%2C+1%2F4-20&amp;qid=1695173937&amp;sr=8-1</v>
      </c>
      <c r="F3015" t="s">
        <v>3313</v>
      </c>
      <c r="G3015" t="e">
        <f ca="1">_xludf.IMAGE("https://edmondsonsupply.com/cdn/shop/products/DTAP1-4-20.jpg?v=1587151009")</f>
        <v>#NAME?</v>
      </c>
      <c r="H3015" t="e">
        <f ca="1">_xludf.IMAGE("https://m.media-amazon.com/images/I/61SYTqjZhjL._AC_UL320_.jpg")</f>
        <v>#NAME?</v>
      </c>
      <c r="I3015" t="s">
        <v>924</v>
      </c>
      <c r="J3015">
        <v>12.74</v>
      </c>
      <c r="K3015" s="4">
        <v>0.41710000000000003</v>
      </c>
      <c r="L3015">
        <v>4.4000000000000004</v>
      </c>
      <c r="M3015">
        <v>170</v>
      </c>
      <c r="O3015" t="s">
        <v>25</v>
      </c>
      <c r="P3015" t="s">
        <v>2857</v>
      </c>
      <c r="Q3015" t="s">
        <v>2858</v>
      </c>
    </row>
    <row r="3016" spans="1:17" ht="15.5" x14ac:dyDescent="0.35">
      <c r="A3016" s="3" t="str">
        <f>HYPERLINK("https://edmondsonsupply.com/collections/electricians-tools/products/malco-tools-gsg6-gutter-screw-guide", "https://edmondsonsupply.com/collections/electricians-tools/products/malco-tools-gsg6-gutter-screw-guide")</f>
        <v>https://edmondsonsupply.com/collections/electricians-tools/products/malco-tools-gsg6-gutter-screw-guide</v>
      </c>
      <c r="B3016" s="3" t="str">
        <f>HYPERLINK("https://edmondsonsupply.com/products/malco-tools-gsg6-gutter-screw-guide", "https://edmondsonsupply.com/products/malco-tools-gsg6-gutter-screw-guide")</f>
        <v>https://edmondsonsupply.com/products/malco-tools-gsg6-gutter-screw-guide</v>
      </c>
      <c r="C3016" t="s">
        <v>3316</v>
      </c>
      <c r="D3016" t="s">
        <v>3317</v>
      </c>
      <c r="E3016" s="3" t="str">
        <f>HYPERLINK("https://www.amazon.com/Malco-GSG6-Extra-Long-Magnetic-Gutter/dp/B01D5UBZQY/ref=sr_1_1?keywords=Malco+Tools+GSG6+Gutter+Screw+Guide&amp;qid=1695173928&amp;sr=8-1", "https://www.amazon.com/Malco-GSG6-Extra-Long-Magnetic-Gutter/dp/B01D5UBZQY/ref=sr_1_1?keywords=Malco+Tools+GSG6+Gutter+Screw+Guide&amp;qid=1695173928&amp;sr=8-1")</f>
        <v>https://www.amazon.com/Malco-GSG6-Extra-Long-Magnetic-Gutter/dp/B01D5UBZQY/ref=sr_1_1?keywords=Malco+Tools+GSG6+Gutter+Screw+Guide&amp;qid=1695173928&amp;sr=8-1</v>
      </c>
      <c r="F3016" t="s">
        <v>3318</v>
      </c>
      <c r="G3016" t="e">
        <f ca="1">_xludf.IMAGE("https://edmondsonsupply.com/cdn/shop/products/gsg6_catalog-big.jpg?v=1633030416")</f>
        <v>#NAME?</v>
      </c>
      <c r="H3016" t="e">
        <f ca="1">_xludf.IMAGE("https://m.media-amazon.com/images/I/51SQaPIgD2L._AC_UL320_.jpg")</f>
        <v>#NAME?</v>
      </c>
      <c r="I3016" t="s">
        <v>288</v>
      </c>
      <c r="J3016">
        <v>19.8</v>
      </c>
      <c r="K3016" s="4">
        <v>0.4153</v>
      </c>
      <c r="L3016">
        <v>4.5</v>
      </c>
      <c r="M3016">
        <v>155</v>
      </c>
      <c r="O3016" t="s">
        <v>25</v>
      </c>
      <c r="P3016" t="s">
        <v>3319</v>
      </c>
      <c r="Q3016" t="s">
        <v>3320</v>
      </c>
    </row>
    <row r="3017" spans="1:17" ht="15.5" x14ac:dyDescent="0.35">
      <c r="A3017"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3017" s="3" t="str">
        <f>HYPERLINK("https://edmondsonsupply.com/products/diablo-tools-dsp2130-p2-1-in-x-6-in-spade-bit", "https://edmondsonsupply.com/products/diablo-tools-dsp2130-p2-1-in-x-6-in-spade-bit")</f>
        <v>https://edmondsonsupply.com/products/diablo-tools-dsp2130-p2-1-in-x-6-in-spade-bit</v>
      </c>
      <c r="C3017" t="s">
        <v>7211</v>
      </c>
      <c r="D3017" t="s">
        <v>6299</v>
      </c>
      <c r="E3017" s="3" t="str">
        <f>HYPERLINK("https://www.amazon.com/Diablo-DSP2170-P2-SPEEDemon-Spade-2-Pack/dp/B089KWGLL1/ref=sr_1_4?keywords=Diablo+Tools+DSP2130-P2+1+in.+x+6+in.+Spade+Bit&amp;qid=1695174112&amp;sr=8-4", "https://www.amazon.com/Diablo-DSP2170-P2-SPEEDemon-Spade-2-Pack/dp/B089KWGLL1/ref=sr_1_4?keywords=Diablo+Tools+DSP2130-P2+1+in.+x+6+in.+Spade+Bit&amp;qid=1695174112&amp;sr=8-4")</f>
        <v>https://www.amazon.com/Diablo-DSP2170-P2-SPEEDemon-Spade-2-Pack/dp/B089KWGLL1/ref=sr_1_4?keywords=Diablo+Tools+DSP2130-P2+1+in.+x+6+in.+Spade+Bit&amp;qid=1695174112&amp;sr=8-4</v>
      </c>
      <c r="F3017" t="s">
        <v>6300</v>
      </c>
      <c r="G3017" t="e">
        <f ca="1">_xludf.IMAGE("https://edmondsonsupply.com/cdn/shop/products/peyjwqlntvnioikkr5be.webp?v=1670515689")</f>
        <v>#NAME?</v>
      </c>
      <c r="H3017" t="e">
        <f ca="1">_xludf.IMAGE("https://m.media-amazon.com/images/I/61mOtHPCpLL._AC_UL320_.jpg")</f>
        <v>#NAME?</v>
      </c>
      <c r="I3017" t="s">
        <v>7212</v>
      </c>
      <c r="J3017">
        <v>9</v>
      </c>
      <c r="K3017" s="4">
        <v>0.40849999999999997</v>
      </c>
      <c r="L3017">
        <v>4.3</v>
      </c>
      <c r="M3017">
        <v>45</v>
      </c>
      <c r="O3017" t="s">
        <v>25</v>
      </c>
      <c r="P3017" t="s">
        <v>138</v>
      </c>
      <c r="Q3017" t="s">
        <v>7213</v>
      </c>
    </row>
    <row r="3018" spans="1:17" ht="15.5" x14ac:dyDescent="0.35">
      <c r="A3018" s="3" t="str">
        <f>HYPERLINK("https://edmondsonsupply.com/collections/electricians-tools/products/diablo-tools-dou125bw", "https://edmondsonsupply.com/collections/electricians-tools/products/diablo-tools-dou125bw")</f>
        <v>https://edmondsonsupply.com/collections/electricians-tools/products/diablo-tools-dou125bw</v>
      </c>
      <c r="B3018" s="3" t="str">
        <f>HYPERLINK("https://edmondsonsupply.com/products/diablo-tools-dou125bw", "https://edmondsonsupply.com/products/diablo-tools-dou125bw")</f>
        <v>https://edmondsonsupply.com/products/diablo-tools-dou125bw</v>
      </c>
      <c r="C3018" t="s">
        <v>6906</v>
      </c>
      <c r="D3018" t="s">
        <v>5938</v>
      </c>
      <c r="E3018" s="3" t="str">
        <f>HYPERLINK("https://www.amazon.com/Diablo-Universal-Bi-Metal-Blades-Nail-Embedded/dp/B089KW2WVD/ref=sr_1_1?keywords=Diablo+Tools+DOU125BW+1-1%2F4+in.+Universal+Fit+Bi-Metal+Oscillating+Blade+for+Nail-Embedded+Wood&amp;qid=1695174264&amp;sr=8-1", "https://www.amazon.com/Diablo-Universal-Bi-Metal-Blades-Nail-Embedded/dp/B089KW2WVD/ref=sr_1_1?keywords=Diablo+Tools+DOU125BW+1-1%2F4+in.+Universal+Fit+Bi-Metal+Oscillating+Blade+for+Nail-Embedded+Wood&amp;qid=1695174264&amp;sr=8-1")</f>
        <v>https://www.amazon.com/Diablo-Universal-Bi-Metal-Blades-Nail-Embedded/dp/B089KW2WVD/ref=sr_1_1?keywords=Diablo+Tools+DOU125BW+1-1%2F4+in.+Universal+Fit+Bi-Metal+Oscillating+Blade+for+Nail-Embedded+Wood&amp;qid=1695174264&amp;sr=8-1</v>
      </c>
      <c r="F3018" t="s">
        <v>5939</v>
      </c>
      <c r="G3018" t="e">
        <f ca="1">_xludf.IMAGE("https://edmondsonsupply.com/cdn/shop/products/gnn0wpqc8veb3qhldcrb.webp?v=1676040020")</f>
        <v>#NAME?</v>
      </c>
      <c r="H3018" t="e">
        <f ca="1">_xludf.IMAGE("https://m.media-amazon.com/images/I/613ig7mNjfL._AC_UL320_.jpg")</f>
        <v>#NAME?</v>
      </c>
      <c r="I3018" t="s">
        <v>2586</v>
      </c>
      <c r="J3018">
        <v>25.3</v>
      </c>
      <c r="K3018" s="4">
        <v>0.40789999999999998</v>
      </c>
      <c r="L3018">
        <v>4.5999999999999996</v>
      </c>
      <c r="M3018">
        <v>148</v>
      </c>
      <c r="O3018" t="s">
        <v>25</v>
      </c>
      <c r="P3018" t="s">
        <v>2152</v>
      </c>
      <c r="Q3018" t="s">
        <v>6909</v>
      </c>
    </row>
    <row r="3019" spans="1:17" ht="15.5" x14ac:dyDescent="0.35">
      <c r="A3019" s="3" t="str">
        <f>HYPERLINK("https://edmondsonsupply.com/collections/electricians-tools/products/klein-tools-56220-led-headlamp-flashlight-with-strap-for-hard-hat", "https://edmondsonsupply.com/collections/electricians-tools/products/klein-tools-56220-led-headlamp-flashlight-with-strap-for-hard-hat")</f>
        <v>https://edmondsonsupply.com/collections/electricians-tools/products/klein-tools-56220-led-headlamp-flashlight-with-strap-for-hard-hat</v>
      </c>
      <c r="B3019"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3019" t="s">
        <v>933</v>
      </c>
      <c r="D3019" t="s">
        <v>1008</v>
      </c>
      <c r="E3019" s="3" t="str">
        <f>HYPERLINK("https://www.amazon.com/Klein-Tools-Rechargeable-Worklight-Carpenter/dp/B09Z9239J6/ref=sr_1_7?keywords=Klein+Tools+56220+LED+Headlamp+with+Silicone+Hard+Hat+Strap&amp;qid=1695173937&amp;sr=8-7", "https://www.amazon.com/Klein-Tools-Rechargeable-Worklight-Carpenter/dp/B09Z9239J6/ref=sr_1_7?keywords=Klein+Tools+56220+LED+Headlamp+with+Silicone+Hard+Hat+Strap&amp;qid=1695173937&amp;sr=8-7")</f>
        <v>https://www.amazon.com/Klein-Tools-Rechargeable-Worklight-Carpenter/dp/B09Z9239J6/ref=sr_1_7?keywords=Klein+Tools+56220+LED+Headlamp+with+Silicone+Hard+Hat+Strap&amp;qid=1695173937&amp;sr=8-7</v>
      </c>
      <c r="F3019" t="s">
        <v>1009</v>
      </c>
      <c r="G3019" t="e">
        <f ca="1">_xludf.IMAGE("https://edmondsonsupply.com/cdn/shop/files/56220_874194e8-71d5-41d8-a579-6dec47b3f455.jpg?v=1687356671")</f>
        <v>#NAME?</v>
      </c>
      <c r="H3019" t="e">
        <f ca="1">_xludf.IMAGE("https://m.media-amazon.com/images/I/512rGhe8GUL._AC_UL320_.jpg")</f>
        <v>#NAME?</v>
      </c>
      <c r="I3019" t="s">
        <v>936</v>
      </c>
      <c r="J3019">
        <v>37.94</v>
      </c>
      <c r="K3019" s="4">
        <v>0.40670000000000001</v>
      </c>
      <c r="L3019">
        <v>4.7</v>
      </c>
      <c r="M3019">
        <v>6</v>
      </c>
      <c r="O3019" t="s">
        <v>25</v>
      </c>
      <c r="P3019" t="s">
        <v>937</v>
      </c>
      <c r="Q3019" t="s">
        <v>938</v>
      </c>
    </row>
    <row r="3020" spans="1:17" ht="15.5" x14ac:dyDescent="0.35">
      <c r="A3020"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3020"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3020" t="s">
        <v>7214</v>
      </c>
      <c r="D3020" t="s">
        <v>7215</v>
      </c>
      <c r="E3020" s="3" t="str">
        <f>HYPERLINK("https://www.amazon.com/Klein-Tools-6944INS-Screwdriver-Cushion-Grip/dp/B09GPYTZV3/ref=sr_1_4?keywords=Klein+Tools+6844INS+Insulated+Screwdriver%2C+%232+Square+Tip%2C+4-Inch+Round+Shank&amp;qid=1695174147&amp;sr=8-4", "https://www.amazon.com/Klein-Tools-6944INS-Screwdriver-Cushion-Grip/dp/B09GPYTZV3/ref=sr_1_4?keywords=Klein+Tools+6844INS+Insulated+Screwdriver%2C+%232+Square+Tip%2C+4-Inch+Round+Shank&amp;qid=1695174147&amp;sr=8-4")</f>
        <v>https://www.amazon.com/Klein-Tools-6944INS-Screwdriver-Cushion-Grip/dp/B09GPYTZV3/ref=sr_1_4?keywords=Klein+Tools+6844INS+Insulated+Screwdriver%2C+%232+Square+Tip%2C+4-Inch+Round+Shank&amp;qid=1695174147&amp;sr=8-4</v>
      </c>
      <c r="F3020" t="s">
        <v>7216</v>
      </c>
      <c r="G3020" t="e">
        <f ca="1">_xludf.IMAGE("https://edmondsonsupply.com/cdn/shop/products/6844ins.jpg?v=1664817203")</f>
        <v>#NAME?</v>
      </c>
      <c r="H3020" t="e">
        <f ca="1">_xludf.IMAGE("https://m.media-amazon.com/images/I/41PzygwLx+L._AC_UL320_.jpg")</f>
        <v>#NAME?</v>
      </c>
      <c r="I3020" t="s">
        <v>1427</v>
      </c>
      <c r="J3020">
        <v>13.99</v>
      </c>
      <c r="K3020" s="4">
        <v>0.4032</v>
      </c>
      <c r="L3020">
        <v>4.7</v>
      </c>
      <c r="M3020">
        <v>95</v>
      </c>
      <c r="O3020" t="s">
        <v>25</v>
      </c>
      <c r="P3020" t="s">
        <v>7217</v>
      </c>
      <c r="Q3020" t="s">
        <v>7218</v>
      </c>
    </row>
    <row r="3021" spans="1:17" ht="15.5" x14ac:dyDescent="0.35">
      <c r="A3021"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3021"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3021" t="s">
        <v>7214</v>
      </c>
      <c r="D3021" t="s">
        <v>7219</v>
      </c>
      <c r="E3021" s="3" t="str">
        <f>HYPERLINK("https://www.amazon.com/Klein-Tools-6984INS-Screwdriver-Cushion-Grip/dp/B09GPZ5P2M/ref=sr_1_6?keywords=Klein+Tools+6844INS+Insulated+Screwdriver%2C+%232+Square+Tip%2C+4-Inch+Round+Shank&amp;qid=1695174147&amp;sr=8-6", "https://www.amazon.com/Klein-Tools-6984INS-Screwdriver-Cushion-Grip/dp/B09GPZ5P2M/ref=sr_1_6?keywords=Klein+Tools+6844INS+Insulated+Screwdriver%2C+%232+Square+Tip%2C+4-Inch+Round+Shank&amp;qid=1695174147&amp;sr=8-6")</f>
        <v>https://www.amazon.com/Klein-Tools-6984INS-Screwdriver-Cushion-Grip/dp/B09GPZ5P2M/ref=sr_1_6?keywords=Klein+Tools+6844INS+Insulated+Screwdriver%2C+%232+Square+Tip%2C+4-Inch+Round+Shank&amp;qid=1695174147&amp;sr=8-6</v>
      </c>
      <c r="F3021" t="s">
        <v>7220</v>
      </c>
      <c r="G3021" t="e">
        <f ca="1">_xludf.IMAGE("https://edmondsonsupply.com/cdn/shop/products/6844ins.jpg?v=1664817203")</f>
        <v>#NAME?</v>
      </c>
      <c r="H3021" t="e">
        <f ca="1">_xludf.IMAGE("https://m.media-amazon.com/images/I/41uj4ogsy3L._AC_UL320_.jpg")</f>
        <v>#NAME?</v>
      </c>
      <c r="I3021" t="s">
        <v>1427</v>
      </c>
      <c r="J3021">
        <v>13.99</v>
      </c>
      <c r="K3021" s="4">
        <v>0.4032</v>
      </c>
      <c r="L3021">
        <v>4.8</v>
      </c>
      <c r="M3021">
        <v>108</v>
      </c>
      <c r="O3021" t="s">
        <v>25</v>
      </c>
      <c r="P3021" t="s">
        <v>7217</v>
      </c>
      <c r="Q3021" t="s">
        <v>7218</v>
      </c>
    </row>
    <row r="3022" spans="1:17" ht="15.5" x14ac:dyDescent="0.35">
      <c r="A3022" s="3" t="str">
        <f>HYPERLINK("https://edmondsonsupply.com/collections/electricians-tools/products/klein-tools-725-jab-saw", "https://edmondsonsupply.com/collections/electricians-tools/products/klein-tools-725-jab-saw")</f>
        <v>https://edmondsonsupply.com/collections/electricians-tools/products/klein-tools-725-jab-saw</v>
      </c>
      <c r="B3022" s="3" t="str">
        <f>HYPERLINK("https://edmondsonsupply.com/products/klein-tools-725-jab-saw", "https://edmondsonsupply.com/products/klein-tools-725-jab-saw")</f>
        <v>https://edmondsonsupply.com/products/klein-tools-725-jab-saw</v>
      </c>
      <c r="C3022" t="s">
        <v>3337</v>
      </c>
      <c r="D3022" t="s">
        <v>3338</v>
      </c>
      <c r="E3022" s="3" t="str">
        <f>HYPERLINK("https://www.amazon.com/Drywall-Lockback-Klein-Tools-31737/dp/B07DKRCNX3/ref=sr_1_2?keywords=Klein+Tools+725+Jab+Saw&amp;qid=1695173921&amp;sr=8-2", "https://www.amazon.com/Drywall-Lockback-Klein-Tools-31737/dp/B07DKRCNX3/ref=sr_1_2?keywords=Klein+Tools+725+Jab+Saw&amp;qid=1695173921&amp;sr=8-2")</f>
        <v>https://www.amazon.com/Drywall-Lockback-Klein-Tools-31737/dp/B07DKRCNX3/ref=sr_1_2?keywords=Klein+Tools+725+Jab+Saw&amp;qid=1695173921&amp;sr=8-2</v>
      </c>
      <c r="F3022" t="s">
        <v>3339</v>
      </c>
      <c r="G3022" t="e">
        <f ca="1">_xludf.IMAGE("https://edmondsonsupply.com/cdn/shop/products/725.jpg?v=1633030531")</f>
        <v>#NAME?</v>
      </c>
      <c r="H3022" t="e">
        <f ca="1">_xludf.IMAGE("https://m.media-amazon.com/images/I/51aZ4FRWZaL._AC_UL320_.jpg")</f>
        <v>#NAME?</v>
      </c>
      <c r="I3022" t="s">
        <v>2784</v>
      </c>
      <c r="J3022">
        <v>20.99</v>
      </c>
      <c r="K3022" s="4">
        <v>0.40210000000000001</v>
      </c>
      <c r="L3022">
        <v>4.8</v>
      </c>
      <c r="M3022">
        <v>3367</v>
      </c>
      <c r="O3022" t="s">
        <v>25</v>
      </c>
      <c r="P3022" t="s">
        <v>332</v>
      </c>
      <c r="Q3022" t="s">
        <v>3340</v>
      </c>
    </row>
    <row r="3023" spans="1:17" ht="15.5" x14ac:dyDescent="0.35">
      <c r="A3023" s="3" t="str">
        <f>HYPERLINK("https://edmondsonsupply.com/collections/electricians-tools/products/channellock-431", "https://edmondsonsupply.com/collections/electricians-tools/products/channellock-431")</f>
        <v>https://edmondsonsupply.com/collections/electricians-tools/products/channellock-431</v>
      </c>
      <c r="B3023" s="3" t="str">
        <f>HYPERLINK("https://edmondsonsupply.com/products/channellock-431", "https://edmondsonsupply.com/products/channellock-431")</f>
        <v>https://edmondsonsupply.com/products/channellock-431</v>
      </c>
      <c r="C3023" t="s">
        <v>3341</v>
      </c>
      <c r="D3023" t="s">
        <v>3342</v>
      </c>
      <c r="E3023" s="3" t="str">
        <f>HYPERLINK("https://www.amazon.com/Channellock-432X-SPEEDGRIP-Tongue-Adjustment/dp/B0CF7NZW61/ref=sr_1_1?keywords=Channellock+432+10-Inch+V-Jaw+Tongue&amp;qid=1695173959&amp;sr=8-1", "https://www.amazon.com/Channellock-432X-SPEEDGRIP-Tongue-Adjustment/dp/B0CF7NZW61/ref=sr_1_1?keywords=Channellock+432+10-Inch+V-Jaw+Tongue&amp;qid=1695173959&amp;sr=8-1")</f>
        <v>https://www.amazon.com/Channellock-432X-SPEEDGRIP-Tongue-Adjustment/dp/B0CF7NZW61/ref=sr_1_1?keywords=Channellock+432+10-Inch+V-Jaw+Tongue&amp;qid=1695173959&amp;sr=8-1</v>
      </c>
      <c r="F3023" t="s">
        <v>3343</v>
      </c>
      <c r="G3023" t="e">
        <f ca="1">_xludf.IMAGE("https://edmondsonsupply.com/cdn/shop/products/432-683x1024.jpg?v=1587147134")</f>
        <v>#NAME?</v>
      </c>
      <c r="H3023" t="e">
        <f ca="1">_xludf.IMAGE("https://m.media-amazon.com/images/I/71VK5DgcWtL._AC_UL320_.jpg")</f>
        <v>#NAME?</v>
      </c>
      <c r="I3023" t="s">
        <v>488</v>
      </c>
      <c r="J3023">
        <v>27.97</v>
      </c>
      <c r="K3023" s="4">
        <v>0.40200000000000002</v>
      </c>
      <c r="L3023">
        <v>5</v>
      </c>
      <c r="M3023">
        <v>1</v>
      </c>
      <c r="O3023" t="s">
        <v>25</v>
      </c>
      <c r="P3023" t="s">
        <v>3344</v>
      </c>
      <c r="Q3023" t="s">
        <v>3345</v>
      </c>
    </row>
    <row r="3024" spans="1:17" ht="15.5" x14ac:dyDescent="0.35">
      <c r="A3024"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3024"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3024" t="s">
        <v>6812</v>
      </c>
      <c r="D3024" t="s">
        <v>7065</v>
      </c>
      <c r="E3024" s="3" t="str">
        <f>HYPERLINK("https://www.amazon.com/Klein-Tools-6924INS-Insulated-Screwdriver/dp/B088NRM4CC/ref=sr_1_1?keywords=Klein+Tools+6824INS+Insulated+Screwdriver%2C+1%2F4-Inch+Cabinet+Tip%2C+4-Inch+Round+Shank&amp;qid=1695174148&amp;sr=8-1", "https://www.amazon.com/Klein-Tools-6924INS-Insulated-Screwdriver/dp/B088NRM4CC/ref=sr_1_1?keywords=Klein+Tools+6824INS+Insulated+Screwdriver%2C+1%2F4-Inch+Cabinet+Tip%2C+4-Inch+Round+Shank&amp;qid=1695174148&amp;sr=8-1")</f>
        <v>https://www.amazon.com/Klein-Tools-6924INS-Insulated-Screwdriver/dp/B088NRM4CC/ref=sr_1_1?keywords=Klein+Tools+6824INS+Insulated+Screwdriver%2C+1%2F4-Inch+Cabinet+Tip%2C+4-Inch+Round+Shank&amp;qid=1695174148&amp;sr=8-1</v>
      </c>
      <c r="F3024" t="s">
        <v>7066</v>
      </c>
      <c r="G3024" t="e">
        <f ca="1">_xludf.IMAGE("https://edmondsonsupply.com/cdn/shop/products/6824ins.jpg?v=1664813487")</f>
        <v>#NAME?</v>
      </c>
      <c r="H3024" t="e">
        <f ca="1">_xludf.IMAGE("https://m.media-amazon.com/images/I/419wtU12P3L._AC_UL320_.jpg")</f>
        <v>#NAME?</v>
      </c>
      <c r="I3024" t="s">
        <v>1427</v>
      </c>
      <c r="J3024">
        <v>13.97</v>
      </c>
      <c r="K3024" s="4">
        <v>0.4012</v>
      </c>
      <c r="L3024">
        <v>4.8</v>
      </c>
      <c r="M3024">
        <v>1361</v>
      </c>
      <c r="O3024" t="s">
        <v>25</v>
      </c>
      <c r="P3024" t="s">
        <v>6813</v>
      </c>
      <c r="Q3024" t="s">
        <v>6814</v>
      </c>
    </row>
    <row r="3025" spans="1:17" ht="15.5" x14ac:dyDescent="0.35">
      <c r="A3025" s="3" t="str">
        <f>HYPERLINK("https://edmondsonsupply.com/collections/electricians-tools/products/klein-tools-60466-neck-and-face-warming-half-band-black", "https://edmondsonsupply.com/collections/electricians-tools/products/klein-tools-60466-neck-and-face-warming-half-band-black")</f>
        <v>https://edmondsonsupply.com/collections/electricians-tools/products/klein-tools-60466-neck-and-face-warming-half-band-black</v>
      </c>
      <c r="B3025" s="3" t="str">
        <f>HYPERLINK("https://edmondsonsupply.com/products/klein-tools-60466-neck-and-face-warming-half-band-black", "https://edmondsonsupply.com/products/klein-tools-60466-neck-and-face-warming-half-band-black")</f>
        <v>https://edmondsonsupply.com/products/klein-tools-60466-neck-and-face-warming-half-band-black</v>
      </c>
      <c r="C3025" t="s">
        <v>7221</v>
      </c>
      <c r="D3025" t="s">
        <v>3347</v>
      </c>
      <c r="E3025" s="3" t="str">
        <f>HYPERLINK("https://www.amazon.com/Klein-Tools-Standard-Balaclava-Black/dp/B08L5JYT8W/ref=sr_1_1?keywords=Klein+Tools+60466+Neck+and+Face+Warming+Half-Band%2C+Black&amp;qid=1695174208&amp;sr=8-1", "https://www.amazon.com/Klein-Tools-Standard-Balaclava-Black/dp/B08L5JYT8W/ref=sr_1_1?keywords=Klein+Tools+60466+Neck+and+Face+Warming+Half-Band%2C+Black&amp;qid=1695174208&amp;sr=8-1")</f>
        <v>https://www.amazon.com/Klein-Tools-Standard-Balaclava-Black/dp/B08L5JYT8W/ref=sr_1_1?keywords=Klein+Tools+60466+Neck+and+Face+Warming+Half-Band%2C+Black&amp;qid=1695174208&amp;sr=8-1</v>
      </c>
      <c r="F3025" t="s">
        <v>3348</v>
      </c>
      <c r="G3025" t="e">
        <f ca="1">_xludf.IMAGE("https://edmondsonsupply.com/cdn/shop/products/60466_callout_1.jpg?v=1659114198")</f>
        <v>#NAME?</v>
      </c>
      <c r="H3025" t="e">
        <f ca="1">_xludf.IMAGE("https://m.media-amazon.com/images/I/51r6HCmqqNL._AC_UL320_.jpg")</f>
        <v>#NAME?</v>
      </c>
      <c r="I3025" t="s">
        <v>2577</v>
      </c>
      <c r="J3025">
        <v>13.99</v>
      </c>
      <c r="K3025" s="4">
        <v>0.40039999999999998</v>
      </c>
      <c r="L3025">
        <v>4.4000000000000004</v>
      </c>
      <c r="M3025">
        <v>92</v>
      </c>
      <c r="O3025" t="s">
        <v>25</v>
      </c>
      <c r="P3025" t="s">
        <v>7222</v>
      </c>
      <c r="Q3025" t="s">
        <v>7223</v>
      </c>
    </row>
    <row r="3026" spans="1:17" ht="15.5" x14ac:dyDescent="0.35">
      <c r="A3026" s="3" t="str">
        <f>HYPERLINK("https://edmondsonsupply.com/collections/electricians-tools/products/klein-tools-60439-neck-and-face-cooling-band", "https://edmondsonsupply.com/collections/electricians-tools/products/klein-tools-60439-neck-and-face-cooling-band")</f>
        <v>https://edmondsonsupply.com/collections/electricians-tools/products/klein-tools-60439-neck-and-face-cooling-band</v>
      </c>
      <c r="B3026" s="3" t="str">
        <f>HYPERLINK("https://edmondsonsupply.com/products/klein-tools-60439-neck-and-face-cooling-band", "https://edmondsonsupply.com/products/klein-tools-60439-neck-and-face-cooling-band")</f>
        <v>https://edmondsonsupply.com/products/klein-tools-60439-neck-and-face-cooling-band</v>
      </c>
      <c r="C3026" t="s">
        <v>3346</v>
      </c>
      <c r="D3026" t="s">
        <v>3347</v>
      </c>
      <c r="E3026" s="3" t="str">
        <f>HYPERLINK("https://www.amazon.com/Klein-Tools-Standard-Balaclava-Black/dp/B08L5JYT8W/ref=sr_1_7?keywords=Klein+Tools+60439+Neck+and+Face+Cooling+Band&amp;qid=1695173890&amp;sr=8-7", "https://www.amazon.com/Klein-Tools-Standard-Balaclava-Black/dp/B08L5JYT8W/ref=sr_1_7?keywords=Klein+Tools+60439+Neck+and+Face+Cooling+Band&amp;qid=1695173890&amp;sr=8-7")</f>
        <v>https://www.amazon.com/Klein-Tools-Standard-Balaclava-Black/dp/B08L5JYT8W/ref=sr_1_7?keywords=Klein+Tools+60439+Neck+and+Face+Cooling+Band&amp;qid=1695173890&amp;sr=8-7</v>
      </c>
      <c r="F3026" t="s">
        <v>3348</v>
      </c>
      <c r="G3026" t="e">
        <f ca="1">_xludf.IMAGE("https://edmondsonsupply.com/cdn/shop/products/60439.jpg?v=1633030400")</f>
        <v>#NAME?</v>
      </c>
      <c r="H3026" t="e">
        <f ca="1">_xludf.IMAGE("https://m.media-amazon.com/images/I/51r6HCmqqNL._AC_UL320_.jpg")</f>
        <v>#NAME?</v>
      </c>
      <c r="I3026" t="s">
        <v>2577</v>
      </c>
      <c r="J3026">
        <v>13.99</v>
      </c>
      <c r="K3026" s="4">
        <v>0.40039999999999998</v>
      </c>
      <c r="L3026">
        <v>4.4000000000000004</v>
      </c>
      <c r="M3026">
        <v>92</v>
      </c>
      <c r="O3026" t="s">
        <v>25</v>
      </c>
      <c r="P3026" t="s">
        <v>1271</v>
      </c>
      <c r="Q3026" t="s">
        <v>3349</v>
      </c>
    </row>
    <row r="3027" spans="1:17" ht="15.5" x14ac:dyDescent="0.35">
      <c r="A3027"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3027"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3027" t="s">
        <v>6995</v>
      </c>
      <c r="D3027" t="s">
        <v>7224</v>
      </c>
      <c r="E3027" s="3" t="str">
        <f>HYPERLINK("https://www.amazon.com/Klein-Tools-Multimeter-Noncontact-Batteries/dp/B0BC819G7C/ref=sr_1_3?keywords=Klein+Tools+69149P+Test+Kit+with+Multimeter%2C+Non-Contact+Volt+Tester%2C+Receptacle+Tester&amp;qid=1695174288&amp;sr=8-3", "https://www.amazon.com/Klein-Tools-Multimeter-Noncontact-Batteries/dp/B0BC819G7C/ref=sr_1_3?keywords=Klein+Tools+69149P+Test+Kit+with+Multimeter%2C+Non-Contact+Volt+Tester%2C+Receptacle+Tester&amp;qid=1695174288&amp;sr=8-3")</f>
        <v>https://www.amazon.com/Klein-Tools-Multimeter-Noncontact-Batteries/dp/B0BC819G7C/ref=sr_1_3?keywords=Klein+Tools+69149P+Test+Kit+with+Multimeter%2C+Non-Contact+Volt+Tester%2C+Receptacle+Tester&amp;qid=1695174288&amp;sr=8-3</v>
      </c>
      <c r="F3027" t="s">
        <v>7225</v>
      </c>
      <c r="G3027" t="e">
        <f ca="1">_xludf.IMAGE("https://edmondsonsupply.com/cdn/shop/products/69149p.jpg?v=1664479017")</f>
        <v>#NAME?</v>
      </c>
      <c r="H3027" t="e">
        <f ca="1">_xludf.IMAGE("https://m.media-amazon.com/images/I/61-QuyRIr7L._AC_UL320_.jpg")</f>
        <v>#NAME?</v>
      </c>
      <c r="I3027" t="s">
        <v>246</v>
      </c>
      <c r="J3027">
        <v>55.97</v>
      </c>
      <c r="K3027" s="4">
        <v>0.40029999999999999</v>
      </c>
      <c r="L3027">
        <v>5</v>
      </c>
      <c r="M3027">
        <v>2</v>
      </c>
      <c r="O3027" t="s">
        <v>25</v>
      </c>
      <c r="P3027" t="s">
        <v>6996</v>
      </c>
      <c r="Q3027" t="s">
        <v>6997</v>
      </c>
    </row>
    <row r="3028" spans="1:17" ht="15.5" x14ac:dyDescent="0.35">
      <c r="A3028"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3028" s="3" t="str">
        <f>HYPERLINK("https://edmondsonsupply.com/products/klein-tools-rt310-afci-gfci-outlet-tester", "https://edmondsonsupply.com/products/klein-tools-rt310-afci-gfci-outlet-tester")</f>
        <v>https://edmondsonsupply.com/products/klein-tools-rt310-afci-gfci-outlet-tester</v>
      </c>
      <c r="C3028" t="s">
        <v>6210</v>
      </c>
      <c r="D3028" t="s">
        <v>7226</v>
      </c>
      <c r="E3028" s="3" t="str">
        <f>HYPERLINK("https://www.amazon.com/Klein-Tools-Receptacle-Electrical-Multimeter/dp/B0BNL4NYN9/ref=sr_1_5?keywords=Klein+Tools+RT310+AFCI+%2F+GFCI+Outlet+Tester&amp;qid=1695173970&amp;sr=8-5", "https://www.amazon.com/Klein-Tools-Receptacle-Electrical-Multimeter/dp/B0BNL4NYN9/ref=sr_1_5?keywords=Klein+Tools+RT310+AFCI+%2F+GFCI+Outlet+Tester&amp;qid=1695173970&amp;sr=8-5")</f>
        <v>https://www.amazon.com/Klein-Tools-Receptacle-Electrical-Multimeter/dp/B0BNL4NYN9/ref=sr_1_5?keywords=Klein+Tools+RT310+AFCI+%2F+GFCI+Outlet+Tester&amp;qid=1695173970&amp;sr=8-5</v>
      </c>
      <c r="F3028" t="s">
        <v>7227</v>
      </c>
      <c r="G3028" t="e">
        <f ca="1">_xludf.IMAGE("https://edmondsonsupply.com/cdn/shop/products/rt310.jpg?v=1587148552")</f>
        <v>#NAME?</v>
      </c>
      <c r="H3028" t="e">
        <f ca="1">_xludf.IMAGE("https://m.media-amazon.com/images/I/51rZF3lboNL._AC_UL320_.jpg")</f>
        <v>#NAME?</v>
      </c>
      <c r="I3028" t="s">
        <v>246</v>
      </c>
      <c r="J3028">
        <v>55.97</v>
      </c>
      <c r="K3028" s="4">
        <v>0.40029999999999999</v>
      </c>
      <c r="L3028">
        <v>2.9</v>
      </c>
      <c r="M3028">
        <v>2</v>
      </c>
      <c r="O3028" t="s">
        <v>25</v>
      </c>
      <c r="P3028" t="s">
        <v>6213</v>
      </c>
      <c r="Q3028" t="s">
        <v>6214</v>
      </c>
    </row>
    <row r="3029" spans="1:17" ht="15.5" x14ac:dyDescent="0.35">
      <c r="A3029"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3029"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029" t="s">
        <v>851</v>
      </c>
      <c r="D3029" t="s">
        <v>974</v>
      </c>
      <c r="E3029" s="3" t="str">
        <f>HYPERLINK("https://www.amazon.com/Klein-Tools-60537-Professional-Protective/dp/B0BLQM26TJ/ref=sr_1_5?keywords=Klein+Tools+60163+Professional+Safety+Glasses%2C+Full+Frame%2C+Clear+Lens&amp;qid=1695174311&amp;sr=8-5", "https://www.amazon.com/Klein-Tools-60537-Professional-Protective/dp/B0BLQM26TJ/ref=sr_1_5?keywords=Klein+Tools+60163+Professional+Safety+Glasses%2C+Full+Frame%2C+Clear+Lens&amp;qid=1695174311&amp;sr=8-5")</f>
        <v>https://www.amazon.com/Klein-Tools-60537-Professional-Protective/dp/B0BLQM26TJ/ref=sr_1_5?keywords=Klein+Tools+60163+Professional+Safety+Glasses%2C+Full+Frame%2C+Clear+Lens&amp;qid=1695174311&amp;sr=8-5</v>
      </c>
      <c r="F3029" t="s">
        <v>975</v>
      </c>
      <c r="G3029" t="e">
        <f ca="1">_xludf.IMAGE("https://edmondsonsupply.com/cdn/shop/products/60163.jpg?v=1633030848")</f>
        <v>#NAME?</v>
      </c>
      <c r="H3029" t="e">
        <f ca="1">_xludf.IMAGE("https://m.media-amazon.com/images/I/41ZbdEu2lCL._AC_UL320_.jpg")</f>
        <v>#NAME?</v>
      </c>
      <c r="I3029" t="s">
        <v>276</v>
      </c>
      <c r="J3029">
        <v>20.99</v>
      </c>
      <c r="K3029" s="4">
        <v>0.40029999999999999</v>
      </c>
      <c r="L3029">
        <v>4.5</v>
      </c>
      <c r="M3029">
        <v>15</v>
      </c>
      <c r="O3029" t="s">
        <v>25</v>
      </c>
      <c r="P3029" t="s">
        <v>277</v>
      </c>
      <c r="Q3029" t="s">
        <v>852</v>
      </c>
    </row>
    <row r="3030" spans="1:17" ht="15.5" x14ac:dyDescent="0.35">
      <c r="A3030"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3030"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3030" t="s">
        <v>1848</v>
      </c>
      <c r="D3030" t="s">
        <v>974</v>
      </c>
      <c r="E3030" s="3" t="str">
        <f>HYPERLINK("https://www.amazon.com/Klein-Tools-60537-Professional-Protective/dp/B0BLQM26TJ/ref=sr_1_9?keywords=Klein+Tools+60164+Professional+Safety+Glasses%2C+Full+Frame%2C+Gray+Lens&amp;qid=1695173933&amp;sr=8-9", "https://www.amazon.com/Klein-Tools-60537-Professional-Protective/dp/B0BLQM26TJ/ref=sr_1_9?keywords=Klein+Tools+60164+Professional+Safety+Glasses%2C+Full+Frame%2C+Gray+Lens&amp;qid=1695173933&amp;sr=8-9")</f>
        <v>https://www.amazon.com/Klein-Tools-60537-Professional-Protective/dp/B0BLQM26TJ/ref=sr_1_9?keywords=Klein+Tools+60164+Professional+Safety+Glasses%2C+Full+Frame%2C+Gray+Lens&amp;qid=1695173933&amp;sr=8-9</v>
      </c>
      <c r="F3030" t="s">
        <v>975</v>
      </c>
      <c r="G3030" t="e">
        <f ca="1">_xludf.IMAGE("https://edmondsonsupply.com/cdn/shop/products/60164.jpg?v=1633030851")</f>
        <v>#NAME?</v>
      </c>
      <c r="H3030" t="e">
        <f ca="1">_xludf.IMAGE("https://m.media-amazon.com/images/I/41ZbdEu2lCL._AC_UL320_.jpg")</f>
        <v>#NAME?</v>
      </c>
      <c r="I3030" t="s">
        <v>276</v>
      </c>
      <c r="J3030">
        <v>20.99</v>
      </c>
      <c r="K3030" s="4">
        <v>0.40029999999999999</v>
      </c>
      <c r="L3030">
        <v>4.5</v>
      </c>
      <c r="M3030">
        <v>15</v>
      </c>
      <c r="O3030" t="s">
        <v>25</v>
      </c>
      <c r="P3030" t="s">
        <v>277</v>
      </c>
      <c r="Q3030" t="s">
        <v>1849</v>
      </c>
    </row>
    <row r="3031" spans="1:17" ht="15.5" x14ac:dyDescent="0.35">
      <c r="A3031"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3031"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031" t="s">
        <v>896</v>
      </c>
      <c r="D3031" t="s">
        <v>974</v>
      </c>
      <c r="E3031" s="3" t="str">
        <f>HYPERLINK("https://www.amazon.com/Klein-Tools-60537-Professional-Protective/dp/B0BLQM26TJ/ref=sr_1_1?keywords=Klein+Tools+60537+Professional+Safety+Glasses%2C+Full-Frame%2C+Indoor%2FOutdoor+Lens&amp;qid=1695174097&amp;sr=8-1", "https://www.amazon.com/Klein-Tools-60537-Professional-Protective/dp/B0BLQM26TJ/ref=sr_1_1?keywords=Klein+Tools+60537+Professional+Safety+Glasses%2C+Full-Frame%2C+Indoor%2FOutdoor+Lens&amp;qid=1695174097&amp;sr=8-1")</f>
        <v>https://www.amazon.com/Klein-Tools-60537-Professional-Protective/dp/B0BLQM26TJ/ref=sr_1_1?keywords=Klein+Tools+60537+Professional+Safety+Glasses%2C+Full-Frame%2C+Indoor%2FOutdoor+Lens&amp;qid=1695174097&amp;sr=8-1</v>
      </c>
      <c r="F3031" t="s">
        <v>975</v>
      </c>
      <c r="G3031" t="e">
        <f ca="1">_xludf.IMAGE("https://edmondsonsupply.com/cdn/shop/products/60537.jpg?v=1670947087")</f>
        <v>#NAME?</v>
      </c>
      <c r="H3031" t="e">
        <f ca="1">_xludf.IMAGE("https://m.media-amazon.com/images/I/41ZbdEu2lCL._AC_UL320_.jpg")</f>
        <v>#NAME?</v>
      </c>
      <c r="I3031" t="s">
        <v>276</v>
      </c>
      <c r="J3031">
        <v>20.99</v>
      </c>
      <c r="K3031" s="4">
        <v>0.40029999999999999</v>
      </c>
      <c r="L3031">
        <v>4.5</v>
      </c>
      <c r="M3031">
        <v>15</v>
      </c>
      <c r="O3031" t="s">
        <v>25</v>
      </c>
      <c r="P3031" t="s">
        <v>277</v>
      </c>
      <c r="Q3031" t="s">
        <v>897</v>
      </c>
    </row>
    <row r="3032" spans="1:17" ht="15.5" x14ac:dyDescent="0.35">
      <c r="A3032" s="3" t="str">
        <f>HYPERLINK("https://edmondsonsupply.com/collections/electricians-tools/products/klein-tools-33736ins", "https://edmondsonsupply.com/collections/electricians-tools/products/klein-tools-33736ins")</f>
        <v>https://edmondsonsupply.com/collections/electricians-tools/products/klein-tools-33736ins</v>
      </c>
      <c r="B3032" s="3" t="str">
        <f>HYPERLINK("https://edmondsonsupply.com/products/klein-tools-33736ins", "https://edmondsonsupply.com/products/klein-tools-33736ins")</f>
        <v>https://edmondsonsupply.com/products/klein-tools-33736ins</v>
      </c>
      <c r="C3032" t="s">
        <v>1928</v>
      </c>
      <c r="D3032" t="s">
        <v>3350</v>
      </c>
      <c r="E3032" s="3" t="str">
        <f>HYPERLINK("https://www.amazon.com/Klein-Tools-Insulated-Screwdriver-Magnetizer/dp/B0BD3TP57V/ref=sr_1_2?keywords=Klein+Tools+33736INS+Screwdriver+Set%2C+1000V+Slim-Tip+Insulated+and+Magnetizer%2C+6-Piece&amp;qid=1695173911&amp;sr=8-2", "https://www.amazon.com/Klein-Tools-Insulated-Screwdriver-Magnetizer/dp/B0BD3TP57V/ref=sr_1_2?keywords=Klein+Tools+33736INS+Screwdriver+Set%2C+1000V+Slim-Tip+Insulated+and+Magnetizer%2C+6-Piece&amp;qid=1695173911&amp;sr=8-2")</f>
        <v>https://www.amazon.com/Klein-Tools-Insulated-Screwdriver-Magnetizer/dp/B0BD3TP57V/ref=sr_1_2?keywords=Klein+Tools+33736INS+Screwdriver+Set%2C+1000V+Slim-Tip+Insulated+and+Magnetizer%2C+6-Piece&amp;qid=1695173911&amp;sr=8-2</v>
      </c>
      <c r="F3032" t="s">
        <v>3351</v>
      </c>
      <c r="G3032" t="e">
        <f ca="1">_xludf.IMAGE("https://edmondsonsupply.com/cdn/shop/products/33736ins.jpg?v=1664807705")</f>
        <v>#NAME?</v>
      </c>
      <c r="H3032" t="e">
        <f ca="1">_xludf.IMAGE("https://m.media-amazon.com/images/I/51XENACg0nL._AC_UL320_.jpg")</f>
        <v>#NAME?</v>
      </c>
      <c r="I3032" t="s">
        <v>1931</v>
      </c>
      <c r="J3032">
        <v>69.98</v>
      </c>
      <c r="K3032" s="4">
        <v>0.39989999999999998</v>
      </c>
      <c r="L3032">
        <v>5</v>
      </c>
      <c r="M3032">
        <v>1</v>
      </c>
      <c r="O3032" t="s">
        <v>25</v>
      </c>
      <c r="P3032" t="s">
        <v>1932</v>
      </c>
      <c r="Q3032" t="s">
        <v>1933</v>
      </c>
    </row>
    <row r="3033" spans="1:17" ht="15.5" x14ac:dyDescent="0.35">
      <c r="A3033"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3033"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3033" t="s">
        <v>6146</v>
      </c>
      <c r="D3033" t="s">
        <v>7228</v>
      </c>
      <c r="E3033" s="3" t="str">
        <f>HYPERLINK("https://www.amazon.com/Klein-Tools-Insulated-Screwdriver-Double-Ended/dp/B08ZNQFGYR/ref=sr_1_3?keywords=Klein+Tools+32288+8-in-1+Insulated+Interchangeable+Screwdriver+Set&amp;qid=1695173864&amp;sr=8-3", "https://www.amazon.com/Klein-Tools-Insulated-Screwdriver-Double-Ended/dp/B08ZNQFGYR/ref=sr_1_3?keywords=Klein+Tools+32288+8-in-1+Insulated+Interchangeable+Screwdriver+Set&amp;qid=1695173864&amp;sr=8-3")</f>
        <v>https://www.amazon.com/Klein-Tools-Insulated-Screwdriver-Double-Ended/dp/B08ZNQFGYR/ref=sr_1_3?keywords=Klein+Tools+32288+8-in-1+Insulated+Interchangeable+Screwdriver+Set&amp;qid=1695173864&amp;sr=8-3</v>
      </c>
      <c r="F3033" t="s">
        <v>7229</v>
      </c>
      <c r="G3033" t="e">
        <f ca="1">_xludf.IMAGE("https://edmondsonsupply.com/cdn/shop/products/32288.jpg?v=1587146849")</f>
        <v>#NAME?</v>
      </c>
      <c r="H3033" t="e">
        <f ca="1">_xludf.IMAGE("https://m.media-amazon.com/images/I/51PAxTnXGXS._AC_UL320_.jpg")</f>
        <v>#NAME?</v>
      </c>
      <c r="I3033" t="s">
        <v>1931</v>
      </c>
      <c r="J3033">
        <v>69.97</v>
      </c>
      <c r="K3033" s="4">
        <v>0.3997</v>
      </c>
      <c r="L3033">
        <v>5</v>
      </c>
      <c r="M3033">
        <v>7</v>
      </c>
      <c r="O3033" t="s">
        <v>25</v>
      </c>
      <c r="P3033" t="s">
        <v>1114</v>
      </c>
      <c r="Q3033" t="s">
        <v>6149</v>
      </c>
    </row>
    <row r="3034" spans="1:17" ht="15.5" x14ac:dyDescent="0.35">
      <c r="A3034"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3034"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3034" t="s">
        <v>6824</v>
      </c>
      <c r="D3034" t="s">
        <v>7230</v>
      </c>
      <c r="E3034" s="3" t="str">
        <f>HYPERLINK("https://www.amazon.com/Klein-Tools-Electrical-Multimeter-Integrated/dp/B0BXK9J5KD/ref=sr_1_8?keywords=Klein+Tools+ET310+Digital+Circuit+Breaker+Finder+with+GFCI+Outlet+Tester&amp;qid=1695173862&amp;sr=8-8", "https://www.amazon.com/Klein-Tools-Electrical-Multimeter-Integrated/dp/B0BXK9J5KD/ref=sr_1_8?keywords=Klein+Tools+ET310+Digital+Circuit+Breaker+Finder+with+GFCI+Outlet+Tester&amp;qid=1695173862&amp;sr=8-8")</f>
        <v>https://www.amazon.com/Klein-Tools-Electrical-Multimeter-Integrated/dp/B0BXK9J5KD/ref=sr_1_8?keywords=Klein+Tools+ET310+Digital+Circuit+Breaker+Finder+with+GFCI+Outlet+Tester&amp;qid=1695173862&amp;sr=8-8</v>
      </c>
      <c r="F3034" t="s">
        <v>7231</v>
      </c>
      <c r="G3034" t="e">
        <f ca="1">_xludf.IMAGE("https://edmondsonsupply.com/cdn/shop/products/et310_c.jpg?v=1646963918")</f>
        <v>#NAME?</v>
      </c>
      <c r="H3034" t="e">
        <f ca="1">_xludf.IMAGE("https://m.media-amazon.com/images/I/519RU+M3-AL._AC_UL320_.jpg")</f>
        <v>#NAME?</v>
      </c>
      <c r="I3034" t="s">
        <v>380</v>
      </c>
      <c r="J3034">
        <v>69.94</v>
      </c>
      <c r="K3034" s="4">
        <v>0.39960000000000001</v>
      </c>
      <c r="L3034">
        <v>5</v>
      </c>
      <c r="M3034">
        <v>3</v>
      </c>
      <c r="O3034" t="s">
        <v>25</v>
      </c>
      <c r="P3034" t="s">
        <v>6825</v>
      </c>
      <c r="Q3034" t="s">
        <v>6826</v>
      </c>
    </row>
    <row r="3035" spans="1:17" ht="15.5" x14ac:dyDescent="0.35">
      <c r="A3035"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3035"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3035" t="s">
        <v>6824</v>
      </c>
      <c r="D3035" t="s">
        <v>7232</v>
      </c>
      <c r="E3035" s="3" t="str">
        <f>HYPERLINK("https://www.amazon.com/Klein-Tools-Digital-Accessory-Adapters/dp/B08MG1LZJS/ref=sr_1_1?keywords=Klein+Tools+ET310+Digital+Circuit+Breaker+Finder+with+GFCI+Outlet+Tester&amp;qid=1695173862&amp;sr=8-1", "https://www.amazon.com/Klein-Tools-Digital-Accessory-Adapters/dp/B08MG1LZJS/ref=sr_1_1?keywords=Klein+Tools+ET310+Digital+Circuit+Breaker+Finder+with+GFCI+Outlet+Tester&amp;qid=1695173862&amp;sr=8-1")</f>
        <v>https://www.amazon.com/Klein-Tools-Digital-Accessory-Adapters/dp/B08MG1LZJS/ref=sr_1_1?keywords=Klein+Tools+ET310+Digital+Circuit+Breaker+Finder+with+GFCI+Outlet+Tester&amp;qid=1695173862&amp;sr=8-1</v>
      </c>
      <c r="F3035" t="s">
        <v>7233</v>
      </c>
      <c r="G3035" t="e">
        <f ca="1">_xludf.IMAGE("https://edmondsonsupply.com/cdn/shop/products/et310_c.jpg?v=1646963918")</f>
        <v>#NAME?</v>
      </c>
      <c r="H3035" t="e">
        <f ca="1">_xludf.IMAGE("https://m.media-amazon.com/images/I/51MAo0prl5L._AC_UL320_.jpg")</f>
        <v>#NAME?</v>
      </c>
      <c r="I3035" t="s">
        <v>380</v>
      </c>
      <c r="J3035">
        <v>69.94</v>
      </c>
      <c r="K3035" s="4">
        <v>0.39960000000000001</v>
      </c>
      <c r="L3035">
        <v>4.7</v>
      </c>
      <c r="M3035">
        <v>2060</v>
      </c>
      <c r="O3035" t="s">
        <v>25</v>
      </c>
      <c r="P3035" t="s">
        <v>6825</v>
      </c>
      <c r="Q3035" t="s">
        <v>6826</v>
      </c>
    </row>
    <row r="3036" spans="1:17" ht="15.5" x14ac:dyDescent="0.35">
      <c r="A3036"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3036"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3036" t="s">
        <v>6051</v>
      </c>
      <c r="D3036" t="s">
        <v>7234</v>
      </c>
      <c r="E3036" s="3" t="str">
        <f>HYPERLINK("https://www.amazon.com/Klein-Tools-66079-Impact-Adapter/dp/B0B33WGYX5/ref=sr_1_1?keywords=Klein+Tools+66079+Flip+Impact+Socket+Adapter%2C+Small%2C+1%2F4+to+1%2F4-Inch&amp;qid=1695173882&amp;sr=8-1", "https://www.amazon.com/Klein-Tools-66079-Impact-Adapter/dp/B0B33WGYX5/ref=sr_1_1?keywords=Klein+Tools+66079+Flip+Impact+Socket+Adapter%2C+Small%2C+1%2F4+to+1%2F4-Inch&amp;qid=1695173882&amp;sr=8-1")</f>
        <v>https://www.amazon.com/Klein-Tools-66079-Impact-Adapter/dp/B0B33WGYX5/ref=sr_1_1?keywords=Klein+Tools+66079+Flip+Impact+Socket+Adapter%2C+Small%2C+1%2F4+to+1%2F4-Inch&amp;qid=1695173882&amp;sr=8-1</v>
      </c>
      <c r="F3036" t="s">
        <v>7235</v>
      </c>
      <c r="G3036" t="e">
        <f ca="1">_xludf.IMAGE("https://edmondsonsupply.com/cdn/shop/products/66079.jpg?v=1669735923")</f>
        <v>#NAME?</v>
      </c>
      <c r="H3036" t="e">
        <f ca="1">_xludf.IMAGE("https://m.media-amazon.com/images/I/41eZRUf3qGL._AC_UL320_.jpg")</f>
        <v>#NAME?</v>
      </c>
      <c r="I3036" t="s">
        <v>6052</v>
      </c>
      <c r="J3036">
        <v>9.6</v>
      </c>
      <c r="K3036" s="4">
        <v>0.39939999999999998</v>
      </c>
      <c r="L3036">
        <v>3.8</v>
      </c>
      <c r="M3036">
        <v>5</v>
      </c>
      <c r="O3036" t="s">
        <v>25</v>
      </c>
      <c r="P3036" t="s">
        <v>6053</v>
      </c>
      <c r="Q3036" t="s">
        <v>6054</v>
      </c>
    </row>
    <row r="3037" spans="1:17" ht="15.5" x14ac:dyDescent="0.35">
      <c r="A3037"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3037" s="3" t="str">
        <f>HYPERLINK("https://edmondsonsupply.com/products/klein-tools-mm400-digital-multimeter-auto-ranging-600v", "https://edmondsonsupply.com/products/klein-tools-mm400-digital-multimeter-auto-ranging-600v")</f>
        <v>https://edmondsonsupply.com/products/klein-tools-mm400-digital-multimeter-auto-ranging-600v</v>
      </c>
      <c r="C3037" t="s">
        <v>3356</v>
      </c>
      <c r="D3037" t="s">
        <v>3357</v>
      </c>
      <c r="E3037" s="3" t="str">
        <f>HYPERLINK("https://www.amazon.com/Klein-Tools-Multimeter-Electronic-Non-Contact/dp/B0BNLB1VFG/ref=sr_1_4?keywords=Klein+Tools+MM400+Digital+Multimeter%2C+Auto-Ranging%2C+600V&amp;qid=1695173884&amp;sr=8-4", "https://www.amazon.com/Klein-Tools-Multimeter-Electronic-Non-Contact/dp/B0BNLB1VFG/ref=sr_1_4?keywords=Klein+Tools+MM400+Digital+Multimeter%2C+Auto-Ranging%2C+600V&amp;qid=1695173884&amp;sr=8-4")</f>
        <v>https://www.amazon.com/Klein-Tools-Multimeter-Electronic-Non-Contact/dp/B0BNLB1VFG/ref=sr_1_4?keywords=Klein+Tools+MM400+Digital+Multimeter%2C+Auto-Ranging%2C+600V&amp;qid=1695173884&amp;sr=8-4</v>
      </c>
      <c r="F3037" t="s">
        <v>3358</v>
      </c>
      <c r="G3037" t="e">
        <f ca="1">_xludf.IMAGE("https://edmondsonsupply.com/cdn/shop/products/mm400_alt1.jpg?v=1633030778")</f>
        <v>#NAME?</v>
      </c>
      <c r="H3037" t="e">
        <f ca="1">_xludf.IMAGE("https://m.media-amazon.com/images/I/51x9YX+JCvL._AC_UL320_.jpg")</f>
        <v>#NAME?</v>
      </c>
      <c r="I3037" t="s">
        <v>3359</v>
      </c>
      <c r="J3037">
        <v>76.89</v>
      </c>
      <c r="K3037" s="4">
        <v>0.39879999999999999</v>
      </c>
      <c r="L3037">
        <v>4.8</v>
      </c>
      <c r="M3037">
        <v>15</v>
      </c>
      <c r="O3037" t="s">
        <v>25</v>
      </c>
      <c r="P3037" t="s">
        <v>3360</v>
      </c>
      <c r="Q3037" t="s">
        <v>3361</v>
      </c>
    </row>
    <row r="3038" spans="1:17" ht="15.5" x14ac:dyDescent="0.35">
      <c r="A3038"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3038"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3038" t="s">
        <v>6940</v>
      </c>
      <c r="D3038" t="s">
        <v>6933</v>
      </c>
      <c r="E3038" s="3" t="str">
        <f>HYPERLINK("https://www.amazon.com/Diablo-Freud-DOU125JBW3-Universal-Oscillating/dp/B089KX3SWM/ref=sr_1_4?keywords=Diablo+Tools+DOU125BF+1-1%2F4+in.+Universal+Fit+Bi-Metal+Oscillating+Blade+for+Metal&amp;qid=1695174025&amp;sr=8-4", "https://www.amazon.com/Diablo-Freud-DOU125JBW3-Universal-Oscillating/dp/B089KX3SWM/ref=sr_1_4?keywords=Diablo+Tools+DOU125BF+1-1%2F4+in.+Universal+Fit+Bi-Metal+Oscillating+Blade+for+Metal&amp;qid=1695174025&amp;sr=8-4")</f>
        <v>https://www.amazon.com/Diablo-Freud-DOU125JBW3-Universal-Oscillating/dp/B089KX3SWM/ref=sr_1_4?keywords=Diablo+Tools+DOU125BF+1-1%2F4+in.+Universal+Fit+Bi-Metal+Oscillating+Blade+for+Metal&amp;qid=1695174025&amp;sr=8-4</v>
      </c>
      <c r="F3038" t="s">
        <v>6934</v>
      </c>
      <c r="G3038" t="e">
        <f ca="1">_xludf.IMAGE("https://edmondsonsupply.com/cdn/shop/files/k1d1qiwmm4npznsdbwtg.webp?v=1685467858")</f>
        <v>#NAME?</v>
      </c>
      <c r="H3038" t="e">
        <f ca="1">_xludf.IMAGE("https://m.media-amazon.com/images/I/61wFHtmEH5L._AC_UL320_.jpg")</f>
        <v>#NAME?</v>
      </c>
      <c r="I3038" t="s">
        <v>6164</v>
      </c>
      <c r="J3038">
        <v>26.5</v>
      </c>
      <c r="K3038" s="4">
        <v>0.39689999999999998</v>
      </c>
      <c r="L3038">
        <v>4.5</v>
      </c>
      <c r="M3038">
        <v>48</v>
      </c>
      <c r="O3038" t="s">
        <v>25</v>
      </c>
      <c r="P3038" t="s">
        <v>6943</v>
      </c>
      <c r="Q3038" t="s">
        <v>6944</v>
      </c>
    </row>
    <row r="3039" spans="1:17" ht="15.5" x14ac:dyDescent="0.35">
      <c r="A3039"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3039"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3039" t="s">
        <v>6304</v>
      </c>
      <c r="D3039" t="s">
        <v>5005</v>
      </c>
      <c r="E3039" s="3" t="str">
        <f>HYPERLINK("https://www.amazon.com/Klein-Tools-2139NEEINS-Cutting-Pliers/dp/B00JGG5RNE/ref=sr_1_5?keywords=Klein+Tools+2036EINS+Long+Nose+Side+Cutter+Pliers+6-Inch+Slim+Insulated&amp;qid=1695174256&amp;sr=8-5", "https://www.amazon.com/Klein-Tools-2139NEEINS-Cutting-Pliers/dp/B00JGG5RNE/ref=sr_1_5?keywords=Klein+Tools+2036EINS+Long+Nose+Side+Cutter+Pliers+6-Inch+Slim+Insulated&amp;qid=1695174256&amp;sr=8-5")</f>
        <v>https://www.amazon.com/Klein-Tools-2139NEEINS-Cutting-Pliers/dp/B00JGG5RNE/ref=sr_1_5?keywords=Klein+Tools+2036EINS+Long+Nose+Side+Cutter+Pliers+6-Inch+Slim+Insulated&amp;qid=1695174256&amp;sr=8-5</v>
      </c>
      <c r="F3039" t="s">
        <v>5006</v>
      </c>
      <c r="G3039" t="e">
        <f ca="1">_xludf.IMAGE("https://edmondsonsupply.com/cdn/shop/products/2036eins.jpg?v=1633031077")</f>
        <v>#NAME?</v>
      </c>
      <c r="H3039" t="e">
        <f ca="1">_xludf.IMAGE("https://m.media-amazon.com/images/I/51eEwVZhacL._AC_UL320_.jpg")</f>
        <v>#NAME?</v>
      </c>
      <c r="I3039" t="s">
        <v>6307</v>
      </c>
      <c r="J3039">
        <v>65.599999999999994</v>
      </c>
      <c r="K3039" s="4">
        <v>0.39600000000000002</v>
      </c>
      <c r="L3039">
        <v>4.7</v>
      </c>
      <c r="M3039">
        <v>242</v>
      </c>
      <c r="O3039" t="s">
        <v>25</v>
      </c>
      <c r="P3039" t="s">
        <v>6308</v>
      </c>
      <c r="Q3039" t="s">
        <v>6309</v>
      </c>
    </row>
    <row r="3040" spans="1:17" ht="15.5" x14ac:dyDescent="0.35">
      <c r="A3040" s="3" t="str">
        <f>HYPERLINK("https://edmondsonsupply.com/collections/electricians-tools/products/milwaukee-48-25-2122", "https://edmondsonsupply.com/collections/electricians-tools/products/milwaukee-48-25-2122")</f>
        <v>https://edmondsonsupply.com/collections/electricians-tools/products/milwaukee-48-25-2122</v>
      </c>
      <c r="B3040" s="3" t="str">
        <f>HYPERLINK("https://edmondsonsupply.com/products/milwaukee-48-25-2122", "https://edmondsonsupply.com/products/milwaukee-48-25-2122")</f>
        <v>https://edmondsonsupply.com/products/milwaukee-48-25-2122</v>
      </c>
      <c r="C3040" t="s">
        <v>3381</v>
      </c>
      <c r="D3040" t="s">
        <v>3382</v>
      </c>
      <c r="E3040" s="3" t="str">
        <f>HYPERLINK("https://www.amazon.com/Milwaukee-48-25-2122-Heavy-duty-Selfeed-Bit/dp/B006ERPNPA/ref=sr_1_1?keywords=Milwaukee+48-25-2122+Standard+Selfeed+Bit%2C+2-1%2F8%22&amp;qid=1695174005&amp;sr=8-1", "https://www.amazon.com/Milwaukee-48-25-2122-Heavy-duty-Selfeed-Bit/dp/B006ERPNPA/ref=sr_1_1?keywords=Milwaukee+48-25-2122+Standard+Selfeed+Bit%2C+2-1%2F8%22&amp;qid=1695174005&amp;sr=8-1")</f>
        <v>https://www.amazon.com/Milwaukee-48-25-2122-Heavy-duty-Selfeed-Bit/dp/B006ERPNPA/ref=sr_1_1?keywords=Milwaukee+48-25-2122+Standard+Selfeed+Bit%2C+2-1%2F8%22&amp;qid=1695174005&amp;sr=8-1</v>
      </c>
      <c r="F3040" t="s">
        <v>3383</v>
      </c>
      <c r="G3040" t="e">
        <f ca="1">_xludf.IMAGE("https://edmondsonsupply.com/cdn/shop/files/64170_48-25-1372_1-lg.gif?v=1687367768")</f>
        <v>#NAME?</v>
      </c>
      <c r="H3040" t="e">
        <f ca="1">_xludf.IMAGE("https://m.media-amazon.com/images/I/510Y68t9mkL._AC_UL320_.jpg")</f>
        <v>#NAME?</v>
      </c>
      <c r="I3040" t="s">
        <v>380</v>
      </c>
      <c r="J3040">
        <v>69.650000000000006</v>
      </c>
      <c r="K3040" s="4">
        <v>0.39379999999999998</v>
      </c>
      <c r="L3040">
        <v>4</v>
      </c>
      <c r="M3040">
        <v>1</v>
      </c>
      <c r="O3040" t="s">
        <v>25</v>
      </c>
      <c r="P3040" t="s">
        <v>138</v>
      </c>
      <c r="Q3040" t="s">
        <v>3384</v>
      </c>
    </row>
    <row r="3041" spans="1:17" ht="15.5" x14ac:dyDescent="0.35">
      <c r="A3041" s="3" t="str">
        <f>HYPERLINK("https://edmondsonsupply.com/collections/electricians-tools/products/diablo-tools-dag", "https://edmondsonsupply.com/collections/electricians-tools/products/diablo-tools-dag")</f>
        <v>https://edmondsonsupply.com/collections/electricians-tools/products/diablo-tools-dag</v>
      </c>
      <c r="B3041" s="3" t="str">
        <f>HYPERLINK("https://edmondsonsupply.com/products/diablo-tools-dag", "https://edmondsonsupply.com/products/diablo-tools-dag")</f>
        <v>https://edmondsonsupply.com/products/diablo-tools-dag</v>
      </c>
      <c r="C3041" t="s">
        <v>6819</v>
      </c>
      <c r="D3041" t="s">
        <v>7133</v>
      </c>
      <c r="E3041" s="3" t="str">
        <f>HYPERLINK("https://www.amazon.com/Diablo-Freud-DAG3050-17-1-Auger/dp/B089KWL81X/ref=sr_1_2?keywords=Diablo+Tools+DAG3010+3%2F8+in.+x+17-1%2F2+in.+Auger+Bit&amp;qid=1695174114&amp;sr=8-2", "https://www.amazon.com/Diablo-Freud-DAG3050-17-1-Auger/dp/B089KWL81X/ref=sr_1_2?keywords=Diablo+Tools+DAG3010+3%2F8+in.+x+17-1%2F2+in.+Auger+Bit&amp;qid=1695174114&amp;sr=8-2")</f>
        <v>https://www.amazon.com/Diablo-Freud-DAG3050-17-1-Auger/dp/B089KWL81X/ref=sr_1_2?keywords=Diablo+Tools+DAG3010+3%2F8+in.+x+17-1%2F2+in.+Auger+Bit&amp;qid=1695174114&amp;sr=8-2</v>
      </c>
      <c r="F3041" t="s">
        <v>7134</v>
      </c>
      <c r="G3041" t="e">
        <f ca="1">_xludf.IMAGE("https://edmondsonsupply.com/cdn/shop/products/xfctdbahz5wx3g461fm8.webp?v=1669991052")</f>
        <v>#NAME?</v>
      </c>
      <c r="H3041" t="e">
        <f ca="1">_xludf.IMAGE("https://m.media-amazon.com/images/I/61DWkFmOdeL._AC_UL320_.jpg")</f>
        <v>#NAME?</v>
      </c>
      <c r="I3041" t="s">
        <v>5147</v>
      </c>
      <c r="J3041">
        <v>24.35</v>
      </c>
      <c r="K3041" s="4">
        <v>0.39379999999999998</v>
      </c>
      <c r="L3041">
        <v>4.3</v>
      </c>
      <c r="M3041">
        <v>20</v>
      </c>
      <c r="O3041" t="s">
        <v>25</v>
      </c>
      <c r="P3041" t="s">
        <v>6822</v>
      </c>
      <c r="Q3041" t="s">
        <v>6823</v>
      </c>
    </row>
    <row r="3042" spans="1:17" ht="15.5" x14ac:dyDescent="0.35">
      <c r="A3042" s="3" t="str">
        <f>HYPERLINK("https://edmondsonsupply.com/collections/electricians-tools/products/diablo-tools-dou125cf-1-1-4-universal-fit-carbide-oscillating-blade-for-metal", "https://edmondsonsupply.com/collections/electricians-tools/products/diablo-tools-dou125cf-1-1-4-universal-fit-carbide-oscillating-blade-for-metal")</f>
        <v>https://edmondsonsupply.com/collections/electricians-tools/products/diablo-tools-dou125cf-1-1-4-universal-fit-carbide-oscillating-blade-for-metal</v>
      </c>
      <c r="B3042" s="3" t="str">
        <f>HYPERLINK("https://edmondsonsupply.com/products/diablo-tools-dou125cf-1-1-4-universal-fit-carbide-oscillating-blade-for-metal", "https://edmondsonsupply.com/products/diablo-tools-dou125cf-1-1-4-universal-fit-carbide-oscillating-blade-for-metal")</f>
        <v>https://edmondsonsupply.com/products/diablo-tools-dou125cf-1-1-4-universal-fit-carbide-oscillating-blade-for-metal</v>
      </c>
      <c r="C3042" t="s">
        <v>7236</v>
      </c>
      <c r="D3042" t="s">
        <v>6941</v>
      </c>
      <c r="E3042" s="3" t="str">
        <f>HYPERLINK("https://www.amazon.com/Diablo-Freud-DOU125CF3-Universal-Oscillating/dp/B089LKXD7L/ref=sr_1_2?keywords=Diablo+Tools+DOU125CF+1-1%2F4%22+Universal+Fit+Carbide+Oscillating+Blade+for+Metal&amp;qid=1695174236&amp;sr=8-2", "https://www.amazon.com/Diablo-Freud-DOU125CF3-Universal-Oscillating/dp/B089LKXD7L/ref=sr_1_2?keywords=Diablo+Tools+DOU125CF+1-1%2F4%22+Universal+Fit+Carbide+Oscillating+Blade+for+Metal&amp;qid=1695174236&amp;sr=8-2")</f>
        <v>https://www.amazon.com/Diablo-Freud-DOU125CF3-Universal-Oscillating/dp/B089LKXD7L/ref=sr_1_2?keywords=Diablo+Tools+DOU125CF+1-1%2F4%22+Universal+Fit+Carbide+Oscillating+Blade+for+Metal&amp;qid=1695174236&amp;sr=8-2</v>
      </c>
      <c r="F3042" t="s">
        <v>6942</v>
      </c>
      <c r="G3042" t="e">
        <f ca="1">_xludf.IMAGE("https://edmondsonsupply.com/cdn/shop/products/DOU125CF_Main-Image.png?v=1633637708")</f>
        <v>#NAME?</v>
      </c>
      <c r="H3042" t="e">
        <f ca="1">_xludf.IMAGE("https://m.media-amazon.com/images/I/71izb0UUOkL._AC_UL320_.jpg")</f>
        <v>#NAME?</v>
      </c>
      <c r="I3042" t="s">
        <v>1716</v>
      </c>
      <c r="J3042">
        <v>32</v>
      </c>
      <c r="K3042" s="4">
        <v>0.3931</v>
      </c>
      <c r="L3042">
        <v>4.5</v>
      </c>
      <c r="M3042">
        <v>164</v>
      </c>
      <c r="O3042" t="s">
        <v>25</v>
      </c>
      <c r="P3042" t="s">
        <v>7237</v>
      </c>
      <c r="Q3042" t="s">
        <v>7238</v>
      </c>
    </row>
    <row r="3043" spans="1:17" ht="15.5" x14ac:dyDescent="0.35">
      <c r="A3043"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3043"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3043" t="s">
        <v>6827</v>
      </c>
      <c r="D3043" t="s">
        <v>5869</v>
      </c>
      <c r="E3043" s="3" t="str">
        <f>HYPERLINK("https://www.amazon.com/Diablo-DMAMX1390-SDS-Max-4-Cutter-Carbide-Tipped/dp/B089KW6C8V/ref=sr_1_2?keywords=Diablo+Tools+DMAMX1360+1-1%2F2+in.+x+16+in.+x+21+in.+Rebar+Demon%E2%84%A2+SDS-Max+4-Cutter+Carbide-Tipped+Hammer+Drill+Bit&amp;qid=1695174071&amp;sr=8-2", "https://www.amazon.com/Diablo-DMAMX1390-SDS-Max-4-Cutter-Carbide-Tipped/dp/B089KW6C8V/ref=sr_1_2?keywords=Diablo+Tools+DMAMX1360+1-1%2F2+in.+x+16+in.+x+21+in.+Rebar+Demon%E2%84%A2+SDS-Max+4-Cutter+Carbide-Tipped+Hammer+Drill+Bit&amp;qid=1695174071&amp;sr=8-2")</f>
        <v>https://www.amazon.com/Diablo-DMAMX1390-SDS-Max-4-Cutter-Carbide-Tipped/dp/B089KW6C8V/ref=sr_1_2?keywords=Diablo+Tools+DMAMX1360+1-1%2F2+in.+x+16+in.+x+21+in.+Rebar+Demon%E2%84%A2+SDS-Max+4-Cutter+Carbide-Tipped+Hammer+Drill+Bit&amp;qid=1695174071&amp;sr=8-2</v>
      </c>
      <c r="F3043" t="s">
        <v>5870</v>
      </c>
      <c r="G3043" t="e">
        <f ca="1">_xludf.IMAGE("https://edmondsonsupply.com/cdn/shop/products/z2umcsdaj3y4uvsfnxoh.webp?v=1677257156")</f>
        <v>#NAME?</v>
      </c>
      <c r="H3043" t="e">
        <f ca="1">_xludf.IMAGE("https://m.media-amazon.com/images/I/61J-83UaGmL._AC_UL320_.jpg")</f>
        <v>#NAME?</v>
      </c>
      <c r="I3043" t="s">
        <v>6830</v>
      </c>
      <c r="J3043">
        <v>130.66999999999999</v>
      </c>
      <c r="K3043" s="4">
        <v>0.39200000000000002</v>
      </c>
      <c r="L3043">
        <v>4.8</v>
      </c>
      <c r="M3043">
        <v>10</v>
      </c>
      <c r="O3043" t="s">
        <v>25</v>
      </c>
      <c r="P3043" t="s">
        <v>6831</v>
      </c>
      <c r="Q3043" t="s">
        <v>6832</v>
      </c>
    </row>
    <row r="3044" spans="1:17" ht="15.5" x14ac:dyDescent="0.35">
      <c r="A3044"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3044"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3044" t="s">
        <v>7214</v>
      </c>
      <c r="D3044" t="s">
        <v>7239</v>
      </c>
      <c r="E3044" s="3" t="str">
        <f>HYPERLINK("https://www.amazon.com/Klein-Tools-6946INS-Insulated-Screwdriver/dp/B088NN95Q5/ref=sr_1_3?keywords=Klein+Tools+6844INS+Insulated+Screwdriver%2C+%232+Square+Tip%2C+4-Inch+Round+Shank&amp;qid=1695174147&amp;sr=8-3", "https://www.amazon.com/Klein-Tools-6946INS-Insulated-Screwdriver/dp/B088NN95Q5/ref=sr_1_3?keywords=Klein+Tools+6844INS+Insulated+Screwdriver%2C+%232+Square+Tip%2C+4-Inch+Round+Shank&amp;qid=1695174147&amp;sr=8-3")</f>
        <v>https://www.amazon.com/Klein-Tools-6946INS-Insulated-Screwdriver/dp/B088NN95Q5/ref=sr_1_3?keywords=Klein+Tools+6844INS+Insulated+Screwdriver%2C+%232+Square+Tip%2C+4-Inch+Round+Shank&amp;qid=1695174147&amp;sr=8-3</v>
      </c>
      <c r="F3044" t="s">
        <v>7240</v>
      </c>
      <c r="G3044" t="e">
        <f ca="1">_xludf.IMAGE("https://edmondsonsupply.com/cdn/shop/products/6844ins.jpg?v=1664817203")</f>
        <v>#NAME?</v>
      </c>
      <c r="H3044" t="e">
        <f ca="1">_xludf.IMAGE("https://m.media-amazon.com/images/I/414Kb+NSPsS._AC_UL320_.jpg")</f>
        <v>#NAME?</v>
      </c>
      <c r="I3044" t="s">
        <v>1427</v>
      </c>
      <c r="J3044">
        <v>13.85</v>
      </c>
      <c r="K3044" s="4">
        <v>0.38919999999999999</v>
      </c>
      <c r="L3044">
        <v>4.8</v>
      </c>
      <c r="M3044">
        <v>1361</v>
      </c>
      <c r="O3044" t="s">
        <v>25</v>
      </c>
      <c r="P3044" t="s">
        <v>7217</v>
      </c>
      <c r="Q3044" t="s">
        <v>7218</v>
      </c>
    </row>
    <row r="3045" spans="1:17" ht="15.5" x14ac:dyDescent="0.35">
      <c r="A3045"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3045"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3045" t="s">
        <v>5852</v>
      </c>
      <c r="D3045" t="s">
        <v>5560</v>
      </c>
      <c r="E3045" s="3" t="str">
        <f>HYPERLINK("https://www.amazon.com/Diablo-Freud-DMAPL4300-SDS-Plus-4-Cutter/dp/B089LL8JD8/ref=sr_1_3?keywords=Diablo+Tools+DMAPL4250+3%2F4+in.+x+8+in.+x+10+in.+Rebar+Demon%E2%84%A2+SDS-Plus+4-Cutter+Full+Carbide+Head+Hammer+Drill+Bit&amp;qid=1695174039&amp;sr=8-3", "https://www.amazon.com/Diablo-Freud-DMAPL4300-SDS-Plus-4-Cutter/dp/B089LL8JD8/ref=sr_1_3?keywords=Diablo+Tools+DMAPL4250+3%2F4+in.+x+8+in.+x+10+in.+Rebar+Demon%E2%84%A2+SDS-Plus+4-Cutter+Full+Carbide+Head+Hammer+Drill+Bit&amp;qid=1695174039&amp;sr=8-3")</f>
        <v>https://www.amazon.com/Diablo-Freud-DMAPL4300-SDS-Plus-4-Cutter/dp/B089LL8JD8/ref=sr_1_3?keywords=Diablo+Tools+DMAPL4250+3%2F4+in.+x+8+in.+x+10+in.+Rebar+Demon%E2%84%A2+SDS-Plus+4-Cutter+Full+Carbide+Head+Hammer+Drill+Bit&amp;qid=1695174039&amp;sr=8-3</v>
      </c>
      <c r="F3045" t="s">
        <v>5561</v>
      </c>
      <c r="G3045" t="e">
        <f ca="1">_xludf.IMAGE("https://edmondsonsupply.com/cdn/shop/files/rltcbi253wmfv6otmtz6.webp?v=1686576913")</f>
        <v>#NAME?</v>
      </c>
      <c r="H3045" t="e">
        <f ca="1">_xludf.IMAGE("https://m.media-amazon.com/images/I/616UiJGsK1L._AC_UL320_.jpg")</f>
        <v>#NAME?</v>
      </c>
      <c r="I3045" t="s">
        <v>5853</v>
      </c>
      <c r="J3045">
        <v>33.99</v>
      </c>
      <c r="K3045" s="4">
        <v>0.38900000000000001</v>
      </c>
      <c r="L3045">
        <v>4.5</v>
      </c>
      <c r="M3045">
        <v>16</v>
      </c>
      <c r="O3045" t="s">
        <v>25</v>
      </c>
      <c r="P3045" t="s">
        <v>5854</v>
      </c>
      <c r="Q3045" t="s">
        <v>5855</v>
      </c>
    </row>
    <row r="3046" spans="1:17" ht="15.5" x14ac:dyDescent="0.35">
      <c r="A3046"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3046"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3046" t="s">
        <v>7067</v>
      </c>
      <c r="D3046" t="s">
        <v>7073</v>
      </c>
      <c r="E3046" s="3" t="str">
        <f>HYPERLINK("https://www.amazon.com/Diablo-Starlock-Bi-Metal-Oscillating-Nail-Embedded/dp/B089KX5FJS/ref=sr_1_5?keywords=Diablo+Tools+DOU250BW+2-1%2F2+in.+Universal+Fit+Bi-Metal+Oscillating+Blade+for+Nail-Embedded+Wood&amp;qid=1695174021&amp;sr=8-5", "https://www.amazon.com/Diablo-Starlock-Bi-Metal-Oscillating-Nail-Embedded/dp/B089KX5FJS/ref=sr_1_5?keywords=Diablo+Tools+DOU250BW+2-1%2F2+in.+Universal+Fit+Bi-Metal+Oscillating+Blade+for+Nail-Embedded+Wood&amp;qid=1695174021&amp;sr=8-5")</f>
        <v>https://www.amazon.com/Diablo-Starlock-Bi-Metal-Oscillating-Nail-Embedded/dp/B089KX5FJS/ref=sr_1_5?keywords=Diablo+Tools+DOU250BW+2-1%2F2+in.+Universal+Fit+Bi-Metal+Oscillating+Blade+for+Nail-Embedded+Wood&amp;qid=1695174021&amp;sr=8-5</v>
      </c>
      <c r="F3046" t="s">
        <v>7074</v>
      </c>
      <c r="G3046" t="e">
        <f ca="1">_xludf.IMAGE("https://edmondsonsupply.com/cdn/shop/files/xcched1uye7bv2s0ryod.webp?v=1685717397")</f>
        <v>#NAME?</v>
      </c>
      <c r="H3046" t="e">
        <f ca="1">_xludf.IMAGE("https://m.media-amazon.com/images/I/717H6O1AhYL._AC_UL320_.jpg")</f>
        <v>#NAME?</v>
      </c>
      <c r="I3046" t="s">
        <v>893</v>
      </c>
      <c r="J3046">
        <v>27.69</v>
      </c>
      <c r="K3046" s="4">
        <v>0.3866</v>
      </c>
      <c r="L3046">
        <v>4.7</v>
      </c>
      <c r="M3046">
        <v>65</v>
      </c>
      <c r="O3046" t="s">
        <v>25</v>
      </c>
      <c r="P3046" t="s">
        <v>6936</v>
      </c>
      <c r="Q3046" t="s">
        <v>7068</v>
      </c>
    </row>
    <row r="3047" spans="1:17" ht="15.5" x14ac:dyDescent="0.35">
      <c r="A3047" s="3" t="str">
        <f>HYPERLINK("https://edmondsonsupply.com/collections/electricians-tools/products/klein-tools-jth6m2be-2-mm-hex-key-journeyman%E2%84%A2-t-handle-6-inch", "https://edmondsonsupply.com/collections/electricians-tools/products/klein-tools-jth6m2be-2-mm-hex-key-journeyman%E2%84%A2-t-handle-6-inch")</f>
        <v>https://edmondsonsupply.com/collections/electricians-tools/products/klein-tools-jth6m2be-2-mm-hex-key-journeyman%E2%84%A2-t-handle-6-inch</v>
      </c>
      <c r="B3047" s="3" t="str">
        <f>HYPERLINK("https://edmondsonsupply.com/products/klein-tools-jth6m2be-2-mm-hex-key-journeyman%e2%84%a2-t-handle-6-inch", "https://edmondsonsupply.com/products/klein-tools-jth6m2be-2-mm-hex-key-journeyman%e2%84%a2-t-handle-6-inch")</f>
        <v>https://edmondsonsupply.com/products/klein-tools-jth6m2be-2-mm-hex-key-journeyman%e2%84%a2-t-handle-6-inch</v>
      </c>
      <c r="C3047" t="s">
        <v>7241</v>
      </c>
      <c r="D3047" t="s">
        <v>7242</v>
      </c>
      <c r="E3047" s="3" t="str">
        <f>HYPERLINK("https://www.amazon.com/Journeyman-T-Handle-Klein-Tools-JTH6M2BE/dp/B005G2RMIU/ref=sr_1_1?keywords=Klein+Tools+JTH6M2BE+2+mm+Hex+Key%2C+Journeyman%E2%84%A2+T-Handle%2C+6-Inch&amp;qid=1695174039&amp;sr=8-1", "https://www.amazon.com/Journeyman-T-Handle-Klein-Tools-JTH6M2BE/dp/B005G2RMIU/ref=sr_1_1?keywords=Klein+Tools+JTH6M2BE+2+mm+Hex+Key%2C+Journeyman%E2%84%A2+T-Handle%2C+6-Inch&amp;qid=1695174039&amp;sr=8-1")</f>
        <v>https://www.amazon.com/Journeyman-T-Handle-Klein-Tools-JTH6M2BE/dp/B005G2RMIU/ref=sr_1_1?keywords=Klein+Tools+JTH6M2BE+2+mm+Hex+Key%2C+Journeyman%E2%84%A2+T-Handle%2C+6-Inch&amp;qid=1695174039&amp;sr=8-1</v>
      </c>
      <c r="F3047" t="s">
        <v>7243</v>
      </c>
      <c r="G3047" t="e">
        <f ca="1">_xludf.IMAGE("https://edmondsonsupply.com/cdn/shop/products/jth6m8be_dc02c4f5-6424-4dc9-9167-b95380a96ebb.jpg?v=1679428749")</f>
        <v>#NAME?</v>
      </c>
      <c r="H3047" t="e">
        <f ca="1">_xludf.IMAGE("https://m.media-amazon.com/images/I/51huXA+ij8L._AC_UL320_.jpg")</f>
        <v>#NAME?</v>
      </c>
      <c r="I3047" t="s">
        <v>2388</v>
      </c>
      <c r="J3047">
        <v>6.91</v>
      </c>
      <c r="K3047" s="4">
        <v>0.38479999999999998</v>
      </c>
      <c r="L3047">
        <v>4.8</v>
      </c>
      <c r="M3047">
        <v>988</v>
      </c>
      <c r="O3047" t="s">
        <v>25</v>
      </c>
      <c r="P3047" t="s">
        <v>2392</v>
      </c>
      <c r="Q3047" t="s">
        <v>7244</v>
      </c>
    </row>
    <row r="3048" spans="1:17" ht="15.5" x14ac:dyDescent="0.35">
      <c r="A3048"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3048" s="3" t="str">
        <f>HYPERLINK("https://edmondsonsupply.com/products/klein-tools-jth4e17-1-2-inch-hex-key-journeyman-t-handle-4-inch", "https://edmondsonsupply.com/products/klein-tools-jth4e17-1-2-inch-hex-key-journeyman-t-handle-4-inch")</f>
        <v>https://edmondsonsupply.com/products/klein-tools-jth4e17-1-2-inch-hex-key-journeyman-t-handle-4-inch</v>
      </c>
      <c r="C3048" t="s">
        <v>2385</v>
      </c>
      <c r="D3048" t="s">
        <v>3393</v>
      </c>
      <c r="E3048" s="3" t="str">
        <f>HYPERLINK("https://www.amazon.com/Journeyman-T-Handle-Klein-Tools-JTH6M4BE/dp/B005G3951G/ref=sr_1_4?keywords=Klein+Tools+JTH4E11+3%2F16-Inch+Hex+Key+with+Journeyman+T-Handle%2C+4-Inch&amp;qid=1695173897&amp;sr=8-4", "https://www.amazon.com/Journeyman-T-Handle-Klein-Tools-JTH6M4BE/dp/B005G3951G/ref=sr_1_4?keywords=Klein+Tools+JTH4E11+3%2F16-Inch+Hex+Key+with+Journeyman+T-Handle%2C+4-Inch&amp;qid=1695173897&amp;sr=8-4")</f>
        <v>https://www.amazon.com/Journeyman-T-Handle-Klein-Tools-JTH6M4BE/dp/B005G3951G/ref=sr_1_4?keywords=Klein+Tools+JTH4E11+3%2F16-Inch+Hex+Key+with+Journeyman+T-Handle%2C+4-Inch&amp;qid=1695173897&amp;sr=8-4</v>
      </c>
      <c r="F3048" t="s">
        <v>3394</v>
      </c>
      <c r="G3048" t="e">
        <f ca="1">_xludf.IMAGE("https://edmondsonsupply.com/cdn/shop/products/jth4e17.jpg?v=1587144836")</f>
        <v>#NAME?</v>
      </c>
      <c r="H3048" t="e">
        <f ca="1">_xludf.IMAGE("https://m.media-amazon.com/images/I/51huXA+ij8L._AC_UL320_.jpg")</f>
        <v>#NAME?</v>
      </c>
      <c r="I3048" t="s">
        <v>2388</v>
      </c>
      <c r="J3048">
        <v>6.91</v>
      </c>
      <c r="K3048" s="4">
        <v>0.38479999999999998</v>
      </c>
      <c r="L3048">
        <v>4.8</v>
      </c>
      <c r="M3048">
        <v>988</v>
      </c>
      <c r="O3048" t="s">
        <v>25</v>
      </c>
      <c r="P3048" t="s">
        <v>2389</v>
      </c>
      <c r="Q3048" t="s">
        <v>2390</v>
      </c>
    </row>
    <row r="3049" spans="1:17" ht="15.5" x14ac:dyDescent="0.35">
      <c r="A3049" s="3" t="str">
        <f>HYPERLINK("https://edmondsonsupply.com/collections/electricians-tools/products/fluke-t5-600", "https://edmondsonsupply.com/collections/electricians-tools/products/fluke-t5-600")</f>
        <v>https://edmondsonsupply.com/collections/electricians-tools/products/fluke-t5-600</v>
      </c>
      <c r="B3049" s="3" t="str">
        <f>HYPERLINK("https://edmondsonsupply.com/products/fluke-t5-600", "https://edmondsonsupply.com/products/fluke-t5-600")</f>
        <v>https://edmondsonsupply.com/products/fluke-t5-600</v>
      </c>
      <c r="C3049" t="s">
        <v>3397</v>
      </c>
      <c r="D3049" t="s">
        <v>3398</v>
      </c>
      <c r="E3049" s="3" t="str">
        <f>HYPERLINK("https://www.amazon.com/Fluke-T5-1000-Electrical-Tester/dp/B000LDKX62/ref=sr_1_6?keywords=Fluke+T5-600+Voltage%2C+Continuity+and+Current+Tester%2C+600V+AC%2FDC&amp;qid=1695173856&amp;sr=8-6", "https://www.amazon.com/Fluke-T5-1000-Electrical-Tester/dp/B000LDKX62/ref=sr_1_6?keywords=Fluke+T5-600+Voltage%2C+Continuity+and+Current+Tester%2C+600V+AC%2FDC&amp;qid=1695173856&amp;sr=8-6")</f>
        <v>https://www.amazon.com/Fluke-T5-1000-Electrical-Tester/dp/B000LDKX62/ref=sr_1_6?keywords=Fluke+T5-600+Voltage%2C+Continuity+and+Current+Tester%2C+600V+AC%2FDC&amp;qid=1695173856&amp;sr=8-6</v>
      </c>
      <c r="F3049" t="s">
        <v>3399</v>
      </c>
      <c r="G3049" t="e">
        <f ca="1">_xludf.IMAGE("https://edmondsonsupply.com/cdn/shop/products/F-t5-600-euro_03a_c.jpg?v=1633030279")</f>
        <v>#NAME?</v>
      </c>
      <c r="H3049" t="e">
        <f ca="1">_xludf.IMAGE("https://m.media-amazon.com/images/I/61hF9Hj61sL._AC_UL320_.jpg")</f>
        <v>#NAME?</v>
      </c>
      <c r="I3049" t="s">
        <v>3400</v>
      </c>
      <c r="J3049">
        <v>190.9</v>
      </c>
      <c r="K3049" s="4">
        <v>0.38340000000000002</v>
      </c>
      <c r="L3049">
        <v>4.8</v>
      </c>
      <c r="M3049">
        <v>1281</v>
      </c>
      <c r="O3049" t="s">
        <v>25</v>
      </c>
      <c r="P3049" t="s">
        <v>3401</v>
      </c>
      <c r="Q3049" t="s">
        <v>3402</v>
      </c>
    </row>
    <row r="3050" spans="1:17" ht="15.5" x14ac:dyDescent="0.35">
      <c r="A3050" s="3" t="str">
        <f>HYPERLINK("https://edmondsonsupply.com/collections/electricians-tools/products/uniweld-70075-ratchet-wrenches", "https://edmondsonsupply.com/collections/electricians-tools/products/uniweld-70075-ratchet-wrenches")</f>
        <v>https://edmondsonsupply.com/collections/electricians-tools/products/uniweld-70075-ratchet-wrenches</v>
      </c>
      <c r="B3050" s="3" t="str">
        <f>HYPERLINK("https://edmondsonsupply.com/products/uniweld-70075-ratchet-wrenches", "https://edmondsonsupply.com/products/uniweld-70075-ratchet-wrenches")</f>
        <v>https://edmondsonsupply.com/products/uniweld-70075-ratchet-wrenches</v>
      </c>
      <c r="C3050" t="s">
        <v>7245</v>
      </c>
      <c r="D3050" t="s">
        <v>7246</v>
      </c>
      <c r="E3050" s="3" t="str">
        <f>HYPERLINK("https://www.amazon.com/DuraTech-Reversible-Ratcheting-Heavy-duty-Ratchet/dp/B08RZ1SVXG/ref=sr_1_6?keywords=uniweld+70075+heavy+duty+offset+ratchet+wrench&amp;qid=1695174182&amp;sr=8-6", "https://www.amazon.com/DuraTech-Reversible-Ratcheting-Heavy-duty-Ratchet/dp/B08RZ1SVXG/ref=sr_1_6?keywords=uniweld+70075+heavy+duty+offset+ratchet+wrench&amp;qid=1695174182&amp;sr=8-6")</f>
        <v>https://www.amazon.com/DuraTech-Reversible-Ratcheting-Heavy-duty-Ratchet/dp/B08RZ1SVXG/ref=sr_1_6?keywords=uniweld+70075+heavy+duty+offset+ratchet+wrench&amp;qid=1695174182&amp;sr=8-6</v>
      </c>
      <c r="F3050" t="s">
        <v>7247</v>
      </c>
      <c r="G3050" t="e">
        <f ca="1">_xludf.IMAGE("https://edmondsonsupply.com/cdn/shop/products/70075_pkg.jpg?v=1656078756")</f>
        <v>#NAME?</v>
      </c>
      <c r="H3050" t="e">
        <f ca="1">_xludf.IMAGE("https://m.media-amazon.com/images/I/71xcfdKeptL._AC_UL320_.jpg")</f>
        <v>#NAME?</v>
      </c>
      <c r="I3050" t="s">
        <v>3185</v>
      </c>
      <c r="J3050">
        <v>28.99</v>
      </c>
      <c r="K3050" s="4">
        <v>0.38109999999999999</v>
      </c>
      <c r="L3050">
        <v>4.5999999999999996</v>
      </c>
      <c r="M3050">
        <v>1913</v>
      </c>
      <c r="O3050" t="s">
        <v>25</v>
      </c>
      <c r="P3050" t="s">
        <v>7248</v>
      </c>
      <c r="Q3050" t="s">
        <v>7249</v>
      </c>
    </row>
    <row r="3051" spans="1:17" ht="15.5" x14ac:dyDescent="0.35">
      <c r="A3051"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3051" s="3" t="str">
        <f>HYPERLINK("https://edmondsonsupply.com/products/diablo-tools-d0704dh-7-1-4-in-x-4-tooth-fiber-cement", "https://edmondsonsupply.com/products/diablo-tools-d0704dh-7-1-4-in-x-4-tooth-fiber-cement")</f>
        <v>https://edmondsonsupply.com/products/diablo-tools-d0704dh-7-1-4-in-x-4-tooth-fiber-cement</v>
      </c>
      <c r="C3051" t="s">
        <v>6285</v>
      </c>
      <c r="D3051" t="s">
        <v>7250</v>
      </c>
      <c r="E3051" s="3" t="str">
        <f>HYPERLINK("https://www.amazon.com/Freud-D0704DH-Diablo-Hardie-Cement/dp/B09BQF8L4V/ref=sr_1_6?keywords=Diablo+Tools+D0704DH+7-1%2F4+in.+x+4+Tooth+Fiber+Cement&amp;qid=1695174050&amp;sr=8-6", "https://www.amazon.com/Freud-D0704DH-Diablo-Hardie-Cement/dp/B09BQF8L4V/ref=sr_1_6?keywords=Diablo+Tools+D0704DH+7-1%2F4+in.+x+4+Tooth+Fiber+Cement&amp;qid=1695174050&amp;sr=8-6")</f>
        <v>https://www.amazon.com/Freud-D0704DH-Diablo-Hardie-Cement/dp/B09BQF8L4V/ref=sr_1_6?keywords=Diablo+Tools+D0704DH+7-1%2F4+in.+x+4+Tooth+Fiber+Cement&amp;qid=1695174050&amp;sr=8-6</v>
      </c>
      <c r="F3051" t="s">
        <v>7251</v>
      </c>
      <c r="G3051" t="e">
        <f ca="1">_xludf.IMAGE("https://edmondsonsupply.com/cdn/shop/products/baadnmj6vhmqufio7ofn.webp?v=1679325375")</f>
        <v>#NAME?</v>
      </c>
      <c r="H3051" t="e">
        <f ca="1">_xludf.IMAGE("https://m.media-amazon.com/images/I/71C2YUlzPKS._AC_UL320_.jpg")</f>
        <v>#NAME?</v>
      </c>
      <c r="I3051" t="s">
        <v>4108</v>
      </c>
      <c r="J3051">
        <v>62</v>
      </c>
      <c r="K3051" s="4">
        <v>0.37869999999999998</v>
      </c>
      <c r="L3051">
        <v>4.3</v>
      </c>
      <c r="M3051">
        <v>7</v>
      </c>
      <c r="O3051" t="s">
        <v>25</v>
      </c>
      <c r="P3051" t="s">
        <v>3833</v>
      </c>
      <c r="Q3051" t="s">
        <v>6288</v>
      </c>
    </row>
    <row r="3052" spans="1:17" ht="15.5" x14ac:dyDescent="0.35">
      <c r="A3052"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3052" s="3" t="str">
        <f>HYPERLINK("https://edmondsonsupply.com/products/klein-tools-11046-wire-stripper-cutter-16-26-awg-stranded", "https://edmondsonsupply.com/products/klein-tools-11046-wire-stripper-cutter-16-26-awg-stranded")</f>
        <v>https://edmondsonsupply.com/products/klein-tools-11046-wire-stripper-cutter-16-26-awg-stranded</v>
      </c>
      <c r="C3052" t="s">
        <v>2278</v>
      </c>
      <c r="D3052" t="s">
        <v>7252</v>
      </c>
      <c r="E3052" s="3" t="str">
        <f>HYPERLINK("https://www.amazon.com/Self-Adjusting-Stripper-Klein-Tools-11061/dp/B00CXKOEQ6/ref=sr_1_9?keywords=Klein+Tools+11046+Wire+Stripper%2FCutter+16-26+AWG+Stranded&amp;qid=1695173951&amp;sr=8-9", "https://www.amazon.com/Self-Adjusting-Stripper-Klein-Tools-11061/dp/B00CXKOEQ6/ref=sr_1_9?keywords=Klein+Tools+11046+Wire+Stripper%2FCutter+16-26+AWG+Stranded&amp;qid=1695173951&amp;sr=8-9")</f>
        <v>https://www.amazon.com/Self-Adjusting-Stripper-Klein-Tools-11061/dp/B00CXKOEQ6/ref=sr_1_9?keywords=Klein+Tools+11046+Wire+Stripper%2FCutter+16-26+AWG+Stranded&amp;qid=1695173951&amp;sr=8-9</v>
      </c>
      <c r="F3052" t="s">
        <v>7253</v>
      </c>
      <c r="G3052" t="e">
        <f ca="1">_xludf.IMAGE("https://edmondsonsupply.com/cdn/shop/products/11046.jpg?v=1587147965")</f>
        <v>#NAME?</v>
      </c>
      <c r="H3052" t="e">
        <f ca="1">_xludf.IMAGE("https://m.media-amazon.com/images/I/61nMz2jkNIL._AC_UL320_.jpg")</f>
        <v>#NAME?</v>
      </c>
      <c r="I3052" t="s">
        <v>143</v>
      </c>
      <c r="J3052">
        <v>21.97</v>
      </c>
      <c r="K3052" s="4">
        <v>0.37569999999999998</v>
      </c>
      <c r="L3052">
        <v>4.5999999999999996</v>
      </c>
      <c r="M3052">
        <v>7741</v>
      </c>
      <c r="O3052" t="s">
        <v>25</v>
      </c>
      <c r="P3052" t="s">
        <v>2281</v>
      </c>
      <c r="Q3052" t="s">
        <v>2282</v>
      </c>
    </row>
    <row r="3053" spans="1:17" ht="15.5" x14ac:dyDescent="0.35">
      <c r="A3053"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3053"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3053" t="s">
        <v>6824</v>
      </c>
      <c r="D3053" t="s">
        <v>7254</v>
      </c>
      <c r="E3053" s="3" t="str">
        <f>HYPERLINK("https://www.amazon.com/Klein-Tools-Integrated-Non-Contact-Detector/dp/B0BC84182C/ref=sr_1_9?keywords=Klein+Tools+ET310+Digital+Circuit+Breaker+Finder+with+GFCI+Outlet+Tester&amp;qid=1695173862&amp;sr=8-9", "https://www.amazon.com/Klein-Tools-Integrated-Non-Contact-Detector/dp/B0BC84182C/ref=sr_1_9?keywords=Klein+Tools+ET310+Digital+Circuit+Breaker+Finder+with+GFCI+Outlet+Tester&amp;qid=1695173862&amp;sr=8-9")</f>
        <v>https://www.amazon.com/Klein-Tools-Integrated-Non-Contact-Detector/dp/B0BC84182C/ref=sr_1_9?keywords=Klein+Tools+ET310+Digital+Circuit+Breaker+Finder+with+GFCI+Outlet+Tester&amp;qid=1695173862&amp;sr=8-9</v>
      </c>
      <c r="F3053" t="s">
        <v>7255</v>
      </c>
      <c r="G3053" t="e">
        <f ca="1">_xludf.IMAGE("https://edmondsonsupply.com/cdn/shop/products/et310_c.jpg?v=1646963918")</f>
        <v>#NAME?</v>
      </c>
      <c r="H3053" t="e">
        <f ca="1">_xludf.IMAGE("https://m.media-amazon.com/images/I/51TuoTYTlvL._AC_UL320_.jpg")</f>
        <v>#NAME?</v>
      </c>
      <c r="I3053" t="s">
        <v>380</v>
      </c>
      <c r="J3053">
        <v>68.69</v>
      </c>
      <c r="K3053" s="4">
        <v>0.37459999999999999</v>
      </c>
      <c r="L3053">
        <v>4</v>
      </c>
      <c r="M3053">
        <v>8</v>
      </c>
      <c r="O3053" t="s">
        <v>25</v>
      </c>
      <c r="P3053" t="s">
        <v>6825</v>
      </c>
      <c r="Q3053" t="s">
        <v>6826</v>
      </c>
    </row>
    <row r="3054" spans="1:17" ht="15.5" x14ac:dyDescent="0.35">
      <c r="A3054"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3054"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3054" t="s">
        <v>2344</v>
      </c>
      <c r="D3054" t="s">
        <v>3413</v>
      </c>
      <c r="E3054" s="3" t="str">
        <f>HYPERLINK("https://www.amazon.com/Journeyman-T-Handle-Klein-Tools-JTH6T27/dp/B005G3B4MO/ref=sr_1_8?keywords=Klein+Tools+JTH6E14+5%2F16-Inch+Hex+Key+with+Journeyman+T-Handle%2C+6-Inch&amp;qid=1695173855&amp;sr=8-8", "https://www.amazon.com/Journeyman-T-Handle-Klein-Tools-JTH6T27/dp/B005G3B4MO/ref=sr_1_8?keywords=Klein+Tools+JTH6E14+5%2F16-Inch+Hex+Key+with+Journeyman+T-Handle%2C+6-Inch&amp;qid=1695173855&amp;sr=8-8")</f>
        <v>https://www.amazon.com/Journeyman-T-Handle-Klein-Tools-JTH6T27/dp/B005G3B4MO/ref=sr_1_8?keywords=Klein+Tools+JTH6E14+5%2F16-Inch+Hex+Key+with+Journeyman+T-Handle%2C+6-Inch&amp;qid=1695173855&amp;sr=8-8</v>
      </c>
      <c r="F3054" t="s">
        <v>3414</v>
      </c>
      <c r="G3054" t="e">
        <f ca="1">_xludf.IMAGE("https://edmondsonsupply.com/cdn/shop/products/jth6e15.jpg?v=1587148489")</f>
        <v>#NAME?</v>
      </c>
      <c r="H3054" t="e">
        <f ca="1">_xludf.IMAGE("https://m.media-amazon.com/images/I/51Xj0Vsb-EL._AC_UL320_.jpg")</f>
        <v>#NAME?</v>
      </c>
      <c r="I3054" t="s">
        <v>2347</v>
      </c>
      <c r="J3054">
        <v>9.59</v>
      </c>
      <c r="K3054" s="4">
        <v>0.372</v>
      </c>
      <c r="L3054">
        <v>4.8</v>
      </c>
      <c r="M3054">
        <v>1544</v>
      </c>
      <c r="O3054" t="s">
        <v>25</v>
      </c>
      <c r="P3054" t="s">
        <v>1140</v>
      </c>
      <c r="Q3054" t="s">
        <v>2348</v>
      </c>
    </row>
    <row r="3055" spans="1:17" ht="15.5" x14ac:dyDescent="0.35">
      <c r="A3055" s="3" t="str">
        <f>HYPERLINK("https://edmondsonsupply.com/collections/electricians-tools/products/uei-dl429b-true-rms-digital-clamp-meter-w-wireless-and-differential-temperature", "https://edmondsonsupply.com/collections/electricians-tools/products/uei-dl429b-true-rms-digital-clamp-meter-w-wireless-and-differential-temperature")</f>
        <v>https://edmondsonsupply.com/collections/electricians-tools/products/uei-dl429b-true-rms-digital-clamp-meter-w-wireless-and-differential-temperature</v>
      </c>
      <c r="B3055"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3055" t="s">
        <v>2868</v>
      </c>
      <c r="D3055" t="s">
        <v>3415</v>
      </c>
      <c r="E3055" s="3" t="str">
        <f>HYPERLINK("https://www.amazon.com/UEi-Test-Instruments-DL489-Meter/dp/B076BZ9Q69/ref=sr_1_2?keywords=UEi+DL479+AC+600A+True+RMS+HVAC%2FR+Clamp+Meter&amp;qid=1695173895&amp;sr=8-2", "https://www.amazon.com/UEi-Test-Instruments-DL489-Meter/dp/B076BZ9Q69/ref=sr_1_2?keywords=UEi+DL479+AC+600A+True+RMS+HVAC%2FR+Clamp+Meter&amp;qid=1695173895&amp;sr=8-2")</f>
        <v>https://www.amazon.com/UEi-Test-Instruments-DL489-Meter/dp/B076BZ9Q69/ref=sr_1_2?keywords=UEi+DL479+AC+600A+True+RMS+HVAC%2FR+Clamp+Meter&amp;qid=1695173895&amp;sr=8-2</v>
      </c>
      <c r="F3055" t="s">
        <v>3416</v>
      </c>
      <c r="G3055" t="e">
        <f ca="1">_xludf.IMAGE("https://edmondsonsupply.com/cdn/shop/products/DL479-1.jpg?v=1587142104")</f>
        <v>#NAME?</v>
      </c>
      <c r="H3055" t="e">
        <f ca="1">_xludf.IMAGE("https://m.media-amazon.com/images/I/61mNU-6C5eL._AC_UY218_.jpg")</f>
        <v>#NAME?</v>
      </c>
      <c r="I3055" t="s">
        <v>2871</v>
      </c>
      <c r="J3055">
        <v>189.95</v>
      </c>
      <c r="K3055" s="4">
        <v>0.37140000000000001</v>
      </c>
      <c r="L3055">
        <v>4.4000000000000004</v>
      </c>
      <c r="M3055">
        <v>263</v>
      </c>
      <c r="O3055" t="s">
        <v>171</v>
      </c>
      <c r="P3055" t="s">
        <v>2872</v>
      </c>
      <c r="Q3055" t="s">
        <v>2873</v>
      </c>
    </row>
    <row r="3056" spans="1:17" ht="15.5" x14ac:dyDescent="0.35">
      <c r="A3056"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3056" s="3" t="str">
        <f>HYPERLINK("https://edmondsonsupply.com/products/klein-tools-jth9m5-5-mm-hex-key-journeyman-t-handle-9-inch", "https://edmondsonsupply.com/products/klein-tools-jth9m5-5-mm-hex-key-journeyman-t-handle-9-inch")</f>
        <v>https://edmondsonsupply.com/products/klein-tools-jth9m5-5-mm-hex-key-journeyman-t-handle-9-inch</v>
      </c>
      <c r="C3056" t="s">
        <v>6167</v>
      </c>
      <c r="D3056" t="s">
        <v>7080</v>
      </c>
      <c r="E3056" s="3" t="str">
        <f>HYPERLINK("https://www.amazon.com/Journeyman-T-Handle-Klein-Tools-JTH9M25/dp/B005G3HIRY/ref=sr_1_3?keywords=Klein+Tools+JTH9M5+5+mm+Hex+Key%2C+Journeyman+T-Handle+9-Inch&amp;qid=1695174264&amp;sr=8-3", "https://www.amazon.com/Journeyman-T-Handle-Klein-Tools-JTH9M25/dp/B005G3HIRY/ref=sr_1_3?keywords=Klein+Tools+JTH9M5+5+mm+Hex+Key%2C+Journeyman+T-Handle+9-Inch&amp;qid=1695174264&amp;sr=8-3")</f>
        <v>https://www.amazon.com/Journeyman-T-Handle-Klein-Tools-JTH9M25/dp/B005G3HIRY/ref=sr_1_3?keywords=Klein+Tools+JTH9M5+5+mm+Hex+Key%2C+Journeyman+T-Handle+9-Inch&amp;qid=1695174264&amp;sr=8-3</v>
      </c>
      <c r="F3056" t="s">
        <v>7081</v>
      </c>
      <c r="G3056" t="e">
        <f ca="1">_xludf.IMAGE("https://edmondsonsupply.com/cdn/shop/products/jth9m_84ad507b-889a-4b5c-80a2-9633c898cd48.jpg?v=1633031048")</f>
        <v>#NAME?</v>
      </c>
      <c r="H3056" t="e">
        <f ca="1">_xludf.IMAGE("https://m.media-amazon.com/images/I/51+1x0vz9XL._AC_UL320_.jpg")</f>
        <v>#NAME?</v>
      </c>
      <c r="I3056" t="s">
        <v>2388</v>
      </c>
      <c r="J3056">
        <v>6.84</v>
      </c>
      <c r="K3056" s="4">
        <v>0.37069999999999997</v>
      </c>
      <c r="L3056">
        <v>4.2</v>
      </c>
      <c r="M3056">
        <v>14</v>
      </c>
      <c r="O3056" t="s">
        <v>25</v>
      </c>
      <c r="P3056" t="s">
        <v>6168</v>
      </c>
      <c r="Q3056" t="s">
        <v>6169</v>
      </c>
    </row>
    <row r="3057" spans="1:17" ht="15.5" x14ac:dyDescent="0.35">
      <c r="A3057" s="3" t="str">
        <f>HYPERLINK("https://edmondsonsupply.com/collections/electricians-tools/products/channellock-804", "https://edmondsonsupply.com/collections/electricians-tools/products/channellock-804")</f>
        <v>https://edmondsonsupply.com/collections/electricians-tools/products/channellock-804</v>
      </c>
      <c r="B3057" s="3" t="str">
        <f>HYPERLINK("https://edmondsonsupply.com/products/channellock-804", "https://edmondsonsupply.com/products/channellock-804")</f>
        <v>https://edmondsonsupply.com/products/channellock-804</v>
      </c>
      <c r="C3057" t="s">
        <v>1551</v>
      </c>
      <c r="D3057" t="s">
        <v>3427</v>
      </c>
      <c r="E3057" s="3" t="str">
        <f>HYPERLINK("https://www.amazon.com/Channellock-804N-Adjustable-Phosphate-4-5-Inch/dp/B000REGV8Y/ref=sr_1_8?keywords=Channellock+804+4-Inch+Chrome+Adjustable+Wrench&amp;qid=1695173945&amp;sr=8-8", "https://www.amazon.com/Channellock-804N-Adjustable-Phosphate-4-5-Inch/dp/B000REGV8Y/ref=sr_1_8?keywords=Channellock+804+4-Inch+Chrome+Adjustable+Wrench&amp;qid=1695173945&amp;sr=8-8")</f>
        <v>https://www.amazon.com/Channellock-804N-Adjustable-Phosphate-4-5-Inch/dp/B000REGV8Y/ref=sr_1_8?keywords=Channellock+804+4-Inch+Chrome+Adjustable+Wrench&amp;qid=1695173945&amp;sr=8-8</v>
      </c>
      <c r="F3057" t="s">
        <v>3428</v>
      </c>
      <c r="G3057" t="e">
        <f ca="1">_xludf.IMAGE("https://edmondsonsupply.com/cdn/shop/products/804-683x1024.jpg?v=1587145853")</f>
        <v>#NAME?</v>
      </c>
      <c r="H3057" t="e">
        <f ca="1">_xludf.IMAGE("https://m.media-amazon.com/images/I/71Coqqt+FuL._AC_UL320_.jpg")</f>
        <v>#NAME?</v>
      </c>
      <c r="I3057" t="s">
        <v>1554</v>
      </c>
      <c r="J3057">
        <v>23.23</v>
      </c>
      <c r="K3057" s="4">
        <v>0.3705</v>
      </c>
      <c r="L3057">
        <v>4.7</v>
      </c>
      <c r="M3057">
        <v>518</v>
      </c>
      <c r="O3057" t="s">
        <v>25</v>
      </c>
      <c r="P3057" t="s">
        <v>1555</v>
      </c>
      <c r="Q3057" t="s">
        <v>1556</v>
      </c>
    </row>
    <row r="3058" spans="1:17" ht="15.5" x14ac:dyDescent="0.35">
      <c r="A3058"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3058"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3058" t="s">
        <v>6861</v>
      </c>
      <c r="D3058" t="s">
        <v>7256</v>
      </c>
      <c r="E3058" s="3" t="str">
        <f>HYPERLINK("https://www.amazon.com/Klein-Tools-CL390-Electronic-Resistance/dp/B08DTDCG7T/ref=sr_1_3?keywords=Klein+Tools+CL220+Digital+Clamp+Meter%2C+AC+Auto-Ranging+400+Amp+with+Temp&amp;qid=1695174305&amp;sr=8-3", "https://www.amazon.com/Klein-Tools-CL390-Electronic-Resistance/dp/B08DTDCG7T/ref=sr_1_3?keywords=Klein+Tools+CL220+Digital+Clamp+Meter%2C+AC+Auto-Ranging+400+Amp+with+Temp&amp;qid=1695174305&amp;sr=8-3")</f>
        <v>https://www.amazon.com/Klein-Tools-CL390-Electronic-Resistance/dp/B08DTDCG7T/ref=sr_1_3?keywords=Klein+Tools+CL220+Digital+Clamp+Meter%2C+AC+Auto-Ranging+400+Amp+with+Temp&amp;qid=1695174305&amp;sr=8-3</v>
      </c>
      <c r="F3058" t="s">
        <v>7257</v>
      </c>
      <c r="G3058" t="e">
        <f ca="1">_xludf.IMAGE("https://edmondsonsupply.com/cdn/shop/products/cl220.jpg?v=1633030821")</f>
        <v>#NAME?</v>
      </c>
      <c r="H3058" t="e">
        <f ca="1">_xludf.IMAGE("https://m.media-amazon.com/images/I/61RaYUw45bL._AC_UY218_.jpg")</f>
        <v>#NAME?</v>
      </c>
      <c r="I3058" t="s">
        <v>356</v>
      </c>
      <c r="J3058">
        <v>95.87</v>
      </c>
      <c r="K3058" s="4">
        <v>0.37019999999999997</v>
      </c>
      <c r="L3058">
        <v>4.5999999999999996</v>
      </c>
      <c r="M3058">
        <v>1097</v>
      </c>
      <c r="O3058" t="s">
        <v>25</v>
      </c>
      <c r="P3058" t="s">
        <v>6864</v>
      </c>
      <c r="Q3058" t="s">
        <v>6865</v>
      </c>
    </row>
    <row r="3059" spans="1:17" ht="15.5" x14ac:dyDescent="0.35">
      <c r="A3059" s="3" t="str">
        <f>HYPERLINK("https://edmondsonsupply.com/collections/electricians-tools/products/greenlee-gsb06-1-2-step-bit-6", "https://edmondsonsupply.com/collections/electricians-tools/products/greenlee-gsb06-1-2-step-bit-6")</f>
        <v>https://edmondsonsupply.com/collections/electricians-tools/products/greenlee-gsb06-1-2-step-bit-6</v>
      </c>
      <c r="B3059" s="3" t="str">
        <f>HYPERLINK("https://edmondsonsupply.com/products/greenlee-gsb06-1-2-step-bit-6", "https://edmondsonsupply.com/products/greenlee-gsb06-1-2-step-bit-6")</f>
        <v>https://edmondsonsupply.com/products/greenlee-gsb06-1-2-step-bit-6</v>
      </c>
      <c r="C3059" t="s">
        <v>2409</v>
      </c>
      <c r="D3059" t="s">
        <v>3245</v>
      </c>
      <c r="E3059" s="3" t="str">
        <f>HYPERLINK("https://www.amazon.com/Greenlee-GSB12-Step-Bit-1-3/dp/B08TVF7KMP/ref=sr_1_3?keywords=Greenlee+GSB06+1%2F2%22+Step+Bit+%28%236%29&amp;qid=1695173911&amp;sr=8-3", "https://www.amazon.com/Greenlee-GSB12-Step-Bit-1-3/dp/B08TVF7KMP/ref=sr_1_3?keywords=Greenlee+GSB06+1%2F2%22+Step+Bit+%28%236%29&amp;qid=1695173911&amp;sr=8-3")</f>
        <v>https://www.amazon.com/Greenlee-GSB12-Step-Bit-1-3/dp/B08TVF7KMP/ref=sr_1_3?keywords=Greenlee+GSB06+1%2F2%22+Step+Bit+%28%236%29&amp;qid=1695173911&amp;sr=8-3</v>
      </c>
      <c r="F3059" t="s">
        <v>3246</v>
      </c>
      <c r="G3059" t="e">
        <f ca="1">_xludf.IMAGE("https://edmondsonsupply.com/cdn/shop/files/GSB06_CAT1_72dpi.jpg?v=1687788659")</f>
        <v>#NAME?</v>
      </c>
      <c r="H3059" t="e">
        <f ca="1">_xludf.IMAGE("https://m.media-amazon.com/images/I/41Z8kxeeZfL._AC_UY218_.jpg")</f>
        <v>#NAME?</v>
      </c>
      <c r="I3059" t="s">
        <v>2410</v>
      </c>
      <c r="J3059">
        <v>45</v>
      </c>
      <c r="K3059" s="4">
        <v>0.36820000000000003</v>
      </c>
      <c r="L3059">
        <v>4.8</v>
      </c>
      <c r="M3059">
        <v>27</v>
      </c>
      <c r="O3059" t="s">
        <v>25</v>
      </c>
      <c r="P3059" t="s">
        <v>2411</v>
      </c>
      <c r="Q3059" t="s">
        <v>2412</v>
      </c>
    </row>
    <row r="3060" spans="1:17" ht="15.5" x14ac:dyDescent="0.35">
      <c r="A3060"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3060"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3060" t="s">
        <v>6595</v>
      </c>
      <c r="D3060" t="s">
        <v>6647</v>
      </c>
      <c r="E3060" s="3" t="str">
        <f>HYPERLINK("https://www.amazon.com/Klein-Tools-VDV526-200-Racheting-Installation/dp/B09T6ZR6BP/ref=sr_1_5?keywords=Klein+Tools+VDV526-052+Cable+Tester%2C+LAN+Scout%C2%AE+Jr.+Continuity+Tester&amp;qid=1695174034&amp;sr=8-5", "https://www.amazon.com/Klein-Tools-VDV526-200-Racheting-Installation/dp/B09T6ZR6BP/ref=sr_1_5?keywords=Klein+Tools+VDV526-052+Cable+Tester%2C+LAN+Scout%C2%AE+Jr.+Continuity+Tester&amp;qid=1695174034&amp;sr=8-5")</f>
        <v>https://www.amazon.com/Klein-Tools-VDV526-200-Racheting-Installation/dp/B09T6ZR6BP/ref=sr_1_5?keywords=Klein+Tools+VDV526-052+Cable+Tester%2C+LAN+Scout%C2%AE+Jr.+Continuity+Tester&amp;qid=1695174034&amp;sr=8-5</v>
      </c>
      <c r="F3060" t="s">
        <v>6648</v>
      </c>
      <c r="G3060" t="e">
        <f ca="1">_xludf.IMAGE("https://edmondsonsupply.com/cdn/shop/files/vdv526-052.jpg?v=1685032494")</f>
        <v>#NAME?</v>
      </c>
      <c r="H3060" t="e">
        <f ca="1">_xludf.IMAGE("https://m.media-amazon.com/images/I/51KxuoR6hnL._AC_UY218_.jpg")</f>
        <v>#NAME?</v>
      </c>
      <c r="I3060" t="s">
        <v>5197</v>
      </c>
      <c r="J3060">
        <v>81.96</v>
      </c>
      <c r="K3060" s="4">
        <v>0.36670000000000003</v>
      </c>
      <c r="L3060">
        <v>5</v>
      </c>
      <c r="M3060">
        <v>7</v>
      </c>
      <c r="O3060" t="s">
        <v>25</v>
      </c>
      <c r="P3060" t="s">
        <v>6596</v>
      </c>
      <c r="Q3060" t="s">
        <v>6597</v>
      </c>
    </row>
    <row r="3061" spans="1:17" ht="15.5" x14ac:dyDescent="0.35">
      <c r="A3061"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3061" s="3" t="str">
        <f>HYPERLINK("https://edmondsonsupply.com/products/klein-tools-646-1-4-1-4-inch-nut-driver-with-6-inch-hollow-shaft", "https://edmondsonsupply.com/products/klein-tools-646-1-4-1-4-inch-nut-driver-with-6-inch-hollow-shaft")</f>
        <v>https://edmondsonsupply.com/products/klein-tools-646-1-4-1-4-inch-nut-driver-with-6-inch-hollow-shaft</v>
      </c>
      <c r="C3061" t="s">
        <v>1478</v>
      </c>
      <c r="D3061" t="s">
        <v>3438</v>
      </c>
      <c r="E3061" s="3" t="str">
        <f>HYPERLINK("https://www.amazon.com/4-Inch-Magnetic-Cushion-Klein-Tools/dp/B01D6DZRFA/ref=sr_1_7?keywords=Klein+Tools+646-1%2F4+1%2F4-Inch+Nut+Driver+with+6-Inch+Hollow+Shaft&amp;qid=1695173897&amp;sr=8-7", "https://www.amazon.com/4-Inch-Magnetic-Cushion-Klein-Tools/dp/B01D6DZRFA/ref=sr_1_7?keywords=Klein+Tools+646-1%2F4+1%2F4-Inch+Nut+Driver+with+6-Inch+Hollow+Shaft&amp;qid=1695173897&amp;sr=8-7")</f>
        <v>https://www.amazon.com/4-Inch-Magnetic-Cushion-Klein-Tools/dp/B01D6DZRFA/ref=sr_1_7?keywords=Klein+Tools+646-1%2F4+1%2F4-Inch+Nut+Driver+with+6-Inch+Hollow+Shaft&amp;qid=1695173897&amp;sr=8-7</v>
      </c>
      <c r="F3061" t="s">
        <v>3439</v>
      </c>
      <c r="G3061" t="e">
        <f ca="1">_xludf.IMAGE("https://edmondsonsupply.com/cdn/shop/products/646-1-2_08d87fa9-eac4-4869-8d3b-bb680d4b1d53.jpg?v=1587150676")</f>
        <v>#NAME?</v>
      </c>
      <c r="H3061" t="e">
        <f ca="1">_xludf.IMAGE("https://m.media-amazon.com/images/I/41DrStZKvjL._AC_UL320_.jpg")</f>
        <v>#NAME?</v>
      </c>
      <c r="I3061" t="s">
        <v>1003</v>
      </c>
      <c r="J3061">
        <v>10.91</v>
      </c>
      <c r="K3061" s="4">
        <v>0.36549999999999999</v>
      </c>
      <c r="L3061">
        <v>4.7</v>
      </c>
      <c r="M3061">
        <v>971</v>
      </c>
      <c r="O3061" t="s">
        <v>25</v>
      </c>
      <c r="P3061" t="s">
        <v>1481</v>
      </c>
      <c r="Q3061" t="s">
        <v>1482</v>
      </c>
    </row>
    <row r="3062" spans="1:17" ht="15.5" x14ac:dyDescent="0.35">
      <c r="A3062"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3062" s="3" t="str">
        <f>HYPERLINK("https://edmondsonsupply.com/products/amprobe-thwd-3-relative-humidity-temperature-meter", "https://edmondsonsupply.com/products/amprobe-thwd-3-relative-humidity-temperature-meter")</f>
        <v>https://edmondsonsupply.com/products/amprobe-thwd-3-relative-humidity-temperature-meter</v>
      </c>
      <c r="C3062" t="s">
        <v>7258</v>
      </c>
      <c r="D3062" t="s">
        <v>7259</v>
      </c>
      <c r="E3062" s="3" t="str">
        <f>HYPERLINK("https://www.amazon.com/Amprobe-TR300-Temperature-Relative-Humidity/dp/B004ZZVZLY/ref=sr_1_8?keywords=Amprobe+THWD-3+Relative+Humidity+Temperature+Meter&amp;qid=1695174239&amp;sr=8-8", "https://www.amazon.com/Amprobe-TR300-Temperature-Relative-Humidity/dp/B004ZZVZLY/ref=sr_1_8?keywords=Amprobe+THWD-3+Relative+Humidity+Temperature+Meter&amp;qid=1695174239&amp;sr=8-8")</f>
        <v>https://www.amazon.com/Amprobe-TR300-Temperature-Relative-Humidity/dp/B004ZZVZLY/ref=sr_1_8?keywords=Amprobe+THWD-3+Relative+Humidity+Temperature+Meter&amp;qid=1695174239&amp;sr=8-8</v>
      </c>
      <c r="F3062" t="s">
        <v>7260</v>
      </c>
      <c r="G3062" t="e">
        <f ca="1">_xludf.IMAGE("https://edmondsonsupply.com/cdn/shop/products/THWD-3.png?v=1633526329")</f>
        <v>#NAME?</v>
      </c>
      <c r="H3062" t="e">
        <f ca="1">_xludf.IMAGE("https://m.media-amazon.com/images/I/41szgY8aX6L._AC_UY218_.jpg")</f>
        <v>#NAME?</v>
      </c>
      <c r="I3062" t="s">
        <v>7261</v>
      </c>
      <c r="J3062">
        <v>240.81</v>
      </c>
      <c r="K3062" s="4">
        <v>0.3654</v>
      </c>
      <c r="L3062">
        <v>4.5999999999999996</v>
      </c>
      <c r="M3062">
        <v>9</v>
      </c>
      <c r="O3062" t="s">
        <v>25</v>
      </c>
      <c r="P3062" t="s">
        <v>4452</v>
      </c>
      <c r="Q3062" t="s">
        <v>7262</v>
      </c>
    </row>
    <row r="3063" spans="1:17" ht="15.5" x14ac:dyDescent="0.35">
      <c r="A3063"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3063" s="3" t="str">
        <f>HYPERLINK("https://edmondsonsupply.com/products/klein-tools-31932-bi-metal-hole-saw-2-inch", "https://edmondsonsupply.com/products/klein-tools-31932-bi-metal-hole-saw-2-inch")</f>
        <v>https://edmondsonsupply.com/products/klein-tools-31932-bi-metal-hole-saw-2-inch</v>
      </c>
      <c r="C3063" t="s">
        <v>6244</v>
      </c>
      <c r="D3063" t="s">
        <v>6787</v>
      </c>
      <c r="E3063" s="3" t="str">
        <f>HYPERLINK("https://www.amazon.com/Klein-Tools-31534-Bi-Metal-8-Inch/dp/B0009OIJFA/ref=sr_1_3?keywords=Klein+Tools+31932+Bi-Metal+Hole+Saw%2C+2-Inch&amp;qid=1695174279&amp;sr=8-3", "https://www.amazon.com/Klein-Tools-31534-Bi-Metal-8-Inch/dp/B0009OIJFA/ref=sr_1_3?keywords=Klein+Tools+31932+Bi-Metal+Hole+Saw%2C+2-Inch&amp;qid=1695174279&amp;sr=8-3")</f>
        <v>https://www.amazon.com/Klein-Tools-31534-Bi-Metal-8-Inch/dp/B0009OIJFA/ref=sr_1_3?keywords=Klein+Tools+31932+Bi-Metal+Hole+Saw%2C+2-Inch&amp;qid=1695174279&amp;sr=8-3</v>
      </c>
      <c r="F3063" t="s">
        <v>6788</v>
      </c>
      <c r="G3063" t="e">
        <f ca="1">_xludf.IMAGE("https://edmondsonsupply.com/cdn/shop/products/31932.jpg?v=1633030939")</f>
        <v>#NAME?</v>
      </c>
      <c r="H3063" t="e">
        <f ca="1">_xludf.IMAGE("https://m.media-amazon.com/images/I/31Wk-f8wwaL._AC_UL320_.jpg")</f>
        <v>#NAME?</v>
      </c>
      <c r="I3063" t="s">
        <v>6056</v>
      </c>
      <c r="J3063">
        <v>14.99</v>
      </c>
      <c r="K3063" s="4">
        <v>0.36399999999999999</v>
      </c>
      <c r="L3063">
        <v>5</v>
      </c>
      <c r="M3063">
        <v>5</v>
      </c>
      <c r="O3063" t="s">
        <v>25</v>
      </c>
      <c r="P3063" t="s">
        <v>1620</v>
      </c>
      <c r="Q3063" t="s">
        <v>6247</v>
      </c>
    </row>
    <row r="3064" spans="1:17" ht="15.5" x14ac:dyDescent="0.35">
      <c r="A3064"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3064" s="3" t="str">
        <f>HYPERLINK("https://edmondsonsupply.com/products/klein-tools-rt250-gfci-receptacle-tester-with-lcd", "https://edmondsonsupply.com/products/klein-tools-rt250-gfci-receptacle-tester-with-lcd")</f>
        <v>https://edmondsonsupply.com/products/klein-tools-rt250-gfci-receptacle-tester-with-lcd</v>
      </c>
      <c r="C3064" t="s">
        <v>6197</v>
      </c>
      <c r="D3064" t="s">
        <v>3872</v>
      </c>
      <c r="E3064" s="3" t="str">
        <f>HYPERLINK("https://www.amazon.com/Klein-Tools-Receptacle-Standard-Electrical/dp/B0BC861K3W/ref=sr_1_2?keywords=Klein+Tools+RT250+GFCI+Receptacle+Tester+with+LCD&amp;qid=1695174176&amp;sr=8-2", "https://www.amazon.com/Klein-Tools-Receptacle-Standard-Electrical/dp/B0BC861K3W/ref=sr_1_2?keywords=Klein+Tools+RT250+GFCI+Receptacle+Tester+with+LCD&amp;qid=1695174176&amp;sr=8-2")</f>
        <v>https://www.amazon.com/Klein-Tools-Receptacle-Standard-Electrical/dp/B0BC861K3W/ref=sr_1_2?keywords=Klein+Tools+RT250+GFCI+Receptacle+Tester+with+LCD&amp;qid=1695174176&amp;sr=8-2</v>
      </c>
      <c r="F3064" t="s">
        <v>3873</v>
      </c>
      <c r="G3064" t="e">
        <f ca="1">_xludf.IMAGE("https://edmondsonsupply.com/cdn/shop/products/rt250_photo_c.jpg?v=1661363824")</f>
        <v>#NAME?</v>
      </c>
      <c r="H3064" t="e">
        <f ca="1">_xludf.IMAGE("https://m.media-amazon.com/images/I/5145pmsV9+L._AC_UL320_.jpg")</f>
        <v>#NAME?</v>
      </c>
      <c r="I3064" t="s">
        <v>2247</v>
      </c>
      <c r="J3064">
        <v>29.88</v>
      </c>
      <c r="K3064" s="4">
        <v>0.36</v>
      </c>
      <c r="L3064">
        <v>4.5</v>
      </c>
      <c r="M3064">
        <v>14</v>
      </c>
      <c r="O3064" t="s">
        <v>25</v>
      </c>
      <c r="P3064" t="s">
        <v>6200</v>
      </c>
      <c r="Q3064" t="s">
        <v>6201</v>
      </c>
    </row>
    <row r="3065" spans="1:17" ht="15.5" x14ac:dyDescent="0.35">
      <c r="A3065" s="3" t="str">
        <f>HYPERLINK("https://edmondsonsupply.com/collections/electricians-tools/products/milwaukee-48-22-8452", "https://edmondsonsupply.com/collections/electricians-tools/products/milwaukee-48-22-8452")</f>
        <v>https://edmondsonsupply.com/collections/electricians-tools/products/milwaukee-48-22-8452</v>
      </c>
      <c r="B3065" s="3" t="str">
        <f>HYPERLINK("https://edmondsonsupply.com/products/milwaukee-48-22-8452", "https://edmondsonsupply.com/products/milwaukee-48-22-8452")</f>
        <v>https://edmondsonsupply.com/products/milwaukee-48-22-8452</v>
      </c>
      <c r="C3065" t="s">
        <v>7155</v>
      </c>
      <c r="D3065" t="s">
        <v>799</v>
      </c>
      <c r="E3065" s="3" t="str">
        <f>HYPERLINK("https://www.amazon.com/Custom-Inserts-48-22-8452-Packout-Milwaukee/dp/B0BRMSHYFF/ref=sr_1_1?keywords=Milwaukee+48-22-8452+Customizable+Foam+Insert+for+PACKOUT%E2%84%A2+Drawer+Tool+Boxes&amp;qid=1695174164&amp;sr=8-1", "https://www.amazon.com/Custom-Inserts-48-22-8452-Packout-Milwaukee/dp/B0BRMSHYFF/ref=sr_1_1?keywords=Milwaukee+48-22-8452+Customizable+Foam+Insert+for+PACKOUT%E2%84%A2+Drawer+Tool+Boxes&amp;qid=1695174164&amp;sr=8-1")</f>
        <v>https://www.amazon.com/Custom-Inserts-48-22-8452-Packout-Milwaukee/dp/B0BRMSHYFF/ref=sr_1_1?keywords=Milwaukee+48-22-8452+Customizable+Foam+Insert+for+PACKOUT%E2%84%A2+Drawer+Tool+Boxes&amp;qid=1695174164&amp;sr=8-1</v>
      </c>
      <c r="F3065" t="s">
        <v>800</v>
      </c>
      <c r="G3065" t="e">
        <f ca="1">_xludf.IMAGE("https://edmondsonsupply.com/cdn/shop/products/48-22-8452_4.png?v=1663605573")</f>
        <v>#NAME?</v>
      </c>
      <c r="H3065" t="e">
        <f ca="1">_xludf.IMAGE("https://m.media-amazon.com/images/I/81k-3Qp4g3L._AC_UL320_.jpg")</f>
        <v>#NAME?</v>
      </c>
      <c r="I3065" t="s">
        <v>471</v>
      </c>
      <c r="J3065">
        <v>33.96</v>
      </c>
      <c r="K3065" s="4">
        <v>0.3589</v>
      </c>
      <c r="L3065">
        <v>4.8</v>
      </c>
      <c r="M3065">
        <v>8</v>
      </c>
      <c r="O3065" t="s">
        <v>25</v>
      </c>
      <c r="P3065" t="s">
        <v>7158</v>
      </c>
      <c r="Q3065" t="s">
        <v>7159</v>
      </c>
    </row>
    <row r="3066" spans="1:17" ht="15.5" x14ac:dyDescent="0.35">
      <c r="A3066" s="3" t="str">
        <f>HYPERLINK("https://edmondsonsupply.com/collections/electricians-tools/products/milwaukee-48-22-8452", "https://edmondsonsupply.com/collections/electricians-tools/products/milwaukee-48-22-8452")</f>
        <v>https://edmondsonsupply.com/collections/electricians-tools/products/milwaukee-48-22-8452</v>
      </c>
      <c r="B3066" s="3" t="str">
        <f>HYPERLINK("https://edmondsonsupply.com/products/milwaukee-48-22-8452", "https://edmondsonsupply.com/products/milwaukee-48-22-8452")</f>
        <v>https://edmondsonsupply.com/products/milwaukee-48-22-8452</v>
      </c>
      <c r="C3066" t="s">
        <v>7155</v>
      </c>
      <c r="D3066" t="s">
        <v>7263</v>
      </c>
      <c r="E3066" s="3" t="str">
        <f>HYPERLINK("https://www.amazon.com/48-22-8452-Custom-Inserts-Packout-Milwaukee/dp/B0BRN73CTQ/ref=sr_1_6?keywords=Milwaukee+48-22-8452+Customizable+Foam+Insert+for+PACKOUT%E2%84%A2+Drawer+Tool+Boxes&amp;qid=1695174164&amp;sr=8-6", "https://www.amazon.com/48-22-8452-Custom-Inserts-Packout-Milwaukee/dp/B0BRN73CTQ/ref=sr_1_6?keywords=Milwaukee+48-22-8452+Customizable+Foam+Insert+for+PACKOUT%E2%84%A2+Drawer+Tool+Boxes&amp;qid=1695174164&amp;sr=8-6")</f>
        <v>https://www.amazon.com/48-22-8452-Custom-Inserts-Packout-Milwaukee/dp/B0BRN73CTQ/ref=sr_1_6?keywords=Milwaukee+48-22-8452+Customizable+Foam+Insert+for+PACKOUT%E2%84%A2+Drawer+Tool+Boxes&amp;qid=1695174164&amp;sr=8-6</v>
      </c>
      <c r="F3066" t="s">
        <v>7264</v>
      </c>
      <c r="G3066" t="e">
        <f ca="1">_xludf.IMAGE("https://edmondsonsupply.com/cdn/shop/products/48-22-8452_4.png?v=1663605573")</f>
        <v>#NAME?</v>
      </c>
      <c r="H3066" t="e">
        <f ca="1">_xludf.IMAGE("https://m.media-amazon.com/images/I/61a44mU0JqL._AC_UL320_.jpg")</f>
        <v>#NAME?</v>
      </c>
      <c r="I3066" t="s">
        <v>471</v>
      </c>
      <c r="J3066">
        <v>33.89</v>
      </c>
      <c r="K3066" s="4">
        <v>0.35610000000000003</v>
      </c>
      <c r="L3066">
        <v>4.4000000000000004</v>
      </c>
      <c r="M3066">
        <v>9</v>
      </c>
      <c r="O3066" t="s">
        <v>25</v>
      </c>
      <c r="P3066" t="s">
        <v>7158</v>
      </c>
      <c r="Q3066" t="s">
        <v>7159</v>
      </c>
    </row>
    <row r="3067" spans="1:17" ht="15.5" x14ac:dyDescent="0.35">
      <c r="A3067"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3067"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3067" t="s">
        <v>6355</v>
      </c>
      <c r="D3067" t="s">
        <v>7265</v>
      </c>
      <c r="E3067" s="3" t="str">
        <f>HYPERLINK("https://www.amazon.com/32-Inch-Ball-End-Klein-Tools-BL6/dp/B000936OMG/ref=sr_1_2?keywords=Klein+Tools+JTH6E06BE+3%2F32-Inch+Ball+End+Hex+Key+with+T-Handle%2C+6-Inch&amp;qid=1695174255&amp;sr=8-2", "https://www.amazon.com/32-Inch-Ball-End-Klein-Tools-BL6/dp/B000936OMG/ref=sr_1_2?keywords=Klein+Tools+JTH6E06BE+3%2F32-Inch+Ball+End+Hex+Key+with+T-Handle%2C+6-Inch&amp;qid=1695174255&amp;sr=8-2")</f>
        <v>https://www.amazon.com/32-Inch-Ball-End-Klein-Tools-BL6/dp/B000936OMG/ref=sr_1_2?keywords=Klein+Tools+JTH6E06BE+3%2F32-Inch+Ball+End+Hex+Key+with+T-Handle%2C+6-Inch&amp;qid=1695174255&amp;sr=8-2</v>
      </c>
      <c r="F3067" t="s">
        <v>7266</v>
      </c>
      <c r="G3067" t="e">
        <f ca="1">_xludf.IMAGE("https://edmondsonsupply.com/cdn/shop/products/jth6e13be_f61308c8-99eb-44df-aac2-25c9159d6b6d.jpg?v=1633031148")</f>
        <v>#NAME?</v>
      </c>
      <c r="H3067" t="e">
        <f ca="1">_xludf.IMAGE("https://m.media-amazon.com/images/I/41LcJXQVZbL._AC_UL320_.jpg")</f>
        <v>#NAME?</v>
      </c>
      <c r="I3067" t="s">
        <v>2388</v>
      </c>
      <c r="J3067">
        <v>6.75</v>
      </c>
      <c r="K3067" s="4">
        <v>0.35270000000000001</v>
      </c>
      <c r="L3067">
        <v>4.8</v>
      </c>
      <c r="M3067">
        <v>14</v>
      </c>
      <c r="O3067" t="s">
        <v>25</v>
      </c>
      <c r="P3067" t="s">
        <v>6356</v>
      </c>
      <c r="Q3067" t="s">
        <v>6357</v>
      </c>
    </row>
    <row r="3068" spans="1:17" ht="15.5" x14ac:dyDescent="0.35">
      <c r="A3068" s="3" t="str">
        <f>HYPERLINK("https://edmondsonsupply.com/collections/electricians-tools/products/milwaukee-48-22-8485-packout%E2%84%A2-mounting-plate", "https://edmondsonsupply.com/collections/electricians-tools/products/milwaukee-48-22-8485-packout%E2%84%A2-mounting-plate")</f>
        <v>https://edmondsonsupply.com/collections/electricians-tools/products/milwaukee-48-22-8485-packout%E2%84%A2-mounting-plate</v>
      </c>
      <c r="B3068" s="3" t="str">
        <f>HYPERLINK("https://edmondsonsupply.com/products/milwaukee-48-22-8485-packout%e2%84%a2-mounting-plate", "https://edmondsonsupply.com/products/milwaukee-48-22-8485-packout%e2%84%a2-mounting-plate")</f>
        <v>https://edmondsonsupply.com/products/milwaukee-48-22-8485-packout%e2%84%a2-mounting-plate</v>
      </c>
      <c r="C3068" t="s">
        <v>6894</v>
      </c>
      <c r="D3068" t="s">
        <v>7267</v>
      </c>
      <c r="E3068" s="3" t="str">
        <f>HYPERLINK("https://www.amazon.com/48-22-8485-Milwaukee-Packout-Mounting-Plate/dp/B0BCYT877C/ref=sr_1_3?keywords=Milwaukee+48-22-8485+PACKOUT%E2%84%A2+Mounting+Plate&amp;qid=1695174070&amp;sr=8-3", "https://www.amazon.com/48-22-8485-Milwaukee-Packout-Mounting-Plate/dp/B0BCYT877C/ref=sr_1_3?keywords=Milwaukee+48-22-8485+PACKOUT%E2%84%A2+Mounting+Plate&amp;qid=1695174070&amp;sr=8-3")</f>
        <v>https://www.amazon.com/48-22-8485-Milwaukee-Packout-Mounting-Plate/dp/B0BCYT877C/ref=sr_1_3?keywords=Milwaukee+48-22-8485+PACKOUT%E2%84%A2+Mounting+Plate&amp;qid=1695174070&amp;sr=8-3</v>
      </c>
      <c r="F3068" t="s">
        <v>7268</v>
      </c>
      <c r="G3068" t="e">
        <f ca="1">_xludf.IMAGE("https://edmondsonsupply.com/cdn/shop/products/48-22-8485_3.png?v=1677252283")</f>
        <v>#NAME?</v>
      </c>
      <c r="H3068" t="e">
        <f ca="1">_xludf.IMAGE("https://m.media-amazon.com/images/I/51qicuCoO0L._AC_UL320_.jpg")</f>
        <v>#NAME?</v>
      </c>
      <c r="I3068" t="s">
        <v>824</v>
      </c>
      <c r="J3068">
        <v>40.53</v>
      </c>
      <c r="K3068" s="4">
        <v>0.35239999999999999</v>
      </c>
      <c r="L3068">
        <v>5</v>
      </c>
      <c r="M3068">
        <v>2</v>
      </c>
      <c r="O3068" t="s">
        <v>25</v>
      </c>
      <c r="P3068" t="s">
        <v>6897</v>
      </c>
      <c r="Q3068" t="s">
        <v>6898</v>
      </c>
    </row>
    <row r="3069" spans="1:17" ht="15.5" x14ac:dyDescent="0.35">
      <c r="A3069" s="3" t="str">
        <f>HYPERLINK("https://edmondsonsupply.com/collections/electricians-tools/products/rack-a-tiers-47002-crocs-jr-needle-nose-wire-strippers", "https://edmondsonsupply.com/collections/electricians-tools/products/rack-a-tiers-47002-crocs-jr-needle-nose-wire-strippers")</f>
        <v>https://edmondsonsupply.com/collections/electricians-tools/products/rack-a-tiers-47002-crocs-jr-needle-nose-wire-strippers</v>
      </c>
      <c r="B3069" s="3" t="str">
        <f>HYPERLINK("https://edmondsonsupply.com/products/rack-a-tiers-47002-crocs-jr-needle-nose-wire-strippers", "https://edmondsonsupply.com/products/rack-a-tiers-47002-crocs-jr-needle-nose-wire-strippers")</f>
        <v>https://edmondsonsupply.com/products/rack-a-tiers-47002-crocs-jr-needle-nose-wire-strippers</v>
      </c>
      <c r="C3069" t="s">
        <v>3468</v>
      </c>
      <c r="D3069" t="s">
        <v>3469</v>
      </c>
      <c r="E3069" s="3" t="str">
        <f>HYPERLINK("https://www.amazon.com/Rack-Tiers-47000-Needle-Strippers/dp/B0087TBQ3G/ref=sr_1_2?keywords=Rack-A-Tiers+47002+Croc%27s+Jr.+Needle+Nose+Wire+Strippers&amp;qid=1695173869&amp;sr=8-2", "https://www.amazon.com/Rack-Tiers-47000-Needle-Strippers/dp/B0087TBQ3G/ref=sr_1_2?keywords=Rack-A-Tiers+47002+Croc%27s+Jr.+Needle+Nose+Wire+Strippers&amp;qid=1695173869&amp;sr=8-2")</f>
        <v>https://www.amazon.com/Rack-Tiers-47000-Needle-Strippers/dp/B0087TBQ3G/ref=sr_1_2?keywords=Rack-A-Tiers+47002+Croc%27s+Jr.+Needle+Nose+Wire+Strippers&amp;qid=1695173869&amp;sr=8-2</v>
      </c>
      <c r="F3069" t="s">
        <v>3470</v>
      </c>
      <c r="G3069" t="e">
        <f ca="1">_xludf.IMAGE("https://edmondsonsupply.com/cdn/shop/products/47002-Crocs-Jr-2-1-1-1.png?v=1587142280")</f>
        <v>#NAME?</v>
      </c>
      <c r="H3069" t="e">
        <f ca="1">_xludf.IMAGE("https://m.media-amazon.com/images/I/51fMweVpbYL._AC_UL320_.jpg")</f>
        <v>#NAME?</v>
      </c>
      <c r="I3069" t="s">
        <v>3471</v>
      </c>
      <c r="J3069">
        <v>30.4</v>
      </c>
      <c r="K3069" s="4">
        <v>0.35170000000000001</v>
      </c>
      <c r="L3069">
        <v>4.5999999999999996</v>
      </c>
      <c r="M3069">
        <v>507</v>
      </c>
      <c r="O3069" t="s">
        <v>25</v>
      </c>
      <c r="P3069" t="s">
        <v>3472</v>
      </c>
      <c r="Q3069" t="s">
        <v>3473</v>
      </c>
    </row>
    <row r="3070" spans="1:17" ht="15.5" x14ac:dyDescent="0.35">
      <c r="A3070" s="3" t="str">
        <f>HYPERLINK("https://edmondsonsupply.com/collections/electricians-tools/products/channellock-431", "https://edmondsonsupply.com/collections/electricians-tools/products/channellock-431")</f>
        <v>https://edmondsonsupply.com/collections/electricians-tools/products/channellock-431</v>
      </c>
      <c r="B3070" s="3" t="str">
        <f>HYPERLINK("https://edmondsonsupply.com/products/channellock-431", "https://edmondsonsupply.com/products/channellock-431")</f>
        <v>https://edmondsonsupply.com/products/channellock-431</v>
      </c>
      <c r="C3070" t="s">
        <v>3341</v>
      </c>
      <c r="D3070" t="s">
        <v>3474</v>
      </c>
      <c r="E3070" s="3" t="str">
        <f>HYPERLINK("https://www.amazon.com/CHANNELLOCK-430X-10-inch-SPEEDGRIP-Straight/dp/B07P42JFMG/ref=sr_1_2?keywords=Channellock+432+10-Inch+V-Jaw+Tongue&amp;qid=1695173959&amp;sr=8-2", "https://www.amazon.com/CHANNELLOCK-430X-10-inch-SPEEDGRIP-Straight/dp/B07P42JFMG/ref=sr_1_2?keywords=Channellock+432+10-Inch+V-Jaw+Tongue&amp;qid=1695173959&amp;sr=8-2")</f>
        <v>https://www.amazon.com/CHANNELLOCK-430X-10-inch-SPEEDGRIP-Straight/dp/B07P42JFMG/ref=sr_1_2?keywords=Channellock+432+10-Inch+V-Jaw+Tongue&amp;qid=1695173959&amp;sr=8-2</v>
      </c>
      <c r="F3070" t="s">
        <v>3475</v>
      </c>
      <c r="G3070" t="e">
        <f ca="1">_xludf.IMAGE("https://edmondsonsupply.com/cdn/shop/products/432-683x1024.jpg?v=1587147134")</f>
        <v>#NAME?</v>
      </c>
      <c r="H3070" t="e">
        <f ca="1">_xludf.IMAGE("https://m.media-amazon.com/images/I/71xwTtkFcHL._AC_UL320_.jpg")</f>
        <v>#NAME?</v>
      </c>
      <c r="I3070" t="s">
        <v>488</v>
      </c>
      <c r="J3070">
        <v>26.95</v>
      </c>
      <c r="K3070" s="4">
        <v>0.35089999999999999</v>
      </c>
      <c r="L3070">
        <v>4.4000000000000004</v>
      </c>
      <c r="M3070">
        <v>578</v>
      </c>
      <c r="O3070" t="s">
        <v>25</v>
      </c>
      <c r="P3070" t="s">
        <v>3344</v>
      </c>
      <c r="Q3070" t="s">
        <v>3345</v>
      </c>
    </row>
    <row r="3071" spans="1:17" ht="15.5" x14ac:dyDescent="0.35">
      <c r="A3071"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3071" s="3" t="str">
        <f>HYPERLINK("https://edmondsonsupply.com/products/klein-tools-5141-canvas-bag-4-pk-brown-black-gray-red", "https://edmondsonsupply.com/products/klein-tools-5141-canvas-bag-4-pk-brown-black-gray-red")</f>
        <v>https://edmondsonsupply.com/products/klein-tools-5141-canvas-bag-4-pk-brown-black-gray-red</v>
      </c>
      <c r="C3071" t="s">
        <v>243</v>
      </c>
      <c r="D3071" t="s">
        <v>438</v>
      </c>
      <c r="E3071" s="3" t="str">
        <f>HYPERLINK("https://www.amazon.com/Klein-Tools-Canvas-Utility-Stand-Up/dp/B0BD3XVWR6/ref=sr_1_5?keywords=Klein+Tools+5141+Zipper+Bags%2C+Canvas+Tool+Pouches+Brown%2FBlack%2FGray%2FRed%2C+4-Pack&amp;qid=1695173934&amp;sr=8-5", "https://www.amazon.com/Klein-Tools-Canvas-Utility-Stand-Up/dp/B0BD3XVWR6/ref=sr_1_5?keywords=Klein+Tools+5141+Zipper+Bags%2C+Canvas+Tool+Pouches+Brown%2FBlack%2FGray%2FRed%2C+4-Pack&amp;qid=1695173934&amp;sr=8-5")</f>
        <v>https://www.amazon.com/Klein-Tools-Canvas-Utility-Stand-Up/dp/B0BD3XVWR6/ref=sr_1_5?keywords=Klein+Tools+5141+Zipper+Bags%2C+Canvas+Tool+Pouches+Brown%2FBlack%2FGray%2FRed%2C+4-Pack&amp;qid=1695173934&amp;sr=8-5</v>
      </c>
      <c r="F3071" t="s">
        <v>439</v>
      </c>
      <c r="G3071" t="e">
        <f ca="1">_xludf.IMAGE("https://edmondsonsupply.com/cdn/shop/products/5141.jpg?v=1633030517")</f>
        <v>#NAME?</v>
      </c>
      <c r="H3071" t="e">
        <f ca="1">_xludf.IMAGE("https://m.media-amazon.com/images/I/51n7dZuAc6L._AC_UL320_.jpg")</f>
        <v>#NAME?</v>
      </c>
      <c r="I3071" t="s">
        <v>246</v>
      </c>
      <c r="J3071">
        <v>53.99</v>
      </c>
      <c r="K3071" s="4">
        <v>0.3508</v>
      </c>
      <c r="L3071">
        <v>5</v>
      </c>
      <c r="M3071">
        <v>2</v>
      </c>
      <c r="O3071" t="s">
        <v>25</v>
      </c>
      <c r="P3071" t="s">
        <v>247</v>
      </c>
      <c r="Q3071" t="s">
        <v>248</v>
      </c>
    </row>
    <row r="3072" spans="1:17" ht="15.5" x14ac:dyDescent="0.35">
      <c r="A3072"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3072" s="3" t="str">
        <f>HYPERLINK("https://edmondsonsupply.com/products/klein-tools-5141-canvas-bag-4-pk-brown-black-gray-red", "https://edmondsonsupply.com/products/klein-tools-5141-canvas-bag-4-pk-brown-black-gray-red")</f>
        <v>https://edmondsonsupply.com/products/klein-tools-5141-canvas-bag-4-pk-brown-black-gray-red</v>
      </c>
      <c r="C3072" t="s">
        <v>243</v>
      </c>
      <c r="D3072" t="s">
        <v>274</v>
      </c>
      <c r="E3072" s="3" t="str">
        <f>HYPERLINK("https://www.amazon.com/Klein-Tools-Stand-Up-Carabiners-14-Inch/dp/B0BKQ9CM13/ref=sr_1_3?keywords=Klein+Tools+5141+Zipper+Bags%2C+Canvas+Tool+Pouches+Brown%2FBlack%2FGray%2FRed%2C+4-Pack&amp;qid=1695173934&amp;sr=8-3", "https://www.amazon.com/Klein-Tools-Stand-Up-Carabiners-14-Inch/dp/B0BKQ9CM13/ref=sr_1_3?keywords=Klein+Tools+5141+Zipper+Bags%2C+Canvas+Tool+Pouches+Brown%2FBlack%2FGray%2FRed%2C+4-Pack&amp;qid=1695173934&amp;sr=8-3")</f>
        <v>https://www.amazon.com/Klein-Tools-Stand-Up-Carabiners-14-Inch/dp/B0BKQ9CM13/ref=sr_1_3?keywords=Klein+Tools+5141+Zipper+Bags%2C+Canvas+Tool+Pouches+Brown%2FBlack%2FGray%2FRed%2C+4-Pack&amp;qid=1695173934&amp;sr=8-3</v>
      </c>
      <c r="F3072" t="s">
        <v>275</v>
      </c>
      <c r="G3072" t="e">
        <f ca="1">_xludf.IMAGE("https://edmondsonsupply.com/cdn/shop/products/5141.jpg?v=1633030517")</f>
        <v>#NAME?</v>
      </c>
      <c r="H3072" t="e">
        <f ca="1">_xludf.IMAGE("https://m.media-amazon.com/images/I/416u4HXmGJL._AC_UL320_.jpg")</f>
        <v>#NAME?</v>
      </c>
      <c r="I3072" t="s">
        <v>246</v>
      </c>
      <c r="J3072">
        <v>53.99</v>
      </c>
      <c r="K3072" s="4">
        <v>0.3508</v>
      </c>
      <c r="L3072">
        <v>4.5</v>
      </c>
      <c r="M3072">
        <v>2</v>
      </c>
      <c r="O3072" t="s">
        <v>25</v>
      </c>
      <c r="P3072" t="s">
        <v>247</v>
      </c>
      <c r="Q3072" t="s">
        <v>248</v>
      </c>
    </row>
    <row r="3073" spans="1:17" ht="15.5" x14ac:dyDescent="0.35">
      <c r="A3073" s="3" t="str">
        <f>HYPERLINK("https://edmondsonsupply.com/collections/electricians-tools/products/supco-ecmpro-ecm-universal-tester", "https://edmondsonsupply.com/collections/electricians-tools/products/supco-ecmpro-ecm-universal-tester")</f>
        <v>https://edmondsonsupply.com/collections/electricians-tools/products/supco-ecmpro-ecm-universal-tester</v>
      </c>
      <c r="B3073" s="3" t="str">
        <f>HYPERLINK("https://edmondsonsupply.com/products/supco-ecmpro-ecm-universal-tester", "https://edmondsonsupply.com/products/supco-ecmpro-ecm-universal-tester")</f>
        <v>https://edmondsonsupply.com/products/supco-ecmpro-ecm-universal-tester</v>
      </c>
      <c r="C3073" t="s">
        <v>3260</v>
      </c>
      <c r="D3073" t="s">
        <v>3483</v>
      </c>
      <c r="E3073" s="3" t="str">
        <f>HYPERLINK("https://www.amazon.com/Supplying-Demand-Universal-Electronically-Commutated/dp/B094S73V1M/ref=sr_1_1?keywords=Supco+ECMPRO+ECM+Universal+Tester&amp;qid=1695173845&amp;sr=8-1", "https://www.amazon.com/Supplying-Demand-Universal-Electronically-Commutated/dp/B094S73V1M/ref=sr_1_1?keywords=Supco+ECMPRO+ECM+Universal+Tester&amp;qid=1695173845&amp;sr=8-1")</f>
        <v>https://www.amazon.com/Supplying-Demand-Universal-Electronically-Commutated/dp/B094S73V1M/ref=sr_1_1?keywords=Supco+ECMPRO+ECM+Universal+Tester&amp;qid=1695173845&amp;sr=8-1</v>
      </c>
      <c r="F3073" t="s">
        <v>3484</v>
      </c>
      <c r="G3073" t="e">
        <f ca="1">_xludf.IMAGE("https://edmondsonsupply.com/cdn/shop/products/ECMPRO_L.png?v=1587142591")</f>
        <v>#NAME?</v>
      </c>
      <c r="H3073" t="e">
        <f ca="1">_xludf.IMAGE("https://m.media-amazon.com/images/I/51YrZKhhreS._AC_UY218_.jpg")</f>
        <v>#NAME?</v>
      </c>
      <c r="I3073" t="s">
        <v>3263</v>
      </c>
      <c r="J3073">
        <v>70.989999999999995</v>
      </c>
      <c r="K3073" s="4">
        <v>0.3463</v>
      </c>
      <c r="L3073">
        <v>4.7</v>
      </c>
      <c r="M3073">
        <v>106</v>
      </c>
      <c r="O3073" t="s">
        <v>25</v>
      </c>
      <c r="P3073" t="s">
        <v>138</v>
      </c>
      <c r="Q3073" t="s">
        <v>3264</v>
      </c>
    </row>
    <row r="3074" spans="1:17" ht="15.5" x14ac:dyDescent="0.35">
      <c r="A3074"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3074" s="3" t="str">
        <f>HYPERLINK("https://edmondsonsupply.com/products/diablo-tools-dag3090-7-8-in-x-17-1-2-in-auger-bit", "https://edmondsonsupply.com/products/diablo-tools-dag3090-7-8-in-x-17-1-2-in-auger-bit")</f>
        <v>https://edmondsonsupply.com/products/diablo-tools-dag3090-7-8-in-x-17-1-2-in-auger-bit</v>
      </c>
      <c r="C3074" t="s">
        <v>7269</v>
      </c>
      <c r="D3074" t="s">
        <v>6820</v>
      </c>
      <c r="E3074" s="3" t="str">
        <f>HYPERLINK("https://www.amazon.com/Diablo-17-1-Auger-Bit/dp/B089LG8GYB/ref=sr_1_1?keywords=Diablo+Tools+DAG3090+7%2F8+in.+x+17-1%2F2+in.+Auger+Bit&amp;qid=1695174065&amp;sr=8-1", "https://www.amazon.com/Diablo-17-1-Auger-Bit/dp/B089LG8GYB/ref=sr_1_1?keywords=Diablo+Tools+DAG3090+7%2F8+in.+x+17-1%2F2+in.+Auger+Bit&amp;qid=1695174065&amp;sr=8-1")</f>
        <v>https://www.amazon.com/Diablo-17-1-Auger-Bit/dp/B089LG8GYB/ref=sr_1_1?keywords=Diablo+Tools+DAG3090+7%2F8+in.+x+17-1%2F2+in.+Auger+Bit&amp;qid=1695174065&amp;sr=8-1</v>
      </c>
      <c r="F3074" t="s">
        <v>6821</v>
      </c>
      <c r="G3074" t="e">
        <f ca="1">_xludf.IMAGE("https://edmondsonsupply.com/cdn/shop/products/aorgtpkivjubhtbiiau0.webp?v=1677256849")</f>
        <v>#NAME?</v>
      </c>
      <c r="H3074" t="e">
        <f ca="1">_xludf.IMAGE("https://m.media-amazon.com/images/I/61QXZJGNQTL._AC_UL320_.jpg")</f>
        <v>#NAME?</v>
      </c>
      <c r="I3074" t="s">
        <v>1589</v>
      </c>
      <c r="J3074">
        <v>30.9</v>
      </c>
      <c r="K3074" s="4">
        <v>0.34410000000000002</v>
      </c>
      <c r="L3074">
        <v>4.3</v>
      </c>
      <c r="M3074">
        <v>29</v>
      </c>
      <c r="O3074" t="s">
        <v>25</v>
      </c>
      <c r="P3074" t="s">
        <v>7270</v>
      </c>
      <c r="Q3074" t="s">
        <v>7271</v>
      </c>
    </row>
    <row r="3075" spans="1:17" ht="15.5" x14ac:dyDescent="0.35">
      <c r="A3075"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3075"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3075" t="s">
        <v>6940</v>
      </c>
      <c r="D3075" t="s">
        <v>5938</v>
      </c>
      <c r="E3075" s="3" t="str">
        <f>HYPERLINK("https://www.amazon.com/Diablo-Universal-Bi-Metal-Blades-Nail-Embedded/dp/B089KW2WVD/ref=sr_1_2?keywords=Diablo+Tools+DOU125BF+1-1%2F4+in.+Universal+Fit+Bi-Metal+Oscillating+Blade+for+Metal&amp;qid=1695174025&amp;sr=8-2", "https://www.amazon.com/Diablo-Universal-Bi-Metal-Blades-Nail-Embedded/dp/B089KW2WVD/ref=sr_1_2?keywords=Diablo+Tools+DOU125BF+1-1%2F4+in.+Universal+Fit+Bi-Metal+Oscillating+Blade+for+Metal&amp;qid=1695174025&amp;sr=8-2")</f>
        <v>https://www.amazon.com/Diablo-Universal-Bi-Metal-Blades-Nail-Embedded/dp/B089KW2WVD/ref=sr_1_2?keywords=Diablo+Tools+DOU125BF+1-1%2F4+in.+Universal+Fit+Bi-Metal+Oscillating+Blade+for+Metal&amp;qid=1695174025&amp;sr=8-2</v>
      </c>
      <c r="F3075" t="s">
        <v>5939</v>
      </c>
      <c r="G3075" t="e">
        <f ca="1">_xludf.IMAGE("https://edmondsonsupply.com/cdn/shop/files/k1d1qiwmm4npznsdbwtg.webp?v=1685467858")</f>
        <v>#NAME?</v>
      </c>
      <c r="H3075" t="e">
        <f ca="1">_xludf.IMAGE("https://m.media-amazon.com/images/I/613ig7mNjfL._AC_UL320_.jpg")</f>
        <v>#NAME?</v>
      </c>
      <c r="I3075" t="s">
        <v>6164</v>
      </c>
      <c r="J3075">
        <v>25.49</v>
      </c>
      <c r="K3075" s="4">
        <v>0.34370000000000001</v>
      </c>
      <c r="L3075">
        <v>4.5999999999999996</v>
      </c>
      <c r="M3075">
        <v>148</v>
      </c>
      <c r="O3075" t="s">
        <v>25</v>
      </c>
      <c r="P3075" t="s">
        <v>6943</v>
      </c>
      <c r="Q3075" t="s">
        <v>6944</v>
      </c>
    </row>
    <row r="3076" spans="1:17" ht="15.5" x14ac:dyDescent="0.35">
      <c r="A3076"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3076" s="3" t="str">
        <f>HYPERLINK("https://edmondsonsupply.com/products/fluke-c60-soft-carrying-case", "https://edmondsonsupply.com/products/fluke-c60-soft-carrying-case")</f>
        <v>https://edmondsonsupply.com/products/fluke-c60-soft-carrying-case</v>
      </c>
      <c r="C3076" t="s">
        <v>265</v>
      </c>
      <c r="D3076" t="s">
        <v>440</v>
      </c>
      <c r="E3076" s="3" t="str">
        <f>HYPERLINK("https://www.amazon.com/Fluke-C23-Vinyl-Soft-Carrying/dp/B000Q8SDUA/ref=sr_1_2?keywords=Fluke+C60+Soft+Carrying+Case&amp;qid=1695174290&amp;sr=8-2", "https://www.amazon.com/Fluke-C23-Vinyl-Soft-Carrying/dp/B000Q8SDUA/ref=sr_1_2?keywords=Fluke+C60+Soft+Carrying+Case&amp;qid=1695174290&amp;sr=8-2")</f>
        <v>https://www.amazon.com/Fluke-C23-Vinyl-Soft-Carrying/dp/B000Q8SDUA/ref=sr_1_2?keywords=Fluke+C60+Soft+Carrying+Case&amp;qid=1695174290&amp;sr=8-2</v>
      </c>
      <c r="F3076" t="s">
        <v>441</v>
      </c>
      <c r="G3076" t="e">
        <f ca="1">_xludf.IMAGE("https://edmondsonsupply.com/cdn/shop/products/c60.png?v=1633030926")</f>
        <v>#NAME?</v>
      </c>
      <c r="H3076" t="e">
        <f ca="1">_xludf.IMAGE("https://m.media-amazon.com/images/I/619hfrCzniL._AC_UL320_.jpg")</f>
        <v>#NAME?</v>
      </c>
      <c r="I3076" t="s">
        <v>268</v>
      </c>
      <c r="J3076">
        <v>66.489999999999995</v>
      </c>
      <c r="K3076" s="4">
        <v>0.34350000000000003</v>
      </c>
      <c r="L3076">
        <v>4.5</v>
      </c>
      <c r="M3076">
        <v>19</v>
      </c>
      <c r="O3076" t="s">
        <v>25</v>
      </c>
      <c r="P3076" t="s">
        <v>269</v>
      </c>
      <c r="Q3076" t="s">
        <v>270</v>
      </c>
    </row>
    <row r="3077" spans="1:17" ht="15.5" x14ac:dyDescent="0.35">
      <c r="A3077"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3077" s="3" t="str">
        <f>HYPERLINK("https://edmondsonsupply.com/products/klein-tools-66070-flip-impact-socket-set-7-piece", "https://edmondsonsupply.com/products/klein-tools-66070-flip-impact-socket-set-7-piece")</f>
        <v>https://edmondsonsupply.com/products/klein-tools-66070-flip-impact-socket-set-7-piece</v>
      </c>
      <c r="C3077" t="s">
        <v>6659</v>
      </c>
      <c r="D3077" t="s">
        <v>1834</v>
      </c>
      <c r="E3077" s="3" t="str">
        <f>HYPERLINK("https://www.amazon.com/Klein-Tools-Impact-Socket-7-Piece/dp/B0BGZPR364/ref=sr_1_2?keywords=Klein+Tools+66070+Flip+Impact+Socket+Set%2C+7-Piece&amp;qid=1695173845&amp;sr=8-2", "https://www.amazon.com/Klein-Tools-Impact-Socket-7-Piece/dp/B0BGZPR364/ref=sr_1_2?keywords=Klein+Tools+66070+Flip+Impact+Socket+Set%2C+7-Piece&amp;qid=1695173845&amp;sr=8-2")</f>
        <v>https://www.amazon.com/Klein-Tools-Impact-Socket-7-Piece/dp/B0BGZPR364/ref=sr_1_2?keywords=Klein+Tools+66070+Flip+Impact+Socket+Set%2C+7-Piece&amp;qid=1695173845&amp;sr=8-2</v>
      </c>
      <c r="F3077" t="s">
        <v>7272</v>
      </c>
      <c r="G3077" t="e">
        <f ca="1">_xludf.IMAGE("https://edmondsonsupply.com/cdn/shop/products/66070_b.jpg?v=1663251434")</f>
        <v>#NAME?</v>
      </c>
      <c r="H3077" t="e">
        <f ca="1">_xludf.IMAGE("https://m.media-amazon.com/images/I/51aNTtzJ2BL._AC_UL320_.jpg")</f>
        <v>#NAME?</v>
      </c>
      <c r="I3077" t="s">
        <v>380</v>
      </c>
      <c r="J3077">
        <v>66.94</v>
      </c>
      <c r="K3077" s="4">
        <v>0.33960000000000001</v>
      </c>
      <c r="L3077">
        <v>4.8</v>
      </c>
      <c r="M3077">
        <v>18</v>
      </c>
      <c r="O3077" t="s">
        <v>25</v>
      </c>
      <c r="P3077" t="s">
        <v>1114</v>
      </c>
      <c r="Q3077" t="s">
        <v>6662</v>
      </c>
    </row>
    <row r="3078" spans="1:17" ht="15.5" x14ac:dyDescent="0.35">
      <c r="A3078" s="3" t="str">
        <f>HYPERLINK("https://edmondsonsupply.com/collections/electricians-tools/products/klein-tools-66050e-2-in-1-metric-impact-socket-set-12-point-5-piece", "https://edmondsonsupply.com/collections/electricians-tools/products/klein-tools-66050e-2-in-1-metric-impact-socket-set-12-point-5-piece")</f>
        <v>https://edmondsonsupply.com/collections/electricians-tools/products/klein-tools-66050e-2-in-1-metric-impact-socket-set-12-point-5-piece</v>
      </c>
      <c r="B3078" s="3" t="str">
        <f>HYPERLINK("https://edmondsonsupply.com/products/klein-tools-66050e-2-in-1-metric-impact-socket-set-12-point-5-piece", "https://edmondsonsupply.com/products/klein-tools-66050e-2-in-1-metric-impact-socket-set-12-point-5-piece")</f>
        <v>https://edmondsonsupply.com/products/klein-tools-66050e-2-in-1-metric-impact-socket-set-12-point-5-piece</v>
      </c>
      <c r="C3078" t="s">
        <v>7273</v>
      </c>
      <c r="D3078" t="s">
        <v>7022</v>
      </c>
      <c r="E3078" s="3" t="str">
        <f>HYPERLINK("https://www.amazon.com/Klein-Tools-66010-High-Torque-12-Point/dp/B07NZS6998/ref=sr_1_3?keywords=Klein+Tools+66050E+2-in-1+Metric+Impact+Socket+Set%2C+12-Point%2C+5-Piece&amp;qid=1695174176&amp;sr=8-3", "https://www.amazon.com/Klein-Tools-66010-High-Torque-12-Point/dp/B07NZS6998/ref=sr_1_3?keywords=Klein+Tools+66050E+2-in-1+Metric+Impact+Socket+Set%2C+12-Point%2C+5-Piece&amp;qid=1695174176&amp;sr=8-3")</f>
        <v>https://www.amazon.com/Klein-Tools-66010-High-Torque-12-Point/dp/B07NZS6998/ref=sr_1_3?keywords=Klein+Tools+66050E+2-in-1+Metric+Impact+Socket+Set%2C+12-Point%2C+5-Piece&amp;qid=1695174176&amp;sr=8-3</v>
      </c>
      <c r="F3078" t="s">
        <v>7023</v>
      </c>
      <c r="G3078" t="e">
        <f ca="1">_xludf.IMAGE("https://edmondsonsupply.com/cdn/shop/products/66050e.jpg?v=1659120052")</f>
        <v>#NAME?</v>
      </c>
      <c r="H3078" t="e">
        <f ca="1">_xludf.IMAGE("https://m.media-amazon.com/images/I/51QnKGm7EiL._AC_UL320_.jpg")</f>
        <v>#NAME?</v>
      </c>
      <c r="I3078" t="s">
        <v>7274</v>
      </c>
      <c r="J3078">
        <v>199.99</v>
      </c>
      <c r="K3078" s="4">
        <v>0.33739999999999998</v>
      </c>
      <c r="L3078">
        <v>4.8</v>
      </c>
      <c r="M3078">
        <v>380</v>
      </c>
      <c r="O3078" t="s">
        <v>25</v>
      </c>
      <c r="P3078" t="s">
        <v>7275</v>
      </c>
      <c r="Q3078" t="s">
        <v>7276</v>
      </c>
    </row>
    <row r="3079" spans="1:17" ht="15.5" x14ac:dyDescent="0.35">
      <c r="A3079" s="3" t="str">
        <f>HYPERLINK("https://edmondsonsupply.com/collections/electricians-tools/products/milwaukee-48-22-8452", "https://edmondsonsupply.com/collections/electricians-tools/products/milwaukee-48-22-8452")</f>
        <v>https://edmondsonsupply.com/collections/electricians-tools/products/milwaukee-48-22-8452</v>
      </c>
      <c r="B3079" s="3" t="str">
        <f>HYPERLINK("https://edmondsonsupply.com/products/milwaukee-48-22-8452", "https://edmondsonsupply.com/products/milwaukee-48-22-8452")</f>
        <v>https://edmondsonsupply.com/products/milwaukee-48-22-8452</v>
      </c>
      <c r="C3079" t="s">
        <v>7155</v>
      </c>
      <c r="D3079" t="s">
        <v>7277</v>
      </c>
      <c r="E3079" s="3" t="str">
        <f>HYPERLINK("https://www.amazon.com/48-22-8452-packout-foam-inserts-Milwaukee/dp/B0BYS69XLH/ref=sr_1_2?keywords=Milwaukee+48-22-8452+Customizable+Foam+Insert+for+PACKOUT%E2%84%A2+Drawer+Tool+Boxes&amp;qid=1695174164&amp;sr=8-2", "https://www.amazon.com/48-22-8452-packout-foam-inserts-Milwaukee/dp/B0BYS69XLH/ref=sr_1_2?keywords=Milwaukee+48-22-8452+Customizable+Foam+Insert+for+PACKOUT%E2%84%A2+Drawer+Tool+Boxes&amp;qid=1695174164&amp;sr=8-2")</f>
        <v>https://www.amazon.com/48-22-8452-packout-foam-inserts-Milwaukee/dp/B0BYS69XLH/ref=sr_1_2?keywords=Milwaukee+48-22-8452+Customizable+Foam+Insert+for+PACKOUT%E2%84%A2+Drawer+Tool+Boxes&amp;qid=1695174164&amp;sr=8-2</v>
      </c>
      <c r="F3079" t="s">
        <v>7278</v>
      </c>
      <c r="G3079" t="e">
        <f ca="1">_xludf.IMAGE("https://edmondsonsupply.com/cdn/shop/products/48-22-8452_4.png?v=1663605573")</f>
        <v>#NAME?</v>
      </c>
      <c r="H3079" t="e">
        <f ca="1">_xludf.IMAGE("https://m.media-amazon.com/images/I/61aiyNgIssL._AC_UL320_.jpg")</f>
        <v>#NAME?</v>
      </c>
      <c r="I3079" t="s">
        <v>471</v>
      </c>
      <c r="J3079">
        <v>33.39</v>
      </c>
      <c r="K3079" s="4">
        <v>0.33610000000000001</v>
      </c>
      <c r="L3079">
        <v>4.2</v>
      </c>
      <c r="M3079">
        <v>37</v>
      </c>
      <c r="O3079" t="s">
        <v>25</v>
      </c>
      <c r="P3079" t="s">
        <v>7158</v>
      </c>
      <c r="Q3079" t="s">
        <v>7159</v>
      </c>
    </row>
    <row r="3080" spans="1:17" ht="15.5" x14ac:dyDescent="0.35">
      <c r="A3080"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3080"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3080" t="s">
        <v>6512</v>
      </c>
      <c r="D3080" t="s">
        <v>4234</v>
      </c>
      <c r="E3080" s="3" t="str">
        <f>HYPERLINK("https://www.amazon.com/Klein-Tools-J2000-48-Diagonal-Cutters/dp/B0006M6Y8O/ref=sr_1_7?keywords=Klein+Tools+D248-8+Diagonal+Cutting+Pliers%2C+Angled+Head%2C+Short+Jaw%2C+8-Inch&amp;qid=1695174274&amp;sr=8-7", "https://www.amazon.com/Klein-Tools-J2000-48-Diagonal-Cutters/dp/B0006M6Y8O/ref=sr_1_7?keywords=Klein+Tools+D248-8+Diagonal+Cutting+Pliers%2C+Angled+Head%2C+Short+Jaw%2C+8-Inch&amp;qid=1695174274&amp;sr=8-7")</f>
        <v>https://www.amazon.com/Klein-Tools-J2000-48-Diagonal-Cutters/dp/B0006M6Y8O/ref=sr_1_7?keywords=Klein+Tools+D248-8+Diagonal+Cutting+Pliers%2C+Angled+Head%2C+Short+Jaw%2C+8-Inch&amp;qid=1695174274&amp;sr=8-7</v>
      </c>
      <c r="F3080" t="s">
        <v>4235</v>
      </c>
      <c r="G3080" t="e">
        <f ca="1">_xludf.IMAGE("https://edmondsonsupply.com/cdn/shop/products/d2488.jpg?v=1633030997")</f>
        <v>#NAME?</v>
      </c>
      <c r="H3080" t="e">
        <f ca="1">_xludf.IMAGE("https://m.media-amazon.com/images/I/41ZnJLE+YFL._AC_UL320_.jpg")</f>
        <v>#NAME?</v>
      </c>
      <c r="I3080" t="s">
        <v>824</v>
      </c>
      <c r="J3080">
        <v>39.99</v>
      </c>
      <c r="K3080" s="4">
        <v>0.33429999999999999</v>
      </c>
      <c r="L3080">
        <v>4.8</v>
      </c>
      <c r="M3080">
        <v>1554</v>
      </c>
      <c r="O3080" t="s">
        <v>25</v>
      </c>
      <c r="P3080" t="s">
        <v>5277</v>
      </c>
      <c r="Q3080" t="s">
        <v>6515</v>
      </c>
    </row>
    <row r="3081" spans="1:17" ht="15.5" x14ac:dyDescent="0.35">
      <c r="A3081"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3081" s="3" t="str">
        <f>HYPERLINK("https://edmondsonsupply.com/products/klein-tools-58888-12-pocket-tool-tote-with-shoulder-strap", "https://edmondsonsupply.com/products/klein-tools-58888-12-pocket-tool-tote-with-shoulder-strap")</f>
        <v>https://edmondsonsupply.com/products/klein-tools-58888-12-pocket-tool-tote-with-shoulder-strap</v>
      </c>
      <c r="C3081" t="s">
        <v>445</v>
      </c>
      <c r="D3081" t="s">
        <v>7279</v>
      </c>
      <c r="E3081" s="3" t="str">
        <f>HYPERLINK("https://www.amazon.com/Electrician-Tradesman-Klein-Tools-55597/dp/B01N2KEYLV/ref=sr_1_10?keywords=Klein+Tools+58888+12+Pocket+Tool+Tote+with+Shoulder+Strap&amp;qid=1695174176&amp;sr=8-10", "https://www.amazon.com/Electrician-Tradesman-Klein-Tools-55597/dp/B01N2KEYLV/ref=sr_1_10?keywords=Klein+Tools+58888+12+Pocket+Tool+Tote+with+Shoulder+Strap&amp;qid=1695174176&amp;sr=8-10")</f>
        <v>https://www.amazon.com/Electrician-Tradesman-Klein-Tools-55597/dp/B01N2KEYLV/ref=sr_1_10?keywords=Klein+Tools+58888+12+Pocket+Tool+Tote+with+Shoulder+Strap&amp;qid=1695174176&amp;sr=8-10</v>
      </c>
      <c r="F3081" t="s">
        <v>7280</v>
      </c>
      <c r="G3081" t="e">
        <f ca="1">_xludf.IMAGE("https://edmondsonsupply.com/cdn/shop/products/58888.jpg?v=1660004615")</f>
        <v>#NAME?</v>
      </c>
      <c r="H3081" t="e">
        <f ca="1">_xludf.IMAGE("https://m.media-amazon.com/images/I/71Jhnj1-I+L._AC_UL320_.jpg")</f>
        <v>#NAME?</v>
      </c>
      <c r="I3081" t="s">
        <v>448</v>
      </c>
      <c r="J3081">
        <v>110.72</v>
      </c>
      <c r="K3081" s="4">
        <v>0.33410000000000001</v>
      </c>
      <c r="L3081">
        <v>4.7</v>
      </c>
      <c r="M3081">
        <v>238</v>
      </c>
      <c r="O3081" t="s">
        <v>25</v>
      </c>
      <c r="P3081" t="s">
        <v>449</v>
      </c>
      <c r="Q3081" t="s">
        <v>450</v>
      </c>
    </row>
    <row r="3082" spans="1:17" ht="15.5" x14ac:dyDescent="0.35">
      <c r="A3082"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3082"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3082" t="s">
        <v>6512</v>
      </c>
      <c r="D3082" t="s">
        <v>4244</v>
      </c>
      <c r="E3082" s="3" t="str">
        <f>HYPERLINK("https://www.amazon.com/Klein-Tools-J248-8-Diagonal-Cutters-Angled/dp/B000CRY52A/ref=sr_1_5?keywords=Klein+Tools+D248-8+Diagonal+Cutting+Pliers%2C+Angled+Head%2C+Short+Jaw%2C+8-Inch&amp;qid=1695174274&amp;sr=8-5", "https://www.amazon.com/Klein-Tools-J248-8-Diagonal-Cutters-Angled/dp/B000CRY52A/ref=sr_1_5?keywords=Klein+Tools+D248-8+Diagonal+Cutting+Pliers%2C+Angled+Head%2C+Short+Jaw%2C+8-Inch&amp;qid=1695174274&amp;sr=8-5")</f>
        <v>https://www.amazon.com/Klein-Tools-J248-8-Diagonal-Cutters-Angled/dp/B000CRY52A/ref=sr_1_5?keywords=Klein+Tools+D248-8+Diagonal+Cutting+Pliers%2C+Angled+Head%2C+Short+Jaw%2C+8-Inch&amp;qid=1695174274&amp;sr=8-5</v>
      </c>
      <c r="F3082" t="s">
        <v>4245</v>
      </c>
      <c r="G3082" t="e">
        <f ca="1">_xludf.IMAGE("https://edmondsonsupply.com/cdn/shop/products/d2488.jpg?v=1633030997")</f>
        <v>#NAME?</v>
      </c>
      <c r="H3082" t="e">
        <f ca="1">_xludf.IMAGE("https://m.media-amazon.com/images/I/51AWyzskD+L._AC_UL320_.jpg")</f>
        <v>#NAME?</v>
      </c>
      <c r="I3082" t="s">
        <v>824</v>
      </c>
      <c r="J3082">
        <v>39.97</v>
      </c>
      <c r="K3082" s="4">
        <v>0.3337</v>
      </c>
      <c r="L3082">
        <v>4.9000000000000004</v>
      </c>
      <c r="M3082">
        <v>490</v>
      </c>
      <c r="O3082" t="s">
        <v>25</v>
      </c>
      <c r="P3082" t="s">
        <v>5277</v>
      </c>
      <c r="Q3082" t="s">
        <v>6515</v>
      </c>
    </row>
    <row r="3083" spans="1:17" ht="15.5" x14ac:dyDescent="0.35">
      <c r="A3083"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3083"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3083" t="s">
        <v>6693</v>
      </c>
      <c r="D3083" t="s">
        <v>6708</v>
      </c>
      <c r="E3083" s="3" t="str">
        <f>HYPERLINK("https://www.amazon.com/Rechargeable-Flashlight-Worklight-Klein-Tools/dp/B0947YMH51/ref=sr_1_5?keywords=Klein+Tools+56411+Rechargeable+Waterproof+LED+Pocket+Light+with+Lanyard&amp;qid=1695174156&amp;sr=8-5", "https://www.amazon.com/Rechargeable-Flashlight-Worklight-Klein-Tools/dp/B0947YMH51/ref=sr_1_5?keywords=Klein+Tools+56411+Rechargeable+Waterproof+LED+Pocket+Light+with+Lanyard&amp;qid=1695174156&amp;sr=8-5")</f>
        <v>https://www.amazon.com/Rechargeable-Flashlight-Worklight-Klein-Tools/dp/B0947YMH51/ref=sr_1_5?keywords=Klein+Tools+56411+Rechargeable+Waterproof+LED+Pocket+Light+with+Lanyard&amp;qid=1695174156&amp;sr=8-5</v>
      </c>
      <c r="F3083" t="s">
        <v>6709</v>
      </c>
      <c r="G3083" t="e">
        <f ca="1">_xludf.IMAGE("https://edmondsonsupply.com/cdn/shop/products/56411.jpg?v=1663952448")</f>
        <v>#NAME?</v>
      </c>
      <c r="H3083" t="e">
        <f ca="1">_xludf.IMAGE("https://m.media-amazon.com/images/I/51Of8ojN4aS._AC_UL320_.jpg")</f>
        <v>#NAME?</v>
      </c>
      <c r="I3083" t="s">
        <v>824</v>
      </c>
      <c r="J3083">
        <v>39.97</v>
      </c>
      <c r="K3083" s="4">
        <v>0.3337</v>
      </c>
      <c r="L3083">
        <v>4.5999999999999996</v>
      </c>
      <c r="M3083">
        <v>424</v>
      </c>
      <c r="O3083" t="s">
        <v>25</v>
      </c>
      <c r="P3083" t="s">
        <v>825</v>
      </c>
      <c r="Q3083" t="s">
        <v>6696</v>
      </c>
    </row>
    <row r="3084" spans="1:17" ht="15.5" x14ac:dyDescent="0.35">
      <c r="A3084" s="3" t="str">
        <f>HYPERLINK("https://edmondsonsupply.com/collections/electricians-tools/products/klein-tools-13156-screwdriver-blades-insulated-single-end-2-pack", "https://edmondsonsupply.com/collections/electricians-tools/products/klein-tools-13156-screwdriver-blades-insulated-single-end-2-pack")</f>
        <v>https://edmondsonsupply.com/collections/electricians-tools/products/klein-tools-13156-screwdriver-blades-insulated-single-end-2-pack</v>
      </c>
      <c r="B3084" s="3" t="str">
        <f>HYPERLINK("https://edmondsonsupply.com/products/klein-tools-13156-screwdriver-blades-insulated-single-end-2-pack", "https://edmondsonsupply.com/products/klein-tools-13156-screwdriver-blades-insulated-single-end-2-pack")</f>
        <v>https://edmondsonsupply.com/products/klein-tools-13156-screwdriver-blades-insulated-single-end-2-pack</v>
      </c>
      <c r="C3084" t="s">
        <v>7281</v>
      </c>
      <c r="D3084" t="s">
        <v>7282</v>
      </c>
      <c r="E3084" s="3" t="str">
        <f>HYPERLINK("https://www.amazon.com/Klein-Tools-13157-Interchangeable-Screwdrivers/dp/B07XQC1PVB/ref=sr_1_2?keywords=Klein+Tools+13156+Screwdriver+Blades%2C+Insulated+Single-End%2C+2-Pack&amp;qid=1695173950&amp;sr=8-2", "https://www.amazon.com/Klein-Tools-13157-Interchangeable-Screwdrivers/dp/B07XQC1PVB/ref=sr_1_2?keywords=Klein+Tools+13156+Screwdriver+Blades%2C+Insulated+Single-End%2C+2-Pack&amp;qid=1695173950&amp;sr=8-2")</f>
        <v>https://www.amazon.com/Klein-Tools-13157-Interchangeable-Screwdrivers/dp/B07XQC1PVB/ref=sr_1_2?keywords=Klein+Tools+13156+Screwdriver+Blades%2C+Insulated+Single-End%2C+2-Pack&amp;qid=1695173950&amp;sr=8-2</v>
      </c>
      <c r="F3084" t="s">
        <v>7283</v>
      </c>
      <c r="G3084" t="e">
        <f ca="1">_xludf.IMAGE("https://edmondsonsupply.com/cdn/shop/products/13156.jpg?v=1587146923")</f>
        <v>#NAME?</v>
      </c>
      <c r="H3084" t="e">
        <f ca="1">_xludf.IMAGE("https://m.media-amazon.com/images/I/41c8L9-ZsYL._AC_UL320_.jpg")</f>
        <v>#NAME?</v>
      </c>
      <c r="I3084" t="s">
        <v>276</v>
      </c>
      <c r="J3084">
        <v>19.989999999999998</v>
      </c>
      <c r="K3084" s="4">
        <v>0.33360000000000001</v>
      </c>
      <c r="L3084">
        <v>4.8</v>
      </c>
      <c r="M3084">
        <v>958</v>
      </c>
      <c r="O3084" t="s">
        <v>25</v>
      </c>
      <c r="P3084" t="s">
        <v>7284</v>
      </c>
      <c r="Q3084" t="s">
        <v>7285</v>
      </c>
    </row>
    <row r="3085" spans="1:17" ht="15.5" x14ac:dyDescent="0.35">
      <c r="A3085" s="3" t="str">
        <f>HYPERLINK("https://edmondsonsupply.com/collections/electricians-tools/products/komelon-7330-30-x-1-maggrip%E2%84%A2-speedmark%E2%84%A2-magnetic-tape-measure", "https://edmondsonsupply.com/collections/electricians-tools/products/komelon-7330-30-x-1-maggrip%E2%84%A2-speedmark%E2%84%A2-magnetic-tape-measure")</f>
        <v>https://edmondsonsupply.com/collections/electricians-tools/products/komelon-7330-30-x-1-maggrip%E2%84%A2-speedmark%E2%84%A2-magnetic-tape-measure</v>
      </c>
      <c r="B3085" s="3" t="str">
        <f>HYPERLINK("https://edmondsonsupply.com/products/komelon-7330-30-x-1-maggrip%e2%84%a2-speedmark%e2%84%a2-magnetic-tape-measure", "https://edmondsonsupply.com/products/komelon-7330-30-x-1-maggrip%e2%84%a2-speedmark%e2%84%a2-magnetic-tape-measure")</f>
        <v>https://edmondsonsupply.com/products/komelon-7330-30-x-1-maggrip%e2%84%a2-speedmark%e2%84%a2-magnetic-tape-measure</v>
      </c>
      <c r="C3085" t="s">
        <v>7286</v>
      </c>
      <c r="D3085" t="s">
        <v>7287</v>
      </c>
      <c r="E3085" s="3" t="str">
        <f>HYPERLINK("https://www.amazon.com/Komelon-7430-MagGrip-Measuring-Magnetic/dp/B000HE9W2Q/ref=sr_1_2?keywords=Komelon+7330+30%27+X+1%22+MagGrip%E2%84%A2+SpeedMark%E2%84%A2%2C+Magnetic+Tape+Measure&amp;qid=1695174280&amp;sr=8-2", "https://www.amazon.com/Komelon-7430-MagGrip-Measuring-Magnetic/dp/B000HE9W2Q/ref=sr_1_2?keywords=Komelon+7330+30%27+X+1%22+MagGrip%E2%84%A2+SpeedMark%E2%84%A2%2C+Magnetic+Tape+Measure&amp;qid=1695174280&amp;sr=8-2")</f>
        <v>https://www.amazon.com/Komelon-7430-MagGrip-Measuring-Magnetic/dp/B000HE9W2Q/ref=sr_1_2?keywords=Komelon+7330+30%27+X+1%22+MagGrip%E2%84%A2+SpeedMark%E2%84%A2%2C+Magnetic+Tape+Measure&amp;qid=1695174280&amp;sr=8-2</v>
      </c>
      <c r="F3085" t="s">
        <v>7288</v>
      </c>
      <c r="G3085" t="e">
        <f ca="1">_xludf.IMAGE("https://edmondsonsupply.com/cdn/shop/products/7330_angledExtended.jpg?v=1633030981")</f>
        <v>#NAME?</v>
      </c>
      <c r="H3085" t="e">
        <f ca="1">_xludf.IMAGE("https://m.media-amazon.com/images/I/71fr97yv+HS._AC_UL320_.jpg")</f>
        <v>#NAME?</v>
      </c>
      <c r="I3085" t="s">
        <v>276</v>
      </c>
      <c r="J3085">
        <v>19.989999999999998</v>
      </c>
      <c r="K3085" s="4">
        <v>0.33360000000000001</v>
      </c>
      <c r="L3085">
        <v>4.5</v>
      </c>
      <c r="M3085">
        <v>124</v>
      </c>
      <c r="O3085" t="s">
        <v>25</v>
      </c>
      <c r="P3085" t="s">
        <v>138</v>
      </c>
      <c r="Q3085" t="s">
        <v>7289</v>
      </c>
    </row>
    <row r="3086" spans="1:17" ht="15.5" x14ac:dyDescent="0.35">
      <c r="A3086" s="3" t="str">
        <f>HYPERLINK("https://edmondsonsupply.com/collections/electricians-tools/products/klein-tools-93lcls-laser-level-self-leveling-red-cross-line-level-and-red-plumb-spot", "https://edmondsonsupply.com/collections/electricians-tools/products/klein-tools-93lcls-laser-level-self-leveling-red-cross-line-level-and-red-plumb-spot")</f>
        <v>https://edmondsonsupply.com/collections/electricians-tools/products/klein-tools-93lcls-laser-level-self-leveling-red-cross-line-level-and-red-plumb-spot</v>
      </c>
      <c r="B3086" s="3" t="str">
        <f>HYPERLINK("https://edmondsonsupply.com/products/klein-tools-93lcls-laser-level-self-leveling-red-cross-line-level-and-red-plumb-spot", "https://edmondsonsupply.com/products/klein-tools-93lcls-laser-level-self-leveling-red-cross-line-level-and-red-plumb-spot")</f>
        <v>https://edmondsonsupply.com/products/klein-tools-93lcls-laser-level-self-leveling-red-cross-line-level-and-red-plumb-spot</v>
      </c>
      <c r="C3086" t="s">
        <v>7290</v>
      </c>
      <c r="D3086" t="s">
        <v>7291</v>
      </c>
      <c r="E3086" s="3" t="str">
        <f>HYPERLINK("https://www.amazon.com/Klein-Tools-93LCLG-Cross-Line-Leveling/dp/B0866NY3NW/ref=sr_1_2?keywords=Klein+Tools+93LCLS+Laser+Level%2C+Self-Leveling+Red+Cross-Line+Level+and+Red+Plumb+Spot&amp;qid=1695174282&amp;sr=8-2", "https://www.amazon.com/Klein-Tools-93LCLG-Cross-Line-Leveling/dp/B0866NY3NW/ref=sr_1_2?keywords=Klein+Tools+93LCLS+Laser+Level%2C+Self-Leveling+Red+Cross-Line+Level+and+Red+Plumb+Spot&amp;qid=1695174282&amp;sr=8-2")</f>
        <v>https://www.amazon.com/Klein-Tools-93LCLG-Cross-Line-Leveling/dp/B0866NY3NW/ref=sr_1_2?keywords=Klein+Tools+93LCLS+Laser+Level%2C+Self-Leveling+Red+Cross-Line+Level+and+Red+Plumb+Spot&amp;qid=1695174282&amp;sr=8-2</v>
      </c>
      <c r="F3086" t="s">
        <v>7292</v>
      </c>
      <c r="G3086" t="e">
        <f ca="1">_xludf.IMAGE("https://edmondsonsupply.com/cdn/shop/files/93lcls_b.jpg?v=1685714711")</f>
        <v>#NAME?</v>
      </c>
      <c r="H3086" t="e">
        <f ca="1">_xludf.IMAGE("https://m.media-amazon.com/images/I/51lR5gFHBUL._AC_UL320_.jpg")</f>
        <v>#NAME?</v>
      </c>
      <c r="I3086" t="s">
        <v>7293</v>
      </c>
      <c r="J3086">
        <v>199.99</v>
      </c>
      <c r="K3086" s="4">
        <v>0.33350000000000002</v>
      </c>
      <c r="L3086">
        <v>4.5999999999999996</v>
      </c>
      <c r="M3086">
        <v>786</v>
      </c>
      <c r="O3086" t="s">
        <v>25</v>
      </c>
      <c r="P3086" t="s">
        <v>7294</v>
      </c>
      <c r="Q3086" t="s">
        <v>7295</v>
      </c>
    </row>
    <row r="3087" spans="1:17" ht="15.5" x14ac:dyDescent="0.35">
      <c r="A3087"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3087" s="3" t="str">
        <f>HYPERLINK("https://edmondsonsupply.com/products/klein-tools-60401-hard-hat-vented-full-brim-style", "https://edmondsonsupply.com/products/klein-tools-60401-hard-hat-vented-full-brim-style")</f>
        <v>https://edmondsonsupply.com/products/klein-tools-60401-hard-hat-vented-full-brim-style</v>
      </c>
      <c r="C3087" t="s">
        <v>943</v>
      </c>
      <c r="D3087" t="s">
        <v>900</v>
      </c>
      <c r="E3087" s="3" t="str">
        <f>HYPERLINK("https://www.amazon.com/Klein-Tools-60407RL-Rechargeable-Odor-Resistant/dp/B08DDTV9M3/ref=sr_1_1?keywords=Klein+Tools+60401+Hard+Hat%2C+Vented%2C+Full+Brim+Style&amp;qid=1695173946&amp;sr=8-1", "https://www.amazon.com/Klein-Tools-60407RL-Rechargeable-Odor-Resistant/dp/B08DDTV9M3/ref=sr_1_1?keywords=Klein+Tools+60401+Hard+Hat%2C+Vented%2C+Full+Brim+Style&amp;qid=1695173946&amp;sr=8-1")</f>
        <v>https://www.amazon.com/Klein-Tools-60407RL-Rechargeable-Odor-Resistant/dp/B08DDTV9M3/ref=sr_1_1?keywords=Klein+Tools+60401+Hard+Hat%2C+Vented%2C+Full+Brim+Style&amp;qid=1695173946&amp;sr=8-1</v>
      </c>
      <c r="F3087" t="s">
        <v>901</v>
      </c>
      <c r="G3087" t="e">
        <f ca="1">_xludf.IMAGE("https://edmondsonsupply.com/cdn/shop/products/60401.jpg?v=1587143271")</f>
        <v>#NAME?</v>
      </c>
      <c r="H3087" t="e">
        <f ca="1">_xludf.IMAGE("https://m.media-amazon.com/images/I/61w2MM+yDgL._AC_UL320_.jpg")</f>
        <v>#NAME?</v>
      </c>
      <c r="I3087" t="s">
        <v>946</v>
      </c>
      <c r="J3087">
        <v>59.99</v>
      </c>
      <c r="K3087" s="4">
        <v>0.33339999999999997</v>
      </c>
      <c r="L3087">
        <v>4.7</v>
      </c>
      <c r="M3087">
        <v>1577</v>
      </c>
      <c r="O3087" t="s">
        <v>25</v>
      </c>
      <c r="P3087" t="s">
        <v>947</v>
      </c>
      <c r="Q3087" t="s">
        <v>948</v>
      </c>
    </row>
    <row r="3088" spans="1:17" ht="15.5" x14ac:dyDescent="0.35">
      <c r="A3088"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3088"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3088" t="s">
        <v>7296</v>
      </c>
      <c r="D3088" t="s">
        <v>1691</v>
      </c>
      <c r="E3088" s="3" t="str">
        <f>HYPERLINK("https://www.amazon.com/Klein-Tools-647M-Magnetic-7-Piece/dp/B000MKIUYQ/ref=sr_1_8?keywords=Klein+Tools+631+Nut+Driver+Set%2C+3-Inch+Shafts%2C+Cushion+Grip%2C+7-Piece&amp;qid=1695174239&amp;sr=8-8", "https://www.amazon.com/Klein-Tools-647M-Magnetic-7-Piece/dp/B000MKIUYQ/ref=sr_1_8?keywords=Klein+Tools+631+Nut+Driver+Set%2C+3-Inch+Shafts%2C+Cushion+Grip%2C+7-Piece&amp;qid=1695174239&amp;sr=8-8")</f>
        <v>https://www.amazon.com/Klein-Tools-647M-Magnetic-7-Piece/dp/B000MKIUYQ/ref=sr_1_8?keywords=Klein+Tools+631+Nut+Driver+Set%2C+3-Inch+Shafts%2C+Cushion+Grip%2C+7-Piece&amp;qid=1695174239&amp;sr=8-8</v>
      </c>
      <c r="F3088" t="s">
        <v>1692</v>
      </c>
      <c r="G3088" t="e">
        <f ca="1">_xludf.IMAGE("https://edmondsonsupply.com/cdn/shop/products/631.jpg?v=1632441079")</f>
        <v>#NAME?</v>
      </c>
      <c r="H3088" t="e">
        <f ca="1">_xludf.IMAGE("https://m.media-amazon.com/images/I/61PNUE211uL._AC_UL320_.jpg")</f>
        <v>#NAME?</v>
      </c>
      <c r="I3088" t="s">
        <v>905</v>
      </c>
      <c r="J3088">
        <v>79.989999999999995</v>
      </c>
      <c r="K3088" s="4">
        <v>0.33339999999999997</v>
      </c>
      <c r="L3088">
        <v>4.8</v>
      </c>
      <c r="M3088">
        <v>985</v>
      </c>
      <c r="O3088" t="s">
        <v>25</v>
      </c>
      <c r="P3088" t="s">
        <v>7297</v>
      </c>
      <c r="Q3088" t="s">
        <v>7298</v>
      </c>
    </row>
    <row r="3089" spans="1:17" ht="15.5" x14ac:dyDescent="0.35">
      <c r="A3089"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3089"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3089" t="s">
        <v>7299</v>
      </c>
      <c r="D3089" t="s">
        <v>6602</v>
      </c>
      <c r="E3089" s="3" t="str">
        <f>HYPERLINK("https://www.amazon.com/Conduit-Technology-Benchmark-Klein-Tools/dp/B08L3ZQCT1/ref=sr_1_2?keywords=Klein+Tools+51604+Iron+Conduit+Bender+Full+Assembly%2C+3%2F4-Inch+EMT+with+Angle+Setter%E2%84%A2&amp;qid=1695174174&amp;sr=8-2", "https://www.amazon.com/Conduit-Technology-Benchmark-Klein-Tools/dp/B08L3ZQCT1/ref=sr_1_2?keywords=Klein+Tools+51604+Iron+Conduit+Bender+Full+Assembly%2C+3%2F4-Inch+EMT+with+Angle+Setter%E2%84%A2&amp;qid=1695174174&amp;sr=8-2")</f>
        <v>https://www.amazon.com/Conduit-Technology-Benchmark-Klein-Tools/dp/B08L3ZQCT1/ref=sr_1_2?keywords=Klein+Tools+51604+Iron+Conduit+Bender+Full+Assembly%2C+3%2F4-Inch+EMT+with+Angle+Setter%E2%84%A2&amp;qid=1695174174&amp;sr=8-2</v>
      </c>
      <c r="F3089" t="s">
        <v>6603</v>
      </c>
      <c r="G3089" t="e">
        <f ca="1">_xludf.IMAGE("https://edmondsonsupply.com/cdn/shop/products/51603.jpg?v=1660829273")</f>
        <v>#NAME?</v>
      </c>
      <c r="H3089" t="e">
        <f ca="1">_xludf.IMAGE("https://m.media-amazon.com/images/I/41stj4NcdUL._AC_UL320_.jpg")</f>
        <v>#NAME?</v>
      </c>
      <c r="I3089" t="s">
        <v>320</v>
      </c>
      <c r="J3089">
        <v>99.97</v>
      </c>
      <c r="K3089" s="4">
        <v>0.33310000000000001</v>
      </c>
      <c r="L3089">
        <v>4.7</v>
      </c>
      <c r="M3089">
        <v>60</v>
      </c>
      <c r="O3089" t="s">
        <v>171</v>
      </c>
      <c r="P3089" t="s">
        <v>306</v>
      </c>
      <c r="Q3089" t="s">
        <v>7300</v>
      </c>
    </row>
    <row r="3090" spans="1:17" ht="15.5" x14ac:dyDescent="0.35">
      <c r="A3090"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3090"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3090" t="s">
        <v>7089</v>
      </c>
      <c r="D3090" t="s">
        <v>2473</v>
      </c>
      <c r="E3090" s="3" t="str">
        <f>HYPERLINK("https://www.amazon.com/Channellock-Tongue-12-Inch-Straight-Comfort/dp/B0BFXP68V9/ref=sr_1_7?keywords=Channellock+440X+12-Inch+SPEEDGRIP%E2%84%A2+Straight+Jaw+Tongue+%26+Groove+Pliers&amp;qid=1695174216&amp;sr=8-7", "https://www.amazon.com/Channellock-Tongue-12-Inch-Straight-Comfort/dp/B0BFXP68V9/ref=sr_1_7?keywords=Channellock+440X+12-Inch+SPEEDGRIP%E2%84%A2+Straight+Jaw+Tongue+%26+Groove+Pliers&amp;qid=1695174216&amp;sr=8-7")</f>
        <v>https://www.amazon.com/Channellock-Tongue-12-Inch-Straight-Comfort/dp/B0BFXP68V9/ref=sr_1_7?keywords=Channellock+440X+12-Inch+SPEEDGRIP%E2%84%A2+Straight+Jaw+Tongue+%26+Groove+Pliers&amp;qid=1695174216&amp;sr=8-7</v>
      </c>
      <c r="F3090" t="s">
        <v>2474</v>
      </c>
      <c r="G3090" t="e">
        <f ca="1">_xludf.IMAGE("https://edmondsonsupply.com/cdn/shop/products/440X.jpg?v=1647104734")</f>
        <v>#NAME?</v>
      </c>
      <c r="H3090" t="e">
        <f ca="1">_xludf.IMAGE("https://m.media-amazon.com/images/I/41d-z+Tl0SL._AC_UL320_.jpg")</f>
        <v>#NAME?</v>
      </c>
      <c r="I3090" t="s">
        <v>122</v>
      </c>
      <c r="J3090">
        <v>43.9</v>
      </c>
      <c r="K3090" s="4">
        <v>0.33229999999999998</v>
      </c>
      <c r="L3090">
        <v>5</v>
      </c>
      <c r="M3090">
        <v>2</v>
      </c>
      <c r="O3090" t="s">
        <v>25</v>
      </c>
      <c r="P3090" t="s">
        <v>7092</v>
      </c>
      <c r="Q3090" t="s">
        <v>7093</v>
      </c>
    </row>
    <row r="3091" spans="1:17" ht="15.5" x14ac:dyDescent="0.35">
      <c r="A3091"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3091"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3091" t="s">
        <v>1566</v>
      </c>
      <c r="D3091" t="s">
        <v>3501</v>
      </c>
      <c r="E3091" s="3" t="str">
        <f>HYPERLINK("https://www.amazon.com/Non-Contact-Voltage-Flashlight-Klein-Tools/dp/B00XJQ9ZE4/ref=sr_1_3?keywords=Klein+Tools+NCVT-2PKIT+Dual+Range+Non-Contact+Voltage+Tester+with+Receptacle+Tester&amp;qid=1695173953&amp;sr=8-3", "https://www.amazon.com/Non-Contact-Voltage-Flashlight-Klein-Tools/dp/B00XJQ9ZE4/ref=sr_1_3?keywords=Klein+Tools+NCVT-2PKIT+Dual+Range+Non-Contact+Voltage+Tester+with+Receptacle+Tester&amp;qid=1695173953&amp;sr=8-3")</f>
        <v>https://www.amazon.com/Non-Contact-Voltage-Flashlight-Klein-Tools/dp/B00XJQ9ZE4/ref=sr_1_3?keywords=Klein+Tools+NCVT-2PKIT+Dual+Range+Non-Contact+Voltage+Tester+with+Receptacle+Tester&amp;qid=1695173953&amp;sr=8-3</v>
      </c>
      <c r="F3091" t="s">
        <v>3502</v>
      </c>
      <c r="G3091" t="e">
        <f ca="1">_xludf.IMAGE("https://edmondsonsupply.com/cdn/shop/products/ncvt2pkit.jpg?v=1633030827")</f>
        <v>#NAME?</v>
      </c>
      <c r="H3091" t="e">
        <f ca="1">_xludf.IMAGE("https://m.media-amazon.com/images/I/51dcyyMwUjL._AC_UL320_.jpg")</f>
        <v>#NAME?</v>
      </c>
      <c r="I3091" t="s">
        <v>26</v>
      </c>
      <c r="J3091">
        <v>39.89</v>
      </c>
      <c r="K3091" s="4">
        <v>0.3301</v>
      </c>
      <c r="L3091">
        <v>4.5</v>
      </c>
      <c r="M3091">
        <v>1685</v>
      </c>
      <c r="O3091" t="s">
        <v>25</v>
      </c>
      <c r="P3091" t="s">
        <v>1569</v>
      </c>
      <c r="Q3091" t="s">
        <v>1570</v>
      </c>
    </row>
    <row r="3092" spans="1:17" ht="15.5" x14ac:dyDescent="0.35">
      <c r="A3092" s="3" t="str">
        <f>HYPERLINK("https://edmondsonsupply.com/collections/electricians-tools/products/milwaukee-49-56-0509-diamond-max%E2%84%A2-hole-saws", "https://edmondsonsupply.com/collections/electricians-tools/products/milwaukee-49-56-0509-diamond-max%E2%84%A2-hole-saws")</f>
        <v>https://edmondsonsupply.com/collections/electricians-tools/products/milwaukee-49-56-0509-diamond-max%E2%84%A2-hole-saws</v>
      </c>
      <c r="B3092" s="3" t="str">
        <f>HYPERLINK("https://edmondsonsupply.com/products/milwaukee-49-56-0509-diamond-max%e2%84%a2-hole-saws", "https://edmondsonsupply.com/products/milwaukee-49-56-0509-diamond-max%e2%84%a2-hole-saws")</f>
        <v>https://edmondsonsupply.com/products/milwaukee-49-56-0509-diamond-max%e2%84%a2-hole-saws</v>
      </c>
      <c r="C3092" t="s">
        <v>6654</v>
      </c>
      <c r="D3092" t="s">
        <v>7301</v>
      </c>
      <c r="E3092" s="3" t="str">
        <f>HYPERLINK("https://www.amazon.com/Milwaukee-49-56-0513-Diamond-One-Piece-Hole/dp/B00LCUC50A/ref=sr_1_8?keywords=Milwaukee+49-56-0509+3%2F8%22+Diamond+MAX%E2%84%A2+Hole+Saw&amp;qid=1695174089&amp;sr=8-8", "https://www.amazon.com/Milwaukee-49-56-0513-Diamond-One-Piece-Hole/dp/B00LCUC50A/ref=sr_1_8?keywords=Milwaukee+49-56-0509+3%2F8%22+Diamond+MAX%E2%84%A2+Hole+Saw&amp;qid=1695174089&amp;sr=8-8")</f>
        <v>https://www.amazon.com/Milwaukee-49-56-0513-Diamond-One-Piece-Hole/dp/B00LCUC50A/ref=sr_1_8?keywords=Milwaukee+49-56-0509+3%2F8%22+Diamond+MAX%E2%84%A2+Hole+Saw&amp;qid=1695174089&amp;sr=8-8</v>
      </c>
      <c r="F3092" t="s">
        <v>7302</v>
      </c>
      <c r="G3092" t="e">
        <f ca="1">_xludf.IMAGE("https://edmondsonsupply.com/cdn/shop/products/images.jpg?v=1678461630")</f>
        <v>#NAME?</v>
      </c>
      <c r="H3092" t="e">
        <f ca="1">_xludf.IMAGE("https://m.media-amazon.com/images/I/61kXBTILFoL._AC_UL320_.jpg")</f>
        <v>#NAME?</v>
      </c>
      <c r="I3092" t="s">
        <v>3867</v>
      </c>
      <c r="J3092">
        <v>26.5</v>
      </c>
      <c r="K3092" s="4">
        <v>0.32629999999999998</v>
      </c>
      <c r="L3092">
        <v>4.7</v>
      </c>
      <c r="M3092">
        <v>33</v>
      </c>
      <c r="O3092" t="s">
        <v>25</v>
      </c>
      <c r="P3092" t="s">
        <v>6657</v>
      </c>
      <c r="Q3092" t="s">
        <v>6658</v>
      </c>
    </row>
    <row r="3093" spans="1:17" ht="15.5" x14ac:dyDescent="0.35">
      <c r="A3093"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3093" s="3" t="str">
        <f>HYPERLINK("https://edmondsonsupply.com/products/milwaukee-49-56-0505-1-4-diamond-max%e2%84%a2-hole-saw", "https://edmondsonsupply.com/products/milwaukee-49-56-0505-1-4-diamond-max%e2%84%a2-hole-saw")</f>
        <v>https://edmondsonsupply.com/products/milwaukee-49-56-0505-1-4-diamond-max%e2%84%a2-hole-saw</v>
      </c>
      <c r="C3093" t="s">
        <v>6614</v>
      </c>
      <c r="D3093" t="s">
        <v>7301</v>
      </c>
      <c r="E3093" s="3" t="str">
        <f>HYPERLINK("https://www.amazon.com/Milwaukee-49-56-0513-Diamond-One-Piece-Hole/dp/B00LCUC50A/ref=sr_1_8?keywords=Milwaukee+49-56-0505+1%2F4%22+Diamond+MAX%E2%84%A2+Hole+Saw&amp;qid=1695174028&amp;sr=8-8", "https://www.amazon.com/Milwaukee-49-56-0513-Diamond-One-Piece-Hole/dp/B00LCUC50A/ref=sr_1_8?keywords=Milwaukee+49-56-0505+1%2F4%22+Diamond+MAX%E2%84%A2+Hole+Saw&amp;qid=1695174028&amp;sr=8-8")</f>
        <v>https://www.amazon.com/Milwaukee-49-56-0513-Diamond-One-Piece-Hole/dp/B00LCUC50A/ref=sr_1_8?keywords=Milwaukee+49-56-0505+1%2F4%22+Diamond+MAX%E2%84%A2+Hole+Saw&amp;qid=1695174028&amp;sr=8-8</v>
      </c>
      <c r="F3093" t="s">
        <v>7302</v>
      </c>
      <c r="G3093" t="e">
        <f ca="1">_xludf.IMAGE("https://edmondsonsupply.com/cdn/shop/products/49-56-0507_1.png?v=1680111300")</f>
        <v>#NAME?</v>
      </c>
      <c r="H3093" t="e">
        <f ca="1">_xludf.IMAGE("https://m.media-amazon.com/images/I/61kXBTILFoL._AC_UL320_.jpg")</f>
        <v>#NAME?</v>
      </c>
      <c r="I3093" t="s">
        <v>577</v>
      </c>
      <c r="J3093">
        <v>26.5</v>
      </c>
      <c r="K3093" s="4">
        <v>0.32569999999999999</v>
      </c>
      <c r="L3093">
        <v>4.7</v>
      </c>
      <c r="M3093">
        <v>33</v>
      </c>
      <c r="O3093" t="s">
        <v>25</v>
      </c>
      <c r="P3093" t="s">
        <v>6617</v>
      </c>
      <c r="Q3093" t="s">
        <v>6618</v>
      </c>
    </row>
    <row r="3094" spans="1:17" ht="15.5" x14ac:dyDescent="0.35">
      <c r="A3094"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3094" s="3" t="str">
        <f>HYPERLINK("https://edmondsonsupply.com/products/klein-tools-58888-12-pocket-tool-tote-with-shoulder-strap", "https://edmondsonsupply.com/products/klein-tools-58888-12-pocket-tool-tote-with-shoulder-strap")</f>
        <v>https://edmondsonsupply.com/products/klein-tools-58888-12-pocket-tool-tote-with-shoulder-strap</v>
      </c>
      <c r="C3094" t="s">
        <v>445</v>
      </c>
      <c r="D3094" t="s">
        <v>446</v>
      </c>
      <c r="E3094" s="3" t="str">
        <f>HYPERLINK("https://www.amazon.com/Tradesman-High-Visibility-Klein-Tools-55598/dp/B01NCB4ZTN/ref=sr_1_8?keywords=Klein+Tools+58888+12+Pocket+Tool+Tote+with+Shoulder+Strap&amp;qid=1695174176&amp;sr=8-8", "https://www.amazon.com/Tradesman-High-Visibility-Klein-Tools-55598/dp/B01NCB4ZTN/ref=sr_1_8?keywords=Klein+Tools+58888+12+Pocket+Tool+Tote+with+Shoulder+Strap&amp;qid=1695174176&amp;sr=8-8")</f>
        <v>https://www.amazon.com/Tradesman-High-Visibility-Klein-Tools-55598/dp/B01NCB4ZTN/ref=sr_1_8?keywords=Klein+Tools+58888+12+Pocket+Tool+Tote+with+Shoulder+Strap&amp;qid=1695174176&amp;sr=8-8</v>
      </c>
      <c r="F3094" t="s">
        <v>447</v>
      </c>
      <c r="G3094" t="e">
        <f ca="1">_xludf.IMAGE("https://edmondsonsupply.com/cdn/shop/products/58888.jpg?v=1660004615")</f>
        <v>#NAME?</v>
      </c>
      <c r="H3094" t="e">
        <f ca="1">_xludf.IMAGE("https://m.media-amazon.com/images/I/71VOyZPFAxL._AC_UL320_.jpg")</f>
        <v>#NAME?</v>
      </c>
      <c r="I3094" t="s">
        <v>448</v>
      </c>
      <c r="J3094">
        <v>109.99</v>
      </c>
      <c r="K3094" s="4">
        <v>0.32529999999999998</v>
      </c>
      <c r="L3094">
        <v>4.3</v>
      </c>
      <c r="M3094">
        <v>72</v>
      </c>
      <c r="O3094" t="s">
        <v>25</v>
      </c>
      <c r="P3094" t="s">
        <v>449</v>
      </c>
      <c r="Q3094" t="s">
        <v>450</v>
      </c>
    </row>
    <row r="3095" spans="1:17" ht="15.5" x14ac:dyDescent="0.35">
      <c r="A3095"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3095" s="3" t="str">
        <f>HYPERLINK("https://edmondsonsupply.com/products/klein-tools-d2000-9ne-linemans-pliers-9-inch", "https://edmondsonsupply.com/products/klein-tools-d2000-9ne-linemans-pliers-9-inch")</f>
        <v>https://edmondsonsupply.com/products/klein-tools-d2000-9ne-linemans-pliers-9-inch</v>
      </c>
      <c r="C3095" t="s">
        <v>6770</v>
      </c>
      <c r="D3095" t="s">
        <v>7303</v>
      </c>
      <c r="E3095" s="3" t="str">
        <f>HYPERLINK("https://www.amazon.com/Ironworker-Cutting-Klein-Tools-D2000-9ST/dp/B0002RI9GI/ref=sr_1_7?keywords=Klein+Tools+D2000-9NE+Linemans+Pliers%2C+9-Inch&amp;qid=1695174298&amp;sr=8-7", "https://www.amazon.com/Ironworker-Cutting-Klein-Tools-D2000-9ST/dp/B0002RI9GI/ref=sr_1_7?keywords=Klein+Tools+D2000-9NE+Linemans+Pliers%2C+9-Inch&amp;qid=1695174298&amp;sr=8-7")</f>
        <v>https://www.amazon.com/Ironworker-Cutting-Klein-Tools-D2000-9ST/dp/B0002RI9GI/ref=sr_1_7?keywords=Klein+Tools+D2000-9NE+Linemans+Pliers%2C+9-Inch&amp;qid=1695174298&amp;sr=8-7</v>
      </c>
      <c r="F3095" t="s">
        <v>7304</v>
      </c>
      <c r="G3095" t="e">
        <f ca="1">_xludf.IMAGE("https://edmondsonsupply.com/cdn/shop/products/d20009ne.jpg?v=1633030816")</f>
        <v>#NAME?</v>
      </c>
      <c r="H3095" t="e">
        <f ca="1">_xludf.IMAGE("https://m.media-amazon.com/images/I/41ESKqayXNL._AC_UL320_.jpg")</f>
        <v>#NAME?</v>
      </c>
      <c r="I3095" t="s">
        <v>198</v>
      </c>
      <c r="J3095">
        <v>52.99</v>
      </c>
      <c r="K3095" s="4">
        <v>0.3251</v>
      </c>
      <c r="L3095">
        <v>4.7</v>
      </c>
      <c r="M3095">
        <v>1014</v>
      </c>
      <c r="O3095" t="s">
        <v>25</v>
      </c>
      <c r="P3095" t="s">
        <v>6773</v>
      </c>
      <c r="Q3095" t="s">
        <v>6774</v>
      </c>
    </row>
    <row r="3096" spans="1:17" ht="15.5" x14ac:dyDescent="0.35">
      <c r="A3096" s="3" t="str">
        <f>HYPERLINK("https://edmondsonsupply.com/collections/electricians-tools/products/klein-tools-66075-flip-impact-socket-11-16-and-5-8-inch", "https://edmondsonsupply.com/collections/electricians-tools/products/klein-tools-66075-flip-impact-socket-11-16-and-5-8-inch")</f>
        <v>https://edmondsonsupply.com/collections/electricians-tools/products/klein-tools-66075-flip-impact-socket-11-16-and-5-8-inch</v>
      </c>
      <c r="B3096" s="3" t="str">
        <f>HYPERLINK("https://edmondsonsupply.com/products/klein-tools-66075-flip-impact-socket-11-16-and-5-8-inch", "https://edmondsonsupply.com/products/klein-tools-66075-flip-impact-socket-11-16-and-5-8-inch")</f>
        <v>https://edmondsonsupply.com/products/klein-tools-66075-flip-impact-socket-11-16-and-5-8-inch</v>
      </c>
      <c r="C3096" t="s">
        <v>7305</v>
      </c>
      <c r="D3096" t="s">
        <v>7306</v>
      </c>
      <c r="E3096" s="3" t="str">
        <f>HYPERLINK("https://www.amazon.com/Klein-Tools-66075-Wrenches-BAT20CW1/dp/B0B33YLHPQ/ref=sr_1_1?keywords=Klein+Tools+66075+Flip+Impact+Socket%2C+11%2F16+and+5%2F8-Inch&amp;qid=1695174156&amp;sr=8-1", "https://www.amazon.com/Klein-Tools-66075-Wrenches-BAT20CW1/dp/B0B33YLHPQ/ref=sr_1_1?keywords=Klein+Tools+66075+Flip+Impact+Socket%2C+11%2F16+and+5%2F8-Inch&amp;qid=1695174156&amp;sr=8-1")</f>
        <v>https://www.amazon.com/Klein-Tools-66075-Wrenches-BAT20CW1/dp/B0B33YLHPQ/ref=sr_1_1?keywords=Klein+Tools+66075+Flip+Impact+Socket%2C+11%2F16+and+5%2F8-Inch&amp;qid=1695174156&amp;sr=8-1</v>
      </c>
      <c r="F3096" t="s">
        <v>7307</v>
      </c>
      <c r="G3096" t="e">
        <f ca="1">_xludf.IMAGE("https://edmondsonsupply.com/cdn/shop/products/66075.jpg?v=1663248197")</f>
        <v>#NAME?</v>
      </c>
      <c r="H3096" t="e">
        <f ca="1">_xludf.IMAGE("https://m.media-amazon.com/images/I/51OgCXHWbtL._AC_UL320_.jpg")</f>
        <v>#NAME?</v>
      </c>
      <c r="I3096" t="s">
        <v>6241</v>
      </c>
      <c r="J3096">
        <v>16.809999999999999</v>
      </c>
      <c r="K3096" s="4">
        <v>0.3226</v>
      </c>
      <c r="L3096">
        <v>1</v>
      </c>
      <c r="M3096">
        <v>1</v>
      </c>
      <c r="O3096" t="s">
        <v>25</v>
      </c>
      <c r="P3096" t="s">
        <v>6242</v>
      </c>
      <c r="Q3096" t="s">
        <v>7308</v>
      </c>
    </row>
    <row r="3097" spans="1:17" ht="15.5" x14ac:dyDescent="0.35">
      <c r="A3097"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3097" s="3" t="str">
        <f>HYPERLINK("https://edmondsonsupply.com/products/milwaukee-49-90-1900-hepa-filter", "https://edmondsonsupply.com/products/milwaukee-49-90-1900-hepa-filter")</f>
        <v>https://edmondsonsupply.com/products/milwaukee-49-90-1900-hepa-filter</v>
      </c>
      <c r="C3097" t="s">
        <v>5831</v>
      </c>
      <c r="D3097" t="s">
        <v>5856</v>
      </c>
      <c r="E3097" s="3" t="str">
        <f>HYPERLINK("https://www.amazon.com/49-90-1900-Milwaukee-Compatible-Cordless-0780-20/dp/B0CB5BCMWC/ref=sr_1_2?keywords=Milwaukee+49-90-1900+HEPA+Filter&amp;qid=1695174010&amp;sr=8-2", "https://www.amazon.com/49-90-1900-Milwaukee-Compatible-Cordless-0780-20/dp/B0CB5BCMWC/ref=sr_1_2?keywords=Milwaukee+49-90-1900+HEPA+Filter&amp;qid=1695174010&amp;sr=8-2")</f>
        <v>https://www.amazon.com/49-90-1900-Milwaukee-Compatible-Cordless-0780-20/dp/B0CB5BCMWC/ref=sr_1_2?keywords=Milwaukee+49-90-1900+HEPA+Filter&amp;qid=1695174010&amp;sr=8-2</v>
      </c>
      <c r="F3097" t="s">
        <v>5857</v>
      </c>
      <c r="G3097" t="e">
        <f ca="1">_xludf.IMAGE("https://edmondsonsupply.com/cdn/shop/files/49-90-1900_1.png?v=1686234774")</f>
        <v>#NAME?</v>
      </c>
      <c r="H3097" t="e">
        <f ca="1">_xludf.IMAGE("https://m.media-amazon.com/images/I/71C38zY2mIL._AC_UL320_.jpg")</f>
        <v>#NAME?</v>
      </c>
      <c r="I3097" t="s">
        <v>2170</v>
      </c>
      <c r="J3097">
        <v>32.99</v>
      </c>
      <c r="K3097" s="4">
        <v>0.32069999999999999</v>
      </c>
      <c r="L3097">
        <v>4.5999999999999996</v>
      </c>
      <c r="M3097">
        <v>47</v>
      </c>
      <c r="O3097" t="s">
        <v>25</v>
      </c>
      <c r="P3097" t="s">
        <v>2470</v>
      </c>
      <c r="Q3097" t="s">
        <v>5834</v>
      </c>
    </row>
    <row r="3098" spans="1:17" ht="15.5" x14ac:dyDescent="0.35">
      <c r="A3098"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3098" s="3" t="str">
        <f>HYPERLINK("https://edmondsonsupply.com/products/milwaukee-49-90-1900-hepa-filter", "https://edmondsonsupply.com/products/milwaukee-49-90-1900-hepa-filter")</f>
        <v>https://edmondsonsupply.com/products/milwaukee-49-90-1900-hepa-filter</v>
      </c>
      <c r="C3098" t="s">
        <v>5831</v>
      </c>
      <c r="D3098" t="s">
        <v>5858</v>
      </c>
      <c r="E3098" s="3" t="str">
        <f>HYPERLINK("https://www.amazon.com/Anewise-49-90-1900-Replacement-Milwaukee-0880-20/dp/B0C149NC9Q/ref=sr_1_8?keywords=Milwaukee+49-90-1900+HEPA+Filter&amp;qid=1695174010&amp;sr=8-8", "https://www.amazon.com/Anewise-49-90-1900-Replacement-Milwaukee-0880-20/dp/B0C149NC9Q/ref=sr_1_8?keywords=Milwaukee+49-90-1900+HEPA+Filter&amp;qid=1695174010&amp;sr=8-8")</f>
        <v>https://www.amazon.com/Anewise-49-90-1900-Replacement-Milwaukee-0880-20/dp/B0C149NC9Q/ref=sr_1_8?keywords=Milwaukee+49-90-1900+HEPA+Filter&amp;qid=1695174010&amp;sr=8-8</v>
      </c>
      <c r="F3098" t="s">
        <v>5859</v>
      </c>
      <c r="G3098" t="e">
        <f ca="1">_xludf.IMAGE("https://edmondsonsupply.com/cdn/shop/files/49-90-1900_1.png?v=1686234774")</f>
        <v>#NAME?</v>
      </c>
      <c r="H3098" t="e">
        <f ca="1">_xludf.IMAGE("https://m.media-amazon.com/images/I/713gthAL4TL._AC_UL320_.jpg")</f>
        <v>#NAME?</v>
      </c>
      <c r="I3098" t="s">
        <v>2170</v>
      </c>
      <c r="J3098">
        <v>32.99</v>
      </c>
      <c r="K3098" s="4">
        <v>0.32069999999999999</v>
      </c>
      <c r="L3098">
        <v>5</v>
      </c>
      <c r="M3098">
        <v>6</v>
      </c>
      <c r="O3098" t="s">
        <v>25</v>
      </c>
      <c r="P3098" t="s">
        <v>2470</v>
      </c>
      <c r="Q3098" t="s">
        <v>5834</v>
      </c>
    </row>
    <row r="3099" spans="1:17" ht="15.5" x14ac:dyDescent="0.35">
      <c r="A3099"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3099"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3099" t="s">
        <v>6824</v>
      </c>
      <c r="D3099" t="s">
        <v>7309</v>
      </c>
      <c r="E3099" s="3" t="str">
        <f>HYPERLINK("https://www.amazon.com/Klein-Tools-Digital-Multimeter-Carrying/dp/B08MG1HXLJ/ref=sr_1_4?keywords=Klein+Tools+ET310+Digital+Circuit+Breaker+Finder+with+GFCI+Outlet+Tester&amp;qid=1695173862&amp;sr=8-4", "https://www.amazon.com/Klein-Tools-Digital-Multimeter-Carrying/dp/B08MG1HXLJ/ref=sr_1_4?keywords=Klein+Tools+ET310+Digital+Circuit+Breaker+Finder+with+GFCI+Outlet+Tester&amp;qid=1695173862&amp;sr=8-4")</f>
        <v>https://www.amazon.com/Klein-Tools-Digital-Multimeter-Carrying/dp/B08MG1HXLJ/ref=sr_1_4?keywords=Klein+Tools+ET310+Digital+Circuit+Breaker+Finder+with+GFCI+Outlet+Tester&amp;qid=1695173862&amp;sr=8-4</v>
      </c>
      <c r="F3099" t="s">
        <v>7310</v>
      </c>
      <c r="G3099" t="e">
        <f ca="1">_xludf.IMAGE("https://edmondsonsupply.com/cdn/shop/products/et310_c.jpg?v=1646963918")</f>
        <v>#NAME?</v>
      </c>
      <c r="H3099" t="e">
        <f ca="1">_xludf.IMAGE("https://m.media-amazon.com/images/I/61ZZ2BSEYbL._AC_UL320_.jpg")</f>
        <v>#NAME?</v>
      </c>
      <c r="I3099" t="s">
        <v>380</v>
      </c>
      <c r="J3099">
        <v>65.97</v>
      </c>
      <c r="K3099" s="4">
        <v>0.32019999999999998</v>
      </c>
      <c r="L3099">
        <v>4.8</v>
      </c>
      <c r="M3099">
        <v>138</v>
      </c>
      <c r="O3099" t="s">
        <v>25</v>
      </c>
      <c r="P3099" t="s">
        <v>6825</v>
      </c>
      <c r="Q3099" t="s">
        <v>6826</v>
      </c>
    </row>
    <row r="3100" spans="1:17" ht="15.5" x14ac:dyDescent="0.35">
      <c r="A3100" s="3" t="str">
        <f>HYPERLINK("https://edmondsonsupply.com/collections/electricians-tools/products/fluke-179-true-rms-digital-multimeter", "https://edmondsonsupply.com/collections/electricians-tools/products/fluke-179-true-rms-digital-multimeter")</f>
        <v>https://edmondsonsupply.com/collections/electricians-tools/products/fluke-179-true-rms-digital-multimeter</v>
      </c>
      <c r="B3100" s="3" t="str">
        <f>HYPERLINK("https://edmondsonsupply.com/products/fluke-179-true-rms-digital-multimeter", "https://edmondsonsupply.com/products/fluke-179-true-rms-digital-multimeter")</f>
        <v>https://edmondsonsupply.com/products/fluke-179-true-rms-digital-multimeter</v>
      </c>
      <c r="C3100" t="s">
        <v>7311</v>
      </c>
      <c r="D3100" t="s">
        <v>7312</v>
      </c>
      <c r="E3100" s="3" t="str">
        <f>HYPERLINK("https://www.amazon.com/Fluke-Multimeter-NIST-Traceable-Calibration-Certificate/dp/B01CFXID8U/ref=sr_1_6?keywords=Fluke+179+True-RMS+Digital+Multimeter&amp;qid=1695174291&amp;sr=8-6", "https://www.amazon.com/Fluke-Multimeter-NIST-Traceable-Calibration-Certificate/dp/B01CFXID8U/ref=sr_1_6?keywords=Fluke+179+True-RMS+Digital+Multimeter&amp;qid=1695174291&amp;sr=8-6")</f>
        <v>https://www.amazon.com/Fluke-Multimeter-NIST-Traceable-Calibration-Certificate/dp/B01CFXID8U/ref=sr_1_6?keywords=Fluke+179+True-RMS+Digital+Multimeter&amp;qid=1695174291&amp;sr=8-6</v>
      </c>
      <c r="F3100" t="s">
        <v>7313</v>
      </c>
      <c r="G3100" t="e">
        <f ca="1">_xludf.IMAGE("https://edmondsonsupply.com/cdn/shop/products/e0021116_431x600_31fa1fdc-90ee-45e4-8560-4be681a24cfe.jpg?v=1633030926")</f>
        <v>#NAME?</v>
      </c>
      <c r="H3100" t="e">
        <f ca="1">_xludf.IMAGE("https://m.media-amazon.com/images/I/61r+cy9w6fL._AC_UL320_.jpg")</f>
        <v>#NAME?</v>
      </c>
      <c r="I3100" t="s">
        <v>7314</v>
      </c>
      <c r="J3100">
        <v>519.99</v>
      </c>
      <c r="K3100" s="4">
        <v>0.31909999999999999</v>
      </c>
      <c r="L3100">
        <v>4.4000000000000004</v>
      </c>
      <c r="M3100">
        <v>7</v>
      </c>
      <c r="O3100" t="s">
        <v>171</v>
      </c>
      <c r="P3100" t="s">
        <v>7315</v>
      </c>
      <c r="Q3100" t="s">
        <v>7316</v>
      </c>
    </row>
    <row r="3101" spans="1:17" ht="15.5" x14ac:dyDescent="0.35">
      <c r="A3101"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3101"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3101" t="s">
        <v>7055</v>
      </c>
      <c r="D3101" t="s">
        <v>7317</v>
      </c>
      <c r="E3101" s="3" t="str">
        <f>HYPERLINK("https://www.amazon.com/Klein-Tools-11054EINS-Electricians-Insulated/dp/B00JGG5VJ4/ref=sr_1_10?keywords=Klein+Tools+11055RINS+Insulated+Klein-Kurve%C2%AE+Wire+Stripper+and+Cutter&amp;qid=1695174134&amp;sr=8-10", "https://www.amazon.com/Klein-Tools-11054EINS-Electricians-Insulated/dp/B00JGG5VJ4/ref=sr_1_10?keywords=Klein+Tools+11055RINS+Insulated+Klein-Kurve%C2%AE+Wire+Stripper+and+Cutter&amp;qid=1695174134&amp;sr=8-10")</f>
        <v>https://www.amazon.com/Klein-Tools-11054EINS-Electricians-Insulated/dp/B00JGG5VJ4/ref=sr_1_10?keywords=Klein+Tools+11055RINS+Insulated+Klein-Kurve%C2%AE+Wire+Stripper+and+Cutter&amp;qid=1695174134&amp;sr=8-10</v>
      </c>
      <c r="F3101" t="s">
        <v>7318</v>
      </c>
      <c r="G3101" t="e">
        <f ca="1">_xludf.IMAGE("https://edmondsonsupply.com/cdn/shop/products/11055rins.jpg?v=1667236979")</f>
        <v>#NAME?</v>
      </c>
      <c r="H3101" t="e">
        <f ca="1">_xludf.IMAGE("https://m.media-amazon.com/images/I/415hBJVvvML._AC_UL320_.jpg")</f>
        <v>#NAME?</v>
      </c>
      <c r="I3101" t="s">
        <v>824</v>
      </c>
      <c r="J3101">
        <v>39.5</v>
      </c>
      <c r="K3101" s="4">
        <v>0.318</v>
      </c>
      <c r="L3101">
        <v>4.5999999999999996</v>
      </c>
      <c r="M3101">
        <v>245</v>
      </c>
      <c r="O3101" t="s">
        <v>25</v>
      </c>
      <c r="P3101" t="s">
        <v>562</v>
      </c>
      <c r="Q3101" t="s">
        <v>7056</v>
      </c>
    </row>
    <row r="3102" spans="1:17" ht="15.5" x14ac:dyDescent="0.35">
      <c r="A3102" s="3" t="str">
        <f>HYPERLINK("https://edmondsonsupply.com/collections/electricians-tools/products/milwaukee-48-22-7213-10l-aluminum-pipe-wrench-with-powerlength%E2%84%A2-handle", "https://edmondsonsupply.com/collections/electricians-tools/products/milwaukee-48-22-7213-10l-aluminum-pipe-wrench-with-powerlength%E2%84%A2-handle")</f>
        <v>https://edmondsonsupply.com/collections/electricians-tools/products/milwaukee-48-22-7213-10l-aluminum-pipe-wrench-with-powerlength%E2%84%A2-handle</v>
      </c>
      <c r="B3102" s="3" t="str">
        <f>HYPERLINK("https://edmondsonsupply.com/products/milwaukee-48-22-7213-10l-aluminum-pipe-wrench-with-powerlength%e2%84%a2-handle", "https://edmondsonsupply.com/products/milwaukee-48-22-7213-10l-aluminum-pipe-wrench-with-powerlength%e2%84%a2-handle")</f>
        <v>https://edmondsonsupply.com/products/milwaukee-48-22-7213-10l-aluminum-pipe-wrench-with-powerlength%e2%84%a2-handle</v>
      </c>
      <c r="C3102" t="s">
        <v>3515</v>
      </c>
      <c r="D3102" t="s">
        <v>3516</v>
      </c>
      <c r="E3102" s="3" t="str">
        <f>HYPERLINK("https://www.amazon.com/Milwaukee-48-22-7213-Aluminum-Wrench-POWERLENGTH/dp/B09VQ6CYDG/ref=sr_1_1?keywords=Milwaukee+48-22-7213+10L+Aluminum+Pipe+Wrench+with+POWERLENGTH%E2%84%A2+Handle&amp;qid=1695173885&amp;sr=8-1", "https://www.amazon.com/Milwaukee-48-22-7213-Aluminum-Wrench-POWERLENGTH/dp/B09VQ6CYDG/ref=sr_1_1?keywords=Milwaukee+48-22-7213+10L+Aluminum+Pipe+Wrench+with+POWERLENGTH%E2%84%A2+Handle&amp;qid=1695173885&amp;sr=8-1")</f>
        <v>https://www.amazon.com/Milwaukee-48-22-7213-Aluminum-Wrench-POWERLENGTH/dp/B09VQ6CYDG/ref=sr_1_1?keywords=Milwaukee+48-22-7213+10L+Aluminum+Pipe+Wrench+with+POWERLENGTH%E2%84%A2+Handle&amp;qid=1695173885&amp;sr=8-1</v>
      </c>
      <c r="F3102" t="s">
        <v>3517</v>
      </c>
      <c r="G3102" t="e">
        <f ca="1">_xludf.IMAGE("https://edmondsonsupply.com/cdn/shop/products/48-22-7213_1.png?v=1675699294")</f>
        <v>#NAME?</v>
      </c>
      <c r="H3102" t="e">
        <f ca="1">_xludf.IMAGE("https://m.media-amazon.com/images/I/51qzHa1LxNL._AC_UL320_.jpg")</f>
        <v>#NAME?</v>
      </c>
      <c r="I3102" t="s">
        <v>3359</v>
      </c>
      <c r="J3102">
        <v>72.36</v>
      </c>
      <c r="K3102" s="4">
        <v>0.31640000000000001</v>
      </c>
      <c r="L3102">
        <v>5</v>
      </c>
      <c r="M3102">
        <v>6</v>
      </c>
      <c r="O3102" t="s">
        <v>25</v>
      </c>
      <c r="P3102" t="s">
        <v>3518</v>
      </c>
      <c r="Q3102" t="s">
        <v>3519</v>
      </c>
    </row>
    <row r="3103" spans="1:17" ht="15.5" x14ac:dyDescent="0.35">
      <c r="A3103"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3103" s="3" t="str">
        <f>HYPERLINK("https://edmondsonsupply.com/products/klein-tools-630m-magnetic-nut-driver-set-3-inch-shafts-2-piece", "https://edmondsonsupply.com/products/klein-tools-630m-magnetic-nut-driver-set-3-inch-shafts-2-piece")</f>
        <v>https://edmondsonsupply.com/products/klein-tools-630m-magnetic-nut-driver-set-3-inch-shafts-2-piece</v>
      </c>
      <c r="C3103" t="s">
        <v>1690</v>
      </c>
      <c r="D3103" t="s">
        <v>1894</v>
      </c>
      <c r="E3103" s="3" t="str">
        <f>HYPERLINK("https://www.amazon.com/Magnetic-16-Inch-Klein-Tools-646M/dp/B000936QV0/ref=sr_1_3?keywords=Klein+Tools+630M+Magnetic+Nut+Driver+Set%2C+3-Inch+Shafts%2C+2-Piece&amp;qid=1695173928&amp;sr=8-3", "https://www.amazon.com/Magnetic-16-Inch-Klein-Tools-646M/dp/B000936QV0/ref=sr_1_3?keywords=Klein+Tools+630M+Magnetic+Nut+Driver+Set%2C+3-Inch+Shafts%2C+2-Piece&amp;qid=1695173928&amp;sr=8-3")</f>
        <v>https://www.amazon.com/Magnetic-16-Inch-Klein-Tools-646M/dp/B000936QV0/ref=sr_1_3?keywords=Klein+Tools+630M+Magnetic+Nut+Driver+Set%2C+3-Inch+Shafts%2C+2-Piece&amp;qid=1695173928&amp;sr=8-3</v>
      </c>
      <c r="F3103" t="s">
        <v>1895</v>
      </c>
      <c r="G3103" t="e">
        <f ca="1">_xludf.IMAGE("https://edmondsonsupply.com/cdn/shop/products/630m.jpg?v=1587143237")</f>
        <v>#NAME?</v>
      </c>
      <c r="H3103" t="e">
        <f ca="1">_xludf.IMAGE("https://m.media-amazon.com/images/I/41lkJ6KRq9L._AC_UL320_.jpg")</f>
        <v>#NAME?</v>
      </c>
      <c r="I3103" t="s">
        <v>1687</v>
      </c>
      <c r="J3103">
        <v>24.99</v>
      </c>
      <c r="K3103" s="4">
        <v>0.316</v>
      </c>
      <c r="L3103">
        <v>4.8</v>
      </c>
      <c r="M3103">
        <v>1654</v>
      </c>
      <c r="O3103" t="s">
        <v>25</v>
      </c>
      <c r="P3103" t="s">
        <v>1693</v>
      </c>
      <c r="Q3103" t="s">
        <v>1694</v>
      </c>
    </row>
    <row r="3104" spans="1:17" ht="15.5" x14ac:dyDescent="0.35">
      <c r="A3104" s="3" t="str">
        <f>HYPERLINK("https://edmondsonsupply.com/collections/electricians-tools/products/rack-a-tiers-11455-wire-dispenser", "https://edmondsonsupply.com/collections/electricians-tools/products/rack-a-tiers-11455-wire-dispenser")</f>
        <v>https://edmondsonsupply.com/collections/electricians-tools/products/rack-a-tiers-11455-wire-dispenser</v>
      </c>
      <c r="B3104" s="3" t="str">
        <f>HYPERLINK("https://edmondsonsupply.com/products/rack-a-tiers-11455-wire-dispenser", "https://edmondsonsupply.com/products/rack-a-tiers-11455-wire-dispenser")</f>
        <v>https://edmondsonsupply.com/products/rack-a-tiers-11455-wire-dispenser</v>
      </c>
      <c r="C3104" t="s">
        <v>7319</v>
      </c>
      <c r="D3104" t="s">
        <v>7320</v>
      </c>
      <c r="E3104" s="3" t="str">
        <f>HYPERLINK("https://www.amazon.com/55455-Rack-Tiers-Z-Roll/dp/B0076B0M0O/ref=sr_1_8?keywords=Rack-A-Tiers+11455+Wire+Dispenser&amp;qid=1695173848&amp;sr=8-8", "https://www.amazon.com/55455-Rack-Tiers-Z-Roll/dp/B0076B0M0O/ref=sr_1_8?keywords=Rack-A-Tiers+11455+Wire+Dispenser&amp;qid=1695173848&amp;sr=8-8")</f>
        <v>https://www.amazon.com/55455-Rack-Tiers-Z-Roll/dp/B0076B0M0O/ref=sr_1_8?keywords=Rack-A-Tiers+11455+Wire+Dispenser&amp;qid=1695173848&amp;sr=8-8</v>
      </c>
      <c r="F3104" t="s">
        <v>7321</v>
      </c>
      <c r="G3104" t="e">
        <f ca="1">_xludf.IMAGE("https://edmondsonsupply.com/cdn/shop/products/11455.png?v=1587150070")</f>
        <v>#NAME?</v>
      </c>
      <c r="H3104" t="e">
        <f ca="1">_xludf.IMAGE("https://m.media-amazon.com/images/I/31tR7p5NNsL._AC_UL320_.jpg")</f>
        <v>#NAME?</v>
      </c>
      <c r="I3104" t="s">
        <v>7322</v>
      </c>
      <c r="J3104">
        <v>138.49</v>
      </c>
      <c r="K3104" s="4">
        <v>0.31409999999999999</v>
      </c>
      <c r="L3104">
        <v>4.5</v>
      </c>
      <c r="M3104">
        <v>73</v>
      </c>
      <c r="O3104" t="s">
        <v>25</v>
      </c>
      <c r="P3104" t="s">
        <v>4016</v>
      </c>
      <c r="Q3104" t="s">
        <v>7323</v>
      </c>
    </row>
    <row r="3105" spans="1:17" ht="15.5" x14ac:dyDescent="0.35">
      <c r="A3105"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3105"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3105" t="s">
        <v>6995</v>
      </c>
      <c r="D3105" t="s">
        <v>4278</v>
      </c>
      <c r="E3105" s="3" t="str">
        <f>HYPERLINK("https://www.amazon.com/Multimeter-Non-Contact-Klein-Tools-MM320KIT/dp/B08W1THSM8/ref=sr_1_2?keywords=Klein+Tools+69149P+Test+Kit+with+Multimeter%2C+Non-Contact+Volt+Tester%2C+Receptacle+Tester&amp;qid=1695174288&amp;sr=8-2", "https://www.amazon.com/Multimeter-Non-Contact-Klein-Tools-MM320KIT/dp/B08W1THSM8/ref=sr_1_2?keywords=Klein+Tools+69149P+Test+Kit+with+Multimeter%2C+Non-Contact+Volt+Tester%2C+Receptacle+Tester&amp;qid=1695174288&amp;sr=8-2")</f>
        <v>https://www.amazon.com/Multimeter-Non-Contact-Klein-Tools-MM320KIT/dp/B08W1THSM8/ref=sr_1_2?keywords=Klein+Tools+69149P+Test+Kit+with+Multimeter%2C+Non-Contact+Volt+Tester%2C+Receptacle+Tester&amp;qid=1695174288&amp;sr=8-2</v>
      </c>
      <c r="F3105" t="s">
        <v>4279</v>
      </c>
      <c r="G3105" t="e">
        <f ca="1">_xludf.IMAGE("https://edmondsonsupply.com/cdn/shop/products/69149p.jpg?v=1664479017")</f>
        <v>#NAME?</v>
      </c>
      <c r="H3105" t="e">
        <f ca="1">_xludf.IMAGE("https://m.media-amazon.com/images/I/61xZtUfGpuL._AC_UL320_.jpg")</f>
        <v>#NAME?</v>
      </c>
      <c r="I3105" t="s">
        <v>246</v>
      </c>
      <c r="J3105">
        <v>52.49</v>
      </c>
      <c r="K3105" s="4">
        <v>0.31319999999999998</v>
      </c>
      <c r="L3105">
        <v>4.8</v>
      </c>
      <c r="M3105">
        <v>1458</v>
      </c>
      <c r="O3105" t="s">
        <v>25</v>
      </c>
      <c r="P3105" t="s">
        <v>6996</v>
      </c>
      <c r="Q3105" t="s">
        <v>6997</v>
      </c>
    </row>
    <row r="3106" spans="1:17" ht="15.5" x14ac:dyDescent="0.35">
      <c r="A3106" s="3" t="str">
        <f>HYPERLINK("https://edmondsonsupply.com/collections/electricians-tools/products/milwaukee-48-08-2745-m18-fuel%E2%84%A2-30-degree-framing-nailer-extended-capacity-magazine", "https://edmondsonsupply.com/collections/electricians-tools/products/milwaukee-48-08-2745-m18-fuel%E2%84%A2-30-degree-framing-nailer-extended-capacity-magazine")</f>
        <v>https://edmondsonsupply.com/collections/electricians-tools/products/milwaukee-48-08-2745-m18-fuel%E2%84%A2-30-degree-framing-nailer-extended-capacity-magazine</v>
      </c>
      <c r="B3106" s="3" t="str">
        <f>HYPERLINK("https://edmondsonsupply.com/products/milwaukee-48-08-2745-m18-fuel%e2%84%a2-30-degree-framing-nailer-extended-capacity-magazine", "https://edmondsonsupply.com/products/milwaukee-48-08-2745-m18-fuel%e2%84%a2-30-degree-framing-nailer-extended-capacity-magazine")</f>
        <v>https://edmondsonsupply.com/products/milwaukee-48-08-2745-m18-fuel%e2%84%a2-30-degree-framing-nailer-extended-capacity-magazine</v>
      </c>
      <c r="C3106" t="s">
        <v>7324</v>
      </c>
      <c r="D3106" t="s">
        <v>7325</v>
      </c>
      <c r="E3106" s="3" t="str">
        <f>HYPERLINK("https://www.amazon.com/Fortool-48-08-2745-Milwaukee-Magnesium-Extension/dp/B09YP6L87F/ref=sr_1_1?keywords=Milwaukee+48-08-2745+M18+FUEL%E2%84%A2+30+Degree+Framing+Nailer+Extended+Capacity+Magazine&amp;qid=1695174002&amp;sr=8-1", "https://www.amazon.com/Fortool-48-08-2745-Milwaukee-Magnesium-Extension/dp/B09YP6L87F/ref=sr_1_1?keywords=Milwaukee+48-08-2745+M18+FUEL%E2%84%A2+30+Degree+Framing+Nailer+Extended+Capacity+Magazine&amp;qid=1695174002&amp;sr=8-1")</f>
        <v>https://www.amazon.com/Fortool-48-08-2745-Milwaukee-Magnesium-Extension/dp/B09YP6L87F/ref=sr_1_1?keywords=Milwaukee+48-08-2745+M18+FUEL%E2%84%A2+30+Degree+Framing+Nailer+Extended+Capacity+Magazine&amp;qid=1695174002&amp;sr=8-1</v>
      </c>
      <c r="F3106" t="s">
        <v>7326</v>
      </c>
      <c r="G3106" t="e">
        <f ca="1">_xludf.IMAGE("https://edmondsonsupply.com/cdn/shop/files/48-08-2745_1.webp?v=1690296209")</f>
        <v>#NAME?</v>
      </c>
      <c r="H3106" t="e">
        <f ca="1">_xludf.IMAGE("https://m.media-amazon.com/images/I/71Gy7pjCzKL._AC_UL320_.jpg")</f>
        <v>#NAME?</v>
      </c>
      <c r="I3106" t="s">
        <v>7327</v>
      </c>
      <c r="J3106">
        <v>129.99</v>
      </c>
      <c r="K3106" s="4">
        <v>0.313</v>
      </c>
      <c r="L3106">
        <v>3</v>
      </c>
      <c r="M3106">
        <v>2</v>
      </c>
      <c r="O3106" t="s">
        <v>25</v>
      </c>
      <c r="P3106" t="s">
        <v>7328</v>
      </c>
      <c r="Q3106" t="s">
        <v>7329</v>
      </c>
    </row>
    <row r="3107" spans="1:17" ht="15.5" x14ac:dyDescent="0.35">
      <c r="A3107" s="3" t="str">
        <f>HYPERLINK("https://edmondsonsupply.com/collections/electricians-tools/products/milwaukee-48-08-2744-m18-fuel%E2%84%A2-21-degree-framing-nailer-extended-capacity-magazine", "https://edmondsonsupply.com/collections/electricians-tools/products/milwaukee-48-08-2744-m18-fuel%E2%84%A2-21-degree-framing-nailer-extended-capacity-magazine")</f>
        <v>https://edmondsonsupply.com/collections/electricians-tools/products/milwaukee-48-08-2744-m18-fuel%E2%84%A2-21-degree-framing-nailer-extended-capacity-magazine</v>
      </c>
      <c r="B3107" s="3" t="str">
        <f>HYPERLINK("https://edmondsonsupply.com/products/milwaukee-48-08-2744-m18-fuel%e2%84%a2-21-degree-framing-nailer-extended-capacity-magazine", "https://edmondsonsupply.com/products/milwaukee-48-08-2744-m18-fuel%e2%84%a2-21-degree-framing-nailer-extended-capacity-magazine")</f>
        <v>https://edmondsonsupply.com/products/milwaukee-48-08-2744-m18-fuel%e2%84%a2-21-degree-framing-nailer-extended-capacity-magazine</v>
      </c>
      <c r="C3107" t="s">
        <v>7330</v>
      </c>
      <c r="D3107" t="s">
        <v>7325</v>
      </c>
      <c r="E3107" s="3" t="str">
        <f>HYPERLINK("https://www.amazon.com/Fortool-48-08-2745-Milwaukee-Magnesium-Extension/dp/B09YP6L87F/ref=sr_1_4?keywords=Milwaukee+48-08-2744+M18+FUEL%E2%84%A2+21+Degree+Framing+Nailer+Extended+Capacity+Magazine&amp;qid=1695174095&amp;sr=8-4", "https://www.amazon.com/Fortool-48-08-2745-Milwaukee-Magnesium-Extension/dp/B09YP6L87F/ref=sr_1_4?keywords=Milwaukee+48-08-2744+M18+FUEL%E2%84%A2+21+Degree+Framing+Nailer+Extended+Capacity+Magazine&amp;qid=1695174095&amp;sr=8-4")</f>
        <v>https://www.amazon.com/Fortool-48-08-2745-Milwaukee-Magnesium-Extension/dp/B09YP6L87F/ref=sr_1_4?keywords=Milwaukee+48-08-2744+M18+FUEL%E2%84%A2+21+Degree+Framing+Nailer+Extended+Capacity+Magazine&amp;qid=1695174095&amp;sr=8-4</v>
      </c>
      <c r="F3107" t="s">
        <v>7326</v>
      </c>
      <c r="G3107" t="e">
        <f ca="1">_xludf.IMAGE("https://edmondsonsupply.com/cdn/shop/products/48-08-2744_1.webp?v=1672863053")</f>
        <v>#NAME?</v>
      </c>
      <c r="H3107" t="e">
        <f ca="1">_xludf.IMAGE("https://m.media-amazon.com/images/I/71Gy7pjCzKL._AC_UL320_.jpg")</f>
        <v>#NAME?</v>
      </c>
      <c r="I3107" t="s">
        <v>7327</v>
      </c>
      <c r="J3107">
        <v>129.99</v>
      </c>
      <c r="K3107" s="4">
        <v>0.313</v>
      </c>
      <c r="L3107">
        <v>3</v>
      </c>
      <c r="M3107">
        <v>2</v>
      </c>
      <c r="O3107" t="s">
        <v>25</v>
      </c>
      <c r="P3107" t="s">
        <v>7328</v>
      </c>
      <c r="Q3107" t="s">
        <v>7331</v>
      </c>
    </row>
    <row r="3108" spans="1:17" ht="15.5" x14ac:dyDescent="0.35">
      <c r="A3108"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3108" s="3" t="str">
        <f>HYPERLINK("https://edmondsonsupply.com/products/klein-tools-646-1-4-1-4-inch-nut-driver-with-6-inch-hollow-shaft", "https://edmondsonsupply.com/products/klein-tools-646-1-4-1-4-inch-nut-driver-with-6-inch-hollow-shaft")</f>
        <v>https://edmondsonsupply.com/products/klein-tools-646-1-4-1-4-inch-nut-driver-with-6-inch-hollow-shaft</v>
      </c>
      <c r="C3108" t="s">
        <v>1478</v>
      </c>
      <c r="D3108" t="s">
        <v>3528</v>
      </c>
      <c r="E3108" s="3" t="str">
        <f>HYPERLINK("https://www.amazon.com/4-Inch-Cushion-Klein-Tools-630-1/dp/B00093DZR8/ref=sr_1_6?keywords=Klein+Tools+646-1%2F4+1%2F4-Inch+Nut+Driver+with+6-Inch+Hollow+Shaft&amp;qid=1695173897&amp;sr=8-6", "https://www.amazon.com/4-Inch-Cushion-Klein-Tools-630-1/dp/B00093DZR8/ref=sr_1_6?keywords=Klein+Tools+646-1%2F4+1%2F4-Inch+Nut+Driver+with+6-Inch+Hollow+Shaft&amp;qid=1695173897&amp;sr=8-6")</f>
        <v>https://www.amazon.com/4-Inch-Cushion-Klein-Tools-630-1/dp/B00093DZR8/ref=sr_1_6?keywords=Klein+Tools+646-1%2F4+1%2F4-Inch+Nut+Driver+with+6-Inch+Hollow+Shaft&amp;qid=1695173897&amp;sr=8-6</v>
      </c>
      <c r="F3108" t="s">
        <v>3529</v>
      </c>
      <c r="G3108" t="e">
        <f ca="1">_xludf.IMAGE("https://edmondsonsupply.com/cdn/shop/products/646-1-2_08d87fa9-eac4-4869-8d3b-bb680d4b1d53.jpg?v=1587150676")</f>
        <v>#NAME?</v>
      </c>
      <c r="H3108" t="e">
        <f ca="1">_xludf.IMAGE("https://m.media-amazon.com/images/I/41gchQgPtfL._AC_UL320_.jpg")</f>
        <v>#NAME?</v>
      </c>
      <c r="I3108" t="s">
        <v>1003</v>
      </c>
      <c r="J3108">
        <v>10.49</v>
      </c>
      <c r="K3108" s="4">
        <v>0.31290000000000001</v>
      </c>
      <c r="L3108">
        <v>4.8</v>
      </c>
      <c r="M3108">
        <v>59</v>
      </c>
      <c r="O3108" t="s">
        <v>25</v>
      </c>
      <c r="P3108" t="s">
        <v>1481</v>
      </c>
      <c r="Q3108" t="s">
        <v>1482</v>
      </c>
    </row>
    <row r="3109" spans="1:17" ht="15.5" x14ac:dyDescent="0.35">
      <c r="A3109"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3109"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109" t="s">
        <v>919</v>
      </c>
      <c r="D3109" t="s">
        <v>974</v>
      </c>
      <c r="E3109" s="3" t="str">
        <f>HYPERLINK("https://www.amazon.com/Klein-Tools-60537-Professional-Protective/dp/B0BLQM26TJ/ref=sr_1_7?keywords=Klein+Tools+60470+Professional+Full-Frame+Gasket+Safety+Glasses%2C+Clear+Lens&amp;qid=1695174156&amp;sr=8-7", "https://www.amazon.com/Klein-Tools-60537-Professional-Protective/dp/B0BLQM26TJ/ref=sr_1_7?keywords=Klein+Tools+60470+Professional+Full-Frame+Gasket+Safety+Glasses%2C+Clear+Lens&amp;qid=1695174156&amp;sr=8-7")</f>
        <v>https://www.amazon.com/Klein-Tools-60537-Professional-Protective/dp/B0BLQM26TJ/ref=sr_1_7?keywords=Klein+Tools+60470+Professional+Full-Frame+Gasket+Safety+Glasses%2C+Clear+Lens&amp;qid=1695174156&amp;sr=8-7</v>
      </c>
      <c r="F3109" t="s">
        <v>975</v>
      </c>
      <c r="G3109" t="e">
        <f ca="1">_xludf.IMAGE("https://edmondsonsupply.com/cdn/shop/products/60470.jpg?v=1663260659")</f>
        <v>#NAME?</v>
      </c>
      <c r="H3109" t="e">
        <f ca="1">_xludf.IMAGE("https://m.media-amazon.com/images/I/41ZbdEu2lCL._AC_UL320_.jpg")</f>
        <v>#NAME?</v>
      </c>
      <c r="I3109" t="s">
        <v>252</v>
      </c>
      <c r="J3109">
        <v>20.99</v>
      </c>
      <c r="K3109" s="4">
        <v>0.31269999999999998</v>
      </c>
      <c r="L3109">
        <v>4.5</v>
      </c>
      <c r="M3109">
        <v>15</v>
      </c>
      <c r="O3109" t="s">
        <v>25</v>
      </c>
      <c r="P3109" t="s">
        <v>854</v>
      </c>
      <c r="Q3109" t="s">
        <v>920</v>
      </c>
    </row>
    <row r="3110" spans="1:17" ht="15.5" x14ac:dyDescent="0.35">
      <c r="A3110" s="3" t="str">
        <f>HYPERLINK("https://edmondsonsupply.com/collections/electricians-tools/products/klein-tools-60538-professional-full-frame-gasket-safety-glasses-indoor-outdoor-lens", "https://edmondsonsupply.com/collections/electricians-tools/products/klein-tools-60538-professional-full-frame-gasket-safety-glasses-indoor-outdoor-lens")</f>
        <v>https://edmondsonsupply.com/collections/electricians-tools/products/klein-tools-60538-professional-full-frame-gasket-safety-glasses-indoor-outdoor-lens</v>
      </c>
      <c r="B3110" s="3" t="str">
        <f>HYPERLINK("https://edmondsonsupply.com/products/klein-tools-60538-professional-full-frame-gasket-safety-glasses-indoor-outdoor-lens", "https://edmondsonsupply.com/products/klein-tools-60538-professional-full-frame-gasket-safety-glasses-indoor-outdoor-lens")</f>
        <v>https://edmondsonsupply.com/products/klein-tools-60538-professional-full-frame-gasket-safety-glasses-indoor-outdoor-lens</v>
      </c>
      <c r="C3110" t="s">
        <v>1012</v>
      </c>
      <c r="D3110" t="s">
        <v>974</v>
      </c>
      <c r="E3110" s="3" t="str">
        <f>HYPERLINK("https://www.amazon.com/Klein-Tools-60537-Professional-Protective/dp/B0BLQM26TJ/ref=sr_1_2?keywords=Klein+Tools+60538+Professional+Full-Frame+Gasket+Safety+Glasses%2C+Indoor%2FOutdoor+Lens&amp;qid=1695174094&amp;sr=8-2", "https://www.amazon.com/Klein-Tools-60537-Professional-Protective/dp/B0BLQM26TJ/ref=sr_1_2?keywords=Klein+Tools+60538+Professional+Full-Frame+Gasket+Safety+Glasses%2C+Indoor%2FOutdoor+Lens&amp;qid=1695174094&amp;sr=8-2")</f>
        <v>https://www.amazon.com/Klein-Tools-60537-Professional-Protective/dp/B0BLQM26TJ/ref=sr_1_2?keywords=Klein+Tools+60538+Professional+Full-Frame+Gasket+Safety+Glasses%2C+Indoor%2FOutdoor+Lens&amp;qid=1695174094&amp;sr=8-2</v>
      </c>
      <c r="F3110" t="s">
        <v>975</v>
      </c>
      <c r="G3110" t="e">
        <f ca="1">_xludf.IMAGE("https://edmondsonsupply.com/cdn/shop/products/60470_1.jpg?v=1670947470")</f>
        <v>#NAME?</v>
      </c>
      <c r="H3110" t="e">
        <f ca="1">_xludf.IMAGE("https://m.media-amazon.com/images/I/41ZbdEu2lCL._AC_UL320_.jpg")</f>
        <v>#NAME?</v>
      </c>
      <c r="I3110" t="s">
        <v>252</v>
      </c>
      <c r="J3110">
        <v>20.99</v>
      </c>
      <c r="K3110" s="4">
        <v>0.31269999999999998</v>
      </c>
      <c r="L3110">
        <v>4.5</v>
      </c>
      <c r="M3110">
        <v>15</v>
      </c>
      <c r="O3110" t="s">
        <v>25</v>
      </c>
      <c r="P3110" t="s">
        <v>854</v>
      </c>
      <c r="Q3110" t="s">
        <v>1013</v>
      </c>
    </row>
    <row r="3111" spans="1:17" ht="15.5" x14ac:dyDescent="0.35">
      <c r="A3111"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3111"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111" t="s">
        <v>853</v>
      </c>
      <c r="D3111" t="s">
        <v>974</v>
      </c>
      <c r="E3111" s="3" t="str">
        <f>HYPERLINK("https://www.amazon.com/Klein-Tools-60537-Professional-Protective/dp/B0BLQM26TJ/ref=sr_1_8?keywords=Klein+Tools+60471+Professional+Full-Frame+Gasket+Safety+Glasses%2C+Gray+Lens&amp;qid=1695174157&amp;sr=8-8", "https://www.amazon.com/Klein-Tools-60537-Professional-Protective/dp/B0BLQM26TJ/ref=sr_1_8?keywords=Klein+Tools+60471+Professional+Full-Frame+Gasket+Safety+Glasses%2C+Gray+Lens&amp;qid=1695174157&amp;sr=8-8")</f>
        <v>https://www.amazon.com/Klein-Tools-60537-Professional-Protective/dp/B0BLQM26TJ/ref=sr_1_8?keywords=Klein+Tools+60471+Professional+Full-Frame+Gasket+Safety+Glasses%2C+Gray+Lens&amp;qid=1695174157&amp;sr=8-8</v>
      </c>
      <c r="F3111" t="s">
        <v>975</v>
      </c>
      <c r="G3111" t="e">
        <f ca="1">_xludf.IMAGE("https://edmondsonsupply.com/cdn/shop/products/60471.jpg?v=1663257501")</f>
        <v>#NAME?</v>
      </c>
      <c r="H3111" t="e">
        <f ca="1">_xludf.IMAGE("https://m.media-amazon.com/images/I/41ZbdEu2lCL._AC_UL320_.jpg")</f>
        <v>#NAME?</v>
      </c>
      <c r="I3111" t="s">
        <v>252</v>
      </c>
      <c r="J3111">
        <v>20.99</v>
      </c>
      <c r="K3111" s="4">
        <v>0.31269999999999998</v>
      </c>
      <c r="L3111">
        <v>4.5</v>
      </c>
      <c r="M3111">
        <v>15</v>
      </c>
      <c r="O3111" t="s">
        <v>25</v>
      </c>
      <c r="P3111" t="s">
        <v>854</v>
      </c>
      <c r="Q3111" t="s">
        <v>855</v>
      </c>
    </row>
    <row r="3112" spans="1:17" ht="15.5" x14ac:dyDescent="0.35">
      <c r="A3112"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3112" s="3" t="str">
        <f>HYPERLINK("https://edmondsonsupply.com/products/diablo-tools-dag1130-1-in-x-7-1-2-in-auger-bit", "https://edmondsonsupply.com/products/diablo-tools-dag1130-1-in-x-7-1-2-in-auger-bit")</f>
        <v>https://edmondsonsupply.com/products/diablo-tools-dag1130-1-in-x-7-1-2-in-auger-bit</v>
      </c>
      <c r="C3112" t="s">
        <v>3530</v>
      </c>
      <c r="D3112" t="s">
        <v>3531</v>
      </c>
      <c r="E3112" s="3" t="str">
        <f>HYPERLINK("https://www.amazon.com/Diablo-Freud-DAG1140-1-1-Auger/dp/B089LK4BYB/ref=sr_1_5?keywords=Diablo+Tools+DAG1130+1+in.+x+7-1%2F2+in.+Auger+Bit&amp;qid=1695173913&amp;sr=8-5", "https://www.amazon.com/Diablo-Freud-DAG1140-1-1-Auger/dp/B089LK4BYB/ref=sr_1_5?keywords=Diablo+Tools+DAG1130+1+in.+x+7-1%2F2+in.+Auger+Bit&amp;qid=1695173913&amp;sr=8-5")</f>
        <v>https://www.amazon.com/Diablo-Freud-DAG1140-1-1-Auger/dp/B089LK4BYB/ref=sr_1_5?keywords=Diablo+Tools+DAG1130+1+in.+x+7-1%2F2+in.+Auger+Bit&amp;qid=1695173913&amp;sr=8-5</v>
      </c>
      <c r="F3112" t="s">
        <v>3532</v>
      </c>
      <c r="G3112" t="e">
        <f ca="1">_xludf.IMAGE("https://edmondsonsupply.com/cdn/shop/products/DAG1130_Main-Image20200712.png?v=1633031124")</f>
        <v>#NAME?</v>
      </c>
      <c r="H3112" t="e">
        <f ca="1">_xludf.IMAGE("https://m.media-amazon.com/images/I/71oBAD0fx0L._AC_UL320_.jpg")</f>
        <v>#NAME?</v>
      </c>
      <c r="I3112" t="s">
        <v>3533</v>
      </c>
      <c r="J3112">
        <v>21.47</v>
      </c>
      <c r="K3112" s="4">
        <v>0.3115</v>
      </c>
      <c r="L3112">
        <v>4.2</v>
      </c>
      <c r="M3112">
        <v>10</v>
      </c>
      <c r="O3112" t="s">
        <v>25</v>
      </c>
      <c r="P3112" t="s">
        <v>3534</v>
      </c>
      <c r="Q3112" t="s">
        <v>3535</v>
      </c>
    </row>
    <row r="3113" spans="1:17" ht="15.5" x14ac:dyDescent="0.35">
      <c r="A3113"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3113" s="3" t="str">
        <f>HYPERLINK("https://edmondsonsupply.com/products/diablo-tools-dsp2130-p2-1-in-x-6-in-spade-bit", "https://edmondsonsupply.com/products/diablo-tools-dsp2130-p2-1-in-x-6-in-spade-bit")</f>
        <v>https://edmondsonsupply.com/products/diablo-tools-dsp2130-p2-1-in-x-6-in-spade-bit</v>
      </c>
      <c r="C3113" t="s">
        <v>7211</v>
      </c>
      <c r="D3113" t="s">
        <v>5835</v>
      </c>
      <c r="E3113" s="3" t="str">
        <f>HYPERLINK("https://www.amazon.com/Diablo-SPEEDemon-Spade-Bit-2-Pack/dp/B089KV8K7W/ref=sr_1_7?keywords=Diablo+Tools+DSP2130-P2+1+in.+x+6+in.+Spade+Bit&amp;qid=1695174112&amp;sr=8-7", "https://www.amazon.com/Diablo-SPEEDemon-Spade-Bit-2-Pack/dp/B089KV8K7W/ref=sr_1_7?keywords=Diablo+Tools+DSP2130-P2+1+in.+x+6+in.+Spade+Bit&amp;qid=1695174112&amp;sr=8-7")</f>
        <v>https://www.amazon.com/Diablo-SPEEDemon-Spade-Bit-2-Pack/dp/B089KV8K7W/ref=sr_1_7?keywords=Diablo+Tools+DSP2130-P2+1+in.+x+6+in.+Spade+Bit&amp;qid=1695174112&amp;sr=8-7</v>
      </c>
      <c r="F3113" t="s">
        <v>5836</v>
      </c>
      <c r="G3113" t="e">
        <f ca="1">_xludf.IMAGE("https://edmondsonsupply.com/cdn/shop/products/peyjwqlntvnioikkr5be.webp?v=1670515689")</f>
        <v>#NAME?</v>
      </c>
      <c r="H3113" t="e">
        <f ca="1">_xludf.IMAGE("https://m.media-amazon.com/images/I/610FU8LQY+L._AC_UL320_.jpg")</f>
        <v>#NAME?</v>
      </c>
      <c r="I3113" t="s">
        <v>7212</v>
      </c>
      <c r="J3113">
        <v>8.3800000000000008</v>
      </c>
      <c r="K3113" s="4">
        <v>0.31140000000000001</v>
      </c>
      <c r="L3113">
        <v>4.7</v>
      </c>
      <c r="M3113">
        <v>40</v>
      </c>
      <c r="O3113" t="s">
        <v>25</v>
      </c>
      <c r="P3113" t="s">
        <v>138</v>
      </c>
      <c r="Q3113" t="s">
        <v>7213</v>
      </c>
    </row>
    <row r="3114" spans="1:17" ht="15.5" x14ac:dyDescent="0.35">
      <c r="A3114" s="3" t="str">
        <f>HYPERLINK("https://edmondsonsupply.com/collections/electricians-tools/products/klein-tools-jth9e06-3-32-inch-hex-key-journeyman%E2%84%A2-t-handle-9-inch", "https://edmondsonsupply.com/collections/electricians-tools/products/klein-tools-jth9e06-3-32-inch-hex-key-journeyman%E2%84%A2-t-handle-9-inch")</f>
        <v>https://edmondsonsupply.com/collections/electricians-tools/products/klein-tools-jth9e06-3-32-inch-hex-key-journeyman%E2%84%A2-t-handle-9-inch</v>
      </c>
      <c r="B3114" s="3" t="str">
        <f>HYPERLINK("https://edmondsonsupply.com/products/klein-tools-jth9e06-3-32-inch-hex-key-journeyman%e2%84%a2-t-handle-9-inch", "https://edmondsonsupply.com/products/klein-tools-jth9e06-3-32-inch-hex-key-journeyman%e2%84%a2-t-handle-9-inch")</f>
        <v>https://edmondsonsupply.com/products/klein-tools-jth9e06-3-32-inch-hex-key-journeyman%e2%84%a2-t-handle-9-inch</v>
      </c>
      <c r="C3114" t="s">
        <v>7332</v>
      </c>
      <c r="D3114" t="s">
        <v>3905</v>
      </c>
      <c r="E3114" s="3" t="str">
        <f>HYPERLINK("https://www.amazon.com/Journeyman-T-Handle-Klein-Tools-JTH9M3/dp/B005G3HJ28/ref=sr_1_6?keywords=Klein+Tools+JTH9E06+3%2F32-Inch+Hex+Key%2C+Journeyman%E2%84%A2+T-Handle%2C+9-Inch&amp;qid=1695174164&amp;sr=8-6", "https://www.amazon.com/Journeyman-T-Handle-Klein-Tools-JTH9M3/dp/B005G3HJ28/ref=sr_1_6?keywords=Klein+Tools+JTH9E06+3%2F32-Inch+Hex+Key%2C+Journeyman%E2%84%A2+T-Handle%2C+9-Inch&amp;qid=1695174164&amp;sr=8-6")</f>
        <v>https://www.amazon.com/Journeyman-T-Handle-Klein-Tools-JTH9M3/dp/B005G3HJ28/ref=sr_1_6?keywords=Klein+Tools+JTH9E06+3%2F32-Inch+Hex+Key%2C+Journeyman%E2%84%A2+T-Handle%2C+9-Inch&amp;qid=1695174164&amp;sr=8-6</v>
      </c>
      <c r="F3114" t="s">
        <v>3906</v>
      </c>
      <c r="G3114" t="e">
        <f ca="1">_xludf.IMAGE("https://edmondsonsupply.com/cdn/shop/products/jth6e15_2136116f-dcd1-4a81-ab1c-471762cb8f3e.jpg?v=1662657547")</f>
        <v>#NAME?</v>
      </c>
      <c r="H3114" t="e">
        <f ca="1">_xludf.IMAGE("https://m.media-amazon.com/images/I/51MZtGjDOtL._AC_UL320_.jpg")</f>
        <v>#NAME?</v>
      </c>
      <c r="I3114" t="s">
        <v>6122</v>
      </c>
      <c r="J3114">
        <v>5.88</v>
      </c>
      <c r="K3114" s="4">
        <v>0.30959999999999999</v>
      </c>
      <c r="L3114">
        <v>4.5999999999999996</v>
      </c>
      <c r="M3114">
        <v>179</v>
      </c>
      <c r="O3114" t="s">
        <v>25</v>
      </c>
      <c r="P3114" t="s">
        <v>6098</v>
      </c>
      <c r="Q3114" t="s">
        <v>7333</v>
      </c>
    </row>
    <row r="3115" spans="1:17" ht="15.5" x14ac:dyDescent="0.35">
      <c r="A3115" s="3" t="str">
        <f>HYPERLINK("https://edmondsonsupply.com/collections/electricians-tools/products/uniweld-70074-offset-ratchet-wrenches", "https://edmondsonsupply.com/collections/electricians-tools/products/uniweld-70074-offset-ratchet-wrenches")</f>
        <v>https://edmondsonsupply.com/collections/electricians-tools/products/uniweld-70074-offset-ratchet-wrenches</v>
      </c>
      <c r="B3115" s="3" t="str">
        <f>HYPERLINK("https://edmondsonsupply.com/products/uniweld-70074-offset-ratchet-wrenches", "https://edmondsonsupply.com/products/uniweld-70074-offset-ratchet-wrenches")</f>
        <v>https://edmondsonsupply.com/products/uniweld-70074-offset-ratchet-wrenches</v>
      </c>
      <c r="C3115" t="s">
        <v>7334</v>
      </c>
      <c r="D3115" t="s">
        <v>7335</v>
      </c>
      <c r="E3115" s="3" t="str">
        <f>HYPERLINK("https://www.amazon.com/Uniweld-70074-Reversible-Ratchet-Adaptor/dp/B00HNQR5D4/ref=sr_1_1?keywords=uniweld+70074+medium+duty+offset+ratchet+wrench&amp;qid=1695174196&amp;sr=8-1", "https://www.amazon.com/Uniweld-70074-Reversible-Ratchet-Adaptor/dp/B00HNQR5D4/ref=sr_1_1?keywords=uniweld+70074+medium+duty+offset+ratchet+wrench&amp;qid=1695174196&amp;sr=8-1")</f>
        <v>https://www.amazon.com/Uniweld-70074-Reversible-Ratchet-Adaptor/dp/B00HNQR5D4/ref=sr_1_1?keywords=uniweld+70074+medium+duty+offset+ratchet+wrench&amp;qid=1695174196&amp;sr=8-1</v>
      </c>
      <c r="F3115" t="s">
        <v>7336</v>
      </c>
      <c r="G3115" t="e">
        <f ca="1">_xludf.IMAGE("https://edmondsonsupply.com/cdn/shop/products/70074_pkg.jpg?v=1656081623")</f>
        <v>#NAME?</v>
      </c>
      <c r="H3115" t="e">
        <f ca="1">_xludf.IMAGE("https://m.media-amazon.com/images/I/81F+vIEGwhL._AC_UL320_.jpg")</f>
        <v>#NAME?</v>
      </c>
      <c r="I3115" t="s">
        <v>7337</v>
      </c>
      <c r="J3115">
        <v>20.99</v>
      </c>
      <c r="K3115" s="4">
        <v>0.30940000000000001</v>
      </c>
      <c r="L3115">
        <v>4.4000000000000004</v>
      </c>
      <c r="M3115">
        <v>1022</v>
      </c>
      <c r="O3115" t="s">
        <v>25</v>
      </c>
      <c r="P3115" t="s">
        <v>1436</v>
      </c>
      <c r="Q3115" t="s">
        <v>7338</v>
      </c>
    </row>
    <row r="3116" spans="1:17" ht="15.5" x14ac:dyDescent="0.35">
      <c r="A3116"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3116" s="3" t="str">
        <f>HYPERLINK("https://edmondsonsupply.com/products/diablo-tools-d0740x-7-1-4-in-x-40-tooth-finish-saw-blade", "https://edmondsonsupply.com/products/diablo-tools-d0740x-7-1-4-in-x-40-tooth-finish-saw-blade")</f>
        <v>https://edmondsonsupply.com/products/diablo-tools-d0740x-7-1-4-in-x-40-tooth-finish-saw-blade</v>
      </c>
      <c r="C3116" t="s">
        <v>6112</v>
      </c>
      <c r="D3116" t="s">
        <v>7339</v>
      </c>
      <c r="E3116" s="3" t="str">
        <f>HYPERLINK("https://www.amazon.com/Diablo-Ultra-Finish-Circular-Blade/dp/B071X5DBWR/ref=sr_1_8?keywords=Diablo+Tools+D0740X+7-1%2F4+in.+x+40+Tooth+Finish+Saw+Blade&amp;qid=1695174073&amp;sr=8-8", "https://www.amazon.com/Diablo-Ultra-Finish-Circular-Blade/dp/B071X5DBWR/ref=sr_1_8?keywords=Diablo+Tools+D0740X+7-1%2F4+in.+x+40+Tooth+Finish+Saw+Blade&amp;qid=1695174073&amp;sr=8-8")</f>
        <v>https://www.amazon.com/Diablo-Ultra-Finish-Circular-Blade/dp/B071X5DBWR/ref=sr_1_8?keywords=Diablo+Tools+D0740X+7-1%2F4+in.+x+40+Tooth+Finish+Saw+Blade&amp;qid=1695174073&amp;sr=8-8</v>
      </c>
      <c r="F3116" t="s">
        <v>7340</v>
      </c>
      <c r="G3116" t="e">
        <f ca="1">_xludf.IMAGE("https://edmondsonsupply.com/cdn/shop/products/kdrkrhhsfpivsggxnkhy.webp?v=1678975834")</f>
        <v>#NAME?</v>
      </c>
      <c r="H3116" t="e">
        <f ca="1">_xludf.IMAGE("https://m.media-amazon.com/images/I/61JlPZnNLWL._AC_UL320_.jpg")</f>
        <v>#NAME?</v>
      </c>
      <c r="I3116" t="s">
        <v>2784</v>
      </c>
      <c r="J3116">
        <v>19.600000000000001</v>
      </c>
      <c r="K3116" s="4">
        <v>0.30930000000000002</v>
      </c>
      <c r="L3116">
        <v>4.8</v>
      </c>
      <c r="M3116">
        <v>145</v>
      </c>
      <c r="O3116" t="s">
        <v>25</v>
      </c>
      <c r="P3116" t="s">
        <v>6115</v>
      </c>
      <c r="Q3116" t="s">
        <v>6116</v>
      </c>
    </row>
    <row r="3117" spans="1:17" ht="15.5" x14ac:dyDescent="0.35">
      <c r="A3117" s="3" t="str">
        <f>HYPERLINK("https://edmondsonsupply.com/collections/electricians-tools/products/milwaukee-48-03-3015-carbide-bit-spline-to-sds-plus-adapter", "https://edmondsonsupply.com/collections/electricians-tools/products/milwaukee-48-03-3015-carbide-bit-spline-to-sds-plus-adapter")</f>
        <v>https://edmondsonsupply.com/collections/electricians-tools/products/milwaukee-48-03-3015-carbide-bit-spline-to-sds-plus-adapter</v>
      </c>
      <c r="B3117" s="3" t="str">
        <f>HYPERLINK("https://edmondsonsupply.com/products/milwaukee-48-03-3015-carbide-bit-spline-to-sds-plus-adapter", "https://edmondsonsupply.com/products/milwaukee-48-03-3015-carbide-bit-spline-to-sds-plus-adapter")</f>
        <v>https://edmondsonsupply.com/products/milwaukee-48-03-3015-carbide-bit-spline-to-sds-plus-adapter</v>
      </c>
      <c r="C3117" t="s">
        <v>6364</v>
      </c>
      <c r="D3117" t="s">
        <v>7341</v>
      </c>
      <c r="E3117" s="3" t="str">
        <f>HYPERLINK("https://www.amazon.com/Milwaukee-48-03-3564-12-Inch-Spline-Adapter/dp/B0009H5R6Q/ref=sr_1_6?keywords=Milwaukee+48-03-3015+Spline+to+SDS-Plus+Bit+Adapter&amp;qid=1695174101&amp;sr=8-6", "https://www.amazon.com/Milwaukee-48-03-3564-12-Inch-Spline-Adapter/dp/B0009H5R6Q/ref=sr_1_6?keywords=Milwaukee+48-03-3015+Spline+to+SDS-Plus+Bit+Adapter&amp;qid=1695174101&amp;sr=8-6")</f>
        <v>https://www.amazon.com/Milwaukee-48-03-3564-12-Inch-Spline-Adapter/dp/B0009H5R6Q/ref=sr_1_6?keywords=Milwaukee+48-03-3015+Spline+to+SDS-Plus+Bit+Adapter&amp;qid=1695174101&amp;sr=8-6</v>
      </c>
      <c r="F3117" t="s">
        <v>7342</v>
      </c>
      <c r="G3117" t="e">
        <f ca="1">_xludf.IMAGE("https://edmondsonsupply.com/cdn/shop/products/48-03-3010_1.webp?v=1674076699")</f>
        <v>#NAME?</v>
      </c>
      <c r="H3117" t="e">
        <f ca="1">_xludf.IMAGE("https://m.media-amazon.com/images/I/2157CNN6DQL._AC_UL320_.jpg")</f>
        <v>#NAME?</v>
      </c>
      <c r="I3117" t="s">
        <v>6367</v>
      </c>
      <c r="J3117">
        <v>73.88</v>
      </c>
      <c r="K3117" s="4">
        <v>0.30880000000000002</v>
      </c>
      <c r="L3117">
        <v>1</v>
      </c>
      <c r="M3117">
        <v>1</v>
      </c>
      <c r="O3117" t="s">
        <v>25</v>
      </c>
      <c r="P3117" t="s">
        <v>6368</v>
      </c>
      <c r="Q3117" t="s">
        <v>6369</v>
      </c>
    </row>
    <row r="3118" spans="1:17" ht="15.5" x14ac:dyDescent="0.35">
      <c r="A3118" s="3" t="str">
        <f>HYPERLINK("https://edmondsonsupply.com/collections/electricians-tools/products/crescent-lufkin-1-3-16-x-16-shockforce-nite-eye%E2%84%A2-g1-dual-sided-tape-measure", "https://edmondsonsupply.com/collections/electricians-tools/products/crescent-lufkin-1-3-16-x-16-shockforce-nite-eye%E2%84%A2-g1-dual-sided-tape-measure")</f>
        <v>https://edmondsonsupply.com/collections/electricians-tools/products/crescent-lufkin-1-3-16-x-16-shockforce-nite-eye%E2%84%A2-g1-dual-sided-tape-measure</v>
      </c>
      <c r="B3118" s="3" t="str">
        <f>HYPERLINK("https://edmondsonsupply.com/products/crescent-lufkin-1-3-16-x-16-shockforce-nite-eye%e2%84%a2-g1-dual-sided-tape-measure", "https://edmondsonsupply.com/products/crescent-lufkin-1-3-16-x-16-shockforce-nite-eye%e2%84%a2-g1-dual-sided-tape-measure")</f>
        <v>https://edmondsonsupply.com/products/crescent-lufkin-1-3-16-x-16-shockforce-nite-eye%e2%84%a2-g1-dual-sided-tape-measure</v>
      </c>
      <c r="C3118" t="s">
        <v>7343</v>
      </c>
      <c r="D3118" t="s">
        <v>7344</v>
      </c>
      <c r="E3118" s="3" t="str">
        <f>HYPERLINK("https://www.amazon.com/Shockforce-Nite-EyeTM-Sided-Measure/dp/B0B2MRLK53/ref=sr_1_3?keywords=Crescent+Lufkin+L1116B-02+1-3%2F16%22+x+16%27+Shockforce+Nite+Eye%E2%84%A2+G1+Dual+Sided+Tape+Measure&amp;qid=1695174039&amp;sr=8-3", "https://www.amazon.com/Shockforce-Nite-EyeTM-Sided-Measure/dp/B0B2MRLK53/ref=sr_1_3?keywords=Crescent+Lufkin+L1116B-02+1-3%2F16%22+x+16%27+Shockforce+Nite+Eye%E2%84%A2+G1+Dual+Sided+Tape+Measure&amp;qid=1695174039&amp;sr=8-3")</f>
        <v>https://www.amazon.com/Shockforce-Nite-EyeTM-Sided-Measure/dp/B0B2MRLK53/ref=sr_1_3?keywords=Crescent+Lufkin+L1116B-02+1-3%2F16%22+x+16%27+Shockforce+Nite+Eye%E2%84%A2+G1+Dual+Sided+Tape+Measure&amp;qid=1695174039&amp;sr=8-3</v>
      </c>
      <c r="F3118" t="s">
        <v>7345</v>
      </c>
      <c r="G3118" t="e">
        <f ca="1">_xludf.IMAGE("https://edmondsonsupply.com/cdn/shop/products/LFK_L11168_IMG_FRONT.jpg?v=1679577698")</f>
        <v>#NAME?</v>
      </c>
      <c r="H3118" t="e">
        <f ca="1">_xludf.IMAGE("https://m.media-amazon.com/images/I/31sKA5WeWhL._AC_UL320_.jpg")</f>
        <v>#NAME?</v>
      </c>
      <c r="I3118" t="s">
        <v>471</v>
      </c>
      <c r="J3118">
        <v>32.700000000000003</v>
      </c>
      <c r="K3118" s="4">
        <v>0.3085</v>
      </c>
      <c r="L3118">
        <v>5</v>
      </c>
      <c r="M3118">
        <v>1</v>
      </c>
      <c r="O3118" t="s">
        <v>25</v>
      </c>
      <c r="P3118" t="s">
        <v>7346</v>
      </c>
      <c r="Q3118" t="s">
        <v>7347</v>
      </c>
    </row>
    <row r="3119" spans="1:17" ht="15.5" x14ac:dyDescent="0.35">
      <c r="A3119"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3119"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3119" t="s">
        <v>3544</v>
      </c>
      <c r="D3119" t="s">
        <v>3545</v>
      </c>
      <c r="E3119" s="3" t="str">
        <f>HYPERLINK("https://www.amazon.com/Extended-Screwdriver-Klein-Tools-32560/dp/B005FQDHF4/ref=sr_1_6?keywords=Klein+Tools+32562+Multi-Bit+Screwdriver+%2F+Nut+Driver%2C+6-in-1%2C+Stubby%2C+Ph%2C+Sl%2C+Sq+Bits&amp;qid=1695173934&amp;sr=8-6", "https://www.amazon.com/Extended-Screwdriver-Klein-Tools-32560/dp/B005FQDHF4/ref=sr_1_6?keywords=Klein+Tools+32562+Multi-Bit+Screwdriver+%2F+Nut+Driver%2C+6-in-1%2C+Stubby%2C+Ph%2C+Sl%2C+Sq+Bits&amp;qid=1695173934&amp;sr=8-6")</f>
        <v>https://www.amazon.com/Extended-Screwdriver-Klein-Tools-32560/dp/B005FQDHF4/ref=sr_1_6?keywords=Klein+Tools+32562+Multi-Bit+Screwdriver+%2F+Nut+Driver%2C+6-in-1%2C+Stubby%2C+Ph%2C+Sl%2C+Sq+Bits&amp;qid=1695173934&amp;sr=8-6</v>
      </c>
      <c r="F3119" t="s">
        <v>3546</v>
      </c>
      <c r="G3119" t="e">
        <f ca="1">_xludf.IMAGE("https://edmondsonsupply.com/cdn/shop/products/32562.jpg?v=1587145424")</f>
        <v>#NAME?</v>
      </c>
      <c r="H3119" t="e">
        <f ca="1">_xludf.IMAGE("https://m.media-amazon.com/images/I/516UhfUKmUL._AC_UL320_.jpg")</f>
        <v>#NAME?</v>
      </c>
      <c r="I3119" t="s">
        <v>834</v>
      </c>
      <c r="J3119">
        <v>16.989999999999998</v>
      </c>
      <c r="K3119" s="4">
        <v>0.30790000000000001</v>
      </c>
      <c r="L3119">
        <v>4.8</v>
      </c>
      <c r="M3119">
        <v>679</v>
      </c>
      <c r="O3119" t="s">
        <v>25</v>
      </c>
      <c r="P3119" t="s">
        <v>3547</v>
      </c>
      <c r="Q3119" t="s">
        <v>3548</v>
      </c>
    </row>
    <row r="3120" spans="1:17" ht="15.5" x14ac:dyDescent="0.35">
      <c r="A3120"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3120" s="3" t="str">
        <f>HYPERLINK("https://edmondsonsupply.com/products/diablo-tools-dmapl2290-7-16-in-x-10-in-x-12-in-sds-plus-2-cutter", "https://edmondsonsupply.com/products/diablo-tools-dmapl2290-7-16-in-x-10-in-x-12-in-sds-plus-2-cutter")</f>
        <v>https://edmondsonsupply.com/products/diablo-tools-dmapl2290-7-16-in-x-10-in-x-12-in-sds-plus-2-cutter</v>
      </c>
      <c r="C3120" t="s">
        <v>5860</v>
      </c>
      <c r="D3120" t="s">
        <v>5861</v>
      </c>
      <c r="E3120" s="3" t="str">
        <f>HYPERLINK("https://www.amazon.com/Diablo-DMAPL2380-16-SDS-Plus-2-Cutter/dp/B089LGWH7X/ref=sr_1_3?keywords=Diablo+Tools+DMAPL2290+7%2F16+in.+x+10+in.+x+12+in.+SDS-Plus+2-Cutter&amp;qid=1695174015&amp;sr=8-3", "https://www.amazon.com/Diablo-DMAPL2380-16-SDS-Plus-2-Cutter/dp/B089LGWH7X/ref=sr_1_3?keywords=Diablo+Tools+DMAPL2290+7%2F16+in.+x+10+in.+x+12+in.+SDS-Plus+2-Cutter&amp;qid=1695174015&amp;sr=8-3")</f>
        <v>https://www.amazon.com/Diablo-DMAPL2380-16-SDS-Plus-2-Cutter/dp/B089LGWH7X/ref=sr_1_3?keywords=Diablo+Tools+DMAPL2290+7%2F16+in.+x+10+in.+x+12+in.+SDS-Plus+2-Cutter&amp;qid=1695174015&amp;sr=8-3</v>
      </c>
      <c r="F3120" t="s">
        <v>5862</v>
      </c>
      <c r="G3120" t="e">
        <f ca="1">_xludf.IMAGE("https://edmondsonsupply.com/cdn/shop/files/lgvfccwvf9ikjakt8qfb.webp?v=1686146379")</f>
        <v>#NAME?</v>
      </c>
      <c r="H3120" t="e">
        <f ca="1">_xludf.IMAGE("https://m.media-amazon.com/images/I/6120+2+rRTL._AC_UL320_.jpg")</f>
        <v>#NAME?</v>
      </c>
      <c r="I3120" t="s">
        <v>1140</v>
      </c>
      <c r="J3120">
        <v>13.73</v>
      </c>
      <c r="K3120" s="4">
        <v>0.30759999999999998</v>
      </c>
      <c r="L3120">
        <v>5</v>
      </c>
      <c r="M3120">
        <v>1</v>
      </c>
      <c r="O3120" t="s">
        <v>25</v>
      </c>
      <c r="P3120" t="s">
        <v>5863</v>
      </c>
      <c r="Q3120" t="s">
        <v>5864</v>
      </c>
    </row>
    <row r="3121" spans="1:17" ht="15.5" x14ac:dyDescent="0.35">
      <c r="A3121" s="3" t="str">
        <f>HYPERLINK("https://edmondsonsupply.com/collections/electricians-tools/products/tajima-jpr-265-japan-pull%E2%84%A2-265-16-tpi-blade", "https://edmondsonsupply.com/collections/electricians-tools/products/tajima-jpr-265-japan-pull%E2%84%A2-265-16-tpi-blade")</f>
        <v>https://edmondsonsupply.com/collections/electricians-tools/products/tajima-jpr-265-japan-pull%E2%84%A2-265-16-tpi-blade</v>
      </c>
      <c r="B3121" s="3" t="str">
        <f>HYPERLINK("https://edmondsonsupply.com/products/tajima-jpr-265-japan-pull%e2%84%a2-265-16-tpi-blade", "https://edmondsonsupply.com/products/tajima-jpr-265-japan-pull%e2%84%a2-265-16-tpi-blade")</f>
        <v>https://edmondsonsupply.com/products/tajima-jpr-265-japan-pull%e2%84%a2-265-16-tpi-blade</v>
      </c>
      <c r="C3121" t="s">
        <v>7348</v>
      </c>
      <c r="D3121" t="s">
        <v>7349</v>
      </c>
      <c r="E3121" s="3" t="str">
        <f>HYPERLINK("https://www.amazon.com/TAJIMA-Pull-Stroke-Saw-Quick-Release-Traditional/dp/B004AM7C4G/ref=sr_1_1?keywords=Tajima+JPR-265+Japan+Pull%E2%84%A2+265%2C+16+TPI+Blade&amp;qid=1695174192&amp;sr=8-1", "https://www.amazon.com/TAJIMA-Pull-Stroke-Saw-Quick-Release-Traditional/dp/B004AM7C4G/ref=sr_1_1?keywords=Tajima+JPR-265+Japan+Pull%E2%84%A2+265%2C+16+TPI+Blade&amp;qid=1695174192&amp;sr=8-1")</f>
        <v>https://www.amazon.com/TAJIMA-Pull-Stroke-Saw-Quick-Release-Traditional/dp/B004AM7C4G/ref=sr_1_1?keywords=Tajima+JPR-265+Japan+Pull%E2%84%A2+265%2C+16+TPI+Blade&amp;qid=1695174192&amp;sr=8-1</v>
      </c>
      <c r="F3121" t="s">
        <v>7350</v>
      </c>
      <c r="G3121" t="e">
        <f ca="1">_xludf.IMAGE("https://edmondsonsupply.com/cdn/shop/products/JPR-265.jpg?v=1655818417")</f>
        <v>#NAME?</v>
      </c>
      <c r="H3121" t="e">
        <f ca="1">_xludf.IMAGE("https://m.media-amazon.com/images/I/71D44zhki3L._AC_UL320_.jpg")</f>
        <v>#NAME?</v>
      </c>
      <c r="I3121" t="s">
        <v>7351</v>
      </c>
      <c r="J3121">
        <v>41.6</v>
      </c>
      <c r="K3121" s="4">
        <v>0.30740000000000001</v>
      </c>
      <c r="L3121">
        <v>4.4000000000000004</v>
      </c>
      <c r="M3121">
        <v>23</v>
      </c>
      <c r="O3121" t="s">
        <v>25</v>
      </c>
      <c r="P3121" t="s">
        <v>260</v>
      </c>
      <c r="Q3121" t="s">
        <v>7352</v>
      </c>
    </row>
    <row r="3122" spans="1:17" ht="15.5" x14ac:dyDescent="0.35">
      <c r="A3122"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3122" s="3" t="str">
        <f>HYPERLINK("https://edmondsonsupply.com/products/diablo-tools-d0660x-6-1-2-in-x-60-tooth-ultra-finish-saw-blade", "https://edmondsonsupply.com/products/diablo-tools-d0660x-6-1-2-in-x-60-tooth-ultra-finish-saw-blade")</f>
        <v>https://edmondsonsupply.com/products/diablo-tools-d0660x-6-1-2-in-x-60-tooth-ultra-finish-saw-blade</v>
      </c>
      <c r="C3122" t="s">
        <v>6681</v>
      </c>
      <c r="D3122" t="s">
        <v>7353</v>
      </c>
      <c r="E3122" s="3" t="str">
        <f>HYPERLINK("https://www.amazon.com/Diablo-D0641X-Finishing-Blade-8-Inch/dp/B076T8T71Z/ref=sr_1_4?keywords=Diablo+Tools+D0660X+6-1%2F2+in.+x+60+Tooth+Ultra+Finish+Saw+Blade&amp;qid=1695174055&amp;sr=8-4", "https://www.amazon.com/Diablo-D0641X-Finishing-Blade-8-Inch/dp/B076T8T71Z/ref=sr_1_4?keywords=Diablo+Tools+D0660X+6-1%2F2+in.+x+60+Tooth+Ultra+Finish+Saw+Blade&amp;qid=1695174055&amp;sr=8-4")</f>
        <v>https://www.amazon.com/Diablo-D0641X-Finishing-Blade-8-Inch/dp/B076T8T71Z/ref=sr_1_4?keywords=Diablo+Tools+D0660X+6-1%2F2+in.+x+60+Tooth+Ultra+Finish+Saw+Blade&amp;qid=1695174055&amp;sr=8-4</v>
      </c>
      <c r="F3122" t="s">
        <v>7354</v>
      </c>
      <c r="G3122" t="e">
        <f ca="1">_xludf.IMAGE("https://edmondsonsupply.com/cdn/shop/products/ma8p1gcmhxpwwhymtiim.webp?v=1678983644")</f>
        <v>#NAME?</v>
      </c>
      <c r="H3122" t="e">
        <f ca="1">_xludf.IMAGE("https://m.media-amazon.com/images/I/71ar4+W+y9L._AC_UL320_.jpg")</f>
        <v>#NAME?</v>
      </c>
      <c r="I3122" t="s">
        <v>1716</v>
      </c>
      <c r="J3122">
        <v>29.99</v>
      </c>
      <c r="K3122" s="4">
        <v>0.30559999999999998</v>
      </c>
      <c r="L3122">
        <v>4.8</v>
      </c>
      <c r="M3122">
        <v>82</v>
      </c>
      <c r="O3122" t="s">
        <v>25</v>
      </c>
      <c r="P3122" t="s">
        <v>6682</v>
      </c>
      <c r="Q3122" t="s">
        <v>6683</v>
      </c>
    </row>
    <row r="3123" spans="1:17" ht="15.5" x14ac:dyDescent="0.35">
      <c r="A3123" s="3" t="str">
        <f>HYPERLINK("https://edmondsonsupply.com/collections/electricians-tools/products/diablo-tools-dag", "https://edmondsonsupply.com/collections/electricians-tools/products/diablo-tools-dag")</f>
        <v>https://edmondsonsupply.com/collections/electricians-tools/products/diablo-tools-dag</v>
      </c>
      <c r="B3123" s="3" t="str">
        <f>HYPERLINK("https://edmondsonsupply.com/products/diablo-tools-dag", "https://edmondsonsupply.com/products/diablo-tools-dag")</f>
        <v>https://edmondsonsupply.com/products/diablo-tools-dag</v>
      </c>
      <c r="C3123" t="s">
        <v>6819</v>
      </c>
      <c r="D3123" t="s">
        <v>7355</v>
      </c>
      <c r="E3123" s="3" t="str">
        <f>HYPERLINK("https://www.amazon.com/Diablo-DAG3100-17-1-Auger-Bit/dp/B089KWFBPH/ref=sr_1_10?keywords=Diablo+Tools+DAG3010+3%2F8+in.+x+17-1%2F2+in.+Auger+Bit&amp;qid=1695174114&amp;sr=8-10", "https://www.amazon.com/Diablo-DAG3100-17-1-Auger-Bit/dp/B089KWFBPH/ref=sr_1_10?keywords=Diablo+Tools+DAG3010+3%2F8+in.+x+17-1%2F2+in.+Auger+Bit&amp;qid=1695174114&amp;sr=8-10")</f>
        <v>https://www.amazon.com/Diablo-DAG3100-17-1-Auger-Bit/dp/B089KWFBPH/ref=sr_1_10?keywords=Diablo+Tools+DAG3010+3%2F8+in.+x+17-1%2F2+in.+Auger+Bit&amp;qid=1695174114&amp;sr=8-10</v>
      </c>
      <c r="F3123" t="s">
        <v>7356</v>
      </c>
      <c r="G3123" t="e">
        <f ca="1">_xludf.IMAGE("https://edmondsonsupply.com/cdn/shop/products/xfctdbahz5wx3g461fm8.webp?v=1669991052")</f>
        <v>#NAME?</v>
      </c>
      <c r="H3123" t="e">
        <f ca="1">_xludf.IMAGE("https://m.media-amazon.com/images/I/61Lk5PecX2L._AC_UL320_.jpg")</f>
        <v>#NAME?</v>
      </c>
      <c r="I3123" t="s">
        <v>5147</v>
      </c>
      <c r="J3123">
        <v>22.8</v>
      </c>
      <c r="K3123" s="4">
        <v>0.30509999999999998</v>
      </c>
      <c r="L3123">
        <v>5</v>
      </c>
      <c r="M3123">
        <v>3</v>
      </c>
      <c r="O3123" t="s">
        <v>25</v>
      </c>
      <c r="P3123" t="s">
        <v>6822</v>
      </c>
      <c r="Q3123" t="s">
        <v>6823</v>
      </c>
    </row>
    <row r="3124" spans="1:17" ht="15.5" x14ac:dyDescent="0.35">
      <c r="A3124" s="3" t="str">
        <f>HYPERLINK("https://edmondsonsupply.com/collections/electricians-tools/products/crescent-wiss-m8p-9-4-5-offset-straight-left-and-right-cut-aviation-snips", "https://edmondsonsupply.com/collections/electricians-tools/products/crescent-wiss-m8p-9-4-5-offset-straight-left-and-right-cut-aviation-snips")</f>
        <v>https://edmondsonsupply.com/collections/electricians-tools/products/crescent-wiss-m8p-9-4-5-offset-straight-left-and-right-cut-aviation-snips</v>
      </c>
      <c r="B3124" s="3" t="str">
        <f>HYPERLINK("https://edmondsonsupply.com/products/crescent-wiss-m8p-9-4-5-offset-straight-left-and-right-cut-aviation-snips", "https://edmondsonsupply.com/products/crescent-wiss-m8p-9-4-5-offset-straight-left-and-right-cut-aviation-snips")</f>
        <v>https://edmondsonsupply.com/products/crescent-wiss-m8p-9-4-5-offset-straight-left-and-right-cut-aviation-snips</v>
      </c>
      <c r="C3124" t="s">
        <v>7143</v>
      </c>
      <c r="D3124" t="s">
        <v>7116</v>
      </c>
      <c r="E3124" s="3" t="str">
        <f>HYPERLINK("https://www.amazon.com/Crescent-Wiss-Straight-Aviation-Snips/dp/B093TXCS3X/ref=sr_1_6?keywords=Crescent+Wiss+M8P+9-4%2F5%22+Offset+Straight%2C+Left+and+Right+Cut+Aviation+Snips&amp;qid=1695174053&amp;sr=8-6", "https://www.amazon.com/Crescent-Wiss-Straight-Aviation-Snips/dp/B093TXCS3X/ref=sr_1_6?keywords=Crescent+Wiss+M8P+9-4%2F5%22+Offset+Straight%2C+Left+and+Right+Cut+Aviation+Snips&amp;qid=1695174053&amp;sr=8-6")</f>
        <v>https://www.amazon.com/Crescent-Wiss-Straight-Aviation-Snips/dp/B093TXCS3X/ref=sr_1_6?keywords=Crescent+Wiss+M8P+9-4%2F5%22+Offset+Straight%2C+Left+and+Right+Cut+Aviation+Snips&amp;qid=1695174053&amp;sr=8-6</v>
      </c>
      <c r="F3124" t="s">
        <v>7117</v>
      </c>
      <c r="G3124" t="e">
        <f ca="1">_xludf.IMAGE("https://edmondsonsupply.com/cdn/shop/products/WIS_M8P_IMG_ANG_01.jpg?v=1679676030")</f>
        <v>#NAME?</v>
      </c>
      <c r="H3124" t="e">
        <f ca="1">_xludf.IMAGE("https://m.media-amazon.com/images/I/41SEWCwniGS._AC_UL320_.jpg")</f>
        <v>#NAME?</v>
      </c>
      <c r="I3124" t="s">
        <v>1589</v>
      </c>
      <c r="J3124">
        <v>29.98</v>
      </c>
      <c r="K3124" s="4">
        <v>0.30399999999999999</v>
      </c>
      <c r="L3124">
        <v>5</v>
      </c>
      <c r="M3124">
        <v>1</v>
      </c>
      <c r="O3124" t="s">
        <v>25</v>
      </c>
      <c r="P3124" t="s">
        <v>7144</v>
      </c>
      <c r="Q3124" t="s">
        <v>7145</v>
      </c>
    </row>
    <row r="3125" spans="1:17" ht="15.5" x14ac:dyDescent="0.35">
      <c r="A3125"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3125"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3125" t="s">
        <v>7148</v>
      </c>
      <c r="D3125" t="s">
        <v>7116</v>
      </c>
      <c r="E3125" s="3" t="str">
        <f>HYPERLINK("https://www.amazon.com/Crescent-Wiss-Straight-Aviation-Snips/dp/B093TXCS3X/ref=sr_1_8?keywords=Crescent+Wiss+M7P+9-1%2F4%22+Offset+Straight+and+Right+Cut+Aviation+Snips&amp;qid=1695174041&amp;sr=8-8", "https://www.amazon.com/Crescent-Wiss-Straight-Aviation-Snips/dp/B093TXCS3X/ref=sr_1_8?keywords=Crescent+Wiss+M7P+9-1%2F4%22+Offset+Straight+and+Right+Cut+Aviation+Snips&amp;qid=1695174041&amp;sr=8-8")</f>
        <v>https://www.amazon.com/Crescent-Wiss-Straight-Aviation-Snips/dp/B093TXCS3X/ref=sr_1_8?keywords=Crescent+Wiss+M7P+9-1%2F4%22+Offset+Straight+and+Right+Cut+Aviation+Snips&amp;qid=1695174041&amp;sr=8-8</v>
      </c>
      <c r="F3125" t="s">
        <v>7117</v>
      </c>
      <c r="G3125" t="e">
        <f ca="1">_xludf.IMAGE("https://edmondsonsupply.com/cdn/shop/products/WIS_M7P_IMG_ANG_01.jpg?v=1679669941")</f>
        <v>#NAME?</v>
      </c>
      <c r="H3125" t="e">
        <f ca="1">_xludf.IMAGE("https://m.media-amazon.com/images/I/41SEWCwniGS._AC_UL320_.jpg")</f>
        <v>#NAME?</v>
      </c>
      <c r="I3125" t="s">
        <v>1589</v>
      </c>
      <c r="J3125">
        <v>29.98</v>
      </c>
      <c r="K3125" s="4">
        <v>0.30399999999999999</v>
      </c>
      <c r="L3125">
        <v>5</v>
      </c>
      <c r="M3125">
        <v>1</v>
      </c>
      <c r="O3125" t="s">
        <v>25</v>
      </c>
      <c r="P3125" t="s">
        <v>7144</v>
      </c>
      <c r="Q3125" t="s">
        <v>7149</v>
      </c>
    </row>
    <row r="3126" spans="1:17" ht="15.5" x14ac:dyDescent="0.35">
      <c r="A3126"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3126"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3126" t="s">
        <v>7146</v>
      </c>
      <c r="D3126" t="s">
        <v>7116</v>
      </c>
      <c r="E3126" s="3" t="str">
        <f>HYPERLINK("https://www.amazon.com/Crescent-Wiss-Straight-Aviation-Snips/dp/B093TXCS3X/ref=sr_1_8?keywords=Crescent+Wiss+M6P+9-1%2F4%22+Offset+Straight+and+Left+Cut+Aviation+Snips&amp;qid=1695174043&amp;sr=8-8", "https://www.amazon.com/Crescent-Wiss-Straight-Aviation-Snips/dp/B093TXCS3X/ref=sr_1_8?keywords=Crescent+Wiss+M6P+9-1%2F4%22+Offset+Straight+and+Left+Cut+Aviation+Snips&amp;qid=1695174043&amp;sr=8-8")</f>
        <v>https://www.amazon.com/Crescent-Wiss-Straight-Aviation-Snips/dp/B093TXCS3X/ref=sr_1_8?keywords=Crescent+Wiss+M6P+9-1%2F4%22+Offset+Straight+and+Left+Cut+Aviation+Snips&amp;qid=1695174043&amp;sr=8-8</v>
      </c>
      <c r="F3126" t="s">
        <v>7117</v>
      </c>
      <c r="G3126" t="e">
        <f ca="1">_xludf.IMAGE("https://edmondsonsupply.com/cdn/shop/products/WIS_M6P_IMG_MAIN_01.jpg?v=1679497499")</f>
        <v>#NAME?</v>
      </c>
      <c r="H3126" t="e">
        <f ca="1">_xludf.IMAGE("https://m.media-amazon.com/images/I/41SEWCwniGS._AC_UL320_.jpg")</f>
        <v>#NAME?</v>
      </c>
      <c r="I3126" t="s">
        <v>1589</v>
      </c>
      <c r="J3126">
        <v>29.98</v>
      </c>
      <c r="K3126" s="4">
        <v>0.30399999999999999</v>
      </c>
      <c r="L3126">
        <v>5</v>
      </c>
      <c r="M3126">
        <v>1</v>
      </c>
      <c r="O3126" t="s">
        <v>25</v>
      </c>
      <c r="P3126" t="s">
        <v>7144</v>
      </c>
      <c r="Q3126" t="s">
        <v>7147</v>
      </c>
    </row>
    <row r="3127" spans="1:17" ht="15.5" x14ac:dyDescent="0.35">
      <c r="A3127" s="3" t="str">
        <f>HYPERLINK("https://edmondsonsupply.com/collections/electricians-tools/products/reed-mfg-dhr12-1-2npt-r12-drophead-1-2-npt", "https://edmondsonsupply.com/collections/electricians-tools/products/reed-mfg-dhr12-1-2npt-r12-drophead-1-2-npt")</f>
        <v>https://edmondsonsupply.com/collections/electricians-tools/products/reed-mfg-dhr12-1-2npt-r12-drophead-1-2-npt</v>
      </c>
      <c r="B3127" s="3" t="str">
        <f>HYPERLINK("https://edmondsonsupply.com/products/reed-mfg-dhr12-1-2npt-r12-drophead-1-2-npt", "https://edmondsonsupply.com/products/reed-mfg-dhr12-1-2npt-r12-drophead-1-2-npt")</f>
        <v>https://edmondsonsupply.com/products/reed-mfg-dhr12-1-2npt-r12-drophead-1-2-npt</v>
      </c>
      <c r="C3127" t="s">
        <v>7194</v>
      </c>
      <c r="D3127" t="s">
        <v>4385</v>
      </c>
      <c r="E3127" s="3" t="str">
        <f>HYPERLINK("https://www.amazon.com/Reed-Tool-DHR12-1NPT-Drophead/dp/B000ZGZ0PY/ref=sr_1_fkmr0_2?keywords=Reed+Mfg+DHR12+1%2F2NPT+R12%2B+Drophead%2C+1%2F2%22+NPT&amp;qid=1695174269&amp;sr=8-2-fkmr0", "https://www.amazon.com/Reed-Tool-DHR12-1NPT-Drophead/dp/B000ZGZ0PY/ref=sr_1_fkmr0_2?keywords=Reed+Mfg+DHR12+1%2F2NPT+R12%2B+Drophead%2C+1%2F2%22+NPT&amp;qid=1695174269&amp;sr=8-2-fkmr0")</f>
        <v>https://www.amazon.com/Reed-Tool-DHR12-1NPT-Drophead/dp/B000ZGZ0PY/ref=sr_1_fkmr0_2?keywords=Reed+Mfg+DHR12+1%2F2NPT+R12%2B+Drophead%2C+1%2F2%22+NPT&amp;qid=1695174269&amp;sr=8-2-fkmr0</v>
      </c>
      <c r="F3127" t="s">
        <v>4386</v>
      </c>
      <c r="G3127" t="e">
        <f ca="1">_xludf.IMAGE("https://edmondsonsupply.com/cdn/shop/products/05626-DHR12-1-2NPT-RGB.jpg?v=1633031013")</f>
        <v>#NAME?</v>
      </c>
      <c r="H3127" t="e">
        <f ca="1">_xludf.IMAGE("https://m.media-amazon.com/images/I/61ePWvUMWkL._AC_UY218_.jpg")</f>
        <v>#NAME?</v>
      </c>
      <c r="I3127" t="s">
        <v>7197</v>
      </c>
      <c r="J3127">
        <v>157.93</v>
      </c>
      <c r="K3127" s="4">
        <v>0.30349999999999999</v>
      </c>
      <c r="L3127">
        <v>1</v>
      </c>
      <c r="M3127">
        <v>1</v>
      </c>
      <c r="O3127" t="s">
        <v>25</v>
      </c>
      <c r="P3127" t="s">
        <v>7198</v>
      </c>
      <c r="Q3127" t="s">
        <v>7199</v>
      </c>
    </row>
    <row r="3128" spans="1:17" ht="15.5" x14ac:dyDescent="0.35">
      <c r="A3128"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3128"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3128" t="s">
        <v>5852</v>
      </c>
      <c r="D3128" t="s">
        <v>5865</v>
      </c>
      <c r="E3128" s="3" t="str">
        <f>HYPERLINK("https://www.amazon.com/Diablo-Freud-DMAPL4270-SDS-Plus-4-Cutter/dp/B089KXBGLM/ref=sr_1_10?keywords=Diablo+Tools+DMAPL4250+3%2F4+in.+x+8+in.+x+10+in.+Rebar+Demon%E2%84%A2+SDS-Plus+4-Cutter+Full+Carbide+Head+Hammer+Drill+Bit&amp;qid=1695174039&amp;sr=8-10", "https://www.amazon.com/Diablo-Freud-DMAPL4270-SDS-Plus-4-Cutter/dp/B089KXBGLM/ref=sr_1_10?keywords=Diablo+Tools+DMAPL4250+3%2F4+in.+x+8+in.+x+10+in.+Rebar+Demon%E2%84%A2+SDS-Plus+4-Cutter+Full+Carbide+Head+Hammer+Drill+Bit&amp;qid=1695174039&amp;sr=8-10")</f>
        <v>https://www.amazon.com/Diablo-Freud-DMAPL4270-SDS-Plus-4-Cutter/dp/B089KXBGLM/ref=sr_1_10?keywords=Diablo+Tools+DMAPL4250+3%2F4+in.+x+8+in.+x+10+in.+Rebar+Demon%E2%84%A2+SDS-Plus+4-Cutter+Full+Carbide+Head+Hammer+Drill+Bit&amp;qid=1695174039&amp;sr=8-10</v>
      </c>
      <c r="F3128" t="s">
        <v>5866</v>
      </c>
      <c r="G3128" t="e">
        <f ca="1">_xludf.IMAGE("https://edmondsonsupply.com/cdn/shop/files/rltcbi253wmfv6otmtz6.webp?v=1686576913")</f>
        <v>#NAME?</v>
      </c>
      <c r="H3128" t="e">
        <f ca="1">_xludf.IMAGE("https://m.media-amazon.com/images/I/611A6sphG9L._AC_UL320_.jpg")</f>
        <v>#NAME?</v>
      </c>
      <c r="I3128" t="s">
        <v>5853</v>
      </c>
      <c r="J3128">
        <v>31.85</v>
      </c>
      <c r="K3128" s="4">
        <v>0.30159999999999998</v>
      </c>
      <c r="L3128">
        <v>5</v>
      </c>
      <c r="M3128">
        <v>2</v>
      </c>
      <c r="O3128" t="s">
        <v>25</v>
      </c>
      <c r="P3128" t="s">
        <v>5854</v>
      </c>
      <c r="Q3128" t="s">
        <v>5855</v>
      </c>
    </row>
    <row r="3129" spans="1:17" ht="15.5" x14ac:dyDescent="0.35">
      <c r="A3129" s="3" t="str">
        <f>HYPERLINK("https://edmondsonsupply.com/collections/electricians-tools/products/klein-tools-60492-lightweight-knee-pad-sleeves-m-l", "https://edmondsonsupply.com/collections/electricians-tools/products/klein-tools-60492-lightweight-knee-pad-sleeves-m-l")</f>
        <v>https://edmondsonsupply.com/collections/electricians-tools/products/klein-tools-60492-lightweight-knee-pad-sleeves-m-l</v>
      </c>
      <c r="B3129" s="3" t="str">
        <f>HYPERLINK("https://edmondsonsupply.com/products/klein-tools-60492-lightweight-knee-pad-sleeves-m-l", "https://edmondsonsupply.com/products/klein-tools-60492-lightweight-knee-pad-sleeves-m-l")</f>
        <v>https://edmondsonsupply.com/products/klein-tools-60492-lightweight-knee-pad-sleeves-m-l</v>
      </c>
      <c r="C3129" t="s">
        <v>890</v>
      </c>
      <c r="D3129" t="s">
        <v>1014</v>
      </c>
      <c r="E3129" s="3" t="str">
        <f>HYPERLINK("https://www.amazon.com/Lightweight-Breathable-Slip-Resistant-Klein-Tools/dp/B0B6216HMW/ref=sr_1_1?keywords=Klein+Tools+60492+Lightweight+Knee+Pad+Sleeves%2C+M%2FL&amp;qid=1695174171&amp;sr=8-1", "https://www.amazon.com/Lightweight-Breathable-Slip-Resistant-Klein-Tools/dp/B0B6216HMW/ref=sr_1_1?keywords=Klein+Tools+60492+Lightweight+Knee+Pad+Sleeves%2C+M%2FL&amp;qid=1695174171&amp;sr=8-1")</f>
        <v>https://www.amazon.com/Lightweight-Breathable-Slip-Resistant-Klein-Tools/dp/B0B6216HMW/ref=sr_1_1?keywords=Klein+Tools+60492+Lightweight+Knee+Pad+Sleeves%2C+M%2FL&amp;qid=1695174171&amp;sr=8-1</v>
      </c>
      <c r="F3129" t="s">
        <v>1015</v>
      </c>
      <c r="G3129" t="e">
        <f ca="1">_xludf.IMAGE("https://edmondsonsupply.com/cdn/shop/products/60492_60592_photo.jpg?v=1663255234")</f>
        <v>#NAME?</v>
      </c>
      <c r="H3129" t="e">
        <f ca="1">_xludf.IMAGE("https://m.media-amazon.com/images/I/61pjcWSwQcL._AC_UL320_.jpg")</f>
        <v>#NAME?</v>
      </c>
      <c r="I3129" t="s">
        <v>893</v>
      </c>
      <c r="J3129">
        <v>25.99</v>
      </c>
      <c r="K3129" s="4">
        <v>0.30149999999999999</v>
      </c>
      <c r="L3129">
        <v>4.5</v>
      </c>
      <c r="M3129">
        <v>192</v>
      </c>
      <c r="O3129" t="s">
        <v>25</v>
      </c>
      <c r="P3129" t="s">
        <v>894</v>
      </c>
      <c r="Q3129" t="s">
        <v>895</v>
      </c>
    </row>
    <row r="3130" spans="1:17" ht="15.5" x14ac:dyDescent="0.35">
      <c r="A3130"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3130" s="3" t="str">
        <f>HYPERLINK("https://edmondsonsupply.com/products/klein-tools-rt110-receptacle-tester", "https://edmondsonsupply.com/products/klein-tools-rt110-receptacle-tester")</f>
        <v>https://edmondsonsupply.com/products/klein-tools-rt110-receptacle-tester</v>
      </c>
      <c r="C3130" t="s">
        <v>6021</v>
      </c>
      <c r="D3130" t="s">
        <v>7357</v>
      </c>
      <c r="E3130" s="3" t="str">
        <f>HYPERLINK("https://www.amazon.com/Receptacle-Tester-Klein-Tools-RT210/dp/B01AKX8L0M/ref=sr_1_8?keywords=Klein+Tools+RT110+Receptacle+Tester&amp;qid=1695174267&amp;sr=8-8", "https://www.amazon.com/Receptacle-Tester-Klein-Tools-RT210/dp/B01AKX8L0M/ref=sr_1_8?keywords=Klein+Tools+RT110+Receptacle+Tester&amp;qid=1695174267&amp;sr=8-8")</f>
        <v>https://www.amazon.com/Receptacle-Tester-Klein-Tools-RT210/dp/B01AKX8L0M/ref=sr_1_8?keywords=Klein+Tools+RT110+Receptacle+Tester&amp;qid=1695174267&amp;sr=8-8</v>
      </c>
      <c r="F3130" t="s">
        <v>7358</v>
      </c>
      <c r="G3130" t="e">
        <f ca="1">_xludf.IMAGE("https://edmondsonsupply.com/cdn/shop/products/rt110.jpg?v=1633031036")</f>
        <v>#NAME?</v>
      </c>
      <c r="H3130" t="e">
        <f ca="1">_xludf.IMAGE("https://m.media-amazon.com/images/I/5143f577xkL._AC_UL320_.jpg")</f>
        <v>#NAME?</v>
      </c>
      <c r="I3130" t="s">
        <v>1427</v>
      </c>
      <c r="J3130">
        <v>12.97</v>
      </c>
      <c r="K3130" s="4">
        <v>0.3009</v>
      </c>
      <c r="L3130">
        <v>4.8</v>
      </c>
      <c r="M3130">
        <v>7922</v>
      </c>
      <c r="O3130" t="s">
        <v>25</v>
      </c>
      <c r="P3130" t="s">
        <v>6024</v>
      </c>
      <c r="Q3130" t="s">
        <v>6025</v>
      </c>
    </row>
    <row r="3131" spans="1:17" ht="15.5" x14ac:dyDescent="0.35">
      <c r="A3131"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3131"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3131" t="s">
        <v>6995</v>
      </c>
      <c r="D3131" t="s">
        <v>7359</v>
      </c>
      <c r="E3131" s="3" t="str">
        <f>HYPERLINK("https://www.amazon.com/Klein-Tools-81021-Electrical-Non-Contact/dp/B09N5598J2/ref=sr_1_6?keywords=Klein+Tools+69149P+Test+Kit+with+Multimeter%2C+Non-Contact+Volt+Tester%2C+Receptacle+Tester&amp;qid=1695174288&amp;sr=8-6", "https://www.amazon.com/Klein-Tools-81021-Electrical-Non-Contact/dp/B09N5598J2/ref=sr_1_6?keywords=Klein+Tools+69149P+Test+Kit+with+Multimeter%2C+Non-Contact+Volt+Tester%2C+Receptacle+Tester&amp;qid=1695174288&amp;sr=8-6")</f>
        <v>https://www.amazon.com/Klein-Tools-81021-Electrical-Non-Contact/dp/B09N5598J2/ref=sr_1_6?keywords=Klein+Tools+69149P+Test+Kit+with+Multimeter%2C+Non-Contact+Volt+Tester%2C+Receptacle+Tester&amp;qid=1695174288&amp;sr=8-6</v>
      </c>
      <c r="F3131" t="s">
        <v>7360</v>
      </c>
      <c r="G3131" t="e">
        <f ca="1">_xludf.IMAGE("https://edmondsonsupply.com/cdn/shop/products/69149p.jpg?v=1664479017")</f>
        <v>#NAME?</v>
      </c>
      <c r="H3131" t="e">
        <f ca="1">_xludf.IMAGE("https://m.media-amazon.com/images/I/61J5iWONbvL._AC_UL320_.jpg")</f>
        <v>#NAME?</v>
      </c>
      <c r="I3131" t="s">
        <v>246</v>
      </c>
      <c r="J3131">
        <v>51.99</v>
      </c>
      <c r="K3131" s="4">
        <v>0.30070000000000002</v>
      </c>
      <c r="L3131">
        <v>4.5999999999999996</v>
      </c>
      <c r="M3131">
        <v>40</v>
      </c>
      <c r="O3131" t="s">
        <v>25</v>
      </c>
      <c r="P3131" t="s">
        <v>6996</v>
      </c>
      <c r="Q3131" t="s">
        <v>6997</v>
      </c>
    </row>
    <row r="3132" spans="1:17" ht="15.5" x14ac:dyDescent="0.35">
      <c r="A3132" s="3" t="str">
        <f>HYPERLINK("https://edmondsonsupply.com/collections/electricians-tools/products/milwaukee-48-22-1505-fastback%E2%84%A2-6in1-folding-utility-knife", "https://edmondsonsupply.com/collections/electricians-tools/products/milwaukee-48-22-1505-fastback%E2%84%A2-6in1-folding-utility-knife")</f>
        <v>https://edmondsonsupply.com/collections/electricians-tools/products/milwaukee-48-22-1505-fastback%E2%84%A2-6in1-folding-utility-knife</v>
      </c>
      <c r="B3132" s="3" t="str">
        <f>HYPERLINK("https://edmondsonsupply.com/products/milwaukee-48-22-1505-fastback%e2%84%a2-6in1-folding-utility-knife", "https://edmondsonsupply.com/products/milwaukee-48-22-1505-fastback%e2%84%a2-6in1-folding-utility-knife")</f>
        <v>https://edmondsonsupply.com/products/milwaukee-48-22-1505-fastback%e2%84%a2-6in1-folding-utility-knife</v>
      </c>
      <c r="C3132" t="s">
        <v>3551</v>
      </c>
      <c r="D3132" t="s">
        <v>1942</v>
      </c>
      <c r="E3132" s="3" t="str">
        <f>HYPERLINK("https://www.amazon.com/Milwaukee-48-22-1505-FastbackTM-Folding-Utility/dp/B0C69TGH9K/ref=sr_1_1?keywords=Milwaukee+48-22-1505+FASTBACK%E2%84%A2+6IN1+Folding+Utility+Knife&amp;qid=1695173908&amp;sr=8-1", "https://www.amazon.com/Milwaukee-48-22-1505-FastbackTM-Folding-Utility/dp/B0C69TGH9K/ref=sr_1_1?keywords=Milwaukee+48-22-1505+FASTBACK%E2%84%A2+6IN1+Folding+Utility+Knife&amp;qid=1695173908&amp;sr=8-1")</f>
        <v>https://www.amazon.com/Milwaukee-48-22-1505-FastbackTM-Folding-Utility/dp/B0C69TGH9K/ref=sr_1_1?keywords=Milwaukee+48-22-1505+FASTBACK%E2%84%A2+6IN1+Folding+Utility+Knife&amp;qid=1695173908&amp;sr=8-1</v>
      </c>
      <c r="F3132" t="s">
        <v>1943</v>
      </c>
      <c r="G3132" t="e">
        <f ca="1">_xludf.IMAGE("https://edmondsonsupply.com/cdn/shop/products/48-22-1505_3.png?v=1675353919")</f>
        <v>#NAME?</v>
      </c>
      <c r="H3132" t="e">
        <f ca="1">_xludf.IMAGE("https://m.media-amazon.com/images/I/41ZUsUsHByL._AC_UL320_.jpg")</f>
        <v>#NAME?</v>
      </c>
      <c r="I3132" t="s">
        <v>577</v>
      </c>
      <c r="J3132">
        <v>26</v>
      </c>
      <c r="K3132" s="4">
        <v>0.30070000000000002</v>
      </c>
      <c r="L3132">
        <v>4.7</v>
      </c>
      <c r="M3132">
        <v>4</v>
      </c>
      <c r="O3132" t="s">
        <v>25</v>
      </c>
      <c r="P3132" t="s">
        <v>1159</v>
      </c>
      <c r="Q3132" t="s">
        <v>3552</v>
      </c>
    </row>
    <row r="3133" spans="1:17" ht="15.5" x14ac:dyDescent="0.35">
      <c r="A3133"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3133" s="3" t="str">
        <f>HYPERLINK("https://edmondsonsupply.com/products/milwaukee-49-90-1900-hepa-filter", "https://edmondsonsupply.com/products/milwaukee-49-90-1900-hepa-filter")</f>
        <v>https://edmondsonsupply.com/products/milwaukee-49-90-1900-hepa-filter</v>
      </c>
      <c r="C3133" t="s">
        <v>5831</v>
      </c>
      <c r="D3133" t="s">
        <v>5867</v>
      </c>
      <c r="E3133" s="3" t="str">
        <f>HYPERLINK("https://www.amazon.com/PUREBURG-Replacement-49-90-1900-Compatible-Gallon-0960-20/dp/B09TQMH51M/ref=sr_1_7?keywords=Milwaukee+49-90-1900+HEPA+Filter&amp;qid=1695174010&amp;sr=8-7", "https://www.amazon.com/PUREBURG-Replacement-49-90-1900-Compatible-Gallon-0960-20/dp/B09TQMH51M/ref=sr_1_7?keywords=Milwaukee+49-90-1900+HEPA+Filter&amp;qid=1695174010&amp;sr=8-7")</f>
        <v>https://www.amazon.com/PUREBURG-Replacement-49-90-1900-Compatible-Gallon-0960-20/dp/B09TQMH51M/ref=sr_1_7?keywords=Milwaukee+49-90-1900+HEPA+Filter&amp;qid=1695174010&amp;sr=8-7</v>
      </c>
      <c r="F3133" t="s">
        <v>5868</v>
      </c>
      <c r="G3133" t="e">
        <f ca="1">_xludf.IMAGE("https://edmondsonsupply.com/cdn/shop/files/49-90-1900_1.png?v=1686234774")</f>
        <v>#NAME?</v>
      </c>
      <c r="H3133" t="e">
        <f ca="1">_xludf.IMAGE("https://m.media-amazon.com/images/I/61QaPzKVdpL._AC_UL320_.jpg")</f>
        <v>#NAME?</v>
      </c>
      <c r="I3133" t="s">
        <v>2170</v>
      </c>
      <c r="J3133">
        <v>32.49</v>
      </c>
      <c r="K3133" s="4">
        <v>0.30059999999999998</v>
      </c>
      <c r="L3133">
        <v>4.5999999999999996</v>
      </c>
      <c r="M3133">
        <v>21</v>
      </c>
      <c r="O3133" t="s">
        <v>25</v>
      </c>
      <c r="P3133" t="s">
        <v>2470</v>
      </c>
      <c r="Q3133" t="s">
        <v>5834</v>
      </c>
    </row>
    <row r="3134" spans="1:17" ht="15.5" x14ac:dyDescent="0.35">
      <c r="A3134"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3134"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3134" t="s">
        <v>3227</v>
      </c>
      <c r="D3134" t="s">
        <v>3553</v>
      </c>
      <c r="E3134" s="3" t="str">
        <f>HYPERLINK("https://www.amazon.com/Klein-Tools-80067-Thermometer-Non-Contact/dp/B0B11NG8XM/ref=sr_1_8?keywords=Klein+Tools+MM320KIT+Digital+Multimeter+Electrical+Test+Kit&amp;qid=1695173860&amp;sr=8-8", "https://www.amazon.com/Klein-Tools-80067-Thermometer-Non-Contact/dp/B0B11NG8XM/ref=sr_1_8?keywords=Klein+Tools+MM320KIT+Digital+Multimeter+Electrical+Test+Kit&amp;qid=1695173860&amp;sr=8-8")</f>
        <v>https://www.amazon.com/Klein-Tools-80067-Thermometer-Non-Contact/dp/B0B11NG8XM/ref=sr_1_8?keywords=Klein+Tools+MM320KIT+Digital+Multimeter+Electrical+Test+Kit&amp;qid=1695173860&amp;sr=8-8</v>
      </c>
      <c r="F3134" t="s">
        <v>3554</v>
      </c>
      <c r="G3134" t="e">
        <f ca="1">_xludf.IMAGE("https://edmondsonsupply.com/cdn/shop/products/mm320kit_photo.jpg?v=1660756496")</f>
        <v>#NAME?</v>
      </c>
      <c r="H3134" t="e">
        <f ca="1">_xludf.IMAGE("https://m.media-amazon.com/images/I/61M3CphXgvL._AC_UL320_.jpg")</f>
        <v>#NAME?</v>
      </c>
      <c r="I3134" t="s">
        <v>380</v>
      </c>
      <c r="J3134">
        <v>64.989999999999995</v>
      </c>
      <c r="K3134" s="4">
        <v>0.30059999999999998</v>
      </c>
      <c r="L3134">
        <v>4.5</v>
      </c>
      <c r="M3134">
        <v>29</v>
      </c>
      <c r="O3134" t="s">
        <v>25</v>
      </c>
      <c r="P3134" t="s">
        <v>3230</v>
      </c>
      <c r="Q3134" t="s">
        <v>3231</v>
      </c>
    </row>
    <row r="3135" spans="1:17" ht="15.5" x14ac:dyDescent="0.35">
      <c r="A3135"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3135" s="3" t="str">
        <f>HYPERLINK("https://edmondsonsupply.com/products/milwaukee-49-56-0505-1-4-diamond-max%e2%84%a2-hole-saw", "https://edmondsonsupply.com/products/milwaukee-49-56-0505-1-4-diamond-max%e2%84%a2-hole-saw")</f>
        <v>https://edmondsonsupply.com/products/milwaukee-49-56-0505-1-4-diamond-max%e2%84%a2-hole-saw</v>
      </c>
      <c r="C3135" t="s">
        <v>6614</v>
      </c>
      <c r="D3135" t="s">
        <v>7361</v>
      </c>
      <c r="E3135" s="3" t="str">
        <f>HYPERLINK("https://www.amazon.com/Milwaukee-49-56-0511-Diamond-One-Piece-Hole/dp/B00L2PBUS8/ref=sr_1_7?keywords=Milwaukee+49-56-0505+1%2F4%22+Diamond+MAX%E2%84%A2+Hole+Saw&amp;qid=1695174028&amp;sr=8-7", "https://www.amazon.com/Milwaukee-49-56-0511-Diamond-One-Piece-Hole/dp/B00L2PBUS8/ref=sr_1_7?keywords=Milwaukee+49-56-0505+1%2F4%22+Diamond+MAX%E2%84%A2+Hole+Saw&amp;qid=1695174028&amp;sr=8-7")</f>
        <v>https://www.amazon.com/Milwaukee-49-56-0511-Diamond-One-Piece-Hole/dp/B00L2PBUS8/ref=sr_1_7?keywords=Milwaukee+49-56-0505+1%2F4%22+Diamond+MAX%E2%84%A2+Hole+Saw&amp;qid=1695174028&amp;sr=8-7</v>
      </c>
      <c r="F3135" t="s">
        <v>7362</v>
      </c>
      <c r="G3135" t="e">
        <f ca="1">_xludf.IMAGE("https://edmondsonsupply.com/cdn/shop/products/49-56-0507_1.png?v=1680111300")</f>
        <v>#NAME?</v>
      </c>
      <c r="H3135" t="e">
        <f ca="1">_xludf.IMAGE("https://m.media-amazon.com/images/I/61m0il20UYL._AC_UL320_.jpg")</f>
        <v>#NAME?</v>
      </c>
      <c r="I3135" t="s">
        <v>577</v>
      </c>
      <c r="J3135">
        <v>25.99</v>
      </c>
      <c r="K3135" s="4">
        <v>0.30020000000000002</v>
      </c>
      <c r="L3135">
        <v>4.7</v>
      </c>
      <c r="M3135">
        <v>36</v>
      </c>
      <c r="O3135" t="s">
        <v>25</v>
      </c>
      <c r="P3135" t="s">
        <v>6617</v>
      </c>
      <c r="Q3135" t="s">
        <v>6618</v>
      </c>
    </row>
    <row r="3136" spans="1:17" ht="15.5" x14ac:dyDescent="0.35">
      <c r="A3136" s="3" t="str">
        <f>HYPERLINK("https://edmondsonsupply.com/collections/electricians-tools/products/tajima-gkb-g210-g-saw%E2%84%A2-replacement-blade", "https://edmondsonsupply.com/collections/electricians-tools/products/tajima-gkb-g210-g-saw%E2%84%A2-replacement-blade")</f>
        <v>https://edmondsonsupply.com/collections/electricians-tools/products/tajima-gkb-g210-g-saw%E2%84%A2-replacement-blade</v>
      </c>
      <c r="B3136" s="3" t="str">
        <f>HYPERLINK("https://edmondsonsupply.com/products/tajima-gkb-g210-g-saw%e2%84%a2-replacement-blade", "https://edmondsonsupply.com/products/tajima-gkb-g210-g-saw%e2%84%a2-replacement-blade")</f>
        <v>https://edmondsonsupply.com/products/tajima-gkb-g210-g-saw%e2%84%a2-replacement-blade</v>
      </c>
      <c r="C3136" t="s">
        <v>7363</v>
      </c>
      <c r="D3136" t="s">
        <v>7364</v>
      </c>
      <c r="E3136" s="3" t="str">
        <f>HYPERLINK("https://www.amazon.com/Tajima-GKBG210-GKB-G210-210/dp/B002FB73U2/ref=sr_1_2?keywords=Tajima+GKB-G210+G-Saw%E2%84%A2+Replacement+Blade&amp;qid=1695174198&amp;sr=8-2", "https://www.amazon.com/Tajima-GKBG210-GKB-G210-210/dp/B002FB73U2/ref=sr_1_2?keywords=Tajima+GKB-G210+G-Saw%E2%84%A2+Replacement+Blade&amp;qid=1695174198&amp;sr=8-2")</f>
        <v>https://www.amazon.com/Tajima-GKBG210-GKB-G210-210/dp/B002FB73U2/ref=sr_1_2?keywords=Tajima+GKB-G210+G-Saw%E2%84%A2+Replacement+Blade&amp;qid=1695174198&amp;sr=8-2</v>
      </c>
      <c r="F3136" t="s">
        <v>7365</v>
      </c>
      <c r="G3136" t="e">
        <f ca="1">_xludf.IMAGE("https://edmondsonsupply.com/cdn/shop/products/GKB-210.jpg?v=1655298927")</f>
        <v>#NAME?</v>
      </c>
      <c r="H3136" t="e">
        <f ca="1">_xludf.IMAGE("https://m.media-amazon.com/images/I/31VmD2qVw5L._AC_UL320_.jpg")</f>
        <v>#NAME?</v>
      </c>
      <c r="I3136" t="s">
        <v>7366</v>
      </c>
      <c r="J3136">
        <v>16.489999999999998</v>
      </c>
      <c r="K3136" s="4">
        <v>0.2994</v>
      </c>
      <c r="L3136">
        <v>4.4000000000000004</v>
      </c>
      <c r="M3136">
        <v>173</v>
      </c>
      <c r="O3136" t="s">
        <v>25</v>
      </c>
      <c r="P3136" t="s">
        <v>7366</v>
      </c>
      <c r="Q3136" t="s">
        <v>7367</v>
      </c>
    </row>
    <row r="3137" spans="1:17" ht="15.5" x14ac:dyDescent="0.35">
      <c r="A3137" s="3" t="str">
        <f>HYPERLINK("https://edmondsonsupply.com/collections/electricians-tools/products/klein-tools-60346-hard-hat-premium-karbn%E2%84%A2-pattern-non-vented-full-brim-class-e-lamp", "https://edmondsonsupply.com/collections/electricians-tools/products/klein-tools-60346-hard-hat-premium-karbn%E2%84%A2-pattern-non-vented-full-brim-class-e-lamp")</f>
        <v>https://edmondsonsupply.com/collections/electricians-tools/products/klein-tools-60346-hard-hat-premium-karbn%E2%84%A2-pattern-non-vented-full-brim-class-e-lamp</v>
      </c>
      <c r="B3137"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3137" t="s">
        <v>1020</v>
      </c>
      <c r="D3137" t="s">
        <v>903</v>
      </c>
      <c r="E3137" s="3" t="str">
        <f>HYPERLINK("https://www.amazon.com/Klein-Tools-60347-Rechargeable-Sweat-Wicking/dp/B08SYM9K52/ref=sr_1_4?keywords=Klein+Tools+60346+Hard+Hat%2C+Premium+KARBN%E2%84%A2+Pattern%2C+Non-Vented+Full+Brim%2C+Class+E%2C+Lamp&amp;qid=1695173886&amp;sr=8-4", "https://www.amazon.com/Klein-Tools-60347-Rechargeable-Sweat-Wicking/dp/B08SYM9K52/ref=sr_1_4?keywords=Klein+Tools+60346+Hard+Hat%2C+Premium+KARBN%E2%84%A2+Pattern%2C+Non-Vented+Full+Brim%2C+Class+E%2C+Lamp&amp;qid=1695173886&amp;sr=8-4")</f>
        <v>https://www.amazon.com/Klein-Tools-60347-Rechargeable-Sweat-Wicking/dp/B08SYM9K52/ref=sr_1_4?keywords=Klein+Tools+60346+Hard+Hat%2C+Premium+KARBN%E2%84%A2+Pattern%2C+Non-Vented+Full+Brim%2C+Class+E%2C+Lamp&amp;qid=1695173886&amp;sr=8-4</v>
      </c>
      <c r="F3137" t="s">
        <v>904</v>
      </c>
      <c r="G3137" t="e">
        <f ca="1">_xludf.IMAGE("https://edmondsonsupply.com/cdn/shop/products/60346.jpg?v=1660168162")</f>
        <v>#NAME?</v>
      </c>
      <c r="H3137" t="e">
        <f ca="1">_xludf.IMAGE("https://m.media-amazon.com/images/I/61pIVbITWkL._AC_UL320_.jpg")</f>
        <v>#NAME?</v>
      </c>
      <c r="I3137" t="s">
        <v>315</v>
      </c>
      <c r="J3137">
        <v>116.88</v>
      </c>
      <c r="K3137" s="4">
        <v>0.29880000000000001</v>
      </c>
      <c r="L3137">
        <v>4.7</v>
      </c>
      <c r="M3137">
        <v>2542</v>
      </c>
      <c r="O3137" t="s">
        <v>25</v>
      </c>
      <c r="P3137" t="s">
        <v>917</v>
      </c>
      <c r="Q3137" t="s">
        <v>1021</v>
      </c>
    </row>
    <row r="3138" spans="1:17" ht="15.5" x14ac:dyDescent="0.35">
      <c r="A3138" s="3" t="str">
        <f>HYPERLINK("https://edmondsonsupply.com/collections/electricians-tools/products/klein-tools-60347-hard-hat-premium-karbn%E2%84%A2-pattern-vented-full-brim-class-c-lamp", "https://edmondsonsupply.com/collections/electricians-tools/products/klein-tools-60347-hard-hat-premium-karbn%E2%84%A2-pattern-vented-full-brim-class-c-lamp")</f>
        <v>https://edmondsonsupply.com/collections/electricians-tools/products/klein-tools-60347-hard-hat-premium-karbn%E2%84%A2-pattern-vented-full-brim-class-c-lamp</v>
      </c>
      <c r="B3138"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3138" t="s">
        <v>914</v>
      </c>
      <c r="D3138" t="s">
        <v>903</v>
      </c>
      <c r="E3138" s="3" t="str">
        <f>HYPERLINK("https://www.amazon.com/Klein-Tools-60347-Rechargeable-Sweat-Wicking/dp/B08SYM9K52/ref=sr_1_1?keywords=Klein+Tools+60347+Hard+Hat%2C+Premium+KARBN%E2%84%A2+Pattern%2C+Vented+Full+Brim%2C+Class+C%2C+Lamp&amp;qid=1695174177&amp;sr=8-1", "https://www.amazon.com/Klein-Tools-60347-Rechargeable-Sweat-Wicking/dp/B08SYM9K52/ref=sr_1_1?keywords=Klein+Tools+60347+Hard+Hat%2C+Premium+KARBN%E2%84%A2+Pattern%2C+Vented+Full+Brim%2C+Class+C%2C+Lamp&amp;qid=1695174177&amp;sr=8-1")</f>
        <v>https://www.amazon.com/Klein-Tools-60347-Rechargeable-Sweat-Wicking/dp/B08SYM9K52/ref=sr_1_1?keywords=Klein+Tools+60347+Hard+Hat%2C+Premium+KARBN%E2%84%A2+Pattern%2C+Vented+Full+Brim%2C+Class+C%2C+Lamp&amp;qid=1695174177&amp;sr=8-1</v>
      </c>
      <c r="F3138" t="s">
        <v>904</v>
      </c>
      <c r="G3138" t="e">
        <f ca="1">_xludf.IMAGE("https://edmondsonsupply.com/cdn/shop/products/60347.jpg?v=1659454043")</f>
        <v>#NAME?</v>
      </c>
      <c r="H3138" t="e">
        <f ca="1">_xludf.IMAGE("https://m.media-amazon.com/images/I/61pIVbITWkL._AC_UL320_.jpg")</f>
        <v>#NAME?</v>
      </c>
      <c r="I3138" t="s">
        <v>315</v>
      </c>
      <c r="J3138">
        <v>116.88</v>
      </c>
      <c r="K3138" s="4">
        <v>0.29880000000000001</v>
      </c>
      <c r="L3138">
        <v>4.7</v>
      </c>
      <c r="M3138">
        <v>2542</v>
      </c>
      <c r="O3138" t="s">
        <v>171</v>
      </c>
      <c r="P3138" t="s">
        <v>917</v>
      </c>
      <c r="Q3138" t="s">
        <v>918</v>
      </c>
    </row>
    <row r="3139" spans="1:17" ht="15.5" x14ac:dyDescent="0.35">
      <c r="A3139"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3139" s="3" t="str">
        <f>HYPERLINK("https://edmondsonsupply.com/products/diablo-tools-dag3090-7-8-in-x-17-1-2-in-auger-bit", "https://edmondsonsupply.com/products/diablo-tools-dag3090-7-8-in-x-17-1-2-in-auger-bit")</f>
        <v>https://edmondsonsupply.com/products/diablo-tools-dag3090-7-8-in-x-17-1-2-in-auger-bit</v>
      </c>
      <c r="C3139" t="s">
        <v>7269</v>
      </c>
      <c r="D3139" t="s">
        <v>7368</v>
      </c>
      <c r="E3139" s="3" t="str">
        <f>HYPERLINK("https://www.amazon.com/BOSCH-NKLT14-17-1-Daredevil-Auger/dp/B003BIFMW4/ref=sr_1_10?keywords=Diablo+Tools+DAG3090+7%2F8+in.+x+17-1%2F2+in.+Auger+Bit&amp;qid=1695174065&amp;sr=8-10", "https://www.amazon.com/BOSCH-NKLT14-17-1-Daredevil-Auger/dp/B003BIFMW4/ref=sr_1_10?keywords=Diablo+Tools+DAG3090+7%2F8+in.+x+17-1%2F2+in.+Auger+Bit&amp;qid=1695174065&amp;sr=8-10")</f>
        <v>https://www.amazon.com/BOSCH-NKLT14-17-1-Daredevil-Auger/dp/B003BIFMW4/ref=sr_1_10?keywords=Diablo+Tools+DAG3090+7%2F8+in.+x+17-1%2F2+in.+Auger+Bit&amp;qid=1695174065&amp;sr=8-10</v>
      </c>
      <c r="F3139" t="s">
        <v>7369</v>
      </c>
      <c r="G3139" t="e">
        <f ca="1">_xludf.IMAGE("https://edmondsonsupply.com/cdn/shop/products/aorgtpkivjubhtbiiau0.webp?v=1677256849")</f>
        <v>#NAME?</v>
      </c>
      <c r="H3139" t="e">
        <f ca="1">_xludf.IMAGE("https://m.media-amazon.com/images/I/61DtknokK5L._AC_UL320_.jpg")</f>
        <v>#NAME?</v>
      </c>
      <c r="I3139" t="s">
        <v>1589</v>
      </c>
      <c r="J3139">
        <v>29.84</v>
      </c>
      <c r="K3139" s="4">
        <v>0.29799999999999999</v>
      </c>
      <c r="L3139">
        <v>4.4000000000000004</v>
      </c>
      <c r="M3139">
        <v>161</v>
      </c>
      <c r="O3139" t="s">
        <v>25</v>
      </c>
      <c r="P3139" t="s">
        <v>7270</v>
      </c>
      <c r="Q3139" t="s">
        <v>7271</v>
      </c>
    </row>
    <row r="3140" spans="1:17" ht="15.5" x14ac:dyDescent="0.35">
      <c r="A3140"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3140" s="3" t="str">
        <f>HYPERLINK("https://edmondsonsupply.com/products/klein-tools-56028-flashlight-with-worklight-led-flashlight", "https://edmondsonsupply.com/products/klein-tools-56028-flashlight-with-worklight-led-flashlight")</f>
        <v>https://edmondsonsupply.com/products/klein-tools-56028-flashlight-with-worklight-led-flashlight</v>
      </c>
      <c r="C3140" t="s">
        <v>7140</v>
      </c>
      <c r="D3140" t="s">
        <v>7370</v>
      </c>
      <c r="E3140" s="3" t="str">
        <f>HYPERLINK("https://www.amazon.com/Blackfire-Rechargeable-Weatherproof-Flashlight-BBM6412/dp/B0973P55J1/ref=sr_1_7?keywords=Klein+Tools+56028+LED+Flashlight+with+Work+Light&amp;qid=1695174266&amp;sr=8-7", "https://www.amazon.com/Blackfire-Rechargeable-Weatherproof-Flashlight-BBM6412/dp/B0973P55J1/ref=sr_1_7?keywords=Klein+Tools+56028+LED+Flashlight+with+Work+Light&amp;qid=1695174266&amp;sr=8-7")</f>
        <v>https://www.amazon.com/Blackfire-Rechargeable-Weatherproof-Flashlight-BBM6412/dp/B0973P55J1/ref=sr_1_7?keywords=Klein+Tools+56028+LED+Flashlight+with+Work+Light&amp;qid=1695174266&amp;sr=8-7</v>
      </c>
      <c r="F3140" t="s">
        <v>7371</v>
      </c>
      <c r="G3140" t="e">
        <f ca="1">_xludf.IMAGE("https://edmondsonsupply.com/cdn/shop/products/56028.jpg?v=1587148656")</f>
        <v>#NAME?</v>
      </c>
      <c r="H3140" t="e">
        <f ca="1">_xludf.IMAGE("https://m.media-amazon.com/images/I/613u02ZMfnL._AC_UL320_.jpg")</f>
        <v>#NAME?</v>
      </c>
      <c r="I3140" t="s">
        <v>936</v>
      </c>
      <c r="J3140">
        <v>35</v>
      </c>
      <c r="K3140" s="4">
        <v>0.29770000000000002</v>
      </c>
      <c r="L3140">
        <v>4.5999999999999996</v>
      </c>
      <c r="M3140">
        <v>61</v>
      </c>
      <c r="O3140" t="s">
        <v>25</v>
      </c>
      <c r="P3140" t="s">
        <v>7141</v>
      </c>
      <c r="Q3140" t="s">
        <v>7142</v>
      </c>
    </row>
    <row r="3141" spans="1:17" ht="15.5" x14ac:dyDescent="0.35">
      <c r="A3141"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3141"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3141" t="s">
        <v>7055</v>
      </c>
      <c r="D3141" t="s">
        <v>7372</v>
      </c>
      <c r="E3141" s="3" t="str">
        <f>HYPERLINK("https://www.amazon.com/Insulated-Stripper-Klein-Tools-11045-INS/dp/B0002RI4TK/ref=sr_1_5?keywords=Klein+Tools+11055RINS+Insulated+Klein-Kurve%C2%AE+Wire+Stripper+and+Cutter&amp;qid=1695174134&amp;sr=8-5", "https://www.amazon.com/Insulated-Stripper-Klein-Tools-11045-INS/dp/B0002RI4TK/ref=sr_1_5?keywords=Klein+Tools+11055RINS+Insulated+Klein-Kurve%C2%AE+Wire+Stripper+and+Cutter&amp;qid=1695174134&amp;sr=8-5")</f>
        <v>https://www.amazon.com/Insulated-Stripper-Klein-Tools-11045-INS/dp/B0002RI4TK/ref=sr_1_5?keywords=Klein+Tools+11055RINS+Insulated+Klein-Kurve%C2%AE+Wire+Stripper+and+Cutter&amp;qid=1695174134&amp;sr=8-5</v>
      </c>
      <c r="F3141" t="s">
        <v>7373</v>
      </c>
      <c r="G3141" t="e">
        <f ca="1">_xludf.IMAGE("https://edmondsonsupply.com/cdn/shop/products/11055rins.jpg?v=1667236979")</f>
        <v>#NAME?</v>
      </c>
      <c r="H3141" t="e">
        <f ca="1">_xludf.IMAGE("https://m.media-amazon.com/images/I/51BhVtwSsVL._AC_UL320_.jpg")</f>
        <v>#NAME?</v>
      </c>
      <c r="I3141" t="s">
        <v>824</v>
      </c>
      <c r="J3141">
        <v>38.89</v>
      </c>
      <c r="K3141" s="4">
        <v>0.29759999999999998</v>
      </c>
      <c r="L3141">
        <v>4.5</v>
      </c>
      <c r="M3141">
        <v>35</v>
      </c>
      <c r="O3141" t="s">
        <v>25</v>
      </c>
      <c r="P3141" t="s">
        <v>562</v>
      </c>
      <c r="Q3141" t="s">
        <v>7056</v>
      </c>
    </row>
    <row r="3142" spans="1:17" ht="15.5" x14ac:dyDescent="0.35">
      <c r="A3142"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3142"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3142" t="s">
        <v>6969</v>
      </c>
      <c r="D3142" t="s">
        <v>7374</v>
      </c>
      <c r="E3142" s="3" t="str">
        <f>HYPERLINK("https://www.amazon.com/Stainless-Lockback-Klein-Tools-44005/dp/B000936PU2/ref=sr_1_5?keywords=Klein+Tools+1550-2+2+Blade+Pocket+Knife%2C+Steel%2C+2-1%2F2-Inch+Blade&amp;qid=1695174176&amp;sr=8-5", "https://www.amazon.com/Stainless-Lockback-Klein-Tools-44005/dp/B000936PU2/ref=sr_1_5?keywords=Klein+Tools+1550-2+2+Blade+Pocket+Knife%2C+Steel%2C+2-1%2F2-Inch+Blade&amp;qid=1695174176&amp;sr=8-5")</f>
        <v>https://www.amazon.com/Stainless-Lockback-Klein-Tools-44005/dp/B000936PU2/ref=sr_1_5?keywords=Klein+Tools+1550-2+2+Blade+Pocket+Knife%2C+Steel%2C+2-1%2F2-Inch+Blade&amp;qid=1695174176&amp;sr=8-5</v>
      </c>
      <c r="F3142" t="s">
        <v>7375</v>
      </c>
      <c r="G3142" t="e">
        <f ca="1">_xludf.IMAGE("https://edmondsonsupply.com/cdn/shop/products/15502_b.jpg?v=1658020543")</f>
        <v>#NAME?</v>
      </c>
      <c r="H3142" t="e">
        <f ca="1">_xludf.IMAGE("https://m.media-amazon.com/images/I/51kz2pGOUqL._AC_UL320_.jpg")</f>
        <v>#NAME?</v>
      </c>
      <c r="I3142" t="s">
        <v>26</v>
      </c>
      <c r="J3142">
        <v>38.9</v>
      </c>
      <c r="K3142" s="4">
        <v>0.29709999999999998</v>
      </c>
      <c r="L3142">
        <v>4.7</v>
      </c>
      <c r="M3142">
        <v>338</v>
      </c>
      <c r="O3142" t="s">
        <v>25</v>
      </c>
      <c r="P3142" t="s">
        <v>6972</v>
      </c>
      <c r="Q3142" t="s">
        <v>6973</v>
      </c>
    </row>
    <row r="3143" spans="1:17" ht="15.5" x14ac:dyDescent="0.35">
      <c r="A3143" s="3" t="str">
        <f>HYPERLINK("https://edmondsonsupply.com/collections/electricians-tools/products/channellock-428", "https://edmondsonsupply.com/collections/electricians-tools/products/channellock-428")</f>
        <v>https://edmondsonsupply.com/collections/electricians-tools/products/channellock-428</v>
      </c>
      <c r="B3143" s="3" t="str">
        <f>HYPERLINK("https://edmondsonsupply.com/products/channellock-428", "https://edmondsonsupply.com/products/channellock-428")</f>
        <v>https://edmondsonsupply.com/products/channellock-428</v>
      </c>
      <c r="C3143" t="s">
        <v>1791</v>
      </c>
      <c r="D3143" t="s">
        <v>3573</v>
      </c>
      <c r="E3143" s="3" t="str">
        <f>HYPERLINK("https://www.amazon.com/Channellock-440-12-Inch-Tongue-Groove/dp/B00004SBCU/ref=sr_1_7?keywords=Channellock+428+8-Inch+Straight+Jaw+Tongue+%26+Groove+Pliers&amp;qid=1695173963&amp;sr=8-7", "https://www.amazon.com/Channellock-440-12-Inch-Tongue-Groove/dp/B00004SBCU/ref=sr_1_7?keywords=Channellock+428+8-Inch+Straight+Jaw+Tongue+%26+Groove+Pliers&amp;qid=1695173963&amp;sr=8-7")</f>
        <v>https://www.amazon.com/Channellock-440-12-Inch-Tongue-Groove/dp/B00004SBCU/ref=sr_1_7?keywords=Channellock+428+8-Inch+Straight+Jaw+Tongue+%26+Groove+Pliers&amp;qid=1695173963&amp;sr=8-7</v>
      </c>
      <c r="F3143" t="s">
        <v>3574</v>
      </c>
      <c r="G3143" t="e">
        <f ca="1">_xludf.IMAGE("https://edmondsonsupply.com/cdn/shop/products/428-683x1024.jpg?v=1587145854")</f>
        <v>#NAME?</v>
      </c>
      <c r="H3143" t="e">
        <f ca="1">_xludf.IMAGE("https://m.media-amazon.com/images/I/71FM1bkavsL._AC_UL320_.jpg")</f>
        <v>#NAME?</v>
      </c>
      <c r="I3143" t="s">
        <v>1554</v>
      </c>
      <c r="J3143">
        <v>21.95</v>
      </c>
      <c r="K3143" s="4">
        <v>0.29499999999999998</v>
      </c>
      <c r="L3143">
        <v>4.8</v>
      </c>
      <c r="M3143">
        <v>3565</v>
      </c>
      <c r="O3143" t="s">
        <v>25</v>
      </c>
      <c r="P3143" t="s">
        <v>1794</v>
      </c>
      <c r="Q3143" t="s">
        <v>1795</v>
      </c>
    </row>
    <row r="3144" spans="1:17" ht="15.5" x14ac:dyDescent="0.35">
      <c r="A3144" s="3" t="str">
        <f>HYPERLINK("https://edmondsonsupply.com/collections/electricians-tools/products/klein-tools-55600-tradesman-pro%E2%84%A2-tough-box-17-quart-cooler", "https://edmondsonsupply.com/collections/electricians-tools/products/klein-tools-55600-tradesman-pro%E2%84%A2-tough-box-17-quart-cooler")</f>
        <v>https://edmondsonsupply.com/collections/electricians-tools/products/klein-tools-55600-tradesman-pro%E2%84%A2-tough-box-17-quart-cooler</v>
      </c>
      <c r="B3144"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3144" t="s">
        <v>3583</v>
      </c>
      <c r="D3144" t="s">
        <v>3584</v>
      </c>
      <c r="E3144" s="3" t="str">
        <f>HYPERLINK("https://www.amazon.com/Klein-Tools-Tradesman-Resistant-Reinforced/dp/B08DY41653/ref=sr_1_2?keywords=Klein+Tools+55600+Tradesman+Pro%E2%84%A2+Tough+Box+Cooler%2C+17-Quart&amp;qid=1695173941&amp;sr=8-2", "https://www.amazon.com/Klein-Tools-Tradesman-Resistant-Reinforced/dp/B08DY41653/ref=sr_1_2?keywords=Klein+Tools+55600+Tradesman+Pro%E2%84%A2+Tough+Box+Cooler%2C+17-Quart&amp;qid=1695173941&amp;sr=8-2")</f>
        <v>https://www.amazon.com/Klein-Tools-Tradesman-Resistant-Reinforced/dp/B08DY41653/ref=sr_1_2?keywords=Klein+Tools+55600+Tradesman+Pro%E2%84%A2+Tough+Box+Cooler%2C+17-Quart&amp;qid=1695173941&amp;sr=8-2</v>
      </c>
      <c r="F3144" t="s">
        <v>3585</v>
      </c>
      <c r="G3144" t="e">
        <f ca="1">_xludf.IMAGE("https://edmondsonsupply.com/cdn/shop/products/55600.jpg?v=1587145287")</f>
        <v>#NAME?</v>
      </c>
      <c r="H3144" t="e">
        <f ca="1">_xludf.IMAGE("https://m.media-amazon.com/images/I/61jzPgCIeGL._AC_UL320_.jpg")</f>
        <v>#NAME?</v>
      </c>
      <c r="I3144" t="s">
        <v>305</v>
      </c>
      <c r="J3144">
        <v>83.99</v>
      </c>
      <c r="K3144" s="4">
        <v>0.2928</v>
      </c>
      <c r="L3144">
        <v>4.8</v>
      </c>
      <c r="M3144">
        <v>9</v>
      </c>
      <c r="O3144" t="s">
        <v>25</v>
      </c>
      <c r="P3144" t="s">
        <v>3586</v>
      </c>
      <c r="Q3144" t="s">
        <v>3587</v>
      </c>
    </row>
    <row r="3145" spans="1:17" ht="15.5" x14ac:dyDescent="0.35">
      <c r="A3145" s="3" t="str">
        <f>HYPERLINK("https://edmondsonsupply.com/collections/electricians-tools/products/tajima-dfc671n-r1-rock-hard-fin%E2%84%A2-utility-knife-dial-lock", "https://edmondsonsupply.com/collections/electricians-tools/products/tajima-dfc671n-r1-rock-hard-fin%E2%84%A2-utility-knife-dial-lock")</f>
        <v>https://edmondsonsupply.com/collections/electricians-tools/products/tajima-dfc671n-r1-rock-hard-fin%E2%84%A2-utility-knife-dial-lock</v>
      </c>
      <c r="B3145" s="3" t="str">
        <f>HYPERLINK("https://edmondsonsupply.com/products/tajima-dfc671n-r1-rock-hard-fin%e2%84%a2-utility-knife-dial-lock", "https://edmondsonsupply.com/products/tajima-dfc671n-r1-rock-hard-fin%e2%84%a2-utility-knife-dial-lock")</f>
        <v>https://edmondsonsupply.com/products/tajima-dfc671n-r1-rock-hard-fin%e2%84%a2-utility-knife-dial-lock</v>
      </c>
      <c r="C3145" t="s">
        <v>3588</v>
      </c>
      <c r="D3145" t="s">
        <v>3589</v>
      </c>
      <c r="E3145" s="3" t="str">
        <f>HYPERLINK("https://www.amazon.com/TAJIMA-Utility-Knife-7-Point-DFC671N-R1/dp/B07W4FVQKV/ref=sr_1_1?keywords=Tajima+DFC671N-R1+Rock+Hard+FIN%E2%84%A2+Utility+Knife%2C+Dial+Lock&amp;qid=1695173973&amp;sr=8-1", "https://www.amazon.com/TAJIMA-Utility-Knife-7-Point-DFC671N-R1/dp/B07W4FVQKV/ref=sr_1_1?keywords=Tajima+DFC671N-R1+Rock+Hard+FIN%E2%84%A2+Utility+Knife%2C+Dial+Lock&amp;qid=1695173973&amp;sr=8-1")</f>
        <v>https://www.amazon.com/TAJIMA-Utility-Knife-7-Point-DFC671N-R1/dp/B07W4FVQKV/ref=sr_1_1?keywords=Tajima+DFC671N-R1+Rock+Hard+FIN%E2%84%A2+Utility+Knife%2C+Dial+Lock&amp;qid=1695173973&amp;sr=8-1</v>
      </c>
      <c r="F3145" t="s">
        <v>3590</v>
      </c>
      <c r="G3145" t="e">
        <f ca="1">_xludf.IMAGE("https://edmondsonsupply.com/cdn/shop/files/DFC671N-R1-2.jpg?v=1693510020")</f>
        <v>#NAME?</v>
      </c>
      <c r="H3145" t="e">
        <f ca="1">_xludf.IMAGE("https://m.media-amazon.com/images/I/51udy51xLdL._AC_UL320_.jpg")</f>
        <v>#NAME?</v>
      </c>
      <c r="I3145" t="s">
        <v>3591</v>
      </c>
      <c r="J3145">
        <v>19.75</v>
      </c>
      <c r="K3145" s="4">
        <v>0.29249999999999998</v>
      </c>
      <c r="L3145">
        <v>4.5999999999999996</v>
      </c>
      <c r="M3145">
        <v>36</v>
      </c>
      <c r="O3145" t="s">
        <v>25</v>
      </c>
      <c r="P3145" t="s">
        <v>138</v>
      </c>
      <c r="Q3145" t="s">
        <v>3592</v>
      </c>
    </row>
    <row r="3146" spans="1:17" ht="15.5" x14ac:dyDescent="0.35">
      <c r="A3146" s="3" t="str">
        <f>HYPERLINK("https://edmondsonsupply.com/collections/electricians-tools/products/rack-a-tiers-43095-electricians-grande-butt-pouch", "https://edmondsonsupply.com/collections/electricians-tools/products/rack-a-tiers-43095-electricians-grande-butt-pouch")</f>
        <v>https://edmondsonsupply.com/collections/electricians-tools/products/rack-a-tiers-43095-electricians-grande-butt-pouch</v>
      </c>
      <c r="B3146" s="3" t="str">
        <f>HYPERLINK("https://edmondsonsupply.com/products/rack-a-tiers-43095-electricians-grande-butt-pouch", "https://edmondsonsupply.com/products/rack-a-tiers-43095-electricians-grande-butt-pouch")</f>
        <v>https://edmondsonsupply.com/products/rack-a-tiers-43095-electricians-grande-butt-pouch</v>
      </c>
      <c r="C3146" t="s">
        <v>3598</v>
      </c>
      <c r="D3146" t="s">
        <v>3599</v>
      </c>
      <c r="E3146" s="3" t="str">
        <f>HYPERLINK("https://www.amazon.com/Rack-Tiers-Ballistic-Grande-Pocket/dp/B0186JN22E/ref=sr_1_1?keywords=Rack-A-Tiers+43095+Electrician%27s+Grande+Butt+Pouch&amp;qid=1695173924&amp;sr=8-1", "https://www.amazon.com/Rack-Tiers-Ballistic-Grande-Pocket/dp/B0186JN22E/ref=sr_1_1?keywords=Rack-A-Tiers+43095+Electrician%27s+Grande+Butt+Pouch&amp;qid=1695173924&amp;sr=8-1")</f>
        <v>https://www.amazon.com/Rack-Tiers-Ballistic-Grande-Pocket/dp/B0186JN22E/ref=sr_1_1?keywords=Rack-A-Tiers+43095+Electrician%27s+Grande+Butt+Pouch&amp;qid=1695173924&amp;sr=8-1</v>
      </c>
      <c r="F3146" t="s">
        <v>3600</v>
      </c>
      <c r="G3146" t="e">
        <f ca="1">_xludf.IMAGE("https://edmondsonsupply.com/cdn/shop/products/43095-Grande-Butt-Pouch-1-1-1-1-1-300x300.png?v=1633030598")</f>
        <v>#NAME?</v>
      </c>
      <c r="H3146" t="e">
        <f ca="1">_xludf.IMAGE("https://m.media-amazon.com/images/I/518zKc1qDyL._AC_UL320_.jpg")</f>
        <v>#NAME?</v>
      </c>
      <c r="I3146" t="s">
        <v>3601</v>
      </c>
      <c r="J3146">
        <v>38.1</v>
      </c>
      <c r="K3146" s="4">
        <v>0.29199999999999998</v>
      </c>
      <c r="L3146">
        <v>3.5</v>
      </c>
      <c r="M3146">
        <v>29</v>
      </c>
      <c r="O3146" t="s">
        <v>25</v>
      </c>
      <c r="P3146" t="s">
        <v>3602</v>
      </c>
      <c r="Q3146" t="s">
        <v>3603</v>
      </c>
    </row>
    <row r="3147" spans="1:17" ht="15.5" x14ac:dyDescent="0.35">
      <c r="A3147" s="3" t="str">
        <f>HYPERLINK("https://edmondsonsupply.com/collections/electricians-tools/products/uniweld-70022", "https://edmondsonsupply.com/collections/electricians-tools/products/uniweld-70022")</f>
        <v>https://edmondsonsupply.com/collections/electricians-tools/products/uniweld-70022</v>
      </c>
      <c r="B3147" s="3" t="str">
        <f>HYPERLINK("https://edmondsonsupply.com/products/uniweld-70022", "https://edmondsonsupply.com/products/uniweld-70022")</f>
        <v>https://edmondsonsupply.com/products/uniweld-70022</v>
      </c>
      <c r="C3147" t="s">
        <v>3613</v>
      </c>
      <c r="D3147" t="s">
        <v>3614</v>
      </c>
      <c r="E3147" s="3" t="str">
        <f>HYPERLINK("https://www.amazon.com/Uniweld-70022-Reversible-Ratchet-Adaptor/dp/B00ECC6DE4/ref=sr_1_1?keywords=Uniweld+70022+Ratchet+Service+Wrench%2B&amp;qid=1695173884&amp;sr=8-1", "https://www.amazon.com/Uniweld-70022-Reversible-Ratchet-Adaptor/dp/B00ECC6DE4/ref=sr_1_1?keywords=Uniweld+70022+Ratchet+Service+Wrench%2B&amp;qid=1695173884&amp;sr=8-1")</f>
        <v>https://www.amazon.com/Uniweld-70022-Reversible-Ratchet-Adaptor/dp/B00ECC6DE4/ref=sr_1_1?keywords=Uniweld+70022+Ratchet+Service+Wrench%2B&amp;qid=1695173884&amp;sr=8-1</v>
      </c>
      <c r="F3147" t="s">
        <v>3615</v>
      </c>
      <c r="G3147" t="e">
        <f ca="1">_xludf.IMAGE("https://edmondsonsupply.com/cdn/shop/products/70022_pkg.jpg?v=1656082349")</f>
        <v>#NAME?</v>
      </c>
      <c r="H3147" t="e">
        <f ca="1">_xludf.IMAGE("https://m.media-amazon.com/images/I/61tFH9OW43L._AC_UL320_.jpg")</f>
        <v>#NAME?</v>
      </c>
      <c r="I3147" t="s">
        <v>3616</v>
      </c>
      <c r="J3147">
        <v>17.29</v>
      </c>
      <c r="K3147" s="4">
        <v>0.2913</v>
      </c>
      <c r="L3147">
        <v>4.7</v>
      </c>
      <c r="M3147">
        <v>209</v>
      </c>
      <c r="O3147" t="s">
        <v>25</v>
      </c>
      <c r="P3147" t="s">
        <v>3617</v>
      </c>
      <c r="Q3147" t="s">
        <v>3618</v>
      </c>
    </row>
    <row r="3148" spans="1:17" ht="15.5" x14ac:dyDescent="0.35">
      <c r="A3148" s="3" t="str">
        <f>HYPERLINK("https://edmondsonsupply.com/collections/electricians-tools/products/fieldpiece-sc260", "https://edmondsonsupply.com/collections/electricians-tools/products/fieldpiece-sc260")</f>
        <v>https://edmondsonsupply.com/collections/electricians-tools/products/fieldpiece-sc260</v>
      </c>
      <c r="B3148" s="3" t="str">
        <f>HYPERLINK("https://edmondsonsupply.com/products/fieldpiece-sc260", "https://edmondsonsupply.com/products/fieldpiece-sc260")</f>
        <v>https://edmondsonsupply.com/products/fieldpiece-sc260</v>
      </c>
      <c r="C3148" t="s">
        <v>3222</v>
      </c>
      <c r="D3148" t="s">
        <v>3619</v>
      </c>
      <c r="E3148" s="3" t="str">
        <f>HYPERLINK("https://www.amazon.com/SC260-Compact-Clamp-Meter-True/dp/B079L5D55Z/ref=sr_1_2?keywords=Fieldpiece+SC260+Compact+Clamp+Meter+with+True+RMS&amp;qid=1695173924&amp;sr=8-2", "https://www.amazon.com/SC260-Compact-Clamp-Meter-True/dp/B079L5D55Z/ref=sr_1_2?keywords=Fieldpiece+SC260+Compact+Clamp+Meter+with+True+RMS&amp;qid=1695173924&amp;sr=8-2")</f>
        <v>https://www.amazon.com/SC260-Compact-Clamp-Meter-True/dp/B079L5D55Z/ref=sr_1_2?keywords=Fieldpiece+SC260+Compact+Clamp+Meter+with+True+RMS&amp;qid=1695173924&amp;sr=8-2</v>
      </c>
      <c r="F3148" t="s">
        <v>3620</v>
      </c>
      <c r="G3148" t="e">
        <f ca="1">_xludf.IMAGE("https://edmondsonsupply.com/cdn/shop/products/SC260-SRC-product.jpg?v=1633030161")</f>
        <v>#NAME?</v>
      </c>
      <c r="H3148" t="e">
        <f ca="1">_xludf.IMAGE("https://m.media-amazon.com/images/I/41mbTzA5D0L._AC_UY218_.jpg")</f>
        <v>#NAME?</v>
      </c>
      <c r="I3148" t="s">
        <v>3225</v>
      </c>
      <c r="J3148">
        <v>178.83</v>
      </c>
      <c r="K3148" s="4">
        <v>0.29070000000000001</v>
      </c>
      <c r="L3148">
        <v>4.8</v>
      </c>
      <c r="M3148">
        <v>11</v>
      </c>
      <c r="O3148" t="s">
        <v>25</v>
      </c>
      <c r="P3148" t="s">
        <v>1508</v>
      </c>
      <c r="Q3148" t="s">
        <v>3226</v>
      </c>
    </row>
    <row r="3149" spans="1:17" ht="15.5" x14ac:dyDescent="0.35">
      <c r="A3149"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3149"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3149" t="s">
        <v>5837</v>
      </c>
      <c r="D3149" t="s">
        <v>5869</v>
      </c>
      <c r="E3149" s="3" t="str">
        <f>HYPERLINK("https://www.amazon.com/Diablo-DMAMX1390-SDS-Max-4-Cutter-Carbide-Tipped/dp/B089KW6C8V/ref=sr_1_4?keywords=Diablo+Tools+DMAMXCC5010+2+in.+x+7+in.+SDS-Max+Carbide+Tipped+Core+Bit&amp;qid=1695174008&amp;sr=8-4", "https://www.amazon.com/Diablo-DMAMX1390-SDS-Max-4-Cutter-Carbide-Tipped/dp/B089KW6C8V/ref=sr_1_4?keywords=Diablo+Tools+DMAMXCC5010+2+in.+x+7+in.+SDS-Max+Carbide+Tipped+Core+Bit&amp;qid=1695174008&amp;sr=8-4")</f>
        <v>https://www.amazon.com/Diablo-DMAMX1390-SDS-Max-4-Cutter-Carbide-Tipped/dp/B089KW6C8V/ref=sr_1_4?keywords=Diablo+Tools+DMAMXCC5010+2+in.+x+7+in.+SDS-Max+Carbide+Tipped+Core+Bit&amp;qid=1695174008&amp;sr=8-4</v>
      </c>
      <c r="F3149" t="s">
        <v>5870</v>
      </c>
      <c r="G3149" t="e">
        <f ca="1">_xludf.IMAGE("https://edmondsonsupply.com/cdn/shop/files/kbs61qpkymnshwvx13k1.webp?v=1686583113")</f>
        <v>#NAME?</v>
      </c>
      <c r="H3149" t="e">
        <f ca="1">_xludf.IMAGE("https://m.media-amazon.com/images/I/61J-83UaGmL._AC_UL320_.jpg")</f>
        <v>#NAME?</v>
      </c>
      <c r="I3149" t="s">
        <v>5840</v>
      </c>
      <c r="J3149">
        <v>130.66999999999999</v>
      </c>
      <c r="K3149" s="4">
        <v>0.28749999999999998</v>
      </c>
      <c r="L3149">
        <v>4.8</v>
      </c>
      <c r="M3149">
        <v>10</v>
      </c>
      <c r="O3149" t="s">
        <v>25</v>
      </c>
      <c r="P3149" t="s">
        <v>5841</v>
      </c>
      <c r="Q3149" t="s">
        <v>5842</v>
      </c>
    </row>
    <row r="3150" spans="1:17" ht="15.5" x14ac:dyDescent="0.35">
      <c r="A3150"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3150" s="3" t="str">
        <f>HYPERLINK("https://edmondsonsupply.com/products/klein-tools-11053-klein-kurve%c2%ae-wire-stripper-cutter", "https://edmondsonsupply.com/products/klein-tools-11053-klein-kurve%c2%ae-wire-stripper-cutter")</f>
        <v>https://edmondsonsupply.com/products/klein-tools-11053-klein-kurve%c2%ae-wire-stripper-cutter</v>
      </c>
      <c r="C3150" t="s">
        <v>2285</v>
      </c>
      <c r="D3150" t="s">
        <v>3625</v>
      </c>
      <c r="E3150" s="3" t="str">
        <f>HYPERLINK("https://www.amazon.com/Klein-Tools-11055GLW-Stripper-Klein-Kurve/dp/B09FVTWPQV/ref=sr_1_5?keywords=Klein+Tools+11053+Klein-Kurve%C2%AE+Wire+Stripper%2FCutter&amp;qid=1695173869&amp;sr=8-5", "https://www.amazon.com/Klein-Tools-11055GLW-Stripper-Klein-Kurve/dp/B09FVTWPQV/ref=sr_1_5?keywords=Klein+Tools+11053+Klein-Kurve%C2%AE+Wire+Stripper%2FCutter&amp;qid=1695173869&amp;sr=8-5")</f>
        <v>https://www.amazon.com/Klein-Tools-11055GLW-Stripper-Klein-Kurve/dp/B09FVTWPQV/ref=sr_1_5?keywords=Klein+Tools+11053+Klein-Kurve%C2%AE+Wire+Stripper%2FCutter&amp;qid=1695173869&amp;sr=8-5</v>
      </c>
      <c r="F3150" t="s">
        <v>3626</v>
      </c>
      <c r="G3150" t="e">
        <f ca="1">_xludf.IMAGE("https://edmondsonsupply.com/cdn/shop/products/11053.jpg?v=1633030511")</f>
        <v>#NAME?</v>
      </c>
      <c r="H3150" t="e">
        <f ca="1">_xludf.IMAGE("https://m.media-amazon.com/images/I/41qRg9375VL._AC_UL320_.jpg")</f>
        <v>#NAME?</v>
      </c>
      <c r="I3150" t="s">
        <v>2288</v>
      </c>
      <c r="J3150">
        <v>26.99</v>
      </c>
      <c r="K3150" s="4">
        <v>0.28710000000000002</v>
      </c>
      <c r="L3150">
        <v>4.8</v>
      </c>
      <c r="M3150">
        <v>7596</v>
      </c>
      <c r="O3150" t="s">
        <v>25</v>
      </c>
      <c r="P3150" t="s">
        <v>2289</v>
      </c>
      <c r="Q3150" t="s">
        <v>2290</v>
      </c>
    </row>
    <row r="3151" spans="1:17" ht="15.5" x14ac:dyDescent="0.35">
      <c r="A3151"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3151"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3151" t="s">
        <v>6753</v>
      </c>
      <c r="D3151" t="s">
        <v>3625</v>
      </c>
      <c r="E3151" s="3" t="str">
        <f>HYPERLINK("https://www.amazon.com/Klein-Tools-11055GLW-Stripper-Klein-Kurve/dp/B09FVTWPQV/ref=sr_1_6?keywords=Klein+Tools+K11095+Klein-Kurve%C2%AE+Wire+Stripper+%2F+Cutter%2C+8-20+AWG&amp;qid=1695174173&amp;sr=8-6", "https://www.amazon.com/Klein-Tools-11055GLW-Stripper-Klein-Kurve/dp/B09FVTWPQV/ref=sr_1_6?keywords=Klein+Tools+K11095+Klein-Kurve%C2%AE+Wire+Stripper+%2F+Cutter%2C+8-20+AWG&amp;qid=1695174173&amp;sr=8-6")</f>
        <v>https://www.amazon.com/Klein-Tools-11055GLW-Stripper-Klein-Kurve/dp/B09FVTWPQV/ref=sr_1_6?keywords=Klein+Tools+K11095+Klein-Kurve%C2%AE+Wire+Stripper+%2F+Cutter%2C+8-20+AWG&amp;qid=1695174173&amp;sr=8-6</v>
      </c>
      <c r="F3151" t="s">
        <v>3626</v>
      </c>
      <c r="G3151" t="e">
        <f ca="1">_xludf.IMAGE("https://edmondsonsupply.com/cdn/shop/products/k11095_b_front_vertical.jpg?v=1661364611")</f>
        <v>#NAME?</v>
      </c>
      <c r="H3151" t="e">
        <f ca="1">_xludf.IMAGE("https://m.media-amazon.com/images/I/41qRg9375VL._AC_UL320_.jpg")</f>
        <v>#NAME?</v>
      </c>
      <c r="I3151" t="s">
        <v>2288</v>
      </c>
      <c r="J3151">
        <v>26.99</v>
      </c>
      <c r="K3151" s="4">
        <v>0.28710000000000002</v>
      </c>
      <c r="L3151">
        <v>4.8</v>
      </c>
      <c r="M3151">
        <v>7596</v>
      </c>
      <c r="O3151" t="s">
        <v>25</v>
      </c>
      <c r="P3151" t="s">
        <v>6525</v>
      </c>
      <c r="Q3151" t="s">
        <v>6754</v>
      </c>
    </row>
    <row r="3152" spans="1:17" ht="15.5" x14ac:dyDescent="0.35">
      <c r="A3152"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3152" s="3" t="str">
        <f>HYPERLINK("https://edmondsonsupply.com/products/veto-pro-pac-tp-xxl-tool-pouch", "https://edmondsonsupply.com/products/veto-pro-pac-tp-xxl-tool-pouch")</f>
        <v>https://edmondsonsupply.com/products/veto-pro-pac-tp-xxl-tool-pouch</v>
      </c>
      <c r="C3152" t="s">
        <v>451</v>
      </c>
      <c r="D3152" t="s">
        <v>452</v>
      </c>
      <c r="E3152" s="3" t="str">
        <f>HYPERLINK("https://www.amazon.com/VETO-PRO-PAC-Model-XXL-F/dp/B0002HC2CK/ref=sr_1_3?keywords=Veto+Pro+Pac+TP-XXL+Tool+Pouch&amp;qid=1695173851&amp;sr=8-3", "https://www.amazon.com/VETO-PRO-PAC-Model-XXL-F/dp/B0002HC2CK/ref=sr_1_3?keywords=Veto+Pro+Pac+TP-XXL+Tool+Pouch&amp;qid=1695173851&amp;sr=8-3")</f>
        <v>https://www.amazon.com/VETO-PRO-PAC-Model-XXL-F/dp/B0002HC2CK/ref=sr_1_3?keywords=Veto+Pro+Pac+TP-XXL+Tool+Pouch&amp;qid=1695173851&amp;sr=8-3</v>
      </c>
      <c r="F3152" t="s">
        <v>453</v>
      </c>
      <c r="G3152" t="e">
        <f ca="1">_xludf.IMAGE("https://edmondsonsupply.com/cdn/shop/products/01_TP-XXL.jpg?v=1633031173")</f>
        <v>#NAME?</v>
      </c>
      <c r="H3152" t="e">
        <f ca="1">_xludf.IMAGE("https://m.media-amazon.com/images/I/61tR0YjGMkL._AC_UL320_.jpg")</f>
        <v>#NAME?</v>
      </c>
      <c r="I3152" t="s">
        <v>454</v>
      </c>
      <c r="J3152">
        <v>269.95</v>
      </c>
      <c r="K3152" s="4">
        <v>0.28549999999999998</v>
      </c>
      <c r="L3152">
        <v>4.5</v>
      </c>
      <c r="M3152">
        <v>262</v>
      </c>
      <c r="O3152" t="s">
        <v>25</v>
      </c>
      <c r="P3152" t="s">
        <v>138</v>
      </c>
      <c r="Q3152" t="s">
        <v>455</v>
      </c>
    </row>
    <row r="3153" spans="1:17" ht="15.5" x14ac:dyDescent="0.35">
      <c r="A3153" s="3" t="str">
        <f>HYPERLINK("https://edmondsonsupply.com/collections/electricians-tools/products/klein-tools-k12035-klein-kurve%C2%AE-heavy-duty-wire-stripper-8-20-awg", "https://edmondsonsupply.com/collections/electricians-tools/products/klein-tools-k12035-klein-kurve%C2%AE-heavy-duty-wire-stripper-8-20-awg")</f>
        <v>https://edmondsonsupply.com/collections/electricians-tools/products/klein-tools-k12035-klein-kurve%C2%AE-heavy-duty-wire-stripper-8-20-awg</v>
      </c>
      <c r="B3153" s="3" t="str">
        <f>HYPERLINK("https://edmondsonsupply.com/products/klein-tools-k12035-klein-kurve%c2%ae-heavy-duty-wire-stripper-8-20-awg", "https://edmondsonsupply.com/products/klein-tools-k12035-klein-kurve%c2%ae-heavy-duty-wire-stripper-8-20-awg")</f>
        <v>https://edmondsonsupply.com/products/klein-tools-k12035-klein-kurve%c2%ae-heavy-duty-wire-stripper-8-20-awg</v>
      </c>
      <c r="C3153" t="s">
        <v>3632</v>
      </c>
      <c r="D3153" t="s">
        <v>3633</v>
      </c>
      <c r="E3153" s="3" t="str">
        <f>HYPERLINK("https://www.amazon.com/Klein-Tools-Klein-Kurve-Electronics-Screwdriver/dp/B09Z91XMF1/ref=sr_1_7?keywords=Klein+Tools+K12035+Klein-Kurve%C2%AE+Heavy-Duty+Wire+Stripper+8-20+AWG&amp;qid=1695173967&amp;sr=8-7", "https://www.amazon.com/Klein-Tools-Klein-Kurve-Electronics-Screwdriver/dp/B09Z91XMF1/ref=sr_1_7?keywords=Klein+Tools+K12035+Klein-Kurve%C2%AE+Heavy-Duty+Wire+Stripper+8-20+AWG&amp;qid=1695173967&amp;sr=8-7")</f>
        <v>https://www.amazon.com/Klein-Tools-Klein-Kurve-Electronics-Screwdriver/dp/B09Z91XMF1/ref=sr_1_7?keywords=Klein+Tools+K12035+Klein-Kurve%C2%AE+Heavy-Duty+Wire+Stripper+8-20+AWG&amp;qid=1695173967&amp;sr=8-7</v>
      </c>
      <c r="F3153" t="s">
        <v>3634</v>
      </c>
      <c r="G3153" t="e">
        <f ca="1">_xludf.IMAGE("https://edmondsonsupply.com/cdn/shop/products/k12035_c.jpg?v=1678970768")</f>
        <v>#NAME?</v>
      </c>
      <c r="H3153" t="e">
        <f ca="1">_xludf.IMAGE("https://m.media-amazon.com/images/I/41-4krrkm2L._AC_UL320_.jpg")</f>
        <v>#NAME?</v>
      </c>
      <c r="I3153" t="s">
        <v>340</v>
      </c>
      <c r="J3153">
        <v>44.94</v>
      </c>
      <c r="K3153" s="4">
        <v>0.28510000000000002</v>
      </c>
      <c r="L3153">
        <v>4.5999999999999996</v>
      </c>
      <c r="M3153">
        <v>616</v>
      </c>
      <c r="O3153" t="s">
        <v>25</v>
      </c>
      <c r="P3153" t="s">
        <v>3635</v>
      </c>
      <c r="Q3153" t="s">
        <v>3636</v>
      </c>
    </row>
    <row r="3154" spans="1:17" ht="15.5" x14ac:dyDescent="0.35">
      <c r="A3154" s="3" t="str">
        <f>HYPERLINK("https://edmondsonsupply.com/collections/electricians-tools/products/diablo-tools-dhs0500dg-1-2-in-diamond-grit-hole-saws", "https://edmondsonsupply.com/collections/electricians-tools/products/diablo-tools-dhs0500dg-1-2-in-diamond-grit-hole-saws")</f>
        <v>https://edmondsonsupply.com/collections/electricians-tools/products/diablo-tools-dhs0500dg-1-2-in-diamond-grit-hole-saws</v>
      </c>
      <c r="B3154" s="3" t="str">
        <f>HYPERLINK("https://edmondsonsupply.com/products/diablo-tools-dhs0500dg-1-2-in-diamond-grit-hole-saws", "https://edmondsonsupply.com/products/diablo-tools-dhs0500dg-1-2-in-diamond-grit-hole-saws")</f>
        <v>https://edmondsonsupply.com/products/diablo-tools-dhs0500dg-1-2-in-diamond-grit-hole-saws</v>
      </c>
      <c r="C3154" t="s">
        <v>7376</v>
      </c>
      <c r="D3154" t="s">
        <v>7377</v>
      </c>
      <c r="E3154" s="3" t="str">
        <f>HYPERLINK("https://www.amazon.com/Lenox-Tools-121108DGDS-Diamond-2-Inch/dp/B002TQ9PKE/ref=sr_1_2?keywords=Diablo+Tools+DHS0500DG+1%2F2+in.+Diamond+Grit+Hole+Saws&amp;qid=1695174106&amp;sr=8-2", "https://www.amazon.com/Lenox-Tools-121108DGDS-Diamond-2-Inch/dp/B002TQ9PKE/ref=sr_1_2?keywords=Diablo+Tools+DHS0500DG+1%2F2+in.+Diamond+Grit+Hole+Saws&amp;qid=1695174106&amp;sr=8-2")</f>
        <v>https://www.amazon.com/Lenox-Tools-121108DGDS-Diamond-2-Inch/dp/B002TQ9PKE/ref=sr_1_2?keywords=Diablo+Tools+DHS0500DG+1%2F2+in.+Diamond+Grit+Hole+Saws&amp;qid=1695174106&amp;sr=8-2</v>
      </c>
      <c r="F3154" t="s">
        <v>7378</v>
      </c>
      <c r="G3154" t="e">
        <f ca="1">_xludf.IMAGE("https://edmondsonsupply.com/cdn/shop/products/uccn2sxvplniczqakuy1.webp?v=1670006118")</f>
        <v>#NAME?</v>
      </c>
      <c r="H3154" t="e">
        <f ca="1">_xludf.IMAGE("https://m.media-amazon.com/images/I/51eN8ja7A-L._AC_UL320_.jpg")</f>
        <v>#NAME?</v>
      </c>
      <c r="I3154" t="s">
        <v>7379</v>
      </c>
      <c r="J3154">
        <v>18.190000000000001</v>
      </c>
      <c r="K3154" s="4">
        <v>0.2792</v>
      </c>
      <c r="L3154">
        <v>4.5999999999999996</v>
      </c>
      <c r="M3154">
        <v>279</v>
      </c>
      <c r="O3154" t="s">
        <v>25</v>
      </c>
      <c r="P3154" t="s">
        <v>7380</v>
      </c>
      <c r="Q3154" t="s">
        <v>7381</v>
      </c>
    </row>
    <row r="3155" spans="1:17" ht="15.5" x14ac:dyDescent="0.35">
      <c r="A3155"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3155" s="3" t="str">
        <f>HYPERLINK("https://edmondsonsupply.com/products/diablo-tools-dag3040-9-16-in-x-17-1-2-in-auger-bit", "https://edmondsonsupply.com/products/diablo-tools-dag3040-9-16-in-x-17-1-2-in-auger-bit")</f>
        <v>https://edmondsonsupply.com/products/diablo-tools-dag3040-9-16-in-x-17-1-2-in-auger-bit</v>
      </c>
      <c r="C3155" t="s">
        <v>7382</v>
      </c>
      <c r="D3155" t="s">
        <v>7355</v>
      </c>
      <c r="E3155" s="3" t="str">
        <f>HYPERLINK("https://www.amazon.com/Diablo-DAG3100-17-1-Auger-Bit/dp/B089KWFBPH/ref=sr_1_9?keywords=Diablo+Tools+DAG3040+9%2F16+in.+x+17-1%2F2+in.+Auger+Bit&amp;qid=1695174106&amp;sr=8-9", "https://www.amazon.com/Diablo-DAG3100-17-1-Auger-Bit/dp/B089KWFBPH/ref=sr_1_9?keywords=Diablo+Tools+DAG3040+9%2F16+in.+x+17-1%2F2+in.+Auger+Bit&amp;qid=1695174106&amp;sr=8-9")</f>
        <v>https://www.amazon.com/Diablo-DAG3100-17-1-Auger-Bit/dp/B089KWFBPH/ref=sr_1_9?keywords=Diablo+Tools+DAG3040+9%2F16+in.+x+17-1%2F2+in.+Auger+Bit&amp;qid=1695174106&amp;sr=8-9</v>
      </c>
      <c r="F3155" t="s">
        <v>7356</v>
      </c>
      <c r="G3155" t="e">
        <f ca="1">_xludf.IMAGE("https://edmondsonsupply.com/cdn/shop/products/fmfcptadhtney3owwa7y.webp?v=1669993222")</f>
        <v>#NAME?</v>
      </c>
      <c r="H3155" t="e">
        <f ca="1">_xludf.IMAGE("https://m.media-amazon.com/images/I/61Lk5PecX2L._AC_UL320_.jpg")</f>
        <v>#NAME?</v>
      </c>
      <c r="I3155" t="s">
        <v>7383</v>
      </c>
      <c r="J3155">
        <v>22.8</v>
      </c>
      <c r="K3155" s="4">
        <v>0.2787</v>
      </c>
      <c r="L3155">
        <v>5</v>
      </c>
      <c r="M3155">
        <v>3</v>
      </c>
      <c r="O3155" t="s">
        <v>25</v>
      </c>
      <c r="P3155" t="s">
        <v>7384</v>
      </c>
      <c r="Q3155" t="s">
        <v>7385</v>
      </c>
    </row>
    <row r="3156" spans="1:17" ht="15.5" x14ac:dyDescent="0.35">
      <c r="A3156" s="3" t="str">
        <f>HYPERLINK("https://edmondsonsupply.com/collections/electricians-tools/products/klein-tools-60536-professional-safety-glasses-indoor-outdoor-lens", "https://edmondsonsupply.com/collections/electricians-tools/products/klein-tools-60536-professional-safety-glasses-indoor-outdoor-lens")</f>
        <v>https://edmondsonsupply.com/collections/electricians-tools/products/klein-tools-60536-professional-safety-glasses-indoor-outdoor-lens</v>
      </c>
      <c r="B3156" s="3" t="str">
        <f>HYPERLINK("https://edmondsonsupply.com/products/klein-tools-60536-professional-safety-glasses-indoor-outdoor-lens", "https://edmondsonsupply.com/products/klein-tools-60536-professional-safety-glasses-indoor-outdoor-lens")</f>
        <v>https://edmondsonsupply.com/products/klein-tools-60536-professional-safety-glasses-indoor-outdoor-lens</v>
      </c>
      <c r="C3156" t="s">
        <v>973</v>
      </c>
      <c r="D3156" t="s">
        <v>1022</v>
      </c>
      <c r="E3156" s="3" t="str">
        <f>HYPERLINK("https://www.amazon.com/Klein-Tools-60536-Professional-Protective/dp/B0BLQWVJDB/ref=sr_1_1?keywords=Klein+Tools+60536+Professional+Safety+Glasses%2C+Indoor%2FOutdoor+Lens&amp;qid=1695174102&amp;sr=8-1", "https://www.amazon.com/Klein-Tools-60536-Professional-Protective/dp/B0BLQWVJDB/ref=sr_1_1?keywords=Klein+Tools+60536+Professional+Safety+Glasses%2C+Indoor%2FOutdoor+Lens&amp;qid=1695174102&amp;sr=8-1")</f>
        <v>https://www.amazon.com/Klein-Tools-60536-Professional-Protective/dp/B0BLQWVJDB/ref=sr_1_1?keywords=Klein+Tools+60536+Professional+Safety+Glasses%2C+Indoor%2FOutdoor+Lens&amp;qid=1695174102&amp;sr=8-1</v>
      </c>
      <c r="F3156" t="s">
        <v>1023</v>
      </c>
      <c r="G3156" t="e">
        <f ca="1">_xludf.IMAGE("https://edmondsonsupply.com/cdn/shop/products/60536.jpg?v=1670946435")</f>
        <v>#NAME?</v>
      </c>
      <c r="H3156" t="e">
        <f ca="1">_xludf.IMAGE("https://m.media-amazon.com/images/I/41rAXCZifQL._AC_UL320_.jpg")</f>
        <v>#NAME?</v>
      </c>
      <c r="I3156" t="s">
        <v>834</v>
      </c>
      <c r="J3156">
        <v>16.600000000000001</v>
      </c>
      <c r="K3156" s="4">
        <v>0.27789999999999998</v>
      </c>
      <c r="L3156">
        <v>4.4000000000000004</v>
      </c>
      <c r="M3156">
        <v>374</v>
      </c>
      <c r="O3156" t="s">
        <v>25</v>
      </c>
      <c r="P3156" t="s">
        <v>835</v>
      </c>
      <c r="Q3156" t="s">
        <v>976</v>
      </c>
    </row>
    <row r="3157" spans="1:17" ht="15.5" x14ac:dyDescent="0.35">
      <c r="A3157"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3157"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3157" t="s">
        <v>7067</v>
      </c>
      <c r="D3157" t="s">
        <v>5938</v>
      </c>
      <c r="E3157" s="3" t="str">
        <f>HYPERLINK("https://www.amazon.com/Diablo-Universal-Bi-Metal-Blades-Nail-Embedded/dp/B089KW2WVD/ref=sr_1_3?keywords=Diablo+Tools+DOU250BW+2-1%2F2+in.+Universal+Fit+Bi-Metal+Oscillating+Blade+for+Nail-Embedded+Wood&amp;qid=1695174021&amp;sr=8-3", "https://www.amazon.com/Diablo-Universal-Bi-Metal-Blades-Nail-Embedded/dp/B089KW2WVD/ref=sr_1_3?keywords=Diablo+Tools+DOU250BW+2-1%2F2+in.+Universal+Fit+Bi-Metal+Oscillating+Blade+for+Nail-Embedded+Wood&amp;qid=1695174021&amp;sr=8-3")</f>
        <v>https://www.amazon.com/Diablo-Universal-Bi-Metal-Blades-Nail-Embedded/dp/B089KW2WVD/ref=sr_1_3?keywords=Diablo+Tools+DOU250BW+2-1%2F2+in.+Universal+Fit+Bi-Metal+Oscillating+Blade+for+Nail-Embedded+Wood&amp;qid=1695174021&amp;sr=8-3</v>
      </c>
      <c r="F3157" t="s">
        <v>5939</v>
      </c>
      <c r="G3157" t="e">
        <f ca="1">_xludf.IMAGE("https://edmondsonsupply.com/cdn/shop/files/xcched1uye7bv2s0ryod.webp?v=1685717397")</f>
        <v>#NAME?</v>
      </c>
      <c r="H3157" t="e">
        <f ca="1">_xludf.IMAGE("https://m.media-amazon.com/images/I/613ig7mNjfL._AC_UL320_.jpg")</f>
        <v>#NAME?</v>
      </c>
      <c r="I3157" t="s">
        <v>893</v>
      </c>
      <c r="J3157">
        <v>25.49</v>
      </c>
      <c r="K3157" s="4">
        <v>0.27639999999999998</v>
      </c>
      <c r="L3157">
        <v>4.5999999999999996</v>
      </c>
      <c r="M3157">
        <v>148</v>
      </c>
      <c r="O3157" t="s">
        <v>25</v>
      </c>
      <c r="P3157" t="s">
        <v>6936</v>
      </c>
      <c r="Q3157" t="s">
        <v>7068</v>
      </c>
    </row>
    <row r="3158" spans="1:17" ht="15.5" x14ac:dyDescent="0.35">
      <c r="A3158"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3158" s="3" t="str">
        <f>HYPERLINK("https://edmondsonsupply.com/products/klein-tools-31932-bi-metal-hole-saw-2-inch", "https://edmondsonsupply.com/products/klein-tools-31932-bi-metal-hole-saw-2-inch")</f>
        <v>https://edmondsonsupply.com/products/klein-tools-31932-bi-metal-hole-saw-2-inch</v>
      </c>
      <c r="C3158" t="s">
        <v>6244</v>
      </c>
      <c r="D3158" t="s">
        <v>7386</v>
      </c>
      <c r="E3158" s="3" t="str">
        <f>HYPERLINK("https://www.amazon.com/Bi-Metal-8-Inch-Klein-Tools-31958/dp/B01987566S/ref=sr_1_7?keywords=Klein+Tools+31932+Bi-Metal+Hole+Saw%2C+2-Inch&amp;qid=1695174279&amp;sr=8-7", "https://www.amazon.com/Bi-Metal-8-Inch-Klein-Tools-31958/dp/B01987566S/ref=sr_1_7?keywords=Klein+Tools+31932+Bi-Metal+Hole+Saw%2C+2-Inch&amp;qid=1695174279&amp;sr=8-7")</f>
        <v>https://www.amazon.com/Bi-Metal-8-Inch-Klein-Tools-31958/dp/B01987566S/ref=sr_1_7?keywords=Klein+Tools+31932+Bi-Metal+Hole+Saw%2C+2-Inch&amp;qid=1695174279&amp;sr=8-7</v>
      </c>
      <c r="F3158" t="s">
        <v>7387</v>
      </c>
      <c r="G3158" t="e">
        <f ca="1">_xludf.IMAGE("https://edmondsonsupply.com/cdn/shop/products/31932.jpg?v=1633030939")</f>
        <v>#NAME?</v>
      </c>
      <c r="H3158" t="e">
        <f ca="1">_xludf.IMAGE("https://m.media-amazon.com/images/I/417oWF+SE6L._AC_UL320_.jpg")</f>
        <v>#NAME?</v>
      </c>
      <c r="I3158" t="s">
        <v>6056</v>
      </c>
      <c r="J3158">
        <v>13.99</v>
      </c>
      <c r="K3158" s="4">
        <v>0.27300000000000002</v>
      </c>
      <c r="L3158">
        <v>4.5999999999999996</v>
      </c>
      <c r="M3158">
        <v>252</v>
      </c>
      <c r="O3158" t="s">
        <v>25</v>
      </c>
      <c r="P3158" t="s">
        <v>1620</v>
      </c>
      <c r="Q3158" t="s">
        <v>6247</v>
      </c>
    </row>
    <row r="3159" spans="1:17" ht="15.5" x14ac:dyDescent="0.35">
      <c r="A3159" s="3" t="str">
        <f>HYPERLINK("https://edmondsonsupply.com/collections/electricians-tools/products/amprobe-st-102b-receptacle-tester-with-gfci", "https://edmondsonsupply.com/collections/electricians-tools/products/amprobe-st-102b-receptacle-tester-with-gfci")</f>
        <v>https://edmondsonsupply.com/collections/electricians-tools/products/amprobe-st-102b-receptacle-tester-with-gfci</v>
      </c>
      <c r="B3159" s="3" t="str">
        <f>HYPERLINK("https://edmondsonsupply.com/products/amprobe-st-102b-receptacle-tester-with-gfci", "https://edmondsonsupply.com/products/amprobe-st-102b-receptacle-tester-with-gfci")</f>
        <v>https://edmondsonsupply.com/products/amprobe-st-102b-receptacle-tester-with-gfci</v>
      </c>
      <c r="C3159" t="s">
        <v>7388</v>
      </c>
      <c r="D3159" t="s">
        <v>7389</v>
      </c>
      <c r="E3159" s="3" t="str">
        <f>HYPERLINK("https://www.amazon.com/Amprobe-ST-102B-Socket-Tester-GFCI/dp/B008E07HM2/ref=sr_1_1?keywords=Amprobe+ST-102B+Receptacle+Tester+with+GFCI&amp;qid=1695174172&amp;sr=8-1", "https://www.amazon.com/Amprobe-ST-102B-Socket-Tester-GFCI/dp/B008E07HM2/ref=sr_1_1?keywords=Amprobe+ST-102B+Receptacle+Tester+with+GFCI&amp;qid=1695174172&amp;sr=8-1")</f>
        <v>https://www.amazon.com/Amprobe-ST-102B-Socket-Tester-GFCI/dp/B008E07HM2/ref=sr_1_1?keywords=Amprobe+ST-102B+Receptacle+Tester+with+GFCI&amp;qid=1695174172&amp;sr=8-1</v>
      </c>
      <c r="F3159" t="s">
        <v>7390</v>
      </c>
      <c r="G3159" t="e">
        <f ca="1">_xludf.IMAGE("https://edmondsonsupply.com/cdn/shop/products/PD_ST102B1.jpg?v=1662641155")</f>
        <v>#NAME?</v>
      </c>
      <c r="H3159" t="e">
        <f ca="1">_xludf.IMAGE("https://m.media-amazon.com/images/I/81-iavIBGyL._AC_UL320_.jpg")</f>
        <v>#NAME?</v>
      </c>
      <c r="I3159" t="s">
        <v>7391</v>
      </c>
      <c r="J3159">
        <v>22.15</v>
      </c>
      <c r="K3159" s="4">
        <v>0.26640000000000003</v>
      </c>
      <c r="L3159">
        <v>4.4000000000000004</v>
      </c>
      <c r="M3159">
        <v>1100</v>
      </c>
      <c r="O3159" t="s">
        <v>25</v>
      </c>
      <c r="P3159" t="s">
        <v>577</v>
      </c>
      <c r="Q3159" t="s">
        <v>7392</v>
      </c>
    </row>
    <row r="3160" spans="1:17" ht="15.5" x14ac:dyDescent="0.35">
      <c r="A3160"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3160" s="3" t="str">
        <f>HYPERLINK("https://edmondsonsupply.com/products/klein-tools-31948-bi-metal-hole-saw-3-inch", "https://edmondsonsupply.com/products/klein-tools-31948-bi-metal-hole-saw-3-inch")</f>
        <v>https://edmondsonsupply.com/products/klein-tools-31948-bi-metal-hole-saw-3-inch</v>
      </c>
      <c r="C3160" t="s">
        <v>6377</v>
      </c>
      <c r="D3160" t="s">
        <v>7393</v>
      </c>
      <c r="E3160" s="3" t="str">
        <f>HYPERLINK("https://www.amazon.com/LENOX-Tools-Bi-Metal-Speed-Technology/dp/B001HRME3Q/ref=sr_1_5?keywords=Klein+Tools+31948+Bi-Metal+Hole+Saw%2C+3-Inch&amp;qid=1695174151&amp;sr=8-5", "https://www.amazon.com/LENOX-Tools-Bi-Metal-Speed-Technology/dp/B001HRME3Q/ref=sr_1_5?keywords=Klein+Tools+31948+Bi-Metal+Hole+Saw%2C+3-Inch&amp;qid=1695174151&amp;sr=8-5")</f>
        <v>https://www.amazon.com/LENOX-Tools-Bi-Metal-Speed-Technology/dp/B001HRME3Q/ref=sr_1_5?keywords=Klein+Tools+31948+Bi-Metal+Hole+Saw%2C+3-Inch&amp;qid=1695174151&amp;sr=8-5</v>
      </c>
      <c r="F3160" t="s">
        <v>7394</v>
      </c>
      <c r="G3160" t="e">
        <f ca="1">_xludf.IMAGE("https://edmondsonsupply.com/cdn/shop/products/31948.jpg?v=1663945105")</f>
        <v>#NAME?</v>
      </c>
      <c r="H3160" t="e">
        <f ca="1">_xludf.IMAGE("https://m.media-amazon.com/images/I/61dnc3rYmwL._AC_UL320_.jpg")</f>
        <v>#NAME?</v>
      </c>
      <c r="I3160" t="s">
        <v>276</v>
      </c>
      <c r="J3160">
        <v>18.97</v>
      </c>
      <c r="K3160" s="4">
        <v>0.26550000000000001</v>
      </c>
      <c r="L3160">
        <v>4.5999999999999996</v>
      </c>
      <c r="M3160">
        <v>121</v>
      </c>
      <c r="O3160" t="s">
        <v>25</v>
      </c>
      <c r="P3160" t="s">
        <v>6378</v>
      </c>
      <c r="Q3160" t="s">
        <v>6379</v>
      </c>
    </row>
    <row r="3161" spans="1:17" ht="15.5" x14ac:dyDescent="0.35">
      <c r="A3161"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3161" s="3" t="str">
        <f>HYPERLINK("https://edmondsonsupply.com/products/diablo-tools-dag1110-7-8-in-x-7-1-2-in-auger-bit", "https://edmondsonsupply.com/products/diablo-tools-dag1110-7-8-in-x-7-1-2-in-auger-bit")</f>
        <v>https://edmondsonsupply.com/products/diablo-tools-dag1110-7-8-in-x-7-1-2-in-auger-bit</v>
      </c>
      <c r="C3161" t="s">
        <v>6839</v>
      </c>
      <c r="D3161" t="s">
        <v>3531</v>
      </c>
      <c r="E3161" s="3" t="str">
        <f>HYPERLINK("https://www.amazon.com/Diablo-Freud-DAG1140-1-1-Auger/dp/B089LK4BYB/ref=sr_1_6?keywords=Diablo+Tools+DAG1110+7%2F8+in.+x+7-1%2F2+in.+Auger+Bit&amp;qid=1695174030&amp;sr=8-6", "https://www.amazon.com/Diablo-Freud-DAG1140-1-1-Auger/dp/B089LK4BYB/ref=sr_1_6?keywords=Diablo+Tools+DAG1110+7%2F8+in.+x+7-1%2F2+in.+Auger+Bit&amp;qid=1695174030&amp;sr=8-6")</f>
        <v>https://www.amazon.com/Diablo-Freud-DAG1140-1-1-Auger/dp/B089LK4BYB/ref=sr_1_6?keywords=Diablo+Tools+DAG1110+7%2F8+in.+x+7-1%2F2+in.+Auger+Bit&amp;qid=1695174030&amp;sr=8-6</v>
      </c>
      <c r="F3161" t="s">
        <v>3532</v>
      </c>
      <c r="G3161" t="e">
        <f ca="1">_xludf.IMAGE("https://edmondsonsupply.com/cdn/shop/products/yel7mbaiyy08ii0assd5.webp?v=1680187136")</f>
        <v>#NAME?</v>
      </c>
      <c r="H3161" t="e">
        <f ca="1">_xludf.IMAGE("https://m.media-amazon.com/images/I/71oBAD0fx0L._AC_UL320_.jpg")</f>
        <v>#NAME?</v>
      </c>
      <c r="I3161" t="s">
        <v>4985</v>
      </c>
      <c r="J3161">
        <v>21.47</v>
      </c>
      <c r="K3161" s="4">
        <v>0.26519999999999999</v>
      </c>
      <c r="L3161">
        <v>4.2</v>
      </c>
      <c r="M3161">
        <v>10</v>
      </c>
      <c r="O3161" t="s">
        <v>25</v>
      </c>
      <c r="P3161" t="s">
        <v>6840</v>
      </c>
      <c r="Q3161" t="s">
        <v>6841</v>
      </c>
    </row>
    <row r="3162" spans="1:17" ht="15.5" x14ac:dyDescent="0.35">
      <c r="A3162" s="3" t="str">
        <f>HYPERLINK("https://edmondsonsupply.com/collections/electricians-tools/products/tajima-lc-303-precision-craft-303", "https://edmondsonsupply.com/collections/electricians-tools/products/tajima-lc-303-precision-craft-303")</f>
        <v>https://edmondsonsupply.com/collections/electricians-tools/products/tajima-lc-303-precision-craft-303</v>
      </c>
      <c r="B3162" s="3" t="str">
        <f>HYPERLINK("https://edmondsonsupply.com/products/tajima-lc-303-precision-craft-303", "https://edmondsonsupply.com/products/tajima-lc-303-precision-craft-303")</f>
        <v>https://edmondsonsupply.com/products/tajima-lc-303-precision-craft-303</v>
      </c>
      <c r="C3162" t="s">
        <v>7395</v>
      </c>
      <c r="D3162" t="s">
        <v>7396</v>
      </c>
      <c r="E3162" s="3" t="str">
        <f>HYPERLINK("https://www.amazon.com/TAJIMA-Utility-Knives-Blades-Endura-Blades/dp/B0008KLNR6/ref=sr_1_1?keywords=Tajima+LC-303+Precision+Craft+303+Blade+Cutter+Knife&amp;qid=1695174149&amp;sr=8-1", "https://www.amazon.com/TAJIMA-Utility-Knives-Blades-Endura-Blades/dp/B0008KLNR6/ref=sr_1_1?keywords=Tajima+LC-303+Precision+Craft+303+Blade+Cutter+Knife&amp;qid=1695174149&amp;sr=8-1")</f>
        <v>https://www.amazon.com/TAJIMA-Utility-Knives-Blades-Endura-Blades/dp/B0008KLNR6/ref=sr_1_1?keywords=Tajima+LC-303+Precision+Craft+303+Blade+Cutter+Knife&amp;qid=1695174149&amp;sr=8-1</v>
      </c>
      <c r="F3162" t="s">
        <v>7397</v>
      </c>
      <c r="G3162" t="e">
        <f ca="1">_xludf.IMAGE("https://edmondsonsupply.com/cdn/shop/products/LC-303.jpg?v=1664483437")</f>
        <v>#NAME?</v>
      </c>
      <c r="H3162" t="e">
        <f ca="1">_xludf.IMAGE("https://m.media-amazon.com/images/I/41VLFrgRZQL._AC_UL320_.jpg")</f>
        <v>#NAME?</v>
      </c>
      <c r="I3162" t="s">
        <v>7398</v>
      </c>
      <c r="J3162">
        <v>6.56</v>
      </c>
      <c r="K3162" s="4">
        <v>0.26400000000000001</v>
      </c>
      <c r="L3162">
        <v>4.3</v>
      </c>
      <c r="M3162">
        <v>13</v>
      </c>
      <c r="O3162" t="s">
        <v>25</v>
      </c>
      <c r="P3162" t="s">
        <v>138</v>
      </c>
      <c r="Q3162" t="s">
        <v>7399</v>
      </c>
    </row>
    <row r="3163" spans="1:17" ht="15.5" x14ac:dyDescent="0.35">
      <c r="A3163"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3163"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3163" t="s">
        <v>6059</v>
      </c>
      <c r="D3163" t="s">
        <v>7400</v>
      </c>
      <c r="E3163" s="3" t="str">
        <f>HYPERLINK("https://www.amazon.com/Komelon-7325-MagGrip-Measure-25-Feet/dp/B002IVTCDK/ref=sr_1_1?keywords=Komelon+7325+25%27+X+1%22+MagGrip%E2%84%A2+SpeedMark%E2%84%A2%2C+Magnetic+Tape+Measure&amp;qid=1695174274&amp;sr=8-1", "https://www.amazon.com/Komelon-7325-MagGrip-Measure-25-Feet/dp/B002IVTCDK/ref=sr_1_1?keywords=Komelon+7325+25%27+X+1%22+MagGrip%E2%84%A2+SpeedMark%E2%84%A2%2C+Magnetic+Tape+Measure&amp;qid=1695174274&amp;sr=8-1")</f>
        <v>https://www.amazon.com/Komelon-7325-MagGrip-Measure-25-Feet/dp/B002IVTCDK/ref=sr_1_1?keywords=Komelon+7325+25%27+X+1%22+MagGrip%E2%84%A2+SpeedMark%E2%84%A2%2C+Magnetic+Tape+Measure&amp;qid=1695174274&amp;sr=8-1</v>
      </c>
      <c r="F3163" t="s">
        <v>7401</v>
      </c>
      <c r="G3163" t="e">
        <f ca="1">_xludf.IMAGE("https://edmondsonsupply.com/cdn/shop/products/7325_angleExtended.jpg?v=1633030981")</f>
        <v>#NAME?</v>
      </c>
      <c r="H3163" t="e">
        <f ca="1">_xludf.IMAGE("https://m.media-amazon.com/images/I/81BMZejmcBL._AC_UL320_.jpg")</f>
        <v>#NAME?</v>
      </c>
      <c r="I3163" t="s">
        <v>288</v>
      </c>
      <c r="J3163">
        <v>17.68</v>
      </c>
      <c r="K3163" s="4">
        <v>0.26379999999999998</v>
      </c>
      <c r="L3163">
        <v>4.3</v>
      </c>
      <c r="M3163">
        <v>221</v>
      </c>
      <c r="O3163" t="s">
        <v>25</v>
      </c>
      <c r="P3163" t="s">
        <v>138</v>
      </c>
      <c r="Q3163" t="s">
        <v>6062</v>
      </c>
    </row>
    <row r="3164" spans="1:17" ht="15.5" x14ac:dyDescent="0.35">
      <c r="A3164"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3164"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3164" t="s">
        <v>2430</v>
      </c>
      <c r="D3164" t="s">
        <v>3678</v>
      </c>
      <c r="E3164" s="3" t="str">
        <f>HYPERLINK("https://www.amazon.com/Keystone-Screwdriver-Klein-Tools-602-6/dp/B0000302WW/ref=sr_1_8?keywords=Klein+Tools+605-6+1%2F4-Inch+Cabinet+Tip+Screwdriver%2C+Heavy+Duty%2C+6-Inch&amp;qid=1695173888&amp;sr=8-8", "https://www.amazon.com/Keystone-Screwdriver-Klein-Tools-602-6/dp/B0000302WW/ref=sr_1_8?keywords=Klein+Tools+605-6+1%2F4-Inch+Cabinet+Tip+Screwdriver%2C+Heavy+Duty%2C+6-Inch&amp;qid=1695173888&amp;sr=8-8")</f>
        <v>https://www.amazon.com/Keystone-Screwdriver-Klein-Tools-602-6/dp/B0000302WW/ref=sr_1_8?keywords=Klein+Tools+605-6+1%2F4-Inch+Cabinet+Tip+Screwdriver%2C+Heavy+Duty%2C+6-Inch&amp;qid=1695173888&amp;sr=8-8</v>
      </c>
      <c r="F3164" t="s">
        <v>3679</v>
      </c>
      <c r="G3164" t="e">
        <f ca="1">_xludf.IMAGE("https://edmondsonsupply.com/cdn/shop/products/605-6.jpg?v=1587149759")</f>
        <v>#NAME?</v>
      </c>
      <c r="H3164" t="e">
        <f ca="1">_xludf.IMAGE("https://m.media-amazon.com/images/I/51yw04G5ZvL._AC_UL320_.jpg")</f>
        <v>#NAME?</v>
      </c>
      <c r="I3164" t="s">
        <v>2433</v>
      </c>
      <c r="J3164">
        <v>11.99</v>
      </c>
      <c r="K3164" s="4">
        <v>0.26340000000000002</v>
      </c>
      <c r="L3164">
        <v>4.8</v>
      </c>
      <c r="M3164">
        <v>879</v>
      </c>
      <c r="O3164" t="s">
        <v>25</v>
      </c>
      <c r="P3164" t="s">
        <v>2434</v>
      </c>
      <c r="Q3164" t="s">
        <v>2435</v>
      </c>
    </row>
    <row r="3165" spans="1:17" ht="15.5" x14ac:dyDescent="0.35">
      <c r="A3165" s="3" t="str">
        <f>HYPERLINK("https://edmondsonsupply.com/collections/electricians-tools/products/crescent-lufkin-1-3-16-x-16-shockforce-nite-eye%E2%84%A2-g1-dual-sided-tape-measure", "https://edmondsonsupply.com/collections/electricians-tools/products/crescent-lufkin-1-3-16-x-16-shockforce-nite-eye%E2%84%A2-g1-dual-sided-tape-measure")</f>
        <v>https://edmondsonsupply.com/collections/electricians-tools/products/crescent-lufkin-1-3-16-x-16-shockforce-nite-eye%E2%84%A2-g1-dual-sided-tape-measure</v>
      </c>
      <c r="B3165" s="3" t="str">
        <f>HYPERLINK("https://edmondsonsupply.com/products/crescent-lufkin-1-3-16-x-16-shockforce-nite-eye%e2%84%a2-g1-dual-sided-tape-measure", "https://edmondsonsupply.com/products/crescent-lufkin-1-3-16-x-16-shockforce-nite-eye%e2%84%a2-g1-dual-sided-tape-measure")</f>
        <v>https://edmondsonsupply.com/products/crescent-lufkin-1-3-16-x-16-shockforce-nite-eye%e2%84%a2-g1-dual-sided-tape-measure</v>
      </c>
      <c r="C3165" t="s">
        <v>7343</v>
      </c>
      <c r="D3165" t="s">
        <v>7402</v>
      </c>
      <c r="E3165" s="3" t="str">
        <f>HYPERLINK("https://www.amazon.com/CRESCENT-LUFKIN-Crescent-Lufkin-Shock/dp/B09N3VL34P/ref=sr_1_2?keywords=Crescent+Lufkin+L1116B-02+1-3%2F16%22+x+16%27+Shockforce+Nite+Eye%E2%84%A2+G1+Dual+Sided+Tape+Measure&amp;qid=1695174039&amp;sr=8-2", "https://www.amazon.com/CRESCENT-LUFKIN-Crescent-Lufkin-Shock/dp/B09N3VL34P/ref=sr_1_2?keywords=Crescent+Lufkin+L1116B-02+1-3%2F16%22+x+16%27+Shockforce+Nite+Eye%E2%84%A2+G1+Dual+Sided+Tape+Measure&amp;qid=1695174039&amp;sr=8-2")</f>
        <v>https://www.amazon.com/CRESCENT-LUFKIN-Crescent-Lufkin-Shock/dp/B09N3VL34P/ref=sr_1_2?keywords=Crescent+Lufkin+L1116B-02+1-3%2F16%22+x+16%27+Shockforce+Nite+Eye%E2%84%A2+G1+Dual+Sided+Tape+Measure&amp;qid=1695174039&amp;sr=8-2</v>
      </c>
      <c r="F3165" t="s">
        <v>7403</v>
      </c>
      <c r="G3165" t="e">
        <f ca="1">_xludf.IMAGE("https://edmondsonsupply.com/cdn/shop/products/LFK_L11168_IMG_FRONT.jpg?v=1679577698")</f>
        <v>#NAME?</v>
      </c>
      <c r="H3165" t="e">
        <f ca="1">_xludf.IMAGE("https://m.media-amazon.com/images/I/911pAo7DD4L._AC_UL320_.jpg")</f>
        <v>#NAME?</v>
      </c>
      <c r="I3165" t="s">
        <v>471</v>
      </c>
      <c r="J3165">
        <v>31.55</v>
      </c>
      <c r="K3165" s="4">
        <v>0.26250000000000001</v>
      </c>
      <c r="L3165">
        <v>4.4000000000000004</v>
      </c>
      <c r="M3165">
        <v>57</v>
      </c>
      <c r="O3165" t="s">
        <v>25</v>
      </c>
      <c r="P3165" t="s">
        <v>7346</v>
      </c>
      <c r="Q3165" t="s">
        <v>7347</v>
      </c>
    </row>
    <row r="3166" spans="1:17" ht="15.5" x14ac:dyDescent="0.35">
      <c r="A3166"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3166"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3166" t="s">
        <v>2430</v>
      </c>
      <c r="D3166" t="s">
        <v>3682</v>
      </c>
      <c r="E3166" s="3" t="str">
        <f>HYPERLINK("https://www.amazon.com/Klein-Tools-6866INS-Screwdriver-Cushion-Grip/dp/B0BF73PSWC/ref=sr_1_6?keywords=Klein+Tools+605-6+1%2F4-Inch+Cabinet+Tip+Screwdriver%2C+Heavy+Duty%2C+6-Inch&amp;qid=1695173888&amp;sr=8-6", "https://www.amazon.com/Klein-Tools-6866INS-Screwdriver-Cushion-Grip/dp/B0BF73PSWC/ref=sr_1_6?keywords=Klein+Tools+605-6+1%2F4-Inch+Cabinet+Tip+Screwdriver%2C+Heavy+Duty%2C+6-Inch&amp;qid=1695173888&amp;sr=8-6")</f>
        <v>https://www.amazon.com/Klein-Tools-6866INS-Screwdriver-Cushion-Grip/dp/B0BF73PSWC/ref=sr_1_6?keywords=Klein+Tools+605-6+1%2F4-Inch+Cabinet+Tip+Screwdriver%2C+Heavy+Duty%2C+6-Inch&amp;qid=1695173888&amp;sr=8-6</v>
      </c>
      <c r="F3166" t="s">
        <v>3683</v>
      </c>
      <c r="G3166" t="e">
        <f ca="1">_xludf.IMAGE("https://edmondsonsupply.com/cdn/shop/products/605-6.jpg?v=1587149759")</f>
        <v>#NAME?</v>
      </c>
      <c r="H3166" t="e">
        <f ca="1">_xludf.IMAGE("https://m.media-amazon.com/images/I/41Sx5h6xG-L._AC_UL320_.jpg")</f>
        <v>#NAME?</v>
      </c>
      <c r="I3166" t="s">
        <v>2433</v>
      </c>
      <c r="J3166">
        <v>11.97</v>
      </c>
      <c r="K3166" s="4">
        <v>0.26129999999999998</v>
      </c>
      <c r="L3166">
        <v>4.9000000000000004</v>
      </c>
      <c r="M3166">
        <v>205</v>
      </c>
      <c r="O3166" t="s">
        <v>25</v>
      </c>
      <c r="P3166" t="s">
        <v>2434</v>
      </c>
      <c r="Q3166" t="s">
        <v>2435</v>
      </c>
    </row>
    <row r="3167" spans="1:17" ht="15.5" x14ac:dyDescent="0.35">
      <c r="A3167"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3167" s="3" t="str">
        <f>HYPERLINK("https://edmondsonsupply.com/products/diablo-tools-dag3040-9-16-in-x-17-1-2-in-auger-bit", "https://edmondsonsupply.com/products/diablo-tools-dag3040-9-16-in-x-17-1-2-in-auger-bit")</f>
        <v>https://edmondsonsupply.com/products/diablo-tools-dag3040-9-16-in-x-17-1-2-in-auger-bit</v>
      </c>
      <c r="C3167" t="s">
        <v>7382</v>
      </c>
      <c r="D3167" t="s">
        <v>7404</v>
      </c>
      <c r="E3167" s="3" t="str">
        <f>HYPERLINK("https://www.amazon.com/Diablo-16-17-1-Auger-Bit/dp/B089LDN2LV/ref=sr_1_1?keywords=Diablo+Tools+DAG3040+9%2F16+in.+x+17-1%2F2+in.+Auger+Bit&amp;qid=1695174106&amp;sr=8-1", "https://www.amazon.com/Diablo-16-17-1-Auger-Bit/dp/B089LDN2LV/ref=sr_1_1?keywords=Diablo+Tools+DAG3040+9%2F16+in.+x+17-1%2F2+in.+Auger+Bit&amp;qid=1695174106&amp;sr=8-1")</f>
        <v>https://www.amazon.com/Diablo-16-17-1-Auger-Bit/dp/B089LDN2LV/ref=sr_1_1?keywords=Diablo+Tools+DAG3040+9%2F16+in.+x+17-1%2F2+in.+Auger+Bit&amp;qid=1695174106&amp;sr=8-1</v>
      </c>
      <c r="F3167" t="s">
        <v>7405</v>
      </c>
      <c r="G3167" t="e">
        <f ca="1">_xludf.IMAGE("https://edmondsonsupply.com/cdn/shop/products/fmfcptadhtney3owwa7y.webp?v=1669993222")</f>
        <v>#NAME?</v>
      </c>
      <c r="H3167" t="e">
        <f ca="1">_xludf.IMAGE("https://m.media-amazon.com/images/I/61mtvebHezL._AC_UL320_.jpg")</f>
        <v>#NAME?</v>
      </c>
      <c r="I3167" t="s">
        <v>7383</v>
      </c>
      <c r="J3167">
        <v>22.47</v>
      </c>
      <c r="K3167" s="4">
        <v>0.26019999999999999</v>
      </c>
      <c r="L3167">
        <v>4.8</v>
      </c>
      <c r="M3167">
        <v>8</v>
      </c>
      <c r="O3167" t="s">
        <v>25</v>
      </c>
      <c r="P3167" t="s">
        <v>7384</v>
      </c>
      <c r="Q3167" t="s">
        <v>7385</v>
      </c>
    </row>
    <row r="3168" spans="1:17" ht="15.5" x14ac:dyDescent="0.35">
      <c r="A3168"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3168" s="3" t="str">
        <f>HYPERLINK("https://edmondsonsupply.com/products/milwaukee-49-56-0505-1-4-diamond-max%e2%84%a2-hole-saw", "https://edmondsonsupply.com/products/milwaukee-49-56-0505-1-4-diamond-max%e2%84%a2-hole-saw")</f>
        <v>https://edmondsonsupply.com/products/milwaukee-49-56-0505-1-4-diamond-max%e2%84%a2-hole-saw</v>
      </c>
      <c r="C3168" t="s">
        <v>6614</v>
      </c>
      <c r="D3168" t="s">
        <v>7406</v>
      </c>
      <c r="E3168" s="3" t="str">
        <f>HYPERLINK("https://www.amazon.com/Miluwakee-Milwaukee-49-56-0501-Diamond-4inch/dp/B09L5DK255/ref=sr_1_2?keywords=Milwaukee+49-56-0505+1%2F4%22+Diamond+MAX%E2%84%A2+Hole+Saw&amp;qid=1695174028&amp;sr=8-2", "https://www.amazon.com/Miluwakee-Milwaukee-49-56-0501-Diamond-4inch/dp/B09L5DK255/ref=sr_1_2?keywords=Milwaukee+49-56-0505+1%2F4%22+Diamond+MAX%E2%84%A2+Hole+Saw&amp;qid=1695174028&amp;sr=8-2")</f>
        <v>https://www.amazon.com/Miluwakee-Milwaukee-49-56-0501-Diamond-4inch/dp/B09L5DK255/ref=sr_1_2?keywords=Milwaukee+49-56-0505+1%2F4%22+Diamond+MAX%E2%84%A2+Hole+Saw&amp;qid=1695174028&amp;sr=8-2</v>
      </c>
      <c r="F3168" t="s">
        <v>7407</v>
      </c>
      <c r="G3168" t="e">
        <f ca="1">_xludf.IMAGE("https://edmondsonsupply.com/cdn/shop/products/49-56-0507_1.png?v=1680111300")</f>
        <v>#NAME?</v>
      </c>
      <c r="H3168" t="e">
        <f ca="1">_xludf.IMAGE("https://m.media-amazon.com/images/I/61ZDvOsOb3L._AC_UL320_.jpg")</f>
        <v>#NAME?</v>
      </c>
      <c r="I3168" t="s">
        <v>577</v>
      </c>
      <c r="J3168">
        <v>25.19</v>
      </c>
      <c r="K3168" s="4">
        <v>0.2601</v>
      </c>
      <c r="L3168">
        <v>4.8</v>
      </c>
      <c r="M3168">
        <v>5</v>
      </c>
      <c r="O3168" t="s">
        <v>25</v>
      </c>
      <c r="P3168" t="s">
        <v>6617</v>
      </c>
      <c r="Q3168" t="s">
        <v>6618</v>
      </c>
    </row>
    <row r="3169" spans="1:17" ht="15.5" x14ac:dyDescent="0.35">
      <c r="A3169"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3169" s="3" t="str">
        <f>HYPERLINK("https://edmondsonsupply.com/products/klein-tools-11045-wire-stripper-cutter-10-18-awg-solid", "https://edmondsonsupply.com/products/klein-tools-11045-wire-stripper-cutter-10-18-awg-solid")</f>
        <v>https://edmondsonsupply.com/products/klein-tools-11045-wire-stripper-cutter-10-18-awg-solid</v>
      </c>
      <c r="C3169" t="s">
        <v>6016</v>
      </c>
      <c r="D3169" t="s">
        <v>4941</v>
      </c>
      <c r="E3169" s="3" t="str">
        <f>HYPERLINK("https://www.amazon.com/Klein-Tools-K11095-Klein-Kurve-Stripper/dp/B08TQ83P2C/ref=sr_1_3?keywords=Klein+Tools+11045+Wire+Stripper%2FCutter+%2810-18+AWG+Solid%29&amp;qid=1695174263&amp;sr=8-3", "https://www.amazon.com/Klein-Tools-K11095-Klein-Kurve-Stripper/dp/B08TQ83P2C/ref=sr_1_3?keywords=Klein+Tools+11045+Wire+Stripper%2FCutter+%2810-18+AWG+Solid%29&amp;qid=1695174263&amp;sr=8-3")</f>
        <v>https://www.amazon.com/Klein-Tools-K11095-Klein-Kurve-Stripper/dp/B08TQ83P2C/ref=sr_1_3?keywords=Klein+Tools+11045+Wire+Stripper%2FCutter+%2810-18+AWG+Solid%29&amp;qid=1695174263&amp;sr=8-3</v>
      </c>
      <c r="F3169" t="s">
        <v>4942</v>
      </c>
      <c r="G3169" t="e">
        <f ca="1">_xludf.IMAGE("https://edmondsonsupply.com/cdn/shop/products/11045.jpg?v=1633031022")</f>
        <v>#NAME?</v>
      </c>
      <c r="H3169" t="e">
        <f ca="1">_xludf.IMAGE("https://m.media-amazon.com/images/I/5180XMjuiIL._AC_UL320_.jpg")</f>
        <v>#NAME?</v>
      </c>
      <c r="I3169" t="s">
        <v>143</v>
      </c>
      <c r="J3169">
        <v>20.07</v>
      </c>
      <c r="K3169" s="4">
        <v>0.25669999999999998</v>
      </c>
      <c r="L3169">
        <v>4.8</v>
      </c>
      <c r="M3169">
        <v>439</v>
      </c>
      <c r="O3169" t="s">
        <v>25</v>
      </c>
      <c r="P3169" t="s">
        <v>6019</v>
      </c>
      <c r="Q3169" t="s">
        <v>6020</v>
      </c>
    </row>
    <row r="3170" spans="1:17" ht="15.5" x14ac:dyDescent="0.35">
      <c r="A3170" s="3" t="str">
        <f>HYPERLINK("https://edmondsonsupply.com/collections/electricians-tools/products/diablo-tools-dag", "https://edmondsonsupply.com/collections/electricians-tools/products/diablo-tools-dag")</f>
        <v>https://edmondsonsupply.com/collections/electricians-tools/products/diablo-tools-dag</v>
      </c>
      <c r="B3170" s="3" t="str">
        <f>HYPERLINK("https://edmondsonsupply.com/products/diablo-tools-dag", "https://edmondsonsupply.com/products/diablo-tools-dag")</f>
        <v>https://edmondsonsupply.com/products/diablo-tools-dag</v>
      </c>
      <c r="C3170" t="s">
        <v>6819</v>
      </c>
      <c r="D3170" t="s">
        <v>7408</v>
      </c>
      <c r="E3170" s="3" t="str">
        <f>HYPERLINK("https://www.amazon.com/Diablo-Freud-DAG3010-17-1-Auger/dp/B089KY885C/ref=sr_1_1?keywords=Diablo+Tools+DAG3010+3%2F8+in.+x+17-1%2F2+in.+Auger+Bit&amp;qid=1695174114&amp;sr=8-1", "https://www.amazon.com/Diablo-Freud-DAG3010-17-1-Auger/dp/B089KY885C/ref=sr_1_1?keywords=Diablo+Tools+DAG3010+3%2F8+in.+x+17-1%2F2+in.+Auger+Bit&amp;qid=1695174114&amp;sr=8-1")</f>
        <v>https://www.amazon.com/Diablo-Freud-DAG3010-17-1-Auger/dp/B089KY885C/ref=sr_1_1?keywords=Diablo+Tools+DAG3010+3%2F8+in.+x+17-1%2F2+in.+Auger+Bit&amp;qid=1695174114&amp;sr=8-1</v>
      </c>
      <c r="F3170" t="s">
        <v>7409</v>
      </c>
      <c r="G3170" t="e">
        <f ca="1">_xludf.IMAGE("https://edmondsonsupply.com/cdn/shop/products/xfctdbahz5wx3g461fm8.webp?v=1669991052")</f>
        <v>#NAME?</v>
      </c>
      <c r="H3170" t="e">
        <f ca="1">_xludf.IMAGE("https://m.media-amazon.com/images/I/61cpdlwqiHL._AC_UL320_.jpg")</f>
        <v>#NAME?</v>
      </c>
      <c r="I3170" t="s">
        <v>5147</v>
      </c>
      <c r="J3170">
        <v>21.95</v>
      </c>
      <c r="K3170" s="4">
        <v>0.25640000000000002</v>
      </c>
      <c r="L3170">
        <v>4.5</v>
      </c>
      <c r="M3170">
        <v>4</v>
      </c>
      <c r="O3170" t="s">
        <v>25</v>
      </c>
      <c r="P3170" t="s">
        <v>6822</v>
      </c>
      <c r="Q3170" t="s">
        <v>6823</v>
      </c>
    </row>
    <row r="3171" spans="1:17" ht="15.5" x14ac:dyDescent="0.35">
      <c r="A3171" s="3" t="str">
        <f>HYPERLINK("https://edmondsonsupply.com/collections/electricians-tools/products/fieldpiece-sncv1", "https://edmondsonsupply.com/collections/electricians-tools/products/fieldpiece-sncv1")</f>
        <v>https://edmondsonsupply.com/collections/electricians-tools/products/fieldpiece-sncv1</v>
      </c>
      <c r="B3171" s="3" t="str">
        <f>HYPERLINK("https://edmondsonsupply.com/products/fieldpiece-sncv1", "https://edmondsonsupply.com/products/fieldpiece-sncv1")</f>
        <v>https://edmondsonsupply.com/products/fieldpiece-sncv1</v>
      </c>
      <c r="C3171" t="s">
        <v>7410</v>
      </c>
      <c r="D3171" t="s">
        <v>7411</v>
      </c>
      <c r="E3171" s="3" t="str">
        <f>HYPERLINK("https://www.amazon.com/Fieldpiece-SNCV1-Non-Contact-Voltage-Detector/dp/B003ZZIUD6/ref=sr_1_1?keywords=Fieldpiece+SNCV1+Non-contact+Voltage+Detector&amp;qid=1695173950&amp;sr=8-1", "https://www.amazon.com/Fieldpiece-SNCV1-Non-Contact-Voltage-Detector/dp/B003ZZIUD6/ref=sr_1_1?keywords=Fieldpiece+SNCV1+Non-contact+Voltage+Detector&amp;qid=1695173950&amp;sr=8-1")</f>
        <v>https://www.amazon.com/Fieldpiece-SNCV1-Non-Contact-Voltage-Detector/dp/B003ZZIUD6/ref=sr_1_1?keywords=Fieldpiece+SNCV1+Non-contact+Voltage+Detector&amp;qid=1695173950&amp;sr=8-1</v>
      </c>
      <c r="F3171" t="s">
        <v>7412</v>
      </c>
      <c r="G3171" t="e">
        <f ca="1">_xludf.IMAGE("https://edmondsonsupply.com/cdn/shop/products/57_3_2aa5a2b3-3761-4dc0-acd7-a8febdd5b5d2.jpg?v=1633030161")</f>
        <v>#NAME?</v>
      </c>
      <c r="H3171" t="e">
        <f ca="1">_xludf.IMAGE("https://m.media-amazon.com/images/I/41PP2Bi46fL._AC_UL320_.jpg")</f>
        <v>#NAME?</v>
      </c>
      <c r="I3171" t="s">
        <v>7413</v>
      </c>
      <c r="J3171">
        <v>19.2</v>
      </c>
      <c r="K3171" s="4">
        <v>0.25490000000000002</v>
      </c>
      <c r="L3171">
        <v>3.9</v>
      </c>
      <c r="M3171">
        <v>55</v>
      </c>
      <c r="O3171" t="s">
        <v>25</v>
      </c>
      <c r="P3171" t="s">
        <v>835</v>
      </c>
      <c r="Q3171" t="s">
        <v>7414</v>
      </c>
    </row>
    <row r="3172" spans="1:17" ht="15.5" x14ac:dyDescent="0.35">
      <c r="A3172"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3172" s="3" t="str">
        <f>HYPERLINK("https://edmondsonsupply.com/products/klein-tools-69381-heavy-duty-alligator-clip-test-leads-3-foot", "https://edmondsonsupply.com/products/klein-tools-69381-heavy-duty-alligator-clip-test-leads-3-foot")</f>
        <v>https://edmondsonsupply.com/products/klein-tools-69381-heavy-duty-alligator-clip-test-leads-3-foot</v>
      </c>
      <c r="C3172" t="s">
        <v>6089</v>
      </c>
      <c r="D3172" t="s">
        <v>7415</v>
      </c>
      <c r="E3172" s="3" t="str">
        <f>HYPERLINK("https://www.amazon.com/Klein-Tools-69381-Heavy-Duty-Replacement/dp/B09YTDKDPQ/ref=sr_1_1?keywords=Klein+Tools+69381+Heavy-Duty+Alligator+Clip+Test+Leads%2C+3-Foot&amp;qid=1695174138&amp;sr=8-1", "https://www.amazon.com/Klein-Tools-69381-Heavy-Duty-Replacement/dp/B09YTDKDPQ/ref=sr_1_1?keywords=Klein+Tools+69381+Heavy-Duty+Alligator+Clip+Test+Leads%2C+3-Foot&amp;qid=1695174138&amp;sr=8-1")</f>
        <v>https://www.amazon.com/Klein-Tools-69381-Heavy-Duty-Replacement/dp/B09YTDKDPQ/ref=sr_1_1?keywords=Klein+Tools+69381+Heavy-Duty+Alligator+Clip+Test+Leads%2C+3-Foot&amp;qid=1695174138&amp;sr=8-1</v>
      </c>
      <c r="F3172" t="s">
        <v>7416</v>
      </c>
      <c r="G3172" t="e">
        <f ca="1">_xludf.IMAGE("https://edmondsonsupply.com/cdn/shop/products/69381_photo.jpg?v=1666889006")</f>
        <v>#NAME?</v>
      </c>
      <c r="H3172" t="e">
        <f ca="1">_xludf.IMAGE("https://m.media-amazon.com/images/I/41l4PY6Mw1L._AC_UY218_.jpg")</f>
        <v>#NAME?</v>
      </c>
      <c r="I3172" t="s">
        <v>276</v>
      </c>
      <c r="J3172">
        <v>18.8</v>
      </c>
      <c r="K3172" s="4">
        <v>0.25419999999999998</v>
      </c>
      <c r="L3172">
        <v>4.7</v>
      </c>
      <c r="M3172">
        <v>173</v>
      </c>
      <c r="O3172" t="s">
        <v>25</v>
      </c>
      <c r="P3172" t="s">
        <v>277</v>
      </c>
      <c r="Q3172" t="s">
        <v>6092</v>
      </c>
    </row>
    <row r="3173" spans="1:17" ht="15.5" x14ac:dyDescent="0.35">
      <c r="A3173"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3173" s="3" t="str">
        <f>HYPERLINK("https://edmondsonsupply.com/products/klein-tools-d504-10-classic-klaw%e2%84%a2-pump-pliers-10-inch", "https://edmondsonsupply.com/products/klein-tools-d504-10-classic-klaw%e2%84%a2-pump-pliers-10-inch")</f>
        <v>https://edmondsonsupply.com/products/klein-tools-d504-10-classic-klaw%e2%84%a2-pump-pliers-10-inch</v>
      </c>
      <c r="C3173" t="s">
        <v>3718</v>
      </c>
      <c r="D3173" t="s">
        <v>3719</v>
      </c>
      <c r="E3173" s="3" t="str">
        <f>HYPERLINK("https://www.amazon.com/Quick-Adjust-10-Inch-Klein-Tools-D504-10B/dp/B00BJ4ORDM/ref=sr_1_1?keywords=Klein+Tools+D504-10+Classic+Klaw%E2%84%A2+Pump+Pliers%2C+10-Inch&amp;qid=1695173948&amp;sr=8-1", "https://www.amazon.com/Quick-Adjust-10-Inch-Klein-Tools-D504-10B/dp/B00BJ4ORDM/ref=sr_1_1?keywords=Klein+Tools+D504-10+Classic+Klaw%E2%84%A2+Pump+Pliers%2C+10-Inch&amp;qid=1695173948&amp;sr=8-1")</f>
        <v>https://www.amazon.com/Quick-Adjust-10-Inch-Klein-Tools-D504-10B/dp/B00BJ4ORDM/ref=sr_1_1?keywords=Klein+Tools+D504-10+Classic+Klaw%E2%84%A2+Pump+Pliers%2C+10-Inch&amp;qid=1695173948&amp;sr=8-1</v>
      </c>
      <c r="F3173" t="s">
        <v>3720</v>
      </c>
      <c r="G3173" t="e">
        <f ca="1">_xludf.IMAGE("https://edmondsonsupply.com/cdn/shop/products/d504-10.jpg?v=1587142942")</f>
        <v>#NAME?</v>
      </c>
      <c r="H3173" t="e">
        <f ca="1">_xludf.IMAGE("https://m.media-amazon.com/images/I/51G8XuICYiL._AC_UL320_.jpg")</f>
        <v>#NAME?</v>
      </c>
      <c r="I3173" t="s">
        <v>3721</v>
      </c>
      <c r="J3173">
        <v>42.56</v>
      </c>
      <c r="K3173" s="4">
        <v>0.25290000000000001</v>
      </c>
      <c r="L3173">
        <v>4.7</v>
      </c>
      <c r="M3173">
        <v>259</v>
      </c>
      <c r="O3173" t="s">
        <v>25</v>
      </c>
      <c r="P3173" t="s">
        <v>3722</v>
      </c>
      <c r="Q3173" t="s">
        <v>3723</v>
      </c>
    </row>
    <row r="3174" spans="1:17" ht="15.5" x14ac:dyDescent="0.35">
      <c r="A3174" s="3" t="str">
        <f>HYPERLINK("https://edmondsonsupply.com/collections/electricians-tools/products/klein-tools-6886ins-insulated-screwdriver-1-square-tip-6-inch-shank", "https://edmondsonsupply.com/collections/electricians-tools/products/klein-tools-6886ins-insulated-screwdriver-1-square-tip-6-inch-shank")</f>
        <v>https://edmondsonsupply.com/collections/electricians-tools/products/klein-tools-6886ins-insulated-screwdriver-1-square-tip-6-inch-shank</v>
      </c>
      <c r="B3174" s="3" t="str">
        <f>HYPERLINK("https://edmondsonsupply.com/products/klein-tools-6886ins-insulated-screwdriver-1-square-tip-6-inch-shank", "https://edmondsonsupply.com/products/klein-tools-6886ins-insulated-screwdriver-1-square-tip-6-inch-shank")</f>
        <v>https://edmondsonsupply.com/products/klein-tools-6886ins-insulated-screwdriver-1-square-tip-6-inch-shank</v>
      </c>
      <c r="C3174" t="s">
        <v>7417</v>
      </c>
      <c r="D3174" t="s">
        <v>7418</v>
      </c>
      <c r="E3174" s="3" t="str">
        <f>HYPERLINK("https://www.amazon.com/Klein-Tools-6936INS-Screwdriver-Cushion-Grip/dp/B09GPZMQ1R/ref=sr_1_6?keywords=Klein+Tools+6886INS+Insulated+Screwdriver%2C&amp;qid=1695174139&amp;sr=8-6", "https://www.amazon.com/Klein-Tools-6936INS-Screwdriver-Cushion-Grip/dp/B09GPZMQ1R/ref=sr_1_6?keywords=Klein+Tools+6886INS+Insulated+Screwdriver%2C&amp;qid=1695174139&amp;sr=8-6")</f>
        <v>https://www.amazon.com/Klein-Tools-6936INS-Screwdriver-Cushion-Grip/dp/B09GPZMQ1R/ref=sr_1_6?keywords=Klein+Tools+6886INS+Insulated+Screwdriver%2C&amp;qid=1695174139&amp;sr=8-6</v>
      </c>
      <c r="F3174" t="s">
        <v>7419</v>
      </c>
      <c r="G3174" t="e">
        <f ca="1">_xludf.IMAGE("https://edmondsonsupply.com/cdn/shop/products/6886ins.jpg?v=1664889697")</f>
        <v>#NAME?</v>
      </c>
      <c r="H3174" t="e">
        <f ca="1">_xludf.IMAGE("https://m.media-amazon.com/images/I/414OB6kFvkL._AC_UL320_.jpg")</f>
        <v>#NAME?</v>
      </c>
      <c r="I3174" t="s">
        <v>6073</v>
      </c>
      <c r="J3174">
        <v>14.99</v>
      </c>
      <c r="K3174" s="4">
        <v>0.25230000000000002</v>
      </c>
      <c r="L3174">
        <v>4.9000000000000004</v>
      </c>
      <c r="M3174">
        <v>71</v>
      </c>
      <c r="O3174" t="s">
        <v>25</v>
      </c>
      <c r="P3174" t="s">
        <v>6728</v>
      </c>
      <c r="Q3174" t="s">
        <v>7420</v>
      </c>
    </row>
    <row r="3175" spans="1:17" ht="15.5" x14ac:dyDescent="0.35">
      <c r="A3175"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3175" s="3" t="str">
        <f>HYPERLINK("https://edmondsonsupply.com/products/diablo-tools-d0624x-6-1-2-in-24-tooth-framing-saw-blade", "https://edmondsonsupply.com/products/diablo-tools-d0624x-6-1-2-in-24-tooth-framing-saw-blade")</f>
        <v>https://edmondsonsupply.com/products/diablo-tools-d0624x-6-1-2-in-24-tooth-framing-saw-blade</v>
      </c>
      <c r="C3175" t="s">
        <v>6070</v>
      </c>
      <c r="D3175" t="s">
        <v>7421</v>
      </c>
      <c r="E3175" s="3" t="str">
        <f>HYPERLINK("https://www.amazon.com/2-Inch-24-Tooth-Circular-Framing-Cutting/dp/B09RZZ5VHQ/ref=sr_1_8?keywords=Diablo+Tools+D0624X+6-1%2F2+in.+24-Tooth+Framing+Saw+Blade&amp;qid=1695174066&amp;sr=8-8", "https://www.amazon.com/2-Inch-24-Tooth-Circular-Framing-Cutting/dp/B09RZZ5VHQ/ref=sr_1_8?keywords=Diablo+Tools+D0624X+6-1%2F2+in.+24-Tooth+Framing+Saw+Blade&amp;qid=1695174066&amp;sr=8-8")</f>
        <v>https://www.amazon.com/2-Inch-24-Tooth-Circular-Framing-Cutting/dp/B09RZZ5VHQ/ref=sr_1_8?keywords=Diablo+Tools+D0624X+6-1%2F2+in.+24-Tooth+Framing+Saw+Blade&amp;qid=1695174066&amp;sr=8-8</v>
      </c>
      <c r="F3175" t="s">
        <v>7422</v>
      </c>
      <c r="G3175" t="e">
        <f ca="1">_xludf.IMAGE("https://edmondsonsupply.com/cdn/shop/products/mfin0gl4ono6qztsnrth.webp?v=1678982694")</f>
        <v>#NAME?</v>
      </c>
      <c r="H3175" t="e">
        <f ca="1">_xludf.IMAGE("https://m.media-amazon.com/images/I/61CBTtpDg3L._AC_UL320_.jpg")</f>
        <v>#NAME?</v>
      </c>
      <c r="I3175" t="s">
        <v>6073</v>
      </c>
      <c r="J3175">
        <v>14.99</v>
      </c>
      <c r="K3175" s="4">
        <v>0.25230000000000002</v>
      </c>
      <c r="L3175">
        <v>4.5</v>
      </c>
      <c r="M3175">
        <v>1927</v>
      </c>
      <c r="O3175" t="s">
        <v>25</v>
      </c>
      <c r="P3175" t="s">
        <v>6074</v>
      </c>
      <c r="Q3175" t="s">
        <v>6075</v>
      </c>
    </row>
    <row r="3176" spans="1:17" ht="15.5" x14ac:dyDescent="0.35">
      <c r="A3176"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3176"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3176" t="s">
        <v>7204</v>
      </c>
      <c r="D3176" t="s">
        <v>7098</v>
      </c>
      <c r="E3176" s="3" t="str">
        <f>HYPERLINK("https://www.amazon.com/Klein-Tools-6926INS-Screwdriver-Cushion-Grip/dp/B09GL1X5SZ/ref=sr_1_8?keywords=Klein+Tools+6816INS+Insulated+Screwdriver%2C+3%2F16-Inch+Cabinet+Tip%2C+6-Inch+Round+Shank&amp;qid=1695174141&amp;sr=8-8", "https://www.amazon.com/Klein-Tools-6926INS-Screwdriver-Cushion-Grip/dp/B09GL1X5SZ/ref=sr_1_8?keywords=Klein+Tools+6816INS+Insulated+Screwdriver%2C+3%2F16-Inch+Cabinet+Tip%2C+6-Inch+Round+Shank&amp;qid=1695174141&amp;sr=8-8")</f>
        <v>https://www.amazon.com/Klein-Tools-6926INS-Screwdriver-Cushion-Grip/dp/B09GL1X5SZ/ref=sr_1_8?keywords=Klein+Tools+6816INS+Insulated+Screwdriver%2C+3%2F16-Inch+Cabinet+Tip%2C+6-Inch+Round+Shank&amp;qid=1695174141&amp;sr=8-8</v>
      </c>
      <c r="F3176" t="s">
        <v>7099</v>
      </c>
      <c r="G3176" t="e">
        <f ca="1">_xludf.IMAGE("https://edmondsonsupply.com/cdn/shop/products/6816ins.jpg?v=1664812840")</f>
        <v>#NAME?</v>
      </c>
      <c r="H3176" t="e">
        <f ca="1">_xludf.IMAGE("https://m.media-amazon.com/images/I/41JbepP5oGL._AC_UL320_.jpg")</f>
        <v>#NAME?</v>
      </c>
      <c r="I3176" t="s">
        <v>6073</v>
      </c>
      <c r="J3176">
        <v>14.99</v>
      </c>
      <c r="K3176" s="4">
        <v>0.25230000000000002</v>
      </c>
      <c r="L3176">
        <v>4.8</v>
      </c>
      <c r="M3176">
        <v>85</v>
      </c>
      <c r="O3176" t="s">
        <v>25</v>
      </c>
      <c r="P3176" t="s">
        <v>6728</v>
      </c>
      <c r="Q3176" t="s">
        <v>7205</v>
      </c>
    </row>
    <row r="3177" spans="1:17" ht="15.5" x14ac:dyDescent="0.35">
      <c r="A3177"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3177"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3177" t="s">
        <v>6781</v>
      </c>
      <c r="D3177" t="s">
        <v>7098</v>
      </c>
      <c r="E3177" s="3" t="str">
        <f>HYPERLINK("https://www.amazon.com/Klein-Tools-6926INS-Screwdriver-Cushion-Grip/dp/B09GL1X5SZ/ref=sr_1_4?keywords=Klein+Tools+6866INS+Insulated+Screwdriver%2C+5%2F16-Inch+Cabinet+Tip%2C+6-Inch+Shank&amp;qid=1695174142&amp;sr=8-4", "https://www.amazon.com/Klein-Tools-6926INS-Screwdriver-Cushion-Grip/dp/B09GL1X5SZ/ref=sr_1_4?keywords=Klein+Tools+6866INS+Insulated+Screwdriver%2C+5%2F16-Inch+Cabinet+Tip%2C+6-Inch+Shank&amp;qid=1695174142&amp;sr=8-4")</f>
        <v>https://www.amazon.com/Klein-Tools-6926INS-Screwdriver-Cushion-Grip/dp/B09GL1X5SZ/ref=sr_1_4?keywords=Klein+Tools+6866INS+Insulated+Screwdriver%2C+5%2F16-Inch+Cabinet+Tip%2C+6-Inch+Shank&amp;qid=1695174142&amp;sr=8-4</v>
      </c>
      <c r="F3177" t="s">
        <v>7099</v>
      </c>
      <c r="G3177" t="e">
        <f ca="1">_xludf.IMAGE("https://edmondsonsupply.com/cdn/shop/products/6866ins.jpg?v=1664818689")</f>
        <v>#NAME?</v>
      </c>
      <c r="H3177" t="e">
        <f ca="1">_xludf.IMAGE("https://m.media-amazon.com/images/I/41JbepP5oGL._AC_UL320_.jpg")</f>
        <v>#NAME?</v>
      </c>
      <c r="I3177" t="s">
        <v>6073</v>
      </c>
      <c r="J3177">
        <v>14.99</v>
      </c>
      <c r="K3177" s="4">
        <v>0.25230000000000002</v>
      </c>
      <c r="L3177">
        <v>4.8</v>
      </c>
      <c r="M3177">
        <v>85</v>
      </c>
      <c r="O3177" t="s">
        <v>25</v>
      </c>
      <c r="P3177" t="s">
        <v>6728</v>
      </c>
      <c r="Q3177" t="s">
        <v>6784</v>
      </c>
    </row>
    <row r="3178" spans="1:17" ht="15.5" x14ac:dyDescent="0.35">
      <c r="A3178" s="3" t="str">
        <f>HYPERLINK("https://edmondsonsupply.com/collections/electricians-tools/products/klein-tools-6886ins-insulated-screwdriver-1-square-tip-6-inch-shank", "https://edmondsonsupply.com/collections/electricians-tools/products/klein-tools-6886ins-insulated-screwdriver-1-square-tip-6-inch-shank")</f>
        <v>https://edmondsonsupply.com/collections/electricians-tools/products/klein-tools-6886ins-insulated-screwdriver-1-square-tip-6-inch-shank</v>
      </c>
      <c r="B3178" s="3" t="str">
        <f>HYPERLINK("https://edmondsonsupply.com/products/klein-tools-6886ins-insulated-screwdriver-1-square-tip-6-inch-shank", "https://edmondsonsupply.com/products/klein-tools-6886ins-insulated-screwdriver-1-square-tip-6-inch-shank")</f>
        <v>https://edmondsonsupply.com/products/klein-tools-6886ins-insulated-screwdriver-1-square-tip-6-inch-shank</v>
      </c>
      <c r="C3178" t="s">
        <v>7417</v>
      </c>
      <c r="D3178" t="s">
        <v>7098</v>
      </c>
      <c r="E3178" s="3" t="str">
        <f>HYPERLINK("https://www.amazon.com/Klein-Tools-6926INS-Screwdriver-Cushion-Grip/dp/B09GL1X5SZ/ref=sr_1_4?keywords=Klein+Tools+6886INS+Insulated+Screwdriver%2C&amp;qid=1695174139&amp;sr=8-4", "https://www.amazon.com/Klein-Tools-6926INS-Screwdriver-Cushion-Grip/dp/B09GL1X5SZ/ref=sr_1_4?keywords=Klein+Tools+6886INS+Insulated+Screwdriver%2C&amp;qid=1695174139&amp;sr=8-4")</f>
        <v>https://www.amazon.com/Klein-Tools-6926INS-Screwdriver-Cushion-Grip/dp/B09GL1X5SZ/ref=sr_1_4?keywords=Klein+Tools+6886INS+Insulated+Screwdriver%2C&amp;qid=1695174139&amp;sr=8-4</v>
      </c>
      <c r="F3178" t="s">
        <v>7099</v>
      </c>
      <c r="G3178" t="e">
        <f ca="1">_xludf.IMAGE("https://edmondsonsupply.com/cdn/shop/products/6886ins.jpg?v=1664889697")</f>
        <v>#NAME?</v>
      </c>
      <c r="H3178" t="e">
        <f ca="1">_xludf.IMAGE("https://m.media-amazon.com/images/I/41JbepP5oGL._AC_UL320_.jpg")</f>
        <v>#NAME?</v>
      </c>
      <c r="I3178" t="s">
        <v>6073</v>
      </c>
      <c r="J3178">
        <v>14.99</v>
      </c>
      <c r="K3178" s="4">
        <v>0.25230000000000002</v>
      </c>
      <c r="L3178">
        <v>4.8</v>
      </c>
      <c r="M3178">
        <v>85</v>
      </c>
      <c r="O3178" t="s">
        <v>25</v>
      </c>
      <c r="P3178" t="s">
        <v>6728</v>
      </c>
      <c r="Q3178" t="s">
        <v>7420</v>
      </c>
    </row>
    <row r="3179" spans="1:17" ht="15.5" x14ac:dyDescent="0.35">
      <c r="A3179"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3179"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3179" t="s">
        <v>7423</v>
      </c>
      <c r="D3179" t="s">
        <v>7095</v>
      </c>
      <c r="E3179" s="3" t="str">
        <f>HYPERLINK("https://www.amazon.com/Klein-Tools-6986INS-Screwdriver-Cushion-Grip/dp/B09GPYQ7DM/ref=sr_1_5?keywords=Klein+Tools+6846INS+Insulated+Screwdriver%2C+%232+Square+Tip%2C+6-Inch+Round+Shank&amp;qid=1695174148&amp;sr=8-5", "https://www.amazon.com/Klein-Tools-6986INS-Screwdriver-Cushion-Grip/dp/B09GPYQ7DM/ref=sr_1_5?keywords=Klein+Tools+6846INS+Insulated+Screwdriver%2C+%232+Square+Tip%2C+6-Inch+Round+Shank&amp;qid=1695174148&amp;sr=8-5")</f>
        <v>https://www.amazon.com/Klein-Tools-6986INS-Screwdriver-Cushion-Grip/dp/B09GPYQ7DM/ref=sr_1_5?keywords=Klein+Tools+6846INS+Insulated+Screwdriver%2C+%232+Square+Tip%2C+6-Inch+Round+Shank&amp;qid=1695174148&amp;sr=8-5</v>
      </c>
      <c r="F3179" t="s">
        <v>7096</v>
      </c>
      <c r="G3179" t="e">
        <f ca="1">_xludf.IMAGE("https://edmondsonsupply.com/cdn/shop/products/6846ins.jpg?v=1664817571")</f>
        <v>#NAME?</v>
      </c>
      <c r="H3179" t="e">
        <f ca="1">_xludf.IMAGE("https://m.media-amazon.com/images/I/41d5Ic37xZL._AC_UL320_.jpg")</f>
        <v>#NAME?</v>
      </c>
      <c r="I3179" t="s">
        <v>6073</v>
      </c>
      <c r="J3179">
        <v>14.99</v>
      </c>
      <c r="K3179" s="4">
        <v>0.25230000000000002</v>
      </c>
      <c r="L3179">
        <v>4.8</v>
      </c>
      <c r="M3179">
        <v>29</v>
      </c>
      <c r="O3179" t="s">
        <v>25</v>
      </c>
      <c r="P3179" t="s">
        <v>6728</v>
      </c>
      <c r="Q3179" t="s">
        <v>7424</v>
      </c>
    </row>
    <row r="3180" spans="1:17" ht="15.5" x14ac:dyDescent="0.35">
      <c r="A3180"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3180"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3180" t="s">
        <v>6725</v>
      </c>
      <c r="D3180" t="s">
        <v>7418</v>
      </c>
      <c r="E3180" s="3" t="str">
        <f>HYPERLINK("https://www.amazon.com/Klein-Tools-6936INS-Screwdriver-Cushion-Grip/dp/B09GPZMQ1R/ref=sr_1_9?keywords=Klein+Tools+6826INS+Insulated+Screwdriver%2C+1%2F4-Inch+Cabinet+Tip%2C+6-Inch+Shank&amp;qid=1695174154&amp;sr=8-9", "https://www.amazon.com/Klein-Tools-6936INS-Screwdriver-Cushion-Grip/dp/B09GPZMQ1R/ref=sr_1_9?keywords=Klein+Tools+6826INS+Insulated+Screwdriver%2C+1%2F4-Inch+Cabinet+Tip%2C+6-Inch+Shank&amp;qid=1695174154&amp;sr=8-9")</f>
        <v>https://www.amazon.com/Klein-Tools-6936INS-Screwdriver-Cushion-Grip/dp/B09GPZMQ1R/ref=sr_1_9?keywords=Klein+Tools+6826INS+Insulated+Screwdriver%2C+1%2F4-Inch+Cabinet+Tip%2C+6-Inch+Shank&amp;qid=1695174154&amp;sr=8-9</v>
      </c>
      <c r="F3180" t="s">
        <v>7419</v>
      </c>
      <c r="G3180" t="e">
        <f ca="1">_xludf.IMAGE("https://edmondsonsupply.com/cdn/shop/products/6826ins.jpg?v=1664814069")</f>
        <v>#NAME?</v>
      </c>
      <c r="H3180" t="e">
        <f ca="1">_xludf.IMAGE("https://m.media-amazon.com/images/I/414OB6kFvkL._AC_UL320_.jpg")</f>
        <v>#NAME?</v>
      </c>
      <c r="I3180" t="s">
        <v>6073</v>
      </c>
      <c r="J3180">
        <v>14.99</v>
      </c>
      <c r="K3180" s="4">
        <v>0.25230000000000002</v>
      </c>
      <c r="L3180">
        <v>4.9000000000000004</v>
      </c>
      <c r="M3180">
        <v>71</v>
      </c>
      <c r="O3180" t="s">
        <v>25</v>
      </c>
      <c r="P3180" t="s">
        <v>6728</v>
      </c>
      <c r="Q3180" t="s">
        <v>6729</v>
      </c>
    </row>
    <row r="3181" spans="1:17" ht="15.5" x14ac:dyDescent="0.35">
      <c r="A3181"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3181"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3181" t="s">
        <v>6725</v>
      </c>
      <c r="D3181" t="s">
        <v>7098</v>
      </c>
      <c r="E3181" s="3" t="str">
        <f>HYPERLINK("https://www.amazon.com/Klein-Tools-6926INS-Screwdriver-Cushion-Grip/dp/B09GL1X5SZ/ref=sr_1_2?keywords=Klein+Tools+6826INS+Insulated+Screwdriver%2C+1%2F4-Inch+Cabinet+Tip%2C+6-Inch+Shank&amp;qid=1695174154&amp;sr=8-2", "https://www.amazon.com/Klein-Tools-6926INS-Screwdriver-Cushion-Grip/dp/B09GL1X5SZ/ref=sr_1_2?keywords=Klein+Tools+6826INS+Insulated+Screwdriver%2C+1%2F4-Inch+Cabinet+Tip%2C+6-Inch+Shank&amp;qid=1695174154&amp;sr=8-2")</f>
        <v>https://www.amazon.com/Klein-Tools-6926INS-Screwdriver-Cushion-Grip/dp/B09GL1X5SZ/ref=sr_1_2?keywords=Klein+Tools+6826INS+Insulated+Screwdriver%2C+1%2F4-Inch+Cabinet+Tip%2C+6-Inch+Shank&amp;qid=1695174154&amp;sr=8-2</v>
      </c>
      <c r="F3181" t="s">
        <v>7099</v>
      </c>
      <c r="G3181" t="e">
        <f ca="1">_xludf.IMAGE("https://edmondsonsupply.com/cdn/shop/products/6826ins.jpg?v=1664814069")</f>
        <v>#NAME?</v>
      </c>
      <c r="H3181" t="e">
        <f ca="1">_xludf.IMAGE("https://m.media-amazon.com/images/I/41JbepP5oGL._AC_UL320_.jpg")</f>
        <v>#NAME?</v>
      </c>
      <c r="I3181" t="s">
        <v>6073</v>
      </c>
      <c r="J3181">
        <v>14.99</v>
      </c>
      <c r="K3181" s="4">
        <v>0.25230000000000002</v>
      </c>
      <c r="L3181">
        <v>4.8</v>
      </c>
      <c r="M3181">
        <v>85</v>
      </c>
      <c r="O3181" t="s">
        <v>25</v>
      </c>
      <c r="P3181" t="s">
        <v>6728</v>
      </c>
      <c r="Q3181" t="s">
        <v>6729</v>
      </c>
    </row>
    <row r="3182" spans="1:17" ht="15.5" x14ac:dyDescent="0.35">
      <c r="A3182"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3182" s="3" t="str">
        <f>HYPERLINK("https://edmondsonsupply.com/products/milwaukee-48-22-0305-folding-jab-saw", "https://edmondsonsupply.com/products/milwaukee-48-22-0305-folding-jab-saw")</f>
        <v>https://edmondsonsupply.com/products/milwaukee-48-22-0305-folding-jab-saw</v>
      </c>
      <c r="C3182" t="s">
        <v>2139</v>
      </c>
      <c r="D3182" t="s">
        <v>3726</v>
      </c>
      <c r="E3182" s="3" t="str">
        <f>HYPERLINK("https://www.amazon.com/MILWAUKEE-48-22-1906J-FASTBACK-DRYWALL-PLASTER/dp/B07STGMWT6/ref=sr_1_8?keywords=Milwaukee+48-22-0305+Folding+Jab+Saw&amp;qid=1695173950&amp;sr=8-8", "https://www.amazon.com/MILWAUKEE-48-22-1906J-FASTBACK-DRYWALL-PLASTER/dp/B07STGMWT6/ref=sr_1_8?keywords=Milwaukee+48-22-0305+Folding+Jab+Saw&amp;qid=1695173950&amp;sr=8-8")</f>
        <v>https://www.amazon.com/MILWAUKEE-48-22-1906J-FASTBACK-DRYWALL-PLASTER/dp/B07STGMWT6/ref=sr_1_8?keywords=Milwaukee+48-22-0305+Folding+Jab+Saw&amp;qid=1695173950&amp;sr=8-8</v>
      </c>
      <c r="F3182" t="s">
        <v>3727</v>
      </c>
      <c r="G3182" t="e">
        <f ca="1">_xludf.IMAGE("https://edmondsonsupply.com/cdn/shop/products/49678_48-22-0305-lg.jpg?v=1587148349")</f>
        <v>#NAME?</v>
      </c>
      <c r="H3182" t="e">
        <f ca="1">_xludf.IMAGE("https://m.media-amazon.com/images/I/414z44lqh3L._AC_UL320_.jpg")</f>
        <v>#NAME?</v>
      </c>
      <c r="I3182" t="s">
        <v>893</v>
      </c>
      <c r="J3182">
        <v>25</v>
      </c>
      <c r="K3182" s="4">
        <v>0.25190000000000001</v>
      </c>
      <c r="L3182">
        <v>4.9000000000000004</v>
      </c>
      <c r="M3182">
        <v>11</v>
      </c>
      <c r="O3182" t="s">
        <v>25</v>
      </c>
      <c r="P3182" t="s">
        <v>2142</v>
      </c>
      <c r="Q3182" t="s">
        <v>2143</v>
      </c>
    </row>
    <row r="3183" spans="1:17" ht="15.5" x14ac:dyDescent="0.35">
      <c r="A3183"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3183" s="3" t="str">
        <f>HYPERLINK("https://edmondsonsupply.com/products/diablo-tools-d0604dh-6-1-2-in-x-4-tooth-fiber-cement", "https://edmondsonsupply.com/products/diablo-tools-d0604dh-6-1-2-in-x-4-tooth-fiber-cement")</f>
        <v>https://edmondsonsupply.com/products/diablo-tools-d0604dh-6-1-2-in-x-4-tooth-fiber-cement</v>
      </c>
      <c r="C3183" t="s">
        <v>6483</v>
      </c>
      <c r="D3183" t="s">
        <v>7425</v>
      </c>
      <c r="E3183" s="3" t="str">
        <f>HYPERLINK("https://www.amazon.com/Norske-NCSBP281C-Polycrystalline-Diamond-Hardie/dp/B0B9LBHPLH/ref=sr_1_7?keywords=Diablo+Tools+D0604DH+6-1%2F2+in.+x+4+Tooth+Fiber+Cement&amp;qid=1695174076&amp;sr=8-7", "https://www.amazon.com/Norske-NCSBP281C-Polycrystalline-Diamond-Hardie/dp/B0B9LBHPLH/ref=sr_1_7?keywords=Diablo+Tools+D0604DH+6-1%2F2+in.+x+4+Tooth+Fiber+Cement&amp;qid=1695174076&amp;sr=8-7")</f>
        <v>https://www.amazon.com/Norske-NCSBP281C-Polycrystalline-Diamond-Hardie/dp/B0B9LBHPLH/ref=sr_1_7?keywords=Diablo+Tools+D0604DH+6-1%2F2+in.+x+4+Tooth+Fiber+Cement&amp;qid=1695174076&amp;sr=8-7</v>
      </c>
      <c r="F3183" t="s">
        <v>7426</v>
      </c>
      <c r="G3183" t="e">
        <f ca="1">_xludf.IMAGE("https://edmondsonsupply.com/cdn/shop/products/b97gznmuns4ffl0mabzf.webp?v=1679319668")</f>
        <v>#NAME?</v>
      </c>
      <c r="H3183" t="e">
        <f ca="1">_xludf.IMAGE("https://m.media-amazon.com/images/I/61gux44eitL._AC_UL320_.jpg")</f>
        <v>#NAME?</v>
      </c>
      <c r="I3183" t="s">
        <v>380</v>
      </c>
      <c r="J3183">
        <v>62.54</v>
      </c>
      <c r="K3183" s="4">
        <v>0.25159999999999999</v>
      </c>
      <c r="L3183">
        <v>4</v>
      </c>
      <c r="M3183">
        <v>2</v>
      </c>
      <c r="O3183" t="s">
        <v>25</v>
      </c>
      <c r="P3183" t="s">
        <v>6486</v>
      </c>
      <c r="Q3183" t="s">
        <v>6487</v>
      </c>
    </row>
    <row r="3184" spans="1:17" ht="15.5" x14ac:dyDescent="0.35">
      <c r="A3184"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3184"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3184" t="s">
        <v>3118</v>
      </c>
      <c r="D3184" t="s">
        <v>3728</v>
      </c>
      <c r="E3184" s="3" t="str">
        <f>HYPERLINK("https://www.amazon.com/Journeyman-T-Handle-Klein-Tools-JTH4E17/dp/B004LRBOA8/ref=sr_1_1?keywords=Klein+Tools+JTH4E17+1%2F2-Inch+Hex+Key%2C+Journeyman+T-Handle%2C+4-Inch&amp;qid=1695173921&amp;sr=8-1", "https://www.amazon.com/Journeyman-T-Handle-Klein-Tools-JTH4E17/dp/B004LRBOA8/ref=sr_1_1?keywords=Klein+Tools+JTH4E17+1%2F2-Inch+Hex+Key%2C+Journeyman+T-Handle%2C+4-Inch&amp;qid=1695173921&amp;sr=8-1")</f>
        <v>https://www.amazon.com/Journeyman-T-Handle-Klein-Tools-JTH4E17/dp/B004LRBOA8/ref=sr_1_1?keywords=Klein+Tools+JTH4E17+1%2F2-Inch+Hex+Key%2C+Journeyman+T-Handle%2C+4-Inch&amp;qid=1695173921&amp;sr=8-1</v>
      </c>
      <c r="F3184" t="s">
        <v>3729</v>
      </c>
      <c r="G3184" t="e">
        <f ca="1">_xludf.IMAGE("https://edmondsonsupply.com/cdn/shop/products/jth4e17_583549be-7b42-43c7-9c3d-a92f2416ede5.jpg?v=1610655610")</f>
        <v>#NAME?</v>
      </c>
      <c r="H3184" t="e">
        <f ca="1">_xludf.IMAGE("https://m.media-amazon.com/images/I/41kJkcAGkqL._AC_UL320_.jpg")</f>
        <v>#NAME?</v>
      </c>
      <c r="I3184" t="s">
        <v>252</v>
      </c>
      <c r="J3184">
        <v>20.010000000000002</v>
      </c>
      <c r="K3184" s="4">
        <v>0.25140000000000001</v>
      </c>
      <c r="L3184">
        <v>4.7</v>
      </c>
      <c r="M3184">
        <v>45</v>
      </c>
      <c r="O3184" t="s">
        <v>25</v>
      </c>
      <c r="P3184" t="s">
        <v>3121</v>
      </c>
      <c r="Q3184" t="s">
        <v>3122</v>
      </c>
    </row>
    <row r="3185" spans="1:17" ht="15.5" x14ac:dyDescent="0.35">
      <c r="A3185" s="3" t="str">
        <f>HYPERLINK("https://edmondsonsupply.com/collections/electricians-tools/products/klein-tools-85076ins-screwdriver-set-1000v-insulated-6-piece", "https://edmondsonsupply.com/collections/electricians-tools/products/klein-tools-85076ins-screwdriver-set-1000v-insulated-6-piece")</f>
        <v>https://edmondsonsupply.com/collections/electricians-tools/products/klein-tools-85076ins-screwdriver-set-1000v-insulated-6-piece</v>
      </c>
      <c r="B3185" s="3" t="str">
        <f>HYPERLINK("https://edmondsonsupply.com/products/klein-tools-85076ins-screwdriver-set-1000v-insulated-6-piece", "https://edmondsonsupply.com/products/klein-tools-85076ins-screwdriver-set-1000v-insulated-6-piece")</f>
        <v>https://edmondsonsupply.com/products/klein-tools-85076ins-screwdriver-set-1000v-insulated-6-piece</v>
      </c>
      <c r="C3185" t="s">
        <v>3730</v>
      </c>
      <c r="D3185" t="s">
        <v>2245</v>
      </c>
      <c r="E3185" s="3" t="str">
        <f>HYPERLINK("https://www.amazon.com/Klein-Tools-33736INS-Screwdriver-Magnetizer/dp/B09GPZPMTD/ref=sr_1_2?keywords=Klein+Tools+85076INS+Screwdriver+Set%2C+1000V+Insulated%2C+6-Piece&amp;qid=1695173919&amp;sr=8-2", "https://www.amazon.com/Klein-Tools-33736INS-Screwdriver-Magnetizer/dp/B09GPZPMTD/ref=sr_1_2?keywords=Klein+Tools+85076INS+Screwdriver+Set%2C+1000V+Insulated%2C+6-Piece&amp;qid=1695173919&amp;sr=8-2")</f>
        <v>https://www.amazon.com/Klein-Tools-33736INS-Screwdriver-Magnetizer/dp/B09GPZPMTD/ref=sr_1_2?keywords=Klein+Tools+85076INS+Screwdriver+Set%2C+1000V+Insulated%2C+6-Piece&amp;qid=1695173919&amp;sr=8-2</v>
      </c>
      <c r="F3185" t="s">
        <v>2246</v>
      </c>
      <c r="G3185" t="e">
        <f ca="1">_xludf.IMAGE("https://edmondsonsupply.com/cdn/shop/products/85076ins.jpg?v=1664891110")</f>
        <v>#NAME?</v>
      </c>
      <c r="H3185" t="e">
        <f ca="1">_xludf.IMAGE("https://m.media-amazon.com/images/I/51W2DUA3c7L._AC_UL320_.jpg")</f>
        <v>#NAME?</v>
      </c>
      <c r="I3185" t="s">
        <v>246</v>
      </c>
      <c r="J3185">
        <v>49.99</v>
      </c>
      <c r="K3185" s="4">
        <v>0.25069999999999998</v>
      </c>
      <c r="L3185">
        <v>4.8</v>
      </c>
      <c r="M3185">
        <v>419</v>
      </c>
      <c r="O3185" t="s">
        <v>25</v>
      </c>
      <c r="P3185" t="s">
        <v>199</v>
      </c>
      <c r="Q3185" t="s">
        <v>3731</v>
      </c>
    </row>
    <row r="3186" spans="1:17" ht="15.5" x14ac:dyDescent="0.35">
      <c r="A3186"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3186" s="3" t="str">
        <f>HYPERLINK("https://edmondsonsupply.com/products/klein-tools-65064-2-in-1-hex-head-screwdriver-1-4-5-16", "https://edmondsonsupply.com/products/klein-tools-65064-2-in-1-hex-head-screwdriver-1-4-5-16")</f>
        <v>https://edmondsonsupply.com/products/klein-tools-65064-2-in-1-hex-head-screwdriver-1-4-5-16</v>
      </c>
      <c r="C3186" t="s">
        <v>2093</v>
      </c>
      <c r="D3186" t="s">
        <v>3732</v>
      </c>
      <c r="E3186" s="3" t="str">
        <f>HYPERLINK("https://www.amazon.com/Driver-6-Inch-Klein-Tools-65129/dp/B0716VDFTD/ref=sr_1_5?keywords=Klein+Tools+65064+2-in-1+Nut+Driver%2C+Hex+Head%2C+1%2F4-Inch+and+5%2F16-Inch&amp;qid=1695173915&amp;sr=8-5", "https://www.amazon.com/Driver-6-Inch-Klein-Tools-65129/dp/B0716VDFTD/ref=sr_1_5?keywords=Klein+Tools+65064+2-in-1+Nut+Driver%2C+Hex+Head%2C+1%2F4-Inch+and+5%2F16-Inch&amp;qid=1695173915&amp;sr=8-5")</f>
        <v>https://www.amazon.com/Driver-6-Inch-Klein-Tools-65129/dp/B0716VDFTD/ref=sr_1_5?keywords=Klein+Tools+65064+2-in-1+Nut+Driver%2C+Hex+Head%2C+1%2F4-Inch+and+5%2F16-Inch&amp;qid=1695173915&amp;sr=8-5</v>
      </c>
      <c r="F3186" t="s">
        <v>3733</v>
      </c>
      <c r="G3186" t="e">
        <f ca="1">_xludf.IMAGE("https://edmondsonsupply.com/cdn/shop/products/65064.jpg?v=1587147719")</f>
        <v>#NAME?</v>
      </c>
      <c r="H3186" t="e">
        <f ca="1">_xludf.IMAGE("https://m.media-amazon.com/images/I/31G5opAPxjL._AC_UL320_.jpg")</f>
        <v>#NAME?</v>
      </c>
      <c r="I3186" t="s">
        <v>143</v>
      </c>
      <c r="J3186">
        <v>19.97</v>
      </c>
      <c r="K3186" s="4">
        <v>0.2505</v>
      </c>
      <c r="L3186">
        <v>4.8</v>
      </c>
      <c r="M3186">
        <v>688</v>
      </c>
      <c r="O3186" t="s">
        <v>25</v>
      </c>
      <c r="P3186" t="s">
        <v>2096</v>
      </c>
      <c r="Q3186" t="s">
        <v>2097</v>
      </c>
    </row>
    <row r="3187" spans="1:17" ht="15.5" x14ac:dyDescent="0.35">
      <c r="A3187" s="3" t="str">
        <f>HYPERLINK("https://edmondsonsupply.com/collections/electricians-tools/products/channellock-8wcb", "https://edmondsonsupply.com/collections/electricians-tools/products/channellock-8wcb")</f>
        <v>https://edmondsonsupply.com/collections/electricians-tools/products/channellock-8wcb</v>
      </c>
      <c r="B3187" s="3" t="str">
        <f>HYPERLINK("https://edmondsonsupply.com/products/channellock-8wcb", "https://edmondsonsupply.com/products/channellock-8wcb")</f>
        <v>https://edmondsonsupply.com/products/channellock-8wcb</v>
      </c>
      <c r="C3187" t="s">
        <v>3038</v>
      </c>
      <c r="D3187" t="s">
        <v>3734</v>
      </c>
      <c r="E3187" s="3" t="str">
        <f>HYPERLINK("https://www.amazon.com/Channellock-10WCB-Adjustable-Measurement-Diameters/dp/B0BDHWW8K8/ref=sr_1_4?keywords=Channellock+8WCB+8%22+Code+Blue+WIDEAZZ+Adjustable+Wrench&amp;qid=1695173930&amp;sr=8-4", "https://www.amazon.com/Channellock-10WCB-Adjustable-Measurement-Diameters/dp/B0BDHWW8K8/ref=sr_1_4?keywords=Channellock+8WCB+8%22+Code+Blue+WIDEAZZ+Adjustable+Wrench&amp;qid=1695173930&amp;sr=8-4")</f>
        <v>https://www.amazon.com/Channellock-10WCB-Adjustable-Measurement-Diameters/dp/B0BDHWW8K8/ref=sr_1_4?keywords=Channellock+8WCB+8%22+Code+Blue+WIDEAZZ+Adjustable+Wrench&amp;qid=1695173930&amp;sr=8-4</v>
      </c>
      <c r="F3187" t="s">
        <v>3735</v>
      </c>
      <c r="G3187" t="e">
        <f ca="1">_xludf.IMAGE("https://edmondsonsupply.com/cdn/shop/products/8WCB-683x1024.jpg?v=1633030324")</f>
        <v>#NAME?</v>
      </c>
      <c r="H3187" t="e">
        <f ca="1">_xludf.IMAGE("https://m.media-amazon.com/images/I/61w0hdzcX7L._AC_UL320_.jpg")</f>
        <v>#NAME?</v>
      </c>
      <c r="I3187" t="s">
        <v>3041</v>
      </c>
      <c r="J3187">
        <v>39.950000000000003</v>
      </c>
      <c r="K3187" s="4">
        <v>0.25040000000000001</v>
      </c>
      <c r="L3187">
        <v>4.9000000000000004</v>
      </c>
      <c r="M3187">
        <v>60</v>
      </c>
      <c r="O3187" t="s">
        <v>25</v>
      </c>
      <c r="P3187" t="s">
        <v>3042</v>
      </c>
      <c r="Q3187" t="s">
        <v>3043</v>
      </c>
    </row>
    <row r="3188" spans="1:17" ht="15.5" x14ac:dyDescent="0.35">
      <c r="A3188"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3188" s="3" t="str">
        <f>HYPERLINK("https://edmondsonsupply.com/products/klein-tools-ncvt1xt-non-contact-voltage-tester-70-to-1000v-ac", "https://edmondsonsupply.com/products/klein-tools-ncvt1xt-non-contact-voltage-tester-70-to-1000v-ac")</f>
        <v>https://edmondsonsupply.com/products/klein-tools-ncvt1xt-non-contact-voltage-tester-70-to-1000v-ac</v>
      </c>
      <c r="C3188" t="s">
        <v>6346</v>
      </c>
      <c r="D3188" t="s">
        <v>4791</v>
      </c>
      <c r="E3188" s="3" t="str">
        <f>HYPERLINK("https://www.amazon.com/Klein-Tools-NCVT1PKIT-Electrical-Non-Contact/dp/B0BS5SCNJ1/ref=sr_1_5?keywords=Klein+Tools+NCVT1XT+Non-Contact+Voltage+Tester%2C+70+to+1000V+AC&amp;qid=1695174075&amp;sr=8-5", "https://www.amazon.com/Klein-Tools-NCVT1PKIT-Electrical-Non-Contact/dp/B0BS5SCNJ1/ref=sr_1_5?keywords=Klein+Tools+NCVT1XT+Non-Contact+Voltage+Tester%2C+70+to+1000V+AC&amp;qid=1695174075&amp;sr=8-5")</f>
        <v>https://www.amazon.com/Klein-Tools-NCVT1PKIT-Electrical-Non-Contact/dp/B0BS5SCNJ1/ref=sr_1_5?keywords=Klein+Tools+NCVT1XT+Non-Contact+Voltage+Tester%2C+70+to+1000V+AC&amp;qid=1695174075&amp;sr=8-5</v>
      </c>
      <c r="F3188" t="s">
        <v>4792</v>
      </c>
      <c r="G3188" t="e">
        <f ca="1">_xludf.IMAGE("https://edmondsonsupply.com/cdn/shop/products/ncvt1xt.jpg?v=1674496568")</f>
        <v>#NAME?</v>
      </c>
      <c r="H3188" t="e">
        <f ca="1">_xludf.IMAGE("https://m.media-amazon.com/images/I/51CD2DGal7L._AC_UL320_.jpg")</f>
        <v>#NAME?</v>
      </c>
      <c r="I3188" t="s">
        <v>893</v>
      </c>
      <c r="J3188">
        <v>24.97</v>
      </c>
      <c r="K3188" s="4">
        <v>0.25040000000000001</v>
      </c>
      <c r="L3188">
        <v>4.5</v>
      </c>
      <c r="M3188">
        <v>33</v>
      </c>
      <c r="O3188" t="s">
        <v>25</v>
      </c>
      <c r="P3188" t="s">
        <v>6347</v>
      </c>
      <c r="Q3188" t="s">
        <v>6348</v>
      </c>
    </row>
    <row r="3189" spans="1:17" ht="15.5" x14ac:dyDescent="0.35">
      <c r="A3189" s="3" t="str">
        <f>HYPERLINK("https://edmondsonsupply.com/collections/electricians-tools/products/klein-tools-602-4dd-4-demolition-driver-1-4-keystone", "https://edmondsonsupply.com/collections/electricians-tools/products/klein-tools-602-4dd-4-demolition-driver-1-4-keystone")</f>
        <v>https://edmondsonsupply.com/collections/electricians-tools/products/klein-tools-602-4dd-4-demolition-driver-1-4-keystone</v>
      </c>
      <c r="B3189" s="3" t="str">
        <f>HYPERLINK("https://edmondsonsupply.com/products/klein-tools-602-4dd-4-demolition-driver-1-4-keystone", "https://edmondsonsupply.com/products/klein-tools-602-4dd-4-demolition-driver-1-4-keystone")</f>
        <v>https://edmondsonsupply.com/products/klein-tools-602-4dd-4-demolition-driver-1-4-keystone</v>
      </c>
      <c r="C3189" t="s">
        <v>3736</v>
      </c>
      <c r="D3189" t="s">
        <v>3737</v>
      </c>
      <c r="E3189" s="3" t="str">
        <f>HYPERLINK("https://www.amazon.com/16-Inch-Keystone-Demolition-Klein-Tools/dp/B00B9HIBYA/ref=sr_1_2?keywords=Klein+Tools+602-4DD+1%2F4-Inch+Keystone+Demolition+Driver%2C+4-Inch+Shank&amp;qid=1695173941&amp;sr=8-2", "https://www.amazon.com/16-Inch-Keystone-Demolition-Klein-Tools/dp/B00B9HIBYA/ref=sr_1_2?keywords=Klein+Tools+602-4DD+1%2F4-Inch+Keystone+Demolition+Driver%2C+4-Inch+Shank&amp;qid=1695173941&amp;sr=8-2")</f>
        <v>https://www.amazon.com/16-Inch-Keystone-Demolition-Klein-Tools/dp/B00B9HIBYA/ref=sr_1_2?keywords=Klein+Tools+602-4DD+1%2F4-Inch+Keystone+Demolition+Driver%2C+4-Inch+Shank&amp;qid=1695173941&amp;sr=8-2</v>
      </c>
      <c r="F3189" t="s">
        <v>3738</v>
      </c>
      <c r="G3189" t="e">
        <f ca="1">_xludf.IMAGE("https://edmondsonsupply.com/cdn/shop/products/602-4dd.jpg?v=1587143287")</f>
        <v>#NAME?</v>
      </c>
      <c r="H3189" t="e">
        <f ca="1">_xludf.IMAGE("https://m.media-amazon.com/images/I/41sh3Q2vVYL._AC_UL320_.jpg")</f>
        <v>#NAME?</v>
      </c>
      <c r="I3189" t="s">
        <v>252</v>
      </c>
      <c r="J3189">
        <v>19.989999999999998</v>
      </c>
      <c r="K3189" s="4">
        <v>0.25019999999999998</v>
      </c>
      <c r="L3189">
        <v>4.8</v>
      </c>
      <c r="M3189">
        <v>1377</v>
      </c>
      <c r="O3189" t="s">
        <v>25</v>
      </c>
      <c r="P3189" t="s">
        <v>3739</v>
      </c>
      <c r="Q3189" t="s">
        <v>3740</v>
      </c>
    </row>
    <row r="3190" spans="1:17" ht="15.5" x14ac:dyDescent="0.35">
      <c r="A3190"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3190" s="3" t="str">
        <f>HYPERLINK("https://edmondsonsupply.com/products/klein-tools-60511-heavy-duty-knee-pad-sleeves-m-l", "https://edmondsonsupply.com/products/klein-tools-60511-heavy-duty-knee-pad-sleeves-m-l")</f>
        <v>https://edmondsonsupply.com/products/klein-tools-60511-heavy-duty-knee-pad-sleeves-m-l</v>
      </c>
      <c r="C3190" t="s">
        <v>1024</v>
      </c>
      <c r="D3190" t="s">
        <v>1025</v>
      </c>
      <c r="E3190" s="3" t="str">
        <f>HYPERLINK("https://www.amazon.com/Klein-Tools-80123-Kneepad-3-Piece/dp/B0BMNQ58MV/ref=sr_1_3?keywords=Klein+Tools+60511+Heavy+Duty+Knee+Pad+Sleeves%2C+M%2FL&amp;qid=1695174162&amp;sr=8-3", "https://www.amazon.com/Klein-Tools-80123-Kneepad-3-Piece/dp/B0BMNQ58MV/ref=sr_1_3?keywords=Klein+Tools+60511+Heavy+Duty+Knee+Pad+Sleeves%2C+M%2FL&amp;qid=1695174162&amp;sr=8-3")</f>
        <v>https://www.amazon.com/Klein-Tools-80123-Kneepad-3-Piece/dp/B0BMNQ58MV/ref=sr_1_3?keywords=Klein+Tools+60511+Heavy+Duty+Knee+Pad+Sleeves%2C+M%2FL&amp;qid=1695174162&amp;sr=8-3</v>
      </c>
      <c r="F3190" t="s">
        <v>1026</v>
      </c>
      <c r="G3190" t="e">
        <f ca="1">_xludf.IMAGE("https://edmondsonsupply.com/cdn/shop/products/60511_60611_b.jpg?v=1663253024")</f>
        <v>#NAME?</v>
      </c>
      <c r="H3190" t="e">
        <f ca="1">_xludf.IMAGE("https://m.media-amazon.com/images/I/61nBRxV-S6L._AC_UL320_.jpg")</f>
        <v>#NAME?</v>
      </c>
      <c r="I3190" t="s">
        <v>198</v>
      </c>
      <c r="J3190">
        <v>49.99</v>
      </c>
      <c r="K3190" s="4">
        <v>0.25009999999999999</v>
      </c>
      <c r="L3190">
        <v>5</v>
      </c>
      <c r="M3190">
        <v>2</v>
      </c>
      <c r="O3190" t="s">
        <v>25</v>
      </c>
      <c r="P3190" t="s">
        <v>1027</v>
      </c>
      <c r="Q3190" t="s">
        <v>1028</v>
      </c>
    </row>
    <row r="3191" spans="1:17" ht="15.5" x14ac:dyDescent="0.35">
      <c r="A3191"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3191"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3191" t="s">
        <v>6963</v>
      </c>
      <c r="D3191" t="s">
        <v>6047</v>
      </c>
      <c r="E3191" s="3" t="str">
        <f>HYPERLINK("https://www.amazon.com/Conduit-Features-Klein-Tools-51604/dp/B08V8YVWH1/ref=sr_1_2?keywords=Klein+Tools+51603+Iron+Conduit+Bender+Full+Assembly%2C+1%2F2-Inch+EMT+with+Angle+Setter%E2%84%A2&amp;qid=1695173919&amp;sr=8-2", "https://www.amazon.com/Conduit-Features-Klein-Tools-51604/dp/B08V8YVWH1/ref=sr_1_2?keywords=Klein+Tools+51603+Iron+Conduit+Bender+Full+Assembly%2C+1%2F2-Inch+EMT+with+Angle+Setter%E2%84%A2&amp;qid=1695173919&amp;sr=8-2")</f>
        <v>https://www.amazon.com/Conduit-Features-Klein-Tools-51604/dp/B08V8YVWH1/ref=sr_1_2?keywords=Klein+Tools+51603+Iron+Conduit+Bender+Full+Assembly%2C+1%2F2-Inch+EMT+with+Angle+Setter%E2%84%A2&amp;qid=1695173919&amp;sr=8-2</v>
      </c>
      <c r="F3191" t="s">
        <v>6048</v>
      </c>
      <c r="G3191" t="e">
        <f ca="1">_xludf.IMAGE("https://edmondsonsupply.com/cdn/shop/products/51604.jpg?v=1663940749")</f>
        <v>#NAME?</v>
      </c>
      <c r="H3191" t="e">
        <f ca="1">_xludf.IMAGE("https://m.media-amazon.com/images/I/41DkDVmyczL._AC_UL320_.jpg")</f>
        <v>#NAME?</v>
      </c>
      <c r="I3191" t="s">
        <v>905</v>
      </c>
      <c r="J3191">
        <v>74.989999999999995</v>
      </c>
      <c r="K3191" s="4">
        <v>0.25</v>
      </c>
      <c r="L3191">
        <v>4.8</v>
      </c>
      <c r="M3191">
        <v>43</v>
      </c>
      <c r="O3191" t="s">
        <v>25</v>
      </c>
      <c r="P3191" t="s">
        <v>6964</v>
      </c>
      <c r="Q3191" t="s">
        <v>6965</v>
      </c>
    </row>
    <row r="3192" spans="1:17" ht="15.5" x14ac:dyDescent="0.35">
      <c r="A3192"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3192" s="3" t="str">
        <f>HYPERLINK("https://edmondsonsupply.com/products/klein-tools-51609-3-4-inch-iron-conduit-bender-head", "https://edmondsonsupply.com/products/klein-tools-51609-3-4-inch-iron-conduit-bender-head")</f>
        <v>https://edmondsonsupply.com/products/klein-tools-51609-3-4-inch-iron-conduit-bender-head</v>
      </c>
      <c r="C3192" t="s">
        <v>6966</v>
      </c>
      <c r="D3192" t="s">
        <v>6043</v>
      </c>
      <c r="E3192" s="3" t="str">
        <f>HYPERLINK("https://www.amazon.com/Conduit-Bender-Klein-Tools-51610/dp/B08V8J5CX4/ref=sr_1_2?keywords=Klein+Tools+51609+3%2F4-Inch+Iron+Conduit+Bender+Head&amp;qid=1695174173&amp;sr=8-2", "https://www.amazon.com/Conduit-Bender-Klein-Tools-51610/dp/B08V8J5CX4/ref=sr_1_2?keywords=Klein+Tools+51609+3%2F4-Inch+Iron+Conduit+Bender+Head&amp;qid=1695174173&amp;sr=8-2")</f>
        <v>https://www.amazon.com/Conduit-Bender-Klein-Tools-51610/dp/B08V8J5CX4/ref=sr_1_2?keywords=Klein+Tools+51609+3%2F4-Inch+Iron+Conduit+Bender+Head&amp;qid=1695174173&amp;sr=8-2</v>
      </c>
      <c r="F3192" t="s">
        <v>6044</v>
      </c>
      <c r="G3192" t="e">
        <f ca="1">_xludf.IMAGE("https://edmondsonsupply.com/cdn/shop/products/51609.jpg?v=1661867147")</f>
        <v>#NAME?</v>
      </c>
      <c r="H3192" t="e">
        <f ca="1">_xludf.IMAGE("https://m.media-amazon.com/images/I/61jmGqozuVL._AC_UL320_.jpg")</f>
        <v>#NAME?</v>
      </c>
      <c r="I3192" t="s">
        <v>905</v>
      </c>
      <c r="J3192">
        <v>74.989999999999995</v>
      </c>
      <c r="K3192" s="4">
        <v>0.25</v>
      </c>
      <c r="L3192">
        <v>4.8</v>
      </c>
      <c r="M3192">
        <v>11</v>
      </c>
      <c r="O3192" t="s">
        <v>25</v>
      </c>
      <c r="P3192" t="s">
        <v>6967</v>
      </c>
      <c r="Q3192" t="s">
        <v>6968</v>
      </c>
    </row>
    <row r="3193" spans="1:17" ht="15.5" x14ac:dyDescent="0.35">
      <c r="A3193"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3193" s="3" t="str">
        <f>HYPERLINK("https://edmondsonsupply.com/products/klein-tools-51609-3-4-inch-iron-conduit-bender-head", "https://edmondsonsupply.com/products/klein-tools-51609-3-4-inch-iron-conduit-bender-head")</f>
        <v>https://edmondsonsupply.com/products/klein-tools-51609-3-4-inch-iron-conduit-bender-head</v>
      </c>
      <c r="C3193" t="s">
        <v>6966</v>
      </c>
      <c r="D3193" t="s">
        <v>6047</v>
      </c>
      <c r="E3193" s="3" t="str">
        <f>HYPERLINK("https://www.amazon.com/Conduit-Features-Klein-Tools-51604/dp/B08V8YVWH1/ref=sr_1_4?keywords=Klein+Tools+51609+3%2F4-Inch+Iron+Conduit+Bender+Head&amp;qid=1695174173&amp;sr=8-4", "https://www.amazon.com/Conduit-Features-Klein-Tools-51604/dp/B08V8YVWH1/ref=sr_1_4?keywords=Klein+Tools+51609+3%2F4-Inch+Iron+Conduit+Bender+Head&amp;qid=1695174173&amp;sr=8-4")</f>
        <v>https://www.amazon.com/Conduit-Features-Klein-Tools-51604/dp/B08V8YVWH1/ref=sr_1_4?keywords=Klein+Tools+51609+3%2F4-Inch+Iron+Conduit+Bender+Head&amp;qid=1695174173&amp;sr=8-4</v>
      </c>
      <c r="F3193" t="s">
        <v>6048</v>
      </c>
      <c r="G3193" t="e">
        <f ca="1">_xludf.IMAGE("https://edmondsonsupply.com/cdn/shop/products/51609.jpg?v=1661867147")</f>
        <v>#NAME?</v>
      </c>
      <c r="H3193" t="e">
        <f ca="1">_xludf.IMAGE("https://m.media-amazon.com/images/I/41DkDVmyczL._AC_UL320_.jpg")</f>
        <v>#NAME?</v>
      </c>
      <c r="I3193" t="s">
        <v>905</v>
      </c>
      <c r="J3193">
        <v>74.989999999999995</v>
      </c>
      <c r="K3193" s="4">
        <v>0.25</v>
      </c>
      <c r="L3193">
        <v>4.8</v>
      </c>
      <c r="M3193">
        <v>43</v>
      </c>
      <c r="O3193" t="s">
        <v>25</v>
      </c>
      <c r="P3193" t="s">
        <v>6967</v>
      </c>
      <c r="Q3193" t="s">
        <v>6968</v>
      </c>
    </row>
    <row r="3194" spans="1:17" ht="15.5" x14ac:dyDescent="0.35">
      <c r="A3194" s="3" t="str">
        <f>HYPERLINK("https://edmondsonsupply.com/collections/electricians-tools/products/klein-tools-63060-ratcheting-cable-cutter", "https://edmondsonsupply.com/collections/electricians-tools/products/klein-tools-63060-ratcheting-cable-cutter")</f>
        <v>https://edmondsonsupply.com/collections/electricians-tools/products/klein-tools-63060-ratcheting-cable-cutter</v>
      </c>
      <c r="B3194" s="3" t="str">
        <f>HYPERLINK("https://edmondsonsupply.com/products/klein-tools-63060-ratcheting-cable-cutter", "https://edmondsonsupply.com/products/klein-tools-63060-ratcheting-cable-cutter")</f>
        <v>https://edmondsonsupply.com/products/klein-tools-63060-ratcheting-cable-cutter</v>
      </c>
      <c r="C3194" t="s">
        <v>7427</v>
      </c>
      <c r="D3194" t="s">
        <v>7428</v>
      </c>
      <c r="E3194" s="3" t="str">
        <f>HYPERLINK("https://www.amazon.com/Klein-Tools-Ratcheting-Preparation-Stripper/dp/B0BD431C5B/ref=sr_1_2?keywords=Klein+Tools+63060+Ratcheting+Cable+Cutter&amp;qid=1695174295&amp;sr=8-2", "https://www.amazon.com/Klein-Tools-Ratcheting-Preparation-Stripper/dp/B0BD431C5B/ref=sr_1_2?keywords=Klein+Tools+63060+Ratcheting+Cable+Cutter&amp;qid=1695174295&amp;sr=8-2")</f>
        <v>https://www.amazon.com/Klein-Tools-Ratcheting-Preparation-Stripper/dp/B0BD431C5B/ref=sr_1_2?keywords=Klein+Tools+63060+Ratcheting+Cable+Cutter&amp;qid=1695174295&amp;sr=8-2</v>
      </c>
      <c r="F3194" t="s">
        <v>7429</v>
      </c>
      <c r="G3194" t="e">
        <f ca="1">_xludf.IMAGE("https://edmondsonsupply.com/cdn/shop/products/63060.jpg?v=1633030887")</f>
        <v>#NAME?</v>
      </c>
      <c r="H3194" t="e">
        <f ca="1">_xludf.IMAGE("https://m.media-amazon.com/images/I/518sX-KFIZL._AC_UL320_.jpg")</f>
        <v>#NAME?</v>
      </c>
      <c r="I3194" t="s">
        <v>400</v>
      </c>
      <c r="J3194">
        <v>249.96</v>
      </c>
      <c r="K3194" s="4">
        <v>0.24990000000000001</v>
      </c>
      <c r="L3194">
        <v>3.6</v>
      </c>
      <c r="M3194">
        <v>4</v>
      </c>
      <c r="O3194" t="s">
        <v>25</v>
      </c>
      <c r="P3194" t="s">
        <v>7430</v>
      </c>
      <c r="Q3194" t="s">
        <v>7431</v>
      </c>
    </row>
    <row r="3195" spans="1:17" ht="15.5" x14ac:dyDescent="0.35">
      <c r="A3195"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3195"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3195" t="s">
        <v>5880</v>
      </c>
      <c r="D3195" t="s">
        <v>5881</v>
      </c>
      <c r="E3195" s="3" t="str">
        <f>HYPERLINK("https://www.amazon.com/Diablo-SDS-Max-Carbide-Tipped-Core/dp/B089M8ST7R/ref=sr_1_5?keywords=Diablo+Tools+DMAMXCC5030+3-1%2F4+in.+x+7+in.+SDS-Max+Carbide+Tipped+Core+Bit&amp;qid=1695174010&amp;sr=8-5", "https://www.amazon.com/Diablo-SDS-Max-Carbide-Tipped-Core/dp/B089M8ST7R/ref=sr_1_5?keywords=Diablo+Tools+DMAMXCC5030+3-1%2F4+in.+x+7+in.+SDS-Max+Carbide+Tipped+Core+Bit&amp;qid=1695174010&amp;sr=8-5")</f>
        <v>https://www.amazon.com/Diablo-SDS-Max-Carbide-Tipped-Core/dp/B089M8ST7R/ref=sr_1_5?keywords=Diablo+Tools+DMAMXCC5030+3-1%2F4+in.+x+7+in.+SDS-Max+Carbide+Tipped+Core+Bit&amp;qid=1695174010&amp;sr=8-5</v>
      </c>
      <c r="F3195" t="s">
        <v>5882</v>
      </c>
      <c r="G3195" t="e">
        <f ca="1">_xludf.IMAGE("https://edmondsonsupply.com/cdn/shop/files/gtygiwnduxetozty2qne.webp?v=1686585332")</f>
        <v>#NAME?</v>
      </c>
      <c r="H3195" t="e">
        <f ca="1">_xludf.IMAGE("https://m.media-amazon.com/images/I/71bh3TRvqmL._AC_UL320_.jpg")</f>
        <v>#NAME?</v>
      </c>
      <c r="I3195" t="s">
        <v>5883</v>
      </c>
      <c r="J3195">
        <v>157.44</v>
      </c>
      <c r="K3195" s="4">
        <v>0.24959999999999999</v>
      </c>
      <c r="L3195">
        <v>4.7</v>
      </c>
      <c r="M3195">
        <v>8</v>
      </c>
      <c r="O3195" t="s">
        <v>25</v>
      </c>
      <c r="P3195" t="s">
        <v>5884</v>
      </c>
      <c r="Q3195" t="s">
        <v>5885</v>
      </c>
    </row>
    <row r="3196" spans="1:17" ht="15.5" x14ac:dyDescent="0.35">
      <c r="A3196"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3196" s="3" t="str">
        <f>HYPERLINK("https://edmondsonsupply.com/products/klein-tools-60511-heavy-duty-knee-pad-sleeves-m-l", "https://edmondsonsupply.com/products/klein-tools-60511-heavy-duty-knee-pad-sleeves-m-l")</f>
        <v>https://edmondsonsupply.com/products/klein-tools-60511-heavy-duty-knee-pad-sleeves-m-l</v>
      </c>
      <c r="C3196" t="s">
        <v>1024</v>
      </c>
      <c r="D3196" t="s">
        <v>909</v>
      </c>
      <c r="E3196" s="3" t="str">
        <f>HYPERLINK("https://www.amazon.com/Klein-Tools-60491-Protective-Quick-Fasten/dp/B0BHXBMBHP/ref=sr_1_5?keywords=Klein+Tools+60511+Heavy+Duty+Knee+Pad+Sleeves%2C+M%2FL&amp;qid=1695174162&amp;sr=8-5", "https://www.amazon.com/Klein-Tools-60491-Protective-Quick-Fasten/dp/B0BHXBMBHP/ref=sr_1_5?keywords=Klein+Tools+60511+Heavy+Duty+Knee+Pad+Sleeves%2C+M%2FL&amp;qid=1695174162&amp;sr=8-5")</f>
        <v>https://www.amazon.com/Klein-Tools-60491-Protective-Quick-Fasten/dp/B0BHXBMBHP/ref=sr_1_5?keywords=Klein+Tools+60511+Heavy+Duty+Knee+Pad+Sleeves%2C+M%2FL&amp;qid=1695174162&amp;sr=8-5</v>
      </c>
      <c r="F3196" t="s">
        <v>910</v>
      </c>
      <c r="G3196" t="e">
        <f ca="1">_xludf.IMAGE("https://edmondsonsupply.com/cdn/shop/products/60511_60611_b.jpg?v=1663253024")</f>
        <v>#NAME?</v>
      </c>
      <c r="H3196" t="e">
        <f ca="1">_xludf.IMAGE("https://m.media-amazon.com/images/I/718i4PDcjnL._AC_UL320_.jpg")</f>
        <v>#NAME?</v>
      </c>
      <c r="I3196" t="s">
        <v>198</v>
      </c>
      <c r="J3196">
        <v>49.97</v>
      </c>
      <c r="K3196" s="4">
        <v>0.24959999999999999</v>
      </c>
      <c r="L3196">
        <v>4.4000000000000004</v>
      </c>
      <c r="M3196">
        <v>289</v>
      </c>
      <c r="O3196" t="s">
        <v>25</v>
      </c>
      <c r="P3196" t="s">
        <v>1027</v>
      </c>
      <c r="Q3196" t="s">
        <v>1028</v>
      </c>
    </row>
    <row r="3197" spans="1:17" ht="15.5" x14ac:dyDescent="0.35">
      <c r="A3197"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3197" s="3" t="str">
        <f>HYPERLINK("https://edmondsonsupply.com/products/klein-tools-60615-heavy-duty-knee-pad-sleeves-s-m", "https://edmondsonsupply.com/products/klein-tools-60615-heavy-duty-knee-pad-sleeves-s-m")</f>
        <v>https://edmondsonsupply.com/products/klein-tools-60615-heavy-duty-knee-pad-sleeves-s-m</v>
      </c>
      <c r="C3197" t="s">
        <v>1029</v>
      </c>
      <c r="D3197" t="s">
        <v>909</v>
      </c>
      <c r="E3197" s="3" t="str">
        <f>HYPERLINK("https://www.amazon.com/Klein-Tools-60491-Protective-Quick-Fasten/dp/B0BHXBMBHP/ref=sr_1_4?keywords=Klein+Tools+60615+Heavy+Duty+Knee+Pad+Sleeves%2C+S%2FM&amp;qid=1695174031&amp;sr=8-4", "https://www.amazon.com/Klein-Tools-60491-Protective-Quick-Fasten/dp/B0BHXBMBHP/ref=sr_1_4?keywords=Klein+Tools+60615+Heavy+Duty+Knee+Pad+Sleeves%2C+S%2FM&amp;qid=1695174031&amp;sr=8-4")</f>
        <v>https://www.amazon.com/Klein-Tools-60491-Protective-Quick-Fasten/dp/B0BHXBMBHP/ref=sr_1_4?keywords=Klein+Tools+60615+Heavy+Duty+Knee+Pad+Sleeves%2C+S%2FM&amp;qid=1695174031&amp;sr=8-4</v>
      </c>
      <c r="F3197" t="s">
        <v>910</v>
      </c>
      <c r="G3197" t="e">
        <f ca="1">_xludf.IMAGE("https://edmondsonsupply.com/cdn/shop/products/60511_60611_b_f68c12ff-69e9-4ee5-9cc0-02cf7484e091.jpg?v=1681743847")</f>
        <v>#NAME?</v>
      </c>
      <c r="H3197" t="e">
        <f ca="1">_xludf.IMAGE("https://m.media-amazon.com/images/I/718i4PDcjnL._AC_UL320_.jpg")</f>
        <v>#NAME?</v>
      </c>
      <c r="I3197" t="s">
        <v>198</v>
      </c>
      <c r="J3197">
        <v>49.97</v>
      </c>
      <c r="K3197" s="4">
        <v>0.24959999999999999</v>
      </c>
      <c r="L3197">
        <v>4.4000000000000004</v>
      </c>
      <c r="M3197">
        <v>289</v>
      </c>
      <c r="O3197" t="s">
        <v>25</v>
      </c>
      <c r="P3197" t="s">
        <v>1027</v>
      </c>
      <c r="Q3197" t="s">
        <v>1030</v>
      </c>
    </row>
    <row r="3198" spans="1:17" ht="15.5" x14ac:dyDescent="0.35">
      <c r="A3198" s="3" t="str">
        <f>HYPERLINK("https://edmondsonsupply.com/collections/electricians-tools/products/klein-tools-9125-tape-measure-25-foot-single-hook", "https://edmondsonsupply.com/collections/electricians-tools/products/klein-tools-9125-tape-measure-25-foot-single-hook")</f>
        <v>https://edmondsonsupply.com/collections/electricians-tools/products/klein-tools-9125-tape-measure-25-foot-single-hook</v>
      </c>
      <c r="B3198" s="3" t="str">
        <f>HYPERLINK("https://edmondsonsupply.com/products/klein-tools-9125-tape-measure-25-foot-single-hook", "https://edmondsonsupply.com/products/klein-tools-9125-tape-measure-25-foot-single-hook")</f>
        <v>https://edmondsonsupply.com/products/klein-tools-9125-tape-measure-25-foot-single-hook</v>
      </c>
      <c r="C3198" t="s">
        <v>5993</v>
      </c>
      <c r="D3198" t="s">
        <v>5380</v>
      </c>
      <c r="E3198" s="3" t="str">
        <f>HYPERLINK("https://www.amazon.com/Klein-Tools-Measure-Magnetic-Double-Hook/dp/B07WF9TKNN/ref=sr_1_4?keywords=Klein+Tools+9125+Tape+Measure%2C+25-Foot+Single-Hook&amp;qid=1695174185&amp;sr=8-4", "https://www.amazon.com/Klein-Tools-Measure-Magnetic-Double-Hook/dp/B07WF9TKNN/ref=sr_1_4?keywords=Klein+Tools+9125+Tape+Measure%2C+25-Foot+Single-Hook&amp;qid=1695174185&amp;sr=8-4")</f>
        <v>https://www.amazon.com/Klein-Tools-Measure-Magnetic-Double-Hook/dp/B07WF9TKNN/ref=sr_1_4?keywords=Klein+Tools+9125+Tape+Measure%2C+25-Foot+Single-Hook&amp;qid=1695174185&amp;sr=8-4</v>
      </c>
      <c r="F3198" t="s">
        <v>5381</v>
      </c>
      <c r="G3198" t="e">
        <f ca="1">_xludf.IMAGE("https://edmondsonsupply.com/cdn/shop/products/9125.jpg?v=1587148575")</f>
        <v>#NAME?</v>
      </c>
      <c r="H3198" t="e">
        <f ca="1">_xludf.IMAGE("https://m.media-amazon.com/images/I/51-QFLUv4EL._AC_UL320_.jpg")</f>
        <v>#NAME?</v>
      </c>
      <c r="I3198" t="s">
        <v>577</v>
      </c>
      <c r="J3198">
        <v>24.97</v>
      </c>
      <c r="K3198" s="4">
        <v>0.24909999999999999</v>
      </c>
      <c r="L3198">
        <v>4.5999999999999996</v>
      </c>
      <c r="M3198">
        <v>1948</v>
      </c>
      <c r="O3198" t="s">
        <v>25</v>
      </c>
      <c r="P3198" t="s">
        <v>894</v>
      </c>
      <c r="Q3198" t="s">
        <v>5996</v>
      </c>
    </row>
    <row r="3199" spans="1:17" ht="15.5" x14ac:dyDescent="0.35">
      <c r="A3199"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3199" s="3" t="str">
        <f>HYPERLINK("https://edmondsonsupply.com/products/klein-tools-646-5-16-5-16-inch-nut-driver-6-inch-hollow-shaft", "https://edmondsonsupply.com/products/klein-tools-646-5-16-5-16-inch-nut-driver-6-inch-hollow-shaft")</f>
        <v>https://edmondsonsupply.com/products/klein-tools-646-5-16-5-16-inch-nut-driver-6-inch-hollow-shaft</v>
      </c>
      <c r="C3199" t="s">
        <v>1893</v>
      </c>
      <c r="D3199" t="s">
        <v>3747</v>
      </c>
      <c r="E3199" s="3" t="str">
        <f>HYPERLINK("https://www.amazon.com/Magnetic-Klein-Tools-630-5-16M/dp/B000LEX58E/ref=sr_1_9?keywords=Klein+Tools+646-5%2F16+5%2F16-Inch+Nut+Driver%2C+6-Inch+Hollow+Shaft&amp;qid=1695173904&amp;sr=8-9", "https://www.amazon.com/Magnetic-Klein-Tools-630-5-16M/dp/B000LEX58E/ref=sr_1_9?keywords=Klein+Tools+646-5%2F16+5%2F16-Inch+Nut+Driver%2C+6-Inch+Hollow+Shaft&amp;qid=1695173904&amp;sr=8-9")</f>
        <v>https://www.amazon.com/Magnetic-Klein-Tools-630-5-16M/dp/B000LEX58E/ref=sr_1_9?keywords=Klein+Tools+646-5%2F16+5%2F16-Inch+Nut+Driver%2C+6-Inch+Hollow+Shaft&amp;qid=1695173904&amp;sr=8-9</v>
      </c>
      <c r="F3199" t="s">
        <v>3748</v>
      </c>
      <c r="G3199" t="e">
        <f ca="1">_xludf.IMAGE("https://edmondsonsupply.com/cdn/shop/products/646-1-2_e1540905-f750-4509-90c5-74ff653e4d83.jpg?v=1587145119")</f>
        <v>#NAME?</v>
      </c>
      <c r="H3199" t="e">
        <f ca="1">_xludf.IMAGE("https://m.media-amazon.com/images/I/515W26xlnhL._AC_UL320_.jpg")</f>
        <v>#NAME?</v>
      </c>
      <c r="I3199" t="s">
        <v>1003</v>
      </c>
      <c r="J3199">
        <v>9.9700000000000006</v>
      </c>
      <c r="K3199" s="4">
        <v>0.24779999999999999</v>
      </c>
      <c r="L3199">
        <v>4.7</v>
      </c>
      <c r="M3199">
        <v>1574</v>
      </c>
      <c r="O3199" t="s">
        <v>25</v>
      </c>
      <c r="P3199" t="s">
        <v>1481</v>
      </c>
      <c r="Q3199" t="s">
        <v>1896</v>
      </c>
    </row>
    <row r="3200" spans="1:17" ht="15.5" x14ac:dyDescent="0.35">
      <c r="A3200"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3200" s="3" t="str">
        <f>HYPERLINK("https://edmondsonsupply.com/products/klein-tools-s10-5-16-inch-nut-driver-3-inch-hollow-shaft", "https://edmondsonsupply.com/products/klein-tools-s10-5-16-inch-nut-driver-3-inch-hollow-shaft")</f>
        <v>https://edmondsonsupply.com/products/klein-tools-s10-5-16-inch-nut-driver-3-inch-hollow-shaft</v>
      </c>
      <c r="C3200" t="s">
        <v>7432</v>
      </c>
      <c r="D3200" t="s">
        <v>3747</v>
      </c>
      <c r="E3200" s="3" t="str">
        <f>HYPERLINK("https://www.amazon.com/Magnetic-Klein-Tools-630-5-16M/dp/B000LEX58E/ref=sr_1_2?keywords=Klein+Tools+S10+5%2F16-Inch+Nut+Driver+3-Inch+Hollow+Shaft&amp;qid=1695174298&amp;sr=8-2", "https://www.amazon.com/Magnetic-Klein-Tools-630-5-16M/dp/B000LEX58E/ref=sr_1_2?keywords=Klein+Tools+S10+5%2F16-Inch+Nut+Driver+3-Inch+Hollow+Shaft&amp;qid=1695174298&amp;sr=8-2")</f>
        <v>https://www.amazon.com/Magnetic-Klein-Tools-630-5-16M/dp/B000LEX58E/ref=sr_1_2?keywords=Klein+Tools+S10+5%2F16-Inch+Nut+Driver+3-Inch+Hollow+Shaft&amp;qid=1695174298&amp;sr=8-2</v>
      </c>
      <c r="F3200" t="s">
        <v>3748</v>
      </c>
      <c r="G3200" t="e">
        <f ca="1">_xludf.IMAGE("https://edmondsonsupply.com/cdn/shop/products/s10_38acacb8-6c8e-49ef-8ed3-7160ab53875a.jpg?v=1633030893")</f>
        <v>#NAME?</v>
      </c>
      <c r="H3200" t="e">
        <f ca="1">_xludf.IMAGE("https://m.media-amazon.com/images/I/515W26xlnhL._AC_UL320_.jpg")</f>
        <v>#NAME?</v>
      </c>
      <c r="I3200" t="s">
        <v>1003</v>
      </c>
      <c r="J3200">
        <v>9.9700000000000006</v>
      </c>
      <c r="K3200" s="4">
        <v>0.24779999999999999</v>
      </c>
      <c r="L3200">
        <v>4.7</v>
      </c>
      <c r="M3200">
        <v>1574</v>
      </c>
      <c r="O3200" t="s">
        <v>25</v>
      </c>
      <c r="P3200" t="s">
        <v>7433</v>
      </c>
      <c r="Q3200" t="s">
        <v>7434</v>
      </c>
    </row>
    <row r="3201" spans="1:17" ht="15.5" x14ac:dyDescent="0.35">
      <c r="A3201"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3201" s="3" t="str">
        <f>HYPERLINK("https://edmondsonsupply.com/products/diablo-tools-dmapl2530-1-in-x-16-in-x-18-in-sds-plus-2-cutter", "https://edmondsonsupply.com/products/diablo-tools-dmapl2530-1-in-x-16-in-x-18-in-sds-plus-2-cutter")</f>
        <v>https://edmondsonsupply.com/products/diablo-tools-dmapl2530-1-in-x-16-in-x-18-in-sds-plus-2-cutter</v>
      </c>
      <c r="C3201" t="s">
        <v>7435</v>
      </c>
      <c r="D3201" t="s">
        <v>5388</v>
      </c>
      <c r="E3201" s="3" t="str">
        <f>HYPERLINK("https://www.amazon.com/Diablo-DMAPL4310-SDS-Plus-4-Cutter-Carbide/dp/B089KX2VKR/ref=sr_1_3?keywords=Diablo+Tools+DMAPL2530+1+in.+x+16+in.+x+18+in.+SDS-Plus+2-Cutter&amp;qid=1695174263&amp;sr=8-3", "https://www.amazon.com/Diablo-DMAPL4310-SDS-Plus-4-Cutter-Carbide/dp/B089KX2VKR/ref=sr_1_3?keywords=Diablo+Tools+DMAPL2530+1+in.+x+16+in.+x+18+in.+SDS-Plus+2-Cutter&amp;qid=1695174263&amp;sr=8-3")</f>
        <v>https://www.amazon.com/Diablo-DMAPL4310-SDS-Plus-4-Cutter-Carbide/dp/B089KX2VKR/ref=sr_1_3?keywords=Diablo+Tools+DMAPL2530+1+in.+x+16+in.+x+18+in.+SDS-Plus+2-Cutter&amp;qid=1695174263&amp;sr=8-3</v>
      </c>
      <c r="F3201" t="s">
        <v>5389</v>
      </c>
      <c r="G3201" t="e">
        <f ca="1">_xludf.IMAGE("https://edmondsonsupply.com/cdn/shop/products/DMAPL2530_Main-Image20200703.png?v=1627068300")</f>
        <v>#NAME?</v>
      </c>
      <c r="H3201" t="e">
        <f ca="1">_xludf.IMAGE("https://m.media-amazon.com/images/I/61iwxfqG2VL._AC_UL320_.jpg")</f>
        <v>#NAME?</v>
      </c>
      <c r="I3201" t="s">
        <v>7436</v>
      </c>
      <c r="J3201">
        <v>48.49</v>
      </c>
      <c r="K3201" s="4">
        <v>0.24429999999999999</v>
      </c>
      <c r="L3201">
        <v>4.5</v>
      </c>
      <c r="M3201">
        <v>32</v>
      </c>
      <c r="O3201" t="s">
        <v>25</v>
      </c>
      <c r="P3201" t="s">
        <v>7437</v>
      </c>
      <c r="Q3201" t="s">
        <v>7438</v>
      </c>
    </row>
    <row r="3202" spans="1:17" ht="15.5" x14ac:dyDescent="0.35">
      <c r="A3202"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3202" s="3" t="str">
        <f>HYPERLINK("https://edmondsonsupply.com/products/klein-tools-mm400-digital-multimeter-auto-ranging-600v", "https://edmondsonsupply.com/products/klein-tools-mm400-digital-multimeter-auto-ranging-600v")</f>
        <v>https://edmondsonsupply.com/products/klein-tools-mm400-digital-multimeter-auto-ranging-600v</v>
      </c>
      <c r="C3202" t="s">
        <v>3356</v>
      </c>
      <c r="D3202" t="s">
        <v>3762</v>
      </c>
      <c r="E3202" s="3" t="str">
        <f>HYPERLINK("https://www.amazon.com/Klein-Tools-Multimeter-Receptacle-Electrical/dp/B09Y7XWBDN/ref=sr_1_3?keywords=Klein+Tools+MM400+Digital+Multimeter%2C+Auto-Ranging%2C+600V&amp;qid=1695173884&amp;sr=8-3", "https://www.amazon.com/Klein-Tools-Multimeter-Receptacle-Electrical/dp/B09Y7XWBDN/ref=sr_1_3?keywords=Klein+Tools+MM400+Digital+Multimeter%2C+Auto-Ranging%2C+600V&amp;qid=1695173884&amp;sr=8-3")</f>
        <v>https://www.amazon.com/Klein-Tools-Multimeter-Receptacle-Electrical/dp/B09Y7XWBDN/ref=sr_1_3?keywords=Klein+Tools+MM400+Digital+Multimeter%2C+Auto-Ranging%2C+600V&amp;qid=1695173884&amp;sr=8-3</v>
      </c>
      <c r="F3202" t="s">
        <v>3763</v>
      </c>
      <c r="G3202" t="e">
        <f ca="1">_xludf.IMAGE("https://edmondsonsupply.com/cdn/shop/products/mm400_alt1.jpg?v=1633030778")</f>
        <v>#NAME?</v>
      </c>
      <c r="H3202" t="e">
        <f ca="1">_xludf.IMAGE("https://m.media-amazon.com/images/I/513dpkrUdRL._AC_UL320_.jpg")</f>
        <v>#NAME?</v>
      </c>
      <c r="I3202" t="s">
        <v>3359</v>
      </c>
      <c r="J3202">
        <v>68.33</v>
      </c>
      <c r="K3202" s="4">
        <v>0.24299999999999999</v>
      </c>
      <c r="L3202">
        <v>3.7</v>
      </c>
      <c r="M3202">
        <v>3</v>
      </c>
      <c r="O3202" t="s">
        <v>25</v>
      </c>
      <c r="P3202" t="s">
        <v>3360</v>
      </c>
      <c r="Q3202" t="s">
        <v>3361</v>
      </c>
    </row>
    <row r="3203" spans="1:17" ht="15.5" x14ac:dyDescent="0.35">
      <c r="A3203"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3203"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3203" t="s">
        <v>6870</v>
      </c>
      <c r="D3203" t="s">
        <v>2386</v>
      </c>
      <c r="E3203" s="3" t="str">
        <f>HYPERLINK("https://www.amazon.com/Journeyman-T-Handle-Klein-Tools-JTH6E13BE/dp/B004QW52YW/ref=sr_1_4?keywords=Klein+Tools+JTH6E14BE+5%2F16-Inch+Ball+End+Hex+Key+with+T-Handle%2C+6-Inch&amp;qid=1695174246&amp;sr=8-4", "https://www.amazon.com/Journeyman-T-Handle-Klein-Tools-JTH6E13BE/dp/B004QW52YW/ref=sr_1_4?keywords=Klein+Tools+JTH6E14BE+5%2F16-Inch+Ball+End+Hex+Key+with+T-Handle%2C+6-Inch&amp;qid=1695174246&amp;sr=8-4")</f>
        <v>https://www.amazon.com/Journeyman-T-Handle-Klein-Tools-JTH6E13BE/dp/B004QW52YW/ref=sr_1_4?keywords=Klein+Tools+JTH6E14BE+5%2F16-Inch+Ball+End+Hex+Key+with+T-Handle%2C+6-Inch&amp;qid=1695174246&amp;sr=8-4</v>
      </c>
      <c r="F3203" t="s">
        <v>2387</v>
      </c>
      <c r="G3203" t="e">
        <f ca="1">_xludf.IMAGE("https://edmondsonsupply.com/cdn/shop/products/jth6e13be_0da4cca6-ce15-419c-bc75-cd610bd9637f.jpg?v=1629825198")</f>
        <v>#NAME?</v>
      </c>
      <c r="H3203" t="e">
        <f ca="1">_xludf.IMAGE("https://m.media-amazon.com/images/I/51f9vBFVXgL._AC_UL320_.jpg")</f>
        <v>#NAME?</v>
      </c>
      <c r="I3203" t="s">
        <v>6394</v>
      </c>
      <c r="J3203">
        <v>10.55</v>
      </c>
      <c r="K3203" s="4">
        <v>0.24260000000000001</v>
      </c>
      <c r="L3203">
        <v>4.7</v>
      </c>
      <c r="M3203">
        <v>32</v>
      </c>
      <c r="O3203" t="s">
        <v>25</v>
      </c>
      <c r="P3203" t="s">
        <v>6871</v>
      </c>
      <c r="Q3203" t="s">
        <v>6872</v>
      </c>
    </row>
    <row r="3204" spans="1:17" ht="15.5" x14ac:dyDescent="0.35">
      <c r="A3204" s="3" t="str">
        <f>HYPERLINK("https://edmondsonsupply.com/collections/electricians-tools/products/klein-tools-jth9m6-6-mm-hex-key-journeyman%E2%84%A2-t-handle-9-inch", "https://edmondsonsupply.com/collections/electricians-tools/products/klein-tools-jth9m6-6-mm-hex-key-journeyman%E2%84%A2-t-handle-9-inch")</f>
        <v>https://edmondsonsupply.com/collections/electricians-tools/products/klein-tools-jth9m6-6-mm-hex-key-journeyman%E2%84%A2-t-handle-9-inch</v>
      </c>
      <c r="B3204" s="3" t="str">
        <f>HYPERLINK("https://edmondsonsupply.com/products/klein-tools-jth9m6-6-mm-hex-key-journeyman%e2%84%a2-t-handle-9-inch", "https://edmondsonsupply.com/products/klein-tools-jth9m6-6-mm-hex-key-journeyman%e2%84%a2-t-handle-9-inch")</f>
        <v>https://edmondsonsupply.com/products/klein-tools-jth9m6-6-mm-hex-key-journeyman%e2%84%a2-t-handle-9-inch</v>
      </c>
      <c r="C3204" t="s">
        <v>6987</v>
      </c>
      <c r="D3204" t="s">
        <v>3163</v>
      </c>
      <c r="E3204" s="3" t="str">
        <f>HYPERLINK("https://www.amazon.com/Journeyman-T-Handle-Klein-Tools-JTH9E14/dp/B004QVAH4I/ref=sr_1_5?keywords=Klein+Tools+JTH9M6+6+mm+Hex+Key%2C+Journeyman%E2%84%A2+T-Handle%2C+9-Inch&amp;qid=1695174139&amp;sr=8-5", "https://www.amazon.com/Journeyman-T-Handle-Klein-Tools-JTH9E14/dp/B004QVAH4I/ref=sr_1_5?keywords=Klein+Tools+JTH9M6+6+mm+Hex+Key%2C+Journeyman%E2%84%A2+T-Handle%2C+9-Inch&amp;qid=1695174139&amp;sr=8-5")</f>
        <v>https://www.amazon.com/Journeyman-T-Handle-Klein-Tools-JTH9E14/dp/B004QVAH4I/ref=sr_1_5?keywords=Klein+Tools+JTH9M6+6+mm+Hex+Key%2C+Journeyman%E2%84%A2+T-Handle%2C+9-Inch&amp;qid=1695174139&amp;sr=8-5</v>
      </c>
      <c r="F3204" t="s">
        <v>3164</v>
      </c>
      <c r="G3204" t="e">
        <f ca="1">_xludf.IMAGE("https://edmondsonsupply.com/cdn/shop/products/jth6m8_8e3ac188-6806-4676-8198-2058bbbd4836.jpg?v=1664891890")</f>
        <v>#NAME?</v>
      </c>
      <c r="H3204" t="e">
        <f ca="1">_xludf.IMAGE("https://m.media-amazon.com/images/I/51Yb8h41vLL._AC_UL320_.jpg")</f>
        <v>#NAME?</v>
      </c>
      <c r="I3204" t="s">
        <v>2639</v>
      </c>
      <c r="J3204">
        <v>7.44</v>
      </c>
      <c r="K3204" s="4">
        <v>0.24210000000000001</v>
      </c>
      <c r="L3204">
        <v>4.8</v>
      </c>
      <c r="M3204">
        <v>114</v>
      </c>
      <c r="O3204" t="s">
        <v>25</v>
      </c>
      <c r="P3204" t="s">
        <v>6988</v>
      </c>
      <c r="Q3204" t="s">
        <v>6989</v>
      </c>
    </row>
    <row r="3205" spans="1:17" ht="15.5" x14ac:dyDescent="0.35">
      <c r="A3205"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3205"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3205" t="s">
        <v>6889</v>
      </c>
      <c r="D3205" t="s">
        <v>3163</v>
      </c>
      <c r="E3205" s="3" t="str">
        <f>HYPERLINK("https://www.amazon.com/Journeyman-T-Handle-Klein-Tools-JTH9E14/dp/B004QVAH4I/ref=sr_1_4?keywords=Klein+Tools+JTH4E13+1%2F4-Inch+Hex+Key%2C+Journeyman%E2%84%A2+T-Handle%2C+4-Inch&amp;qid=1695174202&amp;sr=8-4", "https://www.amazon.com/Journeyman-T-Handle-Klein-Tools-JTH9E14/dp/B004QVAH4I/ref=sr_1_4?keywords=Klein+Tools+JTH4E13+1%2F4-Inch+Hex+Key%2C+Journeyman%E2%84%A2+T-Handle%2C+4-Inch&amp;qid=1695174202&amp;sr=8-4")</f>
        <v>https://www.amazon.com/Journeyman-T-Handle-Klein-Tools-JTH9E14/dp/B004QVAH4I/ref=sr_1_4?keywords=Klein+Tools+JTH4E13+1%2F4-Inch+Hex+Key%2C+Journeyman%E2%84%A2+T-Handle%2C+4-Inch&amp;qid=1695174202&amp;sr=8-4</v>
      </c>
      <c r="F3205" t="s">
        <v>3164</v>
      </c>
      <c r="G3205" t="e">
        <f ca="1">_xludf.IMAGE("https://edmondsonsupply.com/cdn/shop/products/jth4e13.jpg?v=1660919816")</f>
        <v>#NAME?</v>
      </c>
      <c r="H3205" t="e">
        <f ca="1">_xludf.IMAGE("https://m.media-amazon.com/images/I/51Yb8h41vLL._AC_UL320_.jpg")</f>
        <v>#NAME?</v>
      </c>
      <c r="I3205" t="s">
        <v>2639</v>
      </c>
      <c r="J3205">
        <v>7.44</v>
      </c>
      <c r="K3205" s="4">
        <v>0.24210000000000001</v>
      </c>
      <c r="L3205">
        <v>4.8</v>
      </c>
      <c r="M3205">
        <v>114</v>
      </c>
      <c r="O3205" t="s">
        <v>25</v>
      </c>
      <c r="P3205" t="s">
        <v>6890</v>
      </c>
      <c r="Q3205" t="s">
        <v>6891</v>
      </c>
    </row>
    <row r="3206" spans="1:17" ht="15.5" x14ac:dyDescent="0.35">
      <c r="A3206" s="3" t="str">
        <f>HYPERLINK("https://edmondsonsupply.com/collections/electricians-tools/products/reed-mfg-r12dn-1-1-2-r12-segmental-dies-1-1-2-npt", "https://edmondsonsupply.com/collections/electricians-tools/products/reed-mfg-r12dn-1-1-2-r12-segmental-dies-1-1-2-npt")</f>
        <v>https://edmondsonsupply.com/collections/electricians-tools/products/reed-mfg-r12dn-1-1-2-r12-segmental-dies-1-1-2-npt</v>
      </c>
      <c r="B3206" s="3" t="str">
        <f>HYPERLINK("https://edmondsonsupply.com/products/reed-mfg-r12dn-1-1-2-r12-segmental-dies-1-1-2-npt", "https://edmondsonsupply.com/products/reed-mfg-r12dn-1-1-2-r12-segmental-dies-1-1-2-npt")</f>
        <v>https://edmondsonsupply.com/products/reed-mfg-r12dn-1-1-2-r12-segmental-dies-1-1-2-npt</v>
      </c>
      <c r="C3206" t="s">
        <v>7439</v>
      </c>
      <c r="D3206" t="s">
        <v>7136</v>
      </c>
      <c r="E3206" s="3" t="str">
        <f>HYPERLINK("https://www.amazon.com/Reed-Tool-R12DN-Segmental-1-Inch/dp/B001H4K78I/ref=sr_1_fkmr0_1?keywords=Reed+Mfg+R12DN+1+1%2F2+R12%2B+Segmental+Dies%2C+1-1%2F2%22+NPT&amp;qid=1695174266&amp;sr=8-1-fkmr0", "https://www.amazon.com/Reed-Tool-R12DN-Segmental-1-Inch/dp/B001H4K78I/ref=sr_1_fkmr0_1?keywords=Reed+Mfg+R12DN+1+1%2F2+R12%2B+Segmental+Dies%2C+1-1%2F2%22+NPT&amp;qid=1695174266&amp;sr=8-1-fkmr0")</f>
        <v>https://www.amazon.com/Reed-Tool-R12DN-Segmental-1-Inch/dp/B001H4K78I/ref=sr_1_fkmr0_1?keywords=Reed+Mfg+R12DN+1+1%2F2+R12%2B+Segmental+Dies%2C+1-1%2F2%22+NPT&amp;qid=1695174266&amp;sr=8-1-fkmr0</v>
      </c>
      <c r="F3206" t="s">
        <v>7137</v>
      </c>
      <c r="G3206" t="e">
        <f ca="1">_xludf.IMAGE("https://edmondsonsupply.com/cdn/shop/products/05608-R12DN3-4-dies-RGB_18be43bb-b5b6-4266-a027-2965d5bb2b0a.jpg?v=1633031014")</f>
        <v>#NAME?</v>
      </c>
      <c r="H3206" t="e">
        <f ca="1">_xludf.IMAGE("https://m.media-amazon.com/images/I/31dWFq4VtpL._AC_UY218_.jpg")</f>
        <v>#NAME?</v>
      </c>
      <c r="I3206" t="s">
        <v>5519</v>
      </c>
      <c r="J3206">
        <v>66.73</v>
      </c>
      <c r="K3206" s="4">
        <v>0.23669999999999999</v>
      </c>
      <c r="L3206">
        <v>5</v>
      </c>
      <c r="M3206">
        <v>1</v>
      </c>
      <c r="O3206" t="s">
        <v>25</v>
      </c>
      <c r="P3206" t="s">
        <v>7440</v>
      </c>
      <c r="Q3206" t="s">
        <v>7441</v>
      </c>
    </row>
    <row r="3207" spans="1:17" ht="15.5" x14ac:dyDescent="0.35">
      <c r="A3207" s="3" t="str">
        <f>HYPERLINK("https://edmondsonsupply.com/collections/electricians-tools/products/fluke-376", "https://edmondsonsupply.com/collections/electricians-tools/products/fluke-376")</f>
        <v>https://edmondsonsupply.com/collections/electricians-tools/products/fluke-376</v>
      </c>
      <c r="B3207" s="3" t="str">
        <f>HYPERLINK("https://edmondsonsupply.com/products/fluke-376", "https://edmondsonsupply.com/products/fluke-376")</f>
        <v>https://edmondsonsupply.com/products/fluke-376</v>
      </c>
      <c r="C3207" t="s">
        <v>3766</v>
      </c>
      <c r="D3207" t="s">
        <v>3767</v>
      </c>
      <c r="E3207" s="3" t="str">
        <f>HYPERLINK("https://www.amazon.com/Fluke-376-FC-NIST-Traceable-Calibration-Certificate/dp/B01CFXIMOU/ref=sr_1_1?keywords=Fluke+376+FC+Wireless+True-RMS+AC%2FDC+Clamp+Meter+with+iFlex&amp;qid=1695173895&amp;sr=8-1", "https://www.amazon.com/Fluke-376-FC-NIST-Traceable-Calibration-Certificate/dp/B01CFXIMOU/ref=sr_1_1?keywords=Fluke+376+FC+Wireless+True-RMS+AC%2FDC+Clamp+Meter+with+iFlex&amp;qid=1695173895&amp;sr=8-1")</f>
        <v>https://www.amazon.com/Fluke-376-FC-NIST-Traceable-Calibration-Certificate/dp/B01CFXIMOU/ref=sr_1_1?keywords=Fluke+376+FC+Wireless+True-RMS+AC%2FDC+Clamp+Meter+with+iFlex&amp;qid=1695173895&amp;sr=8-1</v>
      </c>
      <c r="F3207" t="s">
        <v>3768</v>
      </c>
      <c r="G3207" t="e">
        <f ca="1">_xludf.IMAGE("https://edmondsonsupply.com/cdn/shop/products/f-376fc-16a-1500x1000.jpg?v=1633030274")</f>
        <v>#NAME?</v>
      </c>
      <c r="H3207" t="e">
        <f ca="1">_xludf.IMAGE("https://m.media-amazon.com/images/I/81SZ2OCx2VL._AC_UY218_.jpg")</f>
        <v>#NAME?</v>
      </c>
      <c r="I3207" t="s">
        <v>3769</v>
      </c>
      <c r="J3207">
        <v>659.99</v>
      </c>
      <c r="K3207" s="4">
        <v>0.23669999999999999</v>
      </c>
      <c r="L3207">
        <v>4.5999999999999996</v>
      </c>
      <c r="M3207">
        <v>21</v>
      </c>
      <c r="O3207" t="s">
        <v>25</v>
      </c>
      <c r="P3207" t="s">
        <v>3770</v>
      </c>
      <c r="Q3207" t="s">
        <v>3771</v>
      </c>
    </row>
    <row r="3208" spans="1:17" ht="15.5" x14ac:dyDescent="0.35">
      <c r="A3208"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3208" s="3" t="str">
        <f>HYPERLINK("https://edmondsonsupply.com/products/diablo-tools-d0740x-7-1-4-in-x-40-tooth-finish-saw-blade", "https://edmondsonsupply.com/products/diablo-tools-d0740x-7-1-4-in-x-40-tooth-finish-saw-blade")</f>
        <v>https://edmondsonsupply.com/products/diablo-tools-d0740x-7-1-4-in-x-40-tooth-finish-saw-blade</v>
      </c>
      <c r="C3208" t="s">
        <v>6112</v>
      </c>
      <c r="D3208" t="s">
        <v>7442</v>
      </c>
      <c r="E3208" s="3" t="str">
        <f>HYPERLINK("https://www.amazon.com/D0760A-Diablo-60-Tooth-Finishing-Circular/dp/B0062KI7BQ/ref=sr_1_2?keywords=Diablo+Tools+D0740X+7-1%2F4+in.+x+40+Tooth+Finish+Saw+Blade&amp;qid=1695174073&amp;sr=8-2", "https://www.amazon.com/D0760A-Diablo-60-Tooth-Finishing-Circular/dp/B0062KI7BQ/ref=sr_1_2?keywords=Diablo+Tools+D0740X+7-1%2F4+in.+x+40+Tooth+Finish+Saw+Blade&amp;qid=1695174073&amp;sr=8-2")</f>
        <v>https://www.amazon.com/D0760A-Diablo-60-Tooth-Finishing-Circular/dp/B0062KI7BQ/ref=sr_1_2?keywords=Diablo+Tools+D0740X+7-1%2F4+in.+x+40+Tooth+Finish+Saw+Blade&amp;qid=1695174073&amp;sr=8-2</v>
      </c>
      <c r="F3208" t="s">
        <v>7443</v>
      </c>
      <c r="G3208" t="e">
        <f ca="1">_xludf.IMAGE("https://edmondsonsupply.com/cdn/shop/products/kdrkrhhsfpivsggxnkhy.webp?v=1678975834")</f>
        <v>#NAME?</v>
      </c>
      <c r="H3208" t="e">
        <f ca="1">_xludf.IMAGE("https://m.media-amazon.com/images/I/71vYkbeqidL._AC_UL320_.jpg")</f>
        <v>#NAME?</v>
      </c>
      <c r="I3208" t="s">
        <v>2784</v>
      </c>
      <c r="J3208">
        <v>18.489999999999998</v>
      </c>
      <c r="K3208" s="4">
        <v>0.2351</v>
      </c>
      <c r="L3208">
        <v>4.8</v>
      </c>
      <c r="M3208">
        <v>2928</v>
      </c>
      <c r="O3208" t="s">
        <v>25</v>
      </c>
      <c r="P3208" t="s">
        <v>6115</v>
      </c>
      <c r="Q3208" t="s">
        <v>6116</v>
      </c>
    </row>
    <row r="3209" spans="1:17" ht="15.5" x14ac:dyDescent="0.35">
      <c r="A3209" s="3" t="str">
        <f>HYPERLINK("https://edmondsonsupply.com/collections/electricians-tools/products/klein-tools-jth6e07be-7-64-inch-ball-end-hex-key-journeyman%E2%84%A2-t-handle-6-inch", "https://edmondsonsupply.com/collections/electricians-tools/products/klein-tools-jth6e07be-7-64-inch-ball-end-hex-key-journeyman%E2%84%A2-t-handle-6-inch")</f>
        <v>https://edmondsonsupply.com/collections/electricians-tools/products/klein-tools-jth6e07be-7-64-inch-ball-end-hex-key-journeyman%E2%84%A2-t-handle-6-inch</v>
      </c>
      <c r="B3209" s="3" t="str">
        <f>HYPERLINK("https://edmondsonsupply.com/products/klein-tools-jth6e07be-7-64-inch-ball-end-hex-key-journeyman%e2%84%a2-t-handle-6-inch", "https://edmondsonsupply.com/products/klein-tools-jth6e07be-7-64-inch-ball-end-hex-key-journeyman%e2%84%a2-t-handle-6-inch")</f>
        <v>https://edmondsonsupply.com/products/klein-tools-jth6e07be-7-64-inch-ball-end-hex-key-journeyman%e2%84%a2-t-handle-6-inch</v>
      </c>
      <c r="C3209" t="s">
        <v>7166</v>
      </c>
      <c r="D3209" t="s">
        <v>7444</v>
      </c>
      <c r="E3209" s="3" t="str">
        <f>HYPERLINK("https://www.amazon.com/Journeyman-T-Handle-Klein-Tools-JTH6E12BE/dp/B004QW74L6/ref=sr_1_4?keywords=Klein+Tools+JTH6E07BE+7%2F64-Inch+Ball-End+Hex+Key%2C+Journeyman%E2%84%A2+T-Handle%2C+6-Inch&amp;qid=1695174129&amp;sr=8-4", "https://www.amazon.com/Journeyman-T-Handle-Klein-Tools-JTH6E12BE/dp/B004QW74L6/ref=sr_1_4?keywords=Klein+Tools+JTH6E07BE+7%2F64-Inch+Ball-End+Hex+Key%2C+Journeyman%E2%84%A2+T-Handle%2C+6-Inch&amp;qid=1695174129&amp;sr=8-4")</f>
        <v>https://www.amazon.com/Journeyman-T-Handle-Klein-Tools-JTH6E12BE/dp/B004QW74L6/ref=sr_1_4?keywords=Klein+Tools+JTH6E07BE+7%2F64-Inch+Ball-End+Hex+Key%2C+Journeyman%E2%84%A2+T-Handle%2C+6-Inch&amp;qid=1695174129&amp;sr=8-4</v>
      </c>
      <c r="F3209" t="s">
        <v>7445</v>
      </c>
      <c r="G3209" t="e">
        <f ca="1">_xludf.IMAGE("https://edmondsonsupply.com/cdn/shop/products/jth6e13be_1.jpg?v=1667224705")</f>
        <v>#NAME?</v>
      </c>
      <c r="H3209" t="e">
        <f ca="1">_xludf.IMAGE("https://m.media-amazon.com/images/I/51f9vBFVXgL._AC_UL320_.jpg")</f>
        <v>#NAME?</v>
      </c>
      <c r="I3209" t="s">
        <v>2388</v>
      </c>
      <c r="J3209">
        <v>6.15</v>
      </c>
      <c r="K3209" s="4">
        <v>0.23250000000000001</v>
      </c>
      <c r="L3209">
        <v>4.5</v>
      </c>
      <c r="M3209">
        <v>9</v>
      </c>
      <c r="O3209" t="s">
        <v>25</v>
      </c>
      <c r="P3209" t="s">
        <v>6356</v>
      </c>
      <c r="Q3209" t="s">
        <v>7169</v>
      </c>
    </row>
    <row r="3210" spans="1:17" ht="15.5" x14ac:dyDescent="0.35">
      <c r="A3210"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3210"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3210" t="s">
        <v>6674</v>
      </c>
      <c r="D3210" t="s">
        <v>2500</v>
      </c>
      <c r="E3210" s="3" t="str">
        <f>HYPERLINK("https://www.amazon.com/Journeyman-T-Handle-Klein-Tools-JTH9M6/dp/B005G3HJKU/ref=sr_1_10?keywords=Klein+Tools+JTH9M8+8+mm+Hex+Key%2C+Journeyman%E2%84%A2+T-Handle%2C+9-Inch&amp;qid=1695174169&amp;sr=8-10", "https://www.amazon.com/Journeyman-T-Handle-Klein-Tools-JTH9M6/dp/B005G3HJKU/ref=sr_1_10?keywords=Klein+Tools+JTH9M8+8+mm+Hex+Key%2C+Journeyman%E2%84%A2+T-Handle%2C+9-Inch&amp;qid=1695174169&amp;sr=8-10")</f>
        <v>https://www.amazon.com/Journeyman-T-Handle-Klein-Tools-JTH9M6/dp/B005G3HJKU/ref=sr_1_10?keywords=Klein+Tools+JTH9M8+8+mm+Hex+Key%2C+Journeyman%E2%84%A2+T-Handle%2C+9-Inch&amp;qid=1695174169&amp;sr=8-10</v>
      </c>
      <c r="F3210" t="s">
        <v>2501</v>
      </c>
      <c r="G3210" t="e">
        <f ca="1">_xludf.IMAGE("https://edmondsonsupply.com/cdn/shop/products/jth6m8_03ba3d30-ff38-4b9e-93e7-b0fc6da199d0.jpg?v=1662658324")</f>
        <v>#NAME?</v>
      </c>
      <c r="H3210" t="e">
        <f ca="1">_xludf.IMAGE("https://m.media-amazon.com/images/I/51+1x0vz9XL._AC_UL320_.jpg")</f>
        <v>#NAME?</v>
      </c>
      <c r="I3210" t="s">
        <v>1003</v>
      </c>
      <c r="J3210">
        <v>9.84</v>
      </c>
      <c r="K3210" s="4">
        <v>0.23150000000000001</v>
      </c>
      <c r="L3210">
        <v>4.7</v>
      </c>
      <c r="M3210">
        <v>123</v>
      </c>
      <c r="O3210" t="s">
        <v>25</v>
      </c>
      <c r="P3210" t="s">
        <v>1481</v>
      </c>
      <c r="Q3210" t="s">
        <v>6675</v>
      </c>
    </row>
    <row r="3211" spans="1:17" ht="15.5" x14ac:dyDescent="0.35">
      <c r="A3211"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3211" s="3" t="str">
        <f>HYPERLINK("https://edmondsonsupply.com/products/klein-tools-60161-professional-safety-glasses-clear-lens", "https://edmondsonsupply.com/products/klein-tools-60161-professional-safety-glasses-clear-lens")</f>
        <v>https://edmondsonsupply.com/products/klein-tools-60161-professional-safety-glasses-clear-lens</v>
      </c>
      <c r="C3211" t="s">
        <v>884</v>
      </c>
      <c r="D3211" t="s">
        <v>922</v>
      </c>
      <c r="E3211" s="3" t="str">
        <f>HYPERLINK("https://www.amazon.com/Klein-60161-Professional-Protective-Resistant/dp/B08B496F57/ref=sr_1_1?keywords=Klein+Tools+60161+Professional+Safety+Glasses%2C+Clear+Lens&amp;qid=1695174304&amp;sr=8-1", "https://www.amazon.com/Klein-60161-Professional-Protective-Resistant/dp/B08B496F57/ref=sr_1_1?keywords=Klein+Tools+60161+Professional+Safety+Glasses%2C+Clear+Lens&amp;qid=1695174304&amp;sr=8-1")</f>
        <v>https://www.amazon.com/Klein-60161-Professional-Protective-Resistant/dp/B08B496F57/ref=sr_1_1?keywords=Klein+Tools+60161+Professional+Safety+Glasses%2C+Clear+Lens&amp;qid=1695174304&amp;sr=8-1</v>
      </c>
      <c r="F3211" t="s">
        <v>923</v>
      </c>
      <c r="G3211" t="e">
        <f ca="1">_xludf.IMAGE("https://edmondsonsupply.com/cdn/shop/products/60161.jpg?v=1633030845")</f>
        <v>#NAME?</v>
      </c>
      <c r="H3211" t="e">
        <f ca="1">_xludf.IMAGE("https://m.media-amazon.com/images/I/515pVZPvJ0L._AC_UL320_.jpg")</f>
        <v>#NAME?</v>
      </c>
      <c r="I3211" t="s">
        <v>834</v>
      </c>
      <c r="J3211">
        <v>15.99</v>
      </c>
      <c r="K3211" s="4">
        <v>0.23089999999999999</v>
      </c>
      <c r="L3211">
        <v>4.4000000000000004</v>
      </c>
      <c r="M3211">
        <v>374</v>
      </c>
      <c r="O3211" t="s">
        <v>25</v>
      </c>
      <c r="P3211" t="s">
        <v>835</v>
      </c>
      <c r="Q3211" t="s">
        <v>885</v>
      </c>
    </row>
    <row r="3212" spans="1:17" ht="15.5" x14ac:dyDescent="0.35">
      <c r="A3212"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3212" s="3" t="str">
        <f>HYPERLINK("https://edmondsonsupply.com/products/klein-tools-60161-professional-safety-glasses-clear-lens", "https://edmondsonsupply.com/products/klein-tools-60161-professional-safety-glasses-clear-lens")</f>
        <v>https://edmondsonsupply.com/products/klein-tools-60161-professional-safety-glasses-clear-lens</v>
      </c>
      <c r="C3212" t="s">
        <v>884</v>
      </c>
      <c r="D3212" t="s">
        <v>927</v>
      </c>
      <c r="E3212" s="3" t="str">
        <f>HYPERLINK("https://www.amazon.com/Klein-60470-Protection-Anti-Fog-Resistant/dp/B0B69KPRPF/ref=sr_1_3?keywords=Klein+Tools+60161+Professional+Safety+Glasses%2C+Clear+Lens&amp;qid=1695174304&amp;sr=8-3", "https://www.amazon.com/Klein-60470-Protection-Anti-Fog-Resistant/dp/B0B69KPRPF/ref=sr_1_3?keywords=Klein+Tools+60161+Professional+Safety+Glasses%2C+Clear+Lens&amp;qid=1695174304&amp;sr=8-3")</f>
        <v>https://www.amazon.com/Klein-60470-Protection-Anti-Fog-Resistant/dp/B0B69KPRPF/ref=sr_1_3?keywords=Klein+Tools+60161+Professional+Safety+Glasses%2C+Clear+Lens&amp;qid=1695174304&amp;sr=8-3</v>
      </c>
      <c r="F3212" t="s">
        <v>928</v>
      </c>
      <c r="G3212" t="e">
        <f ca="1">_xludf.IMAGE("https://edmondsonsupply.com/cdn/shop/products/60161.jpg?v=1633030845")</f>
        <v>#NAME?</v>
      </c>
      <c r="H3212" t="e">
        <f ca="1">_xludf.IMAGE("https://m.media-amazon.com/images/I/51TkfiRMYgL._AC_UL320_.jpg")</f>
        <v>#NAME?</v>
      </c>
      <c r="I3212" t="s">
        <v>834</v>
      </c>
      <c r="J3212">
        <v>15.99</v>
      </c>
      <c r="K3212" s="4">
        <v>0.23089999999999999</v>
      </c>
      <c r="L3212">
        <v>4</v>
      </c>
      <c r="M3212">
        <v>29</v>
      </c>
      <c r="O3212" t="s">
        <v>25</v>
      </c>
      <c r="P3212" t="s">
        <v>835</v>
      </c>
      <c r="Q3212" t="s">
        <v>885</v>
      </c>
    </row>
    <row r="3213" spans="1:17" ht="15.5" x14ac:dyDescent="0.35">
      <c r="A3213"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3213" s="3" t="str">
        <f>HYPERLINK("https://edmondsonsupply.com/products/klein-tools-60162-professional-safety-glasses-gray-lens", "https://edmondsonsupply.com/products/klein-tools-60162-professional-safety-glasses-gray-lens")</f>
        <v>https://edmondsonsupply.com/products/klein-tools-60162-professional-safety-glasses-gray-lens</v>
      </c>
      <c r="C3213" t="s">
        <v>833</v>
      </c>
      <c r="D3213" t="s">
        <v>930</v>
      </c>
      <c r="E3213" s="3" t="str">
        <f>HYPERLINK("https://www.amazon.com/Klein-60471-Protection-Anti-Fog-Resistant/dp/B0B69LNT2Y/ref=sr_1_3?keywords=Klein+Tools+60162+Professional+Safety+Glasses%2C+Gray+Lens&amp;qid=1695174302&amp;sr=8-3", "https://www.amazon.com/Klein-60471-Protection-Anti-Fog-Resistant/dp/B0B69LNT2Y/ref=sr_1_3?keywords=Klein+Tools+60162+Professional+Safety+Glasses%2C+Gray+Lens&amp;qid=1695174302&amp;sr=8-3")</f>
        <v>https://www.amazon.com/Klein-60471-Protection-Anti-Fog-Resistant/dp/B0B69LNT2Y/ref=sr_1_3?keywords=Klein+Tools+60162+Professional+Safety+Glasses%2C+Gray+Lens&amp;qid=1695174302&amp;sr=8-3</v>
      </c>
      <c r="F3213" t="s">
        <v>931</v>
      </c>
      <c r="G3213" t="e">
        <f ca="1">_xludf.IMAGE("https://edmondsonsupply.com/cdn/shop/products/60162.jpg?v=1633030847")</f>
        <v>#NAME?</v>
      </c>
      <c r="H3213" t="e">
        <f ca="1">_xludf.IMAGE("https://m.media-amazon.com/images/I/51z-a2tdJlL._AC_UL320_.jpg")</f>
        <v>#NAME?</v>
      </c>
      <c r="I3213" t="s">
        <v>834</v>
      </c>
      <c r="J3213">
        <v>15.99</v>
      </c>
      <c r="K3213" s="4">
        <v>0.23089999999999999</v>
      </c>
      <c r="L3213">
        <v>4.3</v>
      </c>
      <c r="M3213">
        <v>56</v>
      </c>
      <c r="O3213" t="s">
        <v>25</v>
      </c>
      <c r="P3213" t="s">
        <v>835</v>
      </c>
      <c r="Q3213" t="s">
        <v>836</v>
      </c>
    </row>
    <row r="3214" spans="1:17" ht="15.5" x14ac:dyDescent="0.35">
      <c r="A3214" s="3" t="str">
        <f>HYPERLINK("https://edmondsonsupply.com/collections/electricians-tools/products/reed-mfg-arw48-48-heavy-duty-aluminum-straight-pipe-wrench", "https://edmondsonsupply.com/collections/electricians-tools/products/reed-mfg-arw48-48-heavy-duty-aluminum-straight-pipe-wrench")</f>
        <v>https://edmondsonsupply.com/collections/electricians-tools/products/reed-mfg-arw48-48-heavy-duty-aluminum-straight-pipe-wrench</v>
      </c>
      <c r="B3214" s="3" t="str">
        <f>HYPERLINK("https://edmondsonsupply.com/products/reed-mfg-arw48-48-heavy-duty-aluminum-straight-pipe-wrench", "https://edmondsonsupply.com/products/reed-mfg-arw48-48-heavy-duty-aluminum-straight-pipe-wrench")</f>
        <v>https://edmondsonsupply.com/products/reed-mfg-arw48-48-heavy-duty-aluminum-straight-pipe-wrench</v>
      </c>
      <c r="C3214" t="s">
        <v>7446</v>
      </c>
      <c r="D3214" t="s">
        <v>7447</v>
      </c>
      <c r="E3214" s="3" t="str">
        <f>HYPERLINK("https://www.amazon.com/Reed-Tool-ARW48-Aluminum-48-Inch/dp/B001H4K7II/ref=sr_1_1?keywords=Reed+Mfg+ARW48+48%22+Heavy-Duty+Aluminum+Straight+Pipe+Wrench&amp;qid=1695174024&amp;sr=8-1", "https://www.amazon.com/Reed-Tool-ARW48-Aluminum-48-Inch/dp/B001H4K7II/ref=sr_1_1?keywords=Reed+Mfg+ARW48+48%22+Heavy-Duty+Aluminum+Straight+Pipe+Wrench&amp;qid=1695174024&amp;sr=8-1")</f>
        <v>https://www.amazon.com/Reed-Tool-ARW48-Aluminum-48-Inch/dp/B001H4K7II/ref=sr_1_1?keywords=Reed+Mfg+ARW48+48%22+Heavy-Duty+Aluminum+Straight+Pipe+Wrench&amp;qid=1695174024&amp;sr=8-1</v>
      </c>
      <c r="F3214" t="s">
        <v>7448</v>
      </c>
      <c r="G3214" t="e">
        <f ca="1">_xludf.IMAGE("https://edmondsonsupply.com/cdn/shop/files/02102-ARW48-RGB.jpg?v=1684714319")</f>
        <v>#NAME?</v>
      </c>
      <c r="H3214" t="e">
        <f ca="1">_xludf.IMAGE("https://m.media-amazon.com/images/I/71ThQYdNTAL._AC_UL320_.jpg")</f>
        <v>#NAME?</v>
      </c>
      <c r="I3214" t="s">
        <v>7449</v>
      </c>
      <c r="J3214">
        <v>431.37</v>
      </c>
      <c r="K3214" s="4">
        <v>0.22839999999999999</v>
      </c>
      <c r="L3214">
        <v>4.8</v>
      </c>
      <c r="M3214">
        <v>10</v>
      </c>
      <c r="O3214" t="s">
        <v>25</v>
      </c>
      <c r="P3214" t="s">
        <v>7450</v>
      </c>
      <c r="Q3214" t="s">
        <v>7451</v>
      </c>
    </row>
    <row r="3215" spans="1:17" ht="15.5" x14ac:dyDescent="0.35">
      <c r="A3215" s="3" t="str">
        <f>HYPERLINK("https://edmondsonsupply.com/collections/electricians-tools/products/klein-tools-51427-conduit-bender-handle-for-1-2-inch-3-4-inch-heads", "https://edmondsonsupply.com/collections/electricians-tools/products/klein-tools-51427-conduit-bender-handle-for-1-2-inch-3-4-inch-heads")</f>
        <v>https://edmondsonsupply.com/collections/electricians-tools/products/klein-tools-51427-conduit-bender-handle-for-1-2-inch-3-4-inch-heads</v>
      </c>
      <c r="B3215" s="3" t="str">
        <f>HYPERLINK("https://edmondsonsupply.com/products/klein-tools-51427-conduit-bender-handle-for-1-2-inch-3-4-inch-heads", "https://edmondsonsupply.com/products/klein-tools-51427-conduit-bender-handle-for-1-2-inch-3-4-inch-heads")</f>
        <v>https://edmondsonsupply.com/products/klein-tools-51427-conduit-bender-handle-for-1-2-inch-3-4-inch-heads</v>
      </c>
      <c r="C3215" t="s">
        <v>7013</v>
      </c>
      <c r="D3215" t="s">
        <v>7452</v>
      </c>
      <c r="E3215" s="3" t="str">
        <f>HYPERLINK("https://www.amazon.com/Klein-Tools-51427-Conduit-Benders/dp/B002PDZKY6/ref=sr_1_1?keywords=Klein+Tools+51427+Conduit+Bender+Handle+for+1%2F2-Inch%2C+3%2F4-Inch+Heads&amp;qid=1695174154&amp;sr=8-1", "https://www.amazon.com/Klein-Tools-51427-Conduit-Benders/dp/B002PDZKY6/ref=sr_1_1?keywords=Klein+Tools+51427+Conduit+Bender+Handle+for+1%2F2-Inch%2C+3%2F4-Inch+Heads&amp;qid=1695174154&amp;sr=8-1")</f>
        <v>https://www.amazon.com/Klein-Tools-51427-Conduit-Benders/dp/B002PDZKY6/ref=sr_1_1?keywords=Klein+Tools+51427+Conduit+Bender+Handle+for+1%2F2-Inch%2C+3%2F4-Inch+Heads&amp;qid=1695174154&amp;sr=8-1</v>
      </c>
      <c r="F3215" t="s">
        <v>7453</v>
      </c>
      <c r="G3215" t="e">
        <f ca="1">_xludf.IMAGE("https://edmondsonsupply.com/cdn/shop/products/51429.jpg?v=1663694213")</f>
        <v>#NAME?</v>
      </c>
      <c r="H3215" t="e">
        <f ca="1">_xludf.IMAGE("https://m.media-amazon.com/images/I/31GJGeFqCRL._AC_UL320_.jpg")</f>
        <v>#NAME?</v>
      </c>
      <c r="I3215" t="s">
        <v>3207</v>
      </c>
      <c r="J3215">
        <v>34.340000000000003</v>
      </c>
      <c r="K3215" s="4">
        <v>0.22689999999999999</v>
      </c>
      <c r="L3215">
        <v>4.5</v>
      </c>
      <c r="M3215">
        <v>52</v>
      </c>
      <c r="O3215" t="s">
        <v>25</v>
      </c>
      <c r="P3215" t="s">
        <v>7014</v>
      </c>
      <c r="Q3215" t="s">
        <v>7015</v>
      </c>
    </row>
    <row r="3216" spans="1:17" ht="15.5" x14ac:dyDescent="0.35">
      <c r="A3216"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3216"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3216" t="s">
        <v>6995</v>
      </c>
      <c r="D3216" t="s">
        <v>4861</v>
      </c>
      <c r="E3216" s="3" t="str">
        <f>HYPERLINK("https://www.amazon.com/Klein-Tools-69355-Electrical-Test/dp/B09SVQQFZX/ref=sr_1_4?keywords=Klein+Tools+69149P+Test+Kit+with+Multimeter%2C+Non-Contact+Volt+Tester%2C+Receptacle+Tester&amp;qid=1695174288&amp;sr=8-4", "https://www.amazon.com/Klein-Tools-69355-Electrical-Test/dp/B09SVQQFZX/ref=sr_1_4?keywords=Klein+Tools+69149P+Test+Kit+with+Multimeter%2C+Non-Contact+Volt+Tester%2C+Receptacle+Tester&amp;qid=1695174288&amp;sr=8-4")</f>
        <v>https://www.amazon.com/Klein-Tools-69355-Electrical-Test/dp/B09SVQQFZX/ref=sr_1_4?keywords=Klein+Tools+69149P+Test+Kit+with+Multimeter%2C+Non-Contact+Volt+Tester%2C+Receptacle+Tester&amp;qid=1695174288&amp;sr=8-4</v>
      </c>
      <c r="F3216" t="s">
        <v>4862</v>
      </c>
      <c r="G3216" t="e">
        <f ca="1">_xludf.IMAGE("https://edmondsonsupply.com/cdn/shop/products/69149p.jpg?v=1664479017")</f>
        <v>#NAME?</v>
      </c>
      <c r="H3216" t="e">
        <f ca="1">_xludf.IMAGE("https://m.media-amazon.com/images/I/51heXSegywL._AC_UL320_.jpg")</f>
        <v>#NAME?</v>
      </c>
      <c r="I3216" t="s">
        <v>246</v>
      </c>
      <c r="J3216">
        <v>48.99</v>
      </c>
      <c r="K3216" s="4">
        <v>0.22570000000000001</v>
      </c>
      <c r="L3216">
        <v>4.7</v>
      </c>
      <c r="M3216">
        <v>406</v>
      </c>
      <c r="O3216" t="s">
        <v>25</v>
      </c>
      <c r="P3216" t="s">
        <v>6996</v>
      </c>
      <c r="Q3216" t="s">
        <v>6997</v>
      </c>
    </row>
    <row r="3217" spans="1:17" ht="15.5" x14ac:dyDescent="0.35">
      <c r="A3217" s="3" t="str">
        <f>HYPERLINK("https://edmondsonsupply.com/collections/electricians-tools/products/diablo-tools-dmamx1220", "https://edmondsonsupply.com/collections/electricians-tools/products/diablo-tools-dmamx1220")</f>
        <v>https://edmondsonsupply.com/collections/electricians-tools/products/diablo-tools-dmamx1220</v>
      </c>
      <c r="B3217" s="3" t="str">
        <f>HYPERLINK("https://edmondsonsupply.com/products/diablo-tools-dmamx1220", "https://edmondsonsupply.com/products/diablo-tools-dmamx1220")</f>
        <v>https://edmondsonsupply.com/products/diablo-tools-dmamx1220</v>
      </c>
      <c r="C3217" t="s">
        <v>7454</v>
      </c>
      <c r="D3217" t="s">
        <v>5202</v>
      </c>
      <c r="E3217" s="3" t="str">
        <f>HYPERLINK("https://www.amazon.com/Diablo-SDS-Max-4-Cutter-Carbide-Hammer/dp/B089LN5QN7/ref=sr_1_1?keywords=Diablo+Tools+DMAMX1220+1+in.+x+16+in.+x+21+in.+Rebar+Demon%E2%84%A2+SDS-Max+4-Cutter+Full+Carbide+Head+Hammer+Drill+Bit&amp;qid=1695174109&amp;sr=8-1", "https://www.amazon.com/Diablo-SDS-Max-4-Cutter-Carbide-Hammer/dp/B089LN5QN7/ref=sr_1_1?keywords=Diablo+Tools+DMAMX1220+1+in.+x+16+in.+x+21+in.+Rebar+Demon%E2%84%A2+SDS-Max+4-Cutter+Full+Carbide+Head+Hammer+Drill+Bit&amp;qid=1695174109&amp;sr=8-1")</f>
        <v>https://www.amazon.com/Diablo-SDS-Max-4-Cutter-Carbide-Hammer/dp/B089LN5QN7/ref=sr_1_1?keywords=Diablo+Tools+DMAMX1220+1+in.+x+16+in.+x+21+in.+Rebar+Demon%E2%84%A2+SDS-Max+4-Cutter+Full+Carbide+Head+Hammer+Drill+Bit&amp;qid=1695174109&amp;sr=8-1</v>
      </c>
      <c r="F3217" t="s">
        <v>5203</v>
      </c>
      <c r="G3217" t="e">
        <f ca="1">_xludf.IMAGE("https://edmondsonsupply.com/cdn/shop/products/immoyh7jjmbau4fzhuq6.webp?v=1670431066")</f>
        <v>#NAME?</v>
      </c>
      <c r="H3217" t="e">
        <f ca="1">_xludf.IMAGE("https://m.media-amazon.com/images/I/6182PTqKZGL._AC_UL320_.jpg")</f>
        <v>#NAME?</v>
      </c>
      <c r="I3217" t="s">
        <v>7455</v>
      </c>
      <c r="J3217">
        <v>55.99</v>
      </c>
      <c r="K3217" s="4">
        <v>0.22539999999999999</v>
      </c>
      <c r="L3217">
        <v>3.6</v>
      </c>
      <c r="M3217">
        <v>4</v>
      </c>
      <c r="O3217" t="s">
        <v>25</v>
      </c>
      <c r="P3217" t="s">
        <v>7456</v>
      </c>
      <c r="Q3217" t="s">
        <v>7457</v>
      </c>
    </row>
    <row r="3218" spans="1:17" ht="15.5" x14ac:dyDescent="0.35">
      <c r="A3218"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3218" s="3" t="str">
        <f>HYPERLINK("https://edmondsonsupply.com/products/klein-tools-jth6m10-10-mm-hex-key-journeyman-t-handle-6-inch", "https://edmondsonsupply.com/products/klein-tools-jth6m10-10-mm-hex-key-journeyman-t-handle-6-inch")</f>
        <v>https://edmondsonsupply.com/products/klein-tools-jth6m10-10-mm-hex-key-journeyman-t-handle-6-inch</v>
      </c>
      <c r="C3218" t="s">
        <v>6945</v>
      </c>
      <c r="D3218" t="s">
        <v>7458</v>
      </c>
      <c r="E3218" s="3" t="str">
        <f>HYPERLINK("https://www.amazon.com/Journeyman-T-Handle-Klein-Tools-JTH6M10BE/dp/B007FZ4F3G/ref=sr_1_3?keywords=Klein+Tools+JTH6M10+10+mm+Hex+Key+Journeyman+T-Handle+6-Inch&amp;qid=1695174255&amp;sr=8-3", "https://www.amazon.com/Journeyman-T-Handle-Klein-Tools-JTH6M10BE/dp/B007FZ4F3G/ref=sr_1_3?keywords=Klein+Tools+JTH6M10+10+mm+Hex+Key+Journeyman+T-Handle+6-Inch&amp;qid=1695174255&amp;sr=8-3")</f>
        <v>https://www.amazon.com/Journeyman-T-Handle-Klein-Tools-JTH6M10BE/dp/B007FZ4F3G/ref=sr_1_3?keywords=Klein+Tools+JTH6M10+10+mm+Hex+Key+Journeyman+T-Handle+6-Inch&amp;qid=1695174255&amp;sr=8-3</v>
      </c>
      <c r="F3218" t="s">
        <v>7459</v>
      </c>
      <c r="G3218" t="e">
        <f ca="1">_xludf.IMAGE("https://edmondsonsupply.com/cdn/shop/products/jth6m8_64c2c8d3-e13e-4b81-9b34-745be7fd837a.jpg?v=1627827117")</f>
        <v>#NAME?</v>
      </c>
      <c r="H3218" t="e">
        <f ca="1">_xludf.IMAGE("https://m.media-amazon.com/images/I/51huXA+ij8L._AC_UL320_.jpg")</f>
        <v>#NAME?</v>
      </c>
      <c r="I3218" t="s">
        <v>924</v>
      </c>
      <c r="J3218">
        <v>10.99</v>
      </c>
      <c r="K3218" s="4">
        <v>0.2225</v>
      </c>
      <c r="L3218">
        <v>4.8</v>
      </c>
      <c r="M3218">
        <v>988</v>
      </c>
      <c r="O3218" t="s">
        <v>25</v>
      </c>
      <c r="P3218" t="s">
        <v>6946</v>
      </c>
      <c r="Q3218" t="s">
        <v>6947</v>
      </c>
    </row>
    <row r="3219" spans="1:17" ht="15.5" x14ac:dyDescent="0.35">
      <c r="A3219"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3219" s="3" t="str">
        <f>HYPERLINK("https://edmondsonsupply.com/products/klein-tools-jth6m10-10-mm-hex-key-journeyman-t-handle-6-inch", "https://edmondsonsupply.com/products/klein-tools-jth6m10-10-mm-hex-key-journeyman-t-handle-6-inch")</f>
        <v>https://edmondsonsupply.com/products/klein-tools-jth6m10-10-mm-hex-key-journeyman-t-handle-6-inch</v>
      </c>
      <c r="C3219" t="s">
        <v>6945</v>
      </c>
      <c r="D3219" t="s">
        <v>7460</v>
      </c>
      <c r="E3219" s="3" t="str">
        <f>HYPERLINK("https://www.amazon.com/Journeyman-T-Handle-Klein-Tools-JTH6M10/dp/B007GOWC1S/ref=sr_1_1?keywords=Klein+Tools+JTH6M10+10+mm+Hex+Key+Journeyman+T-Handle+6-Inch&amp;qid=1695174255&amp;sr=8-1", "https://www.amazon.com/Journeyman-T-Handle-Klein-Tools-JTH6M10/dp/B007GOWC1S/ref=sr_1_1?keywords=Klein+Tools+JTH6M10+10+mm+Hex+Key+Journeyman+T-Handle+6-Inch&amp;qid=1695174255&amp;sr=8-1")</f>
        <v>https://www.amazon.com/Journeyman-T-Handle-Klein-Tools-JTH6M10/dp/B007GOWC1S/ref=sr_1_1?keywords=Klein+Tools+JTH6M10+10+mm+Hex+Key+Journeyman+T-Handle+6-Inch&amp;qid=1695174255&amp;sr=8-1</v>
      </c>
      <c r="F3219" t="s">
        <v>7461</v>
      </c>
      <c r="G3219" t="e">
        <f ca="1">_xludf.IMAGE("https://edmondsonsupply.com/cdn/shop/products/jth6m8_64c2c8d3-e13e-4b81-9b34-745be7fd837a.jpg?v=1627827117")</f>
        <v>#NAME?</v>
      </c>
      <c r="H3219" t="e">
        <f ca="1">_xludf.IMAGE("https://m.media-amazon.com/images/I/51+1x0vz9XL._AC_UL320_.jpg")</f>
        <v>#NAME?</v>
      </c>
      <c r="I3219" t="s">
        <v>924</v>
      </c>
      <c r="J3219">
        <v>10.99</v>
      </c>
      <c r="K3219" s="4">
        <v>0.2225</v>
      </c>
      <c r="L3219">
        <v>4.8</v>
      </c>
      <c r="M3219">
        <v>1532</v>
      </c>
      <c r="O3219" t="s">
        <v>25</v>
      </c>
      <c r="P3219" t="s">
        <v>6946</v>
      </c>
      <c r="Q3219" t="s">
        <v>6947</v>
      </c>
    </row>
    <row r="3220" spans="1:17" ht="15.5" x14ac:dyDescent="0.35">
      <c r="A3220"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3220" s="3" t="str">
        <f>HYPERLINK("https://edmondsonsupply.com/products/diablo-tools-dag1130-1-in-x-7-1-2-in-auger-bit", "https://edmondsonsupply.com/products/diablo-tools-dag1130-1-in-x-7-1-2-in-auger-bit")</f>
        <v>https://edmondsonsupply.com/products/diablo-tools-dag1130-1-in-x-7-1-2-in-auger-bit</v>
      </c>
      <c r="C3220" t="s">
        <v>3530</v>
      </c>
      <c r="D3220" t="s">
        <v>3797</v>
      </c>
      <c r="E3220" s="3" t="str">
        <f>HYPERLINK("https://www.amazon.com/Diablo-Freud-DAG1150-1-1-Auger/dp/B089LGR2GW/ref=sr_1_6?keywords=Diablo+Tools+DAG1130+1+in.+x+7-1%2F2+in.+Auger+Bit&amp;qid=1695173913&amp;sr=8-6", "https://www.amazon.com/Diablo-Freud-DAG1150-1-1-Auger/dp/B089LGR2GW/ref=sr_1_6?keywords=Diablo+Tools+DAG1130+1+in.+x+7-1%2F2+in.+Auger+Bit&amp;qid=1695173913&amp;sr=8-6")</f>
        <v>https://www.amazon.com/Diablo-Freud-DAG1150-1-1-Auger/dp/B089LGR2GW/ref=sr_1_6?keywords=Diablo+Tools+DAG1130+1+in.+x+7-1%2F2+in.+Auger+Bit&amp;qid=1695173913&amp;sr=8-6</v>
      </c>
      <c r="F3220" t="s">
        <v>3798</v>
      </c>
      <c r="G3220" t="e">
        <f ca="1">_xludf.IMAGE("https://edmondsonsupply.com/cdn/shop/products/DAG1130_Main-Image20200712.png?v=1633031124")</f>
        <v>#NAME?</v>
      </c>
      <c r="H3220" t="e">
        <f ca="1">_xludf.IMAGE("https://m.media-amazon.com/images/I/71M61xRfPtL._AC_UL320_.jpg")</f>
        <v>#NAME?</v>
      </c>
      <c r="I3220" t="s">
        <v>3533</v>
      </c>
      <c r="J3220">
        <v>20</v>
      </c>
      <c r="K3220" s="4">
        <v>0.22170000000000001</v>
      </c>
      <c r="L3220">
        <v>4.5999999999999996</v>
      </c>
      <c r="M3220">
        <v>28</v>
      </c>
      <c r="O3220" t="s">
        <v>25</v>
      </c>
      <c r="P3220" t="s">
        <v>3534</v>
      </c>
      <c r="Q3220" t="s">
        <v>3535</v>
      </c>
    </row>
    <row r="3221" spans="1:17" ht="15.5" x14ac:dyDescent="0.35">
      <c r="A3221" s="3" t="str">
        <f>HYPERLINK("https://edmondsonsupply.com/collections/electricians-tools/products/klein-tools-607-3-mini-screwdriver-3-32-inch-cabinet-tip-3-inch", "https://edmondsonsupply.com/collections/electricians-tools/products/klein-tools-607-3-mini-screwdriver-3-32-inch-cabinet-tip-3-inch")</f>
        <v>https://edmondsonsupply.com/collections/electricians-tools/products/klein-tools-607-3-mini-screwdriver-3-32-inch-cabinet-tip-3-inch</v>
      </c>
      <c r="B3221" s="3" t="str">
        <f>HYPERLINK("https://edmondsonsupply.com/products/klein-tools-607-3-mini-screwdriver-3-32-inch-cabinet-tip-3-inch", "https://edmondsonsupply.com/products/klein-tools-607-3-mini-screwdriver-3-32-inch-cabinet-tip-3-inch")</f>
        <v>https://edmondsonsupply.com/products/klein-tools-607-3-mini-screwdriver-3-32-inch-cabinet-tip-3-inch</v>
      </c>
      <c r="C3221" t="s">
        <v>6476</v>
      </c>
      <c r="D3221" t="s">
        <v>7462</v>
      </c>
      <c r="E3221" s="3" t="str">
        <f>HYPERLINK("https://www.amazon.com/Klein-Tools-A116-3-32-Inch-Screwdriver/dp/B00093D4M4/ref=sr_1_4?keywords=Klein+Tools+607-3+Mini+Screwdriver%2C+3%2F32-Inch+Cabinet+Tip%2C+3-Inch&amp;qid=1695174302&amp;sr=8-4", "https://www.amazon.com/Klein-Tools-A116-3-32-Inch-Screwdriver/dp/B00093D4M4/ref=sr_1_4?keywords=Klein+Tools+607-3+Mini+Screwdriver%2C+3%2F32-Inch+Cabinet+Tip%2C+3-Inch&amp;qid=1695174302&amp;sr=8-4")</f>
        <v>https://www.amazon.com/Klein-Tools-A116-3-32-Inch-Screwdriver/dp/B00093D4M4/ref=sr_1_4?keywords=Klein+Tools+607-3+Mini+Screwdriver%2C+3%2F32-Inch+Cabinet+Tip%2C+3-Inch&amp;qid=1695174302&amp;sr=8-4</v>
      </c>
      <c r="F3221" t="s">
        <v>7463</v>
      </c>
      <c r="G3221" t="e">
        <f ca="1">_xludf.IMAGE("https://edmondsonsupply.com/cdn/shop/products/607-3_5e9ac034-1968-449c-957e-7d3aa01f1413.jpg?v=1633030814")</f>
        <v>#NAME?</v>
      </c>
      <c r="H3221" t="e">
        <f ca="1">_xludf.IMAGE("https://m.media-amazon.com/images/I/416B++nRvZL._AC_UL320_.jpg")</f>
        <v>#NAME?</v>
      </c>
      <c r="I3221" t="s">
        <v>2347</v>
      </c>
      <c r="J3221">
        <v>8.5299999999999994</v>
      </c>
      <c r="K3221" s="4">
        <v>0.2203</v>
      </c>
      <c r="L3221">
        <v>4.4000000000000004</v>
      </c>
      <c r="M3221">
        <v>525</v>
      </c>
      <c r="O3221" t="s">
        <v>25</v>
      </c>
      <c r="P3221" t="s">
        <v>6479</v>
      </c>
      <c r="Q3221" t="s">
        <v>6480</v>
      </c>
    </row>
    <row r="3222" spans="1:17" ht="15.5" x14ac:dyDescent="0.35">
      <c r="A3222"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3222" s="3" t="str">
        <f>HYPERLINK("https://edmondsonsupply.com/products/klein-tools-630-3-8-3-8-inch-nut-driver-with-3-inch-hollow-shaft", "https://edmondsonsupply.com/products/klein-tools-630-3-8-3-8-inch-nut-driver-with-3-inch-hollow-shaft")</f>
        <v>https://edmondsonsupply.com/products/klein-tools-630-3-8-3-8-inch-nut-driver-with-3-inch-hollow-shaft</v>
      </c>
      <c r="C3222" t="s">
        <v>6150</v>
      </c>
      <c r="D3222" t="s">
        <v>3810</v>
      </c>
      <c r="E3222" s="3" t="str">
        <f>HYPERLINK("https://www.amazon.com/Magnetic-Klein-Tools-630-3-8M/dp/B000MKH4OS/ref=sr_1_1?keywords=Klein+Tools+630-3%2F8+3%2F8-Inch+Nut+Driver+with+3-Inch+Hollow+Shaft&amp;qid=1695174289&amp;sr=8-1", "https://www.amazon.com/Magnetic-Klein-Tools-630-3-8M/dp/B000MKH4OS/ref=sr_1_1?keywords=Klein+Tools+630-3%2F8+3%2F8-Inch+Nut+Driver+with+3-Inch+Hollow+Shaft&amp;qid=1695174289&amp;sr=8-1")</f>
        <v>https://www.amazon.com/Magnetic-Klein-Tools-630-3-8M/dp/B000MKH4OS/ref=sr_1_1?keywords=Klein+Tools+630-3%2F8+3%2F8-Inch+Nut+Driver+with+3-Inch+Hollow+Shaft&amp;qid=1695174289&amp;sr=8-1</v>
      </c>
      <c r="F3222" t="s">
        <v>3811</v>
      </c>
      <c r="G3222" t="e">
        <f ca="1">_xludf.IMAGE("https://edmondsonsupply.com/cdn/shop/products/630-1-2_e23f9fbd-a282-44d7-b743-2cfe0f84edfa.jpg?v=1633030906")</f>
        <v>#NAME?</v>
      </c>
      <c r="H3222" t="e">
        <f ca="1">_xludf.IMAGE("https://m.media-amazon.com/images/I/51TxY7IaTtL._AC_UL320_.jpg")</f>
        <v>#NAME?</v>
      </c>
      <c r="I3222" t="s">
        <v>924</v>
      </c>
      <c r="J3222">
        <v>10.97</v>
      </c>
      <c r="K3222" s="4">
        <v>0.22020000000000001</v>
      </c>
      <c r="L3222">
        <v>4.7</v>
      </c>
      <c r="M3222">
        <v>1574</v>
      </c>
      <c r="O3222" t="s">
        <v>25</v>
      </c>
      <c r="P3222" t="s">
        <v>6153</v>
      </c>
      <c r="Q3222" t="s">
        <v>6154</v>
      </c>
    </row>
    <row r="3223" spans="1:17" ht="15.5" x14ac:dyDescent="0.35">
      <c r="A3223"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3223" s="3" t="str">
        <f>HYPERLINK("https://edmondsonsupply.com/products/klein-tools-605-4-1-4-inch-cabinet-tip-screwdriver-4-inch-shank", "https://edmondsonsupply.com/products/klein-tools-605-4-1-4-inch-cabinet-tip-screwdriver-4-inch-shank")</f>
        <v>https://edmondsonsupply.com/products/klein-tools-605-4-1-4-inch-cabinet-tip-screwdriver-4-inch-shank</v>
      </c>
      <c r="C3223" t="s">
        <v>6418</v>
      </c>
      <c r="D3223" t="s">
        <v>7464</v>
      </c>
      <c r="E3223" s="3" t="str">
        <f>HYPERLINK("https://www.amazon.com/Bending-Cabinet-Screwdriver-Klein-Tools/dp/B00093DZNM/ref=sr_1_2?keywords=Klein+Tools+605-4+1%2F4-Inch+Cabinet+Tip+Screwdriver+4-Inch+Shank&amp;qid=1695174135&amp;sr=8-2", "https://www.amazon.com/Bending-Cabinet-Screwdriver-Klein-Tools/dp/B00093DZNM/ref=sr_1_2?keywords=Klein+Tools+605-4+1%2F4-Inch+Cabinet+Tip+Screwdriver+4-Inch+Shank&amp;qid=1695174135&amp;sr=8-2")</f>
        <v>https://www.amazon.com/Bending-Cabinet-Screwdriver-Klein-Tools/dp/B00093DZNM/ref=sr_1_2?keywords=Klein+Tools+605-4+1%2F4-Inch+Cabinet+Tip+Screwdriver+4-Inch+Shank&amp;qid=1695174135&amp;sr=8-2</v>
      </c>
      <c r="F3223" t="s">
        <v>7465</v>
      </c>
      <c r="G3223" t="e">
        <f ca="1">_xludf.IMAGE("https://edmondsonsupply.com/cdn/shop/products/605-6_ac5e56ca-920d-4d55-842f-c7dc8361f892.jpg?v=1665688377")</f>
        <v>#NAME?</v>
      </c>
      <c r="H3223" t="e">
        <f ca="1">_xludf.IMAGE("https://m.media-amazon.com/images/I/41cMYMAcXSL._AC_UL320_.jpg")</f>
        <v>#NAME?</v>
      </c>
      <c r="I3223" t="s">
        <v>924</v>
      </c>
      <c r="J3223">
        <v>10.97</v>
      </c>
      <c r="K3223" s="4">
        <v>0.22020000000000001</v>
      </c>
      <c r="L3223">
        <v>4.7</v>
      </c>
      <c r="M3223">
        <v>488</v>
      </c>
      <c r="O3223" t="s">
        <v>25</v>
      </c>
      <c r="P3223" t="s">
        <v>6421</v>
      </c>
      <c r="Q3223" t="s">
        <v>6422</v>
      </c>
    </row>
    <row r="3224" spans="1:17" ht="15.5" x14ac:dyDescent="0.35">
      <c r="A3224"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3224" s="3" t="str">
        <f>HYPERLINK("https://edmondsonsupply.com/products/klein-tools-s8m-1-4-inch-magnetic-nut-driver-3-inch-shank", "https://edmondsonsupply.com/products/klein-tools-s8m-1-4-inch-magnetic-nut-driver-3-inch-shank")</f>
        <v>https://edmondsonsupply.com/products/klein-tools-s8m-1-4-inch-magnetic-nut-driver-3-inch-shank</v>
      </c>
      <c r="C3224" t="s">
        <v>3809</v>
      </c>
      <c r="D3224" t="s">
        <v>3810</v>
      </c>
      <c r="E3224" s="3" t="str">
        <f>HYPERLINK("https://www.amazon.com/Magnetic-Klein-Tools-630-3-8M/dp/B000MKH4OS/ref=sr_1_4?keywords=Klein+Tools+S8M+1%2F4-Inch+Magnetic+Nut+Driver+3-Inch+Shank&amp;qid=1695174041&amp;sr=8-4", "https://www.amazon.com/Magnetic-Klein-Tools-630-3-8M/dp/B000MKH4OS/ref=sr_1_4?keywords=Klein+Tools+S8M+1%2F4-Inch+Magnetic+Nut+Driver+3-Inch+Shank&amp;qid=1695174041&amp;sr=8-4")</f>
        <v>https://www.amazon.com/Magnetic-Klein-Tools-630-3-8M/dp/B000MKH4OS/ref=sr_1_4?keywords=Klein+Tools+S8M+1%2F4-Inch+Magnetic+Nut+Driver+3-Inch+Shank&amp;qid=1695174041&amp;sr=8-4</v>
      </c>
      <c r="F3224" t="s">
        <v>3811</v>
      </c>
      <c r="G3224" t="e">
        <f ca="1">_xludf.IMAGE("https://edmondsonsupply.com/cdn/shop/products/s8m.jpg?v=1633030818")</f>
        <v>#NAME?</v>
      </c>
      <c r="H3224" t="e">
        <f ca="1">_xludf.IMAGE("https://m.media-amazon.com/images/I/51TxY7IaTtL._AC_UL320_.jpg")</f>
        <v>#NAME?</v>
      </c>
      <c r="I3224" t="s">
        <v>924</v>
      </c>
      <c r="J3224">
        <v>10.97</v>
      </c>
      <c r="K3224" s="4">
        <v>0.22020000000000001</v>
      </c>
      <c r="L3224">
        <v>4.7</v>
      </c>
      <c r="M3224">
        <v>1574</v>
      </c>
      <c r="O3224" t="s">
        <v>25</v>
      </c>
      <c r="P3224" t="s">
        <v>3812</v>
      </c>
      <c r="Q3224" t="s">
        <v>3813</v>
      </c>
    </row>
    <row r="3225" spans="1:17" ht="15.5" x14ac:dyDescent="0.35">
      <c r="A3225"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3225"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3225" t="s">
        <v>3118</v>
      </c>
      <c r="D3225" t="s">
        <v>3814</v>
      </c>
      <c r="E3225" s="3" t="str">
        <f>HYPERLINK("https://www.amazon.com/Journeyman-T-Handle-Klein-Tools-JTH6E17/dp/B004N604GC/ref=sr_1_4?keywords=Klein+Tools+JTH4E17+1%2F2-Inch+Hex+Key%2C+Journeyman+T-Handle%2C+4-Inch&amp;qid=1695173921&amp;sr=8-4", "https://www.amazon.com/Journeyman-T-Handle-Klein-Tools-JTH6E17/dp/B004N604GC/ref=sr_1_4?keywords=Klein+Tools+JTH4E17+1%2F2-Inch+Hex+Key%2C+Journeyman+T-Handle%2C+4-Inch&amp;qid=1695173921&amp;sr=8-4")</f>
        <v>https://www.amazon.com/Journeyman-T-Handle-Klein-Tools-JTH6E17/dp/B004N604GC/ref=sr_1_4?keywords=Klein+Tools+JTH4E17+1%2F2-Inch+Hex+Key%2C+Journeyman+T-Handle%2C+4-Inch&amp;qid=1695173921&amp;sr=8-4</v>
      </c>
      <c r="F3225" t="s">
        <v>3815</v>
      </c>
      <c r="G3225" t="e">
        <f ca="1">_xludf.IMAGE("https://edmondsonsupply.com/cdn/shop/products/jth4e17_583549be-7b42-43c7-9c3d-a92f2416ede5.jpg?v=1610655610")</f>
        <v>#NAME?</v>
      </c>
      <c r="H3225" t="e">
        <f ca="1">_xludf.IMAGE("https://m.media-amazon.com/images/I/41bgisgIOrL._AC_UL320_.jpg")</f>
        <v>#NAME?</v>
      </c>
      <c r="I3225" t="s">
        <v>252</v>
      </c>
      <c r="J3225">
        <v>19.5</v>
      </c>
      <c r="K3225" s="4">
        <v>0.2195</v>
      </c>
      <c r="L3225">
        <v>4.8</v>
      </c>
      <c r="M3225">
        <v>772</v>
      </c>
      <c r="O3225" t="s">
        <v>25</v>
      </c>
      <c r="P3225" t="s">
        <v>3121</v>
      </c>
      <c r="Q3225" t="s">
        <v>3122</v>
      </c>
    </row>
    <row r="3226" spans="1:17" ht="15.5" x14ac:dyDescent="0.35">
      <c r="A3226" s="3" t="str">
        <f>HYPERLINK("https://edmondsonsupply.com/collections/electricians-tools/products/testo-0590-7551-755-1-current-voltage-meter-with-200-a-ac-600-v-ac-dc-and-continuity", "https://edmondsonsupply.com/collections/electricians-tools/products/testo-0590-7551-755-1-current-voltage-meter-with-200-a-ac-600-v-ac-dc-and-continuity")</f>
        <v>https://edmondsonsupply.com/collections/electricians-tools/products/testo-0590-7551-755-1-current-voltage-meter-with-200-a-ac-600-v-ac-dc-and-continuity</v>
      </c>
      <c r="B3226" s="3" t="str">
        <f>HYPERLINK("https://edmondsonsupply.com/products/testo-0590-7551-755-1-current-voltage-meter-with-200-a-ac-600-v-ac-dc-and-continuity", "https://edmondsonsupply.com/products/testo-0590-7551-755-1-current-voltage-meter-with-200-a-ac-600-v-ac-dc-and-continuity")</f>
        <v>https://edmondsonsupply.com/products/testo-0590-7551-755-1-current-voltage-meter-with-200-a-ac-600-v-ac-dc-and-continuity</v>
      </c>
      <c r="C3226" t="s">
        <v>3816</v>
      </c>
      <c r="D3226" t="s">
        <v>3817</v>
      </c>
      <c r="E3226" s="3" t="str">
        <f>HYPERLINK("https://www.amazon.com/Testo-755-2-Current-Continuity-Rotation/dp/B01F3MPHQG/ref=sr_1_2?keywords=Testo+0590+7551+755-1+-+Current+%2F+Voltage+Meter+with+200+A+AC%2C+600+V+AC%2FDC%2C+and+Continuity&amp;qid=1695173987&amp;sr=8-2", "https://www.amazon.com/Testo-755-2-Current-Continuity-Rotation/dp/B01F3MPHQG/ref=sr_1_2?keywords=Testo+0590+7551+755-1+-+Current+%2F+Voltage+Meter+with+200+A+AC%2C+600+V+AC%2FDC%2C+and+Continuity&amp;qid=1695173987&amp;sr=8-2")</f>
        <v>https://www.amazon.com/Testo-755-2-Current-Continuity-Rotation/dp/B01F3MPHQG/ref=sr_1_2?keywords=Testo+0590+7551+755-1+-+Current+%2F+Voltage+Meter+with+200+A+AC%2C+600+V+AC%2FDC%2C+and+Continuity&amp;qid=1695173987&amp;sr=8-2</v>
      </c>
      <c r="F3226" t="s">
        <v>3818</v>
      </c>
      <c r="G3226" t="e">
        <f ca="1">_xludf.IMAGE("https://edmondsonsupply.com/cdn/shop/files/testo-755-1_front_prl.jpg?v=1688226764")</f>
        <v>#NAME?</v>
      </c>
      <c r="H3226" t="e">
        <f ca="1">_xludf.IMAGE("https://m.media-amazon.com/images/I/617sSpgpYbL._AC_UY218_.jpg")</f>
        <v>#NAME?</v>
      </c>
      <c r="I3226" t="s">
        <v>1902</v>
      </c>
      <c r="J3226">
        <v>216.53</v>
      </c>
      <c r="K3226" s="4">
        <v>0.21890000000000001</v>
      </c>
      <c r="L3226">
        <v>4.2</v>
      </c>
      <c r="M3226">
        <v>7</v>
      </c>
      <c r="O3226" t="s">
        <v>25</v>
      </c>
      <c r="P3226" t="s">
        <v>697</v>
      </c>
      <c r="Q3226" t="s">
        <v>3819</v>
      </c>
    </row>
    <row r="3227" spans="1:17" ht="15.5" x14ac:dyDescent="0.35">
      <c r="A3227" s="3" t="str">
        <f>HYPERLINK("https://edmondsonsupply.com/collections/electricians-tools/products/fluke-377-fc-non-contact-voltage-true-rms-ac-dc-clamp-meter-with-iflex", "https://edmondsonsupply.com/collections/electricians-tools/products/fluke-377-fc-non-contact-voltage-true-rms-ac-dc-clamp-meter-with-iflex")</f>
        <v>https://edmondsonsupply.com/collections/electricians-tools/products/fluke-377-fc-non-contact-voltage-true-rms-ac-dc-clamp-meter-with-iflex</v>
      </c>
      <c r="B3227" s="3" t="str">
        <f>HYPERLINK("https://edmondsonsupply.com/products/fluke-377-fc-non-contact-voltage-true-rms-ac-dc-clamp-meter-with-iflex", "https://edmondsonsupply.com/products/fluke-377-fc-non-contact-voltage-true-rms-ac-dc-clamp-meter-with-iflex")</f>
        <v>https://edmondsonsupply.com/products/fluke-377-fc-non-contact-voltage-true-rms-ac-dc-clamp-meter-with-iflex</v>
      </c>
      <c r="C3227" t="s">
        <v>7466</v>
      </c>
      <c r="D3227" t="s">
        <v>4439</v>
      </c>
      <c r="E3227" s="3" t="str">
        <f>HYPERLINK("https://www.amazon.com/Fluke-Non-Contact-Voltage-Wireless-Indicator/dp/B0916K6JZF/ref=sr_1_4?keywords=Fluke+377+FC+Non-Contact+Voltage+True-RMS+AC%2FDC+Clamp+Meter+with+iFlex&amp;qid=1695174253&amp;sr=8-4", "https://www.amazon.com/Fluke-Non-Contact-Voltage-Wireless-Indicator/dp/B0916K6JZF/ref=sr_1_4?keywords=Fluke+377+FC+Non-Contact+Voltage+True-RMS+AC%2FDC+Clamp+Meter+with+iFlex&amp;qid=1695174253&amp;sr=8-4")</f>
        <v>https://www.amazon.com/Fluke-Non-Contact-Voltage-Wireless-Indicator/dp/B0916K6JZF/ref=sr_1_4?keywords=Fluke+377+FC+Non-Contact+Voltage+True-RMS+AC%2FDC+Clamp+Meter+with+iFlex&amp;qid=1695174253&amp;sr=8-4</v>
      </c>
      <c r="F3227" t="s">
        <v>4440</v>
      </c>
      <c r="G3227" t="e">
        <f ca="1">_xludf.IMAGE("https://edmondsonsupply.com/cdn/shop/products/377_FC_72dpi_499x1024px_E_NR-27677.jpg?v=1633031119")</f>
        <v>#NAME?</v>
      </c>
      <c r="H3227" t="e">
        <f ca="1">_xludf.IMAGE("https://m.media-amazon.com/images/I/813NB9dMeUL._AC_UL320_.jpg")</f>
        <v>#NAME?</v>
      </c>
      <c r="I3227" t="s">
        <v>7467</v>
      </c>
      <c r="J3227">
        <v>779.89</v>
      </c>
      <c r="K3227" s="4">
        <v>0.21879999999999999</v>
      </c>
      <c r="L3227">
        <v>4.5999999999999996</v>
      </c>
      <c r="M3227">
        <v>97</v>
      </c>
      <c r="O3227" t="s">
        <v>171</v>
      </c>
      <c r="P3227" t="s">
        <v>7468</v>
      </c>
      <c r="Q3227" t="s">
        <v>7469</v>
      </c>
    </row>
    <row r="3228" spans="1:17" ht="15.5" x14ac:dyDescent="0.35">
      <c r="A3228"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3228"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3228" t="s">
        <v>6889</v>
      </c>
      <c r="D3228" t="s">
        <v>5599</v>
      </c>
      <c r="E3228" s="3" t="str">
        <f>HYPERLINK("https://www.amazon.com/Klein-Tools-JTH4E13-Journeyman-T-Handle/dp/B007GH2CDS/ref=sr_1_1?keywords=Klein+Tools+JTH4E13+1%2F4-Inch+Hex+Key%2C+Journeyman%E2%84%A2+T-Handle%2C+4-Inch&amp;qid=1695174202&amp;sr=8-1", "https://www.amazon.com/Klein-Tools-JTH4E13-Journeyman-T-Handle/dp/B007GH2CDS/ref=sr_1_1?keywords=Klein+Tools+JTH4E13+1%2F4-Inch+Hex+Key%2C+Journeyman%E2%84%A2+T-Handle%2C+4-Inch&amp;qid=1695174202&amp;sr=8-1")</f>
        <v>https://www.amazon.com/Klein-Tools-JTH4E13-Journeyman-T-Handle/dp/B007GH2CDS/ref=sr_1_1?keywords=Klein+Tools+JTH4E13+1%2F4-Inch+Hex+Key%2C+Journeyman%E2%84%A2+T-Handle%2C+4-Inch&amp;qid=1695174202&amp;sr=8-1</v>
      </c>
      <c r="F3228" t="s">
        <v>5600</v>
      </c>
      <c r="G3228" t="e">
        <f ca="1">_xludf.IMAGE("https://edmondsonsupply.com/cdn/shop/products/jth4e13.jpg?v=1660919816")</f>
        <v>#NAME?</v>
      </c>
      <c r="H3228" t="e">
        <f ca="1">_xludf.IMAGE("https://m.media-amazon.com/images/I/41ERRKlO36L._AC_UL320_.jpg")</f>
        <v>#NAME?</v>
      </c>
      <c r="I3228" t="s">
        <v>2639</v>
      </c>
      <c r="J3228">
        <v>7.3</v>
      </c>
      <c r="K3228" s="4">
        <v>0.21870000000000001</v>
      </c>
      <c r="L3228">
        <v>4.8</v>
      </c>
      <c r="M3228">
        <v>2479</v>
      </c>
      <c r="O3228" t="s">
        <v>25</v>
      </c>
      <c r="P3228" t="s">
        <v>6890</v>
      </c>
      <c r="Q3228" t="s">
        <v>6891</v>
      </c>
    </row>
    <row r="3229" spans="1:17" ht="15.5" x14ac:dyDescent="0.35">
      <c r="A3229"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3229"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3229" t="s">
        <v>5886</v>
      </c>
      <c r="D3229" t="s">
        <v>5887</v>
      </c>
      <c r="E3229" s="3" t="str">
        <f>HYPERLINK("https://www.amazon.com/Diablo-Freud-DOU125CGP3-Universal-Oscillating/dp/B089KW6C8Q/ref=sr_1_4?keywords=Diablo+Tools+DOU125CGP+1-1%2F4+in.+Universal+Fit+Carbide+Oscillating+Blade+for+General+Purpose+Cuts&amp;qid=1695174006&amp;sr=8-4", "https://www.amazon.com/Diablo-Freud-DOU125CGP3-Universal-Oscillating/dp/B089KW6C8Q/ref=sr_1_4?keywords=Diablo+Tools+DOU125CGP+1-1%2F4+in.+Universal+Fit+Carbide+Oscillating+Blade+for+General+Purpose+Cuts&amp;qid=1695174006&amp;sr=8-4")</f>
        <v>https://www.amazon.com/Diablo-Freud-DOU125CGP3-Universal-Oscillating/dp/B089KW6C8Q/ref=sr_1_4?keywords=Diablo+Tools+DOU125CGP+1-1%2F4+in.+Universal+Fit+Carbide+Oscillating+Blade+for+General+Purpose+Cuts&amp;qid=1695174006&amp;sr=8-4</v>
      </c>
      <c r="F3229" t="s">
        <v>5888</v>
      </c>
      <c r="G3229" t="e">
        <f ca="1">_xludf.IMAGE("https://edmondsonsupply.com/cdn/shop/files/htobgrjt150mygkkk6to_dca17485-ff4c-4cd2-9345-f1b96a9206f3.webp?v=1686146827")</f>
        <v>#NAME?</v>
      </c>
      <c r="H3229" t="e">
        <f ca="1">_xludf.IMAGE("https://m.media-amazon.com/images/I/71lNEMXVnHL._AC_UL320_.jpg")</f>
        <v>#NAME?</v>
      </c>
      <c r="I3229" t="s">
        <v>1716</v>
      </c>
      <c r="J3229">
        <v>27.99</v>
      </c>
      <c r="K3229" s="4">
        <v>0.2185</v>
      </c>
      <c r="L3229">
        <v>4.5</v>
      </c>
      <c r="M3229">
        <v>139</v>
      </c>
      <c r="O3229" t="s">
        <v>25</v>
      </c>
      <c r="P3229" t="s">
        <v>5889</v>
      </c>
      <c r="Q3229" t="s">
        <v>5890</v>
      </c>
    </row>
    <row r="3230" spans="1:17" ht="15.5" x14ac:dyDescent="0.35">
      <c r="A3230"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3230"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3230" t="s">
        <v>7470</v>
      </c>
      <c r="D3230" t="s">
        <v>7471</v>
      </c>
      <c r="E3230" s="3" t="str">
        <f>HYPERLINK("https://www.amazon.com/Crescent-Lufkin-Command-Control-Measure/dp/B09PGYR28F/ref=sr_1_7?keywords=Crescent+Lufkin+L1025C-02+1-3%2F16%22+x+25%27+Command+Control+Series%E2%84%A2+Yellow+Clad+Tape+Measure&amp;qid=1695174033&amp;sr=8-7", "https://www.amazon.com/Crescent-Lufkin-Command-Control-Measure/dp/B09PGYR28F/ref=sr_1_7?keywords=Crescent+Lufkin+L1025C-02+1-3%2F16%22+x+25%27+Command+Control+Series%E2%84%A2+Yellow+Clad+Tape+Measure&amp;qid=1695174033&amp;sr=8-7")</f>
        <v>https://www.amazon.com/Crescent-Lufkin-Command-Control-Measure/dp/B09PGYR28F/ref=sr_1_7?keywords=Crescent+Lufkin+L1025C-02+1-3%2F16%22+x+25%27+Command+Control+Series%E2%84%A2+Yellow+Clad+Tape+Measure&amp;qid=1695174033&amp;sr=8-7</v>
      </c>
      <c r="F3230" t="s">
        <v>7472</v>
      </c>
      <c r="G3230" t="e">
        <f ca="1">_xludf.IMAGE("https://edmondsonsupply.com/cdn/shop/products/LFK_L1025C_4-SIDES_IMG-MAIN1.jpg?v=1680013140")</f>
        <v>#NAME?</v>
      </c>
      <c r="H3230" t="e">
        <f ca="1">_xludf.IMAGE("https://m.media-amazon.com/images/I/61+R28AwoAL._AC_UL320_.jpg")</f>
        <v>#NAME?</v>
      </c>
      <c r="I3230" t="s">
        <v>7473</v>
      </c>
      <c r="J3230">
        <v>18.989999999999998</v>
      </c>
      <c r="K3230" s="4">
        <v>0.21809999999999999</v>
      </c>
      <c r="L3230">
        <v>3.6</v>
      </c>
      <c r="M3230">
        <v>4</v>
      </c>
      <c r="O3230" t="s">
        <v>25</v>
      </c>
      <c r="P3230" t="s">
        <v>6822</v>
      </c>
      <c r="Q3230" t="s">
        <v>7474</v>
      </c>
    </row>
    <row r="3231" spans="1:17" ht="15.5" x14ac:dyDescent="0.35">
      <c r="A3231" s="3" t="str">
        <f>HYPERLINK("https://edmondsonsupply.com/collections/electricians-tools/products/klein-tools-jth6t30-t30-torx%C2%AE-hex-key-with-journeyman-t-handle-6-inch", "https://edmondsonsupply.com/collections/electricians-tools/products/klein-tools-jth6t30-t30-torx%C2%AE-hex-key-with-journeyman-t-handle-6-inch")</f>
        <v>https://edmondsonsupply.com/collections/electricians-tools/products/klein-tools-jth6t30-t30-torx%C2%AE-hex-key-with-journeyman-t-handle-6-inch</v>
      </c>
      <c r="B3231" s="3" t="str">
        <f>HYPERLINK("https://edmondsonsupply.com/products/klein-tools-jth6t30-t30-torx%c2%ae-hex-key-with-journeyman-t-handle-6-inch", "https://edmondsonsupply.com/products/klein-tools-jth6t30-t30-torx%c2%ae-hex-key-with-journeyman-t-handle-6-inch")</f>
        <v>https://edmondsonsupply.com/products/klein-tools-jth6t30-t30-torx%c2%ae-hex-key-with-journeyman-t-handle-6-inch</v>
      </c>
      <c r="C3231" t="s">
        <v>7475</v>
      </c>
      <c r="D3231" t="s">
        <v>7476</v>
      </c>
      <c r="E3231" s="3" t="str">
        <f>HYPERLINK("https://www.amazon.com/Journeyman-T-Handle-Klein-Tools-JTH6T30/dp/B005G3B4TM/ref=sr_1_1?keywords=Klein+Tools+JTH6T30+T30+TORX%C2%AE+Hex+Key%2C+Journeyman%E2%84%A2+T-Handle%2C+6-Inch&amp;qid=1695174313&amp;sr=8-1", "https://www.amazon.com/Journeyman-T-Handle-Klein-Tools-JTH6T30/dp/B005G3B4TM/ref=sr_1_1?keywords=Klein+Tools+JTH6T30+T30+TORX%C2%AE+Hex+Key%2C+Journeyman%E2%84%A2+T-Handle%2C+6-Inch&amp;qid=1695174313&amp;sr=8-1")</f>
        <v>https://www.amazon.com/Journeyman-T-Handle-Klein-Tools-JTH6T30/dp/B005G3B4TM/ref=sr_1_1?keywords=Klein+Tools+JTH6T30+T30+TORX%C2%AE+Hex+Key%2C+Journeyman%E2%84%A2+T-Handle%2C+6-Inch&amp;qid=1695174313&amp;sr=8-1</v>
      </c>
      <c r="F3231" t="s">
        <v>7477</v>
      </c>
      <c r="G3231" t="e">
        <f ca="1">_xludf.IMAGE("https://edmondsonsupply.com/cdn/shop/products/jth6t40_b13aa79d-2a34-4a55-8cbe-04b803f08391.jpg?v=1610547787")</f>
        <v>#NAME?</v>
      </c>
      <c r="H3231" t="e">
        <f ca="1">_xludf.IMAGE("https://m.media-amazon.com/images/I/51Xj0Vsb-EL._AC_UL320_.jpg")</f>
        <v>#NAME?</v>
      </c>
      <c r="I3231" t="s">
        <v>924</v>
      </c>
      <c r="J3231">
        <v>10.94</v>
      </c>
      <c r="K3231" s="4">
        <v>0.21690000000000001</v>
      </c>
      <c r="L3231">
        <v>4.8</v>
      </c>
      <c r="M3231">
        <v>1544</v>
      </c>
      <c r="O3231" t="s">
        <v>25</v>
      </c>
      <c r="P3231" t="s">
        <v>7478</v>
      </c>
      <c r="Q3231" t="s">
        <v>7479</v>
      </c>
    </row>
    <row r="3232" spans="1:17" ht="15.5" x14ac:dyDescent="0.35">
      <c r="A3232" s="3" t="str">
        <f>HYPERLINK("https://edmondsonsupply.com/collections/electricians-tools/products/klein-tools-832-26-linemans-claw-milled-hammer", "https://edmondsonsupply.com/collections/electricians-tools/products/klein-tools-832-26-linemans-claw-milled-hammer")</f>
        <v>https://edmondsonsupply.com/collections/electricians-tools/products/klein-tools-832-26-linemans-claw-milled-hammer</v>
      </c>
      <c r="B3232" s="3" t="str">
        <f>HYPERLINK("https://edmondsonsupply.com/products/klein-tools-832-26-linemans-claw-milled-hammer", "https://edmondsonsupply.com/products/klein-tools-832-26-linemans-claw-milled-hammer")</f>
        <v>https://edmondsonsupply.com/products/klein-tools-832-26-linemans-claw-milled-hammer</v>
      </c>
      <c r="C3232" t="s">
        <v>7480</v>
      </c>
      <c r="D3232" t="s">
        <v>7481</v>
      </c>
      <c r="E3232" s="3" t="str">
        <f>HYPERLINK("https://www.amazon.com/Linemans-Straight-Claw-Klein-Tools-832-32/dp/B0002RI8XC/ref=sr_1_3?keywords=Klein+Tools+832-26+Lineman%27s+Claw+Milled+Hammer&amp;qid=1695174242&amp;sr=8-3", "https://www.amazon.com/Linemans-Straight-Claw-Klein-Tools-832-32/dp/B0002RI8XC/ref=sr_1_3?keywords=Klein+Tools+832-26+Lineman%27s+Claw+Milled+Hammer&amp;qid=1695174242&amp;sr=8-3")</f>
        <v>https://www.amazon.com/Linemans-Straight-Claw-Klein-Tools-832-32/dp/B0002RI8XC/ref=sr_1_3?keywords=Klein+Tools+832-26+Lineman%27s+Claw+Milled+Hammer&amp;qid=1695174242&amp;sr=8-3</v>
      </c>
      <c r="F3232" t="s">
        <v>7482</v>
      </c>
      <c r="G3232" t="e">
        <f ca="1">_xludf.IMAGE("https://edmondsonsupply.com/cdn/shop/products/83226_b.jpg?v=1648164275")</f>
        <v>#NAME?</v>
      </c>
      <c r="H3232" t="e">
        <f ca="1">_xludf.IMAGE("https://m.media-amazon.com/images/I/41uzcXI8o2L._AC_UL320_.jpg")</f>
        <v>#NAME?</v>
      </c>
      <c r="I3232" t="s">
        <v>7483</v>
      </c>
      <c r="J3232">
        <v>56.23</v>
      </c>
      <c r="K3232" s="4">
        <v>0.21679999999999999</v>
      </c>
      <c r="L3232">
        <v>4.2</v>
      </c>
      <c r="M3232">
        <v>14</v>
      </c>
      <c r="O3232" t="s">
        <v>25</v>
      </c>
      <c r="P3232" t="s">
        <v>7484</v>
      </c>
      <c r="Q3232" t="s">
        <v>7485</v>
      </c>
    </row>
    <row r="3233" spans="1:17" ht="15.5" x14ac:dyDescent="0.35">
      <c r="A3233" s="3" t="str">
        <f>HYPERLINK("https://edmondsonsupply.com/collections/electricians-tools/products/milwaukee-2367-20-m12%E2%84%A2-rover%E2%84%A2-service-and-repair-flood-light-w-usb-charging", "https://edmondsonsupply.com/collections/electricians-tools/products/milwaukee-2367-20-m12%E2%84%A2-rover%E2%84%A2-service-and-repair-flood-light-w-usb-charging")</f>
        <v>https://edmondsonsupply.com/collections/electricians-tools/products/milwaukee-2367-20-m12%E2%84%A2-rover%E2%84%A2-service-and-repair-flood-light-w-usb-charging</v>
      </c>
      <c r="B3233" s="3" t="str">
        <f>HYPERLINK("https://edmondsonsupply.com/products/milwaukee-2367-20-m12%e2%84%a2-rover%e2%84%a2-service-and-repair-flood-light-w-usb-charging", "https://edmondsonsupply.com/products/milwaukee-2367-20-m12%e2%84%a2-rover%e2%84%a2-service-and-repair-flood-light-w-usb-charging")</f>
        <v>https://edmondsonsupply.com/products/milwaukee-2367-20-m12%e2%84%a2-rover%e2%84%a2-service-and-repair-flood-light-w-usb-charging</v>
      </c>
      <c r="C3233" t="s">
        <v>7486</v>
      </c>
      <c r="D3233" t="s">
        <v>7487</v>
      </c>
      <c r="E3233" s="3" t="str">
        <f>HYPERLINK("https://www.amazon.com/2367-20-M12-Milwaukee-Cordless-Charging/dp/B0BRZ31ZFS/ref=sr_1_2?keywords=Milwaukee+2367-20+M12%E2%84%A2+ROVER%E2%84%A2+Service+and+Repair+Flood+Light+w%2F+USB+Charging&amp;qid=1695174210&amp;sr=8-2", "https://www.amazon.com/2367-20-M12-Milwaukee-Cordless-Charging/dp/B0BRZ31ZFS/ref=sr_1_2?keywords=Milwaukee+2367-20+M12%E2%84%A2+ROVER%E2%84%A2+Service+and+Repair+Flood+Light+w%2F+USB+Charging&amp;qid=1695174210&amp;sr=8-2")</f>
        <v>https://www.amazon.com/2367-20-M12-Milwaukee-Cordless-Charging/dp/B0BRZ31ZFS/ref=sr_1_2?keywords=Milwaukee+2367-20+M12%E2%84%A2+ROVER%E2%84%A2+Service+and+Repair+Flood+Light+w%2F+USB+Charging&amp;qid=1695174210&amp;sr=8-2</v>
      </c>
      <c r="F3233" t="s">
        <v>7488</v>
      </c>
      <c r="G3233" t="e">
        <f ca="1">_xludf.IMAGE("https://edmondsonsupply.com/cdn/shop/products/2367-20_1.webp?v=1655158460")</f>
        <v>#NAME?</v>
      </c>
      <c r="H3233" t="e">
        <f ca="1">_xludf.IMAGE("https://m.media-amazon.com/images/I/413+732fO7L._AC_UL320_.jpg")</f>
        <v>#NAME?</v>
      </c>
      <c r="I3233" t="s">
        <v>5452</v>
      </c>
      <c r="J3233">
        <v>83.9</v>
      </c>
      <c r="K3233" s="4">
        <v>0.21590000000000001</v>
      </c>
      <c r="L3233">
        <v>5</v>
      </c>
      <c r="M3233">
        <v>3</v>
      </c>
      <c r="O3233" t="s">
        <v>25</v>
      </c>
      <c r="P3233" t="s">
        <v>7489</v>
      </c>
      <c r="Q3233" t="s">
        <v>7490</v>
      </c>
    </row>
    <row r="3234" spans="1:17" ht="15.5" x14ac:dyDescent="0.35">
      <c r="A3234" s="3" t="str">
        <f>HYPERLINK("https://edmondsonsupply.com/collections/electricians-tools/products/klein-tools-55600-tradesman-pro%E2%84%A2-tough-box-17-quart-cooler", "https://edmondsonsupply.com/collections/electricians-tools/products/klein-tools-55600-tradesman-pro%E2%84%A2-tough-box-17-quart-cooler")</f>
        <v>https://edmondsonsupply.com/collections/electricians-tools/products/klein-tools-55600-tradesman-pro%E2%84%A2-tough-box-17-quart-cooler</v>
      </c>
      <c r="B3234"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3234" t="s">
        <v>3583</v>
      </c>
      <c r="D3234" t="s">
        <v>3820</v>
      </c>
      <c r="E3234" s="3" t="str">
        <f>HYPERLINK("https://www.amazon.com/Klein-Tools-17-Quart-Stand-Up-Ballistic/dp/B09Y843VXJ/ref=sr_1_4?keywords=Klein+Tools+55600+Tradesman+Pro%E2%84%A2+Tough+Box+Cooler%2C+17-Quart&amp;qid=1695173941&amp;sr=8-4", "https://www.amazon.com/Klein-Tools-17-Quart-Stand-Up-Ballistic/dp/B09Y843VXJ/ref=sr_1_4?keywords=Klein+Tools+55600+Tradesman+Pro%E2%84%A2+Tough+Box+Cooler%2C+17-Quart&amp;qid=1695173941&amp;sr=8-4")</f>
        <v>https://www.amazon.com/Klein-Tools-17-Quart-Stand-Up-Ballistic/dp/B09Y843VXJ/ref=sr_1_4?keywords=Klein+Tools+55600+Tradesman+Pro%E2%84%A2+Tough+Box+Cooler%2C+17-Quart&amp;qid=1695173941&amp;sr=8-4</v>
      </c>
      <c r="F3234" t="s">
        <v>3821</v>
      </c>
      <c r="G3234" t="e">
        <f ca="1">_xludf.IMAGE("https://edmondsonsupply.com/cdn/shop/products/55600.jpg?v=1587145287")</f>
        <v>#NAME?</v>
      </c>
      <c r="H3234" t="e">
        <f ca="1">_xludf.IMAGE("https://m.media-amazon.com/images/I/518mY-OPxzL._AC_UL320_.jpg")</f>
        <v>#NAME?</v>
      </c>
      <c r="I3234" t="s">
        <v>305</v>
      </c>
      <c r="J3234">
        <v>78.989999999999995</v>
      </c>
      <c r="K3234" s="4">
        <v>0.21579999999999999</v>
      </c>
      <c r="L3234">
        <v>5</v>
      </c>
      <c r="M3234">
        <v>1</v>
      </c>
      <c r="O3234" t="s">
        <v>25</v>
      </c>
      <c r="P3234" t="s">
        <v>3586</v>
      </c>
      <c r="Q3234" t="s">
        <v>3587</v>
      </c>
    </row>
    <row r="3235" spans="1:17" ht="15.5" x14ac:dyDescent="0.35">
      <c r="A3235" s="3" t="str">
        <f>HYPERLINK("https://edmondsonsupply.com/collections/electricians-tools/products/tajima-lc-500-heavy-duty-ergonomic-utility-knife-auto-blade-lock-3-x-endura-blade", "https://edmondsonsupply.com/collections/electricians-tools/products/tajima-lc-500-heavy-duty-ergonomic-utility-knife-auto-blade-lock-3-x-endura-blade")</f>
        <v>https://edmondsonsupply.com/collections/electricians-tools/products/tajima-lc-500-heavy-duty-ergonomic-utility-knife-auto-blade-lock-3-x-endura-blade</v>
      </c>
      <c r="B3235" s="3" t="str">
        <f>HYPERLINK("https://edmondsonsupply.com/products/tajima-lc-500-heavy-duty-ergonomic-utility-knife-auto-blade-lock-3-x-endura-blade", "https://edmondsonsupply.com/products/tajima-lc-500-heavy-duty-ergonomic-utility-knife-auto-blade-lock-3-x-endura-blade")</f>
        <v>https://edmondsonsupply.com/products/tajima-lc-500-heavy-duty-ergonomic-utility-knife-auto-blade-lock-3-x-endura-blade</v>
      </c>
      <c r="C3235" t="s">
        <v>3826</v>
      </c>
      <c r="D3235" t="s">
        <v>3827</v>
      </c>
      <c r="E3235" s="3" t="str">
        <f>HYPERLINK("https://www.amazon.com/TAJIMA-Utility-Knives-Blades-Endura-Blades/dp/B003O684GO/ref=sr_1_1?keywords=Tajima+LC-500+Heavy+Duty+Ergonomic+Utility+Knife%2C+Auto+Blade+Lock%2C+3+x+Endura-Blade&amp;qid=1695173886&amp;sr=8-1", "https://www.amazon.com/TAJIMA-Utility-Knives-Blades-Endura-Blades/dp/B003O684GO/ref=sr_1_1?keywords=Tajima+LC-500+Heavy+Duty+Ergonomic+Utility+Knife%2C+Auto+Blade+Lock%2C+3+x+Endura-Blade&amp;qid=1695173886&amp;sr=8-1")</f>
        <v>https://www.amazon.com/TAJIMA-Utility-Knives-Blades-Endura-Blades/dp/B003O684GO/ref=sr_1_1?keywords=Tajima+LC-500+Heavy+Duty+Ergonomic+Utility+Knife%2C+Auto+Blade+Lock%2C+3+x+Endura-Blade&amp;qid=1695173886&amp;sr=8-1</v>
      </c>
      <c r="F3235" t="s">
        <v>3828</v>
      </c>
      <c r="G3235" t="e">
        <f ca="1">_xludf.IMAGE("https://edmondsonsupply.com/cdn/shop/products/LC-500_s.jpg?v=1633031159")</f>
        <v>#NAME?</v>
      </c>
      <c r="H3235" t="e">
        <f ca="1">_xludf.IMAGE("https://m.media-amazon.com/images/I/61+jGAA-25L._AC_UL320_.jpg")</f>
        <v>#NAME?</v>
      </c>
      <c r="I3235" t="s">
        <v>2219</v>
      </c>
      <c r="J3235">
        <v>10.43</v>
      </c>
      <c r="K3235" s="4">
        <v>0.2142</v>
      </c>
      <c r="L3235">
        <v>4.8</v>
      </c>
      <c r="M3235">
        <v>25</v>
      </c>
      <c r="O3235" t="s">
        <v>25</v>
      </c>
      <c r="P3235" t="s">
        <v>138</v>
      </c>
      <c r="Q3235" t="s">
        <v>3829</v>
      </c>
    </row>
    <row r="3236" spans="1:17" ht="15.5" x14ac:dyDescent="0.35">
      <c r="A3236"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3236"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3236" t="s">
        <v>7089</v>
      </c>
      <c r="D3236" t="s">
        <v>2643</v>
      </c>
      <c r="E3236" s="3" t="str">
        <f>HYPERLINK("https://www.amazon.com/Channellock-Tongue-12-Inch-Straight-Comfort/dp/B0BFXKVMMD/ref=sr_1_10?keywords=Channellock+440X+12-Inch+SPEEDGRIP%E2%84%A2+Straight+Jaw+Tongue+%26+Groove+Pliers&amp;qid=1695174216&amp;sr=8-10", "https://www.amazon.com/Channellock-Tongue-12-Inch-Straight-Comfort/dp/B0BFXKVMMD/ref=sr_1_10?keywords=Channellock+440X+12-Inch+SPEEDGRIP%E2%84%A2+Straight+Jaw+Tongue+%26+Groove+Pliers&amp;qid=1695174216&amp;sr=8-10")</f>
        <v>https://www.amazon.com/Channellock-Tongue-12-Inch-Straight-Comfort/dp/B0BFXKVMMD/ref=sr_1_10?keywords=Channellock+440X+12-Inch+SPEEDGRIP%E2%84%A2+Straight+Jaw+Tongue+%26+Groove+Pliers&amp;qid=1695174216&amp;sr=8-10</v>
      </c>
      <c r="F3236" t="s">
        <v>2644</v>
      </c>
      <c r="G3236" t="e">
        <f ca="1">_xludf.IMAGE("https://edmondsonsupply.com/cdn/shop/products/440X.jpg?v=1647104734")</f>
        <v>#NAME?</v>
      </c>
      <c r="H3236" t="e">
        <f ca="1">_xludf.IMAGE("https://m.media-amazon.com/images/I/41AZjjLwtIL._AC_UL320_.jpg")</f>
        <v>#NAME?</v>
      </c>
      <c r="I3236" t="s">
        <v>122</v>
      </c>
      <c r="J3236">
        <v>39.94</v>
      </c>
      <c r="K3236" s="4">
        <v>0.21210000000000001</v>
      </c>
      <c r="L3236">
        <v>3</v>
      </c>
      <c r="M3236">
        <v>1</v>
      </c>
      <c r="O3236" t="s">
        <v>25</v>
      </c>
      <c r="P3236" t="s">
        <v>7092</v>
      </c>
      <c r="Q3236" t="s">
        <v>7093</v>
      </c>
    </row>
    <row r="3237" spans="1:17" ht="15.5" x14ac:dyDescent="0.35">
      <c r="A3237"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3237"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3237" t="s">
        <v>6463</v>
      </c>
      <c r="D3237" t="s">
        <v>7167</v>
      </c>
      <c r="E3237" s="3" t="str">
        <f>HYPERLINK("https://www.amazon.com/Ball-End-Journeyman-Klein-Tools-JTH6E09BE/dp/B004QW2H9U/ref=sr_1_6?keywords=Klein+Tools+JTH6M6BE+6+mm+Ball-End+Hex+Key%2C+Journeyman%E2%84%A2+T-Handle%2C+6-Inch&amp;qid=1695174142&amp;sr=8-6", "https://www.amazon.com/Ball-End-Journeyman-Klein-Tools-JTH6E09BE/dp/B004QW2H9U/ref=sr_1_6?keywords=Klein+Tools+JTH6M6BE+6+mm+Ball-End+Hex+Key%2C+Journeyman%E2%84%A2+T-Handle%2C+6-Inch&amp;qid=1695174142&amp;sr=8-6")</f>
        <v>https://www.amazon.com/Ball-End-Journeyman-Klein-Tools-JTH6E09BE/dp/B004QW2H9U/ref=sr_1_6?keywords=Klein+Tools+JTH6M6BE+6+mm+Ball-End+Hex+Key%2C+Journeyman%E2%84%A2+T-Handle%2C+6-Inch&amp;qid=1695174142&amp;sr=8-6</v>
      </c>
      <c r="F3237" t="s">
        <v>7168</v>
      </c>
      <c r="G3237" t="e">
        <f ca="1">_xludf.IMAGE("https://edmondsonsupply.com/cdn/shop/products/jth6m8be_8608088e-2ec0-429e-80d7-5bd927a3a1b6.jpg?v=1666111557")</f>
        <v>#NAME?</v>
      </c>
      <c r="H3237" t="e">
        <f ca="1">_xludf.IMAGE("https://m.media-amazon.com/images/I/51f9vBFVXgL._AC_UL320_.jpg")</f>
        <v>#NAME?</v>
      </c>
      <c r="I3237" t="s">
        <v>2639</v>
      </c>
      <c r="J3237">
        <v>7.26</v>
      </c>
      <c r="K3237" s="4">
        <v>0.21199999999999999</v>
      </c>
      <c r="L3237">
        <v>4.9000000000000004</v>
      </c>
      <c r="M3237">
        <v>65</v>
      </c>
      <c r="O3237" t="s">
        <v>25</v>
      </c>
      <c r="P3237" t="s">
        <v>6464</v>
      </c>
      <c r="Q3237" t="s">
        <v>6465</v>
      </c>
    </row>
    <row r="3238" spans="1:17" ht="15.5" x14ac:dyDescent="0.35">
      <c r="A3238"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3238"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3238" t="s">
        <v>6351</v>
      </c>
      <c r="D3238" t="s">
        <v>2633</v>
      </c>
      <c r="E3238" s="3" t="str">
        <f>HYPERLINK("https://www.amazon.com/Journeyman-T-Handle-Klein-Tools-JTH9M5/dp/B005G3HJDW/ref=sr_1_7?keywords=Klein+Tools+JTH9E10+5%2F32-Inch+Hex+Key%2C+Journeyman+T-Handle%2C+9-Inch&amp;qid=1695174218&amp;sr=8-7", "https://www.amazon.com/Journeyman-T-Handle-Klein-Tools-JTH9M5/dp/B005G3HJDW/ref=sr_1_7?keywords=Klein+Tools+JTH9E10+5%2F32-Inch+Hex+Key%2C+Journeyman+T-Handle%2C+9-Inch&amp;qid=1695174218&amp;sr=8-7")</f>
        <v>https://www.amazon.com/Journeyman-T-Handle-Klein-Tools-JTH9M5/dp/B005G3HJDW/ref=sr_1_7?keywords=Klein+Tools+JTH9E10+5%2F32-Inch+Hex+Key%2C+Journeyman+T-Handle%2C+9-Inch&amp;qid=1695174218&amp;sr=8-7</v>
      </c>
      <c r="F3238" t="s">
        <v>2634</v>
      </c>
      <c r="G3238" t="e">
        <f ca="1">_xludf.IMAGE("https://edmondsonsupply.com/cdn/shop/products/jth9e12_37b16542-2f59-465e-8bba-0a543803dfd0.jpg?v=1647892900")</f>
        <v>#NAME?</v>
      </c>
      <c r="H3238" t="e">
        <f ca="1">_xludf.IMAGE("https://m.media-amazon.com/images/I/51O91N8K8wL._AC_UL320_.jpg")</f>
        <v>#NAME?</v>
      </c>
      <c r="I3238" t="s">
        <v>2389</v>
      </c>
      <c r="J3238">
        <v>9.1999999999999993</v>
      </c>
      <c r="K3238" s="4">
        <v>0.21049999999999999</v>
      </c>
      <c r="L3238">
        <v>4.7</v>
      </c>
      <c r="M3238">
        <v>160</v>
      </c>
      <c r="O3238" t="s">
        <v>171</v>
      </c>
      <c r="P3238" t="s">
        <v>138</v>
      </c>
      <c r="Q3238" t="s">
        <v>6352</v>
      </c>
    </row>
    <row r="3239" spans="1:17" ht="15.5" x14ac:dyDescent="0.35">
      <c r="A3239" s="3" t="str">
        <f>HYPERLINK("https://edmondsonsupply.com/collections/electricians-tools/products/diablo-tools-dmamx1050-9-16-in-x-8-in-x-13-in-rebar-demon%E2%84%A2-sds-max-4-cutter-full-carbide-head-hammer-drill-bit", "https://edmondsonsupply.com/collections/electricians-tools/products/diablo-tools-dmamx1050-9-16-in-x-8-in-x-13-in-rebar-demon%E2%84%A2-sds-max-4-cutter-full-carbide-head-hammer-drill-bit")</f>
        <v>https://edmondsonsupply.com/collections/electricians-tools/products/diablo-tools-dmamx1050-9-16-in-x-8-in-x-13-in-rebar-demon%E2%84%A2-sds-max-4-cutter-full-carbide-head-hammer-drill-bit</v>
      </c>
      <c r="B3239" s="3" t="str">
        <f>HYPERLINK("https://edmondsonsupply.com/products/diablo-tools-dmamx1050-9-16-in-x-8-in-x-13-in-rebar-demon%e2%84%a2-sds-max-4-cutter-full-carbide-head-hammer-drill-bit", "https://edmondsonsupply.com/products/diablo-tools-dmamx1050-9-16-in-x-8-in-x-13-in-rebar-demon%e2%84%a2-sds-max-4-cutter-full-carbide-head-hammer-drill-bit")</f>
        <v>https://edmondsonsupply.com/products/diablo-tools-dmamx1050-9-16-in-x-8-in-x-13-in-rebar-demon%e2%84%a2-sds-max-4-cutter-full-carbide-head-hammer-drill-bit</v>
      </c>
      <c r="C3239" t="s">
        <v>7491</v>
      </c>
      <c r="D3239" t="s">
        <v>7492</v>
      </c>
      <c r="E3239" s="3" t="str">
        <f>HYPERLINK("https://www.amazon.com/Diablo-SDS-Max-4-Cutter-Carbide-Hammer/dp/B089LGB35P/ref=sr_1_5?keywords=Diablo+Tools+DMAMX1050+9%2F16+in.+x+8+in.+x+13+in.+Rebar+Demon%E2%84%A2+SDS-Max+4-Cutter+Full+Carbide+Head+Hammer+Drill+Bit&amp;qid=1695174267&amp;sr=8-5", "https://www.amazon.com/Diablo-SDS-Max-4-Cutter-Carbide-Hammer/dp/B089LGB35P/ref=sr_1_5?keywords=Diablo+Tools+DMAMX1050+9%2F16+in.+x+8+in.+x+13+in.+Rebar+Demon%E2%84%A2+SDS-Max+4-Cutter+Full+Carbide+Head+Hammer+Drill+Bit&amp;qid=1695174267&amp;sr=8-5")</f>
        <v>https://www.amazon.com/Diablo-SDS-Max-4-Cutter-Carbide-Hammer/dp/B089LGB35P/ref=sr_1_5?keywords=Diablo+Tools+DMAMX1050+9%2F16+in.+x+8+in.+x+13+in.+Rebar+Demon%E2%84%A2+SDS-Max+4-Cutter+Full+Carbide+Head+Hammer+Drill+Bit&amp;qid=1695174267&amp;sr=8-5</v>
      </c>
      <c r="F3239" t="s">
        <v>7493</v>
      </c>
      <c r="G3239" t="e">
        <f ca="1">_xludf.IMAGE("https://edmondsonsupply.com/cdn/shop/products/DMAMX1050_Main-Image20200701.png?v=1633031097")</f>
        <v>#NAME?</v>
      </c>
      <c r="H3239" t="e">
        <f ca="1">_xludf.IMAGE("https://m.media-amazon.com/images/I/61Wr1t8FMOL._AC_UL320_.jpg")</f>
        <v>#NAME?</v>
      </c>
      <c r="I3239" t="s">
        <v>7494</v>
      </c>
      <c r="J3239">
        <v>35.1</v>
      </c>
      <c r="K3239" s="4">
        <v>0.20250000000000001</v>
      </c>
      <c r="L3239">
        <v>4.2</v>
      </c>
      <c r="M3239">
        <v>5</v>
      </c>
      <c r="O3239" t="s">
        <v>25</v>
      </c>
      <c r="P3239" t="s">
        <v>7495</v>
      </c>
      <c r="Q3239" t="s">
        <v>7496</v>
      </c>
    </row>
    <row r="3240" spans="1:17" ht="15.5" x14ac:dyDescent="0.35">
      <c r="A3240"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3240" s="3" t="str">
        <f>HYPERLINK("https://edmondsonsupply.com/products/diablo-tools-d0760x-7-1-4-in-x-60-tooth-ultra-finish-saw-blade", "https://edmondsonsupply.com/products/diablo-tools-d0760x-7-1-4-in-x-60-tooth-ultra-finish-saw-blade")</f>
        <v>https://edmondsonsupply.com/products/diablo-tools-d0760x-7-1-4-in-x-60-tooth-ultra-finish-saw-blade</v>
      </c>
      <c r="C3240" t="s">
        <v>6011</v>
      </c>
      <c r="D3240" t="s">
        <v>7497</v>
      </c>
      <c r="E3240" s="3" t="str">
        <f>HYPERLINK("https://www.amazon.com/Bosch-DCB760-Circular-Extra-Fine-Finish/dp/B008FYUSTG/ref=sr_1_10?keywords=Diablo+Tools+D0760X+7-1%2F4+in.+x+60+Tooth+Ultra+Finish+Saw+Blade&amp;qid=1695174054&amp;sr=8-10", "https://www.amazon.com/Bosch-DCB760-Circular-Extra-Fine-Finish/dp/B008FYUSTG/ref=sr_1_10?keywords=Diablo+Tools+D0760X+7-1%2F4+in.+x+60+Tooth+Ultra+Finish+Saw+Blade&amp;qid=1695174054&amp;sr=8-10")</f>
        <v>https://www.amazon.com/Bosch-DCB760-Circular-Extra-Fine-Finish/dp/B008FYUSTG/ref=sr_1_10?keywords=Diablo+Tools+D0760X+7-1%2F4+in.+x+60+Tooth+Ultra+Finish+Saw+Blade&amp;qid=1695174054&amp;sr=8-10</v>
      </c>
      <c r="F3240" t="s">
        <v>7498</v>
      </c>
      <c r="G3240" t="e">
        <f ca="1">_xludf.IMAGE("https://edmondsonsupply.com/cdn/shop/products/vlfiqrihhfwf5bxirasx.webp?v=1678977162")</f>
        <v>#NAME?</v>
      </c>
      <c r="H3240" t="e">
        <f ca="1">_xludf.IMAGE("https://m.media-amazon.com/images/I/81LAAFurHXL._AC_UL320_.jpg")</f>
        <v>#NAME?</v>
      </c>
      <c r="I3240" t="s">
        <v>893</v>
      </c>
      <c r="J3240">
        <v>23.99</v>
      </c>
      <c r="K3240" s="4">
        <v>0.20130000000000001</v>
      </c>
      <c r="L3240">
        <v>4.7</v>
      </c>
      <c r="M3240">
        <v>589</v>
      </c>
      <c r="O3240" t="s">
        <v>25</v>
      </c>
      <c r="P3240" t="s">
        <v>6014</v>
      </c>
      <c r="Q3240" t="s">
        <v>6015</v>
      </c>
    </row>
    <row r="3241" spans="1:17" ht="15.5" x14ac:dyDescent="0.35">
      <c r="A3241"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3241"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3241" t="s">
        <v>6231</v>
      </c>
      <c r="D3241" t="s">
        <v>3854</v>
      </c>
      <c r="E3241" s="3" t="str">
        <f>HYPERLINK("https://www.amazon.com/Klein-Tools-80077-Electronic-Non-Contact/dp/B0B11F7Q69/ref=sr_1_9?keywords=Klein+Tools+NCVT1PKIT+Non-Contact+Voltage+and+GFCI+Receptacle+Test+Kit&amp;qid=1695174067&amp;sr=8-9", "https://www.amazon.com/Klein-Tools-80077-Electronic-Non-Contact/dp/B0B11F7Q69/ref=sr_1_9?keywords=Klein+Tools+NCVT1PKIT+Non-Contact+Voltage+and+GFCI+Receptacle+Test+Kit&amp;qid=1695174067&amp;sr=8-9")</f>
        <v>https://www.amazon.com/Klein-Tools-80077-Electronic-Non-Contact/dp/B0B11F7Q69/ref=sr_1_9?keywords=Klein+Tools+NCVT1PKIT+Non-Contact+Voltage+and+GFCI+Receptacle+Test+Kit&amp;qid=1695174067&amp;sr=8-9</v>
      </c>
      <c r="F3241" t="s">
        <v>3855</v>
      </c>
      <c r="G3241" t="e">
        <f ca="1">_xludf.IMAGE("https://edmondsonsupply.com/cdn/shop/products/ncvt1pkit.jpg?v=1677682920")</f>
        <v>#NAME?</v>
      </c>
      <c r="H3241" t="e">
        <f ca="1">_xludf.IMAGE("https://m.media-amazon.com/images/I/51cU3aEkbCL._AC_UL320_.jpg")</f>
        <v>#NAME?</v>
      </c>
      <c r="I3241" t="s">
        <v>859</v>
      </c>
      <c r="J3241">
        <v>29.99</v>
      </c>
      <c r="K3241" s="4">
        <v>0.20100000000000001</v>
      </c>
      <c r="L3241">
        <v>4.5999999999999996</v>
      </c>
      <c r="M3241">
        <v>183</v>
      </c>
      <c r="O3241" t="s">
        <v>25</v>
      </c>
      <c r="P3241" t="s">
        <v>6234</v>
      </c>
      <c r="Q3241" t="s">
        <v>6235</v>
      </c>
    </row>
    <row r="3242" spans="1:17" ht="15.5" x14ac:dyDescent="0.35">
      <c r="A3242"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3242"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3242" t="s">
        <v>6812</v>
      </c>
      <c r="D3242" t="s">
        <v>7499</v>
      </c>
      <c r="E3242" s="3" t="str">
        <f>HYPERLINK("https://www.amazon.com/Klein-Tools-6846INS-Screwdriver-Cushion-Grip/dp/B0BF7X96QK/ref=sr_1_9?keywords=Klein+Tools+6824INS+Insulated+Screwdriver%2C+1%2F4-Inch+Cabinet+Tip%2C+4-Inch+Round+Shank&amp;qid=1695174148&amp;sr=8-9", "https://www.amazon.com/Klein-Tools-6846INS-Screwdriver-Cushion-Grip/dp/B0BF7X96QK/ref=sr_1_9?keywords=Klein+Tools+6824INS+Insulated+Screwdriver%2C+1%2F4-Inch+Cabinet+Tip%2C+4-Inch+Round+Shank&amp;qid=1695174148&amp;sr=8-9")</f>
        <v>https://www.amazon.com/Klein-Tools-6846INS-Screwdriver-Cushion-Grip/dp/B0BF7X96QK/ref=sr_1_9?keywords=Klein+Tools+6824INS+Insulated+Screwdriver%2C+1%2F4-Inch+Cabinet+Tip%2C+4-Inch+Round+Shank&amp;qid=1695174148&amp;sr=8-9</v>
      </c>
      <c r="F3242" t="s">
        <v>7500</v>
      </c>
      <c r="G3242" t="e">
        <f ca="1">_xludf.IMAGE("https://edmondsonsupply.com/cdn/shop/products/6824ins.jpg?v=1664813487")</f>
        <v>#NAME?</v>
      </c>
      <c r="H3242" t="e">
        <f ca="1">_xludf.IMAGE("https://m.media-amazon.com/images/I/31EOUkZ6n3L._AC_UL320_.jpg")</f>
        <v>#NAME?</v>
      </c>
      <c r="I3242" t="s">
        <v>1427</v>
      </c>
      <c r="J3242">
        <v>11.97</v>
      </c>
      <c r="K3242" s="4">
        <v>0.2006</v>
      </c>
      <c r="L3242">
        <v>4.8</v>
      </c>
      <c r="M3242">
        <v>207</v>
      </c>
      <c r="O3242" t="s">
        <v>25</v>
      </c>
      <c r="P3242" t="s">
        <v>6813</v>
      </c>
      <c r="Q3242" t="s">
        <v>6814</v>
      </c>
    </row>
    <row r="3243" spans="1:17" ht="15.5" x14ac:dyDescent="0.35">
      <c r="A3243"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3243"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3243" t="s">
        <v>7214</v>
      </c>
      <c r="D3243" t="s">
        <v>7499</v>
      </c>
      <c r="E3243" s="3" t="str">
        <f>HYPERLINK("https://www.amazon.com/Klein-Tools-6846INS-Screwdriver-Cushion-Grip/dp/B0BF7X96QK/ref=sr_1_2?keywords=Klein+Tools+6844INS+Insulated+Screwdriver%2C+%232+Square+Tip%2C+4-Inch+Round+Shank&amp;qid=1695174147&amp;sr=8-2", "https://www.amazon.com/Klein-Tools-6846INS-Screwdriver-Cushion-Grip/dp/B0BF7X96QK/ref=sr_1_2?keywords=Klein+Tools+6844INS+Insulated+Screwdriver%2C+%232+Square+Tip%2C+4-Inch+Round+Shank&amp;qid=1695174147&amp;sr=8-2")</f>
        <v>https://www.amazon.com/Klein-Tools-6846INS-Screwdriver-Cushion-Grip/dp/B0BF7X96QK/ref=sr_1_2?keywords=Klein+Tools+6844INS+Insulated+Screwdriver%2C+%232+Square+Tip%2C+4-Inch+Round+Shank&amp;qid=1695174147&amp;sr=8-2</v>
      </c>
      <c r="F3243" t="s">
        <v>7500</v>
      </c>
      <c r="G3243" t="e">
        <f ca="1">_xludf.IMAGE("https://edmondsonsupply.com/cdn/shop/products/6844ins.jpg?v=1664817203")</f>
        <v>#NAME?</v>
      </c>
      <c r="H3243" t="e">
        <f ca="1">_xludf.IMAGE("https://m.media-amazon.com/images/I/31EOUkZ6n3L._AC_UL320_.jpg")</f>
        <v>#NAME?</v>
      </c>
      <c r="I3243" t="s">
        <v>1427</v>
      </c>
      <c r="J3243">
        <v>11.97</v>
      </c>
      <c r="K3243" s="4">
        <v>0.2006</v>
      </c>
      <c r="L3243">
        <v>4.8</v>
      </c>
      <c r="M3243">
        <v>207</v>
      </c>
      <c r="O3243" t="s">
        <v>25</v>
      </c>
      <c r="P3243" t="s">
        <v>7217</v>
      </c>
      <c r="Q3243" t="s">
        <v>7218</v>
      </c>
    </row>
    <row r="3244" spans="1:17" ht="15.5" x14ac:dyDescent="0.35">
      <c r="A3244"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3244"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3244" t="s">
        <v>3227</v>
      </c>
      <c r="D3244" t="s">
        <v>3846</v>
      </c>
      <c r="E3244" s="3" t="str">
        <f>HYPERLINK("https://www.amazon.com/Klein-Tools-80130-Multimeter-Non-Contact/dp/B0BVSK581C/ref=sr_1_6?keywords=Klein+Tools+MM320KIT+Digital+Multimeter+Electrical+Test+Kit&amp;qid=1695173860&amp;sr=8-6", "https://www.amazon.com/Klein-Tools-80130-Multimeter-Non-Contact/dp/B0BVSK581C/ref=sr_1_6?keywords=Klein+Tools+MM320KIT+Digital+Multimeter+Electrical+Test+Kit&amp;qid=1695173860&amp;sr=8-6")</f>
        <v>https://www.amazon.com/Klein-Tools-80130-Multimeter-Non-Contact/dp/B0BVSK581C/ref=sr_1_6?keywords=Klein+Tools+MM320KIT+Digital+Multimeter+Electrical+Test+Kit&amp;qid=1695173860&amp;sr=8-6</v>
      </c>
      <c r="F3244" t="s">
        <v>3847</v>
      </c>
      <c r="G3244" t="e">
        <f ca="1">_xludf.IMAGE("https://edmondsonsupply.com/cdn/shop/products/mm320kit_photo.jpg?v=1660756496")</f>
        <v>#NAME?</v>
      </c>
      <c r="H3244" t="e">
        <f ca="1">_xludf.IMAGE("https://m.media-amazon.com/images/I/61U30g-38NL._AC_UL320_.jpg")</f>
        <v>#NAME?</v>
      </c>
      <c r="I3244" t="s">
        <v>380</v>
      </c>
      <c r="J3244">
        <v>59.99</v>
      </c>
      <c r="K3244" s="4">
        <v>0.20050000000000001</v>
      </c>
      <c r="L3244">
        <v>5</v>
      </c>
      <c r="M3244">
        <v>2</v>
      </c>
      <c r="O3244" t="s">
        <v>25</v>
      </c>
      <c r="P3244" t="s">
        <v>3230</v>
      </c>
      <c r="Q3244" t="s">
        <v>3231</v>
      </c>
    </row>
    <row r="3245" spans="1:17" ht="15.5" x14ac:dyDescent="0.35">
      <c r="A3245"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3245" s="3" t="str">
        <f>HYPERLINK("https://edmondsonsupply.com/products/milwaukee-2912-22-m18-fuel%e2%84%a2-1-sds-plus-rotary-hammer-kit", "https://edmondsonsupply.com/products/milwaukee-2912-22-m18-fuel%e2%84%a2-1-sds-plus-rotary-hammer-kit")</f>
        <v>https://edmondsonsupply.com/products/milwaukee-2912-22-m18-fuel%e2%84%a2-1-sds-plus-rotary-hammer-kit</v>
      </c>
      <c r="C3245" t="s">
        <v>3848</v>
      </c>
      <c r="D3245" t="s">
        <v>3849</v>
      </c>
      <c r="E3245" s="3" t="str">
        <f>HYPERLINK("https://www.amazon.com/Milwaukee-2715-22-Fuel-Rotary-Hammer/dp/B00OTXQUL2/ref=sr_1_3?keywords=Milwaukee+2912-22+M18+FUEL%E2%84%A2+1%22+SDS+Plus+Rotary+Hammer+Kit&amp;qid=1695174040&amp;sr=8-3", "https://www.amazon.com/Milwaukee-2715-22-Fuel-Rotary-Hammer/dp/B00OTXQUL2/ref=sr_1_3?keywords=Milwaukee+2912-22+M18+FUEL%E2%84%A2+1%22+SDS+Plus+Rotary+Hammer+Kit&amp;qid=1695174040&amp;sr=8-3")</f>
        <v>https://www.amazon.com/Milwaukee-2715-22-Fuel-Rotary-Hammer/dp/B00OTXQUL2/ref=sr_1_3?keywords=Milwaukee+2912-22+M18+FUEL%E2%84%A2+1%22+SDS+Plus+Rotary+Hammer+Kit&amp;qid=1695174040&amp;sr=8-3</v>
      </c>
      <c r="F3245" t="s">
        <v>3850</v>
      </c>
      <c r="G3245" t="e">
        <f ca="1">_xludf.IMAGE("https://edmondsonsupply.com/cdn/shop/files/2912-20_1.webp?v=1686934956")</f>
        <v>#NAME?</v>
      </c>
      <c r="H3245" t="e">
        <f ca="1">_xludf.IMAGE("https://m.media-amazon.com/images/I/615tfbdfVfL._AC_UL320_.jpg")</f>
        <v>#NAME?</v>
      </c>
      <c r="I3245" t="s">
        <v>3851</v>
      </c>
      <c r="J3245">
        <v>719</v>
      </c>
      <c r="K3245" s="4">
        <v>0.20030000000000001</v>
      </c>
      <c r="L3245">
        <v>4.2</v>
      </c>
      <c r="M3245">
        <v>21</v>
      </c>
      <c r="O3245" t="s">
        <v>25</v>
      </c>
      <c r="P3245" t="s">
        <v>3852</v>
      </c>
      <c r="Q3245" t="s">
        <v>3853</v>
      </c>
    </row>
    <row r="3246" spans="1:17" ht="15.5" x14ac:dyDescent="0.35">
      <c r="A3246"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3246" s="3" t="str">
        <f>HYPERLINK("https://edmondsonsupply.com/products/klein-tools-d502-10-pump-pliers-10-inch", "https://edmondsonsupply.com/products/klein-tools-d502-10-pump-pliers-10-inch")</f>
        <v>https://edmondsonsupply.com/products/klein-tools-d502-10-pump-pliers-10-inch</v>
      </c>
      <c r="C3246" t="s">
        <v>6607</v>
      </c>
      <c r="D3246" t="s">
        <v>7501</v>
      </c>
      <c r="E3246" s="3" t="str">
        <f>HYPERLINK("https://www.amazon.com/Classic-10-Inch-Klein-Tools-D504-10/dp/B00BJ4ORCI/ref=sr_1_6?keywords=Klein+Tools+D502-10+Pump+Pliers%2C+10-Inch&amp;qid=1695174291&amp;sr=8-6", "https://www.amazon.com/Classic-10-Inch-Klein-Tools-D504-10/dp/B00BJ4ORCI/ref=sr_1_6?keywords=Klein+Tools+D502-10+Pump+Pliers%2C+10-Inch&amp;qid=1695174291&amp;sr=8-6")</f>
        <v>https://www.amazon.com/Classic-10-Inch-Klein-Tools-D504-10/dp/B00BJ4ORCI/ref=sr_1_6?keywords=Klein+Tools+D502-10+Pump+Pliers%2C+10-Inch&amp;qid=1695174291&amp;sr=8-6</v>
      </c>
      <c r="F3246" t="s">
        <v>7502</v>
      </c>
      <c r="G3246" t="e">
        <f ca="1">_xludf.IMAGE("https://edmondsonsupply.com/cdn/shop/products/d50210_alt1.jpg?v=1633030884")</f>
        <v>#NAME?</v>
      </c>
      <c r="H3246" t="e">
        <f ca="1">_xludf.IMAGE("https://m.media-amazon.com/images/I/41rrivMv9dL._AC_UL320_.jpg")</f>
        <v>#NAME?</v>
      </c>
      <c r="I3246" t="s">
        <v>471</v>
      </c>
      <c r="J3246">
        <v>29.99</v>
      </c>
      <c r="K3246" s="4">
        <v>0.2001</v>
      </c>
      <c r="L3246">
        <v>4.7</v>
      </c>
      <c r="M3246">
        <v>622</v>
      </c>
      <c r="O3246" t="s">
        <v>25</v>
      </c>
      <c r="P3246" t="s">
        <v>6610</v>
      </c>
      <c r="Q3246" t="s">
        <v>6611</v>
      </c>
    </row>
    <row r="3247" spans="1:17" ht="15.5" x14ac:dyDescent="0.35">
      <c r="A3247"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3247"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3247" t="s">
        <v>2155</v>
      </c>
      <c r="D3247" t="s">
        <v>3854</v>
      </c>
      <c r="E3247" s="3" t="str">
        <f>HYPERLINK("https://www.amazon.com/Klein-Tools-80077-Electronic-Non-Contact/dp/B0B11F7Q69/ref=sr_1_8?keywords=Klein+Tools+NCVT1XTKIT+Non-Contact+Voltage+and+GFCI+Receptacle+Premium+Test+Kit&amp;qid=1695173872&amp;sr=8-8", "https://www.amazon.com/Klein-Tools-80077-Electronic-Non-Contact/dp/B0B11F7Q69/ref=sr_1_8?keywords=Klein+Tools+NCVT1XTKIT+Non-Contact+Voltage+and+GFCI+Receptacle+Premium+Test+Kit&amp;qid=1695173872&amp;sr=8-8")</f>
        <v>https://www.amazon.com/Klein-Tools-80077-Electronic-Non-Contact/dp/B0B11F7Q69/ref=sr_1_8?keywords=Klein+Tools+NCVT1XTKIT+Non-Contact+Voltage+and+GFCI+Receptacle+Premium+Test+Kit&amp;qid=1695173872&amp;sr=8-8</v>
      </c>
      <c r="F3247" t="s">
        <v>3855</v>
      </c>
      <c r="G3247" t="e">
        <f ca="1">_xludf.IMAGE("https://edmondsonsupply.com/cdn/shop/products/ncvt1xtkit.jpg?v=1674497102")</f>
        <v>#NAME?</v>
      </c>
      <c r="H3247" t="e">
        <f ca="1">_xludf.IMAGE("https://m.media-amazon.com/images/I/51cU3aEkbCL._AC_UL320_.jpg")</f>
        <v>#NAME?</v>
      </c>
      <c r="I3247" t="s">
        <v>471</v>
      </c>
      <c r="J3247">
        <v>29.99</v>
      </c>
      <c r="K3247" s="4">
        <v>0.2001</v>
      </c>
      <c r="L3247">
        <v>4.5999999999999996</v>
      </c>
      <c r="M3247">
        <v>183</v>
      </c>
      <c r="O3247" t="s">
        <v>25</v>
      </c>
      <c r="P3247" t="s">
        <v>2158</v>
      </c>
      <c r="Q3247" t="s">
        <v>2159</v>
      </c>
    </row>
    <row r="3248" spans="1:17" ht="15.5" x14ac:dyDescent="0.35">
      <c r="A3248"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3248" s="3" t="str">
        <f>HYPERLINK("https://edmondsonsupply.com/products/klein-tools-d507-8-adjustable-wrench-extra-capacity-8-inch", "https://edmondsonsupply.com/products/klein-tools-d507-8-adjustable-wrench-extra-capacity-8-inch")</f>
        <v>https://edmondsonsupply.com/products/klein-tools-d507-8-adjustable-wrench-extra-capacity-8-inch</v>
      </c>
      <c r="C3248" t="s">
        <v>6699</v>
      </c>
      <c r="D3248" t="s">
        <v>7503</v>
      </c>
      <c r="E3248" s="3" t="str">
        <f>HYPERLINK("https://www.amazon.com/Adjustable-Capacity-Klein-Tools-D507-10/dp/B000ALGRG0/ref=sr_1_4?keywords=Klein+Tools+D507-8+Adjustable+Wrench%2C+Extra+Capacity+8-Inch&amp;qid=1695173949&amp;sr=8-4", "https://www.amazon.com/Adjustable-Capacity-Klein-Tools-D507-10/dp/B000ALGRG0/ref=sr_1_4?keywords=Klein+Tools+D507-8+Adjustable+Wrench%2C+Extra+Capacity+8-Inch&amp;qid=1695173949&amp;sr=8-4")</f>
        <v>https://www.amazon.com/Adjustable-Capacity-Klein-Tools-D507-10/dp/B000ALGRG0/ref=sr_1_4?keywords=Klein+Tools+D507-8+Adjustable+Wrench%2C+Extra+Capacity+8-Inch&amp;qid=1695173949&amp;sr=8-4</v>
      </c>
      <c r="F3248" t="s">
        <v>7504</v>
      </c>
      <c r="G3248" t="e">
        <f ca="1">_xludf.IMAGE("https://edmondsonsupply.com/cdn/shop/products/d5078_b.jpg?v=1666010497")</f>
        <v>#NAME?</v>
      </c>
      <c r="H3248" t="e">
        <f ca="1">_xludf.IMAGE("https://m.media-amazon.com/images/I/51G2nXuUvrL._AC_UL320_.jpg")</f>
        <v>#NAME?</v>
      </c>
      <c r="I3248" t="s">
        <v>26</v>
      </c>
      <c r="J3248">
        <v>35.99</v>
      </c>
      <c r="K3248" s="4">
        <v>0.2001</v>
      </c>
      <c r="L3248">
        <v>4.8</v>
      </c>
      <c r="M3248">
        <v>497</v>
      </c>
      <c r="O3248" t="s">
        <v>25</v>
      </c>
      <c r="P3248" t="s">
        <v>1327</v>
      </c>
      <c r="Q3248" t="s">
        <v>6700</v>
      </c>
    </row>
    <row r="3249" spans="1:17" ht="15.5" x14ac:dyDescent="0.35">
      <c r="A3249"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3249" s="3" t="str">
        <f>HYPERLINK("https://edmondsonsupply.com/products/klein-tools-d507-8-adjustable-wrench-extra-capacity-8-inch", "https://edmondsonsupply.com/products/klein-tools-d507-8-adjustable-wrench-extra-capacity-8-inch")</f>
        <v>https://edmondsonsupply.com/products/klein-tools-d507-8-adjustable-wrench-extra-capacity-8-inch</v>
      </c>
      <c r="C3249" t="s">
        <v>6699</v>
      </c>
      <c r="D3249" t="s">
        <v>7505</v>
      </c>
      <c r="E3249" s="3" t="str">
        <f>HYPERLINK("https://www.amazon.com/Klein-Tools-507-10-Adjustable-Extra-Capacity/dp/B001BQ0DZE/ref=sr_1_9?keywords=Klein+Tools+D507-8+Adjustable+Wrench%2C+Extra+Capacity+8-Inch&amp;qid=1695173949&amp;sr=8-9", "https://www.amazon.com/Klein-Tools-507-10-Adjustable-Extra-Capacity/dp/B001BQ0DZE/ref=sr_1_9?keywords=Klein+Tools+D507-8+Adjustable+Wrench%2C+Extra+Capacity+8-Inch&amp;qid=1695173949&amp;sr=8-9")</f>
        <v>https://www.amazon.com/Klein-Tools-507-10-Adjustable-Extra-Capacity/dp/B001BQ0DZE/ref=sr_1_9?keywords=Klein+Tools+D507-8+Adjustable+Wrench%2C+Extra+Capacity+8-Inch&amp;qid=1695173949&amp;sr=8-9</v>
      </c>
      <c r="F3249" t="s">
        <v>7506</v>
      </c>
      <c r="G3249" t="e">
        <f ca="1">_xludf.IMAGE("https://edmondsonsupply.com/cdn/shop/products/d5078_b.jpg?v=1666010497")</f>
        <v>#NAME?</v>
      </c>
      <c r="H3249" t="e">
        <f ca="1">_xludf.IMAGE("https://m.media-amazon.com/images/I/41QFoeMz0WL._AC_UL320_.jpg")</f>
        <v>#NAME?</v>
      </c>
      <c r="I3249" t="s">
        <v>26</v>
      </c>
      <c r="J3249">
        <v>35.99</v>
      </c>
      <c r="K3249" s="4">
        <v>0.2001</v>
      </c>
      <c r="L3249">
        <v>4.7</v>
      </c>
      <c r="M3249">
        <v>20</v>
      </c>
      <c r="O3249" t="s">
        <v>25</v>
      </c>
      <c r="P3249" t="s">
        <v>1327</v>
      </c>
      <c r="Q3249" t="s">
        <v>6700</v>
      </c>
    </row>
    <row r="3250" spans="1:17" ht="15.5" x14ac:dyDescent="0.35">
      <c r="A3250"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3250" s="3" t="str">
        <f>HYPERLINK("https://edmondsonsupply.com/products/klein-tools-31902-bi-metal-hole-saw-kit-8-piece", "https://edmondsonsupply.com/products/klein-tools-31902-bi-metal-hole-saw-kit-8-piece")</f>
        <v>https://edmondsonsupply.com/products/klein-tools-31902-bi-metal-hole-saw-kit-8-piece</v>
      </c>
      <c r="C3250" t="s">
        <v>6259</v>
      </c>
      <c r="D3250" t="s">
        <v>6481</v>
      </c>
      <c r="E3250" s="3" t="str">
        <f>HYPERLINK("https://www.amazon.com/Carbide-Cutter-Klein-Tools-31872/dp/B003CCR97A/ref=sr_1_4?keywords=Klein+Tools+31902+Bi-Metal+Hole+Saw+Kit%2C+8-Piece&amp;qid=1695174040&amp;sr=8-4", "https://www.amazon.com/Carbide-Cutter-Klein-Tools-31872/dp/B003CCR97A/ref=sr_1_4?keywords=Klein+Tools+31902+Bi-Metal+Hole+Saw+Kit%2C+8-Piece&amp;qid=1695174040&amp;sr=8-4")</f>
        <v>https://www.amazon.com/Carbide-Cutter-Klein-Tools-31872/dp/B003CCR97A/ref=sr_1_4?keywords=Klein+Tools+31902+Bi-Metal+Hole+Saw+Kit%2C+8-Piece&amp;qid=1695174040&amp;sr=8-4</v>
      </c>
      <c r="F3250" t="s">
        <v>6482</v>
      </c>
      <c r="G3250" t="e">
        <f ca="1">_xludf.IMAGE("https://edmondsonsupply.com/cdn/shop/products/31902.jpg?v=1679665390")</f>
        <v>#NAME?</v>
      </c>
      <c r="H3250" t="e">
        <f ca="1">_xludf.IMAGE("https://m.media-amazon.com/images/I/61oX7BDmtJL._AC_UL320_.jpg")</f>
        <v>#NAME?</v>
      </c>
      <c r="I3250" t="s">
        <v>320</v>
      </c>
      <c r="J3250">
        <v>89.99</v>
      </c>
      <c r="K3250" s="4">
        <v>0.2</v>
      </c>
      <c r="L3250">
        <v>4.7</v>
      </c>
      <c r="M3250">
        <v>929</v>
      </c>
      <c r="O3250" t="s">
        <v>25</v>
      </c>
      <c r="P3250" t="s">
        <v>6260</v>
      </c>
      <c r="Q3250" t="s">
        <v>6261</v>
      </c>
    </row>
    <row r="3251" spans="1:17" ht="15.5" x14ac:dyDescent="0.35">
      <c r="A3251"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3251"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3251" t="s">
        <v>6861</v>
      </c>
      <c r="D3251" t="s">
        <v>7507</v>
      </c>
      <c r="E3251" s="3" t="str">
        <f>HYPERLINK("https://www.amazon.com/Klein-Tools-Auto-Ranging-Resistance-Continuity/dp/B0BC885SQJ/ref=sr_1_5?keywords=Klein+Tools+CL220+Digital+Clamp+Meter%2C+AC+Auto-Ranging+400+Amp+with+Temp&amp;qid=1695174305&amp;sr=8-5", "https://www.amazon.com/Klein-Tools-Auto-Ranging-Resistance-Continuity/dp/B0BC885SQJ/ref=sr_1_5?keywords=Klein+Tools+CL220+Digital+Clamp+Meter%2C+AC+Auto-Ranging+400+Amp+with+Temp&amp;qid=1695174305&amp;sr=8-5")</f>
        <v>https://www.amazon.com/Klein-Tools-Auto-Ranging-Resistance-Continuity/dp/B0BC885SQJ/ref=sr_1_5?keywords=Klein+Tools+CL220+Digital+Clamp+Meter%2C+AC+Auto-Ranging+400+Amp+with+Temp&amp;qid=1695174305&amp;sr=8-5</v>
      </c>
      <c r="F3251" t="s">
        <v>7508</v>
      </c>
      <c r="G3251" t="e">
        <f ca="1">_xludf.IMAGE("https://edmondsonsupply.com/cdn/shop/products/cl220.jpg?v=1633030821")</f>
        <v>#NAME?</v>
      </c>
      <c r="H3251" t="e">
        <f ca="1">_xludf.IMAGE("https://m.media-amazon.com/images/I/51eYCwafd6L._AC_UY218_.jpg")</f>
        <v>#NAME?</v>
      </c>
      <c r="I3251" t="s">
        <v>356</v>
      </c>
      <c r="J3251">
        <v>83.96</v>
      </c>
      <c r="K3251" s="4">
        <v>0.19989999999999999</v>
      </c>
      <c r="L3251">
        <v>4</v>
      </c>
      <c r="M3251">
        <v>1</v>
      </c>
      <c r="O3251" t="s">
        <v>25</v>
      </c>
      <c r="P3251" t="s">
        <v>6864</v>
      </c>
      <c r="Q3251" t="s">
        <v>6865</v>
      </c>
    </row>
    <row r="3252" spans="1:17" ht="15.5" x14ac:dyDescent="0.35">
      <c r="A3252" s="3" t="str">
        <f>HYPERLINK("https://edmondsonsupply.com/collections/electricians-tools/products/klein-tools-et180-digital-differential-manometer", "https://edmondsonsupply.com/collections/electricians-tools/products/klein-tools-et180-digital-differential-manometer")</f>
        <v>https://edmondsonsupply.com/collections/electricians-tools/products/klein-tools-et180-digital-differential-manometer</v>
      </c>
      <c r="B3252" s="3" t="str">
        <f>HYPERLINK("https://edmondsonsupply.com/products/klein-tools-et180-digital-differential-manometer", "https://edmondsonsupply.com/products/klein-tools-et180-digital-differential-manometer")</f>
        <v>https://edmondsonsupply.com/products/klein-tools-et180-digital-differential-manometer</v>
      </c>
      <c r="C3252" t="s">
        <v>7509</v>
      </c>
      <c r="D3252" t="s">
        <v>7510</v>
      </c>
      <c r="E3252" s="3" t="str">
        <f>HYPERLINK("https://www.amazon.com/Manometer-Differential-Klein-Tools-Thermometer/dp/B0BD3TD1X3/ref=sr_1_2?keywords=Klein+Tools+ET180+Digital+Differential+Manometer&amp;qid=1695173879&amp;sr=8-2", "https://www.amazon.com/Manometer-Differential-Klein-Tools-Thermometer/dp/B0BD3TD1X3/ref=sr_1_2?keywords=Klein+Tools+ET180+Digital+Differential+Manometer&amp;qid=1695173879&amp;sr=8-2")</f>
        <v>https://www.amazon.com/Manometer-Differential-Klein-Tools-Thermometer/dp/B0BD3TD1X3/ref=sr_1_2?keywords=Klein+Tools+ET180+Digital+Differential+Manometer&amp;qid=1695173879&amp;sr=8-2</v>
      </c>
      <c r="F3252" t="s">
        <v>7511</v>
      </c>
      <c r="G3252" t="e">
        <f ca="1">_xludf.IMAGE("https://edmondsonsupply.com/cdn/shop/products/et180.jpg?v=1664390112")</f>
        <v>#NAME?</v>
      </c>
      <c r="H3252" t="e">
        <f ca="1">_xludf.IMAGE("https://m.media-amazon.com/images/I/51-5iG6Yo-L._AC_UY218_.jpg")</f>
        <v>#NAME?</v>
      </c>
      <c r="I3252" t="s">
        <v>7512</v>
      </c>
      <c r="J3252">
        <v>131.97999999999999</v>
      </c>
      <c r="K3252" s="4">
        <v>0.19989999999999999</v>
      </c>
      <c r="L3252">
        <v>5</v>
      </c>
      <c r="M3252">
        <v>2</v>
      </c>
      <c r="O3252" t="s">
        <v>25</v>
      </c>
      <c r="P3252" t="s">
        <v>7513</v>
      </c>
      <c r="Q3252" t="s">
        <v>7514</v>
      </c>
    </row>
    <row r="3253" spans="1:17" ht="15.5" x14ac:dyDescent="0.35">
      <c r="A3253" s="3" t="str">
        <f>HYPERLINK("https://edmondsonsupply.com/collections/electricians-tools/products/klein-tools-mm720-digital-multimeter-trms-auto-ranging-1000v-temp-low-impedance", "https://edmondsonsupply.com/collections/electricians-tools/products/klein-tools-mm720-digital-multimeter-trms-auto-ranging-1000v-temp-low-impedance")</f>
        <v>https://edmondsonsupply.com/collections/electricians-tools/products/klein-tools-mm720-digital-multimeter-trms-auto-ranging-1000v-temp-low-impedance</v>
      </c>
      <c r="B3253" s="3" t="str">
        <f>HYPERLINK("https://edmondsonsupply.com/products/klein-tools-mm720-digital-multimeter-trms-auto-ranging-1000v-temp-low-impedance", "https://edmondsonsupply.com/products/klein-tools-mm720-digital-multimeter-trms-auto-ranging-1000v-temp-low-impedance")</f>
        <v>https://edmondsonsupply.com/products/klein-tools-mm720-digital-multimeter-trms-auto-ranging-1000v-temp-low-impedance</v>
      </c>
      <c r="C3253" t="s">
        <v>3861</v>
      </c>
      <c r="D3253" t="s">
        <v>1527</v>
      </c>
      <c r="E3253" s="3" t="str">
        <f>HYPERLINK("https://www.amazon.com/Klein-Tools-Auto-Ranging-MOhms-Resistance-Replacement/dp/B0C7QB94HG/ref=sr_1_3?keywords=Klein+Tools+MM720+Digital+Multimeter%2C+TRMS+Auto-Ranging%2C+1000V%2C+Temp%2C+Low+Impedance&amp;qid=1695173869&amp;sr=8-3", "https://www.amazon.com/Klein-Tools-Auto-Ranging-MOhms-Resistance-Replacement/dp/B0C7QB94HG/ref=sr_1_3?keywords=Klein+Tools+MM720+Digital+Multimeter%2C+TRMS+Auto-Ranging%2C+1000V%2C+Temp%2C+Low+Impedance&amp;qid=1695173869&amp;sr=8-3")</f>
        <v>https://www.amazon.com/Klein-Tools-Auto-Ranging-MOhms-Resistance-Replacement/dp/B0C7QB94HG/ref=sr_1_3?keywords=Klein+Tools+MM720+Digital+Multimeter%2C+TRMS+Auto-Ranging%2C+1000V%2C+Temp%2C+Low+Impedance&amp;qid=1695173869&amp;sr=8-3</v>
      </c>
      <c r="F3253" t="s">
        <v>1528</v>
      </c>
      <c r="G3253" t="e">
        <f ca="1">_xludf.IMAGE("https://edmondsonsupply.com/cdn/shop/products/mm720.jpg?v=1663609402")</f>
        <v>#NAME?</v>
      </c>
      <c r="H3253" t="e">
        <f ca="1">_xludf.IMAGE("https://m.media-amazon.com/images/I/51iZGkiWnZL._AC_UL320_.jpg")</f>
        <v>#NAME?</v>
      </c>
      <c r="I3253" t="s">
        <v>545</v>
      </c>
      <c r="J3253">
        <v>119.94</v>
      </c>
      <c r="K3253" s="4">
        <v>0.19980000000000001</v>
      </c>
      <c r="L3253">
        <v>5</v>
      </c>
      <c r="M3253">
        <v>1</v>
      </c>
      <c r="O3253" t="s">
        <v>25</v>
      </c>
      <c r="P3253" t="s">
        <v>3862</v>
      </c>
      <c r="Q3253" t="s">
        <v>3863</v>
      </c>
    </row>
    <row r="3254" spans="1:17" ht="15.5" x14ac:dyDescent="0.35">
      <c r="A3254" s="3" t="str">
        <f>HYPERLINK("https://edmondsonsupply.com/collections/electricians-tools/products/klein-tools-85153k-slotted-screw-holding-driver-kit-3-16-inch-and-1-4-inch", "https://edmondsonsupply.com/collections/electricians-tools/products/klein-tools-85153k-slotted-screw-holding-driver-kit-3-16-inch-and-1-4-inch")</f>
        <v>https://edmondsonsupply.com/collections/electricians-tools/products/klein-tools-85153k-slotted-screw-holding-driver-kit-3-16-inch-and-1-4-inch</v>
      </c>
      <c r="B3254"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3254" t="s">
        <v>3864</v>
      </c>
      <c r="D3254" t="s">
        <v>3865</v>
      </c>
      <c r="E3254" s="3" t="str">
        <f>HYPERLINK("https://www.amazon.com/Klein-Tools-85153K-Screw-Holding-Screwdriver/dp/B0CFRP1K3L/ref=sr_1_1?keywords=Klein+Tools+85153K+Slotted+Screw+Holding+Driver+Kit%2C+3%2F16-Inch+and+1%2F4-Inch&amp;qid=1695173961&amp;sr=8-1", "https://www.amazon.com/Klein-Tools-85153K-Screw-Holding-Screwdriver/dp/B0CFRP1K3L/ref=sr_1_1?keywords=Klein+Tools+85153K+Slotted+Screw+Holding+Driver+Kit%2C+3%2F16-Inch+and+1%2F4-Inch&amp;qid=1695173961&amp;sr=8-1")</f>
        <v>https://www.amazon.com/Klein-Tools-85153K-Screw-Holding-Screwdriver/dp/B0CFRP1K3L/ref=sr_1_1?keywords=Klein+Tools+85153K+Slotted+Screw+Holding+Driver+Kit%2C+3%2F16-Inch+and+1%2F4-Inch&amp;qid=1695173961&amp;sr=8-1</v>
      </c>
      <c r="F3254" t="s">
        <v>3866</v>
      </c>
      <c r="G3254" t="e">
        <f ca="1">_xludf.IMAGE("https://edmondsonsupply.com/cdn/shop/files/85153k.jpg?v=1693933663")</f>
        <v>#NAME?</v>
      </c>
      <c r="H3254" t="e">
        <f ca="1">_xludf.IMAGE("https://m.media-amazon.com/images/I/41KoRmOkBpL._AC_UL320_.jpg")</f>
        <v>#NAME?</v>
      </c>
      <c r="I3254" t="s">
        <v>3867</v>
      </c>
      <c r="J3254">
        <v>23.97</v>
      </c>
      <c r="K3254" s="4">
        <v>0.19969999999999999</v>
      </c>
      <c r="L3254">
        <v>5</v>
      </c>
      <c r="M3254">
        <v>1</v>
      </c>
      <c r="O3254" t="s">
        <v>25</v>
      </c>
      <c r="P3254" t="s">
        <v>3068</v>
      </c>
      <c r="Q3254" t="s">
        <v>3868</v>
      </c>
    </row>
    <row r="3255" spans="1:17" ht="15.5" x14ac:dyDescent="0.35">
      <c r="A3255"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3255"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3255" t="s">
        <v>6146</v>
      </c>
      <c r="D3255" t="s">
        <v>1521</v>
      </c>
      <c r="E3255" s="3" t="str">
        <f>HYPERLINK("https://www.amazon.com/Klein-Tools-Screwdriver-Demagnetizer-Magnetizer/dp/B0BXK8RB9N/ref=sr_1_5?keywords=Klein+Tools+32288+8-in-1+Insulated+Interchangeable+Screwdriver+Set&amp;qid=1695173864&amp;sr=8-5", "https://www.amazon.com/Klein-Tools-Screwdriver-Demagnetizer-Magnetizer/dp/B0BXK8RB9N/ref=sr_1_5?keywords=Klein+Tools+32288+8-in-1+Insulated+Interchangeable+Screwdriver+Set&amp;qid=1695173864&amp;sr=8-5")</f>
        <v>https://www.amazon.com/Klein-Tools-Screwdriver-Demagnetizer-Magnetizer/dp/B0BXK8RB9N/ref=sr_1_5?keywords=Klein+Tools+32288+8-in-1+Insulated+Interchangeable+Screwdriver+Set&amp;qid=1695173864&amp;sr=8-5</v>
      </c>
      <c r="F3255" t="s">
        <v>1522</v>
      </c>
      <c r="G3255" t="e">
        <f ca="1">_xludf.IMAGE("https://edmondsonsupply.com/cdn/shop/products/32288.jpg?v=1587146849")</f>
        <v>#NAME?</v>
      </c>
      <c r="H3255" t="e">
        <f ca="1">_xludf.IMAGE("https://m.media-amazon.com/images/I/51OwgO9uq9L._AC_UL320_.jpg")</f>
        <v>#NAME?</v>
      </c>
      <c r="I3255" t="s">
        <v>1931</v>
      </c>
      <c r="J3255">
        <v>59.96</v>
      </c>
      <c r="K3255" s="4">
        <v>0.19939999999999999</v>
      </c>
      <c r="L3255">
        <v>4.5</v>
      </c>
      <c r="M3255">
        <v>11</v>
      </c>
      <c r="O3255" t="s">
        <v>25</v>
      </c>
      <c r="P3255" t="s">
        <v>1114</v>
      </c>
      <c r="Q3255" t="s">
        <v>6149</v>
      </c>
    </row>
    <row r="3256" spans="1:17" ht="15.5" x14ac:dyDescent="0.35">
      <c r="A3256" s="3" t="str">
        <f>HYPERLINK("https://edmondsonsupply.com/collections/electricians-tools/products/klein-tools-56048-rechargeable-headlamp-with-strap-400-lumen-all-day-runtime-auto-off", "https://edmondsonsupply.com/collections/electricians-tools/products/klein-tools-56048-rechargeable-headlamp-with-strap-400-lumen-all-day-runtime-auto-off")</f>
        <v>https://edmondsonsupply.com/collections/electricians-tools/products/klein-tools-56048-rechargeable-headlamp-with-strap-400-lumen-all-day-runtime-auto-off</v>
      </c>
      <c r="B3256"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3256" t="s">
        <v>1034</v>
      </c>
      <c r="D3256" t="s">
        <v>934</v>
      </c>
      <c r="E3256" s="3" t="str">
        <f>HYPERLINK("https://www.amazon.com/Klein-Tools-Rechargeable-Auto-Off-Headlamp/dp/B09Z932C3Z/ref=sr_1_4?keywords=Klein+Tools+56048+Rechargeable+Headlamp+with+Fabric+Strap%2C+400+Lumens%2C+All-Day+Runtime&amp;qid=1695173981&amp;sr=8-4", "https://www.amazon.com/Klein-Tools-Rechargeable-Auto-Off-Headlamp/dp/B09Z932C3Z/ref=sr_1_4?keywords=Klein+Tools+56048+Rechargeable+Headlamp+with+Fabric+Strap%2C+400+Lumens%2C+All-Day+Runtime&amp;qid=1695173981&amp;sr=8-4")</f>
        <v>https://www.amazon.com/Klein-Tools-Rechargeable-Auto-Off-Headlamp/dp/B09Z932C3Z/ref=sr_1_4?keywords=Klein+Tools+56048+Rechargeable+Headlamp+with+Fabric+Strap%2C+400+Lumens%2C+All-Day+Runtime&amp;qid=1695173981&amp;sr=8-4</v>
      </c>
      <c r="F3256" t="s">
        <v>935</v>
      </c>
      <c r="G3256" t="e">
        <f ca="1">_xludf.IMAGE("https://edmondsonsupply.com/cdn/shop/products/56048.jpg?v=1633030457")</f>
        <v>#NAME?</v>
      </c>
      <c r="H3256" t="e">
        <f ca="1">_xludf.IMAGE("https://m.media-amazon.com/images/I/51-nHtYlwEL._AC_UL320_.jpg")</f>
        <v>#NAME?</v>
      </c>
      <c r="I3256" t="s">
        <v>246</v>
      </c>
      <c r="J3256">
        <v>47.94</v>
      </c>
      <c r="K3256" s="4">
        <v>0.19939999999999999</v>
      </c>
      <c r="L3256">
        <v>5</v>
      </c>
      <c r="M3256">
        <v>1</v>
      </c>
      <c r="O3256" t="s">
        <v>25</v>
      </c>
      <c r="P3256" t="s">
        <v>1032</v>
      </c>
      <c r="Q3256" t="s">
        <v>1035</v>
      </c>
    </row>
    <row r="3257" spans="1:17" ht="15.5" x14ac:dyDescent="0.35">
      <c r="A3257" s="3" t="str">
        <f>HYPERLINK("https://edmondsonsupply.com/collections/electricians-tools/products/klein-tools-56064-klein-tools-%C2%AE-new-rechargeable-headlamp-offers-multiple-modes-to-fit-any-task", "https://edmondsonsupply.com/collections/electricians-tools/products/klein-tools-56064-klein-tools-%C2%AE-new-rechargeable-headlamp-offers-multiple-modes-to-fit-any-task")</f>
        <v>https://edmondsonsupply.com/collections/electricians-tools/products/klein-tools-56064-klein-tools-%C2%AE-new-rechargeable-headlamp-offers-multiple-modes-to-fit-any-task</v>
      </c>
      <c r="B3257" s="3" t="str">
        <f>HYPERLINK("https://edmondsonsupply.com/products/klein-tools-56064-klein-tools-%c2%ae-new-rechargeable-headlamp-offers-multiple-modes-to-fit-any-task", "https://edmondsonsupply.com/products/klein-tools-56064-klein-tools-%c2%ae-new-rechargeable-headlamp-offers-multiple-modes-to-fit-any-task")</f>
        <v>https://edmondsonsupply.com/products/klein-tools-56064-klein-tools-%c2%ae-new-rechargeable-headlamp-offers-multiple-modes-to-fit-any-task</v>
      </c>
      <c r="C3257" t="s">
        <v>1031</v>
      </c>
      <c r="D3257" t="s">
        <v>934</v>
      </c>
      <c r="E3257" s="3" t="str">
        <f>HYPERLINK("https://www.amazon.com/Klein-Tools-Rechargeable-Auto-Off-Headlamp/dp/B09Z932C3Z/ref=sr_1_2?keywords=Klein+Tools+56064+Rechargeable+Headlamp+with+Silicone+Strap%2C+400+Lumens%2C+All-Day+Runtime&amp;qid=1695174177&amp;sr=8-2", "https://www.amazon.com/Klein-Tools-Rechargeable-Auto-Off-Headlamp/dp/B09Z932C3Z/ref=sr_1_2?keywords=Klein+Tools+56064+Rechargeable+Headlamp+with+Silicone+Strap%2C+400+Lumens%2C+All-Day+Runtime&amp;qid=1695174177&amp;sr=8-2")</f>
        <v>https://www.amazon.com/Klein-Tools-Rechargeable-Auto-Off-Headlamp/dp/B09Z932C3Z/ref=sr_1_2?keywords=Klein+Tools+56064+Rechargeable+Headlamp+with+Silicone+Strap%2C+400+Lumens%2C+All-Day+Runtime&amp;qid=1695174177&amp;sr=8-2</v>
      </c>
      <c r="F3257" t="s">
        <v>935</v>
      </c>
      <c r="G3257" t="e">
        <f ca="1">_xludf.IMAGE("https://edmondsonsupply.com/cdn/shop/products/56064.png?v=1661362879")</f>
        <v>#NAME?</v>
      </c>
      <c r="H3257" t="e">
        <f ca="1">_xludf.IMAGE("https://m.media-amazon.com/images/I/51-nHtYlwEL._AC_UL320_.jpg")</f>
        <v>#NAME?</v>
      </c>
      <c r="I3257" t="s">
        <v>246</v>
      </c>
      <c r="J3257">
        <v>47.94</v>
      </c>
      <c r="K3257" s="4">
        <v>0.19939999999999999</v>
      </c>
      <c r="L3257">
        <v>5</v>
      </c>
      <c r="M3257">
        <v>1</v>
      </c>
      <c r="O3257" t="s">
        <v>25</v>
      </c>
      <c r="P3257" t="s">
        <v>1032</v>
      </c>
      <c r="Q3257" t="s">
        <v>1033</v>
      </c>
    </row>
    <row r="3258" spans="1:17" ht="15.5" x14ac:dyDescent="0.35">
      <c r="A3258"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3258" s="3" t="str">
        <f>HYPERLINK("https://edmondsonsupply.com/products/klein-tools-d502-10-pump-pliers-10-inch", "https://edmondsonsupply.com/products/klein-tools-d502-10-pump-pliers-10-inch")</f>
        <v>https://edmondsonsupply.com/products/klein-tools-d502-10-pump-pliers-10-inch</v>
      </c>
      <c r="C3258" t="s">
        <v>6607</v>
      </c>
      <c r="D3258" t="s">
        <v>5142</v>
      </c>
      <c r="E3258" s="3" t="str">
        <f>HYPERLINK("https://www.amazon.com/Adjustable-Material-Klein-Tools-J502-10/dp/B00093D51Y/ref=sr_1_7?keywords=Klein+Tools+D502-10+Pump+Pliers%2C+10-Inch&amp;qid=1695174291&amp;sr=8-7", "https://www.amazon.com/Adjustable-Material-Klein-Tools-J502-10/dp/B00093D51Y/ref=sr_1_7?keywords=Klein+Tools+D502-10+Pump+Pliers%2C+10-Inch&amp;qid=1695174291&amp;sr=8-7")</f>
        <v>https://www.amazon.com/Adjustable-Material-Klein-Tools-J502-10/dp/B00093D51Y/ref=sr_1_7?keywords=Klein+Tools+D502-10+Pump+Pliers%2C+10-Inch&amp;qid=1695174291&amp;sr=8-7</v>
      </c>
      <c r="F3258" t="s">
        <v>5143</v>
      </c>
      <c r="G3258" t="e">
        <f ca="1">_xludf.IMAGE("https://edmondsonsupply.com/cdn/shop/products/d50210_alt1.jpg?v=1633030884")</f>
        <v>#NAME?</v>
      </c>
      <c r="H3258" t="e">
        <f ca="1">_xludf.IMAGE("https://m.media-amazon.com/images/I/51+llp-35wL._AC_UL320_.jpg")</f>
        <v>#NAME?</v>
      </c>
      <c r="I3258" t="s">
        <v>471</v>
      </c>
      <c r="J3258">
        <v>29.97</v>
      </c>
      <c r="K3258" s="4">
        <v>0.1993</v>
      </c>
      <c r="L3258">
        <v>4.5999999999999996</v>
      </c>
      <c r="M3258">
        <v>365</v>
      </c>
      <c r="O3258" t="s">
        <v>25</v>
      </c>
      <c r="P3258" t="s">
        <v>6610</v>
      </c>
      <c r="Q3258" t="s">
        <v>6611</v>
      </c>
    </row>
    <row r="3259" spans="1:17" ht="15.5" x14ac:dyDescent="0.35">
      <c r="A3259"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3259" s="3" t="str">
        <f>HYPERLINK("https://edmondsonsupply.com/products/klein-tools-ir07-dual-ir-probe-thermometer", "https://edmondsonsupply.com/products/klein-tools-ir07-dual-ir-probe-thermometer")</f>
        <v>https://edmondsonsupply.com/products/klein-tools-ir07-dual-ir-probe-thermometer</v>
      </c>
      <c r="C3259" t="s">
        <v>2948</v>
      </c>
      <c r="D3259" t="s">
        <v>3869</v>
      </c>
      <c r="E3259" s="3" t="str">
        <f>HYPERLINK("https://www.amazon.com/Klein-Tools-Thermometer-Screwdriver-Adjustable/dp/B0BNL7N5NM/ref=sr_1_3?keywords=Klein+Tools+IR07+Dual+IR%2FProbe+Thermometer&amp;qid=1695173956&amp;sr=8-3", "https://www.amazon.com/Klein-Tools-Thermometer-Screwdriver-Adjustable/dp/B0BNL7N5NM/ref=sr_1_3?keywords=Klein+Tools+IR07+Dual+IR%2FProbe+Thermometer&amp;qid=1695173956&amp;sr=8-3")</f>
        <v>https://www.amazon.com/Klein-Tools-Thermometer-Screwdriver-Adjustable/dp/B0BNL7N5NM/ref=sr_1_3?keywords=Klein+Tools+IR07+Dual+IR%2FProbe+Thermometer&amp;qid=1695173956&amp;sr=8-3</v>
      </c>
      <c r="F3259" t="s">
        <v>3870</v>
      </c>
      <c r="G3259" t="e">
        <f ca="1">_xludf.IMAGE("https://edmondsonsupply.com/cdn/shop/products/ir07.jpg?v=1599003623")</f>
        <v>#NAME?</v>
      </c>
      <c r="H3259" t="e">
        <f ca="1">_xludf.IMAGE("https://m.media-amazon.com/images/I/51TF5FbvFYL._AC_UY218_.jpg")</f>
        <v>#NAME?</v>
      </c>
      <c r="I3259" t="s">
        <v>2951</v>
      </c>
      <c r="J3259">
        <v>68.94</v>
      </c>
      <c r="K3259" s="4">
        <v>0.19919999999999999</v>
      </c>
      <c r="L3259">
        <v>5</v>
      </c>
      <c r="M3259">
        <v>1</v>
      </c>
      <c r="O3259" t="s">
        <v>25</v>
      </c>
      <c r="P3259" t="s">
        <v>2952</v>
      </c>
      <c r="Q3259" t="s">
        <v>2953</v>
      </c>
    </row>
    <row r="3260" spans="1:17" ht="15.5" x14ac:dyDescent="0.35">
      <c r="A3260"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3260" s="3" t="str">
        <f>HYPERLINK("https://edmondsonsupply.com/products/klein-tools-jth6m10-10-mm-hex-key-journeyman-t-handle-6-inch", "https://edmondsonsupply.com/products/klein-tools-jth6m10-10-mm-hex-key-journeyman-t-handle-6-inch")</f>
        <v>https://edmondsonsupply.com/products/klein-tools-jth6m10-10-mm-hex-key-journeyman-t-handle-6-inch</v>
      </c>
      <c r="C3260" t="s">
        <v>6945</v>
      </c>
      <c r="D3260" t="s">
        <v>7515</v>
      </c>
      <c r="E3260" s="3" t="str">
        <f>HYPERLINK("https://www.amazon.com/Klein-Tools-JTH6E15BE-Journeyman-T-Handle/dp/B004QW56FC/ref=sr_1_8?keywords=Klein+Tools+JTH6M10+10+mm+Hex+Key+Journeyman+T-Handle+6-Inch&amp;qid=1695174255&amp;sr=8-8", "https://www.amazon.com/Klein-Tools-JTH6E15BE-Journeyman-T-Handle/dp/B004QW56FC/ref=sr_1_8?keywords=Klein+Tools+JTH6M10+10+mm+Hex+Key+Journeyman+T-Handle+6-Inch&amp;qid=1695174255&amp;sr=8-8")</f>
        <v>https://www.amazon.com/Klein-Tools-JTH6E15BE-Journeyman-T-Handle/dp/B004QW56FC/ref=sr_1_8?keywords=Klein+Tools+JTH6M10+10+mm+Hex+Key+Journeyman+T-Handle+6-Inch&amp;qid=1695174255&amp;sr=8-8</v>
      </c>
      <c r="F3260" t="s">
        <v>7516</v>
      </c>
      <c r="G3260" t="e">
        <f ca="1">_xludf.IMAGE("https://edmondsonsupply.com/cdn/shop/products/jth6m8_64c2c8d3-e13e-4b81-9b34-745be7fd837a.jpg?v=1627827117")</f>
        <v>#NAME?</v>
      </c>
      <c r="H3260" t="e">
        <f ca="1">_xludf.IMAGE("https://m.media-amazon.com/images/I/51f9vBFVXgL._AC_UL320_.jpg")</f>
        <v>#NAME?</v>
      </c>
      <c r="I3260" t="s">
        <v>924</v>
      </c>
      <c r="J3260">
        <v>10.78</v>
      </c>
      <c r="K3260" s="4">
        <v>0.1991</v>
      </c>
      <c r="L3260">
        <v>4.8</v>
      </c>
      <c r="M3260">
        <v>456</v>
      </c>
      <c r="O3260" t="s">
        <v>25</v>
      </c>
      <c r="P3260" t="s">
        <v>6946</v>
      </c>
      <c r="Q3260" t="s">
        <v>6947</v>
      </c>
    </row>
    <row r="3261" spans="1:17" ht="15.5" x14ac:dyDescent="0.35">
      <c r="A3261" s="3" t="str">
        <f>HYPERLINK("https://edmondsonsupply.com/collections/electricians-tools/products/reed-mfg-rw10-10-heavy-duty-straight-pipe-wrench", "https://edmondsonsupply.com/collections/electricians-tools/products/reed-mfg-rw10-10-heavy-duty-straight-pipe-wrench")</f>
        <v>https://edmondsonsupply.com/collections/electricians-tools/products/reed-mfg-rw10-10-heavy-duty-straight-pipe-wrench</v>
      </c>
      <c r="B3261" s="3" t="str">
        <f>HYPERLINK("https://edmondsonsupply.com/products/reed-mfg-rw10-10-heavy-duty-straight-pipe-wrench", "https://edmondsonsupply.com/products/reed-mfg-rw10-10-heavy-duty-straight-pipe-wrench")</f>
        <v>https://edmondsonsupply.com/products/reed-mfg-rw10-10-heavy-duty-straight-pipe-wrench</v>
      </c>
      <c r="C3261" t="s">
        <v>7517</v>
      </c>
      <c r="D3261" t="s">
        <v>7518</v>
      </c>
      <c r="E3261" s="3" t="str">
        <f>HYPERLINK("https://www.amazon.com/REED-RW10-Heavy-Duty-Pipe-Wrench/dp/B002JG0JV8/ref=sr_1_1?keywords=Reed+Mfg+RW10+10%22+Heavy-Duty+Straight+Pipe+Wrench&amp;qid=1695174285&amp;sr=8-1", "https://www.amazon.com/REED-RW10-Heavy-Duty-Pipe-Wrench/dp/B002JG0JV8/ref=sr_1_1?keywords=Reed+Mfg+RW10+10%22+Heavy-Duty+Straight+Pipe+Wrench&amp;qid=1695174285&amp;sr=8-1")</f>
        <v>https://www.amazon.com/REED-RW10-Heavy-Duty-Pipe-Wrench/dp/B002JG0JV8/ref=sr_1_1?keywords=Reed+Mfg+RW10+10%22+Heavy-Duty+Straight+Pipe+Wrench&amp;qid=1695174285&amp;sr=8-1</v>
      </c>
      <c r="F3261" t="s">
        <v>7519</v>
      </c>
      <c r="G3261" t="e">
        <f ca="1">_xludf.IMAGE("https://edmondsonsupply.com/cdn/shop/products/02130-RW10-RGB.jpg?v=1633031011")</f>
        <v>#NAME?</v>
      </c>
      <c r="H3261" t="e">
        <f ca="1">_xludf.IMAGE("https://m.media-amazon.com/images/I/71kEKSUS3TL._AC_UL320_.jpg")</f>
        <v>#NAME?</v>
      </c>
      <c r="I3261" t="s">
        <v>6943</v>
      </c>
      <c r="J3261">
        <v>26.8</v>
      </c>
      <c r="K3261" s="4">
        <v>0.1991</v>
      </c>
      <c r="L3261">
        <v>5</v>
      </c>
      <c r="M3261">
        <v>4</v>
      </c>
      <c r="O3261" t="s">
        <v>25</v>
      </c>
      <c r="P3261" t="s">
        <v>7520</v>
      </c>
      <c r="Q3261" t="s">
        <v>7521</v>
      </c>
    </row>
    <row r="3262" spans="1:17" ht="15.5" x14ac:dyDescent="0.35">
      <c r="A3262" s="3" t="str">
        <f>HYPERLINK("https://edmondsonsupply.com/collections/electricians-tools/products/klein-tools-66040-2-in-1-impact-socket-set-12-point-5-piece", "https://edmondsonsupply.com/collections/electricians-tools/products/klein-tools-66040-2-in-1-impact-socket-set-12-point-5-piece")</f>
        <v>https://edmondsonsupply.com/collections/electricians-tools/products/klein-tools-66040-2-in-1-impact-socket-set-12-point-5-piece</v>
      </c>
      <c r="B3262" s="3" t="str">
        <f>HYPERLINK("https://edmondsonsupply.com/products/klein-tools-66040-2-in-1-impact-socket-set-12-point-5-piece", "https://edmondsonsupply.com/products/klein-tools-66040-2-in-1-impact-socket-set-12-point-5-piece")</f>
        <v>https://edmondsonsupply.com/products/klein-tools-66040-2-in-1-impact-socket-set-12-point-5-piece</v>
      </c>
      <c r="C3262" t="s">
        <v>7021</v>
      </c>
      <c r="D3262" t="s">
        <v>7522</v>
      </c>
      <c r="E3262" s="3" t="str">
        <f>HYPERLINK("https://www.amazon.com/Klein-Tools-66050E-12-Point-Carrying/dp/B08R138PF6/ref=sr_1_9?keywords=Klein+Tools+66040+2-in-1+Impact+Socket+Set%2C+12-Point%2C+5-Piece&amp;qid=1695173922&amp;sr=8-9", "https://www.amazon.com/Klein-Tools-66050E-12-Point-Carrying/dp/B08R138PF6/ref=sr_1_9?keywords=Klein+Tools+66040+2-in-1+Impact+Socket+Set%2C+12-Point%2C+5-Piece&amp;qid=1695173922&amp;sr=8-9")</f>
        <v>https://www.amazon.com/Klein-Tools-66050E-12-Point-Carrying/dp/B08R138PF6/ref=sr_1_9?keywords=Klein+Tools+66040+2-in-1+Impact+Socket+Set%2C+12-Point%2C+5-Piece&amp;qid=1695173922&amp;sr=8-9</v>
      </c>
      <c r="F3262" t="s">
        <v>7523</v>
      </c>
      <c r="G3262" t="e">
        <f ca="1">_xludf.IMAGE("https://edmondsonsupply.com/cdn/shop/products/66040.jpg?v=1659120255")</f>
        <v>#NAME?</v>
      </c>
      <c r="H3262" t="e">
        <f ca="1">_xludf.IMAGE("https://m.media-amazon.com/images/I/61HXSd9dQWL._AC_UL320_.jpg")</f>
        <v>#NAME?</v>
      </c>
      <c r="I3262" t="s">
        <v>7024</v>
      </c>
      <c r="J3262">
        <v>149.54</v>
      </c>
      <c r="K3262" s="4">
        <v>0.1983</v>
      </c>
      <c r="L3262">
        <v>4.3</v>
      </c>
      <c r="M3262">
        <v>6</v>
      </c>
      <c r="O3262" t="s">
        <v>25</v>
      </c>
      <c r="P3262" t="s">
        <v>7025</v>
      </c>
      <c r="Q3262" t="s">
        <v>7026</v>
      </c>
    </row>
    <row r="3263" spans="1:17" ht="15.5" x14ac:dyDescent="0.35">
      <c r="A3263"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3263"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3263" t="s">
        <v>7206</v>
      </c>
      <c r="D3263" t="s">
        <v>7524</v>
      </c>
      <c r="E3263" s="3" t="str">
        <f>HYPERLINK("https://www.amazon.com/Milwaukee-ONE-KEY-Torque-Impact-Friction/dp/B08DTMV8DQ/ref=sr_1_2?keywords=Milwaukee+2960-22+M18+FUEL%E2%84%A2+3%2F8+%22+Mid-Torque+Impact+Wrench+w%2F+Friction+Ring+Kit&amp;qid=1695174167&amp;sr=8-2", "https://www.amazon.com/Milwaukee-ONE-KEY-Torque-Impact-Friction/dp/B08DTMV8DQ/ref=sr_1_2?keywords=Milwaukee+2960-22+M18+FUEL%E2%84%A2+3%2F8+%22+Mid-Torque+Impact+Wrench+w%2F+Friction+Ring+Kit&amp;qid=1695174167&amp;sr=8-2")</f>
        <v>https://www.amazon.com/Milwaukee-ONE-KEY-Torque-Impact-Friction/dp/B08DTMV8DQ/ref=sr_1_2?keywords=Milwaukee+2960-22+M18+FUEL%E2%84%A2+3%2F8+%22+Mid-Torque+Impact+Wrench+w%2F+Friction+Ring+Kit&amp;qid=1695174167&amp;sr=8-2</v>
      </c>
      <c r="F3263" t="s">
        <v>7525</v>
      </c>
      <c r="G3263" t="e">
        <f ca="1">_xludf.IMAGE("https://edmondsonsupply.com/cdn/shop/products/2960-22_Kit_1.png?v=1661616340")</f>
        <v>#NAME?</v>
      </c>
      <c r="H3263" t="e">
        <f ca="1">_xludf.IMAGE("https://m.media-amazon.com/images/I/41bfbogzulL._AC_UL320_.jpg")</f>
        <v>#NAME?</v>
      </c>
      <c r="I3263" t="s">
        <v>4404</v>
      </c>
      <c r="J3263">
        <v>549.9</v>
      </c>
      <c r="K3263" s="4">
        <v>0.19800000000000001</v>
      </c>
      <c r="L3263">
        <v>3.6</v>
      </c>
      <c r="M3263">
        <v>2</v>
      </c>
      <c r="O3263" t="s">
        <v>25</v>
      </c>
      <c r="P3263" t="s">
        <v>7209</v>
      </c>
      <c r="Q3263" t="s">
        <v>7210</v>
      </c>
    </row>
    <row r="3264" spans="1:17" ht="15.5" x14ac:dyDescent="0.35">
      <c r="A3264" s="3" t="str">
        <f>HYPERLINK("https://edmondsonsupply.com/collections/electricians-tools/products/malco-mshc-2-inch-c-rhex-cleanable-reversible-magnetic-hex-driver-1-4-5-16", "https://edmondsonsupply.com/collections/electricians-tools/products/malco-mshc-2-inch-c-rhex-cleanable-reversible-magnetic-hex-driver-1-4-5-16")</f>
        <v>https://edmondsonsupply.com/collections/electricians-tools/products/malco-mshc-2-inch-c-rhex-cleanable-reversible-magnetic-hex-driver-1-4-5-16</v>
      </c>
      <c r="B3264"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3264" t="s">
        <v>134</v>
      </c>
      <c r="D3264" t="s">
        <v>213</v>
      </c>
      <c r="E3264" s="3" t="str">
        <f>HYPERLINK("https://www.amazon.com/Malco-MSHC2-Construction-Cleanable-Reversible/dp/B0BX779Y8S/ref=sr_1_2?keywords=Malco+Tools+MSHC+2-Inch+C-Rhex+Cleanable%2C+Reversible+Magnetic+Hex+Driver%2C+1%2F4&amp;qid=1695173843&amp;sr=8-2", "https://www.amazon.com/Malco-MSHC2-Construction-Cleanable-Reversible/dp/B0BX779Y8S/ref=sr_1_2?keywords=Malco+Tools+MSHC+2-Inch+C-Rhex+Cleanable%2C+Reversible+Magnetic+Hex+Driver%2C+1%2F4&amp;qid=1695173843&amp;sr=8-2")</f>
        <v>https://www.amazon.com/Malco-MSHC2-Construction-Cleanable-Reversible/dp/B0BX779Y8S/ref=sr_1_2?keywords=Malco+Tools+MSHC+2-Inch+C-Rhex+Cleanable%2C+Reversible+Magnetic+Hex+Driver%2C+1%2F4&amp;qid=1695173843&amp;sr=8-2</v>
      </c>
      <c r="F3264" t="s">
        <v>214</v>
      </c>
      <c r="G3264" t="e">
        <f ca="1">_xludf.IMAGE("https://edmondsonsupply.com/cdn/shop/products/Malco-MSHC-CRHEX-Slim-Design.jpg?v=1646614493")</f>
        <v>#NAME?</v>
      </c>
      <c r="H3264" t="e">
        <f ca="1">_xludf.IMAGE("https://m.media-amazon.com/images/I/61Iwy5K7S5L._AC_UL320_.jpg")</f>
        <v>#NAME?</v>
      </c>
      <c r="I3264" t="s">
        <v>137</v>
      </c>
      <c r="J3264">
        <v>7.05</v>
      </c>
      <c r="K3264" s="4">
        <v>0.19689999999999999</v>
      </c>
      <c r="L3264">
        <v>4.5999999999999996</v>
      </c>
      <c r="M3264">
        <v>45</v>
      </c>
      <c r="O3264" t="s">
        <v>25</v>
      </c>
      <c r="P3264" t="s">
        <v>138</v>
      </c>
      <c r="Q3264" t="s">
        <v>139</v>
      </c>
    </row>
    <row r="3265" spans="1:17" ht="15.5" x14ac:dyDescent="0.35">
      <c r="A3265"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3265"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3265" t="s">
        <v>6231</v>
      </c>
      <c r="D3265" t="s">
        <v>3872</v>
      </c>
      <c r="E3265" s="3" t="str">
        <f>HYPERLINK("https://www.amazon.com/Klein-Tools-Receptacle-Standard-Electrical/dp/B0BC861K3W/ref=sr_1_8?keywords=Klein+Tools+NCVT1PKIT+Non-Contact+Voltage+and+GFCI+Receptacle+Test+Kit&amp;qid=1695174067&amp;sr=8-8", "https://www.amazon.com/Klein-Tools-Receptacle-Standard-Electrical/dp/B0BC861K3W/ref=sr_1_8?keywords=Klein+Tools+NCVT1PKIT+Non-Contact+Voltage+and+GFCI+Receptacle+Test+Kit&amp;qid=1695174067&amp;sr=8-8")</f>
        <v>https://www.amazon.com/Klein-Tools-Receptacle-Standard-Electrical/dp/B0BC861K3W/ref=sr_1_8?keywords=Klein+Tools+NCVT1PKIT+Non-Contact+Voltage+and+GFCI+Receptacle+Test+Kit&amp;qid=1695174067&amp;sr=8-8</v>
      </c>
      <c r="F3265" t="s">
        <v>3873</v>
      </c>
      <c r="G3265" t="e">
        <f ca="1">_xludf.IMAGE("https://edmondsonsupply.com/cdn/shop/products/ncvt1pkit.jpg?v=1677682920")</f>
        <v>#NAME?</v>
      </c>
      <c r="H3265" t="e">
        <f ca="1">_xludf.IMAGE("https://m.media-amazon.com/images/I/5145pmsV9+L._AC_UL320_.jpg")</f>
        <v>#NAME?</v>
      </c>
      <c r="I3265" t="s">
        <v>859</v>
      </c>
      <c r="J3265">
        <v>29.88</v>
      </c>
      <c r="K3265" s="4">
        <v>0.1966</v>
      </c>
      <c r="L3265">
        <v>4.5</v>
      </c>
      <c r="M3265">
        <v>14</v>
      </c>
      <c r="O3265" t="s">
        <v>25</v>
      </c>
      <c r="P3265" t="s">
        <v>6234</v>
      </c>
      <c r="Q3265" t="s">
        <v>6235</v>
      </c>
    </row>
    <row r="3266" spans="1:17" ht="15.5" x14ac:dyDescent="0.35">
      <c r="A3266"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3266"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3266" t="s">
        <v>2155</v>
      </c>
      <c r="D3266" t="s">
        <v>3872</v>
      </c>
      <c r="E3266" s="3" t="str">
        <f>HYPERLINK("https://www.amazon.com/Klein-Tools-Receptacle-Standard-Electrical/dp/B0BC861K3W/ref=sr_1_7?keywords=Klein+Tools+NCVT1XTKIT+Non-Contact+Voltage+and+GFCI+Receptacle+Premium+Test+Kit&amp;qid=1695173872&amp;sr=8-7", "https://www.amazon.com/Klein-Tools-Receptacle-Standard-Electrical/dp/B0BC861K3W/ref=sr_1_7?keywords=Klein+Tools+NCVT1XTKIT+Non-Contact+Voltage+and+GFCI+Receptacle+Premium+Test+Kit&amp;qid=1695173872&amp;sr=8-7")</f>
        <v>https://www.amazon.com/Klein-Tools-Receptacle-Standard-Electrical/dp/B0BC861K3W/ref=sr_1_7?keywords=Klein+Tools+NCVT1XTKIT+Non-Contact+Voltage+and+GFCI+Receptacle+Premium+Test+Kit&amp;qid=1695173872&amp;sr=8-7</v>
      </c>
      <c r="F3266" t="s">
        <v>3873</v>
      </c>
      <c r="G3266" t="e">
        <f ca="1">_xludf.IMAGE("https://edmondsonsupply.com/cdn/shop/products/ncvt1xtkit.jpg?v=1674497102")</f>
        <v>#NAME?</v>
      </c>
      <c r="H3266" t="e">
        <f ca="1">_xludf.IMAGE("https://m.media-amazon.com/images/I/5145pmsV9+L._AC_UL320_.jpg")</f>
        <v>#NAME?</v>
      </c>
      <c r="I3266" t="s">
        <v>471</v>
      </c>
      <c r="J3266">
        <v>29.88</v>
      </c>
      <c r="K3266" s="4">
        <v>0.19570000000000001</v>
      </c>
      <c r="L3266">
        <v>4.5</v>
      </c>
      <c r="M3266">
        <v>14</v>
      </c>
      <c r="O3266" t="s">
        <v>25</v>
      </c>
      <c r="P3266" t="s">
        <v>2158</v>
      </c>
      <c r="Q3266" t="s">
        <v>2159</v>
      </c>
    </row>
    <row r="3267" spans="1:17" ht="15.5" x14ac:dyDescent="0.35">
      <c r="A3267"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3267" s="3" t="str">
        <f>HYPERLINK("https://edmondsonsupply.com/products/klein-tools-58888-12-pocket-tool-tote-with-shoulder-strap", "https://edmondsonsupply.com/products/klein-tools-58888-12-pocket-tool-tote-with-shoulder-strap")</f>
        <v>https://edmondsonsupply.com/products/klein-tools-58888-12-pocket-tool-tote-with-shoulder-strap</v>
      </c>
      <c r="C3267" t="s">
        <v>445</v>
      </c>
      <c r="D3267" t="s">
        <v>474</v>
      </c>
      <c r="E3267" s="3" t="str">
        <f>HYPERLINK("https://www.amazon.com/Klein-Tools-Deluxe-Canvas-18-Inch/dp/B07VB168TG/ref=sr_1_6?keywords=Klein+Tools+58888+12+Pocket+Tool+Tote+with+Shoulder+Strap&amp;qid=1695174176&amp;sr=8-6", "https://www.amazon.com/Klein-Tools-Deluxe-Canvas-18-Inch/dp/B07VB168TG/ref=sr_1_6?keywords=Klein+Tools+58888+12+Pocket+Tool+Tote+with+Shoulder+Strap&amp;qid=1695174176&amp;sr=8-6")</f>
        <v>https://www.amazon.com/Klein-Tools-Deluxe-Canvas-18-Inch/dp/B07VB168TG/ref=sr_1_6?keywords=Klein+Tools+58888+12+Pocket+Tool+Tote+with+Shoulder+Strap&amp;qid=1695174176&amp;sr=8-6</v>
      </c>
      <c r="F3267" t="s">
        <v>475</v>
      </c>
      <c r="G3267" t="e">
        <f ca="1">_xludf.IMAGE("https://edmondsonsupply.com/cdn/shop/products/58888.jpg?v=1660004615")</f>
        <v>#NAME?</v>
      </c>
      <c r="H3267" t="e">
        <f ca="1">_xludf.IMAGE("https://m.media-amazon.com/images/I/71FluabrW6L._AC_UL320_.jpg")</f>
        <v>#NAME?</v>
      </c>
      <c r="I3267" t="s">
        <v>448</v>
      </c>
      <c r="J3267">
        <v>99</v>
      </c>
      <c r="K3267" s="4">
        <v>0.19289999999999999</v>
      </c>
      <c r="L3267">
        <v>4.7</v>
      </c>
      <c r="M3267">
        <v>657</v>
      </c>
      <c r="O3267" t="s">
        <v>25</v>
      </c>
      <c r="P3267" t="s">
        <v>449</v>
      </c>
      <c r="Q3267" t="s">
        <v>450</v>
      </c>
    </row>
    <row r="3268" spans="1:17" ht="15.5" x14ac:dyDescent="0.35">
      <c r="A3268"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3268"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3268" t="s">
        <v>6870</v>
      </c>
      <c r="D3268" t="s">
        <v>3243</v>
      </c>
      <c r="E3268" s="3" t="str">
        <f>HYPERLINK("https://www.amazon.com/Journeyman-T-Handle-Klein-Tools-JTH6E14BE/dp/B004QW1IC2/ref=sr_1_1?keywords=Klein+Tools+JTH6E14BE+5%2F16-Inch+Ball+End+Hex+Key+with+T-Handle%2C+6-Inch&amp;qid=1695174246&amp;sr=8-1", "https://www.amazon.com/Journeyman-T-Handle-Klein-Tools-JTH6E14BE/dp/B004QW1IC2/ref=sr_1_1?keywords=Klein+Tools+JTH6E14BE+5%2F16-Inch+Ball+End+Hex+Key+with+T-Handle%2C+6-Inch&amp;qid=1695174246&amp;sr=8-1")</f>
        <v>https://www.amazon.com/Journeyman-T-Handle-Klein-Tools-JTH6E14BE/dp/B004QW1IC2/ref=sr_1_1?keywords=Klein+Tools+JTH6E14BE+5%2F16-Inch+Ball+End+Hex+Key+with+T-Handle%2C+6-Inch&amp;qid=1695174246&amp;sr=8-1</v>
      </c>
      <c r="F3268" t="s">
        <v>3244</v>
      </c>
      <c r="G3268" t="e">
        <f ca="1">_xludf.IMAGE("https://edmondsonsupply.com/cdn/shop/products/jth6e13be_0da4cca6-ce15-419c-bc75-cd610bd9637f.jpg?v=1629825198")</f>
        <v>#NAME?</v>
      </c>
      <c r="H3268" t="e">
        <f ca="1">_xludf.IMAGE("https://m.media-amazon.com/images/I/51f9vBFVXgL._AC_UL320_.jpg")</f>
        <v>#NAME?</v>
      </c>
      <c r="I3268" t="s">
        <v>6394</v>
      </c>
      <c r="J3268">
        <v>10.11</v>
      </c>
      <c r="K3268" s="4">
        <v>0.1908</v>
      </c>
      <c r="L3268">
        <v>4.8</v>
      </c>
      <c r="M3268">
        <v>456</v>
      </c>
      <c r="O3268" t="s">
        <v>25</v>
      </c>
      <c r="P3268" t="s">
        <v>6871</v>
      </c>
      <c r="Q3268" t="s">
        <v>6872</v>
      </c>
    </row>
    <row r="3269" spans="1:17" ht="15.5" x14ac:dyDescent="0.35">
      <c r="A3269"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3269"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3269" t="s">
        <v>2903</v>
      </c>
      <c r="D3269" t="s">
        <v>3878</v>
      </c>
      <c r="E3269" s="3" t="str">
        <f>HYPERLINK("https://www.amazon.com/Diablo-SDS-Max-4-Cutter-Carbide-Hammer/dp/B089LJ9GHW/ref=sr_1_6?keywords=Diablo+Tools+DMAMX1300+1-1%2F4+in.+x+16+in.+x+21+in.+Rebar+Demon%E2%84%A2+SDS-Max+4-Cutter+Full+Carbide+Head+Hammer+Drill+Bit&amp;qid=1695173871&amp;sr=8-6", "https://www.amazon.com/Diablo-SDS-Max-4-Cutter-Carbide-Hammer/dp/B089LJ9GHW/ref=sr_1_6?keywords=Diablo+Tools+DMAMX1300+1-1%2F4+in.+x+16+in.+x+21+in.+Rebar+Demon%E2%84%A2+SDS-Max+4-Cutter+Full+Carbide+Head+Hammer+Drill+Bit&amp;qid=1695173871&amp;sr=8-6")</f>
        <v>https://www.amazon.com/Diablo-SDS-Max-4-Cutter-Carbide-Hammer/dp/B089LJ9GHW/ref=sr_1_6?keywords=Diablo+Tools+DMAMX1300+1-1%2F4+in.+x+16+in.+x+21+in.+Rebar+Demon%E2%84%A2+SDS-Max+4-Cutter+Full+Carbide+Head+Hammer+Drill+Bit&amp;qid=1695173871&amp;sr=8-6</v>
      </c>
      <c r="F3269" t="s">
        <v>3879</v>
      </c>
      <c r="G3269" t="e">
        <f ca="1">_xludf.IMAGE("https://edmondsonsupply.com/cdn/shop/files/immoyh7jjmbau4fzhuq6_7dd7fd73-2865-4c12-9443-da45b48dbd51.webp?v=1685465465")</f>
        <v>#NAME?</v>
      </c>
      <c r="H3269" t="e">
        <f ca="1">_xludf.IMAGE("https://m.media-amazon.com/images/I/61vWAd-z8eL._AC_UL320_.jpg")</f>
        <v>#NAME?</v>
      </c>
      <c r="I3269" t="s">
        <v>2906</v>
      </c>
      <c r="J3269">
        <v>78.98</v>
      </c>
      <c r="K3269" s="4">
        <v>0.1895</v>
      </c>
      <c r="L3269">
        <v>4.7</v>
      </c>
      <c r="M3269">
        <v>4</v>
      </c>
      <c r="O3269" t="s">
        <v>171</v>
      </c>
      <c r="P3269" t="s">
        <v>2907</v>
      </c>
      <c r="Q3269" t="s">
        <v>2908</v>
      </c>
    </row>
    <row r="3270" spans="1:17" ht="15.5" x14ac:dyDescent="0.35">
      <c r="A3270"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3270" s="3" t="str">
        <f>HYPERLINK("https://edmondsonsupply.com/products/klein-tools-ncvt1xt-non-contact-voltage-tester-70-to-1000v-ac", "https://edmondsonsupply.com/products/klein-tools-ncvt1xt-non-contact-voltage-tester-70-to-1000v-ac")</f>
        <v>https://edmondsonsupply.com/products/klein-tools-ncvt1xt-non-contact-voltage-tester-70-to-1000v-ac</v>
      </c>
      <c r="C3270" t="s">
        <v>6346</v>
      </c>
      <c r="D3270" t="s">
        <v>5294</v>
      </c>
      <c r="E3270" s="3" t="str">
        <f>HYPERLINK("https://www.amazon.com/Klein-Tools-NCVT2P-12-1000V-Flashing/dp/B07L5N8ZWS/ref=sr_1_3?keywords=Klein+Tools+NCVT1XT+Non-Contact+Voltage+Tester%2C+70+to+1000V+AC&amp;qid=1695174075&amp;sr=8-3", "https://www.amazon.com/Klein-Tools-NCVT2P-12-1000V-Flashing/dp/B07L5N8ZWS/ref=sr_1_3?keywords=Klein+Tools+NCVT1XT+Non-Contact+Voltage+Tester%2C+70+to+1000V+AC&amp;qid=1695174075&amp;sr=8-3")</f>
        <v>https://www.amazon.com/Klein-Tools-NCVT2P-12-1000V-Flashing/dp/B07L5N8ZWS/ref=sr_1_3?keywords=Klein+Tools+NCVT1XT+Non-Contact+Voltage+Tester%2C+70+to+1000V+AC&amp;qid=1695174075&amp;sr=8-3</v>
      </c>
      <c r="F3270" t="s">
        <v>5295</v>
      </c>
      <c r="G3270" t="e">
        <f ca="1">_xludf.IMAGE("https://edmondsonsupply.com/cdn/shop/products/ncvt1xt.jpg?v=1674496568")</f>
        <v>#NAME?</v>
      </c>
      <c r="H3270" t="e">
        <f ca="1">_xludf.IMAGE("https://m.media-amazon.com/images/I/51GASnKpZ1L._AC_UL320_.jpg")</f>
        <v>#NAME?</v>
      </c>
      <c r="I3270" t="s">
        <v>893</v>
      </c>
      <c r="J3270">
        <v>23.74</v>
      </c>
      <c r="K3270" s="4">
        <v>0.1888</v>
      </c>
      <c r="L3270">
        <v>4.7</v>
      </c>
      <c r="M3270">
        <v>639</v>
      </c>
      <c r="O3270" t="s">
        <v>25</v>
      </c>
      <c r="P3270" t="s">
        <v>6347</v>
      </c>
      <c r="Q3270" t="s">
        <v>6348</v>
      </c>
    </row>
    <row r="3271" spans="1:17" ht="15.5" x14ac:dyDescent="0.35">
      <c r="A3271"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3271" s="3" t="str">
        <f>HYPERLINK("https://edmondsonsupply.com/products/klein-tools-646-1-4-1-4-inch-nut-driver-with-6-inch-hollow-shaft", "https://edmondsonsupply.com/products/klein-tools-646-1-4-1-4-inch-nut-driver-with-6-inch-hollow-shaft")</f>
        <v>https://edmondsonsupply.com/products/klein-tools-646-1-4-1-4-inch-nut-driver-with-6-inch-hollow-shaft</v>
      </c>
      <c r="C3271" t="s">
        <v>1478</v>
      </c>
      <c r="D3271" t="s">
        <v>3884</v>
      </c>
      <c r="E3271" s="3" t="str">
        <f>HYPERLINK("https://www.amazon.com/Magnetic-Cushion-Klein-610-1-4M/dp/B00093GE3A/ref=sr_1_4?keywords=Klein+Tools+646-1%2F4+1%2F4-Inch+Nut+Driver+with+6-Inch+Hollow+Shaft&amp;qid=1695173897&amp;sr=8-4", "https://www.amazon.com/Magnetic-Cushion-Klein-610-1-4M/dp/B00093GE3A/ref=sr_1_4?keywords=Klein+Tools+646-1%2F4+1%2F4-Inch+Nut+Driver+with+6-Inch+Hollow+Shaft&amp;qid=1695173897&amp;sr=8-4")</f>
        <v>https://www.amazon.com/Magnetic-Cushion-Klein-610-1-4M/dp/B00093GE3A/ref=sr_1_4?keywords=Klein+Tools+646-1%2F4+1%2F4-Inch+Nut+Driver+with+6-Inch+Hollow+Shaft&amp;qid=1695173897&amp;sr=8-4</v>
      </c>
      <c r="F3271" t="s">
        <v>3885</v>
      </c>
      <c r="G3271" t="e">
        <f ca="1">_xludf.IMAGE("https://edmondsonsupply.com/cdn/shop/products/646-1-2_08d87fa9-eac4-4869-8d3b-bb680d4b1d53.jpg?v=1587150676")</f>
        <v>#NAME?</v>
      </c>
      <c r="H3271" t="e">
        <f ca="1">_xludf.IMAGE("https://m.media-amazon.com/images/I/41piyjqJVeL._AC_UL320_.jpg")</f>
        <v>#NAME?</v>
      </c>
      <c r="I3271" t="s">
        <v>1003</v>
      </c>
      <c r="J3271">
        <v>9.49</v>
      </c>
      <c r="K3271" s="4">
        <v>0.18770000000000001</v>
      </c>
      <c r="L3271">
        <v>4.8</v>
      </c>
      <c r="M3271">
        <v>260</v>
      </c>
      <c r="O3271" t="s">
        <v>25</v>
      </c>
      <c r="P3271" t="s">
        <v>1481</v>
      </c>
      <c r="Q3271" t="s">
        <v>1482</v>
      </c>
    </row>
    <row r="3272" spans="1:17" ht="15.5" x14ac:dyDescent="0.35">
      <c r="A3272"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3272"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3272" t="s">
        <v>5837</v>
      </c>
      <c r="D3272" t="s">
        <v>5891</v>
      </c>
      <c r="E3272" s="3" t="str">
        <f>HYPERLINK("https://www.amazon.com/Diablo-DMAMXCC5020-SDS-Max-Carbide-Tipped/dp/B089M7TYBC/ref=sr_1_2?keywords=Diablo+Tools+DMAMXCC5010+2+in.+x+7+in.+SDS-Max+Carbide+Tipped+Core+Bit&amp;qid=1695174008&amp;sr=8-2", "https://www.amazon.com/Diablo-DMAMXCC5020-SDS-Max-Carbide-Tipped/dp/B089M7TYBC/ref=sr_1_2?keywords=Diablo+Tools+DMAMXCC5010+2+in.+x+7+in.+SDS-Max+Carbide+Tipped+Core+Bit&amp;qid=1695174008&amp;sr=8-2")</f>
        <v>https://www.amazon.com/Diablo-DMAMXCC5020-SDS-Max-Carbide-Tipped/dp/B089M7TYBC/ref=sr_1_2?keywords=Diablo+Tools+DMAMXCC5010+2+in.+x+7+in.+SDS-Max+Carbide+Tipped+Core+Bit&amp;qid=1695174008&amp;sr=8-2</v>
      </c>
      <c r="F3272" t="s">
        <v>5892</v>
      </c>
      <c r="G3272" t="e">
        <f ca="1">_xludf.IMAGE("https://edmondsonsupply.com/cdn/shop/files/kbs61qpkymnshwvx13k1.webp?v=1686583113")</f>
        <v>#NAME?</v>
      </c>
      <c r="H3272" t="e">
        <f ca="1">_xludf.IMAGE("https://m.media-amazon.com/images/I/61fu3xDsk5L._AC_UL320_.jpg")</f>
        <v>#NAME?</v>
      </c>
      <c r="I3272" t="s">
        <v>5840</v>
      </c>
      <c r="J3272">
        <v>120.46</v>
      </c>
      <c r="K3272" s="4">
        <v>0.18690000000000001</v>
      </c>
      <c r="L3272">
        <v>4.8</v>
      </c>
      <c r="M3272">
        <v>5</v>
      </c>
      <c r="O3272" t="s">
        <v>25</v>
      </c>
      <c r="P3272" t="s">
        <v>5841</v>
      </c>
      <c r="Q3272" t="s">
        <v>5842</v>
      </c>
    </row>
    <row r="3273" spans="1:17" ht="15.5" x14ac:dyDescent="0.35">
      <c r="A3273"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3273" s="3" t="str">
        <f>HYPERLINK("https://edmondsonsupply.com/products/fluke-c60-soft-carrying-case", "https://edmondsonsupply.com/products/fluke-c60-soft-carrying-case")</f>
        <v>https://edmondsonsupply.com/products/fluke-c60-soft-carrying-case</v>
      </c>
      <c r="C3273" t="s">
        <v>265</v>
      </c>
      <c r="D3273" t="s">
        <v>476</v>
      </c>
      <c r="E3273" s="3" t="str">
        <f>HYPERLINK("https://www.amazon.com/Fluke-C116-Polyester-Soft-Carrying/dp/B0012WRD96/ref=sr_1_10?keywords=Fluke+C60+Soft+Carrying+Case&amp;qid=1695174290&amp;sr=8-10", "https://www.amazon.com/Fluke-C116-Polyester-Soft-Carrying/dp/B0012WRD96/ref=sr_1_10?keywords=Fluke+C60+Soft+Carrying+Case&amp;qid=1695174290&amp;sr=8-10")</f>
        <v>https://www.amazon.com/Fluke-C116-Polyester-Soft-Carrying/dp/B0012WRD96/ref=sr_1_10?keywords=Fluke+C60+Soft+Carrying+Case&amp;qid=1695174290&amp;sr=8-10</v>
      </c>
      <c r="F3273" t="s">
        <v>477</v>
      </c>
      <c r="G3273" t="e">
        <f ca="1">_xludf.IMAGE("https://edmondsonsupply.com/cdn/shop/products/c60.png?v=1633030926")</f>
        <v>#NAME?</v>
      </c>
      <c r="H3273" t="e">
        <f ca="1">_xludf.IMAGE("https://m.media-amazon.com/images/I/7135NJiG3XL._AC_UL320_.jpg")</f>
        <v>#NAME?</v>
      </c>
      <c r="I3273" t="s">
        <v>268</v>
      </c>
      <c r="J3273">
        <v>58.7</v>
      </c>
      <c r="K3273" s="4">
        <v>0.18609999999999999</v>
      </c>
      <c r="L3273">
        <v>4.2</v>
      </c>
      <c r="M3273">
        <v>30</v>
      </c>
      <c r="O3273" t="s">
        <v>25</v>
      </c>
      <c r="P3273" t="s">
        <v>269</v>
      </c>
      <c r="Q3273" t="s">
        <v>270</v>
      </c>
    </row>
    <row r="3274" spans="1:17" ht="15.5" x14ac:dyDescent="0.35">
      <c r="A3274"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3274"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3274" t="s">
        <v>6225</v>
      </c>
      <c r="D3274" t="s">
        <v>5118</v>
      </c>
      <c r="E3274" s="3" t="str">
        <f>HYPERLINK("https://www.amazon.com/Journeyman-T-Handle-Klein-Tools-JTH9E10/dp/B004QV8H90/ref=sr_1_7?keywords=Klein+Tools+JTH4E09+9%2F64-Inch+Hex+Key+Journeyman+T-Handle+4-Inch&amp;qid=1695174238&amp;sr=8-7", "https://www.amazon.com/Journeyman-T-Handle-Klein-Tools-JTH9E10/dp/B004QV8H90/ref=sr_1_7?keywords=Klein+Tools+JTH4E09+9%2F64-Inch+Hex+Key+Journeyman+T-Handle+4-Inch&amp;qid=1695174238&amp;sr=8-7")</f>
        <v>https://www.amazon.com/Journeyman-T-Handle-Klein-Tools-JTH9E10/dp/B004QV8H90/ref=sr_1_7?keywords=Klein+Tools+JTH4E09+9%2F64-Inch+Hex+Key+Journeyman+T-Handle+4-Inch&amp;qid=1695174238&amp;sr=8-7</v>
      </c>
      <c r="F3274" t="s">
        <v>5119</v>
      </c>
      <c r="G3274" t="e">
        <f ca="1">_xludf.IMAGE("https://edmondsonsupply.com/cdn/shop/products/jth4e06_be5118a6-2e9d-44f5-81ad-c027572dd2d3.jpg?v=1635981570")</f>
        <v>#NAME?</v>
      </c>
      <c r="H3274" t="e">
        <f ca="1">_xludf.IMAGE("https://m.media-amazon.com/images/I/51Yb8h41vLL._AC_UL320_.jpg")</f>
        <v>#NAME?</v>
      </c>
      <c r="I3274" t="s">
        <v>6228</v>
      </c>
      <c r="J3274">
        <v>4.49</v>
      </c>
      <c r="K3274" s="4">
        <v>0.1847</v>
      </c>
      <c r="L3274">
        <v>4.8</v>
      </c>
      <c r="M3274">
        <v>294</v>
      </c>
      <c r="O3274" t="s">
        <v>25</v>
      </c>
      <c r="P3274" t="s">
        <v>6229</v>
      </c>
      <c r="Q3274" t="s">
        <v>6230</v>
      </c>
    </row>
    <row r="3275" spans="1:17" ht="15.5" x14ac:dyDescent="0.35">
      <c r="A3275"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3275" s="3" t="str">
        <f>HYPERLINK("https://edmondsonsupply.com/products/klein-tools-646-1-4-1-4-inch-nut-driver-with-6-inch-hollow-shaft", "https://edmondsonsupply.com/products/klein-tools-646-1-4-1-4-inch-nut-driver-with-6-inch-hollow-shaft")</f>
        <v>https://edmondsonsupply.com/products/klein-tools-646-1-4-1-4-inch-nut-driver-with-6-inch-hollow-shaft</v>
      </c>
      <c r="C3275" t="s">
        <v>1478</v>
      </c>
      <c r="D3275" t="s">
        <v>3895</v>
      </c>
      <c r="E3275" s="3" t="str">
        <f>HYPERLINK("https://www.amazon.com/Magnetic-Klein-Tools-630-1-4M/dp/B00093GE6M/ref=sr_1_10?keywords=Klein+Tools+646-1%2F4+1%2F4-Inch+Nut+Driver+with+6-Inch+Hollow+Shaft&amp;qid=1695173897&amp;sr=8-10", "https://www.amazon.com/Magnetic-Klein-Tools-630-1-4M/dp/B00093GE6M/ref=sr_1_10?keywords=Klein+Tools+646-1%2F4+1%2F4-Inch+Nut+Driver+with+6-Inch+Hollow+Shaft&amp;qid=1695173897&amp;sr=8-10")</f>
        <v>https://www.amazon.com/Magnetic-Klein-Tools-630-1-4M/dp/B00093GE6M/ref=sr_1_10?keywords=Klein+Tools+646-1%2F4+1%2F4-Inch+Nut+Driver+with+6-Inch+Hollow+Shaft&amp;qid=1695173897&amp;sr=8-10</v>
      </c>
      <c r="F3275" t="s">
        <v>3896</v>
      </c>
      <c r="G3275" t="e">
        <f ca="1">_xludf.IMAGE("https://edmondsonsupply.com/cdn/shop/products/646-1-2_08d87fa9-eac4-4869-8d3b-bb680d4b1d53.jpg?v=1587150676")</f>
        <v>#NAME?</v>
      </c>
      <c r="H3275" t="e">
        <f ca="1">_xludf.IMAGE("https://m.media-amazon.com/images/I/51TXA1qvEdL._AC_UL320_.jpg")</f>
        <v>#NAME?</v>
      </c>
      <c r="I3275" t="s">
        <v>1003</v>
      </c>
      <c r="J3275">
        <v>9.4499999999999993</v>
      </c>
      <c r="K3275" s="4">
        <v>0.1827</v>
      </c>
      <c r="L3275">
        <v>4.7</v>
      </c>
      <c r="M3275">
        <v>1574</v>
      </c>
      <c r="O3275" t="s">
        <v>25</v>
      </c>
      <c r="P3275" t="s">
        <v>1481</v>
      </c>
      <c r="Q3275" t="s">
        <v>1482</v>
      </c>
    </row>
    <row r="3276" spans="1:17" ht="15.5" x14ac:dyDescent="0.35">
      <c r="A3276"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3276"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3276" t="s">
        <v>3544</v>
      </c>
      <c r="D3276" t="s">
        <v>3897</v>
      </c>
      <c r="E3276" s="3" t="str">
        <f>HYPERLINK("https://www.amazon.com/Ratcheting-Screwdriver-Klein-Tools-32594/dp/B01I2KTKR8/ref=sr_1_5?keywords=Klein+Tools+32562+Multi-Bit+Screwdriver+%2F+Nut+Driver%2C+6-in-1%2C+Stubby%2C+Ph%2C+Sl%2C+Sq+Bits&amp;qid=1695173934&amp;sr=8-5", "https://www.amazon.com/Ratcheting-Screwdriver-Klein-Tools-32594/dp/B01I2KTKR8/ref=sr_1_5?keywords=Klein+Tools+32562+Multi-Bit+Screwdriver+%2F+Nut+Driver%2C+6-in-1%2C+Stubby%2C+Ph%2C+Sl%2C+Sq+Bits&amp;qid=1695173934&amp;sr=8-5")</f>
        <v>https://www.amazon.com/Ratcheting-Screwdriver-Klein-Tools-32594/dp/B01I2KTKR8/ref=sr_1_5?keywords=Klein+Tools+32562+Multi-Bit+Screwdriver+%2F+Nut+Driver%2C+6-in-1%2C+Stubby%2C+Ph%2C+Sl%2C+Sq+Bits&amp;qid=1695173934&amp;sr=8-5</v>
      </c>
      <c r="F3276" t="s">
        <v>3898</v>
      </c>
      <c r="G3276" t="e">
        <f ca="1">_xludf.IMAGE("https://edmondsonsupply.com/cdn/shop/products/32562.jpg?v=1587145424")</f>
        <v>#NAME?</v>
      </c>
      <c r="H3276" t="e">
        <f ca="1">_xludf.IMAGE("https://m.media-amazon.com/images/I/51pkI+hcIbL._AC_UL320_.jpg")</f>
        <v>#NAME?</v>
      </c>
      <c r="I3276" t="s">
        <v>834</v>
      </c>
      <c r="J3276">
        <v>15.36</v>
      </c>
      <c r="K3276" s="4">
        <v>0.18240000000000001</v>
      </c>
      <c r="L3276">
        <v>4.8</v>
      </c>
      <c r="M3276">
        <v>551</v>
      </c>
      <c r="O3276" t="s">
        <v>25</v>
      </c>
      <c r="P3276" t="s">
        <v>3547</v>
      </c>
      <c r="Q3276" t="s">
        <v>3548</v>
      </c>
    </row>
    <row r="3277" spans="1:17" ht="15.5" x14ac:dyDescent="0.35">
      <c r="A3277"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3277"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3277" t="s">
        <v>6432</v>
      </c>
      <c r="D3277" t="s">
        <v>660</v>
      </c>
      <c r="E3277" s="3" t="str">
        <f>HYPERLINK("https://www.amazon.com/Bull-Pin-Connection-Klein-Tools-5416OCTO/dp/B00Y6WMEZW/ref=sr_1_4?keywords=Klein+Tools+5416+Tool+Bag%2C+Bull-Pin+and+Bolt+Pouch%2C+Belt+Strap+Connect%2C+5+x+10+x+9-Inch&amp;qid=1695174042&amp;sr=8-4", "https://www.amazon.com/Bull-Pin-Connection-Klein-Tools-5416OCTO/dp/B00Y6WMEZW/ref=sr_1_4?keywords=Klein+Tools+5416+Tool+Bag%2C+Bull-Pin+and+Bolt+Pouch%2C+Belt+Strap+Connect%2C+5+x+10+x+9-Inch&amp;qid=1695174042&amp;sr=8-4")</f>
        <v>https://www.amazon.com/Bull-Pin-Connection-Klein-Tools-5416OCTO/dp/B00Y6WMEZW/ref=sr_1_4?keywords=Klein+Tools+5416+Tool+Bag%2C+Bull-Pin+and+Bolt+Pouch%2C+Belt+Strap+Connect%2C+5+x+10+x+9-Inch&amp;qid=1695174042&amp;sr=8-4</v>
      </c>
      <c r="F3277" t="s">
        <v>661</v>
      </c>
      <c r="G3277" t="e">
        <f ca="1">_xludf.IMAGE("https://edmondsonsupply.com/cdn/shop/products/5416.jpg?v=1679664980")</f>
        <v>#NAME?</v>
      </c>
      <c r="H3277" t="e">
        <f ca="1">_xludf.IMAGE("https://m.media-amazon.com/images/I/61SKfGzjXGL._AC_UL320_.jpg")</f>
        <v>#NAME?</v>
      </c>
      <c r="I3277" t="s">
        <v>6242</v>
      </c>
      <c r="J3277">
        <v>21</v>
      </c>
      <c r="K3277" s="4">
        <v>0.17979999999999999</v>
      </c>
      <c r="L3277">
        <v>4.8</v>
      </c>
      <c r="M3277">
        <v>513</v>
      </c>
      <c r="O3277" t="s">
        <v>25</v>
      </c>
      <c r="P3277" t="s">
        <v>6433</v>
      </c>
      <c r="Q3277" t="s">
        <v>6434</v>
      </c>
    </row>
    <row r="3278" spans="1:17" ht="15.5" x14ac:dyDescent="0.35">
      <c r="A3278"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3278" s="3" t="str">
        <f>HYPERLINK("https://edmondsonsupply.com/products/diablo-tools-dag1110-7-8-in-x-7-1-2-in-auger-bit", "https://edmondsonsupply.com/products/diablo-tools-dag1110-7-8-in-x-7-1-2-in-auger-bit")</f>
        <v>https://edmondsonsupply.com/products/diablo-tools-dag1110-7-8-in-x-7-1-2-in-auger-bit</v>
      </c>
      <c r="C3278" t="s">
        <v>6839</v>
      </c>
      <c r="D3278" t="s">
        <v>3797</v>
      </c>
      <c r="E3278" s="3" t="str">
        <f>HYPERLINK("https://www.amazon.com/Diablo-Freud-DAG1150-1-1-Auger/dp/B089LGR2GW/ref=sr_1_8?keywords=Diablo+Tools+DAG1110+7%2F8+in.+x+7-1%2F2+in.+Auger+Bit&amp;qid=1695174030&amp;sr=8-8", "https://www.amazon.com/Diablo-Freud-DAG1150-1-1-Auger/dp/B089LGR2GW/ref=sr_1_8?keywords=Diablo+Tools+DAG1110+7%2F8+in.+x+7-1%2F2+in.+Auger+Bit&amp;qid=1695174030&amp;sr=8-8")</f>
        <v>https://www.amazon.com/Diablo-Freud-DAG1150-1-1-Auger/dp/B089LGR2GW/ref=sr_1_8?keywords=Diablo+Tools+DAG1110+7%2F8+in.+x+7-1%2F2+in.+Auger+Bit&amp;qid=1695174030&amp;sr=8-8</v>
      </c>
      <c r="F3278" t="s">
        <v>3798</v>
      </c>
      <c r="G3278" t="e">
        <f ca="1">_xludf.IMAGE("https://edmondsonsupply.com/cdn/shop/products/yel7mbaiyy08ii0assd5.webp?v=1680187136")</f>
        <v>#NAME?</v>
      </c>
      <c r="H3278" t="e">
        <f ca="1">_xludf.IMAGE("https://m.media-amazon.com/images/I/71M61xRfPtL._AC_UL320_.jpg")</f>
        <v>#NAME?</v>
      </c>
      <c r="I3278" t="s">
        <v>4985</v>
      </c>
      <c r="J3278">
        <v>20</v>
      </c>
      <c r="K3278" s="4">
        <v>0.17860000000000001</v>
      </c>
      <c r="L3278">
        <v>4.5999999999999996</v>
      </c>
      <c r="M3278">
        <v>28</v>
      </c>
      <c r="O3278" t="s">
        <v>25</v>
      </c>
      <c r="P3278" t="s">
        <v>6840</v>
      </c>
      <c r="Q3278" t="s">
        <v>6841</v>
      </c>
    </row>
    <row r="3279" spans="1:17" ht="15.5" x14ac:dyDescent="0.35">
      <c r="A3279"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3279" s="3" t="str">
        <f>HYPERLINK("https://edmondsonsupply.com/products/klein-tools-jth4e17-1-2-inch-hex-key-journeyman-t-handle-4-inch", "https://edmondsonsupply.com/products/klein-tools-jth4e17-1-2-inch-hex-key-journeyman-t-handle-4-inch")</f>
        <v>https://edmondsonsupply.com/products/klein-tools-jth4e17-1-2-inch-hex-key-journeyman-t-handle-4-inch</v>
      </c>
      <c r="C3279" t="s">
        <v>2385</v>
      </c>
      <c r="D3279" t="s">
        <v>3905</v>
      </c>
      <c r="E3279" s="3" t="str">
        <f>HYPERLINK("https://www.amazon.com/Journeyman-T-Handle-Klein-Tools-JTH9M3/dp/B005G3HJ28/ref=sr_1_5?keywords=Klein+Tools+JTH4E11+3%2F16-Inch+Hex+Key+with+Journeyman+T-Handle%2C+4-Inch&amp;qid=1695173897&amp;sr=8-5", "https://www.amazon.com/Journeyman-T-Handle-Klein-Tools-JTH9M3/dp/B005G3HJ28/ref=sr_1_5?keywords=Klein+Tools+JTH4E11+3%2F16-Inch+Hex+Key+with+Journeyman+T-Handle%2C+4-Inch&amp;qid=1695173897&amp;sr=8-5")</f>
        <v>https://www.amazon.com/Journeyman-T-Handle-Klein-Tools-JTH9M3/dp/B005G3HJ28/ref=sr_1_5?keywords=Klein+Tools+JTH4E11+3%2F16-Inch+Hex+Key+with+Journeyman+T-Handle%2C+4-Inch&amp;qid=1695173897&amp;sr=8-5</v>
      </c>
      <c r="F3279" t="s">
        <v>3906</v>
      </c>
      <c r="G3279" t="e">
        <f ca="1">_xludf.IMAGE("https://edmondsonsupply.com/cdn/shop/products/jth4e17.jpg?v=1587144836")</f>
        <v>#NAME?</v>
      </c>
      <c r="H3279" t="e">
        <f ca="1">_xludf.IMAGE("https://m.media-amazon.com/images/I/51MZtGjDOtL._AC_UL320_.jpg")</f>
        <v>#NAME?</v>
      </c>
      <c r="I3279" t="s">
        <v>2388</v>
      </c>
      <c r="J3279">
        <v>5.88</v>
      </c>
      <c r="K3279" s="4">
        <v>0.1784</v>
      </c>
      <c r="L3279">
        <v>4.5999999999999996</v>
      </c>
      <c r="M3279">
        <v>179</v>
      </c>
      <c r="O3279" t="s">
        <v>25</v>
      </c>
      <c r="P3279" t="s">
        <v>2389</v>
      </c>
      <c r="Q3279" t="s">
        <v>2390</v>
      </c>
    </row>
    <row r="3280" spans="1:17" ht="15.5" x14ac:dyDescent="0.35">
      <c r="A3280"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3280" s="3" t="str">
        <f>HYPERLINK("https://edmondsonsupply.com/products/klein-tools-jth9m5-5-mm-hex-key-journeyman-t-handle-9-inch", "https://edmondsonsupply.com/products/klein-tools-jth9m5-5-mm-hex-key-journeyman-t-handle-9-inch")</f>
        <v>https://edmondsonsupply.com/products/klein-tools-jth9m5-5-mm-hex-key-journeyman-t-handle-9-inch</v>
      </c>
      <c r="C3280" t="s">
        <v>6167</v>
      </c>
      <c r="D3280" t="s">
        <v>3905</v>
      </c>
      <c r="E3280" s="3" t="str">
        <f>HYPERLINK("https://www.amazon.com/Journeyman-T-Handle-Klein-Tools-JTH9M3/dp/B005G3HJ28/ref=sr_1_7?keywords=Klein+Tools+JTH9M5+5+mm+Hex+Key%2C+Journeyman+T-Handle+9-Inch&amp;qid=1695174264&amp;sr=8-7", "https://www.amazon.com/Journeyman-T-Handle-Klein-Tools-JTH9M3/dp/B005G3HJ28/ref=sr_1_7?keywords=Klein+Tools+JTH9M5+5+mm+Hex+Key%2C+Journeyman+T-Handle+9-Inch&amp;qid=1695174264&amp;sr=8-7")</f>
        <v>https://www.amazon.com/Journeyman-T-Handle-Klein-Tools-JTH9M3/dp/B005G3HJ28/ref=sr_1_7?keywords=Klein+Tools+JTH9M5+5+mm+Hex+Key%2C+Journeyman+T-Handle+9-Inch&amp;qid=1695174264&amp;sr=8-7</v>
      </c>
      <c r="F3280" t="s">
        <v>3906</v>
      </c>
      <c r="G3280" t="e">
        <f ca="1">_xludf.IMAGE("https://edmondsonsupply.com/cdn/shop/products/jth9m_84ad507b-889a-4b5c-80a2-9633c898cd48.jpg?v=1633031048")</f>
        <v>#NAME?</v>
      </c>
      <c r="H3280" t="e">
        <f ca="1">_xludf.IMAGE("https://m.media-amazon.com/images/I/51MZtGjDOtL._AC_UL320_.jpg")</f>
        <v>#NAME?</v>
      </c>
      <c r="I3280" t="s">
        <v>2388</v>
      </c>
      <c r="J3280">
        <v>5.88</v>
      </c>
      <c r="K3280" s="4">
        <v>0.1784</v>
      </c>
      <c r="L3280">
        <v>4.5999999999999996</v>
      </c>
      <c r="M3280">
        <v>179</v>
      </c>
      <c r="O3280" t="s">
        <v>25</v>
      </c>
      <c r="P3280" t="s">
        <v>6168</v>
      </c>
      <c r="Q3280" t="s">
        <v>6169</v>
      </c>
    </row>
    <row r="3281" spans="1:17" ht="15.5" x14ac:dyDescent="0.35">
      <c r="A3281"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3281"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3281" t="s">
        <v>6358</v>
      </c>
      <c r="D3281" t="s">
        <v>3905</v>
      </c>
      <c r="E3281" s="3" t="str">
        <f>HYPERLINK("https://www.amazon.com/Journeyman-T-Handle-Klein-Tools-JTH9M3/dp/B005G3HJ28/ref=sr_1_4?keywords=Klein+Tools+JTH6M3BE+3+mm+Ball+Hex+Key+Journeyman+T-Handle+6-Inch&amp;qid=1695174181&amp;sr=8-4", "https://www.amazon.com/Journeyman-T-Handle-Klein-Tools-JTH9M3/dp/B005G3HJ28/ref=sr_1_4?keywords=Klein+Tools+JTH6M3BE+3+mm+Ball+Hex+Key+Journeyman+T-Handle+6-Inch&amp;qid=1695174181&amp;sr=8-4")</f>
        <v>https://www.amazon.com/Journeyman-T-Handle-Klein-Tools-JTH9M3/dp/B005G3HJ28/ref=sr_1_4?keywords=Klein+Tools+JTH6M3BE+3+mm+Ball+Hex+Key+Journeyman+T-Handle+6-Inch&amp;qid=1695174181&amp;sr=8-4</v>
      </c>
      <c r="F3281" t="s">
        <v>3906</v>
      </c>
      <c r="G3281" t="e">
        <f ca="1">_xludf.IMAGE("https://edmondsonsupply.com/cdn/shop/products/jth6m8be_1b0aeba1-6d03-4a46-99d8-f6853368c71f.jpg?v=1655941616")</f>
        <v>#NAME?</v>
      </c>
      <c r="H3281" t="e">
        <f ca="1">_xludf.IMAGE("https://m.media-amazon.com/images/I/51MZtGjDOtL._AC_UL320_.jpg")</f>
        <v>#NAME?</v>
      </c>
      <c r="I3281" t="s">
        <v>2388</v>
      </c>
      <c r="J3281">
        <v>5.88</v>
      </c>
      <c r="K3281" s="4">
        <v>0.1784</v>
      </c>
      <c r="L3281">
        <v>4.5999999999999996</v>
      </c>
      <c r="M3281">
        <v>179</v>
      </c>
      <c r="O3281" t="s">
        <v>25</v>
      </c>
      <c r="P3281" t="s">
        <v>2392</v>
      </c>
      <c r="Q3281" t="s">
        <v>6359</v>
      </c>
    </row>
    <row r="3282" spans="1:17" ht="15.5" x14ac:dyDescent="0.35">
      <c r="A3282"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3282"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3282" t="s">
        <v>2391</v>
      </c>
      <c r="D3282" t="s">
        <v>3905</v>
      </c>
      <c r="E3282" s="3" t="str">
        <f>HYPERLINK("https://www.amazon.com/Journeyman-T-Handle-Klein-Tools-JTH9M3/dp/B005G3HJ28/ref=sr_1_8?keywords=Klein+Tools+JTH6E11+3%2F16-Inch+Hex+Key%2C+Journeyman+T-Handle%2C+6-Inch&amp;qid=1695173898&amp;sr=8-8", "https://www.amazon.com/Journeyman-T-Handle-Klein-Tools-JTH9M3/dp/B005G3HJ28/ref=sr_1_8?keywords=Klein+Tools+JTH6E11+3%2F16-Inch+Hex+Key%2C+Journeyman+T-Handle%2C+6-Inch&amp;qid=1695173898&amp;sr=8-8")</f>
        <v>https://www.amazon.com/Journeyman-T-Handle-Klein-Tools-JTH9M3/dp/B005G3HJ28/ref=sr_1_8?keywords=Klein+Tools+JTH6E11+3%2F16-Inch+Hex+Key%2C+Journeyman+T-Handle%2C+6-Inch&amp;qid=1695173898&amp;sr=8-8</v>
      </c>
      <c r="F3282" t="s">
        <v>3906</v>
      </c>
      <c r="G3282" t="e">
        <f ca="1">_xludf.IMAGE("https://edmondsonsupply.com/cdn/shop/products/jth6e15_0266106d-0a3b-44ba-997b-66db7749d83f.jpg?v=1587144829")</f>
        <v>#NAME?</v>
      </c>
      <c r="H3282" t="e">
        <f ca="1">_xludf.IMAGE("https://m.media-amazon.com/images/I/51MZtGjDOtL._AC_UL320_.jpg")</f>
        <v>#NAME?</v>
      </c>
      <c r="I3282" t="s">
        <v>2388</v>
      </c>
      <c r="J3282">
        <v>5.88</v>
      </c>
      <c r="K3282" s="4">
        <v>0.1784</v>
      </c>
      <c r="L3282">
        <v>4.5999999999999996</v>
      </c>
      <c r="M3282">
        <v>179</v>
      </c>
      <c r="O3282" t="s">
        <v>25</v>
      </c>
      <c r="P3282" t="s">
        <v>2392</v>
      </c>
      <c r="Q3282" t="s">
        <v>2393</v>
      </c>
    </row>
    <row r="3283" spans="1:17" ht="15.5" x14ac:dyDescent="0.35">
      <c r="A3283"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3283"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3283" t="s">
        <v>6425</v>
      </c>
      <c r="D3283" t="s">
        <v>6643</v>
      </c>
      <c r="E3283" s="3" t="str">
        <f>HYPERLINK("https://www.amazon.com/Receptacle-Electrical-Klein-Tools-RT250/dp/B08QW7K1JJ/ref=sr_1_4?keywords=Klein+Tools+ET45VP+AC%2FDC+Voltage+and+GFCI+Receptacle+Outlet+Test+Kit&amp;qid=1695174178&amp;sr=8-4", "https://www.amazon.com/Receptacle-Electrical-Klein-Tools-RT250/dp/B08QW7K1JJ/ref=sr_1_4?keywords=Klein+Tools+ET45VP+AC%2FDC+Voltage+and+GFCI+Receptacle+Outlet+Test+Kit&amp;qid=1695174178&amp;sr=8-4")</f>
        <v>https://www.amazon.com/Receptacle-Electrical-Klein-Tools-RT250/dp/B08QW7K1JJ/ref=sr_1_4?keywords=Klein+Tools+ET45VP+AC%2FDC+Voltage+and+GFCI+Receptacle+Outlet+Test+Kit&amp;qid=1695174178&amp;sr=8-4</v>
      </c>
      <c r="F3283" t="s">
        <v>6644</v>
      </c>
      <c r="G3283" t="e">
        <f ca="1">_xludf.IMAGE("https://edmondsonsupply.com/cdn/shop/products/et45vp.jpg?v=1660755922")</f>
        <v>#NAME?</v>
      </c>
      <c r="H3283" t="e">
        <f ca="1">_xludf.IMAGE("https://m.media-amazon.com/images/I/61j28ynJ7bL._AC_UL320_.jpg")</f>
        <v>#NAME?</v>
      </c>
      <c r="I3283" t="s">
        <v>2586</v>
      </c>
      <c r="J3283">
        <v>21.17</v>
      </c>
      <c r="K3283" s="4">
        <v>0.17810000000000001</v>
      </c>
      <c r="L3283">
        <v>4.8</v>
      </c>
      <c r="M3283">
        <v>7966</v>
      </c>
      <c r="O3283" t="s">
        <v>25</v>
      </c>
      <c r="P3283" t="s">
        <v>6426</v>
      </c>
      <c r="Q3283" t="s">
        <v>6427</v>
      </c>
    </row>
    <row r="3284" spans="1:17" ht="15.5" x14ac:dyDescent="0.35">
      <c r="A3284" s="3" t="str">
        <f>HYPERLINK("https://edmondsonsupply.com/collections/electricians-tools/products/fluke-t5-600", "https://edmondsonsupply.com/collections/electricians-tools/products/fluke-t5-600")</f>
        <v>https://edmondsonsupply.com/collections/electricians-tools/products/fluke-t5-600</v>
      </c>
      <c r="B3284" s="3" t="str">
        <f>HYPERLINK("https://edmondsonsupply.com/products/fluke-t5-600", "https://edmondsonsupply.com/products/fluke-t5-600")</f>
        <v>https://edmondsonsupply.com/products/fluke-t5-600</v>
      </c>
      <c r="C3284" t="s">
        <v>3397</v>
      </c>
      <c r="D3284" t="s">
        <v>3907</v>
      </c>
      <c r="E3284" s="3" t="str">
        <f>HYPERLINK("https://www.amazon.com/Fluke-Continuity-NIST-Traceable-Calibration-Certificate/dp/B00DK89Y7O/ref=sr_1_2?keywords=Fluke+T5-600+Voltage%2C+Continuity+and+Current+Tester%2C+600V+AC%2FDC&amp;qid=1695173856&amp;sr=8-2", "https://www.amazon.com/Fluke-Continuity-NIST-Traceable-Calibration-Certificate/dp/B00DK89Y7O/ref=sr_1_2?keywords=Fluke+T5-600+Voltage%2C+Continuity+and+Current+Tester%2C+600V+AC%2FDC&amp;qid=1695173856&amp;sr=8-2")</f>
        <v>https://www.amazon.com/Fluke-Continuity-NIST-Traceable-Calibration-Certificate/dp/B00DK89Y7O/ref=sr_1_2?keywords=Fluke+T5-600+Voltage%2C+Continuity+and+Current+Tester%2C+600V+AC%2FDC&amp;qid=1695173856&amp;sr=8-2</v>
      </c>
      <c r="F3284" t="s">
        <v>3908</v>
      </c>
      <c r="G3284" t="e">
        <f ca="1">_xludf.IMAGE("https://edmondsonsupply.com/cdn/shop/products/F-t5-600-euro_03a_c.jpg?v=1633030279")</f>
        <v>#NAME?</v>
      </c>
      <c r="H3284" t="e">
        <f ca="1">_xludf.IMAGE("https://m.media-amazon.com/images/I/61MauP-WopL._AC_UL320_.jpg")</f>
        <v>#NAME?</v>
      </c>
      <c r="I3284" t="s">
        <v>3400</v>
      </c>
      <c r="J3284">
        <v>162.47999999999999</v>
      </c>
      <c r="K3284" s="4">
        <v>0.17749999999999999</v>
      </c>
      <c r="L3284">
        <v>4.5999999999999996</v>
      </c>
      <c r="M3284">
        <v>21</v>
      </c>
      <c r="O3284" t="s">
        <v>25</v>
      </c>
      <c r="P3284" t="s">
        <v>3401</v>
      </c>
      <c r="Q3284" t="s">
        <v>3402</v>
      </c>
    </row>
    <row r="3285" spans="1:17" ht="15.5" x14ac:dyDescent="0.35">
      <c r="A3285" s="3" t="str">
        <f>HYPERLINK("https://edmondsonsupply.com/collections/electricians-tools/products/channellock-804", "https://edmondsonsupply.com/collections/electricians-tools/products/channellock-804")</f>
        <v>https://edmondsonsupply.com/collections/electricians-tools/products/channellock-804</v>
      </c>
      <c r="B3285" s="3" t="str">
        <f>HYPERLINK("https://edmondsonsupply.com/products/channellock-804", "https://edmondsonsupply.com/products/channellock-804")</f>
        <v>https://edmondsonsupply.com/products/channellock-804</v>
      </c>
      <c r="C3285" t="s">
        <v>1551</v>
      </c>
      <c r="D3285" t="s">
        <v>3911</v>
      </c>
      <c r="E3285" s="3" t="str">
        <f>HYPERLINK("https://www.amazon.com/Channellock-808W-8-Inch-Adjustable-Wrench/dp/B000UJQ6EA/ref=sr_1_5?keywords=Channellock+804+4-Inch+Chrome+Adjustable+Wrench&amp;qid=1695173945&amp;sr=8-5", "https://www.amazon.com/Channellock-808W-8-Inch-Adjustable-Wrench/dp/B000UJQ6EA/ref=sr_1_5?keywords=Channellock+804+4-Inch+Chrome+Adjustable+Wrench&amp;qid=1695173945&amp;sr=8-5")</f>
        <v>https://www.amazon.com/Channellock-808W-8-Inch-Adjustable-Wrench/dp/B000UJQ6EA/ref=sr_1_5?keywords=Channellock+804+4-Inch+Chrome+Adjustable+Wrench&amp;qid=1695173945&amp;sr=8-5</v>
      </c>
      <c r="F3285" t="s">
        <v>3912</v>
      </c>
      <c r="G3285" t="e">
        <f ca="1">_xludf.IMAGE("https://edmondsonsupply.com/cdn/shop/products/804-683x1024.jpg?v=1587145853")</f>
        <v>#NAME?</v>
      </c>
      <c r="H3285" t="e">
        <f ca="1">_xludf.IMAGE("https://m.media-amazon.com/images/I/71Gsk0R5dIL._AC_UL320_.jpg")</f>
        <v>#NAME?</v>
      </c>
      <c r="I3285" t="s">
        <v>1554</v>
      </c>
      <c r="J3285">
        <v>19.95</v>
      </c>
      <c r="K3285" s="4">
        <v>0.17699999999999999</v>
      </c>
      <c r="L3285">
        <v>4.8</v>
      </c>
      <c r="M3285">
        <v>368</v>
      </c>
      <c r="O3285" t="s">
        <v>25</v>
      </c>
      <c r="P3285" t="s">
        <v>1555</v>
      </c>
      <c r="Q3285" t="s">
        <v>1556</v>
      </c>
    </row>
    <row r="3286" spans="1:17" ht="15.5" x14ac:dyDescent="0.35">
      <c r="A3286" s="3" t="str">
        <f>HYPERLINK("https://edmondsonsupply.com/collections/electricians-tools/products/channellock-428", "https://edmondsonsupply.com/collections/electricians-tools/products/channellock-428")</f>
        <v>https://edmondsonsupply.com/collections/electricians-tools/products/channellock-428</v>
      </c>
      <c r="B3286" s="3" t="str">
        <f>HYPERLINK("https://edmondsonsupply.com/products/channellock-428", "https://edmondsonsupply.com/products/channellock-428")</f>
        <v>https://edmondsonsupply.com/products/channellock-428</v>
      </c>
      <c r="C3286" t="s">
        <v>1791</v>
      </c>
      <c r="D3286" t="s">
        <v>3909</v>
      </c>
      <c r="E3286" s="3" t="str">
        <f>HYPERLINK("https://www.amazon.com/Channellock-430-Straight-Heat-Treated-Reinforcing/dp/B00002N5JF/ref=sr_1_6?keywords=Channellock+428+8-Inch+Straight+Jaw+Tongue+%26+Groove+Pliers&amp;qid=1695173963&amp;sr=8-6", "https://www.amazon.com/Channellock-430-Straight-Heat-Treated-Reinforcing/dp/B00002N5JF/ref=sr_1_6?keywords=Channellock+428+8-Inch+Straight+Jaw+Tongue+%26+Groove+Pliers&amp;qid=1695173963&amp;sr=8-6")</f>
        <v>https://www.amazon.com/Channellock-430-Straight-Heat-Treated-Reinforcing/dp/B00002N5JF/ref=sr_1_6?keywords=Channellock+428+8-Inch+Straight+Jaw+Tongue+%26+Groove+Pliers&amp;qid=1695173963&amp;sr=8-6</v>
      </c>
      <c r="F3286" t="s">
        <v>3910</v>
      </c>
      <c r="G3286" t="e">
        <f ca="1">_xludf.IMAGE("https://edmondsonsupply.com/cdn/shop/products/428-683x1024.jpg?v=1587145854")</f>
        <v>#NAME?</v>
      </c>
      <c r="H3286" t="e">
        <f ca="1">_xludf.IMAGE("https://m.media-amazon.com/images/I/71JqgqffnnL._AC_UL320_.jpg")</f>
        <v>#NAME?</v>
      </c>
      <c r="I3286" t="s">
        <v>1554</v>
      </c>
      <c r="J3286">
        <v>19.95</v>
      </c>
      <c r="K3286" s="4">
        <v>0.17699999999999999</v>
      </c>
      <c r="L3286">
        <v>4.8</v>
      </c>
      <c r="M3286">
        <v>2191</v>
      </c>
      <c r="O3286" t="s">
        <v>25</v>
      </c>
      <c r="P3286" t="s">
        <v>1794</v>
      </c>
      <c r="Q3286" t="s">
        <v>1795</v>
      </c>
    </row>
    <row r="3287" spans="1:17" ht="15.5" x14ac:dyDescent="0.35">
      <c r="A3287" s="3" t="str">
        <f>HYPERLINK("https://edmondsonsupply.com/collections/electricians-tools/products/rack-a-tiers-11455-wire-dispenser", "https://edmondsonsupply.com/collections/electricians-tools/products/rack-a-tiers-11455-wire-dispenser")</f>
        <v>https://edmondsonsupply.com/collections/electricians-tools/products/rack-a-tiers-11455-wire-dispenser</v>
      </c>
      <c r="B3287" s="3" t="str">
        <f>HYPERLINK("https://edmondsonsupply.com/products/rack-a-tiers-11455-wire-dispenser", "https://edmondsonsupply.com/products/rack-a-tiers-11455-wire-dispenser")</f>
        <v>https://edmondsonsupply.com/products/rack-a-tiers-11455-wire-dispenser</v>
      </c>
      <c r="C3287" t="s">
        <v>7319</v>
      </c>
      <c r="D3287" t="s">
        <v>7526</v>
      </c>
      <c r="E3287" s="3" t="str">
        <f>HYPERLINK("https://www.amazon.com/Rack-Tiers-18455-Wire-Tub/dp/B0087TBRI0/ref=sr_1_10?keywords=Rack-A-Tiers+11455+Wire+Dispenser&amp;qid=1695173848&amp;sr=8-10", "https://www.amazon.com/Rack-Tiers-18455-Wire-Tub/dp/B0087TBRI0/ref=sr_1_10?keywords=Rack-A-Tiers+11455+Wire+Dispenser&amp;qid=1695173848&amp;sr=8-10")</f>
        <v>https://www.amazon.com/Rack-Tiers-18455-Wire-Tub/dp/B0087TBRI0/ref=sr_1_10?keywords=Rack-A-Tiers+11455+Wire+Dispenser&amp;qid=1695173848&amp;sr=8-10</v>
      </c>
      <c r="F3287" t="s">
        <v>7527</v>
      </c>
      <c r="G3287" t="e">
        <f ca="1">_xludf.IMAGE("https://edmondsonsupply.com/cdn/shop/products/11455.png?v=1587150070")</f>
        <v>#NAME?</v>
      </c>
      <c r="H3287" t="e">
        <f ca="1">_xludf.IMAGE("https://m.media-amazon.com/images/I/61aM91GUOYL._AC_UL320_.jpg")</f>
        <v>#NAME?</v>
      </c>
      <c r="I3287" t="s">
        <v>7322</v>
      </c>
      <c r="J3287">
        <v>123.99</v>
      </c>
      <c r="K3287" s="4">
        <v>0.17649999999999999</v>
      </c>
      <c r="L3287">
        <v>4.5999999999999996</v>
      </c>
      <c r="M3287">
        <v>82</v>
      </c>
      <c r="O3287" t="s">
        <v>25</v>
      </c>
      <c r="P3287" t="s">
        <v>4016</v>
      </c>
      <c r="Q3287" t="s">
        <v>7323</v>
      </c>
    </row>
    <row r="3288" spans="1:17" ht="15.5" x14ac:dyDescent="0.35">
      <c r="A3288" s="3" t="str">
        <f>HYPERLINK("https://edmondsonsupply.com/collections/electricians-tools/products/milwaukee-48-03-3012-sds-max-to-spline-adapter", "https://edmondsonsupply.com/collections/electricians-tools/products/milwaukee-48-03-3012-sds-max-to-spline-adapter")</f>
        <v>https://edmondsonsupply.com/collections/electricians-tools/products/milwaukee-48-03-3012-sds-max-to-spline-adapter</v>
      </c>
      <c r="B3288" s="3" t="str">
        <f>HYPERLINK("https://edmondsonsupply.com/products/milwaukee-48-03-3012-sds-max-to-spline-adapter", "https://edmondsonsupply.com/products/milwaukee-48-03-3012-sds-max-to-spline-adapter")</f>
        <v>https://edmondsonsupply.com/products/milwaukee-48-03-3012-sds-max-to-spline-adapter</v>
      </c>
      <c r="C3288" t="s">
        <v>7528</v>
      </c>
      <c r="D3288" t="s">
        <v>6365</v>
      </c>
      <c r="E3288" s="3" t="str">
        <f>HYPERLINK("https://www.amazon.com/Milwaukee-48-03-3012-SDS-Max-Spline-Adapter/dp/B00I3PGEOA/ref=sr_1_1?keywords=Milwaukee+48-03-3012+SDS-MAX+to+Spline+Bit+Adapter&amp;qid=1695174085&amp;sr=8-1", "https://www.amazon.com/Milwaukee-48-03-3012-SDS-Max-Spline-Adapter/dp/B00I3PGEOA/ref=sr_1_1?keywords=Milwaukee+48-03-3012+SDS-MAX+to+Spline+Bit+Adapter&amp;qid=1695174085&amp;sr=8-1")</f>
        <v>https://www.amazon.com/Milwaukee-48-03-3012-SDS-Max-Spline-Adapter/dp/B00I3PGEOA/ref=sr_1_1?keywords=Milwaukee+48-03-3012+SDS-MAX+to+Spline+Bit+Adapter&amp;qid=1695174085&amp;sr=8-1</v>
      </c>
      <c r="F3288" t="s">
        <v>6366</v>
      </c>
      <c r="G3288" t="e">
        <f ca="1">_xludf.IMAGE("https://edmondsonsupply.com/cdn/shop/products/48-03-3012.jpg?v=1674074396")</f>
        <v>#NAME?</v>
      </c>
      <c r="H3288" t="e">
        <f ca="1">_xludf.IMAGE("https://m.media-amazon.com/images/I/61QrQEYLIrL._AC_UL320_.jpg")</f>
        <v>#NAME?</v>
      </c>
      <c r="I3288" t="s">
        <v>7529</v>
      </c>
      <c r="J3288">
        <v>166.85</v>
      </c>
      <c r="K3288" s="4">
        <v>0.17599999999999999</v>
      </c>
      <c r="L3288">
        <v>4.5999999999999996</v>
      </c>
      <c r="M3288">
        <v>2</v>
      </c>
      <c r="O3288" t="s">
        <v>25</v>
      </c>
      <c r="P3288" t="s">
        <v>7530</v>
      </c>
      <c r="Q3288" t="s">
        <v>7531</v>
      </c>
    </row>
    <row r="3289" spans="1:17" ht="15.5" x14ac:dyDescent="0.35">
      <c r="A3289"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3289" s="3" t="str">
        <f>HYPERLINK("https://edmondsonsupply.com/products/milwaukee-49-56-0505-1-4-diamond-max%e2%84%a2-hole-saw", "https://edmondsonsupply.com/products/milwaukee-49-56-0505-1-4-diamond-max%e2%84%a2-hole-saw")</f>
        <v>https://edmondsonsupply.com/products/milwaukee-49-56-0505-1-4-diamond-max%e2%84%a2-hole-saw</v>
      </c>
      <c r="C3289" t="s">
        <v>6614</v>
      </c>
      <c r="D3289" t="s">
        <v>7532</v>
      </c>
      <c r="E3289" s="3" t="str">
        <f>HYPERLINK("https://www.amazon.com/Milwaukee-49-56-0515-Diamond-One-Piece-Hole/dp/B00LCU108S/ref=sr_1_10?keywords=Milwaukee+49-56-0505+1%2F4%22+Diamond+MAX%E2%84%A2+Hole+Saw&amp;qid=1695174028&amp;sr=8-10", "https://www.amazon.com/Milwaukee-49-56-0515-Diamond-One-Piece-Hole/dp/B00LCU108S/ref=sr_1_10?keywords=Milwaukee+49-56-0505+1%2F4%22+Diamond+MAX%E2%84%A2+Hole+Saw&amp;qid=1695174028&amp;sr=8-10")</f>
        <v>https://www.amazon.com/Milwaukee-49-56-0515-Diamond-One-Piece-Hole/dp/B00LCU108S/ref=sr_1_10?keywords=Milwaukee+49-56-0505+1%2F4%22+Diamond+MAX%E2%84%A2+Hole+Saw&amp;qid=1695174028&amp;sr=8-10</v>
      </c>
      <c r="F3289" t="s">
        <v>7533</v>
      </c>
      <c r="G3289" t="e">
        <f ca="1">_xludf.IMAGE("https://edmondsonsupply.com/cdn/shop/products/49-56-0507_1.png?v=1680111300")</f>
        <v>#NAME?</v>
      </c>
      <c r="H3289" t="e">
        <f ca="1">_xludf.IMAGE("https://m.media-amazon.com/images/I/61m0il20UYL._AC_UL320_.jpg")</f>
        <v>#NAME?</v>
      </c>
      <c r="I3289" t="s">
        <v>577</v>
      </c>
      <c r="J3289">
        <v>23.5</v>
      </c>
      <c r="K3289" s="4">
        <v>0.17560000000000001</v>
      </c>
      <c r="L3289">
        <v>4.5</v>
      </c>
      <c r="M3289">
        <v>39</v>
      </c>
      <c r="O3289" t="s">
        <v>25</v>
      </c>
      <c r="P3289" t="s">
        <v>6617</v>
      </c>
      <c r="Q3289" t="s">
        <v>6618</v>
      </c>
    </row>
    <row r="3290" spans="1:17" ht="15.5" x14ac:dyDescent="0.35">
      <c r="A3290" s="3" t="str">
        <f>HYPERLINK("https://edmondsonsupply.com/collections/electricians-tools/products/klein-tools-pnd-916-10-9-16-inch-power-nut-driver-10-inch-length-pnd91610", "https://edmondsonsupply.com/collections/electricians-tools/products/klein-tools-pnd-916-10-9-16-inch-power-nut-driver-10-inch-length-pnd91610")</f>
        <v>https://edmondsonsupply.com/collections/electricians-tools/products/klein-tools-pnd-916-10-9-16-inch-power-nut-driver-10-inch-length-pnd91610</v>
      </c>
      <c r="B3290" s="3" t="str">
        <f>HYPERLINK("https://edmondsonsupply.com/products/klein-tools-pnd-916-10-9-16-inch-power-nut-driver-10-inch-length-pnd91610", "https://edmondsonsupply.com/products/klein-tools-pnd-916-10-9-16-inch-power-nut-driver-10-inch-length-pnd91610")</f>
        <v>https://edmondsonsupply.com/products/klein-tools-pnd-916-10-9-16-inch-power-nut-driver-10-inch-length-pnd91610</v>
      </c>
      <c r="C3290" t="s">
        <v>3920</v>
      </c>
      <c r="D3290" t="s">
        <v>3920</v>
      </c>
      <c r="E3290" s="3" t="str">
        <f>HYPERLINK("https://www.amazon.com/16-Inch-10-Inch-Klein-Tools-PND91610/dp/B00ELGQ9WC/ref=sr_1_1?keywords=Klein+Tools+PND91610+9%2F16-Inch+Power+Nut+Driver%2C+10-Inch+Length&amp;qid=1695173919&amp;sr=8-1", "https://www.amazon.com/16-Inch-10-Inch-Klein-Tools-PND91610/dp/B00ELGQ9WC/ref=sr_1_1?keywords=Klein+Tools+PND91610+9%2F16-Inch+Power+Nut+Driver%2C+10-Inch+Length&amp;qid=1695173919&amp;sr=8-1")</f>
        <v>https://www.amazon.com/16-Inch-10-Inch-Klein-Tools-PND91610/dp/B00ELGQ9WC/ref=sr_1_1?keywords=Klein+Tools+PND91610+9%2F16-Inch+Power+Nut+Driver%2C+10-Inch+Length&amp;qid=1695173919&amp;sr=8-1</v>
      </c>
      <c r="F3290" t="s">
        <v>3921</v>
      </c>
      <c r="G3290" t="e">
        <f ca="1">_xludf.IMAGE("https://edmondsonsupply.com/cdn/shop/products/pnd91610.jpg?v=1587144987")</f>
        <v>#NAME?</v>
      </c>
      <c r="H3290" t="e">
        <f ca="1">_xludf.IMAGE("https://m.media-amazon.com/images/I/31wQ2+L9xFL._AC_UL320_.jpg")</f>
        <v>#NAME?</v>
      </c>
      <c r="I3290" t="s">
        <v>471</v>
      </c>
      <c r="J3290">
        <v>29.36</v>
      </c>
      <c r="K3290" s="4">
        <v>0.1749</v>
      </c>
      <c r="L3290">
        <v>4.5999999999999996</v>
      </c>
      <c r="M3290">
        <v>1108</v>
      </c>
      <c r="O3290" t="s">
        <v>25</v>
      </c>
      <c r="P3290" t="s">
        <v>472</v>
      </c>
      <c r="Q3290" t="s">
        <v>3922</v>
      </c>
    </row>
    <row r="3291" spans="1:17" ht="15.5" x14ac:dyDescent="0.35">
      <c r="A3291"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3291" s="3" t="str">
        <f>HYPERLINK("https://edmondsonsupply.com/products/klein-tools-jth6m10-10-mm-hex-key-journeyman-t-handle-6-inch", "https://edmondsonsupply.com/products/klein-tools-jth6m10-10-mm-hex-key-journeyman-t-handle-6-inch")</f>
        <v>https://edmondsonsupply.com/products/klein-tools-jth6m10-10-mm-hex-key-journeyman-t-handle-6-inch</v>
      </c>
      <c r="C3291" t="s">
        <v>6945</v>
      </c>
      <c r="D3291" t="s">
        <v>2386</v>
      </c>
      <c r="E3291" s="3" t="str">
        <f>HYPERLINK("https://www.amazon.com/Journeyman-T-Handle-Klein-Tools-JTH6E13BE/dp/B004QW52YW/ref=sr_1_7?keywords=Klein+Tools+JTH6M10+10+mm+Hex+Key+Journeyman+T-Handle+6-Inch&amp;qid=1695174255&amp;sr=8-7", "https://www.amazon.com/Journeyman-T-Handle-Klein-Tools-JTH6E13BE/dp/B004QW52YW/ref=sr_1_7?keywords=Klein+Tools+JTH6M10+10+mm+Hex+Key+Journeyman+T-Handle+6-Inch&amp;qid=1695174255&amp;sr=8-7")</f>
        <v>https://www.amazon.com/Journeyman-T-Handle-Klein-Tools-JTH6E13BE/dp/B004QW52YW/ref=sr_1_7?keywords=Klein+Tools+JTH6M10+10+mm+Hex+Key+Journeyman+T-Handle+6-Inch&amp;qid=1695174255&amp;sr=8-7</v>
      </c>
      <c r="F3291" t="s">
        <v>2387</v>
      </c>
      <c r="G3291" t="e">
        <f ca="1">_xludf.IMAGE("https://edmondsonsupply.com/cdn/shop/products/jth6m8_64c2c8d3-e13e-4b81-9b34-745be7fd837a.jpg?v=1627827117")</f>
        <v>#NAME?</v>
      </c>
      <c r="H3291" t="e">
        <f ca="1">_xludf.IMAGE("https://m.media-amazon.com/images/I/51f9vBFVXgL._AC_UL320_.jpg")</f>
        <v>#NAME?</v>
      </c>
      <c r="I3291" t="s">
        <v>924</v>
      </c>
      <c r="J3291">
        <v>10.55</v>
      </c>
      <c r="K3291" s="4">
        <v>0.17349999999999999</v>
      </c>
      <c r="L3291">
        <v>4.7</v>
      </c>
      <c r="M3291">
        <v>32</v>
      </c>
      <c r="O3291" t="s">
        <v>25</v>
      </c>
      <c r="P3291" t="s">
        <v>6946</v>
      </c>
      <c r="Q3291" t="s">
        <v>6947</v>
      </c>
    </row>
    <row r="3292" spans="1:17" ht="15.5" x14ac:dyDescent="0.35">
      <c r="A3292" s="3" t="str">
        <f>HYPERLINK("https://edmondsonsupply.com/collections/electricians-tools/products/diablo-tools-dmapl2500-7-8-in-x-8-in-x-10-in-sds-plus-2-cutter", "https://edmondsonsupply.com/collections/electricians-tools/products/diablo-tools-dmapl2500-7-8-in-x-8-in-x-10-in-sds-plus-2-cutter")</f>
        <v>https://edmondsonsupply.com/collections/electricians-tools/products/diablo-tools-dmapl2500-7-8-in-x-8-in-x-10-in-sds-plus-2-cutter</v>
      </c>
      <c r="B3292" s="3" t="str">
        <f>HYPERLINK("https://edmondsonsupply.com/products/diablo-tools-dmapl2500-7-8-in-x-8-in-x-10-in-sds-plus-2-cutter", "https://edmondsonsupply.com/products/diablo-tools-dmapl2500-7-8-in-x-8-in-x-10-in-sds-plus-2-cutter")</f>
        <v>https://edmondsonsupply.com/products/diablo-tools-dmapl2500-7-8-in-x-8-in-x-10-in-sds-plus-2-cutter</v>
      </c>
      <c r="C3292" t="s">
        <v>7534</v>
      </c>
      <c r="D3292" t="s">
        <v>5560</v>
      </c>
      <c r="E3292" s="3" t="str">
        <f>HYPERLINK("https://www.amazon.com/Diablo-Freud-DMAPL4300-SDS-Plus-4-Cutter/dp/B089LL8JD8/ref=sr_1_3?keywords=Diablo+Tools+DMAPL2500+7%2F8+in.+x+8+in.+x+10+in.+SDS-Plus+2-Cutter&amp;qid=1695174221&amp;sr=8-3", "https://www.amazon.com/Diablo-Freud-DMAPL4300-SDS-Plus-4-Cutter/dp/B089LL8JD8/ref=sr_1_3?keywords=Diablo+Tools+DMAPL2500+7%2F8+in.+x+8+in.+x+10+in.+SDS-Plus+2-Cutter&amp;qid=1695174221&amp;sr=8-3")</f>
        <v>https://www.amazon.com/Diablo-Freud-DMAPL4300-SDS-Plus-4-Cutter/dp/B089LL8JD8/ref=sr_1_3?keywords=Diablo+Tools+DMAPL2500+7%2F8+in.+x+8+in.+x+10+in.+SDS-Plus+2-Cutter&amp;qid=1695174221&amp;sr=8-3</v>
      </c>
      <c r="F3292" t="s">
        <v>5561</v>
      </c>
      <c r="G3292" t="e">
        <f ca="1">_xludf.IMAGE("https://edmondsonsupply.com/cdn/shop/products/2500.webp?v=1647636219")</f>
        <v>#NAME?</v>
      </c>
      <c r="H3292" t="e">
        <f ca="1">_xludf.IMAGE("https://m.media-amazon.com/images/I/616UiJGsK1L._AC_UL320_.jpg")</f>
        <v>#NAME?</v>
      </c>
      <c r="I3292" t="s">
        <v>7535</v>
      </c>
      <c r="J3292">
        <v>33.99</v>
      </c>
      <c r="K3292" s="4">
        <v>0.17330000000000001</v>
      </c>
      <c r="L3292">
        <v>4.5</v>
      </c>
      <c r="M3292">
        <v>16</v>
      </c>
      <c r="O3292" t="s">
        <v>25</v>
      </c>
      <c r="P3292" t="s">
        <v>6809</v>
      </c>
      <c r="Q3292" t="s">
        <v>7536</v>
      </c>
    </row>
    <row r="3293" spans="1:17" ht="15.5" x14ac:dyDescent="0.35">
      <c r="A3293"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3293"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3293" t="s">
        <v>6861</v>
      </c>
      <c r="D3293" t="s">
        <v>5231</v>
      </c>
      <c r="E3293" s="3" t="str">
        <f>HYPERLINK("https://www.amazon.com/Klein-Tools-CL320-Digital-Electrical/dp/B08DDTV5KG/ref=sr_1_2?keywords=Klein+Tools+CL220+Digital+Clamp+Meter%2C+AC+Auto-Ranging+400+Amp+with+Temp&amp;qid=1695174305&amp;sr=8-2", "https://www.amazon.com/Klein-Tools-CL320-Digital-Electrical/dp/B08DDTV5KG/ref=sr_1_2?keywords=Klein+Tools+CL220+Digital+Clamp+Meter%2C+AC+Auto-Ranging+400+Amp+with+Temp&amp;qid=1695174305&amp;sr=8-2")</f>
        <v>https://www.amazon.com/Klein-Tools-CL320-Digital-Electrical/dp/B08DDTV5KG/ref=sr_1_2?keywords=Klein+Tools+CL220+Digital+Clamp+Meter%2C+AC+Auto-Ranging+400+Amp+with+Temp&amp;qid=1695174305&amp;sr=8-2</v>
      </c>
      <c r="F3293" t="s">
        <v>5232</v>
      </c>
      <c r="G3293" t="e">
        <f ca="1">_xludf.IMAGE("https://edmondsonsupply.com/cdn/shop/products/cl220.jpg?v=1633030821")</f>
        <v>#NAME?</v>
      </c>
      <c r="H3293" t="e">
        <f ca="1">_xludf.IMAGE("https://m.media-amazon.com/images/I/61qVZZBNj2L._AC_UY218_.jpg")</f>
        <v>#NAME?</v>
      </c>
      <c r="I3293" t="s">
        <v>356</v>
      </c>
      <c r="J3293">
        <v>81.99</v>
      </c>
      <c r="K3293" s="4">
        <v>0.17180000000000001</v>
      </c>
      <c r="L3293">
        <v>4.8</v>
      </c>
      <c r="M3293">
        <v>994</v>
      </c>
      <c r="O3293" t="s">
        <v>25</v>
      </c>
      <c r="P3293" t="s">
        <v>6864</v>
      </c>
      <c r="Q3293" t="s">
        <v>6865</v>
      </c>
    </row>
    <row r="3294" spans="1:17" ht="15.5" x14ac:dyDescent="0.35">
      <c r="A3294"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3294"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3294" t="s">
        <v>6674</v>
      </c>
      <c r="D3294" t="s">
        <v>7537</v>
      </c>
      <c r="E3294" s="3" t="str">
        <f>HYPERLINK("https://www.amazon.com/Journeyman-T-Handle-Klein-Tools-JTH6M8/dp/B005G395P2/ref=sr_1_4?keywords=Klein+Tools+JTH9M8+8+mm+Hex+Key%2C+Journeyman%E2%84%A2+T-Handle%2C+9-Inch&amp;qid=1695174169&amp;sr=8-4", "https://www.amazon.com/Journeyman-T-Handle-Klein-Tools-JTH6M8/dp/B005G395P2/ref=sr_1_4?keywords=Klein+Tools+JTH9M8+8+mm+Hex+Key%2C+Journeyman%E2%84%A2+T-Handle%2C+9-Inch&amp;qid=1695174169&amp;sr=8-4")</f>
        <v>https://www.amazon.com/Journeyman-T-Handle-Klein-Tools-JTH6M8/dp/B005G395P2/ref=sr_1_4?keywords=Klein+Tools+JTH9M8+8+mm+Hex+Key%2C+Journeyman%E2%84%A2+T-Handle%2C+9-Inch&amp;qid=1695174169&amp;sr=8-4</v>
      </c>
      <c r="F3294" t="s">
        <v>7538</v>
      </c>
      <c r="G3294" t="e">
        <f ca="1">_xludf.IMAGE("https://edmondsonsupply.com/cdn/shop/products/jth6m8_03ba3d30-ff38-4b9e-93e7-b0fc6da199d0.jpg?v=1662658324")</f>
        <v>#NAME?</v>
      </c>
      <c r="H3294" t="e">
        <f ca="1">_xludf.IMAGE("https://m.media-amazon.com/images/I/51+1x0vz9XL._AC_UL320_.jpg")</f>
        <v>#NAME?</v>
      </c>
      <c r="I3294" t="s">
        <v>1003</v>
      </c>
      <c r="J3294">
        <v>9.36</v>
      </c>
      <c r="K3294" s="4">
        <v>0.17150000000000001</v>
      </c>
      <c r="L3294">
        <v>4.8</v>
      </c>
      <c r="M3294">
        <v>1532</v>
      </c>
      <c r="O3294" t="s">
        <v>25</v>
      </c>
      <c r="P3294" t="s">
        <v>1481</v>
      </c>
      <c r="Q3294" t="s">
        <v>6675</v>
      </c>
    </row>
    <row r="3295" spans="1:17" ht="15.5" x14ac:dyDescent="0.35">
      <c r="A3295"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3295" s="3" t="str">
        <f>HYPERLINK("https://edmondsonsupply.com/products/diablo-tools-dsp2130-p2-1-in-x-6-in-spade-bit", "https://edmondsonsupply.com/products/diablo-tools-dsp2130-p2-1-in-x-6-in-spade-bit")</f>
        <v>https://edmondsonsupply.com/products/diablo-tools-dsp2130-p2-1-in-x-6-in-spade-bit</v>
      </c>
      <c r="C3295" t="s">
        <v>7211</v>
      </c>
      <c r="D3295" t="s">
        <v>7539</v>
      </c>
      <c r="E3295" s="3" t="str">
        <f>HYPERLINK("https://www.amazon.com/Diablo-SPEEDemon-Spade-Bit-2-Pack/dp/B089KX7BQ7/ref=sr_1_2?keywords=Diablo+Tools+DSP2130-P2+1+in.+x+6+in.+Spade+Bit&amp;qid=1695174112&amp;sr=8-2", "https://www.amazon.com/Diablo-SPEEDemon-Spade-Bit-2-Pack/dp/B089KX7BQ7/ref=sr_1_2?keywords=Diablo+Tools+DSP2130-P2+1+in.+x+6+in.+Spade+Bit&amp;qid=1695174112&amp;sr=8-2")</f>
        <v>https://www.amazon.com/Diablo-SPEEDemon-Spade-Bit-2-Pack/dp/B089KX7BQ7/ref=sr_1_2?keywords=Diablo+Tools+DSP2130-P2+1+in.+x+6+in.+Spade+Bit&amp;qid=1695174112&amp;sr=8-2</v>
      </c>
      <c r="F3295" t="s">
        <v>7540</v>
      </c>
      <c r="G3295" t="e">
        <f ca="1">_xludf.IMAGE("https://edmondsonsupply.com/cdn/shop/products/peyjwqlntvnioikkr5be.webp?v=1670515689")</f>
        <v>#NAME?</v>
      </c>
      <c r="H3295" t="e">
        <f ca="1">_xludf.IMAGE("https://m.media-amazon.com/images/I/61QvpLGY7PL._AC_UL320_.jpg")</f>
        <v>#NAME?</v>
      </c>
      <c r="I3295" t="s">
        <v>7212</v>
      </c>
      <c r="J3295">
        <v>7.47</v>
      </c>
      <c r="K3295" s="4">
        <v>0.16900000000000001</v>
      </c>
      <c r="L3295">
        <v>4.8</v>
      </c>
      <c r="M3295">
        <v>12</v>
      </c>
      <c r="O3295" t="s">
        <v>25</v>
      </c>
      <c r="P3295" t="s">
        <v>138</v>
      </c>
      <c r="Q3295" t="s">
        <v>7213</v>
      </c>
    </row>
    <row r="3296" spans="1:17" ht="15.5" x14ac:dyDescent="0.35">
      <c r="A3296"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3296"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3296" t="s">
        <v>7423</v>
      </c>
      <c r="D3296" t="s">
        <v>7215</v>
      </c>
      <c r="E3296" s="3" t="str">
        <f>HYPERLINK("https://www.amazon.com/Klein-Tools-6944INS-Screwdriver-Cushion-Grip/dp/B09GPYTZV3/ref=sr_1_4?keywords=Klein+Tools+6846INS+Insulated+Screwdriver%2C+%232+Square+Tip%2C+6-Inch+Round+Shank&amp;qid=1695174148&amp;sr=8-4", "https://www.amazon.com/Klein-Tools-6944INS-Screwdriver-Cushion-Grip/dp/B09GPYTZV3/ref=sr_1_4?keywords=Klein+Tools+6846INS+Insulated+Screwdriver%2C+%232+Square+Tip%2C+6-Inch+Round+Shank&amp;qid=1695174148&amp;sr=8-4")</f>
        <v>https://www.amazon.com/Klein-Tools-6944INS-Screwdriver-Cushion-Grip/dp/B09GPYTZV3/ref=sr_1_4?keywords=Klein+Tools+6846INS+Insulated+Screwdriver%2C+%232+Square+Tip%2C+6-Inch+Round+Shank&amp;qid=1695174148&amp;sr=8-4</v>
      </c>
      <c r="F3296" t="s">
        <v>7216</v>
      </c>
      <c r="G3296" t="e">
        <f ca="1">_xludf.IMAGE("https://edmondsonsupply.com/cdn/shop/products/6846ins.jpg?v=1664817571")</f>
        <v>#NAME?</v>
      </c>
      <c r="H3296" t="e">
        <f ca="1">_xludf.IMAGE("https://m.media-amazon.com/images/I/41PzygwLx+L._AC_UL320_.jpg")</f>
        <v>#NAME?</v>
      </c>
      <c r="I3296" t="s">
        <v>6073</v>
      </c>
      <c r="J3296">
        <v>13.99</v>
      </c>
      <c r="K3296" s="4">
        <v>0.16880000000000001</v>
      </c>
      <c r="L3296">
        <v>4.7</v>
      </c>
      <c r="M3296">
        <v>95</v>
      </c>
      <c r="O3296" t="s">
        <v>25</v>
      </c>
      <c r="P3296" t="s">
        <v>6728</v>
      </c>
      <c r="Q3296" t="s">
        <v>7424</v>
      </c>
    </row>
    <row r="3297" spans="1:17" ht="15.5" x14ac:dyDescent="0.35">
      <c r="A3297"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3297"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3297" t="s">
        <v>7423</v>
      </c>
      <c r="D3297" t="s">
        <v>7219</v>
      </c>
      <c r="E3297" s="3" t="str">
        <f>HYPERLINK("https://www.amazon.com/Klein-Tools-6984INS-Screwdriver-Cushion-Grip/dp/B09GPZ5P2M/ref=sr_1_9?keywords=Klein+Tools+6846INS+Insulated+Screwdriver%2C+%232+Square+Tip%2C+6-Inch+Round+Shank&amp;qid=1695174148&amp;sr=8-9", "https://www.amazon.com/Klein-Tools-6984INS-Screwdriver-Cushion-Grip/dp/B09GPZ5P2M/ref=sr_1_9?keywords=Klein+Tools+6846INS+Insulated+Screwdriver%2C+%232+Square+Tip%2C+6-Inch+Round+Shank&amp;qid=1695174148&amp;sr=8-9")</f>
        <v>https://www.amazon.com/Klein-Tools-6984INS-Screwdriver-Cushion-Grip/dp/B09GPZ5P2M/ref=sr_1_9?keywords=Klein+Tools+6846INS+Insulated+Screwdriver%2C+%232+Square+Tip%2C+6-Inch+Round+Shank&amp;qid=1695174148&amp;sr=8-9</v>
      </c>
      <c r="F3297" t="s">
        <v>7220</v>
      </c>
      <c r="G3297" t="e">
        <f ca="1">_xludf.IMAGE("https://edmondsonsupply.com/cdn/shop/products/6846ins.jpg?v=1664817571")</f>
        <v>#NAME?</v>
      </c>
      <c r="H3297" t="e">
        <f ca="1">_xludf.IMAGE("https://m.media-amazon.com/images/I/41uj4ogsy3L._AC_UL320_.jpg")</f>
        <v>#NAME?</v>
      </c>
      <c r="I3297" t="s">
        <v>6073</v>
      </c>
      <c r="J3297">
        <v>13.99</v>
      </c>
      <c r="K3297" s="4">
        <v>0.16880000000000001</v>
      </c>
      <c r="L3297">
        <v>4.8</v>
      </c>
      <c r="M3297">
        <v>108</v>
      </c>
      <c r="O3297" t="s">
        <v>25</v>
      </c>
      <c r="P3297" t="s">
        <v>6728</v>
      </c>
      <c r="Q3297" t="s">
        <v>7424</v>
      </c>
    </row>
    <row r="3298" spans="1:17" ht="15.5" x14ac:dyDescent="0.35">
      <c r="A3298"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3298" s="3" t="str">
        <f>HYPERLINK("https://edmondsonsupply.com/products/milwaukee-2912-22-m18-fuel%e2%84%a2-1-sds-plus-rotary-hammer-kit", "https://edmondsonsupply.com/products/milwaukee-2912-22-m18-fuel%e2%84%a2-1-sds-plus-rotary-hammer-kit")</f>
        <v>https://edmondsonsupply.com/products/milwaukee-2912-22-m18-fuel%e2%84%a2-1-sds-plus-rotary-hammer-kit</v>
      </c>
      <c r="C3298" t="s">
        <v>3848</v>
      </c>
      <c r="D3298" t="s">
        <v>3933</v>
      </c>
      <c r="E3298" s="3" t="str">
        <f>HYPERLINK("https://www.amazon.com/Milwaukee-2715-22DE-Fuel-Rotary-Hammer/dp/B00PP58QAQ/ref=sr_1_9?keywords=Milwaukee+2912-22+M18+FUEL%E2%84%A2+1%22+SDS+Plus+Rotary+Hammer+Kit&amp;qid=1695174040&amp;sr=8-9", "https://www.amazon.com/Milwaukee-2715-22DE-Fuel-Rotary-Hammer/dp/B00PP58QAQ/ref=sr_1_9?keywords=Milwaukee+2912-22+M18+FUEL%E2%84%A2+1%22+SDS+Plus+Rotary+Hammer+Kit&amp;qid=1695174040&amp;sr=8-9")</f>
        <v>https://www.amazon.com/Milwaukee-2715-22DE-Fuel-Rotary-Hammer/dp/B00PP58QAQ/ref=sr_1_9?keywords=Milwaukee+2912-22+M18+FUEL%E2%84%A2+1%22+SDS+Plus+Rotary+Hammer+Kit&amp;qid=1695174040&amp;sr=8-9</v>
      </c>
      <c r="F3298" t="s">
        <v>3934</v>
      </c>
      <c r="G3298" t="e">
        <f ca="1">_xludf.IMAGE("https://edmondsonsupply.com/cdn/shop/files/2912-20_1.webp?v=1686934956")</f>
        <v>#NAME?</v>
      </c>
      <c r="H3298" t="e">
        <f ca="1">_xludf.IMAGE("https://m.media-amazon.com/images/I/61R8HKz2VhL._AC_UL320_.jpg")</f>
        <v>#NAME?</v>
      </c>
      <c r="I3298" t="s">
        <v>3851</v>
      </c>
      <c r="J3298">
        <v>699.99</v>
      </c>
      <c r="K3298" s="4">
        <v>0.1686</v>
      </c>
      <c r="L3298">
        <v>3.9</v>
      </c>
      <c r="M3298">
        <v>2</v>
      </c>
      <c r="O3298" t="s">
        <v>25</v>
      </c>
      <c r="P3298" t="s">
        <v>3852</v>
      </c>
      <c r="Q3298" t="s">
        <v>3853</v>
      </c>
    </row>
    <row r="3299" spans="1:17" ht="15.5" x14ac:dyDescent="0.35">
      <c r="A3299" s="3" t="str">
        <f>HYPERLINK("https://edmondsonsupply.com/collections/electricians-tools/products/sensible-products-dwl-1-dual-worklight-blue", "https://edmondsonsupply.com/collections/electricians-tools/products/sensible-products-dwl-1-dual-worklight-blue")</f>
        <v>https://edmondsonsupply.com/collections/electricians-tools/products/sensible-products-dwl-1-dual-worklight-blue</v>
      </c>
      <c r="B3299" s="3" t="str">
        <f>HYPERLINK("https://edmondsonsupply.com/products/sensible-products-dwl-1-dual-worklight-blue", "https://edmondsonsupply.com/products/sensible-products-dwl-1-dual-worklight-blue")</f>
        <v>https://edmondsonsupply.com/products/sensible-products-dwl-1-dual-worklight-blue</v>
      </c>
      <c r="C3299" t="s">
        <v>3190</v>
      </c>
      <c r="D3299" t="s">
        <v>3935</v>
      </c>
      <c r="E3299" s="3" t="str">
        <f>HYPERLINK("https://www.amazon.com/Light-DWL-1-Holster-Sensible-Products/dp/B079MDF76G/ref=sr_1_2?keywords=Sensible+Products+DWL-1+Dual+Worklight%2C+Blue&amp;qid=1695173846&amp;sr=8-2", "https://www.amazon.com/Light-DWL-1-Holster-Sensible-Products/dp/B079MDF76G/ref=sr_1_2?keywords=Sensible+Products+DWL-1+Dual+Worklight%2C+Blue&amp;qid=1695173846&amp;sr=8-2")</f>
        <v>https://www.amazon.com/Light-DWL-1-Holster-Sensible-Products/dp/B079MDF76G/ref=sr_1_2?keywords=Sensible+Products+DWL-1+Dual+Worklight%2C+Blue&amp;qid=1695173846&amp;sr=8-2</v>
      </c>
      <c r="F3299" t="s">
        <v>3936</v>
      </c>
      <c r="G3299" t="e">
        <f ca="1">_xludf.IMAGE("https://edmondsonsupply.com/cdn/shop/products/DWL-1-2.jpg?v=1587148321")</f>
        <v>#NAME?</v>
      </c>
      <c r="H3299" t="e">
        <f ca="1">_xludf.IMAGE("https://m.media-amazon.com/images/I/51bpVy8B6iL._AC_UL320_.jpg")</f>
        <v>#NAME?</v>
      </c>
      <c r="I3299" t="s">
        <v>3193</v>
      </c>
      <c r="J3299">
        <v>32.450000000000003</v>
      </c>
      <c r="K3299" s="4">
        <v>0.16769999999999999</v>
      </c>
      <c r="L3299">
        <v>4.8</v>
      </c>
      <c r="M3299">
        <v>31</v>
      </c>
      <c r="O3299" t="s">
        <v>25</v>
      </c>
      <c r="P3299" t="s">
        <v>138</v>
      </c>
      <c r="Q3299" t="s">
        <v>3194</v>
      </c>
    </row>
    <row r="3300" spans="1:17" ht="15.5" x14ac:dyDescent="0.35">
      <c r="A3300"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3300" s="3" t="str">
        <f>HYPERLINK("https://edmondsonsupply.com/products/klein-tools-s8m-1-4-inch-magnetic-nut-driver-3-inch-shank", "https://edmondsonsupply.com/products/klein-tools-s8m-1-4-inch-magnetic-nut-driver-3-inch-shank")</f>
        <v>https://edmondsonsupply.com/products/klein-tools-s8m-1-4-inch-magnetic-nut-driver-3-inch-shank</v>
      </c>
      <c r="C3300" t="s">
        <v>3809</v>
      </c>
      <c r="D3300" t="s">
        <v>3528</v>
      </c>
      <c r="E3300" s="3" t="str">
        <f>HYPERLINK("https://www.amazon.com/4-Inch-Cushion-Klein-Tools-630-1/dp/B00093DZR8/ref=sr_1_5?keywords=Klein+Tools+S8M+1%2F4-Inch+Magnetic+Nut+Driver+3-Inch+Shank&amp;qid=1695174041&amp;sr=8-5", "https://www.amazon.com/4-Inch-Cushion-Klein-Tools-630-1/dp/B00093DZR8/ref=sr_1_5?keywords=Klein+Tools+S8M+1%2F4-Inch+Magnetic+Nut+Driver+3-Inch+Shank&amp;qid=1695174041&amp;sr=8-5")</f>
        <v>https://www.amazon.com/4-Inch-Cushion-Klein-Tools-630-1/dp/B00093DZR8/ref=sr_1_5?keywords=Klein+Tools+S8M+1%2F4-Inch+Magnetic+Nut+Driver+3-Inch+Shank&amp;qid=1695174041&amp;sr=8-5</v>
      </c>
      <c r="F3300" t="s">
        <v>3529</v>
      </c>
      <c r="G3300" t="e">
        <f ca="1">_xludf.IMAGE("https://edmondsonsupply.com/cdn/shop/products/s8m.jpg?v=1633030818")</f>
        <v>#NAME?</v>
      </c>
      <c r="H3300" t="e">
        <f ca="1">_xludf.IMAGE("https://m.media-amazon.com/images/I/41gchQgPtfL._AC_UL320_.jpg")</f>
        <v>#NAME?</v>
      </c>
      <c r="I3300" t="s">
        <v>924</v>
      </c>
      <c r="J3300">
        <v>10.49</v>
      </c>
      <c r="K3300" s="4">
        <v>0.16689999999999999</v>
      </c>
      <c r="L3300">
        <v>4.8</v>
      </c>
      <c r="M3300">
        <v>59</v>
      </c>
      <c r="O3300" t="s">
        <v>25</v>
      </c>
      <c r="P3300" t="s">
        <v>3812</v>
      </c>
      <c r="Q3300" t="s">
        <v>3813</v>
      </c>
    </row>
    <row r="3301" spans="1:17" ht="15.5" x14ac:dyDescent="0.35">
      <c r="A3301"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3301" s="3" t="str">
        <f>HYPERLINK("https://edmondsonsupply.com/products/klein-tools-630-3-8-3-8-inch-nut-driver-with-3-inch-hollow-shaft", "https://edmondsonsupply.com/products/klein-tools-630-3-8-3-8-inch-nut-driver-with-3-inch-hollow-shaft")</f>
        <v>https://edmondsonsupply.com/products/klein-tools-630-3-8-3-8-inch-nut-driver-with-3-inch-hollow-shaft</v>
      </c>
      <c r="C3301" t="s">
        <v>6150</v>
      </c>
      <c r="D3301" t="s">
        <v>3528</v>
      </c>
      <c r="E3301" s="3" t="str">
        <f>HYPERLINK("https://www.amazon.com/4-Inch-Cushion-Klein-Tools-630-1/dp/B00093DZR8/ref=sr_1_8?keywords=Klein+Tools+630-3%2F8+3%2F8-Inch+Nut+Driver+with+3-Inch+Hollow+Shaft&amp;qid=1695174289&amp;sr=8-8", "https://www.amazon.com/4-Inch-Cushion-Klein-Tools-630-1/dp/B00093DZR8/ref=sr_1_8?keywords=Klein+Tools+630-3%2F8+3%2F8-Inch+Nut+Driver+with+3-Inch+Hollow+Shaft&amp;qid=1695174289&amp;sr=8-8")</f>
        <v>https://www.amazon.com/4-Inch-Cushion-Klein-Tools-630-1/dp/B00093DZR8/ref=sr_1_8?keywords=Klein+Tools+630-3%2F8+3%2F8-Inch+Nut+Driver+with+3-Inch+Hollow+Shaft&amp;qid=1695174289&amp;sr=8-8</v>
      </c>
      <c r="F3301" t="s">
        <v>3529</v>
      </c>
      <c r="G3301" t="e">
        <f ca="1">_xludf.IMAGE("https://edmondsonsupply.com/cdn/shop/products/630-1-2_e23f9fbd-a282-44d7-b743-2cfe0f84edfa.jpg?v=1633030906")</f>
        <v>#NAME?</v>
      </c>
      <c r="H3301" t="e">
        <f ca="1">_xludf.IMAGE("https://m.media-amazon.com/images/I/41gchQgPtfL._AC_UL320_.jpg")</f>
        <v>#NAME?</v>
      </c>
      <c r="I3301" t="s">
        <v>924</v>
      </c>
      <c r="J3301">
        <v>10.49</v>
      </c>
      <c r="K3301" s="4">
        <v>0.16689999999999999</v>
      </c>
      <c r="L3301">
        <v>4.8</v>
      </c>
      <c r="M3301">
        <v>59</v>
      </c>
      <c r="O3301" t="s">
        <v>25</v>
      </c>
      <c r="P3301" t="s">
        <v>6153</v>
      </c>
      <c r="Q3301" t="s">
        <v>6154</v>
      </c>
    </row>
    <row r="3302" spans="1:17" ht="15.5" x14ac:dyDescent="0.35">
      <c r="A3302"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3302" s="3" t="str">
        <f>HYPERLINK("https://edmondsonsupply.com/products/klein-tools-s8m-1-4-inch-magnetic-nut-driver-3-inch-shank", "https://edmondsonsupply.com/products/klein-tools-s8m-1-4-inch-magnetic-nut-driver-3-inch-shank")</f>
        <v>https://edmondsonsupply.com/products/klein-tools-s8m-1-4-inch-magnetic-nut-driver-3-inch-shank</v>
      </c>
      <c r="C3302" t="s">
        <v>3809</v>
      </c>
      <c r="D3302" t="s">
        <v>3943</v>
      </c>
      <c r="E3302" s="3" t="str">
        <f>HYPERLINK("https://www.amazon.com/Magnetic-Klein-Tools-646-1-4M/dp/B00093GEC6/ref=sr_1_3?keywords=Klein+Tools+S8M+1%2F4-Inch+Magnetic+Nut+Driver+3-Inch+Shank&amp;qid=1695174041&amp;sr=8-3", "https://www.amazon.com/Magnetic-Klein-Tools-646-1-4M/dp/B00093GEC6/ref=sr_1_3?keywords=Klein+Tools+S8M+1%2F4-Inch+Magnetic+Nut+Driver+3-Inch+Shank&amp;qid=1695174041&amp;sr=8-3")</f>
        <v>https://www.amazon.com/Magnetic-Klein-Tools-646-1-4M/dp/B00093GEC6/ref=sr_1_3?keywords=Klein+Tools+S8M+1%2F4-Inch+Magnetic+Nut+Driver+3-Inch+Shank&amp;qid=1695174041&amp;sr=8-3</v>
      </c>
      <c r="F3302" t="s">
        <v>3944</v>
      </c>
      <c r="G3302" t="e">
        <f ca="1">_xludf.IMAGE("https://edmondsonsupply.com/cdn/shop/products/s8m.jpg?v=1633030818")</f>
        <v>#NAME?</v>
      </c>
      <c r="H3302" t="e">
        <f ca="1">_xludf.IMAGE("https://m.media-amazon.com/images/I/418bbEGck1L._AC_UL320_.jpg")</f>
        <v>#NAME?</v>
      </c>
      <c r="I3302" t="s">
        <v>924</v>
      </c>
      <c r="J3302">
        <v>10.49</v>
      </c>
      <c r="K3302" s="4">
        <v>0.16689999999999999</v>
      </c>
      <c r="L3302">
        <v>4.8</v>
      </c>
      <c r="M3302">
        <v>2497</v>
      </c>
      <c r="O3302" t="s">
        <v>25</v>
      </c>
      <c r="P3302" t="s">
        <v>3812</v>
      </c>
      <c r="Q3302" t="s">
        <v>3813</v>
      </c>
    </row>
    <row r="3303" spans="1:17" ht="15.5" x14ac:dyDescent="0.35">
      <c r="A3303" s="3" t="str">
        <f>HYPERLINK("https://edmondsonsupply.com/collections/electricians-tools/products/klein-tools-60113rl-hard-hat-vented-cap-style-with-rechargeable-headlamp-white", "https://edmondsonsupply.com/collections/electricians-tools/products/klein-tools-60113rl-hard-hat-vented-cap-style-with-rechargeable-headlamp-white")</f>
        <v>https://edmondsonsupply.com/collections/electricians-tools/products/klein-tools-60113rl-hard-hat-vented-cap-style-with-rechargeable-headlamp-white</v>
      </c>
      <c r="B3303"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3303" t="s">
        <v>1044</v>
      </c>
      <c r="D3303" t="s">
        <v>1045</v>
      </c>
      <c r="E3303" s="3" t="str">
        <f>HYPERLINK("https://www.amazon.com/Klein-Tools-60406RL-Rechargeable-Odor-Resistant/dp/B08FBZT3BW/ref=sr_1_4?keywords=Klein+Tools+60113RL+Hard+Hat%2C+Vented%2C+Cap+Style+with+Rechargeable+Headlamp%2C+White&amp;qid=1695174220&amp;sr=8-4", "https://www.amazon.com/Klein-Tools-60406RL-Rechargeable-Odor-Resistant/dp/B08FBZT3BW/ref=sr_1_4?keywords=Klein+Tools+60113RL+Hard+Hat%2C+Vented%2C+Cap+Style+with+Rechargeable+Headlamp%2C+White&amp;qid=1695174220&amp;sr=8-4")</f>
        <v>https://www.amazon.com/Klein-Tools-60406RL-Rechargeable-Odor-Resistant/dp/B08FBZT3BW/ref=sr_1_4?keywords=Klein+Tools+60113RL+Hard+Hat%2C+Vented%2C+Cap+Style+with+Rechargeable+Headlamp%2C+White&amp;qid=1695174220&amp;sr=8-4</v>
      </c>
      <c r="F3303" t="s">
        <v>1046</v>
      </c>
      <c r="G3303" t="e">
        <f ca="1">_xludf.IMAGE("https://edmondsonsupply.com/cdn/shop/products/60113rl_c.jpg?v=1647891186")</f>
        <v>#NAME?</v>
      </c>
      <c r="H3303" t="e">
        <f ca="1">_xludf.IMAGE("https://m.media-amazon.com/images/I/61cNP5T1keL._AC_UL320_.jpg")</f>
        <v>#NAME?</v>
      </c>
      <c r="I3303" t="s">
        <v>905</v>
      </c>
      <c r="J3303">
        <v>69.989999999999995</v>
      </c>
      <c r="K3303" s="4">
        <v>0.16669999999999999</v>
      </c>
      <c r="L3303">
        <v>4.7</v>
      </c>
      <c r="M3303">
        <v>358</v>
      </c>
      <c r="O3303" t="s">
        <v>25</v>
      </c>
      <c r="P3303" t="s">
        <v>1047</v>
      </c>
      <c r="Q3303" t="s">
        <v>1048</v>
      </c>
    </row>
    <row r="3304" spans="1:17" ht="15.5" x14ac:dyDescent="0.35">
      <c r="A3304" s="3" t="str">
        <f>HYPERLINK("https://edmondsonsupply.com/collections/electricians-tools/products/veto-pro-pac-tech-ot-sc-open-top-electrician-tool-bag", "https://edmondsonsupply.com/collections/electricians-tools/products/veto-pro-pac-tech-ot-sc-open-top-electrician-tool-bag")</f>
        <v>https://edmondsonsupply.com/collections/electricians-tools/products/veto-pro-pac-tech-ot-sc-open-top-electrician-tool-bag</v>
      </c>
      <c r="B3304" s="3" t="str">
        <f>HYPERLINK("https://edmondsonsupply.com/products/veto-pro-pac-tech-ot-sc-open-top-electrician-tool-bag", "https://edmondsonsupply.com/products/veto-pro-pac-tech-ot-sc-open-top-electrician-tool-bag")</f>
        <v>https://edmondsonsupply.com/products/veto-pro-pac-tech-ot-sc-open-top-electrician-tool-bag</v>
      </c>
      <c r="C3304" t="s">
        <v>482</v>
      </c>
      <c r="D3304" t="s">
        <v>468</v>
      </c>
      <c r="E3304" s="3" t="str">
        <f>HYPERLINK("https://www.amazon.com/TECHOT-MC-Veto-COMPACT-Open-Tool/dp/B07146M3QW/ref=sr_1_4?keywords=Veto+Pro+Pac+Tech+OT-SC+Open+Top+Electrician+Tool+Bag&amp;qid=1695174089&amp;sr=8-4", "https://www.amazon.com/TECHOT-MC-Veto-COMPACT-Open-Tool/dp/B07146M3QW/ref=sr_1_4?keywords=Veto+Pro+Pac+Tech+OT-SC+Open+Top+Electrician+Tool+Bag&amp;qid=1695174089&amp;sr=8-4")</f>
        <v>https://www.amazon.com/TECHOT-MC-Veto-COMPACT-Open-Tool/dp/B07146M3QW/ref=sr_1_4?keywords=Veto+Pro+Pac+Tech+OT-SC+Open+Top+Electrician+Tool+Bag&amp;qid=1695174089&amp;sr=8-4</v>
      </c>
      <c r="F3304" t="s">
        <v>469</v>
      </c>
      <c r="G3304" t="e">
        <f ca="1">_xludf.IMAGE("https://edmondsonsupply.com/cdn/shop/products/0_707ca9f3-2e27-41c1-883d-1aec36a4e25a.jpg?v=1674835772")</f>
        <v>#NAME?</v>
      </c>
      <c r="H3304" t="e">
        <f ca="1">_xludf.IMAGE("https://m.media-amazon.com/images/I/7164ViSBjML._AC_UL320_.jpg")</f>
        <v>#NAME?</v>
      </c>
      <c r="I3304" t="s">
        <v>483</v>
      </c>
      <c r="J3304">
        <v>209.95</v>
      </c>
      <c r="K3304" s="4">
        <v>0.16650000000000001</v>
      </c>
      <c r="L3304">
        <v>4.8</v>
      </c>
      <c r="M3304">
        <v>702</v>
      </c>
      <c r="O3304" t="s">
        <v>25</v>
      </c>
      <c r="P3304" t="s">
        <v>138</v>
      </c>
      <c r="Q3304" t="s">
        <v>484</v>
      </c>
    </row>
    <row r="3305" spans="1:17" ht="15.5" x14ac:dyDescent="0.35">
      <c r="A3305" s="3" t="str">
        <f>HYPERLINK("https://edmondsonsupply.com/collections/electricians-tools/products/diablo-tools-dmamx1050-9-16-in-x-8-in-x-13-in-rebar-demon%E2%84%A2-sds-max-4-cutter-full-carbide-head-hammer-drill-bit", "https://edmondsonsupply.com/collections/electricians-tools/products/diablo-tools-dmamx1050-9-16-in-x-8-in-x-13-in-rebar-demon%E2%84%A2-sds-max-4-cutter-full-carbide-head-hammer-drill-bit")</f>
        <v>https://edmondsonsupply.com/collections/electricians-tools/products/diablo-tools-dmamx1050-9-16-in-x-8-in-x-13-in-rebar-demon%E2%84%A2-sds-max-4-cutter-full-carbide-head-hammer-drill-bit</v>
      </c>
      <c r="B3305" s="3" t="str">
        <f>HYPERLINK("https://edmondsonsupply.com/products/diablo-tools-dmamx1050-9-16-in-x-8-in-x-13-in-rebar-demon%e2%84%a2-sds-max-4-cutter-full-carbide-head-hammer-drill-bit", "https://edmondsonsupply.com/products/diablo-tools-dmamx1050-9-16-in-x-8-in-x-13-in-rebar-demon%e2%84%a2-sds-max-4-cutter-full-carbide-head-hammer-drill-bit")</f>
        <v>https://edmondsonsupply.com/products/diablo-tools-dmamx1050-9-16-in-x-8-in-x-13-in-rebar-demon%e2%84%a2-sds-max-4-cutter-full-carbide-head-hammer-drill-bit</v>
      </c>
      <c r="C3305" t="s">
        <v>7491</v>
      </c>
      <c r="D3305" t="s">
        <v>5560</v>
      </c>
      <c r="E3305" s="3" t="str">
        <f>HYPERLINK("https://www.amazon.com/Diablo-Freud-DMAPL4300-SDS-Plus-4-Cutter/dp/B089LL8JD8/ref=sr_1_7?keywords=Diablo+Tools+DMAMX1050+9%2F16+in.+x+8+in.+x+13+in.+Rebar+Demon%E2%84%A2+SDS-Max+4-Cutter+Full+Carbide+Head+Hammer+Drill+Bit&amp;qid=1695174267&amp;sr=8-7", "https://www.amazon.com/Diablo-Freud-DMAPL4300-SDS-Plus-4-Cutter/dp/B089LL8JD8/ref=sr_1_7?keywords=Diablo+Tools+DMAMX1050+9%2F16+in.+x+8+in.+x+13+in.+Rebar+Demon%E2%84%A2+SDS-Max+4-Cutter+Full+Carbide+Head+Hammer+Drill+Bit&amp;qid=1695174267&amp;sr=8-7")</f>
        <v>https://www.amazon.com/Diablo-Freud-DMAPL4300-SDS-Plus-4-Cutter/dp/B089LL8JD8/ref=sr_1_7?keywords=Diablo+Tools+DMAMX1050+9%2F16+in.+x+8+in.+x+13+in.+Rebar+Demon%E2%84%A2+SDS-Max+4-Cutter+Full+Carbide+Head+Hammer+Drill+Bit&amp;qid=1695174267&amp;sr=8-7</v>
      </c>
      <c r="F3305" t="s">
        <v>5561</v>
      </c>
      <c r="G3305" t="e">
        <f ca="1">_xludf.IMAGE("https://edmondsonsupply.com/cdn/shop/products/DMAMX1050_Main-Image20200701.png?v=1633031097")</f>
        <v>#NAME?</v>
      </c>
      <c r="H3305" t="e">
        <f ca="1">_xludf.IMAGE("https://m.media-amazon.com/images/I/616UiJGsK1L._AC_UL320_.jpg")</f>
        <v>#NAME?</v>
      </c>
      <c r="I3305" t="s">
        <v>7494</v>
      </c>
      <c r="J3305">
        <v>33.950000000000003</v>
      </c>
      <c r="K3305" s="4">
        <v>0.16309999999999999</v>
      </c>
      <c r="L3305">
        <v>4.5</v>
      </c>
      <c r="M3305">
        <v>16</v>
      </c>
      <c r="O3305" t="s">
        <v>25</v>
      </c>
      <c r="P3305" t="s">
        <v>7495</v>
      </c>
      <c r="Q3305" t="s">
        <v>7496</v>
      </c>
    </row>
    <row r="3306" spans="1:17" ht="15.5" x14ac:dyDescent="0.35">
      <c r="A3306"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3306"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3306" t="s">
        <v>6932</v>
      </c>
      <c r="D3306" t="s">
        <v>7541</v>
      </c>
      <c r="E3306" s="3" t="str">
        <f>HYPERLINK("https://www.amazon.com/Diablo-DOU350RBGP-Universal-Bi-Metal-Oscillating/dp/B089LLG8ZQ/ref=sr_1_7?keywords=Diablo+Tools+DOU250JBW+2-1%2F2+in.+Universal+Fit+Bi-Metal+Oscillating+Blade+for+Clean+Wood&amp;qid=1695174020&amp;sr=8-7", "https://www.amazon.com/Diablo-DOU350RBGP-Universal-Bi-Metal-Oscillating/dp/B089LLG8ZQ/ref=sr_1_7?keywords=Diablo+Tools+DOU250JBW+2-1%2F2+in.+Universal+Fit+Bi-Metal+Oscillating+Blade+for+Clean+Wood&amp;qid=1695174020&amp;sr=8-7")</f>
        <v>https://www.amazon.com/Diablo-DOU350RBGP-Universal-Bi-Metal-Oscillating/dp/B089LLG8ZQ/ref=sr_1_7?keywords=Diablo+Tools+DOU250JBW+2-1%2F2+in.+Universal+Fit+Bi-Metal+Oscillating+Blade+for+Clean+Wood&amp;qid=1695174020&amp;sr=8-7</v>
      </c>
      <c r="F3306" t="s">
        <v>7542</v>
      </c>
      <c r="G3306" t="e">
        <f ca="1">_xludf.IMAGE("https://edmondsonsupply.com/cdn/shop/files/pycnap4eb1urn2hxvudq.webp?v=1685718789")</f>
        <v>#NAME?</v>
      </c>
      <c r="H3306" t="e">
        <f ca="1">_xludf.IMAGE("https://m.media-amazon.com/images/I/71xBW7MA1oL._AC_UL320_.jpg")</f>
        <v>#NAME?</v>
      </c>
      <c r="I3306" t="s">
        <v>6935</v>
      </c>
      <c r="J3306">
        <v>18.2</v>
      </c>
      <c r="K3306" s="4">
        <v>0.16289999999999999</v>
      </c>
      <c r="L3306">
        <v>4.4000000000000004</v>
      </c>
      <c r="M3306">
        <v>8</v>
      </c>
      <c r="O3306" t="s">
        <v>25</v>
      </c>
      <c r="P3306" t="s">
        <v>6936</v>
      </c>
      <c r="Q3306" t="s">
        <v>6937</v>
      </c>
    </row>
    <row r="3307" spans="1:17" ht="15.5" x14ac:dyDescent="0.35">
      <c r="A3307" s="3" t="str">
        <f>HYPERLINK("https://edmondsonsupply.com/collections/electricians-tools/products/klein-tools-jth6t20-t20-torx-hex-key-with-journeyman-t-handle-6-inch", "https://edmondsonsupply.com/collections/electricians-tools/products/klein-tools-jth6t20-t20-torx-hex-key-with-journeyman-t-handle-6-inch")</f>
        <v>https://edmondsonsupply.com/collections/electricians-tools/products/klein-tools-jth6t20-t20-torx-hex-key-with-journeyman-t-handle-6-inch</v>
      </c>
      <c r="B3307" s="3" t="str">
        <f>HYPERLINK("https://edmondsonsupply.com/products/klein-tools-jth6t20-t20-torx-hex-key-with-journeyman-t-handle-6-inch", "https://edmondsonsupply.com/products/klein-tools-jth6t20-t20-torx-hex-key-with-journeyman-t-handle-6-inch")</f>
        <v>https://edmondsonsupply.com/products/klein-tools-jth6t20-t20-torx-hex-key-with-journeyman-t-handle-6-inch</v>
      </c>
      <c r="C3307" t="s">
        <v>7543</v>
      </c>
      <c r="D3307" t="s">
        <v>2386</v>
      </c>
      <c r="E3307" s="3" t="str">
        <f>HYPERLINK("https://www.amazon.com/Journeyman-T-Handle-Klein-Tools-JTH6E13BE/dp/B004QW52YW/ref=sr_1_3?keywords=Klein+Tools+JTH6T20+T20+Torx+Hex+Key+with+Journeyman+T-Handle%2C+6-Inch&amp;qid=1695174296&amp;sr=8-3", "https://www.amazon.com/Journeyman-T-Handle-Klein-Tools-JTH6E13BE/dp/B004QW52YW/ref=sr_1_3?keywords=Klein+Tools+JTH6T20+T20+Torx+Hex+Key+with+Journeyman+T-Handle%2C+6-Inch&amp;qid=1695174296&amp;sr=8-3")</f>
        <v>https://www.amazon.com/Journeyman-T-Handle-Klein-Tools-JTH6E13BE/dp/B004QW52YW/ref=sr_1_3?keywords=Klein+Tools+JTH6T20+T20+Torx+Hex+Key+with+Journeyman+T-Handle%2C+6-Inch&amp;qid=1695174296&amp;sr=8-3</v>
      </c>
      <c r="F3307" t="s">
        <v>2387</v>
      </c>
      <c r="G3307" t="e">
        <f ca="1">_xludf.IMAGE("https://edmondsonsupply.com/cdn/shop/products/jth6t40_239e6af9-df98-4759-b03a-1003afe41d97.jpg?v=1606265228")</f>
        <v>#NAME?</v>
      </c>
      <c r="H3307" t="e">
        <f ca="1">_xludf.IMAGE("https://m.media-amazon.com/images/I/51f9vBFVXgL._AC_UL320_.jpg")</f>
        <v>#NAME?</v>
      </c>
      <c r="I3307" t="s">
        <v>6890</v>
      </c>
      <c r="J3307">
        <v>10.55</v>
      </c>
      <c r="K3307" s="4">
        <v>0.16189999999999999</v>
      </c>
      <c r="L3307">
        <v>4.7</v>
      </c>
      <c r="M3307">
        <v>32</v>
      </c>
      <c r="O3307" t="s">
        <v>25</v>
      </c>
      <c r="P3307" t="s">
        <v>138</v>
      </c>
      <c r="Q3307" t="s">
        <v>7544</v>
      </c>
    </row>
    <row r="3308" spans="1:17" ht="15.5" x14ac:dyDescent="0.35">
      <c r="A3308" s="3" t="str">
        <f>HYPERLINK("https://edmondsonsupply.com/collections/electricians-tools/products/klein-tools-jth6t20-t20-torx-hex-key-with-journeyman-t-handle-6-inch", "https://edmondsonsupply.com/collections/electricians-tools/products/klein-tools-jth6t20-t20-torx-hex-key-with-journeyman-t-handle-6-inch")</f>
        <v>https://edmondsonsupply.com/collections/electricians-tools/products/klein-tools-jth6t20-t20-torx-hex-key-with-journeyman-t-handle-6-inch</v>
      </c>
      <c r="B3308" s="3" t="str">
        <f>HYPERLINK("https://edmondsonsupply.com/products/klein-tools-jth6t20-t20-torx-hex-key-with-journeyman-t-handle-6-inch", "https://edmondsonsupply.com/products/klein-tools-jth6t20-t20-torx-hex-key-with-journeyman-t-handle-6-inch")</f>
        <v>https://edmondsonsupply.com/products/klein-tools-jth6t20-t20-torx-hex-key-with-journeyman-t-handle-6-inch</v>
      </c>
      <c r="C3308" t="s">
        <v>7543</v>
      </c>
      <c r="D3308" t="s">
        <v>3108</v>
      </c>
      <c r="E3308" s="3" t="str">
        <f>HYPERLINK("https://www.amazon.com/Journeyman-T-Handle-Klein-Tools-JTH6T15/dp/B005G3B43I/ref=sr_1_2?keywords=Klein+Tools+JTH6T20+T20+Torx+Hex+Key+with+Journeyman+T-Handle%2C+6-Inch&amp;qid=1695174296&amp;sr=8-2", "https://www.amazon.com/Journeyman-T-Handle-Klein-Tools-JTH6T15/dp/B005G3B43I/ref=sr_1_2?keywords=Klein+Tools+JTH6T20+T20+Torx+Hex+Key+with+Journeyman+T-Handle%2C+6-Inch&amp;qid=1695174296&amp;sr=8-2")</f>
        <v>https://www.amazon.com/Journeyman-T-Handle-Klein-Tools-JTH6T15/dp/B005G3B43I/ref=sr_1_2?keywords=Klein+Tools+JTH6T20+T20+Torx+Hex+Key+with+Journeyman+T-Handle%2C+6-Inch&amp;qid=1695174296&amp;sr=8-2</v>
      </c>
      <c r="F3308" t="s">
        <v>3109</v>
      </c>
      <c r="G3308" t="e">
        <f ca="1">_xludf.IMAGE("https://edmondsonsupply.com/cdn/shop/products/jth6t40_239e6af9-df98-4759-b03a-1003afe41d97.jpg?v=1606265228")</f>
        <v>#NAME?</v>
      </c>
      <c r="H3308" t="e">
        <f ca="1">_xludf.IMAGE("https://m.media-amazon.com/images/I/51Xj0Vsb-EL._AC_UL320_.jpg")</f>
        <v>#NAME?</v>
      </c>
      <c r="I3308" t="s">
        <v>6890</v>
      </c>
      <c r="J3308">
        <v>10.53</v>
      </c>
      <c r="K3308" s="4">
        <v>0.15970000000000001</v>
      </c>
      <c r="L3308">
        <v>4.5999999999999996</v>
      </c>
      <c r="M3308">
        <v>232</v>
      </c>
      <c r="O3308" t="s">
        <v>25</v>
      </c>
      <c r="P3308" t="s">
        <v>138</v>
      </c>
      <c r="Q3308" t="s">
        <v>7544</v>
      </c>
    </row>
    <row r="3309" spans="1:17" ht="15.5" x14ac:dyDescent="0.35">
      <c r="A3309"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3309"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3309" t="s">
        <v>7423</v>
      </c>
      <c r="D3309" t="s">
        <v>7239</v>
      </c>
      <c r="E3309" s="3" t="str">
        <f>HYPERLINK("https://www.amazon.com/Klein-Tools-6946INS-Insulated-Screwdriver/dp/B088NN95Q5/ref=sr_1_2?keywords=Klein+Tools+6846INS+Insulated+Screwdriver%2C+%232+Square+Tip%2C+6-Inch+Round+Shank&amp;qid=1695174148&amp;sr=8-2", "https://www.amazon.com/Klein-Tools-6946INS-Insulated-Screwdriver/dp/B088NN95Q5/ref=sr_1_2?keywords=Klein+Tools+6846INS+Insulated+Screwdriver%2C+%232+Square+Tip%2C+6-Inch+Round+Shank&amp;qid=1695174148&amp;sr=8-2")</f>
        <v>https://www.amazon.com/Klein-Tools-6946INS-Insulated-Screwdriver/dp/B088NN95Q5/ref=sr_1_2?keywords=Klein+Tools+6846INS+Insulated+Screwdriver%2C+%232+Square+Tip%2C+6-Inch+Round+Shank&amp;qid=1695174148&amp;sr=8-2</v>
      </c>
      <c r="F3309" t="s">
        <v>7240</v>
      </c>
      <c r="G3309" t="e">
        <f ca="1">_xludf.IMAGE("https://edmondsonsupply.com/cdn/shop/products/6846ins.jpg?v=1664817571")</f>
        <v>#NAME?</v>
      </c>
      <c r="H3309" t="e">
        <f ca="1">_xludf.IMAGE("https://m.media-amazon.com/images/I/414Kb+NSPsS._AC_UL320_.jpg")</f>
        <v>#NAME?</v>
      </c>
      <c r="I3309" t="s">
        <v>6073</v>
      </c>
      <c r="J3309">
        <v>13.85</v>
      </c>
      <c r="K3309" s="4">
        <v>0.15709999999999999</v>
      </c>
      <c r="L3309">
        <v>4.8</v>
      </c>
      <c r="M3309">
        <v>1361</v>
      </c>
      <c r="O3309" t="s">
        <v>25</v>
      </c>
      <c r="P3309" t="s">
        <v>6728</v>
      </c>
      <c r="Q3309" t="s">
        <v>7424</v>
      </c>
    </row>
    <row r="3310" spans="1:17" ht="15.5" x14ac:dyDescent="0.35">
      <c r="A3310"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3310"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3310" t="s">
        <v>6781</v>
      </c>
      <c r="D3310" t="s">
        <v>3216</v>
      </c>
      <c r="E3310" s="3" t="str">
        <f>HYPERLINK("https://www.amazon.com/Klein-Tools-6916INS-Insulated-Screwdriver/dp/B089DR97MJ/ref=sr_1_3?keywords=Klein+Tools+6866INS+Insulated+Screwdriver%2C+5%2F16-Inch+Cabinet+Tip%2C+6-Inch+Shank&amp;qid=1695174142&amp;sr=8-3", "https://www.amazon.com/Klein-Tools-6916INS-Insulated-Screwdriver/dp/B089DR97MJ/ref=sr_1_3?keywords=Klein+Tools+6866INS+Insulated+Screwdriver%2C+5%2F16-Inch+Cabinet+Tip%2C+6-Inch+Shank&amp;qid=1695174142&amp;sr=8-3")</f>
        <v>https://www.amazon.com/Klein-Tools-6916INS-Insulated-Screwdriver/dp/B089DR97MJ/ref=sr_1_3?keywords=Klein+Tools+6866INS+Insulated+Screwdriver%2C+5%2F16-Inch+Cabinet+Tip%2C+6-Inch+Shank&amp;qid=1695174142&amp;sr=8-3</v>
      </c>
      <c r="F3310" t="s">
        <v>3217</v>
      </c>
      <c r="G3310" t="e">
        <f ca="1">_xludf.IMAGE("https://edmondsonsupply.com/cdn/shop/products/6866ins.jpg?v=1664818689")</f>
        <v>#NAME?</v>
      </c>
      <c r="H3310" t="e">
        <f ca="1">_xludf.IMAGE("https://m.media-amazon.com/images/I/41JpJG+Jh0L._AC_UL320_.jpg")</f>
        <v>#NAME?</v>
      </c>
      <c r="I3310" t="s">
        <v>6073</v>
      </c>
      <c r="J3310">
        <v>13.85</v>
      </c>
      <c r="K3310" s="4">
        <v>0.15709999999999999</v>
      </c>
      <c r="L3310">
        <v>4.8</v>
      </c>
      <c r="M3310">
        <v>1361</v>
      </c>
      <c r="O3310" t="s">
        <v>25</v>
      </c>
      <c r="P3310" t="s">
        <v>6728</v>
      </c>
      <c r="Q3310" t="s">
        <v>6784</v>
      </c>
    </row>
    <row r="3311" spans="1:17" ht="15.5" x14ac:dyDescent="0.35">
      <c r="A3311"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3311"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3311" t="s">
        <v>7204</v>
      </c>
      <c r="D3311" t="s">
        <v>3216</v>
      </c>
      <c r="E3311" s="3" t="str">
        <f>HYPERLINK("https://www.amazon.com/Klein-Tools-6916INS-Insulated-Screwdriver/dp/B089DR97MJ/ref=sr_1_1?keywords=Klein+Tools+6816INS+Insulated+Screwdriver%2C+3%2F16-Inch+Cabinet+Tip%2C+6-Inch+Round+Shank&amp;qid=1695174141&amp;sr=8-1", "https://www.amazon.com/Klein-Tools-6916INS-Insulated-Screwdriver/dp/B089DR97MJ/ref=sr_1_1?keywords=Klein+Tools+6816INS+Insulated+Screwdriver%2C+3%2F16-Inch+Cabinet+Tip%2C+6-Inch+Round+Shank&amp;qid=1695174141&amp;sr=8-1")</f>
        <v>https://www.amazon.com/Klein-Tools-6916INS-Insulated-Screwdriver/dp/B089DR97MJ/ref=sr_1_1?keywords=Klein+Tools+6816INS+Insulated+Screwdriver%2C+3%2F16-Inch+Cabinet+Tip%2C+6-Inch+Round+Shank&amp;qid=1695174141&amp;sr=8-1</v>
      </c>
      <c r="F3311" t="s">
        <v>3217</v>
      </c>
      <c r="G3311" t="e">
        <f ca="1">_xludf.IMAGE("https://edmondsonsupply.com/cdn/shop/products/6816ins.jpg?v=1664812840")</f>
        <v>#NAME?</v>
      </c>
      <c r="H3311" t="e">
        <f ca="1">_xludf.IMAGE("https://m.media-amazon.com/images/I/41JpJG+Jh0L._AC_UL320_.jpg")</f>
        <v>#NAME?</v>
      </c>
      <c r="I3311" t="s">
        <v>6073</v>
      </c>
      <c r="J3311">
        <v>13.85</v>
      </c>
      <c r="K3311" s="4">
        <v>0.15709999999999999</v>
      </c>
      <c r="L3311">
        <v>4.8</v>
      </c>
      <c r="M3311">
        <v>1361</v>
      </c>
      <c r="O3311" t="s">
        <v>25</v>
      </c>
      <c r="P3311" t="s">
        <v>6728</v>
      </c>
      <c r="Q3311" t="s">
        <v>7205</v>
      </c>
    </row>
    <row r="3312" spans="1:17" ht="15.5" x14ac:dyDescent="0.35">
      <c r="A3312"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3312"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3312" t="s">
        <v>6725</v>
      </c>
      <c r="D3312" t="s">
        <v>3216</v>
      </c>
      <c r="E3312" s="3" t="str">
        <f>HYPERLINK("https://www.amazon.com/Klein-Tools-6916INS-Insulated-Screwdriver/dp/B089DR97MJ/ref=sr_1_4?keywords=Klein+Tools+6826INS+Insulated+Screwdriver%2C+1%2F4-Inch+Cabinet+Tip%2C+6-Inch+Shank&amp;qid=1695174154&amp;sr=8-4", "https://www.amazon.com/Klein-Tools-6916INS-Insulated-Screwdriver/dp/B089DR97MJ/ref=sr_1_4?keywords=Klein+Tools+6826INS+Insulated+Screwdriver%2C+1%2F4-Inch+Cabinet+Tip%2C+6-Inch+Shank&amp;qid=1695174154&amp;sr=8-4")</f>
        <v>https://www.amazon.com/Klein-Tools-6916INS-Insulated-Screwdriver/dp/B089DR97MJ/ref=sr_1_4?keywords=Klein+Tools+6826INS+Insulated+Screwdriver%2C+1%2F4-Inch+Cabinet+Tip%2C+6-Inch+Shank&amp;qid=1695174154&amp;sr=8-4</v>
      </c>
      <c r="F3312" t="s">
        <v>3217</v>
      </c>
      <c r="G3312" t="e">
        <f ca="1">_xludf.IMAGE("https://edmondsonsupply.com/cdn/shop/products/6826ins.jpg?v=1664814069")</f>
        <v>#NAME?</v>
      </c>
      <c r="H3312" t="e">
        <f ca="1">_xludf.IMAGE("https://m.media-amazon.com/images/I/41JpJG+Jh0L._AC_UL320_.jpg")</f>
        <v>#NAME?</v>
      </c>
      <c r="I3312" t="s">
        <v>6073</v>
      </c>
      <c r="J3312">
        <v>13.85</v>
      </c>
      <c r="K3312" s="4">
        <v>0.15709999999999999</v>
      </c>
      <c r="L3312">
        <v>4.8</v>
      </c>
      <c r="M3312">
        <v>1361</v>
      </c>
      <c r="O3312" t="s">
        <v>25</v>
      </c>
      <c r="P3312" t="s">
        <v>6728</v>
      </c>
      <c r="Q3312" t="s">
        <v>6729</v>
      </c>
    </row>
    <row r="3313" spans="1:17" ht="15.5" x14ac:dyDescent="0.35">
      <c r="A3313"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3313"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3313" t="s">
        <v>6976</v>
      </c>
      <c r="D3313" t="s">
        <v>2386</v>
      </c>
      <c r="E3313" s="3" t="str">
        <f>HYPERLINK("https://www.amazon.com/Journeyman-T-Handle-Klein-Tools-JTH6E13BE/dp/B004QW52YW/ref=sr_1_3?keywords=Klein+Tools+JTH6E11BE+3%2F16-Inch+Ball+Hex+Key%2C+Journeyman+T-Handle+6-Inch&amp;qid=1695174298&amp;sr=8-3", "https://www.amazon.com/Journeyman-T-Handle-Klein-Tools-JTH6E13BE/dp/B004QW52YW/ref=sr_1_3?keywords=Klein+Tools+JTH6E11BE+3%2F16-Inch+Ball+Hex+Key%2C+Journeyman+T-Handle+6-Inch&amp;qid=1695174298&amp;sr=8-3")</f>
        <v>https://www.amazon.com/Journeyman-T-Handle-Klein-Tools-JTH6E13BE/dp/B004QW52YW/ref=sr_1_3?keywords=Klein+Tools+JTH6E11BE+3%2F16-Inch+Ball+Hex+Key%2C+Journeyman+T-Handle+6-Inch&amp;qid=1695174298&amp;sr=8-3</v>
      </c>
      <c r="F3313" t="s">
        <v>2387</v>
      </c>
      <c r="G3313" t="e">
        <f ca="1">_xludf.IMAGE("https://edmondsonsupply.com/cdn/shop/products/jth6e13be_9dba8a6a-8a07-4d76-a54f-fe57b92b3fea.jpg?v=1610659188")</f>
        <v>#NAME?</v>
      </c>
      <c r="H3313" t="e">
        <f ca="1">_xludf.IMAGE("https://m.media-amazon.com/images/I/51f9vBFVXgL._AC_UL320_.jpg")</f>
        <v>#NAME?</v>
      </c>
      <c r="I3313" t="s">
        <v>6464</v>
      </c>
      <c r="J3313">
        <v>10.55</v>
      </c>
      <c r="K3313" s="4">
        <v>0.15679999999999999</v>
      </c>
      <c r="L3313">
        <v>4.7</v>
      </c>
      <c r="M3313">
        <v>32</v>
      </c>
      <c r="O3313" t="s">
        <v>25</v>
      </c>
      <c r="P3313" t="s">
        <v>138</v>
      </c>
      <c r="Q3313" t="s">
        <v>6977</v>
      </c>
    </row>
    <row r="3314" spans="1:17" ht="15.5" x14ac:dyDescent="0.35">
      <c r="A3314" s="3" t="str">
        <f>HYPERLINK("https://edmondsonsupply.com/collections/electricians-tools/products/uei-dl429b-true-rms-digital-clamp-meter-w-wireless-and-differential-temperature", "https://edmondsonsupply.com/collections/electricians-tools/products/uei-dl429b-true-rms-digital-clamp-meter-w-wireless-and-differential-temperature")</f>
        <v>https://edmondsonsupply.com/collections/electricians-tools/products/uei-dl429b-true-rms-digital-clamp-meter-w-wireless-and-differential-temperature</v>
      </c>
      <c r="B3314"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3314" t="s">
        <v>2868</v>
      </c>
      <c r="D3314" t="s">
        <v>3963</v>
      </c>
      <c r="E3314" s="3" t="str">
        <f>HYPERLINK("https://www.amazon.com/DL389B-True-Display-Clamp-Meter/dp/B07T9GD6DB/ref=sr_1_1?keywords=UEi+DL479+AC+600A+True+RMS+HVAC%2FR+Clamp+Meter&amp;qid=1695173895&amp;sr=8-1", "https://www.amazon.com/DL389B-True-Display-Clamp-Meter/dp/B07T9GD6DB/ref=sr_1_1?keywords=UEi+DL479+AC+600A+True+RMS+HVAC%2FR+Clamp+Meter&amp;qid=1695173895&amp;sr=8-1")</f>
        <v>https://www.amazon.com/DL389B-True-Display-Clamp-Meter/dp/B07T9GD6DB/ref=sr_1_1?keywords=UEi+DL479+AC+600A+True+RMS+HVAC%2FR+Clamp+Meter&amp;qid=1695173895&amp;sr=8-1</v>
      </c>
      <c r="F3314" t="s">
        <v>3964</v>
      </c>
      <c r="G3314" t="e">
        <f ca="1">_xludf.IMAGE("https://edmondsonsupply.com/cdn/shop/products/DL479-1.jpg?v=1587142104")</f>
        <v>#NAME?</v>
      </c>
      <c r="H3314" t="e">
        <f ca="1">_xludf.IMAGE("https://m.media-amazon.com/images/I/61+s0r8oDBL._AC_UY218_.jpg")</f>
        <v>#NAME?</v>
      </c>
      <c r="I3314" t="s">
        <v>2871</v>
      </c>
      <c r="J3314">
        <v>160</v>
      </c>
      <c r="K3314" s="4">
        <v>0.1552</v>
      </c>
      <c r="L3314">
        <v>4.5999999999999996</v>
      </c>
      <c r="M3314">
        <v>216</v>
      </c>
      <c r="O3314" t="s">
        <v>171</v>
      </c>
      <c r="P3314" t="s">
        <v>2872</v>
      </c>
      <c r="Q3314" t="s">
        <v>2873</v>
      </c>
    </row>
    <row r="3315" spans="1:17" ht="15.5" x14ac:dyDescent="0.35">
      <c r="A3315"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3315"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3315" t="s">
        <v>6957</v>
      </c>
      <c r="D3315" t="s">
        <v>3216</v>
      </c>
      <c r="E3315" s="3" t="str">
        <f>HYPERLINK("https://www.amazon.com/Klein-Tools-6916INS-Insulated-Screwdriver/dp/B089DR97MJ/ref=sr_1_8?keywords=Klein+Tools+602-6+5%2F16-Inch+Keystone+Tip+Screwdriver%2C+Cushion+Grip%2C+6-Inch&amp;qid=1695174298&amp;sr=8-8", "https://www.amazon.com/Klein-Tools-6916INS-Insulated-Screwdriver/dp/B089DR97MJ/ref=sr_1_8?keywords=Klein+Tools+602-6+5%2F16-Inch+Keystone+Tip+Screwdriver%2C+Cushion+Grip%2C+6-Inch&amp;qid=1695174298&amp;sr=8-8")</f>
        <v>https://www.amazon.com/Klein-Tools-6916INS-Insulated-Screwdriver/dp/B089DR97MJ/ref=sr_1_8?keywords=Klein+Tools+602-6+5%2F16-Inch+Keystone+Tip+Screwdriver%2C+Cushion+Grip%2C+6-Inch&amp;qid=1695174298&amp;sr=8-8</v>
      </c>
      <c r="F3315" t="s">
        <v>3217</v>
      </c>
      <c r="G3315" t="e">
        <f ca="1">_xludf.IMAGE("https://edmondsonsupply.com/cdn/shop/products/602-6_162e3283-acea-47de-aecf-2a25f009fdcb.jpg?v=1633030880")</f>
        <v>#NAME?</v>
      </c>
      <c r="H3315" t="e">
        <f ca="1">_xludf.IMAGE("https://m.media-amazon.com/images/I/41JpJG+Jh0L._AC_UL320_.jpg")</f>
        <v>#NAME?</v>
      </c>
      <c r="I3315" t="s">
        <v>2337</v>
      </c>
      <c r="J3315">
        <v>13.85</v>
      </c>
      <c r="K3315" s="4">
        <v>0.15509999999999999</v>
      </c>
      <c r="L3315">
        <v>4.8</v>
      </c>
      <c r="M3315">
        <v>1361</v>
      </c>
      <c r="O3315" t="s">
        <v>25</v>
      </c>
      <c r="P3315" t="s">
        <v>1212</v>
      </c>
      <c r="Q3315" t="s">
        <v>6958</v>
      </c>
    </row>
    <row r="3316" spans="1:17" ht="15.5" x14ac:dyDescent="0.35">
      <c r="A3316"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3316" s="3" t="str">
        <f>HYPERLINK("https://edmondsonsupply.com/products/klein-tools-60162-professional-safety-glasses-gray-lens", "https://edmondsonsupply.com/products/klein-tools-60162-professional-safety-glasses-gray-lens")</f>
        <v>https://edmondsonsupply.com/products/klein-tools-60162-professional-safety-glasses-gray-lens</v>
      </c>
      <c r="C3316" t="s">
        <v>833</v>
      </c>
      <c r="D3316" t="s">
        <v>958</v>
      </c>
      <c r="E3316" s="3" t="str">
        <f>HYPERLINK("https://www.amazon.com/Klein-60164-Professional-Protective-Resistant/dp/B08B4BNSHM/ref=sr_1_2?keywords=Klein+Tools+60162+Professional+Safety+Glasses%2C+Gray+Lens&amp;qid=1695174302&amp;sr=8-2", "https://www.amazon.com/Klein-60164-Professional-Protective-Resistant/dp/B08B4BNSHM/ref=sr_1_2?keywords=Klein+Tools+60162+Professional+Safety+Glasses%2C+Gray+Lens&amp;qid=1695174302&amp;sr=8-2")</f>
        <v>https://www.amazon.com/Klein-60164-Professional-Protective-Resistant/dp/B08B4BNSHM/ref=sr_1_2?keywords=Klein+Tools+60162+Professional+Safety+Glasses%2C+Gray+Lens&amp;qid=1695174302&amp;sr=8-2</v>
      </c>
      <c r="F3316" t="s">
        <v>959</v>
      </c>
      <c r="G3316" t="e">
        <f ca="1">_xludf.IMAGE("https://edmondsonsupply.com/cdn/shop/products/60162.jpg?v=1633030847")</f>
        <v>#NAME?</v>
      </c>
      <c r="H3316" t="e">
        <f ca="1">_xludf.IMAGE("https://m.media-amazon.com/images/I/41bNrH9NnFL._AC_UL320_.jpg")</f>
        <v>#NAME?</v>
      </c>
      <c r="I3316" t="s">
        <v>834</v>
      </c>
      <c r="J3316">
        <v>14.99</v>
      </c>
      <c r="K3316" s="4">
        <v>0.154</v>
      </c>
      <c r="L3316">
        <v>4.4000000000000004</v>
      </c>
      <c r="M3316">
        <v>463</v>
      </c>
      <c r="O3316" t="s">
        <v>25</v>
      </c>
      <c r="P3316" t="s">
        <v>835</v>
      </c>
      <c r="Q3316" t="s">
        <v>836</v>
      </c>
    </row>
    <row r="3317" spans="1:17" ht="15.5" x14ac:dyDescent="0.35">
      <c r="A3317"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3317" s="3" t="str">
        <f>HYPERLINK("https://edmondsonsupply.com/products/klein-tools-60161-professional-safety-glasses-clear-lens", "https://edmondsonsupply.com/products/klein-tools-60161-professional-safety-glasses-clear-lens")</f>
        <v>https://edmondsonsupply.com/products/klein-tools-60161-professional-safety-glasses-clear-lens</v>
      </c>
      <c r="C3317" t="s">
        <v>884</v>
      </c>
      <c r="D3317" t="s">
        <v>956</v>
      </c>
      <c r="E3317" s="3" t="str">
        <f>HYPERLINK("https://www.amazon.com/Klein-60163-Professional-Protective-Resistant/dp/B08B48CZ5V/ref=sr_1_4?keywords=Klein+Tools+60161+Professional+Safety+Glasses%2C+Clear+Lens&amp;qid=1695174304&amp;sr=8-4", "https://www.amazon.com/Klein-60163-Professional-Protective-Resistant/dp/B08B48CZ5V/ref=sr_1_4?keywords=Klein+Tools+60161+Professional+Safety+Glasses%2C+Clear+Lens&amp;qid=1695174304&amp;sr=8-4")</f>
        <v>https://www.amazon.com/Klein-60163-Professional-Protective-Resistant/dp/B08B48CZ5V/ref=sr_1_4?keywords=Klein+Tools+60161+Professional+Safety+Glasses%2C+Clear+Lens&amp;qid=1695174304&amp;sr=8-4</v>
      </c>
      <c r="F3317" t="s">
        <v>957</v>
      </c>
      <c r="G3317" t="e">
        <f ca="1">_xludf.IMAGE("https://edmondsonsupply.com/cdn/shop/products/60161.jpg?v=1633030845")</f>
        <v>#NAME?</v>
      </c>
      <c r="H3317" t="e">
        <f ca="1">_xludf.IMAGE("https://m.media-amazon.com/images/I/41IY8K6EFLL._AC_UL320_.jpg")</f>
        <v>#NAME?</v>
      </c>
      <c r="I3317" t="s">
        <v>834</v>
      </c>
      <c r="J3317">
        <v>14.99</v>
      </c>
      <c r="K3317" s="4">
        <v>0.154</v>
      </c>
      <c r="L3317">
        <v>4.4000000000000004</v>
      </c>
      <c r="M3317">
        <v>198</v>
      </c>
      <c r="O3317" t="s">
        <v>25</v>
      </c>
      <c r="P3317" t="s">
        <v>835</v>
      </c>
      <c r="Q3317" t="s">
        <v>885</v>
      </c>
    </row>
    <row r="3318" spans="1:17" ht="15.5" x14ac:dyDescent="0.35">
      <c r="A3318"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3318"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3318" t="s">
        <v>7545</v>
      </c>
      <c r="D3318" t="s">
        <v>7546</v>
      </c>
      <c r="E3318" s="3" t="str">
        <f>HYPERLINK("https://www.amazon.com/Klein-Tools-CL320KIT-Magnetic-Multimeters/dp/B09Z6R1FLB/ref=sr_1_2?keywords=Klein+Tools+CL320KIT+HVAC+Digital+Clamp+Meter+Electrical+Test+Kit&amp;qid=1695174178&amp;sr=8-2", "https://www.amazon.com/Klein-Tools-CL320KIT-Magnetic-Multimeters/dp/B09Z6R1FLB/ref=sr_1_2?keywords=Klein+Tools+CL320KIT+HVAC+Digital+Clamp+Meter+Electrical+Test+Kit&amp;qid=1695174178&amp;sr=8-2")</f>
        <v>https://www.amazon.com/Klein-Tools-CL320KIT-Magnetic-Multimeters/dp/B09Z6R1FLB/ref=sr_1_2?keywords=Klein+Tools+CL320KIT+HVAC+Digital+Clamp+Meter+Electrical+Test+Kit&amp;qid=1695174178&amp;sr=8-2</v>
      </c>
      <c r="F3318" t="s">
        <v>7547</v>
      </c>
      <c r="G3318" t="e">
        <f ca="1">_xludf.IMAGE("https://edmondsonsupply.com/cdn/shop/products/cl320kit_photo.jpg?v=1660753251")</f>
        <v>#NAME?</v>
      </c>
      <c r="H3318" t="e">
        <f ca="1">_xludf.IMAGE("https://m.media-amazon.com/images/I/61G0pTyWcuL._AC_UY218_.jpg")</f>
        <v>#NAME?</v>
      </c>
      <c r="I3318" t="s">
        <v>7548</v>
      </c>
      <c r="J3318">
        <v>137.24</v>
      </c>
      <c r="K3318" s="4">
        <v>0.15340000000000001</v>
      </c>
      <c r="L3318">
        <v>5</v>
      </c>
      <c r="M3318">
        <v>5</v>
      </c>
      <c r="O3318" t="s">
        <v>25</v>
      </c>
      <c r="P3318" t="s">
        <v>7549</v>
      </c>
      <c r="Q3318" t="s">
        <v>7550</v>
      </c>
    </row>
    <row r="3319" spans="1:17" ht="15.5" x14ac:dyDescent="0.35">
      <c r="A3319"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3319"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3319" t="s">
        <v>3544</v>
      </c>
      <c r="D3319" t="s">
        <v>3976</v>
      </c>
      <c r="E3319" s="3" t="str">
        <f>HYPERLINK("https://www.amazon.com/Klein-Tools-32557-Multi-Bit-Screwdriver/dp/B005FQDH9A/ref=sr_1_3?keywords=Klein+Tools+32562+Multi-Bit+Screwdriver+%2F+Nut+Driver%2C+6-in-1%2C+Stubby%2C+Ph%2C+Sl%2C+Sq+Bits&amp;qid=1695173934&amp;sr=8-3", "https://www.amazon.com/Klein-Tools-32557-Multi-Bit-Screwdriver/dp/B005FQDH9A/ref=sr_1_3?keywords=Klein+Tools+32562+Multi-Bit+Screwdriver+%2F+Nut+Driver%2C+6-in-1%2C+Stubby%2C+Ph%2C+Sl%2C+Sq+Bits&amp;qid=1695173934&amp;sr=8-3")</f>
        <v>https://www.amazon.com/Klein-Tools-32557-Multi-Bit-Screwdriver/dp/B005FQDH9A/ref=sr_1_3?keywords=Klein+Tools+32562+Multi-Bit+Screwdriver+%2F+Nut+Driver%2C+6-in-1%2C+Stubby%2C+Ph%2C+Sl%2C+Sq+Bits&amp;qid=1695173934&amp;sr=8-3</v>
      </c>
      <c r="F3319" t="s">
        <v>3977</v>
      </c>
      <c r="G3319" t="e">
        <f ca="1">_xludf.IMAGE("https://edmondsonsupply.com/cdn/shop/products/32562.jpg?v=1587145424")</f>
        <v>#NAME?</v>
      </c>
      <c r="H3319" t="e">
        <f ca="1">_xludf.IMAGE("https://m.media-amazon.com/images/I/41vMDiO0rOL._AC_UL320_.jpg")</f>
        <v>#NAME?</v>
      </c>
      <c r="I3319" t="s">
        <v>834</v>
      </c>
      <c r="J3319">
        <v>14.98</v>
      </c>
      <c r="K3319" s="4">
        <v>0.1532</v>
      </c>
      <c r="L3319">
        <v>4.8</v>
      </c>
      <c r="M3319">
        <v>921</v>
      </c>
      <c r="O3319" t="s">
        <v>25</v>
      </c>
      <c r="P3319" t="s">
        <v>3547</v>
      </c>
      <c r="Q3319" t="s">
        <v>3548</v>
      </c>
    </row>
    <row r="3320" spans="1:17" ht="15.5" x14ac:dyDescent="0.35">
      <c r="A3320" s="3" t="str">
        <f>HYPERLINK("https://edmondsonsupply.com/collections/electricians-tools/products/rack-a-tiers-19455-thomas-wheeler-wire-coil-dispenser", "https://edmondsonsupply.com/collections/electricians-tools/products/rack-a-tiers-19455-thomas-wheeler-wire-coil-dispenser")</f>
        <v>https://edmondsonsupply.com/collections/electricians-tools/products/rack-a-tiers-19455-thomas-wheeler-wire-coil-dispenser</v>
      </c>
      <c r="B3320" s="3" t="str">
        <f>HYPERLINK("https://edmondsonsupply.com/products/rack-a-tiers-19455-thomas-wheeler-wire-coil-dispenser", "https://edmondsonsupply.com/products/rack-a-tiers-19455-thomas-wheeler-wire-coil-dispenser")</f>
        <v>https://edmondsonsupply.com/products/rack-a-tiers-19455-thomas-wheeler-wire-coil-dispenser</v>
      </c>
      <c r="C3320" t="s">
        <v>7551</v>
      </c>
      <c r="D3320" t="s">
        <v>7552</v>
      </c>
      <c r="E3320" s="3" t="str">
        <f>HYPERLINK("https://www.amazon.com/Rack-A-Tiers-19455-Wire-Dispenser/dp/B0087TBQFE/ref=sr_1_1?keywords=Rack-A-Tiers+19455+Thomas+Wheeler+Wire+Coil+Dispenser&amp;qid=1695173867&amp;sr=8-1", "https://www.amazon.com/Rack-A-Tiers-19455-Wire-Dispenser/dp/B0087TBQFE/ref=sr_1_1?keywords=Rack-A-Tiers+19455+Thomas+Wheeler+Wire+Coil+Dispenser&amp;qid=1695173867&amp;sr=8-1")</f>
        <v>https://www.amazon.com/Rack-A-Tiers-19455-Wire-Dispenser/dp/B0087TBQFE/ref=sr_1_1?keywords=Rack-A-Tiers+19455+Thomas+Wheeler+Wire+Coil+Dispenser&amp;qid=1695173867&amp;sr=8-1</v>
      </c>
      <c r="F3320" t="s">
        <v>7553</v>
      </c>
      <c r="G3320" t="e">
        <f ca="1">_xludf.IMAGE("https://edmondsonsupply.com/cdn/shop/products/19455.jpg?v=1587146044")</f>
        <v>#NAME?</v>
      </c>
      <c r="H3320" t="e">
        <f ca="1">_xludf.IMAGE("https://m.media-amazon.com/images/I/51MOh71KHsL._AC_UY218_.jpg")</f>
        <v>#NAME?</v>
      </c>
      <c r="I3320" t="s">
        <v>3448</v>
      </c>
      <c r="J3320">
        <v>87.26</v>
      </c>
      <c r="K3320" s="4">
        <v>0.15290000000000001</v>
      </c>
      <c r="L3320">
        <v>4.0999999999999996</v>
      </c>
      <c r="M3320">
        <v>67</v>
      </c>
      <c r="O3320" t="s">
        <v>25</v>
      </c>
      <c r="P3320" t="s">
        <v>7554</v>
      </c>
      <c r="Q3320" t="s">
        <v>7555</v>
      </c>
    </row>
    <row r="3321" spans="1:17" ht="15.5" x14ac:dyDescent="0.35">
      <c r="A3321" s="3" t="str">
        <f>HYPERLINK("https://edmondsonsupply.com/collections/electricians-tools/products/diablo-tools-dmapl4210-5-8-in-x-4-in-x-6-in-rebar-demon%E2%84%A2-sds-plus-4-cutter-full-carbide-head-hammer-bit", "https://edmondsonsupply.com/collections/electricians-tools/products/diablo-tools-dmapl4210-5-8-in-x-4-in-x-6-in-rebar-demon%E2%84%A2-sds-plus-4-cutter-full-carbide-head-hammer-bit")</f>
        <v>https://edmondsonsupply.com/collections/electricians-tools/products/diablo-tools-dmapl4210-5-8-in-x-4-in-x-6-in-rebar-demon%E2%84%A2-sds-plus-4-cutter-full-carbide-head-hammer-bit</v>
      </c>
      <c r="B3321"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3321" t="s">
        <v>1424</v>
      </c>
      <c r="D3321" t="s">
        <v>3978</v>
      </c>
      <c r="E3321" s="3" t="str">
        <f>HYPERLINK("https://www.amazon.com/Diablo-Freud-DMAPL4210-SDS-Plus-4-Cutter/dp/B089LGF2KS/ref=sr_1_1?keywords=Diablo+Tools+DMAPL4210+5%2F8+in.+x+4+in.+x+6+in.+Rebar+Demon%E2%84%A2+SDS%E2%80%91Plus+4%E2%80%91Cutter+Full+Carbide+Head+Hammer+Bit&amp;qid=1695173888&amp;sr=8-1", "https://www.amazon.com/Diablo-Freud-DMAPL4210-SDS-Plus-4-Cutter/dp/B089LGF2KS/ref=sr_1_1?keywords=Diablo+Tools+DMAPL4210+5%2F8+in.+x+4+in.+x+6+in.+Rebar+Demon%E2%84%A2+SDS%E2%80%91Plus+4%E2%80%91Cutter+Full+Carbide+Head+Hammer+Bit&amp;qid=1695173888&amp;sr=8-1")</f>
        <v>https://www.amazon.com/Diablo-Freud-DMAPL4210-SDS-Plus-4-Cutter/dp/B089LGF2KS/ref=sr_1_1?keywords=Diablo+Tools+DMAPL4210+5%2F8+in.+x+4+in.+x+6+in.+Rebar+Demon%E2%84%A2+SDS%E2%80%91Plus+4%E2%80%91Cutter+Full+Carbide+Head+Hammer+Bit&amp;qid=1695173888&amp;sr=8-1</v>
      </c>
      <c r="F3321" t="s">
        <v>3979</v>
      </c>
      <c r="G3321" t="e">
        <f ca="1">_xludf.IMAGE("https://edmondsonsupply.com/cdn/shop/products/DMAPL4210_Main-Image20200701.png?v=1633030426")</f>
        <v>#NAME?</v>
      </c>
      <c r="H3321" t="e">
        <f ca="1">_xludf.IMAGE("https://m.media-amazon.com/images/I/61rU9ZgmndL._AC_UL320_.jpg")</f>
        <v>#NAME?</v>
      </c>
      <c r="I3321" t="s">
        <v>1427</v>
      </c>
      <c r="J3321">
        <v>11.49</v>
      </c>
      <c r="K3321" s="4">
        <v>0.1525</v>
      </c>
      <c r="L3321">
        <v>4.5999999999999996</v>
      </c>
      <c r="M3321">
        <v>63</v>
      </c>
      <c r="O3321" t="s">
        <v>25</v>
      </c>
      <c r="P3321" t="s">
        <v>1428</v>
      </c>
      <c r="Q3321" t="s">
        <v>1429</v>
      </c>
    </row>
    <row r="3322" spans="1:17" ht="15.5" x14ac:dyDescent="0.35">
      <c r="A3322" s="3" t="str">
        <f>HYPERLINK("https://edmondsonsupply.com/collections/electricians-tools/products/diablo-tools-dmamx1220", "https://edmondsonsupply.com/collections/electricians-tools/products/diablo-tools-dmamx1220")</f>
        <v>https://edmondsonsupply.com/collections/electricians-tools/products/diablo-tools-dmamx1220</v>
      </c>
      <c r="B3322" s="3" t="str">
        <f>HYPERLINK("https://edmondsonsupply.com/products/diablo-tools-dmamx1220", "https://edmondsonsupply.com/products/diablo-tools-dmamx1220")</f>
        <v>https://edmondsonsupply.com/products/diablo-tools-dmamx1220</v>
      </c>
      <c r="C3322" t="s">
        <v>7454</v>
      </c>
      <c r="D3322" t="s">
        <v>5298</v>
      </c>
      <c r="E3322" s="3" t="str">
        <f>HYPERLINK("https://www.amazon.com/Diablo-SDS-Max-4-Cutter-Carbide-Hammer/dp/B089KWFF8B/ref=sr_1_3?keywords=Diablo+Tools+DMAMX1220+1+in.+x+16+in.+x+21+in.+Rebar+Demon%E2%84%A2+SDS-Max+4-Cutter+Full+Carbide+Head+Hammer+Drill+Bit&amp;qid=1695174109&amp;sr=8-3", "https://www.amazon.com/Diablo-SDS-Max-4-Cutter-Carbide-Hammer/dp/B089KWFF8B/ref=sr_1_3?keywords=Diablo+Tools+DMAMX1220+1+in.+x+16+in.+x+21+in.+Rebar+Demon%E2%84%A2+SDS-Max+4-Cutter+Full+Carbide+Head+Hammer+Drill+Bit&amp;qid=1695174109&amp;sr=8-3")</f>
        <v>https://www.amazon.com/Diablo-SDS-Max-4-Cutter-Carbide-Hammer/dp/B089KWFF8B/ref=sr_1_3?keywords=Diablo+Tools+DMAMX1220+1+in.+x+16+in.+x+21+in.+Rebar+Demon%E2%84%A2+SDS-Max+4-Cutter+Full+Carbide+Head+Hammer+Drill+Bit&amp;qid=1695174109&amp;sr=8-3</v>
      </c>
      <c r="F3322" t="s">
        <v>5299</v>
      </c>
      <c r="G3322" t="e">
        <f ca="1">_xludf.IMAGE("https://edmondsonsupply.com/cdn/shop/products/immoyh7jjmbau4fzhuq6.webp?v=1670431066")</f>
        <v>#NAME?</v>
      </c>
      <c r="H3322" t="e">
        <f ca="1">_xludf.IMAGE("https://m.media-amazon.com/images/I/611fTcYRNFL._AC_UL320_.jpg")</f>
        <v>#NAME?</v>
      </c>
      <c r="I3322" t="s">
        <v>7455</v>
      </c>
      <c r="J3322">
        <v>52.51</v>
      </c>
      <c r="K3322" s="4">
        <v>0.14929999999999999</v>
      </c>
      <c r="L3322">
        <v>3.5</v>
      </c>
      <c r="M3322">
        <v>3</v>
      </c>
      <c r="O3322" t="s">
        <v>25</v>
      </c>
      <c r="P3322" t="s">
        <v>7456</v>
      </c>
      <c r="Q3322" t="s">
        <v>7457</v>
      </c>
    </row>
    <row r="3323" spans="1:17" ht="15.5" x14ac:dyDescent="0.35">
      <c r="A3323"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3323"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3323" t="s">
        <v>6276</v>
      </c>
      <c r="D3323" t="s">
        <v>3163</v>
      </c>
      <c r="E3323" s="3" t="str">
        <f>HYPERLINK("https://www.amazon.com/Journeyman-T-Handle-Klein-Tools-JTH9E14/dp/B004QVAH4I/ref=sr_1_4?keywords=Klein+Tools+JTH9E13+1%2F4-Inch+Hex+Key+with+Journeyman+T-Handle%2C+9-Inch&amp;qid=1695174307&amp;sr=8-4", "https://www.amazon.com/Journeyman-T-Handle-Klein-Tools-JTH9E14/dp/B004QVAH4I/ref=sr_1_4?keywords=Klein+Tools+JTH9E13+1%2F4-Inch+Hex+Key+with+Journeyman+T-Handle%2C+9-Inch&amp;qid=1695174307&amp;sr=8-4")</f>
        <v>https://www.amazon.com/Journeyman-T-Handle-Klein-Tools-JTH9E14/dp/B004QVAH4I/ref=sr_1_4?keywords=Klein+Tools+JTH9E13+1%2F4-Inch+Hex+Key+with+Journeyman+T-Handle%2C+9-Inch&amp;qid=1695174307&amp;sr=8-4</v>
      </c>
      <c r="F3323" t="s">
        <v>3164</v>
      </c>
      <c r="G3323" t="e">
        <f ca="1">_xludf.IMAGE("https://edmondsonsupply.com/cdn/shop/products/jth9e12_7dcdbf9a-5acd-4824-8919-6aeb4a790072.jpg?v=1604060723")</f>
        <v>#NAME?</v>
      </c>
      <c r="H3323" t="e">
        <f ca="1">_xludf.IMAGE("https://m.media-amazon.com/images/I/51Yb8h41vLL._AC_UL320_.jpg")</f>
        <v>#NAME?</v>
      </c>
      <c r="I3323" t="s">
        <v>4617</v>
      </c>
      <c r="J3323">
        <v>7.44</v>
      </c>
      <c r="K3323" s="4">
        <v>0.1464</v>
      </c>
      <c r="L3323">
        <v>4.8</v>
      </c>
      <c r="M3323">
        <v>114</v>
      </c>
      <c r="O3323" t="s">
        <v>25</v>
      </c>
      <c r="P3323" t="s">
        <v>6277</v>
      </c>
      <c r="Q3323" t="s">
        <v>6278</v>
      </c>
    </row>
    <row r="3324" spans="1:17" ht="15.5" x14ac:dyDescent="0.35">
      <c r="A3324" s="3" t="str">
        <f>HYPERLINK("https://edmondsonsupply.com/collections/electricians-tools/products/greenlee-gsb02-1-2-step-bit-2", "https://edmondsonsupply.com/collections/electricians-tools/products/greenlee-gsb02-1-2-step-bit-2")</f>
        <v>https://edmondsonsupply.com/collections/electricians-tools/products/greenlee-gsb02-1-2-step-bit-2</v>
      </c>
      <c r="B3324" s="3" t="str">
        <f>HYPERLINK("https://edmondsonsupply.com/products/greenlee-gsb02-1-2-step-bit-2", "https://edmondsonsupply.com/products/greenlee-gsb02-1-2-step-bit-2")</f>
        <v>https://edmondsonsupply.com/products/greenlee-gsb02-1-2-step-bit-2</v>
      </c>
      <c r="C3324" t="s">
        <v>2882</v>
      </c>
      <c r="D3324" t="s">
        <v>3245</v>
      </c>
      <c r="E3324" s="3" t="str">
        <f>HYPERLINK("https://www.amazon.com/Greenlee-GSB12-Step-Bit-1-3/dp/B08TVF7KMP/ref=sr_1_2?keywords=Greenlee+GSB02+1%2F2%22+Step+Bit+%28%232%29&amp;qid=1695173993&amp;sr=8-2", "https://www.amazon.com/Greenlee-GSB12-Step-Bit-1-3/dp/B08TVF7KMP/ref=sr_1_2?keywords=Greenlee+GSB02+1%2F2%22+Step+Bit+%28%232%29&amp;qid=1695173993&amp;sr=8-2")</f>
        <v>https://www.amazon.com/Greenlee-GSB12-Step-Bit-1-3/dp/B08TVF7KMP/ref=sr_1_2?keywords=Greenlee+GSB02+1%2F2%22+Step+Bit+%28%232%29&amp;qid=1695173993&amp;sr=8-2</v>
      </c>
      <c r="F3324" t="s">
        <v>3246</v>
      </c>
      <c r="G3324" t="e">
        <f ca="1">_xludf.IMAGE("https://edmondsonsupply.com/cdn/shop/files/GSB02_CAT1_72dpi.jpg?v=1687783943")</f>
        <v>#NAME?</v>
      </c>
      <c r="H3324" t="e">
        <f ca="1">_xludf.IMAGE("https://m.media-amazon.com/images/I/41Z8kxeeZfL._AC_UY218_.jpg")</f>
        <v>#NAME?</v>
      </c>
      <c r="I3324" t="s">
        <v>2883</v>
      </c>
      <c r="J3324">
        <v>45</v>
      </c>
      <c r="K3324" s="4">
        <v>0.14530000000000001</v>
      </c>
      <c r="L3324">
        <v>4.8</v>
      </c>
      <c r="M3324">
        <v>27</v>
      </c>
      <c r="O3324" t="s">
        <v>25</v>
      </c>
      <c r="P3324" t="s">
        <v>2884</v>
      </c>
      <c r="Q3324" t="s">
        <v>2885</v>
      </c>
    </row>
    <row r="3325" spans="1:17" ht="15.5" x14ac:dyDescent="0.35">
      <c r="A3325"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3325"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3325" t="s">
        <v>5852</v>
      </c>
      <c r="D3325" t="s">
        <v>5893</v>
      </c>
      <c r="E3325" s="3" t="str">
        <f>HYPERLINK("https://www.amazon.com/Diablo-Freud-DMAPL4250-SDS-Plus-4-Cutter/dp/B089KX6X16/ref=sr_1_1?keywords=Diablo+Tools+DMAPL4250+3%2F4+in.+x+8+in.+x+10+in.+Rebar+Demon%E2%84%A2+SDS-Plus+4-Cutter+Full+Carbide+Head+Hammer+Drill+Bit&amp;qid=1695174039&amp;sr=8-1", "https://www.amazon.com/Diablo-Freud-DMAPL4250-SDS-Plus-4-Cutter/dp/B089KX6X16/ref=sr_1_1?keywords=Diablo+Tools+DMAPL4250+3%2F4+in.+x+8+in.+x+10+in.+Rebar+Demon%E2%84%A2+SDS-Plus+4-Cutter+Full+Carbide+Head+Hammer+Drill+Bit&amp;qid=1695174039&amp;sr=8-1")</f>
        <v>https://www.amazon.com/Diablo-Freud-DMAPL4250-SDS-Plus-4-Cutter/dp/B089KX6X16/ref=sr_1_1?keywords=Diablo+Tools+DMAPL4250+3%2F4+in.+x+8+in.+x+10+in.+Rebar+Demon%E2%84%A2+SDS-Plus+4-Cutter+Full+Carbide+Head+Hammer+Drill+Bit&amp;qid=1695174039&amp;sr=8-1</v>
      </c>
      <c r="F3325" t="s">
        <v>5894</v>
      </c>
      <c r="G3325" t="e">
        <f ca="1">_xludf.IMAGE("https://edmondsonsupply.com/cdn/shop/files/rltcbi253wmfv6otmtz6.webp?v=1686576913")</f>
        <v>#NAME?</v>
      </c>
      <c r="H3325" t="e">
        <f ca="1">_xludf.IMAGE("https://m.media-amazon.com/images/I/61s0RHCLXEL._AC_UL320_.jpg")</f>
        <v>#NAME?</v>
      </c>
      <c r="I3325" t="s">
        <v>5853</v>
      </c>
      <c r="J3325">
        <v>27.99</v>
      </c>
      <c r="K3325" s="4">
        <v>0.14380000000000001</v>
      </c>
      <c r="L3325">
        <v>4.4000000000000004</v>
      </c>
      <c r="M3325">
        <v>83</v>
      </c>
      <c r="O3325" t="s">
        <v>25</v>
      </c>
      <c r="P3325" t="s">
        <v>5854</v>
      </c>
      <c r="Q3325" t="s">
        <v>5855</v>
      </c>
    </row>
    <row r="3326" spans="1:17" ht="15.5" x14ac:dyDescent="0.35">
      <c r="A3326"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3326"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3326" t="s">
        <v>6797</v>
      </c>
      <c r="D3326" t="s">
        <v>4234</v>
      </c>
      <c r="E3326" s="3" t="str">
        <f>HYPERLINK("https://www.amazon.com/Klein-Tools-J2000-48-Diagonal-Cutters/dp/B0006M6Y8O/ref=sr_1_3?keywords=Klein+Tools+D2000-48+Diagonal+Cutting+Pliers%2C+Angled+Head%2C+8-Inch&amp;qid=1695174171&amp;sr=8-3", "https://www.amazon.com/Klein-Tools-J2000-48-Diagonal-Cutters/dp/B0006M6Y8O/ref=sr_1_3?keywords=Klein+Tools+D2000-48+Diagonal+Cutting+Pliers%2C+Angled+Head%2C+8-Inch&amp;qid=1695174171&amp;sr=8-3")</f>
        <v>https://www.amazon.com/Klein-Tools-J2000-48-Diagonal-Cutters/dp/B0006M6Y8O/ref=sr_1_3?keywords=Klein+Tools+D2000-48+Diagonal+Cutting+Pliers%2C+Angled+Head%2C+8-Inch&amp;qid=1695174171&amp;sr=8-3</v>
      </c>
      <c r="F3326" t="s">
        <v>4235</v>
      </c>
      <c r="G3326" t="e">
        <f ca="1">_xludf.IMAGE("https://edmondsonsupply.com/cdn/shop/products/d200048.jpg?v=1660920588")</f>
        <v>#NAME?</v>
      </c>
      <c r="H3326" t="e">
        <f ca="1">_xludf.IMAGE("https://m.media-amazon.com/images/I/41ZnJLE+YFL._AC_UL320_.jpg")</f>
        <v>#NAME?</v>
      </c>
      <c r="I3326" t="s">
        <v>340</v>
      </c>
      <c r="J3326">
        <v>39.99</v>
      </c>
      <c r="K3326" s="4">
        <v>0.14360000000000001</v>
      </c>
      <c r="L3326">
        <v>4.8</v>
      </c>
      <c r="M3326">
        <v>1554</v>
      </c>
      <c r="O3326" t="s">
        <v>25</v>
      </c>
      <c r="P3326" t="s">
        <v>6800</v>
      </c>
      <c r="Q3326" t="s">
        <v>6801</v>
      </c>
    </row>
    <row r="3327" spans="1:17" ht="15.5" x14ac:dyDescent="0.35">
      <c r="A3327" s="3" t="str">
        <f>HYPERLINK("https://edmondsonsupply.com/collections/electricians-tools/products/klein-tools-86600-1-4-inch-magnetic-hex-drivers-3-pack", "https://edmondsonsupply.com/collections/electricians-tools/products/klein-tools-86600-1-4-inch-magnetic-hex-drivers-3-pack")</f>
        <v>https://edmondsonsupply.com/collections/electricians-tools/products/klein-tools-86600-1-4-inch-magnetic-hex-drivers-3-pack</v>
      </c>
      <c r="B3327" s="3" t="str">
        <f>HYPERLINK("https://edmondsonsupply.com/products/klein-tools-86600-1-4-inch-magnetic-hex-drivers-3-pack", "https://edmondsonsupply.com/products/klein-tools-86600-1-4-inch-magnetic-hex-drivers-3-pack")</f>
        <v>https://edmondsonsupply.com/products/klein-tools-86600-1-4-inch-magnetic-hex-drivers-3-pack</v>
      </c>
      <c r="C3327" t="s">
        <v>5334</v>
      </c>
      <c r="D3327" t="s">
        <v>4002</v>
      </c>
      <c r="E3327" s="3" t="str">
        <f>HYPERLINK("https://www.amazon.com/Klein-Tools-32792-Impact-Driver/dp/B07RGVMK47/ref=sr_1_2?keywords=Klein+Tools+86600+1%2F4-Inch+Magnetic+Hex+Drivers%2C+3-Pack&amp;qid=1695174220&amp;sr=8-2", "https://www.amazon.com/Klein-Tools-32792-Impact-Driver/dp/B07RGVMK47/ref=sr_1_2?keywords=Klein+Tools+86600+1%2F4-Inch+Magnetic+Hex+Drivers%2C+3-Pack&amp;qid=1695174220&amp;sr=8-2")</f>
        <v>https://www.amazon.com/Klein-Tools-32792-Impact-Driver/dp/B07RGVMK47/ref=sr_1_2?keywords=Klein+Tools+86600+1%2F4-Inch+Magnetic+Hex+Drivers%2C+3-Pack&amp;qid=1695174220&amp;sr=8-2</v>
      </c>
      <c r="F3327" t="s">
        <v>4003</v>
      </c>
      <c r="G3327" t="e">
        <f ca="1">_xludf.IMAGE("https://edmondsonsupply.com/cdn/shop/products/86600.png?v=1645569632")</f>
        <v>#NAME?</v>
      </c>
      <c r="H3327" t="e">
        <f ca="1">_xludf.IMAGE("https://m.media-amazon.com/images/I/51JzG4GF5wL._AC_UL320_.jpg")</f>
        <v>#NAME?</v>
      </c>
      <c r="I3327" t="s">
        <v>2347</v>
      </c>
      <c r="J3327">
        <v>7.99</v>
      </c>
      <c r="K3327" s="4">
        <v>0.1431</v>
      </c>
      <c r="L3327">
        <v>4.5</v>
      </c>
      <c r="M3327">
        <v>131</v>
      </c>
      <c r="O3327" t="s">
        <v>25</v>
      </c>
      <c r="P3327" t="s">
        <v>6193</v>
      </c>
      <c r="Q3327" t="s">
        <v>6636</v>
      </c>
    </row>
    <row r="3328" spans="1:17" ht="15.5" x14ac:dyDescent="0.35">
      <c r="A3328" s="3" t="str">
        <f>HYPERLINK("https://edmondsonsupply.com/collections/electricians-tools/products/klein-tools-32791-pro-impact-power-bit-extension-1-4-inch-hex", "https://edmondsonsupply.com/collections/electricians-tools/products/klein-tools-32791-pro-impact-power-bit-extension-1-4-inch-hex")</f>
        <v>https://edmondsonsupply.com/collections/electricians-tools/products/klein-tools-32791-pro-impact-power-bit-extension-1-4-inch-hex</v>
      </c>
      <c r="B3328" s="3" t="str">
        <f>HYPERLINK("https://edmondsonsupply.com/products/klein-tools-32791-pro-impact-power-bit-extension-1-4-inch-hex", "https://edmondsonsupply.com/products/klein-tools-32791-pro-impact-power-bit-extension-1-4-inch-hex")</f>
        <v>https://edmondsonsupply.com/products/klein-tools-32791-pro-impact-power-bit-extension-1-4-inch-hex</v>
      </c>
      <c r="C3328" t="s">
        <v>2944</v>
      </c>
      <c r="D3328" t="s">
        <v>4002</v>
      </c>
      <c r="E3328" s="3" t="str">
        <f>HYPERLINK("https://www.amazon.com/Klein-Tools-32792-Impact-Driver/dp/B07RGVMK47/ref=sr_1_3?keywords=Klein+Tools+32791+Pro+Impact+Power+Bit+Extension+1%2F4-Inch+Hex&amp;qid=1695173960&amp;sr=8-3", "https://www.amazon.com/Klein-Tools-32792-Impact-Driver/dp/B07RGVMK47/ref=sr_1_3?keywords=Klein+Tools+32791+Pro+Impact+Power+Bit+Extension+1%2F4-Inch+Hex&amp;qid=1695173960&amp;sr=8-3")</f>
        <v>https://www.amazon.com/Klein-Tools-32792-Impact-Driver/dp/B07RGVMK47/ref=sr_1_3?keywords=Klein+Tools+32791+Pro+Impact+Power+Bit+Extension+1%2F4-Inch+Hex&amp;qid=1695173960&amp;sr=8-3</v>
      </c>
      <c r="F3328" t="s">
        <v>4003</v>
      </c>
      <c r="G3328" t="e">
        <f ca="1">_xludf.IMAGE("https://edmondsonsupply.com/cdn/shop/products/32791.jpg?v=1587145614")</f>
        <v>#NAME?</v>
      </c>
      <c r="H3328" t="e">
        <f ca="1">_xludf.IMAGE("https://m.media-amazon.com/images/I/51JzG4GF5wL._AC_UL320_.jpg")</f>
        <v>#NAME?</v>
      </c>
      <c r="I3328" t="s">
        <v>2347</v>
      </c>
      <c r="J3328">
        <v>7.99</v>
      </c>
      <c r="K3328" s="4">
        <v>0.1431</v>
      </c>
      <c r="L3328">
        <v>4.5</v>
      </c>
      <c r="M3328">
        <v>131</v>
      </c>
      <c r="O3328" t="s">
        <v>25</v>
      </c>
      <c r="P3328" t="s">
        <v>2826</v>
      </c>
      <c r="Q3328" t="s">
        <v>2947</v>
      </c>
    </row>
    <row r="3329" spans="1:17" ht="15.5" x14ac:dyDescent="0.35">
      <c r="A3329"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3329"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3329" t="s">
        <v>6797</v>
      </c>
      <c r="D3329" t="s">
        <v>4244</v>
      </c>
      <c r="E3329" s="3" t="str">
        <f>HYPERLINK("https://www.amazon.com/Klein-Tools-J248-8-Diagonal-Cutters-Angled/dp/B000CRY52A/ref=sr_1_6?keywords=Klein+Tools+D2000-48+Diagonal+Cutting+Pliers%2C+Angled+Head%2C+8-Inch&amp;qid=1695174171&amp;sr=8-6", "https://www.amazon.com/Klein-Tools-J248-8-Diagonal-Cutters-Angled/dp/B000CRY52A/ref=sr_1_6?keywords=Klein+Tools+D2000-48+Diagonal+Cutting+Pliers%2C+Angled+Head%2C+8-Inch&amp;qid=1695174171&amp;sr=8-6")</f>
        <v>https://www.amazon.com/Klein-Tools-J248-8-Diagonal-Cutters-Angled/dp/B000CRY52A/ref=sr_1_6?keywords=Klein+Tools+D2000-48+Diagonal+Cutting+Pliers%2C+Angled+Head%2C+8-Inch&amp;qid=1695174171&amp;sr=8-6</v>
      </c>
      <c r="F3329" t="s">
        <v>4245</v>
      </c>
      <c r="G3329" t="e">
        <f ca="1">_xludf.IMAGE("https://edmondsonsupply.com/cdn/shop/products/d200048.jpg?v=1660920588")</f>
        <v>#NAME?</v>
      </c>
      <c r="H3329" t="e">
        <f ca="1">_xludf.IMAGE("https://m.media-amazon.com/images/I/51AWyzskD+L._AC_UL320_.jpg")</f>
        <v>#NAME?</v>
      </c>
      <c r="I3329" t="s">
        <v>340</v>
      </c>
      <c r="J3329">
        <v>39.97</v>
      </c>
      <c r="K3329" s="4">
        <v>0.14299999999999999</v>
      </c>
      <c r="L3329">
        <v>4.9000000000000004</v>
      </c>
      <c r="M3329">
        <v>490</v>
      </c>
      <c r="O3329" t="s">
        <v>25</v>
      </c>
      <c r="P3329" t="s">
        <v>6800</v>
      </c>
      <c r="Q3329" t="s">
        <v>6801</v>
      </c>
    </row>
    <row r="3330" spans="1:17" ht="15.5" x14ac:dyDescent="0.35">
      <c r="A3330" s="3" t="str">
        <f>HYPERLINK("https://edmondsonsupply.com/collections/electricians-tools/products/milwaukee-48-25-1372-1-3-8-self-feed-wood-bit", "https://edmondsonsupply.com/collections/electricians-tools/products/milwaukee-48-25-1372-1-3-8-self-feed-wood-bit")</f>
        <v>https://edmondsonsupply.com/collections/electricians-tools/products/milwaukee-48-25-1372-1-3-8-self-feed-wood-bit</v>
      </c>
      <c r="B3330" s="3" t="str">
        <f>HYPERLINK("https://edmondsonsupply.com/products/milwaukee-48-25-1372-1-3-8-self-feed-wood-bit", "https://edmondsonsupply.com/products/milwaukee-48-25-1372-1-3-8-self-feed-wood-bit")</f>
        <v>https://edmondsonsupply.com/products/milwaukee-48-25-1372-1-3-8-self-feed-wood-bit</v>
      </c>
      <c r="C3330" t="s">
        <v>4004</v>
      </c>
      <c r="D3330" t="s">
        <v>4005</v>
      </c>
      <c r="E3330" s="3" t="str">
        <f>HYPERLINK("https://www.amazon.com/Milwaukee-48-25-1371-8-Inch-16-Inch-Selfeed/dp/B00002249T/ref=sr_1_1?keywords=Milwaukee+48-25-1372+1-3%2F8%22+Self+Feed+Wood+Bit&amp;qid=1695173947&amp;sr=8-1", "https://www.amazon.com/Milwaukee-48-25-1371-8-Inch-16-Inch-Selfeed/dp/B00002249T/ref=sr_1_1?keywords=Milwaukee+48-25-1372+1-3%2F8%22+Self+Feed+Wood+Bit&amp;qid=1695173947&amp;sr=8-1")</f>
        <v>https://www.amazon.com/Milwaukee-48-25-1371-8-Inch-16-Inch-Selfeed/dp/B00002249T/ref=sr_1_1?keywords=Milwaukee+48-25-1372+1-3%2F8%22+Self+Feed+Wood+Bit&amp;qid=1695173947&amp;sr=8-1</v>
      </c>
      <c r="F3330" t="s">
        <v>4006</v>
      </c>
      <c r="G3330" t="e">
        <f ca="1">_xludf.IMAGE("https://edmondsonsupply.com/cdn/shop/products/milwaukee-auger-bits-48-25-1372-64_1000.jpg?v=1587150001")</f>
        <v>#NAME?</v>
      </c>
      <c r="H3330" t="e">
        <f ca="1">_xludf.IMAGE("https://m.media-amazon.com/images/I/51xlKJWPzYL._AC_UL320_.jpg")</f>
        <v>#NAME?</v>
      </c>
      <c r="I3330" t="s">
        <v>571</v>
      </c>
      <c r="J3330">
        <v>39.99</v>
      </c>
      <c r="K3330" s="4">
        <v>0.1429</v>
      </c>
      <c r="L3330">
        <v>4.5999999999999996</v>
      </c>
      <c r="M3330">
        <v>106</v>
      </c>
      <c r="O3330" t="s">
        <v>25</v>
      </c>
      <c r="P3330" t="s">
        <v>4007</v>
      </c>
      <c r="Q3330" t="s">
        <v>4008</v>
      </c>
    </row>
    <row r="3331" spans="1:17" ht="15.5" x14ac:dyDescent="0.35">
      <c r="A3331" s="3" t="str">
        <f>HYPERLINK("https://edmondsonsupply.com/collections/electricians-tools/products/diablo-tools-dmapl2500-7-8-in-x-8-in-x-10-in-sds-plus-2-cutter", "https://edmondsonsupply.com/collections/electricians-tools/products/diablo-tools-dmapl2500-7-8-in-x-8-in-x-10-in-sds-plus-2-cutter")</f>
        <v>https://edmondsonsupply.com/collections/electricians-tools/products/diablo-tools-dmapl2500-7-8-in-x-8-in-x-10-in-sds-plus-2-cutter</v>
      </c>
      <c r="B3331" s="3" t="str">
        <f>HYPERLINK("https://edmondsonsupply.com/products/diablo-tools-dmapl2500-7-8-in-x-8-in-x-10-in-sds-plus-2-cutter", "https://edmondsonsupply.com/products/diablo-tools-dmapl2500-7-8-in-x-8-in-x-10-in-sds-plus-2-cutter")</f>
        <v>https://edmondsonsupply.com/products/diablo-tools-dmapl2500-7-8-in-x-8-in-x-10-in-sds-plus-2-cutter</v>
      </c>
      <c r="C3331" t="s">
        <v>7534</v>
      </c>
      <c r="D3331" t="s">
        <v>7556</v>
      </c>
      <c r="E3331" s="3" t="str">
        <f>HYPERLINK("https://www.amazon.com/Diablo-16-18-SDS-Plus-2-Cutter/dp/B089KW5TV6/ref=sr_1_8?keywords=Diablo+Tools+DMAPL2500+7%2F8+in.+x+8+in.+x+10+in.+SDS-Plus+2-Cutter&amp;qid=1695174221&amp;sr=8-8", "https://www.amazon.com/Diablo-16-18-SDS-Plus-2-Cutter/dp/B089KW5TV6/ref=sr_1_8?keywords=Diablo+Tools+DMAPL2500+7%2F8+in.+x+8+in.+x+10+in.+SDS-Plus+2-Cutter&amp;qid=1695174221&amp;sr=8-8")</f>
        <v>https://www.amazon.com/Diablo-16-18-SDS-Plus-2-Cutter/dp/B089KW5TV6/ref=sr_1_8?keywords=Diablo+Tools+DMAPL2500+7%2F8+in.+x+8+in.+x+10+in.+SDS-Plus+2-Cutter&amp;qid=1695174221&amp;sr=8-8</v>
      </c>
      <c r="F3331" t="s">
        <v>7557</v>
      </c>
      <c r="G3331" t="e">
        <f ca="1">_xludf.IMAGE("https://edmondsonsupply.com/cdn/shop/products/2500.webp?v=1647636219")</f>
        <v>#NAME?</v>
      </c>
      <c r="H3331" t="e">
        <f ca="1">_xludf.IMAGE("https://m.media-amazon.com/images/I/61LIeXBPR+L._AC_UL320_.jpg")</f>
        <v>#NAME?</v>
      </c>
      <c r="I3331" t="s">
        <v>7535</v>
      </c>
      <c r="J3331">
        <v>32.99</v>
      </c>
      <c r="K3331" s="4">
        <v>0.13880000000000001</v>
      </c>
      <c r="L3331">
        <v>3.3</v>
      </c>
      <c r="M3331">
        <v>7</v>
      </c>
      <c r="O3331" t="s">
        <v>25</v>
      </c>
      <c r="P3331" t="s">
        <v>6809</v>
      </c>
      <c r="Q3331" t="s">
        <v>7536</v>
      </c>
    </row>
    <row r="3332" spans="1:17" ht="15.5" x14ac:dyDescent="0.35">
      <c r="A3332" s="3" t="str">
        <f>HYPERLINK("https://edmondsonsupply.com/collections/electricians-tools/products/diablo-tools-dmamx1220", "https://edmondsonsupply.com/collections/electricians-tools/products/diablo-tools-dmamx1220")</f>
        <v>https://edmondsonsupply.com/collections/electricians-tools/products/diablo-tools-dmamx1220</v>
      </c>
      <c r="B3332" s="3" t="str">
        <f>HYPERLINK("https://edmondsonsupply.com/products/diablo-tools-dmamx1220", "https://edmondsonsupply.com/products/diablo-tools-dmamx1220")</f>
        <v>https://edmondsonsupply.com/products/diablo-tools-dmamx1220</v>
      </c>
      <c r="C3332" t="s">
        <v>7454</v>
      </c>
      <c r="D3332" t="s">
        <v>5316</v>
      </c>
      <c r="E3332" s="3" t="str">
        <f>HYPERLINK("https://www.amazon.com/Diablo-SDS-Max-4-Cutter-Carbide-Hammer/dp/B089KWP4WK/ref=sr_1_2?keywords=Diablo+Tools+DMAMX1220+1+in.+x+16+in.+x+21+in.+Rebar+Demon%E2%84%A2+SDS-Max+4-Cutter+Full+Carbide+Head+Hammer+Drill+Bit&amp;qid=1695174109&amp;sr=8-2", "https://www.amazon.com/Diablo-SDS-Max-4-Cutter-Carbide-Hammer/dp/B089KWP4WK/ref=sr_1_2?keywords=Diablo+Tools+DMAMX1220+1+in.+x+16+in.+x+21+in.+Rebar+Demon%E2%84%A2+SDS-Max+4-Cutter+Full+Carbide+Head+Hammer+Drill+Bit&amp;qid=1695174109&amp;sr=8-2")</f>
        <v>https://www.amazon.com/Diablo-SDS-Max-4-Cutter-Carbide-Hammer/dp/B089KWP4WK/ref=sr_1_2?keywords=Diablo+Tools+DMAMX1220+1+in.+x+16+in.+x+21+in.+Rebar+Demon%E2%84%A2+SDS-Max+4-Cutter+Full+Carbide+Head+Hammer+Drill+Bit&amp;qid=1695174109&amp;sr=8-2</v>
      </c>
      <c r="F3332" t="s">
        <v>5317</v>
      </c>
      <c r="G3332" t="e">
        <f ca="1">_xludf.IMAGE("https://edmondsonsupply.com/cdn/shop/products/immoyh7jjmbau4fzhuq6.webp?v=1670431066")</f>
        <v>#NAME?</v>
      </c>
      <c r="H3332" t="e">
        <f ca="1">_xludf.IMAGE("https://m.media-amazon.com/images/I/61yWWNP1xrL._AC_UL320_.jpg")</f>
        <v>#NAME?</v>
      </c>
      <c r="I3332" t="s">
        <v>7455</v>
      </c>
      <c r="J3332">
        <v>51.96</v>
      </c>
      <c r="K3332" s="4">
        <v>0.13719999999999999</v>
      </c>
      <c r="L3332">
        <v>5</v>
      </c>
      <c r="M3332">
        <v>9</v>
      </c>
      <c r="O3332" t="s">
        <v>25</v>
      </c>
      <c r="P3332" t="s">
        <v>7456</v>
      </c>
      <c r="Q3332" t="s">
        <v>7457</v>
      </c>
    </row>
    <row r="3333" spans="1:17" ht="15.5" x14ac:dyDescent="0.35">
      <c r="A3333" s="3" t="str">
        <f>HYPERLINK("https://edmondsonsupply.com/collections/electricians-tools/products/testo-0590-7551-755-1-current-voltage-meter-with-200-a-ac-600-v-ac-dc-and-continuity", "https://edmondsonsupply.com/collections/electricians-tools/products/testo-0590-7551-755-1-current-voltage-meter-with-200-a-ac-600-v-ac-dc-and-continuity")</f>
        <v>https://edmondsonsupply.com/collections/electricians-tools/products/testo-0590-7551-755-1-current-voltage-meter-with-200-a-ac-600-v-ac-dc-and-continuity</v>
      </c>
      <c r="B3333" s="3" t="str">
        <f>HYPERLINK("https://edmondsonsupply.com/products/testo-0590-7551-755-1-current-voltage-meter-with-200-a-ac-600-v-ac-dc-and-continuity", "https://edmondsonsupply.com/products/testo-0590-7551-755-1-current-voltage-meter-with-200-a-ac-600-v-ac-dc-and-continuity")</f>
        <v>https://edmondsonsupply.com/products/testo-0590-7551-755-1-current-voltage-meter-with-200-a-ac-600-v-ac-dc-and-continuity</v>
      </c>
      <c r="C3333" t="s">
        <v>3816</v>
      </c>
      <c r="D3333" t="s">
        <v>4023</v>
      </c>
      <c r="E3333" s="3" t="str">
        <f>HYPERLINK("https://www.amazon.com/Testo-755-1-Current-Voltage-Continuity/dp/B01F3MPHMU/ref=sr_1_1?keywords=Testo+0590+7551+755-1+-+Current+%2F+Voltage+Meter+with+200+A+AC%2C+600+V+AC%2FDC%2C+and+Continuity&amp;qid=1695173987&amp;sr=8-1", "https://www.amazon.com/Testo-755-1-Current-Voltage-Continuity/dp/B01F3MPHMU/ref=sr_1_1?keywords=Testo+0590+7551+755-1+-+Current+%2F+Voltage+Meter+with+200+A+AC%2C+600+V+AC%2FDC%2C+and+Continuity&amp;qid=1695173987&amp;sr=8-1")</f>
        <v>https://www.amazon.com/Testo-755-1-Current-Voltage-Continuity/dp/B01F3MPHMU/ref=sr_1_1?keywords=Testo+0590+7551+755-1+-+Current+%2F+Voltage+Meter+with+200+A+AC%2C+600+V+AC%2FDC%2C+and+Continuity&amp;qid=1695173987&amp;sr=8-1</v>
      </c>
      <c r="F3333" t="s">
        <v>4024</v>
      </c>
      <c r="G3333" t="e">
        <f ca="1">_xludf.IMAGE("https://edmondsonsupply.com/cdn/shop/files/testo-755-1_front_prl.jpg?v=1688226764")</f>
        <v>#NAME?</v>
      </c>
      <c r="H3333" t="e">
        <f ca="1">_xludf.IMAGE("https://m.media-amazon.com/images/I/81EGlqWO01L._AC_UY218_.jpg")</f>
        <v>#NAME?</v>
      </c>
      <c r="I3333" t="s">
        <v>1902</v>
      </c>
      <c r="J3333">
        <v>201.68</v>
      </c>
      <c r="K3333" s="4">
        <v>0.1353</v>
      </c>
      <c r="L3333">
        <v>3.2</v>
      </c>
      <c r="M3333">
        <v>5</v>
      </c>
      <c r="O3333" t="s">
        <v>25</v>
      </c>
      <c r="P3333" t="s">
        <v>697</v>
      </c>
      <c r="Q3333" t="s">
        <v>3819</v>
      </c>
    </row>
    <row r="3334" spans="1:17" ht="15.5" x14ac:dyDescent="0.35">
      <c r="A3334"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3334" s="3" t="str">
        <f>HYPERLINK("https://edmondsonsupply.com/products/klein-tools-vaco-s10m-5-16-magnetic-nut-driver-3-hollow-shaft", "https://edmondsonsupply.com/products/klein-tools-vaco-s10m-5-16-magnetic-nut-driver-3-hollow-shaft")</f>
        <v>https://edmondsonsupply.com/products/klein-tools-vaco-s10m-5-16-magnetic-nut-driver-3-hollow-shaft</v>
      </c>
      <c r="C3334" t="s">
        <v>6468</v>
      </c>
      <c r="D3334" t="s">
        <v>3301</v>
      </c>
      <c r="E3334" s="3" t="str">
        <f>HYPERLINK("https://www.amazon.com/Magnetic-Klein-Tools-610-5-16M/dp/B00093DZP0/ref=sr_1_6?keywords=Klein+Tools+S10M+5%2F16-Inch+Magnetic+Nut+Driver+3-Inch+Shaft&amp;qid=1695174019&amp;sr=8-6", "https://www.amazon.com/Magnetic-Klein-Tools-610-5-16M/dp/B00093DZP0/ref=sr_1_6?keywords=Klein+Tools+S10M+5%2F16-Inch+Magnetic+Nut+Driver+3-Inch+Shaft&amp;qid=1695174019&amp;sr=8-6")</f>
        <v>https://www.amazon.com/Magnetic-Klein-Tools-610-5-16M/dp/B00093DZP0/ref=sr_1_6?keywords=Klein+Tools+S10M+5%2F16-Inch+Magnetic+Nut+Driver+3-Inch+Shaft&amp;qid=1695174019&amp;sr=8-6</v>
      </c>
      <c r="F3334" t="s">
        <v>3302</v>
      </c>
      <c r="G3334" t="e">
        <f ca="1">_xludf.IMAGE("https://edmondsonsupply.com/cdn/shop/products/s10m_alt2.jpg?v=1587143022")</f>
        <v>#NAME?</v>
      </c>
      <c r="H3334" t="e">
        <f ca="1">_xludf.IMAGE("https://m.media-amazon.com/images/I/41rQZ0-NNZL._AC_UL320_.jpg")</f>
        <v>#NAME?</v>
      </c>
      <c r="I3334" t="s">
        <v>2577</v>
      </c>
      <c r="J3334">
        <v>11.34</v>
      </c>
      <c r="K3334" s="4">
        <v>0.1351</v>
      </c>
      <c r="L3334">
        <v>4.8</v>
      </c>
      <c r="M3334">
        <v>260</v>
      </c>
      <c r="O3334" t="s">
        <v>25</v>
      </c>
      <c r="P3334" t="s">
        <v>6469</v>
      </c>
      <c r="Q3334" t="s">
        <v>6470</v>
      </c>
    </row>
    <row r="3335" spans="1:17" ht="15.5" x14ac:dyDescent="0.35">
      <c r="A3335"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3335"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3335" t="s">
        <v>7545</v>
      </c>
      <c r="D3335" t="s">
        <v>7558</v>
      </c>
      <c r="E3335" s="3" t="str">
        <f>HYPERLINK("https://www.amazon.com/Klein-Tools-Electrical-Digital-Accessories/dp/B0BNL7KB4S/ref=sr_1_9?keywords=Klein+Tools+CL320KIT+HVAC+Digital+Clamp+Meter+Electrical+Test+Kit&amp;qid=1695174178&amp;sr=8-9", "https://www.amazon.com/Klein-Tools-Electrical-Digital-Accessories/dp/B0BNL7KB4S/ref=sr_1_9?keywords=Klein+Tools+CL320KIT+HVAC+Digital+Clamp+Meter+Electrical+Test+Kit&amp;qid=1695174178&amp;sr=8-9")</f>
        <v>https://www.amazon.com/Klein-Tools-Electrical-Digital-Accessories/dp/B0BNL7KB4S/ref=sr_1_9?keywords=Klein+Tools+CL320KIT+HVAC+Digital+Clamp+Meter+Electrical+Test+Kit&amp;qid=1695174178&amp;sr=8-9</v>
      </c>
      <c r="F3335" t="s">
        <v>7559</v>
      </c>
      <c r="G3335" t="e">
        <f ca="1">_xludf.IMAGE("https://edmondsonsupply.com/cdn/shop/products/cl320kit_photo.jpg?v=1660753251")</f>
        <v>#NAME?</v>
      </c>
      <c r="H3335" t="e">
        <f ca="1">_xludf.IMAGE("https://m.media-amazon.com/images/I/51qczX90GxL._AC_UY218_.jpg")</f>
        <v>#NAME?</v>
      </c>
      <c r="I3335" t="s">
        <v>7548</v>
      </c>
      <c r="J3335">
        <v>134.96</v>
      </c>
      <c r="K3335" s="4">
        <v>0.13420000000000001</v>
      </c>
      <c r="L3335">
        <v>5</v>
      </c>
      <c r="M3335">
        <v>2</v>
      </c>
      <c r="O3335" t="s">
        <v>25</v>
      </c>
      <c r="P3335" t="s">
        <v>7549</v>
      </c>
      <c r="Q3335" t="s">
        <v>7550</v>
      </c>
    </row>
    <row r="3336" spans="1:17" ht="15.5" x14ac:dyDescent="0.35">
      <c r="A3336"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3336"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3336" t="s">
        <v>6512</v>
      </c>
      <c r="D3336" t="s">
        <v>5101</v>
      </c>
      <c r="E3336" s="3" t="str">
        <f>HYPERLINK("https://www.amazon.com/Diagonal-Cutting-Klein-Tools-D248-8-GLW/dp/B00LMM39TY/ref=sr_1_2?keywords=Klein+Tools+D248-8+Diagonal+Cutting+Pliers%2C+Angled+Head%2C+Short+Jaw%2C+8-Inch&amp;qid=1695174274&amp;sr=8-2", "https://www.amazon.com/Diagonal-Cutting-Klein-Tools-D248-8-GLW/dp/B00LMM39TY/ref=sr_1_2?keywords=Klein+Tools+D248-8+Diagonal+Cutting+Pliers%2C+Angled+Head%2C+Short+Jaw%2C+8-Inch&amp;qid=1695174274&amp;sr=8-2")</f>
        <v>https://www.amazon.com/Diagonal-Cutting-Klein-Tools-D248-8-GLW/dp/B00LMM39TY/ref=sr_1_2?keywords=Klein+Tools+D248-8+Diagonal+Cutting+Pliers%2C+Angled+Head%2C+Short+Jaw%2C+8-Inch&amp;qid=1695174274&amp;sr=8-2</v>
      </c>
      <c r="F3336" t="s">
        <v>5102</v>
      </c>
      <c r="G3336" t="e">
        <f ca="1">_xludf.IMAGE("https://edmondsonsupply.com/cdn/shop/products/d2488.jpg?v=1633030997")</f>
        <v>#NAME?</v>
      </c>
      <c r="H3336" t="e">
        <f ca="1">_xludf.IMAGE("https://m.media-amazon.com/images/I/41HSLnsbFiL._AC_UL320_.jpg")</f>
        <v>#NAME?</v>
      </c>
      <c r="I3336" t="s">
        <v>824</v>
      </c>
      <c r="J3336">
        <v>33.99</v>
      </c>
      <c r="K3336" s="4">
        <v>0.1341</v>
      </c>
      <c r="L3336">
        <v>4.9000000000000004</v>
      </c>
      <c r="M3336">
        <v>634</v>
      </c>
      <c r="O3336" t="s">
        <v>25</v>
      </c>
      <c r="P3336" t="s">
        <v>5277</v>
      </c>
      <c r="Q3336" t="s">
        <v>6515</v>
      </c>
    </row>
    <row r="3337" spans="1:17" ht="15.5" x14ac:dyDescent="0.35">
      <c r="A3337" s="3" t="str">
        <f>HYPERLINK("https://edmondsonsupply.com/collections/electricians-tools/products/reed-mfg-rw8-8-heavy-duty-straight-pipe-wrench", "https://edmondsonsupply.com/collections/electricians-tools/products/reed-mfg-rw8-8-heavy-duty-straight-pipe-wrench")</f>
        <v>https://edmondsonsupply.com/collections/electricians-tools/products/reed-mfg-rw8-8-heavy-duty-straight-pipe-wrench</v>
      </c>
      <c r="B3337" s="3" t="str">
        <f>HYPERLINK("https://edmondsonsupply.com/products/reed-mfg-rw8-8-heavy-duty-straight-pipe-wrench", "https://edmondsonsupply.com/products/reed-mfg-rw8-8-heavy-duty-straight-pipe-wrench")</f>
        <v>https://edmondsonsupply.com/products/reed-mfg-rw8-8-heavy-duty-straight-pipe-wrench</v>
      </c>
      <c r="C3337" t="s">
        <v>7560</v>
      </c>
      <c r="D3337" t="s">
        <v>7561</v>
      </c>
      <c r="E3337" s="3" t="str">
        <f>HYPERLINK("https://www.amazon.com/REED-RW8-Heavy-Duty-Pipe-Wrench/dp/B00467NQ3Q/ref=sr_1_1?keywords=Reed+Mfg+RW8+8%22+Heavy-Duty+Straight+Pipe+Wrench&amp;qid=1695174271&amp;sr=8-1", "https://www.amazon.com/REED-RW8-Heavy-Duty-Pipe-Wrench/dp/B00467NQ3Q/ref=sr_1_1?keywords=Reed+Mfg+RW8+8%22+Heavy-Duty+Straight+Pipe+Wrench&amp;qid=1695174271&amp;sr=8-1")</f>
        <v>https://www.amazon.com/REED-RW8-Heavy-Duty-Pipe-Wrench/dp/B00467NQ3Q/ref=sr_1_1?keywords=Reed+Mfg+RW8+8%22+Heavy-Duty+Straight+Pipe+Wrench&amp;qid=1695174271&amp;sr=8-1</v>
      </c>
      <c r="F3337" t="s">
        <v>7562</v>
      </c>
      <c r="G3337" t="e">
        <f ca="1">_xludf.IMAGE("https://edmondsonsupply.com/cdn/shop/products/02120-RW8-RGB.jpg?v=1633031010")</f>
        <v>#NAME?</v>
      </c>
      <c r="H3337" t="e">
        <f ca="1">_xludf.IMAGE("https://m.media-amazon.com/images/I/71kEKSUS3TL._AC_UL320_.jpg")</f>
        <v>#NAME?</v>
      </c>
      <c r="I3337" t="s">
        <v>7563</v>
      </c>
      <c r="J3337">
        <v>25.99</v>
      </c>
      <c r="K3337" s="4">
        <v>0.13389999999999999</v>
      </c>
      <c r="L3337">
        <v>5</v>
      </c>
      <c r="M3337">
        <v>4</v>
      </c>
      <c r="O3337" t="s">
        <v>25</v>
      </c>
      <c r="P3337" t="s">
        <v>362</v>
      </c>
      <c r="Q3337" t="s">
        <v>7564</v>
      </c>
    </row>
    <row r="3338" spans="1:17" ht="15.5" x14ac:dyDescent="0.35">
      <c r="A3338"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3338" s="3" t="str">
        <f>HYPERLINK("https://edmondsonsupply.com/products/milwaukee-2953-22-m18-fuel%e2%84%a2-1-4-hex-impact-driver-kit", "https://edmondsonsupply.com/products/milwaukee-2953-22-m18-fuel%e2%84%a2-1-4-hex-impact-driver-kit")</f>
        <v>https://edmondsonsupply.com/products/milwaukee-2953-22-m18-fuel%e2%84%a2-1-4-hex-impact-driver-kit</v>
      </c>
      <c r="C3338" t="s">
        <v>7565</v>
      </c>
      <c r="D3338" t="s">
        <v>6687</v>
      </c>
      <c r="E3338" s="3" t="str">
        <f>HYPERLINK("https://www.amazon.com/Milwaukee-2853-22-FUEL-Impact-Driver/dp/B07G9H57FM/ref=sr_1_1?keywords=Milwaukee+2953-22+M18+FUEL%E2%84%A2+1%2F4%22+Hex+Impact+Driver+Kit&amp;qid=1695174155&amp;sr=8-1", "https://www.amazon.com/Milwaukee-2853-22-FUEL-Impact-Driver/dp/B07G9H57FM/ref=sr_1_1?keywords=Milwaukee+2953-22+M18+FUEL%E2%84%A2+1%2F4%22+Hex+Impact+Driver+Kit&amp;qid=1695174155&amp;sr=8-1")</f>
        <v>https://www.amazon.com/Milwaukee-2853-22-FUEL-Impact-Driver/dp/B07G9H57FM/ref=sr_1_1?keywords=Milwaukee+2953-22+M18+FUEL%E2%84%A2+1%2F4%22+Hex+Impact+Driver+Kit&amp;qid=1695174155&amp;sr=8-1</v>
      </c>
      <c r="F3338" t="s">
        <v>6688</v>
      </c>
      <c r="G3338" t="e">
        <f ca="1">_xludf.IMAGE("https://edmondsonsupply.com/cdn/shop/products/29532022ImageReel2.webp?v=1663599746")</f>
        <v>#NAME?</v>
      </c>
      <c r="H3338" t="e">
        <f ca="1">_xludf.IMAGE("https://m.media-amazon.com/images/I/61U85JXP9NL._AC_UL320_.jpg")</f>
        <v>#NAME?</v>
      </c>
      <c r="I3338" t="s">
        <v>5012</v>
      </c>
      <c r="J3338">
        <v>339</v>
      </c>
      <c r="K3338" s="4">
        <v>0.1338</v>
      </c>
      <c r="L3338">
        <v>4.8</v>
      </c>
      <c r="M3338">
        <v>528</v>
      </c>
      <c r="O3338" t="s">
        <v>25</v>
      </c>
      <c r="P3338" t="s">
        <v>7566</v>
      </c>
      <c r="Q3338" t="s">
        <v>7567</v>
      </c>
    </row>
    <row r="3339" spans="1:17" ht="15.5" x14ac:dyDescent="0.35">
      <c r="A3339"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3339" s="3" t="str">
        <f>HYPERLINK("https://edmondsonsupply.com/products/klein-tools-s10-5-16-inch-nut-driver-3-inch-hollow-shaft", "https://edmondsonsupply.com/products/klein-tools-s10-5-16-inch-nut-driver-3-inch-hollow-shaft")</f>
        <v>https://edmondsonsupply.com/products/klein-tools-s10-5-16-inch-nut-driver-3-inch-hollow-shaft</v>
      </c>
      <c r="C3339" t="s">
        <v>7432</v>
      </c>
      <c r="D3339" t="s">
        <v>4434</v>
      </c>
      <c r="E3339" s="3" t="str">
        <f>HYPERLINK("https://www.amazon.com/Magnetic-Comfordome-Klein-Tools-S10M/dp/B000936PCU/ref=sr_1_8?keywords=Klein+Tools+S10+5%2F16-Inch+Nut+Driver+3-Inch+Hollow+Shaft&amp;qid=1695174298&amp;sr=8-8", "https://www.amazon.com/Magnetic-Comfordome-Klein-Tools-S10M/dp/B000936PCU/ref=sr_1_8?keywords=Klein+Tools+S10+5%2F16-Inch+Nut+Driver+3-Inch+Hollow+Shaft&amp;qid=1695174298&amp;sr=8-8")</f>
        <v>https://www.amazon.com/Magnetic-Comfordome-Klein-Tools-S10M/dp/B000936PCU/ref=sr_1_8?keywords=Klein+Tools+S10+5%2F16-Inch+Nut+Driver+3-Inch+Hollow+Shaft&amp;qid=1695174298&amp;sr=8-8</v>
      </c>
      <c r="F3339" t="s">
        <v>4435</v>
      </c>
      <c r="G3339" t="e">
        <f ca="1">_xludf.IMAGE("https://edmondsonsupply.com/cdn/shop/products/s10_38acacb8-6c8e-49ef-8ed3-7160ab53875a.jpg?v=1633030893")</f>
        <v>#NAME?</v>
      </c>
      <c r="H3339" t="e">
        <f ca="1">_xludf.IMAGE("https://m.media-amazon.com/images/I/51wT5Rnu5GL._AC_UL320_.jpg")</f>
        <v>#NAME?</v>
      </c>
      <c r="I3339" t="s">
        <v>1003</v>
      </c>
      <c r="J3339">
        <v>9.0500000000000007</v>
      </c>
      <c r="K3339" s="4">
        <v>0.13270000000000001</v>
      </c>
      <c r="L3339">
        <v>4.5999999999999996</v>
      </c>
      <c r="M3339">
        <v>231</v>
      </c>
      <c r="O3339" t="s">
        <v>25</v>
      </c>
      <c r="P3339" t="s">
        <v>7433</v>
      </c>
      <c r="Q3339" t="s">
        <v>7434</v>
      </c>
    </row>
    <row r="3340" spans="1:17" ht="15.5" x14ac:dyDescent="0.35">
      <c r="A3340"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3340"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3340" t="s">
        <v>7150</v>
      </c>
      <c r="D3340" t="s">
        <v>7568</v>
      </c>
      <c r="E3340" s="3" t="str">
        <f>HYPERLINK("https://www.amazon.com/Klein-Tools-Contrast-Microamps-Splitter/dp/B09T6ZV9PK/ref=sr_1_5?keywords=Klein+Tools+CL390+AC%2FDC+Digital+Clamp+Meter%2C+Auto-Ranging+400+Amp&amp;qid=1695174165&amp;sr=8-5", "https://www.amazon.com/Klein-Tools-Contrast-Microamps-Splitter/dp/B09T6ZV9PK/ref=sr_1_5?keywords=Klein+Tools+CL390+AC%2FDC+Digital+Clamp+Meter%2C+Auto-Ranging+400+Amp&amp;qid=1695174165&amp;sr=8-5")</f>
        <v>https://www.amazon.com/Klein-Tools-Contrast-Microamps-Splitter/dp/B09T6ZV9PK/ref=sr_1_5?keywords=Klein+Tools+CL390+AC%2FDC+Digital+Clamp+Meter%2C+Auto-Ranging+400+Amp&amp;qid=1695174165&amp;sr=8-5</v>
      </c>
      <c r="F3340" t="s">
        <v>7569</v>
      </c>
      <c r="G3340" t="e">
        <f ca="1">_xludf.IMAGE("https://edmondsonsupply.com/cdn/shop/products/cl390.jpg?v=1662670722")</f>
        <v>#NAME?</v>
      </c>
      <c r="H3340" t="e">
        <f ca="1">_xludf.IMAGE("https://m.media-amazon.com/images/I/51UrkmUoeML._AC_UY218_.jpg")</f>
        <v>#NAME?</v>
      </c>
      <c r="I3340" t="s">
        <v>545</v>
      </c>
      <c r="J3340">
        <v>113.22</v>
      </c>
      <c r="K3340" s="4">
        <v>0.13250000000000001</v>
      </c>
      <c r="L3340">
        <v>5</v>
      </c>
      <c r="M3340">
        <v>3</v>
      </c>
      <c r="O3340" t="s">
        <v>25</v>
      </c>
      <c r="P3340" t="s">
        <v>7153</v>
      </c>
      <c r="Q3340" t="s">
        <v>7154</v>
      </c>
    </row>
    <row r="3341" spans="1:17" ht="15.5" x14ac:dyDescent="0.35">
      <c r="A3341"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3341" s="3" t="str">
        <f>HYPERLINK("https://edmondsonsupply.com/products/milwaukee-2912-22-m18-fuel%e2%84%a2-1-sds-plus-rotary-hammer-kit", "https://edmondsonsupply.com/products/milwaukee-2912-22-m18-fuel%e2%84%a2-1-sds-plus-rotary-hammer-kit")</f>
        <v>https://edmondsonsupply.com/products/milwaukee-2912-22-m18-fuel%e2%84%a2-1-sds-plus-rotary-hammer-kit</v>
      </c>
      <c r="C3341" t="s">
        <v>3848</v>
      </c>
      <c r="D3341" t="s">
        <v>4043</v>
      </c>
      <c r="E3341" s="3" t="str">
        <f>HYPERLINK("https://www.amazon.com/Milwaukee-2712-22DE-Fuel-Rotary-Hammer/dp/B00PP3CX3O/ref=sr_1_2?keywords=Milwaukee+2912-22+M18+FUEL%E2%84%A2+1%22+SDS+Plus+Rotary+Hammer+Kit&amp;qid=1695174040&amp;sr=8-2", "https://www.amazon.com/Milwaukee-2712-22DE-Fuel-Rotary-Hammer/dp/B00PP3CX3O/ref=sr_1_2?keywords=Milwaukee+2912-22+M18+FUEL%E2%84%A2+1%22+SDS+Plus+Rotary+Hammer+Kit&amp;qid=1695174040&amp;sr=8-2")</f>
        <v>https://www.amazon.com/Milwaukee-2712-22DE-Fuel-Rotary-Hammer/dp/B00PP3CX3O/ref=sr_1_2?keywords=Milwaukee+2912-22+M18+FUEL%E2%84%A2+1%22+SDS+Plus+Rotary+Hammer+Kit&amp;qid=1695174040&amp;sr=8-2</v>
      </c>
      <c r="F3341" t="s">
        <v>4044</v>
      </c>
      <c r="G3341" t="e">
        <f ca="1">_xludf.IMAGE("https://edmondsonsupply.com/cdn/shop/files/2912-20_1.webp?v=1686934956")</f>
        <v>#NAME?</v>
      </c>
      <c r="H3341" t="e">
        <f ca="1">_xludf.IMAGE("https://m.media-amazon.com/images/I/618mxmdIXEL._AC_UL320_.jpg")</f>
        <v>#NAME?</v>
      </c>
      <c r="I3341" t="s">
        <v>3851</v>
      </c>
      <c r="J3341">
        <v>678</v>
      </c>
      <c r="K3341" s="4">
        <v>0.13189999999999999</v>
      </c>
      <c r="L3341">
        <v>3.3</v>
      </c>
      <c r="M3341">
        <v>6</v>
      </c>
      <c r="O3341" t="s">
        <v>25</v>
      </c>
      <c r="P3341" t="s">
        <v>3852</v>
      </c>
      <c r="Q3341" t="s">
        <v>3853</v>
      </c>
    </row>
    <row r="3342" spans="1:17" ht="15.5" x14ac:dyDescent="0.35">
      <c r="A3342"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3342" s="3" t="str">
        <f>HYPERLINK("https://edmondsonsupply.com/products/klein-tools-ir07-dual-ir-probe-thermometer", "https://edmondsonsupply.com/products/klein-tools-ir07-dual-ir-probe-thermometer")</f>
        <v>https://edmondsonsupply.com/products/klein-tools-ir07-dual-ir-probe-thermometer</v>
      </c>
      <c r="C3342" t="s">
        <v>2948</v>
      </c>
      <c r="D3342" t="s">
        <v>7570</v>
      </c>
      <c r="E3342" s="3" t="str">
        <f>HYPERLINK("https://www.amazon.com/Klein-Tools-IR5-Dual-Laser/dp/B01DR066WU/ref=sr_1_8?keywords=Klein+Tools+IR07+Dual+IR%2FProbe+Thermometer&amp;qid=1695173956&amp;sr=8-8", "https://www.amazon.com/Klein-Tools-IR5-Dual-Laser/dp/B01DR066WU/ref=sr_1_8?keywords=Klein+Tools+IR07+Dual+IR%2FProbe+Thermometer&amp;qid=1695173956&amp;sr=8-8")</f>
        <v>https://www.amazon.com/Klein-Tools-IR5-Dual-Laser/dp/B01DR066WU/ref=sr_1_8?keywords=Klein+Tools+IR07+Dual+IR%2FProbe+Thermometer&amp;qid=1695173956&amp;sr=8-8</v>
      </c>
      <c r="F3342" t="s">
        <v>7571</v>
      </c>
      <c r="G3342" t="e">
        <f ca="1">_xludf.IMAGE("https://edmondsonsupply.com/cdn/shop/products/ir07.jpg?v=1599003623")</f>
        <v>#NAME?</v>
      </c>
      <c r="H3342" t="e">
        <f ca="1">_xludf.IMAGE("https://m.media-amazon.com/images/I/51XCexih1QL._AC_UY218_.jpg")</f>
        <v>#NAME?</v>
      </c>
      <c r="I3342" t="s">
        <v>2951</v>
      </c>
      <c r="J3342">
        <v>64.97</v>
      </c>
      <c r="K3342" s="4">
        <v>0.13009999999999999</v>
      </c>
      <c r="L3342">
        <v>4.5999999999999996</v>
      </c>
      <c r="M3342">
        <v>1024</v>
      </c>
      <c r="O3342" t="s">
        <v>25</v>
      </c>
      <c r="P3342" t="s">
        <v>2952</v>
      </c>
      <c r="Q3342" t="s">
        <v>2953</v>
      </c>
    </row>
    <row r="3343" spans="1:17" ht="15.5" x14ac:dyDescent="0.35">
      <c r="A3343" s="3" t="str">
        <f>HYPERLINK("https://edmondsonsupply.com/collections/electricians-tools/products/sensible-products-hrf-2-high-beam-rechargeable-flashlight-2-black", "https://edmondsonsupply.com/collections/electricians-tools/products/sensible-products-hrf-2-high-beam-rechargeable-flashlight-2-black")</f>
        <v>https://edmondsonsupply.com/collections/electricians-tools/products/sensible-products-hrf-2-high-beam-rechargeable-flashlight-2-black</v>
      </c>
      <c r="B3343" s="3" t="str">
        <f>HYPERLINK("https://edmondsonsupply.com/products/sensible-products-hrf-2-high-beam-rechargeable-flashlight-2-black", "https://edmondsonsupply.com/products/sensible-products-hrf-2-high-beam-rechargeable-flashlight-2-black")</f>
        <v>https://edmondsonsupply.com/products/sensible-products-hrf-2-high-beam-rechargeable-flashlight-2-black</v>
      </c>
      <c r="C3343" t="s">
        <v>4050</v>
      </c>
      <c r="D3343" t="s">
        <v>3286</v>
      </c>
      <c r="E3343" s="3" t="str">
        <f>HYPERLINK("https://www.amazon.com/Sensible-Products-High-Beam-Rechargeable-Flashlight/dp/B0BVGLNYDK/ref=sr_1_1?keywords=Sensible+Products+HRF-2+High-Beam+Rechargeable+Flashlight-2%2C+Black&amp;qid=1695173897&amp;sr=8-1", "https://www.amazon.com/Sensible-Products-High-Beam-Rechargeable-Flashlight/dp/B0BVGLNYDK/ref=sr_1_1?keywords=Sensible+Products+HRF-2+High-Beam+Rechargeable+Flashlight-2%2C+Black&amp;qid=1695173897&amp;sr=8-1")</f>
        <v>https://www.amazon.com/Sensible-Products-High-Beam-Rechargeable-Flashlight/dp/B0BVGLNYDK/ref=sr_1_1?keywords=Sensible+Products+HRF-2+High-Beam+Rechargeable+Flashlight-2%2C+Black&amp;qid=1695173897&amp;sr=8-1</v>
      </c>
      <c r="F3343" t="s">
        <v>3287</v>
      </c>
      <c r="G3343" t="e">
        <f ca="1">_xludf.IMAGE("https://edmondsonsupply.com/cdn/shop/files/hrf2.jpg?v=1693231375")</f>
        <v>#NAME?</v>
      </c>
      <c r="H3343" t="e">
        <f ca="1">_xludf.IMAGE("https://m.media-amazon.com/images/I/31tIPF-TUsL._AC_UL320_.jpg")</f>
        <v>#NAME?</v>
      </c>
      <c r="I3343" t="s">
        <v>1297</v>
      </c>
      <c r="J3343">
        <v>38.950000000000003</v>
      </c>
      <c r="K3343" s="4">
        <v>0.1293</v>
      </c>
      <c r="L3343">
        <v>5</v>
      </c>
      <c r="M3343">
        <v>1</v>
      </c>
      <c r="O3343" t="s">
        <v>25</v>
      </c>
      <c r="P3343" t="s">
        <v>138</v>
      </c>
      <c r="Q3343" t="s">
        <v>4051</v>
      </c>
    </row>
    <row r="3344" spans="1:17" ht="15.5" x14ac:dyDescent="0.35">
      <c r="A3344" s="3" t="str">
        <f>HYPERLINK("https://edmondsonsupply.com/collections/electricians-tools/products/fluke-t5-600", "https://edmondsonsupply.com/collections/electricians-tools/products/fluke-t5-600")</f>
        <v>https://edmondsonsupply.com/collections/electricians-tools/products/fluke-t5-600</v>
      </c>
      <c r="B3344" s="3" t="str">
        <f>HYPERLINK("https://edmondsonsupply.com/products/fluke-t5-600", "https://edmondsonsupply.com/products/fluke-t5-600")</f>
        <v>https://edmondsonsupply.com/products/fluke-t5-600</v>
      </c>
      <c r="C3344" t="s">
        <v>3397</v>
      </c>
      <c r="D3344" t="s">
        <v>4052</v>
      </c>
      <c r="E3344" s="3" t="str">
        <f>HYPERLINK("https://www.amazon.com/Fluke-Electrical-Voltage-Continuity-Current/dp/B0006Z3GZU/ref=sr_1_1?keywords=Fluke+T5-600+Voltage%2C+Continuity+and+Current+Tester%2C+600V+AC%2FDC&amp;qid=1695173856&amp;sr=8-1", "https://www.amazon.com/Fluke-Electrical-Voltage-Continuity-Current/dp/B0006Z3GZU/ref=sr_1_1?keywords=Fluke+T5-600+Voltage%2C+Continuity+and+Current+Tester%2C+600V+AC%2FDC&amp;qid=1695173856&amp;sr=8-1")</f>
        <v>https://www.amazon.com/Fluke-Electrical-Voltage-Continuity-Current/dp/B0006Z3GZU/ref=sr_1_1?keywords=Fluke+T5-600+Voltage%2C+Continuity+and+Current+Tester%2C+600V+AC%2FDC&amp;qid=1695173856&amp;sr=8-1</v>
      </c>
      <c r="F3344" t="s">
        <v>4053</v>
      </c>
      <c r="G3344" t="e">
        <f ca="1">_xludf.IMAGE("https://edmondsonsupply.com/cdn/shop/products/F-t5-600-euro_03a_c.jpg?v=1633030279")</f>
        <v>#NAME?</v>
      </c>
      <c r="H3344" t="e">
        <f ca="1">_xludf.IMAGE("https://m.media-amazon.com/images/I/51Ymlw0UFUL._AC_UL320_.jpg")</f>
        <v>#NAME?</v>
      </c>
      <c r="I3344" t="s">
        <v>3400</v>
      </c>
      <c r="J3344">
        <v>155.58000000000001</v>
      </c>
      <c r="K3344" s="4">
        <v>0.1275</v>
      </c>
      <c r="L3344">
        <v>4.8</v>
      </c>
      <c r="M3344">
        <v>4638</v>
      </c>
      <c r="O3344" t="s">
        <v>25</v>
      </c>
      <c r="P3344" t="s">
        <v>3401</v>
      </c>
      <c r="Q3344" t="s">
        <v>3402</v>
      </c>
    </row>
    <row r="3345" spans="1:17" ht="15.5" x14ac:dyDescent="0.35">
      <c r="A3345"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3345" s="3" t="str">
        <f>HYPERLINK("https://edmondsonsupply.com/products/klein-tools-jth4e08-1-8-inch-hex-key-journeyman-t-handle-4-inch", "https://edmondsonsupply.com/products/klein-tools-jth4e08-1-8-inch-hex-key-journeyman-t-handle-4-inch")</f>
        <v>https://edmondsonsupply.com/products/klein-tools-jth4e08-1-8-inch-hex-key-journeyman-t-handle-4-inch</v>
      </c>
      <c r="C3345" t="s">
        <v>6406</v>
      </c>
      <c r="D3345" t="s">
        <v>7572</v>
      </c>
      <c r="E3345" s="3" t="str">
        <f>HYPERLINK("https://www.amazon.com/Journeyman-T-Handle-Klein-Tools-JTH9E08/dp/B004QV8DGW/ref=sr_1_2?keywords=Klein+Tools+JTH4E08+1%2F8-Inch+Hex+Key%2C+Journeyman+T-Handle%2C+4-Inch&amp;qid=1695174216&amp;sr=8-2", "https://www.amazon.com/Journeyman-T-Handle-Klein-Tools-JTH9E08/dp/B004QV8DGW/ref=sr_1_2?keywords=Klein+Tools+JTH4E08+1%2F8-Inch+Hex+Key%2C+Journeyman+T-Handle%2C+4-Inch&amp;qid=1695174216&amp;sr=8-2")</f>
        <v>https://www.amazon.com/Journeyman-T-Handle-Klein-Tools-JTH9E08/dp/B004QV8DGW/ref=sr_1_2?keywords=Klein+Tools+JTH4E08+1%2F8-Inch+Hex+Key%2C+Journeyman+T-Handle%2C+4-Inch&amp;qid=1695174216&amp;sr=8-2</v>
      </c>
      <c r="F3345" t="s">
        <v>7573</v>
      </c>
      <c r="G3345" t="e">
        <f ca="1">_xludf.IMAGE("https://edmondsonsupply.com/cdn/shop/products/jth4e06_0950e3ec-22b0-4cdd-acd1-822980009e67.jpg?v=1645564818")</f>
        <v>#NAME?</v>
      </c>
      <c r="H3345" t="e">
        <f ca="1">_xludf.IMAGE("https://m.media-amazon.com/images/I/51Yb8h41vLL._AC_UL320_.jpg")</f>
        <v>#NAME?</v>
      </c>
      <c r="I3345" t="s">
        <v>6228</v>
      </c>
      <c r="J3345">
        <v>4.2699999999999996</v>
      </c>
      <c r="K3345" s="4">
        <v>0.12659999999999999</v>
      </c>
      <c r="L3345">
        <v>4.5999999999999996</v>
      </c>
      <c r="M3345">
        <v>393</v>
      </c>
      <c r="O3345" t="s">
        <v>25</v>
      </c>
      <c r="P3345" t="s">
        <v>6407</v>
      </c>
      <c r="Q3345" t="s">
        <v>6408</v>
      </c>
    </row>
    <row r="3346" spans="1:17" ht="15.5" x14ac:dyDescent="0.35">
      <c r="A3346"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3346"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3346" t="s">
        <v>6225</v>
      </c>
      <c r="D3346" t="s">
        <v>7574</v>
      </c>
      <c r="E3346" s="3" t="str">
        <f>HYPERLINK("https://www.amazon.com/Journeyman-T-Handle-Klein-Tools-JTH9E09/dp/B004QV4ORY/ref=sr_1_2?keywords=Klein+Tools+JTH4E09+9%2F64-Inch+Hex+Key+Journeyman+T-Handle+4-Inch&amp;qid=1695174238&amp;sr=8-2", "https://www.amazon.com/Journeyman-T-Handle-Klein-Tools-JTH9E09/dp/B004QV4ORY/ref=sr_1_2?keywords=Klein+Tools+JTH4E09+9%2F64-Inch+Hex+Key+Journeyman+T-Handle+4-Inch&amp;qid=1695174238&amp;sr=8-2")</f>
        <v>https://www.amazon.com/Journeyman-T-Handle-Klein-Tools-JTH9E09/dp/B004QV4ORY/ref=sr_1_2?keywords=Klein+Tools+JTH4E09+9%2F64-Inch+Hex+Key+Journeyman+T-Handle+4-Inch&amp;qid=1695174238&amp;sr=8-2</v>
      </c>
      <c r="F3346" t="s">
        <v>7575</v>
      </c>
      <c r="G3346" t="e">
        <f ca="1">_xludf.IMAGE("https://edmondsonsupply.com/cdn/shop/products/jth4e06_be5118a6-2e9d-44f5-81ad-c027572dd2d3.jpg?v=1635981570")</f>
        <v>#NAME?</v>
      </c>
      <c r="H3346" t="e">
        <f ca="1">_xludf.IMAGE("https://m.media-amazon.com/images/I/51Yb8h41vLL._AC_UL320_.jpg")</f>
        <v>#NAME?</v>
      </c>
      <c r="I3346" t="s">
        <v>6228</v>
      </c>
      <c r="J3346">
        <v>4.2699999999999996</v>
      </c>
      <c r="K3346" s="4">
        <v>0.12659999999999999</v>
      </c>
      <c r="L3346">
        <v>4.5999999999999996</v>
      </c>
      <c r="M3346">
        <v>393</v>
      </c>
      <c r="O3346" t="s">
        <v>25</v>
      </c>
      <c r="P3346" t="s">
        <v>6229</v>
      </c>
      <c r="Q3346" t="s">
        <v>6230</v>
      </c>
    </row>
    <row r="3347" spans="1:17" ht="15.5" x14ac:dyDescent="0.35">
      <c r="A3347"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3347" s="3" t="str">
        <f>HYPERLINK("https://edmondsonsupply.com/products/klein-tools-65064-2-in-1-hex-head-screwdriver-1-4-5-16", "https://edmondsonsupply.com/products/klein-tools-65064-2-in-1-hex-head-screwdriver-1-4-5-16")</f>
        <v>https://edmondsonsupply.com/products/klein-tools-65064-2-in-1-hex-head-screwdriver-1-4-5-16</v>
      </c>
      <c r="C3347" t="s">
        <v>2093</v>
      </c>
      <c r="D3347" t="s">
        <v>4054</v>
      </c>
      <c r="E3347" s="3" t="str">
        <f>HYPERLINK("https://www.amazon.com/Driver-2-Inch-Klein-Tools-65131/dp/B071LCCGT1/ref=sr_1_6?keywords=Klein+Tools+65064+2-in-1+Nut+Driver%2C+Hex+Head%2C+1%2F4-Inch+and+5%2F16-Inch&amp;qid=1695173915&amp;sr=8-6", "https://www.amazon.com/Driver-2-Inch-Klein-Tools-65131/dp/B071LCCGT1/ref=sr_1_6?keywords=Klein+Tools+65064+2-in-1+Nut+Driver%2C+Hex+Head%2C+1%2F4-Inch+and+5%2F16-Inch&amp;qid=1695173915&amp;sr=8-6")</f>
        <v>https://www.amazon.com/Driver-2-Inch-Klein-Tools-65131/dp/B071LCCGT1/ref=sr_1_6?keywords=Klein+Tools+65064+2-in-1+Nut+Driver%2C+Hex+Head%2C+1%2F4-Inch+and+5%2F16-Inch&amp;qid=1695173915&amp;sr=8-6</v>
      </c>
      <c r="F3347" t="s">
        <v>4055</v>
      </c>
      <c r="G3347" t="e">
        <f ca="1">_xludf.IMAGE("https://edmondsonsupply.com/cdn/shop/products/65064.jpg?v=1587147719")</f>
        <v>#NAME?</v>
      </c>
      <c r="H3347" t="e">
        <f ca="1">_xludf.IMAGE("https://m.media-amazon.com/images/I/51SI9ktOe4L._AC_UL320_.jpg")</f>
        <v>#NAME?</v>
      </c>
      <c r="I3347" t="s">
        <v>143</v>
      </c>
      <c r="J3347">
        <v>17.989999999999998</v>
      </c>
      <c r="K3347" s="4">
        <v>0.1265</v>
      </c>
      <c r="L3347">
        <v>4.8</v>
      </c>
      <c r="M3347">
        <v>909</v>
      </c>
      <c r="O3347" t="s">
        <v>25</v>
      </c>
      <c r="P3347" t="s">
        <v>2096</v>
      </c>
      <c r="Q3347" t="s">
        <v>2097</v>
      </c>
    </row>
    <row r="3348" spans="1:17" ht="15.5" x14ac:dyDescent="0.35">
      <c r="A3348" s="3" t="str">
        <f>HYPERLINK("https://edmondsonsupply.com/collections/electricians-tools/products/klein-tools-51606", "https://edmondsonsupply.com/collections/electricians-tools/products/klein-tools-51606")</f>
        <v>https://edmondsonsupply.com/collections/electricians-tools/products/klein-tools-51606</v>
      </c>
      <c r="B3348" s="3" t="str">
        <f>HYPERLINK("https://edmondsonsupply.com/products/klein-tools-51606", "https://edmondsonsupply.com/products/klein-tools-51606")</f>
        <v>https://edmondsonsupply.com/products/klein-tools-51606</v>
      </c>
      <c r="C3348" t="s">
        <v>6785</v>
      </c>
      <c r="D3348" t="s">
        <v>6176</v>
      </c>
      <c r="E3348" s="3" t="str">
        <f>HYPERLINK("https://www.amazon.com/Aluminum-Benchmark-Technology-Klein-Tools/dp/B08L41G5G5/ref=sr_1_2?keywords=Klein+Tools+51606+Aluminum+Conduit+Bender+Full+Assembly%2C+1%2F2-Inch+EMT+with+Angle+Setter%E2%84%A2&amp;qid=1695174158&amp;sr=8-2", "https://www.amazon.com/Aluminum-Benchmark-Technology-Klein-Tools/dp/B08L41G5G5/ref=sr_1_2?keywords=Klein+Tools+51606+Aluminum+Conduit+Bender+Full+Assembly%2C+1%2F2-Inch+EMT+with+Angle+Setter%E2%84%A2&amp;qid=1695174158&amp;sr=8-2")</f>
        <v>https://www.amazon.com/Aluminum-Benchmark-Technology-Klein-Tools/dp/B08L41G5G5/ref=sr_1_2?keywords=Klein+Tools+51606+Aluminum+Conduit+Bender+Full+Assembly%2C+1%2F2-Inch+EMT+with+Angle+Setter%E2%84%A2&amp;qid=1695174158&amp;sr=8-2</v>
      </c>
      <c r="F3348" t="s">
        <v>6177</v>
      </c>
      <c r="G3348" t="e">
        <f ca="1">_xludf.IMAGE("https://edmondsonsupply.com/cdn/shop/products/51606.jpg?v=1663942126")</f>
        <v>#NAME?</v>
      </c>
      <c r="H3348" t="e">
        <f ca="1">_xludf.IMAGE("https://m.media-amazon.com/images/I/419ZjlOD69L._AC_UL320_.jpg")</f>
        <v>#NAME?</v>
      </c>
      <c r="I3348" t="s">
        <v>246</v>
      </c>
      <c r="J3348">
        <v>44.99</v>
      </c>
      <c r="K3348" s="4">
        <v>0.12559999999999999</v>
      </c>
      <c r="L3348">
        <v>4.7</v>
      </c>
      <c r="M3348">
        <v>343</v>
      </c>
      <c r="O3348" t="s">
        <v>25</v>
      </c>
      <c r="P3348" t="s">
        <v>1027</v>
      </c>
      <c r="Q3348" t="s">
        <v>6786</v>
      </c>
    </row>
    <row r="3349" spans="1:17" ht="15.5" x14ac:dyDescent="0.35">
      <c r="A3349"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3349"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3349" t="s">
        <v>6443</v>
      </c>
      <c r="D3349" t="s">
        <v>5118</v>
      </c>
      <c r="E3349" s="3" t="str">
        <f>HYPERLINK("https://www.amazon.com/Journeyman-T-Handle-Klein-Tools-JTH9E10/dp/B004QV8H90/ref=sr_1_5?keywords=Klein+Tools+JTH4E06+3%2F32-Inch+Hex+Key%2C+Journeyman+T-Handle%2C+4-Inch&amp;qid=1695174228&amp;sr=8-5", "https://www.amazon.com/Journeyman-T-Handle-Klein-Tools-JTH9E10/dp/B004QV8H90/ref=sr_1_5?keywords=Klein+Tools+JTH4E06+3%2F32-Inch+Hex+Key%2C+Journeyman+T-Handle%2C+4-Inch&amp;qid=1695174228&amp;sr=8-5")</f>
        <v>https://www.amazon.com/Journeyman-T-Handle-Klein-Tools-JTH9E10/dp/B004QV8H90/ref=sr_1_5?keywords=Klein+Tools+JTH4E06+3%2F32-Inch+Hex+Key%2C+Journeyman+T-Handle%2C+4-Inch&amp;qid=1695174228&amp;sr=8-5</v>
      </c>
      <c r="F3349" t="s">
        <v>5119</v>
      </c>
      <c r="G3349" t="e">
        <f ca="1">_xludf.IMAGE("https://edmondsonsupply.com/cdn/shop/products/jth4e06.jpg?v=1635112029")</f>
        <v>#NAME?</v>
      </c>
      <c r="H3349" t="e">
        <f ca="1">_xludf.IMAGE("https://m.media-amazon.com/images/I/51Yb8h41vLL._AC_UL320_.jpg")</f>
        <v>#NAME?</v>
      </c>
      <c r="I3349" t="s">
        <v>6444</v>
      </c>
      <c r="J3349">
        <v>4.49</v>
      </c>
      <c r="K3349" s="4">
        <v>0.12529999999999999</v>
      </c>
      <c r="L3349">
        <v>4.8</v>
      </c>
      <c r="M3349">
        <v>294</v>
      </c>
      <c r="O3349" t="s">
        <v>25</v>
      </c>
      <c r="P3349" t="s">
        <v>2044</v>
      </c>
      <c r="Q3349" t="s">
        <v>6445</v>
      </c>
    </row>
    <row r="3350" spans="1:17" ht="15.5" x14ac:dyDescent="0.35">
      <c r="A3350"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3350"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3350" t="s">
        <v>6802</v>
      </c>
      <c r="D3350" t="s">
        <v>5118</v>
      </c>
      <c r="E3350" s="3" t="str">
        <f>HYPERLINK("https://www.amazon.com/Journeyman-T-Handle-Klein-Tools-JTH9E10/dp/B004QV8H90/ref=sr_1_3?keywords=Klein+Tools+JTH4E10+5%2F32-Inch+Hex+Key%2C+Journeyman+T-Handle%2C+4-Inch&amp;qid=1695174219&amp;sr=8-3", "https://www.amazon.com/Journeyman-T-Handle-Klein-Tools-JTH9E10/dp/B004QV8H90/ref=sr_1_3?keywords=Klein+Tools+JTH4E10+5%2F32-Inch+Hex+Key%2C+Journeyman+T-Handle%2C+4-Inch&amp;qid=1695174219&amp;sr=8-3")</f>
        <v>https://www.amazon.com/Journeyman-T-Handle-Klein-Tools-JTH9E10/dp/B004QV8H90/ref=sr_1_3?keywords=Klein+Tools+JTH4E10+5%2F32-Inch+Hex+Key%2C+Journeyman+T-Handle%2C+4-Inch&amp;qid=1695174219&amp;sr=8-3</v>
      </c>
      <c r="F3350" t="s">
        <v>5119</v>
      </c>
      <c r="G3350" t="e">
        <f ca="1">_xludf.IMAGE("https://edmondsonsupply.com/cdn/shop/products/jth4e17_ce261606-f524-49c5-9cd5-8c9f52dd1e03.jpg?v=1645565342")</f>
        <v>#NAME?</v>
      </c>
      <c r="H3350" t="e">
        <f ca="1">_xludf.IMAGE("https://m.media-amazon.com/images/I/51Yb8h41vLL._AC_UL320_.jpg")</f>
        <v>#NAME?</v>
      </c>
      <c r="I3350" t="s">
        <v>6444</v>
      </c>
      <c r="J3350">
        <v>4.49</v>
      </c>
      <c r="K3350" s="4">
        <v>0.12529999999999999</v>
      </c>
      <c r="L3350">
        <v>4.8</v>
      </c>
      <c r="M3350">
        <v>294</v>
      </c>
      <c r="O3350" t="s">
        <v>25</v>
      </c>
      <c r="P3350" t="s">
        <v>2044</v>
      </c>
      <c r="Q3350" t="s">
        <v>6803</v>
      </c>
    </row>
    <row r="3351" spans="1:17" ht="15.5" x14ac:dyDescent="0.35">
      <c r="A3351"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3351" s="3" t="str">
        <f>HYPERLINK("https://edmondsonsupply.com/products/klein-tools-s10-5-16-inch-nut-driver-3-inch-hollow-shaft", "https://edmondsonsupply.com/products/klein-tools-s10-5-16-inch-nut-driver-3-inch-hollow-shaft")</f>
        <v>https://edmondsonsupply.com/products/klein-tools-s10-5-16-inch-nut-driver-3-inch-hollow-shaft</v>
      </c>
      <c r="C3351" t="s">
        <v>7432</v>
      </c>
      <c r="D3351" t="s">
        <v>4056</v>
      </c>
      <c r="E3351" s="3" t="str">
        <f>HYPERLINK("https://www.amazon.com/16-Inch-Klein-Tools-630-5-16/dp/B001BY0ESW/ref=sr_1_3?keywords=Klein+Tools+S10+5%2F16-Inch+Nut+Driver+3-Inch+Hollow+Shaft&amp;qid=1695174298&amp;sr=8-3", "https://www.amazon.com/16-Inch-Klein-Tools-630-5-16/dp/B001BY0ESW/ref=sr_1_3?keywords=Klein+Tools+S10+5%2F16-Inch+Nut+Driver+3-Inch+Hollow+Shaft&amp;qid=1695174298&amp;sr=8-3")</f>
        <v>https://www.amazon.com/16-Inch-Klein-Tools-630-5-16/dp/B001BY0ESW/ref=sr_1_3?keywords=Klein+Tools+S10+5%2F16-Inch+Nut+Driver+3-Inch+Hollow+Shaft&amp;qid=1695174298&amp;sr=8-3</v>
      </c>
      <c r="F3351" t="s">
        <v>4057</v>
      </c>
      <c r="G3351" t="e">
        <f ca="1">_xludf.IMAGE("https://edmondsonsupply.com/cdn/shop/products/s10_38acacb8-6c8e-49ef-8ed3-7160ab53875a.jpg?v=1633030893")</f>
        <v>#NAME?</v>
      </c>
      <c r="H3351" t="e">
        <f ca="1">_xludf.IMAGE("https://m.media-amazon.com/images/I/41Cj8-Y8KnL._AC_UL320_.jpg")</f>
        <v>#NAME?</v>
      </c>
      <c r="I3351" t="s">
        <v>1003</v>
      </c>
      <c r="J3351">
        <v>8.99</v>
      </c>
      <c r="K3351" s="4">
        <v>0.12520000000000001</v>
      </c>
      <c r="L3351">
        <v>4.8</v>
      </c>
      <c r="M3351">
        <v>2075</v>
      </c>
      <c r="O3351" t="s">
        <v>25</v>
      </c>
      <c r="P3351" t="s">
        <v>7433</v>
      </c>
      <c r="Q3351" t="s">
        <v>7434</v>
      </c>
    </row>
    <row r="3352" spans="1:17" ht="15.5" x14ac:dyDescent="0.35">
      <c r="A3352"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3352" s="3" t="str">
        <f>HYPERLINK("https://edmondsonsupply.com/products/klein-tools-646-5-16-5-16-inch-nut-driver-6-inch-hollow-shaft", "https://edmondsonsupply.com/products/klein-tools-646-5-16-5-16-inch-nut-driver-6-inch-hollow-shaft")</f>
        <v>https://edmondsonsupply.com/products/klein-tools-646-5-16-5-16-inch-nut-driver-6-inch-hollow-shaft</v>
      </c>
      <c r="C3352" t="s">
        <v>1893</v>
      </c>
      <c r="D3352" t="s">
        <v>4056</v>
      </c>
      <c r="E3352" s="3" t="str">
        <f>HYPERLINK("https://www.amazon.com/16-Inch-Klein-Tools-630-5-16/dp/B001BY0ESW/ref=sr_1_4?keywords=Klein+Tools+646-5%2F16+5%2F16-Inch+Nut+Driver%2C+6-Inch+Hollow+Shaft&amp;qid=1695173904&amp;sr=8-4", "https://www.amazon.com/16-Inch-Klein-Tools-630-5-16/dp/B001BY0ESW/ref=sr_1_4?keywords=Klein+Tools+646-5%2F16+5%2F16-Inch+Nut+Driver%2C+6-Inch+Hollow+Shaft&amp;qid=1695173904&amp;sr=8-4")</f>
        <v>https://www.amazon.com/16-Inch-Klein-Tools-630-5-16/dp/B001BY0ESW/ref=sr_1_4?keywords=Klein+Tools+646-5%2F16+5%2F16-Inch+Nut+Driver%2C+6-Inch+Hollow+Shaft&amp;qid=1695173904&amp;sr=8-4</v>
      </c>
      <c r="F3352" t="s">
        <v>4057</v>
      </c>
      <c r="G3352" t="e">
        <f ca="1">_xludf.IMAGE("https://edmondsonsupply.com/cdn/shop/products/646-1-2_e1540905-f750-4509-90c5-74ff653e4d83.jpg?v=1587145119")</f>
        <v>#NAME?</v>
      </c>
      <c r="H3352" t="e">
        <f ca="1">_xludf.IMAGE("https://m.media-amazon.com/images/I/41Cj8-Y8KnL._AC_UL320_.jpg")</f>
        <v>#NAME?</v>
      </c>
      <c r="I3352" t="s">
        <v>1003</v>
      </c>
      <c r="J3352">
        <v>8.99</v>
      </c>
      <c r="K3352" s="4">
        <v>0.12520000000000001</v>
      </c>
      <c r="L3352">
        <v>4.8</v>
      </c>
      <c r="M3352">
        <v>2075</v>
      </c>
      <c r="O3352" t="s">
        <v>25</v>
      </c>
      <c r="P3352" t="s">
        <v>1481</v>
      </c>
      <c r="Q3352" t="s">
        <v>1896</v>
      </c>
    </row>
    <row r="3353" spans="1:17" ht="15.5" x14ac:dyDescent="0.35">
      <c r="A3353"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3353" s="3" t="str">
        <f>HYPERLINK("https://edmondsonsupply.com/products/klein-tools-31918-bi-metal-hole-saw-1-1-8-inch", "https://edmondsonsupply.com/products/klein-tools-31918-bi-metal-hole-saw-1-1-8-inch")</f>
        <v>https://edmondsonsupply.com/products/klein-tools-31918-bi-metal-hole-saw-1-1-8-inch</v>
      </c>
      <c r="C3353" t="s">
        <v>6001</v>
      </c>
      <c r="D3353" t="s">
        <v>6049</v>
      </c>
      <c r="E3353" s="3" t="str">
        <f>HYPERLINK("https://www.amazon.com/Bi-Metal-8-Inch-Klein-Tools-31922/dp/B019874Q0K/ref=sr_1_8?keywords=Klein+Tools+31918+Bi-Metal+Hole+Saw%2C+1-1%2F8-Inch&amp;qid=1695174116&amp;sr=8-8", "https://www.amazon.com/Bi-Metal-8-Inch-Klein-Tools-31922/dp/B019874Q0K/ref=sr_1_8?keywords=Klein+Tools+31918+Bi-Metal+Hole+Saw%2C+1-1%2F8-Inch&amp;qid=1695174116&amp;sr=8-8")</f>
        <v>https://www.amazon.com/Bi-Metal-8-Inch-Klein-Tools-31922/dp/B019874Q0K/ref=sr_1_8?keywords=Klein+Tools+31918+Bi-Metal+Hole+Saw%2C+1-1%2F8-Inch&amp;qid=1695174116&amp;sr=8-8</v>
      </c>
      <c r="F3353" t="s">
        <v>7576</v>
      </c>
      <c r="G3353" t="e">
        <f ca="1">_xludf.IMAGE("https://edmondsonsupply.com/cdn/shop/products/31918.jpg?v=1669739998")</f>
        <v>#NAME?</v>
      </c>
      <c r="H3353" t="e">
        <f ca="1">_xludf.IMAGE("https://m.media-amazon.com/images/I/41GAmyLoB4L._AC_UL320_.jpg")</f>
        <v>#NAME?</v>
      </c>
      <c r="I3353" t="s">
        <v>1003</v>
      </c>
      <c r="J3353">
        <v>8.99</v>
      </c>
      <c r="K3353" s="4">
        <v>0.12520000000000001</v>
      </c>
      <c r="L3353">
        <v>4.5</v>
      </c>
      <c r="M3353">
        <v>366</v>
      </c>
      <c r="O3353" t="s">
        <v>25</v>
      </c>
      <c r="P3353" t="s">
        <v>2841</v>
      </c>
      <c r="Q3353" t="s">
        <v>6004</v>
      </c>
    </row>
    <row r="3354" spans="1:17" ht="15.5" x14ac:dyDescent="0.35">
      <c r="A3354"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3354" s="3" t="str">
        <f>HYPERLINK("https://edmondsonsupply.com/products/klein-tools-610-stubby-nut-driver-set-1-1-2-inch-shafts-2-piece", "https://edmondsonsupply.com/products/klein-tools-610-stubby-nut-driver-set-1-1-2-inch-shafts-2-piece")</f>
        <v>https://edmondsonsupply.com/products/klein-tools-610-stubby-nut-driver-set-1-1-2-inch-shafts-2-piece</v>
      </c>
      <c r="C3354" t="s">
        <v>3030</v>
      </c>
      <c r="D3354" t="s">
        <v>4058</v>
      </c>
      <c r="E3354" s="3" t="str">
        <f>HYPERLINK("https://www.amazon.com/Klein-Tools-610M-16-Inch-Magnetic/dp/B00093DZO6/ref=sr_1_1?keywords=Klein+Tools+610+Stubby+Nut+Driver+Set+1-1%2F2-Inch+Shafts+2-Piece&amp;qid=1695173958&amp;sr=8-1", "https://www.amazon.com/Klein-Tools-610M-16-Inch-Magnetic/dp/B00093DZO6/ref=sr_1_1?keywords=Klein+Tools+610+Stubby+Nut+Driver+Set+1-1%2F2-Inch+Shafts+2-Piece&amp;qid=1695173958&amp;sr=8-1")</f>
        <v>https://www.amazon.com/Klein-Tools-610M-16-Inch-Magnetic/dp/B00093DZO6/ref=sr_1_1?keywords=Klein+Tools+610+Stubby+Nut+Driver+Set+1-1%2F2-Inch+Shafts+2-Piece&amp;qid=1695173958&amp;sr=8-1</v>
      </c>
      <c r="F3354" t="s">
        <v>4059</v>
      </c>
      <c r="G3354" t="e">
        <f ca="1">_xludf.IMAGE("https://edmondsonsupply.com/cdn/shop/products/610m_169714eb-6816-4f42-aa86-ea17ea5fcbbb.jpg?v=1633030110")</f>
        <v>#NAME?</v>
      </c>
      <c r="H3354" t="e">
        <f ca="1">_xludf.IMAGE("https://m.media-amazon.com/images/I/51lgiheW64L._AC_UL320_.jpg")</f>
        <v>#NAME?</v>
      </c>
      <c r="I3354" t="s">
        <v>252</v>
      </c>
      <c r="J3354">
        <v>17.989999999999998</v>
      </c>
      <c r="K3354" s="4">
        <v>0.12509999999999999</v>
      </c>
      <c r="L3354">
        <v>4.8</v>
      </c>
      <c r="M3354">
        <v>559</v>
      </c>
      <c r="O3354" t="s">
        <v>25</v>
      </c>
      <c r="P3354" t="s">
        <v>3031</v>
      </c>
      <c r="Q3354" t="s">
        <v>3032</v>
      </c>
    </row>
    <row r="3355" spans="1:17" ht="15.5" x14ac:dyDescent="0.35">
      <c r="A3355"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3355" s="3" t="str">
        <f>HYPERLINK("https://edmondsonsupply.com/products/klein-tools-d2000-9ne-linemans-pliers-9-inch", "https://edmondsonsupply.com/products/klein-tools-d2000-9ne-linemans-pliers-9-inch")</f>
        <v>https://edmondsonsupply.com/products/klein-tools-d2000-9ne-linemans-pliers-9-inch</v>
      </c>
      <c r="C3355" t="s">
        <v>6770</v>
      </c>
      <c r="D3355" t="s">
        <v>7577</v>
      </c>
      <c r="E3355" s="3" t="str">
        <f>HYPERLINK("https://www.amazon.com/Linemans-Electrical-Klein-Tools-HD2000-9NE/dp/B0002RI9Y0/ref=sr_1_2?keywords=Klein+Tools+D2000-9NE+Linemans+Pliers%2C+9-Inch&amp;qid=1695174298&amp;sr=8-2", "https://www.amazon.com/Linemans-Electrical-Klein-Tools-HD2000-9NE/dp/B0002RI9Y0/ref=sr_1_2?keywords=Klein+Tools+D2000-9NE+Linemans+Pliers%2C+9-Inch&amp;qid=1695174298&amp;sr=8-2")</f>
        <v>https://www.amazon.com/Linemans-Electrical-Klein-Tools-HD2000-9NE/dp/B0002RI9Y0/ref=sr_1_2?keywords=Klein+Tools+D2000-9NE+Linemans+Pliers%2C+9-Inch&amp;qid=1695174298&amp;sr=8-2</v>
      </c>
      <c r="F3355" t="s">
        <v>7578</v>
      </c>
      <c r="G3355" t="e">
        <f ca="1">_xludf.IMAGE("https://edmondsonsupply.com/cdn/shop/products/d20009ne.jpg?v=1633030816")</f>
        <v>#NAME?</v>
      </c>
      <c r="H3355" t="e">
        <f ca="1">_xludf.IMAGE("https://m.media-amazon.com/images/I/41ySI6VN1NL._AC_UL320_.jpg")</f>
        <v>#NAME?</v>
      </c>
      <c r="I3355" t="s">
        <v>198</v>
      </c>
      <c r="J3355">
        <v>44.99</v>
      </c>
      <c r="K3355" s="4">
        <v>0.125</v>
      </c>
      <c r="L3355">
        <v>4.8</v>
      </c>
      <c r="M3355">
        <v>1010</v>
      </c>
      <c r="O3355" t="s">
        <v>25</v>
      </c>
      <c r="P3355" t="s">
        <v>6773</v>
      </c>
      <c r="Q3355" t="s">
        <v>6774</v>
      </c>
    </row>
    <row r="3356" spans="1:17" ht="15.5" x14ac:dyDescent="0.35">
      <c r="A3356"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3356" s="3" t="str">
        <f>HYPERLINK("https://edmondsonsupply.com/products/klein-tools-60100-hard-hat-non-vented-cap-style-white", "https://edmondsonsupply.com/products/klein-tools-60100-hard-hat-non-vented-cap-style-white")</f>
        <v>https://edmondsonsupply.com/products/klein-tools-60100-hard-hat-non-vented-cap-style-white</v>
      </c>
      <c r="C3356" t="s">
        <v>970</v>
      </c>
      <c r="D3356" t="s">
        <v>991</v>
      </c>
      <c r="E3356" s="3" t="str">
        <f>HYPERLINK("https://www.amazon.com/Klein-Tools-Hard-Non-vented-Style/dp/B07TQNTCKL/ref=sr_1_5?keywords=Klein+Tools+60100+Hard+Hat%2C+Non-Vented%2C+Cap+Style%2C+White&amp;qid=1695174219&amp;sr=8-5", "https://www.amazon.com/Klein-Tools-Hard-Non-vented-Style/dp/B07TQNTCKL/ref=sr_1_5?keywords=Klein+Tools+60100+Hard+Hat%2C+Non-Vented%2C+Cap+Style%2C+White&amp;qid=1695174219&amp;sr=8-5")</f>
        <v>https://www.amazon.com/Klein-Tools-Hard-Non-vented-Style/dp/B07TQNTCKL/ref=sr_1_5?keywords=Klein+Tools+60100+Hard+Hat%2C+Non-Vented%2C+Cap+Style%2C+White&amp;qid=1695174219&amp;sr=8-5</v>
      </c>
      <c r="F3356" t="s">
        <v>992</v>
      </c>
      <c r="G3356" t="e">
        <f ca="1">_xludf.IMAGE("https://edmondsonsupply.com/cdn/shop/products/60100_c.jpg?v=1648166061")</f>
        <v>#NAME?</v>
      </c>
      <c r="H3356" t="e">
        <f ca="1">_xludf.IMAGE("https://m.media-amazon.com/images/I/61IcdM8MBnL._AC_UL320_.jpg")</f>
        <v>#NAME?</v>
      </c>
      <c r="I3356" t="s">
        <v>198</v>
      </c>
      <c r="J3356">
        <v>44.99</v>
      </c>
      <c r="K3356" s="4">
        <v>0.125</v>
      </c>
      <c r="L3356">
        <v>4.7</v>
      </c>
      <c r="M3356">
        <v>358</v>
      </c>
      <c r="O3356" t="s">
        <v>171</v>
      </c>
      <c r="P3356" t="s">
        <v>971</v>
      </c>
      <c r="Q3356" t="s">
        <v>972</v>
      </c>
    </row>
    <row r="3357" spans="1:17" ht="15.5" x14ac:dyDescent="0.35">
      <c r="A3357"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3357" s="3" t="str">
        <f>HYPERLINK("https://edmondsonsupply.com/products/klein-tools-51608-1-2-inch-iron-conduit-bender-head", "https://edmondsonsupply.com/products/klein-tools-51608-1-2-inch-iron-conduit-bender-head")</f>
        <v>https://edmondsonsupply.com/products/klein-tools-51608-1-2-inch-iron-conduit-bender-head</v>
      </c>
      <c r="C3357" t="s">
        <v>6789</v>
      </c>
      <c r="D3357" t="s">
        <v>6178</v>
      </c>
      <c r="E3357" s="3" t="str">
        <f>HYPERLINK("https://www.amazon.com/Conduit-Bender-Klein-Tools-51609/dp/B08VYFHL9J/ref=sr_1_2?keywords=Klein+Tools+51608+1%2F2-inch+Iron+Conduit+Bender+Head&amp;qid=1695174222&amp;sr=8-2", "https://www.amazon.com/Conduit-Bender-Klein-Tools-51609/dp/B08VYFHL9J/ref=sr_1_2?keywords=Klein+Tools+51608+1%2F2-inch+Iron+Conduit+Bender+Head&amp;qid=1695174222&amp;sr=8-2")</f>
        <v>https://www.amazon.com/Conduit-Bender-Klein-Tools-51609/dp/B08VYFHL9J/ref=sr_1_2?keywords=Klein+Tools+51608+1%2F2-inch+Iron+Conduit+Bender+Head&amp;qid=1695174222&amp;sr=8-2</v>
      </c>
      <c r="F3357" t="s">
        <v>6179</v>
      </c>
      <c r="G3357" t="e">
        <f ca="1">_xludf.IMAGE("https://edmondsonsupply.com/cdn/shop/products/51608.jpg?v=1643679335")</f>
        <v>#NAME?</v>
      </c>
      <c r="H3357" t="e">
        <f ca="1">_xludf.IMAGE("https://m.media-amazon.com/images/I/61KifnC2xML._AC_UL320_.jpg")</f>
        <v>#NAME?</v>
      </c>
      <c r="I3357" t="s">
        <v>198</v>
      </c>
      <c r="J3357">
        <v>44.99</v>
      </c>
      <c r="K3357" s="4">
        <v>0.125</v>
      </c>
      <c r="L3357">
        <v>4.2</v>
      </c>
      <c r="M3357">
        <v>31</v>
      </c>
      <c r="O3357" t="s">
        <v>25</v>
      </c>
      <c r="P3357" t="s">
        <v>6790</v>
      </c>
      <c r="Q3357" t="s">
        <v>6791</v>
      </c>
    </row>
    <row r="3358" spans="1:17" ht="15.5" x14ac:dyDescent="0.35">
      <c r="A3358" s="3" t="str">
        <f>HYPERLINK("https://edmondsonsupply.com/collections/electricians-tools/products/klein-tools-d213-9neth-linemans-bolt-thread-holding-pliers-9-inch", "https://edmondsonsupply.com/collections/electricians-tools/products/klein-tools-d213-9neth-linemans-bolt-thread-holding-pliers-9-inch")</f>
        <v>https://edmondsonsupply.com/collections/electricians-tools/products/klein-tools-d213-9neth-linemans-bolt-thread-holding-pliers-9-inch</v>
      </c>
      <c r="B3358" s="3" t="str">
        <f>HYPERLINK("https://edmondsonsupply.com/products/klein-tools-d213-9neth-linemans-bolt-thread-holding-pliers-9-inch", "https://edmondsonsupply.com/products/klein-tools-d213-9neth-linemans-bolt-thread-holding-pliers-9-inch")</f>
        <v>https://edmondsonsupply.com/products/klein-tools-d213-9neth-linemans-bolt-thread-holding-pliers-9-inch</v>
      </c>
      <c r="C3358" t="s">
        <v>7579</v>
      </c>
      <c r="D3358" t="s">
        <v>7580</v>
      </c>
      <c r="E3358" s="3" t="str">
        <f>HYPERLINK("https://www.amazon.com/Linemans-Oversized-Leverage-Klein-HD213-9NETH/dp/B000FAFE7O/ref=sr_1_3?keywords=Klein+Tools+D213-9NETH+Lineman%27s+Bolt-Thread+Holding+Pliers%2C+9-Inch&amp;qid=1695174304&amp;sr=8-3", "https://www.amazon.com/Linemans-Oversized-Leverage-Klein-HD213-9NETH/dp/B000FAFE7O/ref=sr_1_3?keywords=Klein+Tools+D213-9NETH+Lineman%27s+Bolt-Thread+Holding+Pliers%2C+9-Inch&amp;qid=1695174304&amp;sr=8-3")</f>
        <v>https://www.amazon.com/Linemans-Oversized-Leverage-Klein-HD213-9NETH/dp/B000FAFE7O/ref=sr_1_3?keywords=Klein+Tools+D213-9NETH+Lineman%27s+Bolt-Thread+Holding+Pliers%2C+9-Inch&amp;qid=1695174304&amp;sr=8-3</v>
      </c>
      <c r="F3358" t="s">
        <v>7581</v>
      </c>
      <c r="G3358" t="e">
        <f ca="1">_xludf.IMAGE("https://edmondsonsupply.com/cdn/shop/products/d2139neth.jpg?v=1633030817")</f>
        <v>#NAME?</v>
      </c>
      <c r="H3358" t="e">
        <f ca="1">_xludf.IMAGE("https://m.media-amazon.com/images/I/51UrbtRoPpL._AC_UL320_.jpg")</f>
        <v>#NAME?</v>
      </c>
      <c r="I3358" t="s">
        <v>198</v>
      </c>
      <c r="J3358">
        <v>44.99</v>
      </c>
      <c r="K3358" s="4">
        <v>0.125</v>
      </c>
      <c r="L3358">
        <v>4.8</v>
      </c>
      <c r="M3358">
        <v>1010</v>
      </c>
      <c r="O3358" t="s">
        <v>25</v>
      </c>
      <c r="P3358" t="s">
        <v>1310</v>
      </c>
      <c r="Q3358" t="s">
        <v>7582</v>
      </c>
    </row>
    <row r="3359" spans="1:17" ht="15.5" x14ac:dyDescent="0.35">
      <c r="A3359" s="3" t="str">
        <f>HYPERLINK("https://edmondsonsupply.com/collections/electricians-tools/products/klein-tools-d213-9neth-linemans-bolt-thread-holding-pliers-9-inch", "https://edmondsonsupply.com/collections/electricians-tools/products/klein-tools-d213-9neth-linemans-bolt-thread-holding-pliers-9-inch")</f>
        <v>https://edmondsonsupply.com/collections/electricians-tools/products/klein-tools-d213-9neth-linemans-bolt-thread-holding-pliers-9-inch</v>
      </c>
      <c r="B3359" s="3" t="str">
        <f>HYPERLINK("https://edmondsonsupply.com/products/klein-tools-d213-9neth-linemans-bolt-thread-holding-pliers-9-inch", "https://edmondsonsupply.com/products/klein-tools-d213-9neth-linemans-bolt-thread-holding-pliers-9-inch")</f>
        <v>https://edmondsonsupply.com/products/klein-tools-d213-9neth-linemans-bolt-thread-holding-pliers-9-inch</v>
      </c>
      <c r="C3359" t="s">
        <v>7579</v>
      </c>
      <c r="D3359" t="s">
        <v>7583</v>
      </c>
      <c r="E3359" s="3" t="str">
        <f>HYPERLINK("https://www.amazon.com/Klein-Tools-D2000-9NETH-Bolt-Thread-High-Leverage/dp/B0002RI9FY/ref=sr_1_2?keywords=Klein+Tools+D213-9NETH+Lineman%27s+Bolt-Thread+Holding+Pliers%2C+9-Inch&amp;qid=1695174304&amp;sr=8-2", "https://www.amazon.com/Klein-Tools-D2000-9NETH-Bolt-Thread-High-Leverage/dp/B0002RI9FY/ref=sr_1_2?keywords=Klein+Tools+D213-9NETH+Lineman%27s+Bolt-Thread+Holding+Pliers%2C+9-Inch&amp;qid=1695174304&amp;sr=8-2")</f>
        <v>https://www.amazon.com/Klein-Tools-D2000-9NETH-Bolt-Thread-High-Leverage/dp/B0002RI9FY/ref=sr_1_2?keywords=Klein+Tools+D213-9NETH+Lineman%27s+Bolt-Thread+Holding+Pliers%2C+9-Inch&amp;qid=1695174304&amp;sr=8-2</v>
      </c>
      <c r="F3359" t="s">
        <v>7584</v>
      </c>
      <c r="G3359" t="e">
        <f ca="1">_xludf.IMAGE("https://edmondsonsupply.com/cdn/shop/products/d2139neth.jpg?v=1633030817")</f>
        <v>#NAME?</v>
      </c>
      <c r="H3359" t="e">
        <f ca="1">_xludf.IMAGE("https://m.media-amazon.com/images/I/41sLuURlgqL._AC_UL320_.jpg")</f>
        <v>#NAME?</v>
      </c>
      <c r="I3359" t="s">
        <v>198</v>
      </c>
      <c r="J3359">
        <v>44.99</v>
      </c>
      <c r="K3359" s="4">
        <v>0.125</v>
      </c>
      <c r="L3359">
        <v>4.8</v>
      </c>
      <c r="M3359">
        <v>1734</v>
      </c>
      <c r="O3359" t="s">
        <v>25</v>
      </c>
      <c r="P3359" t="s">
        <v>1310</v>
      </c>
      <c r="Q3359" t="s">
        <v>7582</v>
      </c>
    </row>
    <row r="3360" spans="1:17" ht="15.5" x14ac:dyDescent="0.35">
      <c r="A3360"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3360" s="3" t="str">
        <f>HYPERLINK("https://edmondsonsupply.com/products/klein-tools-51608-1-2-inch-iron-conduit-bender-head", "https://edmondsonsupply.com/products/klein-tools-51608-1-2-inch-iron-conduit-bender-head")</f>
        <v>https://edmondsonsupply.com/products/klein-tools-51608-1-2-inch-iron-conduit-bender-head</v>
      </c>
      <c r="C3360" t="s">
        <v>6789</v>
      </c>
      <c r="D3360" t="s">
        <v>6176</v>
      </c>
      <c r="E3360" s="3" t="str">
        <f>HYPERLINK("https://www.amazon.com/Aluminum-Benchmark-Technology-Klein-Tools/dp/B08L41G5G5/ref=sr_1_9?keywords=Klein+Tools+51608+1%2F2-inch+Iron+Conduit+Bender+Head&amp;qid=1695174222&amp;sr=8-9", "https://www.amazon.com/Aluminum-Benchmark-Technology-Klein-Tools/dp/B08L41G5G5/ref=sr_1_9?keywords=Klein+Tools+51608+1%2F2-inch+Iron+Conduit+Bender+Head&amp;qid=1695174222&amp;sr=8-9")</f>
        <v>https://www.amazon.com/Aluminum-Benchmark-Technology-Klein-Tools/dp/B08L41G5G5/ref=sr_1_9?keywords=Klein+Tools+51608+1%2F2-inch+Iron+Conduit+Bender+Head&amp;qid=1695174222&amp;sr=8-9</v>
      </c>
      <c r="F3360" t="s">
        <v>6177</v>
      </c>
      <c r="G3360" t="e">
        <f ca="1">_xludf.IMAGE("https://edmondsonsupply.com/cdn/shop/products/51608.jpg?v=1643679335")</f>
        <v>#NAME?</v>
      </c>
      <c r="H3360" t="e">
        <f ca="1">_xludf.IMAGE("https://m.media-amazon.com/images/I/419ZjlOD69L._AC_UL320_.jpg")</f>
        <v>#NAME?</v>
      </c>
      <c r="I3360" t="s">
        <v>198</v>
      </c>
      <c r="J3360">
        <v>44.99</v>
      </c>
      <c r="K3360" s="4">
        <v>0.125</v>
      </c>
      <c r="L3360">
        <v>4.7</v>
      </c>
      <c r="M3360">
        <v>343</v>
      </c>
      <c r="O3360" t="s">
        <v>25</v>
      </c>
      <c r="P3360" t="s">
        <v>6790</v>
      </c>
      <c r="Q3360" t="s">
        <v>6791</v>
      </c>
    </row>
    <row r="3361" spans="1:17" ht="15.5" x14ac:dyDescent="0.35">
      <c r="A3361"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3361" s="3" t="str">
        <f>HYPERLINK("https://edmondsonsupply.com/products/klein-tools-31870-carbide-hole-cutter-2-1-2-inch", "https://edmondsonsupply.com/products/klein-tools-31870-carbide-hole-cutter-2-1-2-inch")</f>
        <v>https://edmondsonsupply.com/products/klein-tools-31870-carbide-hole-cutter-2-1-2-inch</v>
      </c>
      <c r="C3361" t="s">
        <v>6295</v>
      </c>
      <c r="D3361" t="s">
        <v>6481</v>
      </c>
      <c r="E3361" s="3" t="str">
        <f>HYPERLINK("https://www.amazon.com/Carbide-Cutter-Klein-Tools-31872/dp/B003CCR97A/ref=sr_1_3?keywords=Klein+Tools+31870+Carbide+Hole+Cutter%2C+2-1%2F2-Inch&amp;qid=1695174279&amp;sr=8-3", "https://www.amazon.com/Carbide-Cutter-Klein-Tools-31872/dp/B003CCR97A/ref=sr_1_3?keywords=Klein+Tools+31870+Carbide+Hole+Cutter%2C+2-1%2F2-Inch&amp;qid=1695174279&amp;sr=8-3")</f>
        <v>https://www.amazon.com/Carbide-Cutter-Klein-Tools-31872/dp/B003CCR97A/ref=sr_1_3?keywords=Klein+Tools+31870+Carbide+Hole+Cutter%2C+2-1%2F2-Inch&amp;qid=1695174279&amp;sr=8-3</v>
      </c>
      <c r="F3361" t="s">
        <v>6482</v>
      </c>
      <c r="G3361" t="e">
        <f ca="1">_xludf.IMAGE("https://edmondsonsupply.com/cdn/shop/products/31870_alt1.jpg?v=1633030999")</f>
        <v>#NAME?</v>
      </c>
      <c r="H3361" t="e">
        <f ca="1">_xludf.IMAGE("https://m.media-amazon.com/images/I/61oX7BDmtJL._AC_UL320_.jpg")</f>
        <v>#NAME?</v>
      </c>
      <c r="I3361" t="s">
        <v>300</v>
      </c>
      <c r="J3361">
        <v>89.99</v>
      </c>
      <c r="K3361" s="4">
        <v>0.125</v>
      </c>
      <c r="L3361">
        <v>4.7</v>
      </c>
      <c r="M3361">
        <v>929</v>
      </c>
      <c r="O3361" t="s">
        <v>25</v>
      </c>
      <c r="P3361" t="s">
        <v>6296</v>
      </c>
      <c r="Q3361" t="s">
        <v>6297</v>
      </c>
    </row>
    <row r="3362" spans="1:17" ht="15.5" x14ac:dyDescent="0.35">
      <c r="A3362"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3362"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3362" t="s">
        <v>6276</v>
      </c>
      <c r="D3362" t="s">
        <v>5599</v>
      </c>
      <c r="E3362" s="3" t="str">
        <f>HYPERLINK("https://www.amazon.com/Klein-Tools-JTH4E13-Journeyman-T-Handle/dp/B007GH2CDS/ref=sr_1_3?keywords=Klein+Tools+JTH9E13+1%2F4-Inch+Hex+Key+with+Journeyman+T-Handle%2C+9-Inch&amp;qid=1695174307&amp;sr=8-3", "https://www.amazon.com/Klein-Tools-JTH4E13-Journeyman-T-Handle/dp/B007GH2CDS/ref=sr_1_3?keywords=Klein+Tools+JTH9E13+1%2F4-Inch+Hex+Key+with+Journeyman+T-Handle%2C+9-Inch&amp;qid=1695174307&amp;sr=8-3")</f>
        <v>https://www.amazon.com/Klein-Tools-JTH4E13-Journeyman-T-Handle/dp/B007GH2CDS/ref=sr_1_3?keywords=Klein+Tools+JTH9E13+1%2F4-Inch+Hex+Key+with+Journeyman+T-Handle%2C+9-Inch&amp;qid=1695174307&amp;sr=8-3</v>
      </c>
      <c r="F3362" t="s">
        <v>5600</v>
      </c>
      <c r="G3362" t="e">
        <f ca="1">_xludf.IMAGE("https://edmondsonsupply.com/cdn/shop/products/jth9e12_7dcdbf9a-5acd-4824-8919-6aeb4a790072.jpg?v=1604060723")</f>
        <v>#NAME?</v>
      </c>
      <c r="H3362" t="e">
        <f ca="1">_xludf.IMAGE("https://m.media-amazon.com/images/I/41ERRKlO36L._AC_UL320_.jpg")</f>
        <v>#NAME?</v>
      </c>
      <c r="I3362" t="s">
        <v>4617</v>
      </c>
      <c r="J3362">
        <v>7.3</v>
      </c>
      <c r="K3362" s="4">
        <v>0.12479999999999999</v>
      </c>
      <c r="L3362">
        <v>4.8</v>
      </c>
      <c r="M3362">
        <v>2479</v>
      </c>
      <c r="O3362" t="s">
        <v>25</v>
      </c>
      <c r="P3362" t="s">
        <v>6277</v>
      </c>
      <c r="Q3362" t="s">
        <v>6278</v>
      </c>
    </row>
    <row r="3363" spans="1:17" ht="15.5" x14ac:dyDescent="0.35">
      <c r="A3363"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3363" s="3" t="str">
        <f>HYPERLINK("https://edmondsonsupply.com/products/fluke-325-true-rms-clamp-meter", "https://edmondsonsupply.com/products/fluke-325-true-rms-clamp-meter")</f>
        <v>https://edmondsonsupply.com/products/fluke-325-true-rms-clamp-meter</v>
      </c>
      <c r="C3363" t="s">
        <v>7585</v>
      </c>
      <c r="D3363" t="s">
        <v>5848</v>
      </c>
      <c r="E3363" s="3" t="str">
        <f>HYPERLINK("https://www.amazon.com/Fluke-True-RMS-Measures-Batteries-Carrying/dp/B017OVC1U4/ref=sr_1_10?keywords=Fluke+325+True+RMS+Clamp+Meter&amp;qid=1695174241&amp;sr=8-10", "https://www.amazon.com/Fluke-True-RMS-Measures-Batteries-Carrying/dp/B017OVC1U4/ref=sr_1_10?keywords=Fluke+325+True+RMS+Clamp+Meter&amp;qid=1695174241&amp;sr=8-10")</f>
        <v>https://www.amazon.com/Fluke-True-RMS-Measures-Batteries-Carrying/dp/B017OVC1U4/ref=sr_1_10?keywords=Fluke+325+True+RMS+Clamp+Meter&amp;qid=1695174241&amp;sr=8-10</v>
      </c>
      <c r="F3363" t="s">
        <v>5849</v>
      </c>
      <c r="G3363" t="e">
        <f ca="1">_xludf.IMAGE("https://edmondsonsupply.com/cdn/shop/products/Fluke_325_clamp_meter_1280x873px_E_NR-14655.jpg?v=1688679209")</f>
        <v>#NAME?</v>
      </c>
      <c r="H3363" t="e">
        <f ca="1">_xludf.IMAGE("https://m.media-amazon.com/images/I/71-9RICQeuL._AC_UY218_.jpg")</f>
        <v>#NAME?</v>
      </c>
      <c r="I3363" t="s">
        <v>7586</v>
      </c>
      <c r="J3363">
        <v>420</v>
      </c>
      <c r="K3363" s="4">
        <v>0.1245</v>
      </c>
      <c r="L3363">
        <v>4.8</v>
      </c>
      <c r="M3363">
        <v>283</v>
      </c>
      <c r="O3363" t="s">
        <v>25</v>
      </c>
      <c r="P3363" t="s">
        <v>4069</v>
      </c>
      <c r="Q3363" t="s">
        <v>7587</v>
      </c>
    </row>
    <row r="3364" spans="1:17" ht="15.5" x14ac:dyDescent="0.35">
      <c r="A3364"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3364"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3364" t="s">
        <v>6432</v>
      </c>
      <c r="D3364" t="s">
        <v>686</v>
      </c>
      <c r="E3364" s="3" t="str">
        <f>HYPERLINK("https://www.amazon.com/Resistant-Canvas-Klein-Tools-5416TFR/dp/B0116IFD6A/ref=sr_1_3?keywords=Klein+Tools+5416+Tool+Bag%2C+Bull-Pin+and+Bolt+Pouch%2C+Belt+Strap+Connect%2C+5+x+10+x+9-Inch&amp;qid=1695174042&amp;sr=8-3", "https://www.amazon.com/Resistant-Canvas-Klein-Tools-5416TFR/dp/B0116IFD6A/ref=sr_1_3?keywords=Klein+Tools+5416+Tool+Bag%2C+Bull-Pin+and+Bolt+Pouch%2C+Belt+Strap+Connect%2C+5+x+10+x+9-Inch&amp;qid=1695174042&amp;sr=8-3")</f>
        <v>https://www.amazon.com/Resistant-Canvas-Klein-Tools-5416TFR/dp/B0116IFD6A/ref=sr_1_3?keywords=Klein+Tools+5416+Tool+Bag%2C+Bull-Pin+and+Bolt+Pouch%2C+Belt+Strap+Connect%2C+5+x+10+x+9-Inch&amp;qid=1695174042&amp;sr=8-3</v>
      </c>
      <c r="F3364" t="s">
        <v>687</v>
      </c>
      <c r="G3364" t="e">
        <f ca="1">_xludf.IMAGE("https://edmondsonsupply.com/cdn/shop/products/5416.jpg?v=1679664980")</f>
        <v>#NAME?</v>
      </c>
      <c r="H3364" t="e">
        <f ca="1">_xludf.IMAGE("https://m.media-amazon.com/images/I/71-H03ahZOL._AC_UL320_.jpg")</f>
        <v>#NAME?</v>
      </c>
      <c r="I3364" t="s">
        <v>6242</v>
      </c>
      <c r="J3364">
        <v>19.989999999999998</v>
      </c>
      <c r="K3364" s="4">
        <v>0.123</v>
      </c>
      <c r="L3364">
        <v>4.8</v>
      </c>
      <c r="M3364">
        <v>7387</v>
      </c>
      <c r="O3364" t="s">
        <v>25</v>
      </c>
      <c r="P3364" t="s">
        <v>6433</v>
      </c>
      <c r="Q3364" t="s">
        <v>6434</v>
      </c>
    </row>
    <row r="3365" spans="1:17" ht="15.5" x14ac:dyDescent="0.35">
      <c r="A3365"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3365" s="3" t="str">
        <f>HYPERLINK("https://edmondsonsupply.com/products/klein-tools-et600-insulation-resistance-tester", "https://edmondsonsupply.com/products/klein-tools-et600-insulation-resistance-tester")</f>
        <v>https://edmondsonsupply.com/products/klein-tools-et600-insulation-resistance-tester</v>
      </c>
      <c r="C3365" t="s">
        <v>6505</v>
      </c>
      <c r="D3365" t="s">
        <v>7588</v>
      </c>
      <c r="E3365" s="3" t="str">
        <f>HYPERLINK("https://www.amazon.com/Klein-Tools-Multimeter-Megohmmeter-Insulation-Ohms-Resistance/dp/B09Z3DPNJ2/ref=sr_1_3?keywords=Klein+Tools+ET600+Insulation+Resistance+Tester&amp;qid=1695173907&amp;sr=8-3", "https://www.amazon.com/Klein-Tools-Multimeter-Megohmmeter-Insulation-Ohms-Resistance/dp/B09Z3DPNJ2/ref=sr_1_3?keywords=Klein+Tools+ET600+Insulation+Resistance+Tester&amp;qid=1695173907&amp;sr=8-3")</f>
        <v>https://www.amazon.com/Klein-Tools-Multimeter-Megohmmeter-Insulation-Ohms-Resistance/dp/B09Z3DPNJ2/ref=sr_1_3?keywords=Klein+Tools+ET600+Insulation+Resistance+Tester&amp;qid=1695173907&amp;sr=8-3</v>
      </c>
      <c r="F3365" t="s">
        <v>7589</v>
      </c>
      <c r="G3365" t="e">
        <f ca="1">_xludf.IMAGE("https://edmondsonsupply.com/cdn/shop/products/et600_accessories_b.jpg?v=1677685603")</f>
        <v>#NAME?</v>
      </c>
      <c r="H3365" t="e">
        <f ca="1">_xludf.IMAGE("https://m.media-amazon.com/images/I/51iMRXHBFSL._AC_UY218_.jpg")</f>
        <v>#NAME?</v>
      </c>
      <c r="I3365" t="s">
        <v>6506</v>
      </c>
      <c r="J3365">
        <v>184.96</v>
      </c>
      <c r="K3365" s="4">
        <v>0.121</v>
      </c>
      <c r="L3365">
        <v>5</v>
      </c>
      <c r="M3365">
        <v>1</v>
      </c>
      <c r="O3365" t="s">
        <v>25</v>
      </c>
      <c r="P3365" t="s">
        <v>6507</v>
      </c>
      <c r="Q3365" t="s">
        <v>6508</v>
      </c>
    </row>
    <row r="3366" spans="1:17" ht="15.5" x14ac:dyDescent="0.35">
      <c r="A3366"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3366" s="3" t="str">
        <f>HYPERLINK("https://edmondsonsupply.com/products/klein-tools-80028-electricians-tool-kit-28-piece", "https://edmondsonsupply.com/products/klein-tools-80028-electricians-tool-kit-28-piece")</f>
        <v>https://edmondsonsupply.com/products/klein-tools-80028-electricians-tool-kit-28-piece</v>
      </c>
      <c r="C3366" t="s">
        <v>4066</v>
      </c>
      <c r="D3366" t="s">
        <v>4067</v>
      </c>
      <c r="E3366" s="3" t="str">
        <f>HYPERLINK("https://www.amazon.com/Klein-Tools-Screwdrivers-Multi-Bit-Screwdriver/dp/B0BC7Y96KZ/ref=sr_1_1?keywords=Klein+Tools+80028+Electrician%27s+Tool+Kit%2C+28-Piece&amp;qid=1695173883&amp;sr=8-1", "https://www.amazon.com/Klein-Tools-Screwdrivers-Multi-Bit-Screwdriver/dp/B0BC7Y96KZ/ref=sr_1_1?keywords=Klein+Tools+80028+Electrician%27s+Tool+Kit%2C+28-Piece&amp;qid=1695173883&amp;sr=8-1")</f>
        <v>https://www.amazon.com/Klein-Tools-Screwdrivers-Multi-Bit-Screwdriver/dp/B0BC7Y96KZ/ref=sr_1_1?keywords=Klein+Tools+80028+Electrician%27s+Tool+Kit%2C+28-Piece&amp;qid=1695173883&amp;sr=8-1</v>
      </c>
      <c r="F3366" t="s">
        <v>4068</v>
      </c>
      <c r="G3366" t="e">
        <f ca="1">_xludf.IMAGE("https://edmondsonsupply.com/cdn/shop/files/80028_d.jpg?v=1686062794")</f>
        <v>#NAME?</v>
      </c>
      <c r="H3366" t="e">
        <f ca="1">_xludf.IMAGE("https://m.media-amazon.com/images/I/51ilyu0AbQL._AC_UL320_.jpg")</f>
        <v>#NAME?</v>
      </c>
      <c r="I3366" t="s">
        <v>4069</v>
      </c>
      <c r="J3366">
        <v>464.98</v>
      </c>
      <c r="K3366" s="4">
        <v>0.1205</v>
      </c>
      <c r="L3366">
        <v>5</v>
      </c>
      <c r="M3366">
        <v>5</v>
      </c>
      <c r="O3366" t="s">
        <v>25</v>
      </c>
      <c r="P3366" t="s">
        <v>4070</v>
      </c>
      <c r="Q3366" t="s">
        <v>4071</v>
      </c>
    </row>
    <row r="3367" spans="1:17" ht="15.5" x14ac:dyDescent="0.35">
      <c r="A3367" s="3" t="str">
        <f>HYPERLINK("https://edmondsonsupply.com/collections/electricians-tools/products/klein-tools-46037-cable-splicers-kit", "https://edmondsonsupply.com/collections/electricians-tools/products/klein-tools-46037-cable-splicers-kit")</f>
        <v>https://edmondsonsupply.com/collections/electricians-tools/products/klein-tools-46037-cable-splicers-kit</v>
      </c>
      <c r="B3367" s="3" t="str">
        <f>HYPERLINK("https://edmondsonsupply.com/products/klein-tools-46037-cable-splicers-kit", "https://edmondsonsupply.com/products/klein-tools-46037-cable-splicers-kit")</f>
        <v>https://edmondsonsupply.com/products/klein-tools-46037-cable-splicers-kit</v>
      </c>
      <c r="C3367" t="s">
        <v>6545</v>
      </c>
      <c r="D3367" t="s">
        <v>7590</v>
      </c>
      <c r="E3367" s="3" t="str">
        <f>HYPERLINK("https://www.amazon.com/Klein-Tools-46039-Splicers-Free-Fall/dp/B003AXBJMC/ref=sr_1_4?keywords=Klein+Tools+46037+Cable+Splicer%27s+Kit&amp;qid=1695174157&amp;sr=8-4", "https://www.amazon.com/Klein-Tools-46039-Splicers-Free-Fall/dp/B003AXBJMC/ref=sr_1_4?keywords=Klein+Tools+46037+Cable+Splicer%27s+Kit&amp;qid=1695174157&amp;sr=8-4")</f>
        <v>https://www.amazon.com/Klein-Tools-46039-Splicers-Free-Fall/dp/B003AXBJMC/ref=sr_1_4?keywords=Klein+Tools+46037+Cable+Splicer%27s+Kit&amp;qid=1695174157&amp;sr=8-4</v>
      </c>
      <c r="F3367" t="s">
        <v>7591</v>
      </c>
      <c r="G3367" t="e">
        <f ca="1">_xludf.IMAGE("https://edmondsonsupply.com/cdn/shop/products/46037.jpg?v=1663351986")</f>
        <v>#NAME?</v>
      </c>
      <c r="H3367" t="e">
        <f ca="1">_xludf.IMAGE("https://m.media-amazon.com/images/I/61VAGquLzKL._AC_UL320_.jpg")</f>
        <v>#NAME?</v>
      </c>
      <c r="I3367" t="s">
        <v>246</v>
      </c>
      <c r="J3367">
        <v>44.71</v>
      </c>
      <c r="K3367" s="4">
        <v>0.1186</v>
      </c>
      <c r="L3367">
        <v>4.8</v>
      </c>
      <c r="M3367">
        <v>796</v>
      </c>
      <c r="O3367" t="s">
        <v>25</v>
      </c>
      <c r="P3367" t="s">
        <v>6548</v>
      </c>
      <c r="Q3367" t="s">
        <v>6549</v>
      </c>
    </row>
    <row r="3368" spans="1:17" ht="15.5" x14ac:dyDescent="0.35">
      <c r="A3368" s="3" t="str">
        <f>HYPERLINK("https://edmondsonsupply.com/collections/electricians-tools/products/diablo-tools-dmamxcc5020-2-5-8-in-x-7-in-sds-max-carbide-tipped-core-bit", "https://edmondsonsupply.com/collections/electricians-tools/products/diablo-tools-dmamxcc5020-2-5-8-in-x-7-in-sds-max-carbide-tipped-core-bit")</f>
        <v>https://edmondsonsupply.com/collections/electricians-tools/products/diablo-tools-dmamxcc5020-2-5-8-in-x-7-in-sds-max-carbide-tipped-core-bit</v>
      </c>
      <c r="B3368" s="3" t="str">
        <f>HYPERLINK("https://edmondsonsupply.com/products/diablo-tools-dmamxcc5020-2-5-8-in-x-7-in-sds-max-carbide-tipped-core-bit", "https://edmondsonsupply.com/products/diablo-tools-dmamxcc5020-2-5-8-in-x-7-in-sds-max-carbide-tipped-core-bit")</f>
        <v>https://edmondsonsupply.com/products/diablo-tools-dmamxcc5020-2-5-8-in-x-7-in-sds-max-carbide-tipped-core-bit</v>
      </c>
      <c r="C3368" t="s">
        <v>5895</v>
      </c>
      <c r="D3368" t="s">
        <v>5891</v>
      </c>
      <c r="E3368" s="3" t="str">
        <f>HYPERLINK("https://www.amazon.com/Diablo-DMAMXCC5020-SDS-Max-Carbide-Tipped/dp/B089M7TYBC/ref=sr_1_1?keywords=Diablo+Tools+DMAMXCC5020+2-5%2F8+in.+x+7+in.+SDS-Max+Carbide+Tipped+Core+Bit&amp;qid=1695174025&amp;sr=8-1", "https://www.amazon.com/Diablo-DMAMXCC5020-SDS-Max-Carbide-Tipped/dp/B089M7TYBC/ref=sr_1_1?keywords=Diablo+Tools+DMAMXCC5020+2-5%2F8+in.+x+7+in.+SDS-Max+Carbide+Tipped+Core+Bit&amp;qid=1695174025&amp;sr=8-1")</f>
        <v>https://www.amazon.com/Diablo-DMAMXCC5020-SDS-Max-Carbide-Tipped/dp/B089M7TYBC/ref=sr_1_1?keywords=Diablo+Tools+DMAMXCC5020+2-5%2F8+in.+x+7+in.+SDS-Max+Carbide+Tipped+Core+Bit&amp;qid=1695174025&amp;sr=8-1</v>
      </c>
      <c r="F3368" t="s">
        <v>5892</v>
      </c>
      <c r="G3368" t="e">
        <f ca="1">_xludf.IMAGE("https://edmondsonsupply.com/cdn/shop/files/vashcrdlazsqjug8tmyc.webp?v=1686584484")</f>
        <v>#NAME?</v>
      </c>
      <c r="H3368" t="e">
        <f ca="1">_xludf.IMAGE("https://m.media-amazon.com/images/I/61fu3xDsk5L._AC_UL320_.jpg")</f>
        <v>#NAME?</v>
      </c>
      <c r="I3368" t="s">
        <v>525</v>
      </c>
      <c r="J3368">
        <v>120.46</v>
      </c>
      <c r="K3368" s="4">
        <v>0.11550000000000001</v>
      </c>
      <c r="L3368">
        <v>4.8</v>
      </c>
      <c r="M3368">
        <v>5</v>
      </c>
      <c r="O3368" t="s">
        <v>25</v>
      </c>
      <c r="P3368" t="s">
        <v>5896</v>
      </c>
      <c r="Q3368" t="s">
        <v>5897</v>
      </c>
    </row>
    <row r="3369" spans="1:17" ht="15.5" x14ac:dyDescent="0.35">
      <c r="A3369"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3369" s="3" t="str">
        <f>HYPERLINK("https://edmondsonsupply.com/products/diablo-tools-dag1110-7-8-in-x-7-1-2-in-auger-bit", "https://edmondsonsupply.com/products/diablo-tools-dag1110-7-8-in-x-7-1-2-in-auger-bit")</f>
        <v>https://edmondsonsupply.com/products/diablo-tools-dag1110-7-8-in-x-7-1-2-in-auger-bit</v>
      </c>
      <c r="C3369" t="s">
        <v>6839</v>
      </c>
      <c r="D3369" t="s">
        <v>3903</v>
      </c>
      <c r="E3369" s="3" t="str">
        <f>HYPERLINK("https://www.amazon.com/Diablo-Freud-DAG1110-7-1-Auger/dp/B089KWR9F4/ref=sr_1_1?keywords=Diablo+Tools+DAG1110+7%2F8+in.+x+7-1%2F2+in.+Auger+Bit&amp;qid=1695174030&amp;sr=8-1", "https://www.amazon.com/Diablo-Freud-DAG1110-7-1-Auger/dp/B089KWR9F4/ref=sr_1_1?keywords=Diablo+Tools+DAG1110+7%2F8+in.+x+7-1%2F2+in.+Auger+Bit&amp;qid=1695174030&amp;sr=8-1")</f>
        <v>https://www.amazon.com/Diablo-Freud-DAG1110-7-1-Auger/dp/B089KWR9F4/ref=sr_1_1?keywords=Diablo+Tools+DAG1110+7%2F8+in.+x+7-1%2F2+in.+Auger+Bit&amp;qid=1695174030&amp;sr=8-1</v>
      </c>
      <c r="F3369" t="s">
        <v>3904</v>
      </c>
      <c r="G3369" t="e">
        <f ca="1">_xludf.IMAGE("https://edmondsonsupply.com/cdn/shop/products/yel7mbaiyy08ii0assd5.webp?v=1680187136")</f>
        <v>#NAME?</v>
      </c>
      <c r="H3369" t="e">
        <f ca="1">_xludf.IMAGE("https://m.media-amazon.com/images/I/61FgY3Jv5eL._AC_UL320_.jpg")</f>
        <v>#NAME?</v>
      </c>
      <c r="I3369" t="s">
        <v>4985</v>
      </c>
      <c r="J3369">
        <v>18.920000000000002</v>
      </c>
      <c r="K3369" s="4">
        <v>0.1149</v>
      </c>
      <c r="L3369">
        <v>4.8</v>
      </c>
      <c r="M3369">
        <v>48</v>
      </c>
      <c r="O3369" t="s">
        <v>25</v>
      </c>
      <c r="P3369" t="s">
        <v>6840</v>
      </c>
      <c r="Q3369" t="s">
        <v>6841</v>
      </c>
    </row>
    <row r="3370" spans="1:17" ht="15.5" x14ac:dyDescent="0.35">
      <c r="A3370"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3370" s="3" t="str">
        <f>HYPERLINK("https://edmondsonsupply.com/products/fluke-1587-fc-insulation-multimeter", "https://edmondsonsupply.com/products/fluke-1587-fc-insulation-multimeter")</f>
        <v>https://edmondsonsupply.com/products/fluke-1587-fc-insulation-multimeter</v>
      </c>
      <c r="C3370" t="s">
        <v>4074</v>
      </c>
      <c r="D3370" t="s">
        <v>4075</v>
      </c>
      <c r="E3370" s="3" t="str">
        <f>HYPERLINK("https://www.amazon.com/FLUKE-1587-I400-Insulation-Multimeter-Clamp/dp/B017OVC2HG/ref=sr_1_2?keywords=Fluke+1587+FC+Insulation+Multimeter&amp;qid=1695173858&amp;sr=8-2", "https://www.amazon.com/FLUKE-1587-I400-Insulation-Multimeter-Clamp/dp/B017OVC2HG/ref=sr_1_2?keywords=Fluke+1587+FC+Insulation+Multimeter&amp;qid=1695173858&amp;sr=8-2")</f>
        <v>https://www.amazon.com/FLUKE-1587-I400-Insulation-Multimeter-Clamp/dp/B017OVC2HG/ref=sr_1_2?keywords=Fluke+1587+FC+Insulation+Multimeter&amp;qid=1695173858&amp;sr=8-2</v>
      </c>
      <c r="F3370" t="s">
        <v>4076</v>
      </c>
      <c r="G3370" t="e">
        <f ca="1">_xludf.IMAGE("https://edmondsonsupply.com/cdn/shop/products/Fluke_1587_FC_True-rms_Insulation_Multimeter__1280x1006px_E_NR-20298.jpg?v=1633031188")</f>
        <v>#NAME?</v>
      </c>
      <c r="H3370" t="e">
        <f ca="1">_xludf.IMAGE("https://m.media-amazon.com/images/I/81aUvl4xhJL._AC_UL320_.jpg")</f>
        <v>#NAME?</v>
      </c>
      <c r="I3370" t="s">
        <v>4077</v>
      </c>
      <c r="J3370">
        <v>1036.67</v>
      </c>
      <c r="K3370" s="4">
        <v>0.1147</v>
      </c>
      <c r="L3370">
        <v>4.5999999999999996</v>
      </c>
      <c r="M3370">
        <v>128</v>
      </c>
      <c r="O3370" t="s">
        <v>25</v>
      </c>
      <c r="P3370" t="s">
        <v>4078</v>
      </c>
      <c r="Q3370" t="s">
        <v>4079</v>
      </c>
    </row>
    <row r="3371" spans="1:17" ht="15.5" x14ac:dyDescent="0.35">
      <c r="A3371"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3371" s="3" t="str">
        <f>HYPERLINK("https://edmondsonsupply.com/products/klein-tools-69417-rare-earth-magnetic-meter-hanger", "https://edmondsonsupply.com/products/klein-tools-69417-rare-earth-magnetic-meter-hanger")</f>
        <v>https://edmondsonsupply.com/products/klein-tools-69417-rare-earth-magnetic-meter-hanger</v>
      </c>
      <c r="C3371" t="s">
        <v>1413</v>
      </c>
      <c r="D3371" t="s">
        <v>4874</v>
      </c>
      <c r="E3371" s="3" t="str">
        <f>HYPERLINK("https://www.amazon.com/Klein-Tools-69445-Magnetic-Multimeters/dp/B08CP568HY/ref=sr_1_5?keywords=Klein+Tools+69417+Rare+Earth+Magnetic+Meter+Hanger%2C+with+Strap&amp;qid=1695173948&amp;sr=8-5", "https://www.amazon.com/Klein-Tools-69445-Magnetic-Multimeters/dp/B08CP568HY/ref=sr_1_5?keywords=Klein+Tools+69417+Rare+Earth+Magnetic+Meter+Hanger%2C+with+Strap&amp;qid=1695173948&amp;sr=8-5")</f>
        <v>https://www.amazon.com/Klein-Tools-69445-Magnetic-Multimeters/dp/B08CP568HY/ref=sr_1_5?keywords=Klein+Tools+69417+Rare+Earth+Magnetic+Meter+Hanger%2C+with+Strap&amp;qid=1695173948&amp;sr=8-5</v>
      </c>
      <c r="F3371" t="s">
        <v>4875</v>
      </c>
      <c r="G3371" t="e">
        <f ca="1">_xludf.IMAGE("https://edmondsonsupply.com/cdn/shop/products/69417.jpg?v=1587150163")</f>
        <v>#NAME?</v>
      </c>
      <c r="H3371" t="e">
        <f ca="1">_xludf.IMAGE("https://m.media-amazon.com/images/I/61xhBmfQ1SL._AC_UL320_.jpg")</f>
        <v>#NAME?</v>
      </c>
      <c r="I3371" t="s">
        <v>288</v>
      </c>
      <c r="J3371">
        <v>15.59</v>
      </c>
      <c r="K3371" s="4">
        <v>0.1144</v>
      </c>
      <c r="L3371">
        <v>4.8</v>
      </c>
      <c r="M3371">
        <v>403</v>
      </c>
      <c r="O3371" t="s">
        <v>25</v>
      </c>
      <c r="P3371" t="s">
        <v>845</v>
      </c>
      <c r="Q3371" t="s">
        <v>1416</v>
      </c>
    </row>
    <row r="3372" spans="1:17" ht="15.5" x14ac:dyDescent="0.35">
      <c r="A3372"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3372"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3372" t="s">
        <v>6995</v>
      </c>
      <c r="D3372" t="s">
        <v>2698</v>
      </c>
      <c r="E3372" s="3" t="str">
        <f>HYPERLINK("https://www.amazon.com/Non-Contact-Receptacle-Klein-Tools-RT250KIT/dp/B08YDFQ2FV/ref=sr_1_8?keywords=Klein+Tools+69149P+Test+Kit+with+Multimeter%2C+Non-Contact+Volt+Tester%2C+Receptacle+Tester&amp;qid=1695174288&amp;sr=8-8", "https://www.amazon.com/Non-Contact-Receptacle-Klein-Tools-RT250KIT/dp/B08YDFQ2FV/ref=sr_1_8?keywords=Klein+Tools+69149P+Test+Kit+with+Multimeter%2C+Non-Contact+Volt+Tester%2C+Receptacle+Tester&amp;qid=1695174288&amp;sr=8-8")</f>
        <v>https://www.amazon.com/Non-Contact-Receptacle-Klein-Tools-RT250KIT/dp/B08YDFQ2FV/ref=sr_1_8?keywords=Klein+Tools+69149P+Test+Kit+with+Multimeter%2C+Non-Contact+Volt+Tester%2C+Receptacle+Tester&amp;qid=1695174288&amp;sr=8-8</v>
      </c>
      <c r="F3372" t="s">
        <v>2699</v>
      </c>
      <c r="G3372" t="e">
        <f ca="1">_xludf.IMAGE("https://edmondsonsupply.com/cdn/shop/products/69149p.jpg?v=1664479017")</f>
        <v>#NAME?</v>
      </c>
      <c r="H3372" t="e">
        <f ca="1">_xludf.IMAGE("https://m.media-amazon.com/images/I/61WaBlkJfxL._AC_UL320_.jpg")</f>
        <v>#NAME?</v>
      </c>
      <c r="I3372" t="s">
        <v>246</v>
      </c>
      <c r="J3372">
        <v>44.54</v>
      </c>
      <c r="K3372" s="4">
        <v>0.1143</v>
      </c>
      <c r="L3372">
        <v>4.8</v>
      </c>
      <c r="M3372">
        <v>1269</v>
      </c>
      <c r="O3372" t="s">
        <v>25</v>
      </c>
      <c r="P3372" t="s">
        <v>6996</v>
      </c>
      <c r="Q3372" t="s">
        <v>6997</v>
      </c>
    </row>
    <row r="3373" spans="1:17" ht="15.5" x14ac:dyDescent="0.35">
      <c r="A3373" s="3" t="str">
        <f>HYPERLINK("https://edmondsonsupply.com/collections/electricians-tools/products/klein-tools-rt250kit-premium-dual-range-ncvt-and-gfci-receptacle-tester-electrical-test-kit", "https://edmondsonsupply.com/collections/electricians-tools/products/klein-tools-rt250kit-premium-dual-range-ncvt-and-gfci-receptacle-tester-electrical-test-kit")</f>
        <v>https://edmondsonsupply.com/collections/electricians-tools/products/klein-tools-rt250kit-premium-dual-range-ncvt-and-gfci-receptacle-tester-electrical-test-kit</v>
      </c>
      <c r="B3373" s="3" t="str">
        <f>HYPERLINK("https://edmondsonsupply.com/products/klein-tools-rt250kit-premium-dual-range-ncvt-and-gfci-receptacle-tester-electrical-test-kit", "https://edmondsonsupply.com/products/klein-tools-rt250kit-premium-dual-range-ncvt-and-gfci-receptacle-tester-electrical-test-kit")</f>
        <v>https://edmondsonsupply.com/products/klein-tools-rt250kit-premium-dual-range-ncvt-and-gfci-receptacle-tester-electrical-test-kit</v>
      </c>
      <c r="C3373" t="s">
        <v>7592</v>
      </c>
      <c r="D3373" t="s">
        <v>2698</v>
      </c>
      <c r="E3373" s="3" t="str">
        <f>HYPERLINK("https://www.amazon.com/Non-Contact-Receptacle-Klein-Tools-RT250KIT/dp/B08YDFQ2FV/ref=sr_1_1?keywords=Klein+Tools+RT250KIT+Premium+Dual-Range+NCVT+and+GFCI+Receptacle+Tester+Electrical+Test+Kit&amp;qid=1695174169&amp;sr=8-1", "https://www.amazon.com/Non-Contact-Receptacle-Klein-Tools-RT250KIT/dp/B08YDFQ2FV/ref=sr_1_1?keywords=Klein+Tools+RT250KIT+Premium+Dual-Range+NCVT+and+GFCI+Receptacle+Tester+Electrical+Test+Kit&amp;qid=1695174169&amp;sr=8-1")</f>
        <v>https://www.amazon.com/Non-Contact-Receptacle-Klein-Tools-RT250KIT/dp/B08YDFQ2FV/ref=sr_1_1?keywords=Klein+Tools+RT250KIT+Premium+Dual-Range+NCVT+and+GFCI+Receptacle+Tester+Electrical+Test+Kit&amp;qid=1695174169&amp;sr=8-1</v>
      </c>
      <c r="F3373" t="s">
        <v>2699</v>
      </c>
      <c r="G3373" t="e">
        <f ca="1">_xludf.IMAGE("https://edmondsonsupply.com/cdn/shop/products/rt250kit.jpg?v=1660755074")</f>
        <v>#NAME?</v>
      </c>
      <c r="H3373" t="e">
        <f ca="1">_xludf.IMAGE("https://m.media-amazon.com/images/I/61WaBlkJfxL._AC_UL320_.jpg")</f>
        <v>#NAME?</v>
      </c>
      <c r="I3373" t="s">
        <v>198</v>
      </c>
      <c r="J3373">
        <v>44.54</v>
      </c>
      <c r="K3373" s="4">
        <v>0.1138</v>
      </c>
      <c r="L3373">
        <v>4.8</v>
      </c>
      <c r="M3373">
        <v>1269</v>
      </c>
      <c r="O3373" t="s">
        <v>25</v>
      </c>
      <c r="P3373" t="s">
        <v>4236</v>
      </c>
      <c r="Q3373" t="s">
        <v>7593</v>
      </c>
    </row>
    <row r="3374" spans="1:17" ht="15.5" x14ac:dyDescent="0.35">
      <c r="A3374" s="3" t="str">
        <f>HYPERLINK("https://edmondsonsupply.com/collections/electricians-tools/products/milwaukee-48-22-7218-18-aluminum-pipe-wrench", "https://edmondsonsupply.com/collections/electricians-tools/products/milwaukee-48-22-7218-18-aluminum-pipe-wrench")</f>
        <v>https://edmondsonsupply.com/collections/electricians-tools/products/milwaukee-48-22-7218-18-aluminum-pipe-wrench</v>
      </c>
      <c r="B3374" s="3" t="str">
        <f>HYPERLINK("https://edmondsonsupply.com/products/milwaukee-48-22-7218-18-aluminum-pipe-wrench", "https://edmondsonsupply.com/products/milwaukee-48-22-7218-18-aluminum-pipe-wrench")</f>
        <v>https://edmondsonsupply.com/products/milwaukee-48-22-7218-18-aluminum-pipe-wrench</v>
      </c>
      <c r="C3374" t="s">
        <v>7160</v>
      </c>
      <c r="D3374" t="s">
        <v>3516</v>
      </c>
      <c r="E3374" s="3" t="str">
        <f>HYPERLINK("https://www.amazon.com/Milwaukee-48-22-7213-Aluminum-Wrench-POWERLENGTH/dp/B09VQ6CYDG/ref=sr_1_7?keywords=Milwaukee+48-22-7218+18%22+Aluminum+Pipe+Wrench&amp;qid=1695174033&amp;sr=8-7", "https://www.amazon.com/Milwaukee-48-22-7213-Aluminum-Wrench-POWERLENGTH/dp/B09VQ6CYDG/ref=sr_1_7?keywords=Milwaukee+48-22-7218+18%22+Aluminum+Pipe+Wrench&amp;qid=1695174033&amp;sr=8-7")</f>
        <v>https://www.amazon.com/Milwaukee-48-22-7213-Aluminum-Wrench-POWERLENGTH/dp/B09VQ6CYDG/ref=sr_1_7?keywords=Milwaukee+48-22-7218+18%22+Aluminum+Pipe+Wrench&amp;qid=1695174033&amp;sr=8-7</v>
      </c>
      <c r="F3374" t="s">
        <v>3517</v>
      </c>
      <c r="G3374" t="e">
        <f ca="1">_xludf.IMAGE("https://edmondsonsupply.com/cdn/shop/products/48-22-7218_2_1_742fcb03-c548-4ed9-8aa1-934894b7f36d.png?v=1680096673")</f>
        <v>#NAME?</v>
      </c>
      <c r="H3374" t="e">
        <f ca="1">_xludf.IMAGE("https://m.media-amazon.com/images/I/51qzHa1LxNL._AC_UL320_.jpg")</f>
        <v>#NAME?</v>
      </c>
      <c r="I3374" t="s">
        <v>305</v>
      </c>
      <c r="J3374">
        <v>72.36</v>
      </c>
      <c r="K3374" s="4">
        <v>0.1137</v>
      </c>
      <c r="L3374">
        <v>5</v>
      </c>
      <c r="M3374">
        <v>6</v>
      </c>
      <c r="O3374" t="s">
        <v>25</v>
      </c>
      <c r="P3374" t="s">
        <v>7161</v>
      </c>
      <c r="Q3374" t="s">
        <v>7162</v>
      </c>
    </row>
    <row r="3375" spans="1:17" ht="15.5" x14ac:dyDescent="0.35">
      <c r="A3375"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3375"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3375" t="s">
        <v>7150</v>
      </c>
      <c r="D3375" t="s">
        <v>6026</v>
      </c>
      <c r="E3375" s="3" t="str">
        <f>HYPERLINK("https://www.amazon.com/Klein-Tools-Contrast-Microamps-Rare-Earth/dp/B09T72LQCJ/ref=sr_1_6?keywords=Klein+Tools+CL390+AC%2FDC+Digital+Clamp+Meter%2C+Auto-Ranging+400+Amp&amp;qid=1695174165&amp;sr=8-6", "https://www.amazon.com/Klein-Tools-Contrast-Microamps-Rare-Earth/dp/B09T72LQCJ/ref=sr_1_6?keywords=Klein+Tools+CL390+AC%2FDC+Digital+Clamp+Meter%2C+Auto-Ranging+400+Amp&amp;qid=1695174165&amp;sr=8-6")</f>
        <v>https://www.amazon.com/Klein-Tools-Contrast-Microamps-Rare-Earth/dp/B09T72LQCJ/ref=sr_1_6?keywords=Klein+Tools+CL390+AC%2FDC+Digital+Clamp+Meter%2C+Auto-Ranging+400+Amp&amp;qid=1695174165&amp;sr=8-6</v>
      </c>
      <c r="F3375" t="s">
        <v>6027</v>
      </c>
      <c r="G3375" t="e">
        <f ca="1">_xludf.IMAGE("https://edmondsonsupply.com/cdn/shop/products/cl390.jpg?v=1662670722")</f>
        <v>#NAME?</v>
      </c>
      <c r="H3375" t="e">
        <f ca="1">_xludf.IMAGE("https://m.media-amazon.com/images/I/51sNOvZYe9L._AC_UY218_.jpg")</f>
        <v>#NAME?</v>
      </c>
      <c r="I3375" t="s">
        <v>545</v>
      </c>
      <c r="J3375">
        <v>111.24</v>
      </c>
      <c r="K3375" s="4">
        <v>0.11269999999999999</v>
      </c>
      <c r="L3375">
        <v>4.5999999999999996</v>
      </c>
      <c r="M3375">
        <v>7</v>
      </c>
      <c r="O3375" t="s">
        <v>25</v>
      </c>
      <c r="P3375" t="s">
        <v>7153</v>
      </c>
      <c r="Q3375" t="s">
        <v>7154</v>
      </c>
    </row>
    <row r="3376" spans="1:17" ht="15.5" x14ac:dyDescent="0.35">
      <c r="A3376"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3376"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3376" t="s">
        <v>4105</v>
      </c>
      <c r="D3376" t="s">
        <v>7594</v>
      </c>
      <c r="E3376" s="3" t="str">
        <f>HYPERLINK("https://www.amazon.com/Klein-Tools-J213-9NECR-Jouneyman-High-Leverage/dp/B000BYBZ9U/ref=sr_1_10?keywords=Klein+Tools+D20009NEGLW+High-Visibility+Side-Cutting+Pliers+High-Leverage&amp;qid=1695173949&amp;sr=8-10", "https://www.amazon.com/Klein-Tools-J213-9NECR-Jouneyman-High-Leverage/dp/B000BYBZ9U/ref=sr_1_10?keywords=Klein+Tools+D20009NEGLW+High-Visibility+Side-Cutting+Pliers+High-Leverage&amp;qid=1695173949&amp;sr=8-10")</f>
        <v>https://www.amazon.com/Klein-Tools-J213-9NECR-Jouneyman-High-Leverage/dp/B000BYBZ9U/ref=sr_1_10?keywords=Klein+Tools+D20009NEGLW+High-Visibility+Side-Cutting+Pliers+High-Leverage&amp;qid=1695173949&amp;sr=8-10</v>
      </c>
      <c r="F3376" t="s">
        <v>7595</v>
      </c>
      <c r="G3376" t="e">
        <f ca="1">_xludf.IMAGE("https://edmondsonsupply.com/cdn/shop/products/d20009neglw.jpg?v=1587144933")</f>
        <v>#NAME?</v>
      </c>
      <c r="H3376" t="e">
        <f ca="1">_xludf.IMAGE("https://m.media-amazon.com/images/I/41FjzQmfBpL._AC_UL320_.jpg")</f>
        <v>#NAME?</v>
      </c>
      <c r="I3376" t="s">
        <v>4108</v>
      </c>
      <c r="J3376">
        <v>49.99</v>
      </c>
      <c r="K3376" s="4">
        <v>0.1116</v>
      </c>
      <c r="L3376">
        <v>4.8</v>
      </c>
      <c r="M3376">
        <v>419</v>
      </c>
      <c r="O3376" t="s">
        <v>25</v>
      </c>
      <c r="P3376" t="s">
        <v>4109</v>
      </c>
      <c r="Q3376" t="s">
        <v>4110</v>
      </c>
    </row>
    <row r="3377" spans="1:17" ht="15.5" x14ac:dyDescent="0.35">
      <c r="A3377"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3377" s="3" t="str">
        <f>HYPERLINK("https://edmondsonsupply.com/products/klein-tools-56028-flashlight-with-worklight-led-flashlight", "https://edmondsonsupply.com/products/klein-tools-56028-flashlight-with-worklight-led-flashlight")</f>
        <v>https://edmondsonsupply.com/products/klein-tools-56028-flashlight-with-worklight-led-flashlight</v>
      </c>
      <c r="C3377" t="s">
        <v>7140</v>
      </c>
      <c r="D3377" t="s">
        <v>7596</v>
      </c>
      <c r="E3377" s="3" t="str">
        <f>HYPERLINK("https://www.amazon.com/Klein-Tools-56049-Rechargeable-Headlamp/dp/B089DRF7QW/ref=sr_1_5?keywords=Klein+Tools+56028+LED+Flashlight+with+Work+Light&amp;qid=1695174266&amp;sr=8-5", "https://www.amazon.com/Klein-Tools-56049-Rechargeable-Headlamp/dp/B089DRF7QW/ref=sr_1_5?keywords=Klein+Tools+56028+LED+Flashlight+with+Work+Light&amp;qid=1695174266&amp;sr=8-5")</f>
        <v>https://www.amazon.com/Klein-Tools-56049-Rechargeable-Headlamp/dp/B089DRF7QW/ref=sr_1_5?keywords=Klein+Tools+56028+LED+Flashlight+with+Work+Light&amp;qid=1695174266&amp;sr=8-5</v>
      </c>
      <c r="F3377" t="s">
        <v>7597</v>
      </c>
      <c r="G3377" t="e">
        <f ca="1">_xludf.IMAGE("https://edmondsonsupply.com/cdn/shop/products/56028.jpg?v=1587148656")</f>
        <v>#NAME?</v>
      </c>
      <c r="H3377" t="e">
        <f ca="1">_xludf.IMAGE("https://m.media-amazon.com/images/I/61PyFw1jeZL._AC_UL320_.jpg")</f>
        <v>#NAME?</v>
      </c>
      <c r="I3377" t="s">
        <v>936</v>
      </c>
      <c r="J3377">
        <v>29.97</v>
      </c>
      <c r="K3377" s="4">
        <v>0.11119999999999999</v>
      </c>
      <c r="L3377">
        <v>4.5999999999999996</v>
      </c>
      <c r="M3377">
        <v>387</v>
      </c>
      <c r="O3377" t="s">
        <v>25</v>
      </c>
      <c r="P3377" t="s">
        <v>7141</v>
      </c>
      <c r="Q3377" t="s">
        <v>7142</v>
      </c>
    </row>
    <row r="3378" spans="1:17" ht="15.5" x14ac:dyDescent="0.35">
      <c r="A3378"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3378"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3378" t="s">
        <v>4105</v>
      </c>
      <c r="D3378" t="s">
        <v>4106</v>
      </c>
      <c r="E3378" s="3" t="str">
        <f>HYPERLINK("https://www.amazon.com/Klein-Tools-J2159CRTP-Journeyman-Leverage/dp/B09YSR1M8G/ref=sr_1_6?keywords=Klein+Tools+D20009NEGLW+High-Visibility+Side-Cutting+Pliers+High-Leverage&amp;qid=1695173949&amp;sr=8-6", "https://www.amazon.com/Klein-Tools-J2159CRTP-Journeyman-Leverage/dp/B09YSR1M8G/ref=sr_1_6?keywords=Klein+Tools+D20009NEGLW+High-Visibility+Side-Cutting+Pliers+High-Leverage&amp;qid=1695173949&amp;sr=8-6")</f>
        <v>https://www.amazon.com/Klein-Tools-J2159CRTP-Journeyman-Leverage/dp/B09YSR1M8G/ref=sr_1_6?keywords=Klein+Tools+D20009NEGLW+High-Visibility+Side-Cutting+Pliers+High-Leverage&amp;qid=1695173949&amp;sr=8-6</v>
      </c>
      <c r="F3378" t="s">
        <v>4107</v>
      </c>
      <c r="G3378" t="e">
        <f ca="1">_xludf.IMAGE("https://edmondsonsupply.com/cdn/shop/products/d20009neglw.jpg?v=1587144933")</f>
        <v>#NAME?</v>
      </c>
      <c r="H3378" t="e">
        <f ca="1">_xludf.IMAGE("https://m.media-amazon.com/images/I/41p9xe-fzjL._AC_UL320_.jpg")</f>
        <v>#NAME?</v>
      </c>
      <c r="I3378" t="s">
        <v>4108</v>
      </c>
      <c r="J3378">
        <v>49.97</v>
      </c>
      <c r="K3378" s="4">
        <v>0.11119999999999999</v>
      </c>
      <c r="L3378">
        <v>4.7</v>
      </c>
      <c r="M3378">
        <v>177</v>
      </c>
      <c r="O3378" t="s">
        <v>25</v>
      </c>
      <c r="P3378" t="s">
        <v>4109</v>
      </c>
      <c r="Q3378" t="s">
        <v>4110</v>
      </c>
    </row>
    <row r="3379" spans="1:17" ht="15.5" x14ac:dyDescent="0.35">
      <c r="A3379" s="3" t="str">
        <f>HYPERLINK("https://edmondsonsupply.com/collections/electricians-tools/products/klein-tools-2139nerins-insulated-pliers-side-cutters-9-inch", "https://edmondsonsupply.com/collections/electricians-tools/products/klein-tools-2139nerins-insulated-pliers-side-cutters-9-inch")</f>
        <v>https://edmondsonsupply.com/collections/electricians-tools/products/klein-tools-2139nerins-insulated-pliers-side-cutters-9-inch</v>
      </c>
      <c r="B3379" s="3" t="str">
        <f>HYPERLINK("https://edmondsonsupply.com/products/klein-tools-2139nerins-insulated-pliers-side-cutters-9-inch", "https://edmondsonsupply.com/products/klein-tools-2139nerins-insulated-pliers-side-cutters-9-inch")</f>
        <v>https://edmondsonsupply.com/products/klein-tools-2139nerins-insulated-pliers-side-cutters-9-inch</v>
      </c>
      <c r="C3379" t="s">
        <v>7163</v>
      </c>
      <c r="D3379" t="s">
        <v>7598</v>
      </c>
      <c r="E3379" s="3" t="str">
        <f>HYPERLINK("https://www.amazon.com/Klein-Tools-2139NERINS-Insulated-Induction/dp/B0BFZRMX2B/ref=sr_1_1?keywords=Klein+Tools+2139NERINS+Insulated+Pliers%2C+Side+Cutters%2C+9-Inch&amp;qid=1695174127&amp;sr=8-1", "https://www.amazon.com/Klein-Tools-2139NERINS-Insulated-Induction/dp/B0BFZRMX2B/ref=sr_1_1?keywords=Klein+Tools+2139NERINS+Insulated+Pliers%2C+Side+Cutters%2C+9-Inch&amp;qid=1695174127&amp;sr=8-1")</f>
        <v>https://www.amazon.com/Klein-Tools-2139NERINS-Insulated-Induction/dp/B0BFZRMX2B/ref=sr_1_1?keywords=Klein+Tools+2139NERINS+Insulated+Pliers%2C+Side+Cutters%2C+9-Inch&amp;qid=1695174127&amp;sr=8-1</v>
      </c>
      <c r="F3379" t="s">
        <v>7599</v>
      </c>
      <c r="G3379" t="e">
        <f ca="1">_xludf.IMAGE("https://edmondsonsupply.com/cdn/shop/products/2139nerins.jpg?v=1667237928")</f>
        <v>#NAME?</v>
      </c>
      <c r="H3379" t="e">
        <f ca="1">_xludf.IMAGE("https://m.media-amazon.com/images/I/41W1+RI2nNL._AC_UL320_.jpg")</f>
        <v>#NAME?</v>
      </c>
      <c r="I3379" t="s">
        <v>4108</v>
      </c>
      <c r="J3379">
        <v>49.97</v>
      </c>
      <c r="K3379" s="4">
        <v>0.11119999999999999</v>
      </c>
      <c r="L3379">
        <v>4.5999999999999996</v>
      </c>
      <c r="M3379">
        <v>55</v>
      </c>
      <c r="O3379" t="s">
        <v>25</v>
      </c>
      <c r="P3379" t="s">
        <v>7164</v>
      </c>
      <c r="Q3379" t="s">
        <v>7165</v>
      </c>
    </row>
    <row r="3380" spans="1:17" ht="15.5" x14ac:dyDescent="0.35">
      <c r="A3380" s="3" t="str">
        <f>HYPERLINK("https://edmondsonsupply.com/collections/electricians-tools/products/klein-tools-60346-hard-hat-premium-karbn%E2%84%A2-pattern-non-vented-full-brim-class-e-lamp", "https://edmondsonsupply.com/collections/electricians-tools/products/klein-tools-60346-hard-hat-premium-karbn%E2%84%A2-pattern-non-vented-full-brim-class-e-lamp")</f>
        <v>https://edmondsonsupply.com/collections/electricians-tools/products/klein-tools-60346-hard-hat-premium-karbn%E2%84%A2-pattern-non-vented-full-brim-class-e-lamp</v>
      </c>
      <c r="B3380"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3380" t="s">
        <v>1020</v>
      </c>
      <c r="D3380" t="s">
        <v>962</v>
      </c>
      <c r="E3380" s="3" t="str">
        <f>HYPERLINK("https://www.amazon.com/Klein-Tools-Non-Vented-Premium-Pattern/dp/B09Z8ZC2TJ/ref=sr_1_3?keywords=Klein+Tools+60346+Hard+Hat%2C+Premium+KARBN%E2%84%A2+Pattern%2C+Non-Vented+Full+Brim%2C+Class+E%2C+Lamp&amp;qid=1695173886&amp;sr=8-3", "https://www.amazon.com/Klein-Tools-Non-Vented-Premium-Pattern/dp/B09Z8ZC2TJ/ref=sr_1_3?keywords=Klein+Tools+60346+Hard+Hat%2C+Premium+KARBN%E2%84%A2+Pattern%2C+Non-Vented+Full+Brim%2C+Class+E%2C+Lamp&amp;qid=1695173886&amp;sr=8-3")</f>
        <v>https://www.amazon.com/Klein-Tools-Non-Vented-Premium-Pattern/dp/B09Z8ZC2TJ/ref=sr_1_3?keywords=Klein+Tools+60346+Hard+Hat%2C+Premium+KARBN%E2%84%A2+Pattern%2C+Non-Vented+Full+Brim%2C+Class+E%2C+Lamp&amp;qid=1695173886&amp;sr=8-3</v>
      </c>
      <c r="F3380" t="s">
        <v>963</v>
      </c>
      <c r="G3380" t="e">
        <f ca="1">_xludf.IMAGE("https://edmondsonsupply.com/cdn/shop/products/60346.jpg?v=1660168162")</f>
        <v>#NAME?</v>
      </c>
      <c r="H3380" t="e">
        <f ca="1">_xludf.IMAGE("https://m.media-amazon.com/images/I/51OeMTIeiuL._AC_UL320_.jpg")</f>
        <v>#NAME?</v>
      </c>
      <c r="I3380" t="s">
        <v>315</v>
      </c>
      <c r="J3380">
        <v>99.98</v>
      </c>
      <c r="K3380" s="4">
        <v>0.111</v>
      </c>
      <c r="L3380">
        <v>4.7</v>
      </c>
      <c r="M3380">
        <v>8</v>
      </c>
      <c r="O3380" t="s">
        <v>25</v>
      </c>
      <c r="P3380" t="s">
        <v>917</v>
      </c>
      <c r="Q3380" t="s">
        <v>1021</v>
      </c>
    </row>
    <row r="3381" spans="1:17" ht="15.5" x14ac:dyDescent="0.35">
      <c r="A3381"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3381" s="3" t="str">
        <f>HYPERLINK("https://edmondsonsupply.com/products/klein-tools-et600-insulation-resistance-tester", "https://edmondsonsupply.com/products/klein-tools-et600-insulation-resistance-tester")</f>
        <v>https://edmondsonsupply.com/products/klein-tools-et600-insulation-resistance-tester</v>
      </c>
      <c r="C3381" t="s">
        <v>6505</v>
      </c>
      <c r="D3381" t="s">
        <v>1409</v>
      </c>
      <c r="E3381" s="3" t="str">
        <f>HYPERLINK("https://www.amazon.com/Klein-Tools-Megohmmeter-Insulation-Ohms-Resistance-Auto-Ranging/dp/B0B7NFMBPZ/ref=sr_1_5?keywords=Klein+Tools+ET600+Insulation+Resistance+Tester&amp;qid=1695173907&amp;sr=8-5", "https://www.amazon.com/Klein-Tools-Megohmmeter-Insulation-Ohms-Resistance-Auto-Ranging/dp/B0B7NFMBPZ/ref=sr_1_5?keywords=Klein+Tools+ET600+Insulation+Resistance+Tester&amp;qid=1695173907&amp;sr=8-5")</f>
        <v>https://www.amazon.com/Klein-Tools-Megohmmeter-Insulation-Ohms-Resistance-Auto-Ranging/dp/B0B7NFMBPZ/ref=sr_1_5?keywords=Klein+Tools+ET600+Insulation+Resistance+Tester&amp;qid=1695173907&amp;sr=8-5</v>
      </c>
      <c r="F3381" t="s">
        <v>1410</v>
      </c>
      <c r="G3381" t="e">
        <f ca="1">_xludf.IMAGE("https://edmondsonsupply.com/cdn/shop/products/et600_accessories_b.jpg?v=1677685603")</f>
        <v>#NAME?</v>
      </c>
      <c r="H3381" t="e">
        <f ca="1">_xludf.IMAGE("https://m.media-amazon.com/images/I/61U-LeAD05L._AC_UY218_.jpg")</f>
        <v>#NAME?</v>
      </c>
      <c r="I3381" t="s">
        <v>6506</v>
      </c>
      <c r="J3381">
        <v>183.24</v>
      </c>
      <c r="K3381" s="4">
        <v>0.1106</v>
      </c>
      <c r="L3381">
        <v>4.3</v>
      </c>
      <c r="M3381">
        <v>4</v>
      </c>
      <c r="O3381" t="s">
        <v>25</v>
      </c>
      <c r="P3381" t="s">
        <v>6507</v>
      </c>
      <c r="Q3381" t="s">
        <v>6508</v>
      </c>
    </row>
    <row r="3382" spans="1:17" ht="15.5" x14ac:dyDescent="0.35">
      <c r="A3382"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3382"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3382" t="s">
        <v>6755</v>
      </c>
      <c r="D3382" t="s">
        <v>7600</v>
      </c>
      <c r="E3382" s="3" t="str">
        <f>HYPERLINK("https://www.amazon.com/Insulated-Screwdriver-Klein-Tools-612-4-INS/dp/B00J9S3YR0/ref=sr_1_5?keywords=Klein+Tools+602-4-INS+1%2F4-Inch+Cabinet+Tip+Insulated+Screwdriver%2C+4-Inch&amp;qid=1695174266&amp;sr=8-5", "https://www.amazon.com/Insulated-Screwdriver-Klein-Tools-612-4-INS/dp/B00J9S3YR0/ref=sr_1_5?keywords=Klein+Tools+602-4-INS+1%2F4-Inch+Cabinet+Tip+Insulated+Screwdriver%2C+4-Inch&amp;qid=1695174266&amp;sr=8-5")</f>
        <v>https://www.amazon.com/Insulated-Screwdriver-Klein-Tools-612-4-INS/dp/B00J9S3YR0/ref=sr_1_5?keywords=Klein+Tools+602-4-INS+1%2F4-Inch+Cabinet+Tip+Insulated+Screwdriver%2C+4-Inch&amp;qid=1695174266&amp;sr=8-5</v>
      </c>
      <c r="F3382" t="s">
        <v>7601</v>
      </c>
      <c r="G3382" t="e">
        <f ca="1">_xludf.IMAGE("https://edmondsonsupply.com/cdn/shop/products/602-4-ins-photo.jpg?v=1633031051")</f>
        <v>#NAME?</v>
      </c>
      <c r="H3382" t="e">
        <f ca="1">_xludf.IMAGE("https://m.media-amazon.com/images/I/513EX6NxTCL._AC_UL320_.jpg")</f>
        <v>#NAME?</v>
      </c>
      <c r="I3382" t="s">
        <v>3185</v>
      </c>
      <c r="J3382">
        <v>23.31</v>
      </c>
      <c r="K3382" s="4">
        <v>0.1105</v>
      </c>
      <c r="L3382">
        <v>4.5999999999999996</v>
      </c>
      <c r="M3382">
        <v>180</v>
      </c>
      <c r="O3382" t="s">
        <v>25</v>
      </c>
      <c r="P3382" t="s">
        <v>6758</v>
      </c>
      <c r="Q3382" t="s">
        <v>6759</v>
      </c>
    </row>
    <row r="3383" spans="1:17" ht="15.5" x14ac:dyDescent="0.35">
      <c r="A3383"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3383" s="3" t="str">
        <f>HYPERLINK("https://edmondsonsupply.com/products/klein-tools-mm400-digital-multimeter-auto-ranging-600v", "https://edmondsonsupply.com/products/klein-tools-mm400-digital-multimeter-auto-ranging-600v")</f>
        <v>https://edmondsonsupply.com/products/klein-tools-mm400-digital-multimeter-auto-ranging-600v</v>
      </c>
      <c r="C3383" t="s">
        <v>3356</v>
      </c>
      <c r="D3383" t="s">
        <v>4119</v>
      </c>
      <c r="E3383" s="3" t="str">
        <f>HYPERLINK("https://www.amazon.com/Klein-Tools-Multimeter-Auto-Ranging-Magnetic/dp/B095RFF319/ref=sr_1_2?keywords=Klein+Tools+MM400+Digital+Multimeter%2C+Auto-Ranging%2C+600V&amp;qid=1695173884&amp;sr=8-2", "https://www.amazon.com/Klein-Tools-Multimeter-Auto-Ranging-Magnetic/dp/B095RFF319/ref=sr_1_2?keywords=Klein+Tools+MM400+Digital+Multimeter%2C+Auto-Ranging%2C+600V&amp;qid=1695173884&amp;sr=8-2")</f>
        <v>https://www.amazon.com/Klein-Tools-Multimeter-Auto-Ranging-Magnetic/dp/B095RFF319/ref=sr_1_2?keywords=Klein+Tools+MM400+Digital+Multimeter%2C+Auto-Ranging%2C+600V&amp;qid=1695173884&amp;sr=8-2</v>
      </c>
      <c r="F3383" t="s">
        <v>4120</v>
      </c>
      <c r="G3383" t="e">
        <f ca="1">_xludf.IMAGE("https://edmondsonsupply.com/cdn/shop/products/mm400_alt1.jpg?v=1633030778")</f>
        <v>#NAME?</v>
      </c>
      <c r="H3383" t="e">
        <f ca="1">_xludf.IMAGE("https://m.media-amazon.com/images/I/51JeRgf8UeS._AC_UL320_.jpg")</f>
        <v>#NAME?</v>
      </c>
      <c r="I3383" t="s">
        <v>3359</v>
      </c>
      <c r="J3383">
        <v>60.89</v>
      </c>
      <c r="K3383" s="4">
        <v>0.1077</v>
      </c>
      <c r="L3383">
        <v>4.8</v>
      </c>
      <c r="M3383">
        <v>37</v>
      </c>
      <c r="O3383" t="s">
        <v>25</v>
      </c>
      <c r="P3383" t="s">
        <v>3360</v>
      </c>
      <c r="Q3383" t="s">
        <v>3361</v>
      </c>
    </row>
    <row r="3384" spans="1:17" ht="15.5" x14ac:dyDescent="0.35">
      <c r="A3384" s="3" t="str">
        <f>HYPERLINK("https://edmondsonsupply.com/collections/electricians-tools/products/klein-tools-mm420", "https://edmondsonsupply.com/collections/electricians-tools/products/klein-tools-mm420")</f>
        <v>https://edmondsonsupply.com/collections/electricians-tools/products/klein-tools-mm420</v>
      </c>
      <c r="B3384" s="3" t="str">
        <f>HYPERLINK("https://edmondsonsupply.com/products/klein-tools-mm420", "https://edmondsonsupply.com/products/klein-tools-mm420")</f>
        <v>https://edmondsonsupply.com/products/klein-tools-mm420</v>
      </c>
      <c r="C3384" t="s">
        <v>7602</v>
      </c>
      <c r="D3384" t="s">
        <v>4119</v>
      </c>
      <c r="E3384" s="3" t="str">
        <f>HYPERLINK("https://www.amazon.com/Klein-Tools-Multimeter-Auto-Ranging-Magnetic/dp/B095RFF319/ref=sr_1_4?keywords=Klein+Tools+MM420+Digital+Multimeter%2C+TRMS+Auto-Ranging%2C+600V%2C+Temp&amp;qid=1695174159&amp;sr=8-4", "https://www.amazon.com/Klein-Tools-Multimeter-Auto-Ranging-Magnetic/dp/B095RFF319/ref=sr_1_4?keywords=Klein+Tools+MM420+Digital+Multimeter%2C+TRMS+Auto-Ranging%2C+600V%2C+Temp&amp;qid=1695174159&amp;sr=8-4")</f>
        <v>https://www.amazon.com/Klein-Tools-Multimeter-Auto-Ranging-Magnetic/dp/B095RFF319/ref=sr_1_4?keywords=Klein+Tools+MM420+Digital+Multimeter%2C+TRMS+Auto-Ranging%2C+600V%2C+Temp&amp;qid=1695174159&amp;sr=8-4</v>
      </c>
      <c r="F3384" t="s">
        <v>4120</v>
      </c>
      <c r="G3384" t="e">
        <f ca="1">_xludf.IMAGE("https://edmondsonsupply.com/cdn/shop/products/mm420.jpg?v=1663610900")</f>
        <v>#NAME?</v>
      </c>
      <c r="H3384" t="e">
        <f ca="1">_xludf.IMAGE("https://m.media-amazon.com/images/I/51JeRgf8UeS._AC_UL320_.jpg")</f>
        <v>#NAME?</v>
      </c>
      <c r="I3384" t="s">
        <v>3359</v>
      </c>
      <c r="J3384">
        <v>60.89</v>
      </c>
      <c r="K3384" s="4">
        <v>0.1077</v>
      </c>
      <c r="L3384">
        <v>4.8</v>
      </c>
      <c r="M3384">
        <v>37</v>
      </c>
      <c r="O3384" t="s">
        <v>25</v>
      </c>
      <c r="P3384" t="s">
        <v>7603</v>
      </c>
      <c r="Q3384" t="s">
        <v>7604</v>
      </c>
    </row>
    <row r="3385" spans="1:17" ht="15.5" x14ac:dyDescent="0.35">
      <c r="A3385"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3385"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385" t="s">
        <v>896</v>
      </c>
      <c r="D3385" t="s">
        <v>1022</v>
      </c>
      <c r="E3385" s="3" t="str">
        <f>HYPERLINK("https://www.amazon.com/Klein-Tools-60536-Professional-Protective/dp/B0BLQWVJDB/ref=sr_1_2?keywords=Klein+Tools+60537+Professional+Safety+Glasses%2C+Full-Frame%2C+Indoor%2FOutdoor+Lens&amp;qid=1695174097&amp;sr=8-2", "https://www.amazon.com/Klein-Tools-60536-Professional-Protective/dp/B0BLQWVJDB/ref=sr_1_2?keywords=Klein+Tools+60537+Professional+Safety+Glasses%2C+Full-Frame%2C+Indoor%2FOutdoor+Lens&amp;qid=1695174097&amp;sr=8-2")</f>
        <v>https://www.amazon.com/Klein-Tools-60536-Professional-Protective/dp/B0BLQWVJDB/ref=sr_1_2?keywords=Klein+Tools+60537+Professional+Safety+Glasses%2C+Full-Frame%2C+Indoor%2FOutdoor+Lens&amp;qid=1695174097&amp;sr=8-2</v>
      </c>
      <c r="F3385" t="s">
        <v>1023</v>
      </c>
      <c r="G3385" t="e">
        <f ca="1">_xludf.IMAGE("https://edmondsonsupply.com/cdn/shop/products/60537.jpg?v=1670947087")</f>
        <v>#NAME?</v>
      </c>
      <c r="H3385" t="e">
        <f ca="1">_xludf.IMAGE("https://m.media-amazon.com/images/I/41rAXCZifQL._AC_UL320_.jpg")</f>
        <v>#NAME?</v>
      </c>
      <c r="I3385" t="s">
        <v>276</v>
      </c>
      <c r="J3385">
        <v>16.600000000000001</v>
      </c>
      <c r="K3385" s="4">
        <v>0.1074</v>
      </c>
      <c r="L3385">
        <v>4.4000000000000004</v>
      </c>
      <c r="M3385">
        <v>374</v>
      </c>
      <c r="O3385" t="s">
        <v>25</v>
      </c>
      <c r="P3385" t="s">
        <v>277</v>
      </c>
      <c r="Q3385" t="s">
        <v>897</v>
      </c>
    </row>
    <row r="3386" spans="1:17" ht="15.5" x14ac:dyDescent="0.35">
      <c r="A3386"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3386"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3386" t="s">
        <v>6425</v>
      </c>
      <c r="D3386" t="s">
        <v>5283</v>
      </c>
      <c r="E3386" s="3" t="str">
        <f>HYPERLINK("https://www.amazon.com/Klein-Tools-NCVT1XTKIT-Non-Contact-Detector/dp/B0BNLRMNF2/ref=sr_1_3?keywords=Klein+Tools+ET45VP+AC%2FDC+Voltage+and+GFCI+Receptacle+Outlet+Test+Kit&amp;qid=1695174178&amp;sr=8-3", "https://www.amazon.com/Klein-Tools-NCVT1XTKIT-Non-Contact-Detector/dp/B0BNLRMNF2/ref=sr_1_3?keywords=Klein+Tools+ET45VP+AC%2FDC+Voltage+and+GFCI+Receptacle+Outlet+Test+Kit&amp;qid=1695174178&amp;sr=8-3")</f>
        <v>https://www.amazon.com/Klein-Tools-NCVT1XTKIT-Non-Contact-Detector/dp/B0BNLRMNF2/ref=sr_1_3?keywords=Klein+Tools+ET45VP+AC%2FDC+Voltage+and+GFCI+Receptacle+Outlet+Test+Kit&amp;qid=1695174178&amp;sr=8-3</v>
      </c>
      <c r="F3386" t="s">
        <v>5284</v>
      </c>
      <c r="G3386" t="e">
        <f ca="1">_xludf.IMAGE("https://edmondsonsupply.com/cdn/shop/products/et45vp.jpg?v=1660755922")</f>
        <v>#NAME?</v>
      </c>
      <c r="H3386" t="e">
        <f ca="1">_xludf.IMAGE("https://m.media-amazon.com/images/I/51enmFcuhEL._AC_UL320_.jpg")</f>
        <v>#NAME?</v>
      </c>
      <c r="I3386" t="s">
        <v>2586</v>
      </c>
      <c r="J3386">
        <v>19.88</v>
      </c>
      <c r="K3386" s="4">
        <v>0.10630000000000001</v>
      </c>
      <c r="L3386">
        <v>4.7</v>
      </c>
      <c r="M3386">
        <v>4231</v>
      </c>
      <c r="O3386" t="s">
        <v>25</v>
      </c>
      <c r="P3386" t="s">
        <v>6426</v>
      </c>
      <c r="Q3386" t="s">
        <v>6427</v>
      </c>
    </row>
    <row r="3387" spans="1:17" ht="15.5" x14ac:dyDescent="0.35">
      <c r="A3387"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3387"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3387" t="s">
        <v>2430</v>
      </c>
      <c r="D3387" t="s">
        <v>4123</v>
      </c>
      <c r="E3387" s="3" t="str">
        <f>HYPERLINK("https://www.amazon.com/Klein-Tools-670-6-Screwdriver-Rapi-Driv/dp/B000BO9T3Y/ref=sr_1_5?keywords=Klein+Tools+605-6+1%2F4-Inch+Cabinet+Tip+Screwdriver%2C+Heavy+Duty%2C+6-Inch&amp;qid=1695173888&amp;sr=8-5", "https://www.amazon.com/Klein-Tools-670-6-Screwdriver-Rapi-Driv/dp/B000BO9T3Y/ref=sr_1_5?keywords=Klein+Tools+605-6+1%2F4-Inch+Cabinet+Tip+Screwdriver%2C+Heavy+Duty%2C+6-Inch&amp;qid=1695173888&amp;sr=8-5")</f>
        <v>https://www.amazon.com/Klein-Tools-670-6-Screwdriver-Rapi-Driv/dp/B000BO9T3Y/ref=sr_1_5?keywords=Klein+Tools+605-6+1%2F4-Inch+Cabinet+Tip+Screwdriver%2C+Heavy+Duty%2C+6-Inch&amp;qid=1695173888&amp;sr=8-5</v>
      </c>
      <c r="F3387" t="s">
        <v>4124</v>
      </c>
      <c r="G3387" t="e">
        <f ca="1">_xludf.IMAGE("https://edmondsonsupply.com/cdn/shop/products/605-6.jpg?v=1587149759")</f>
        <v>#NAME?</v>
      </c>
      <c r="H3387" t="e">
        <f ca="1">_xludf.IMAGE("https://m.media-amazon.com/images/I/31+1RSUdZ+S._AC_UL320_.jpg")</f>
        <v>#NAME?</v>
      </c>
      <c r="I3387" t="s">
        <v>2433</v>
      </c>
      <c r="J3387">
        <v>10.49</v>
      </c>
      <c r="K3387" s="4">
        <v>0.10539999999999999</v>
      </c>
      <c r="L3387">
        <v>4.8</v>
      </c>
      <c r="M3387">
        <v>1607</v>
      </c>
      <c r="O3387" t="s">
        <v>25</v>
      </c>
      <c r="P3387" t="s">
        <v>2434</v>
      </c>
      <c r="Q3387" t="s">
        <v>2435</v>
      </c>
    </row>
    <row r="3388" spans="1:17" ht="15.5" x14ac:dyDescent="0.35">
      <c r="A3388" s="3" t="str">
        <f>HYPERLINK("https://edmondsonsupply.com/collections/electricians-tools/products/diablo-tools-d0724x-7-1-4-in-x-24-tooth-framing-saw-blade", "https://edmondsonsupply.com/collections/electricians-tools/products/diablo-tools-d0724x-7-1-4-in-x-24-tooth-framing-saw-blade")</f>
        <v>https://edmondsonsupply.com/collections/electricians-tools/products/diablo-tools-d0724x-7-1-4-in-x-24-tooth-framing-saw-blade</v>
      </c>
      <c r="B3388" s="3" t="str">
        <f>HYPERLINK("https://edmondsonsupply.com/products/diablo-tools-d0724x-7-1-4-in-x-24-tooth-framing-saw-blade", "https://edmondsonsupply.com/products/diablo-tools-d0724x-7-1-4-in-x-24-tooth-framing-saw-blade")</f>
        <v>https://edmondsonsupply.com/products/diablo-tools-d0724x-7-1-4-in-x-24-tooth-framing-saw-blade</v>
      </c>
      <c r="C3388" t="s">
        <v>6271</v>
      </c>
      <c r="D3388" t="s">
        <v>7605</v>
      </c>
      <c r="E3388" s="3" t="str">
        <f>HYPERLINK("https://www.amazon.com/D0724X-Diablo-Carbide-Framing-Knockout/dp/B00006407Q/ref=sr_1_1?keywords=Diablo+Tools+D0724X+7-1%2F4+in.+x+24+Tooth+Framing+Saw+Blade&amp;qid=1695174060&amp;sr=8-1", "https://www.amazon.com/D0724X-Diablo-Carbide-Framing-Knockout/dp/B00006407Q/ref=sr_1_1?keywords=Diablo+Tools+D0724X+7-1%2F4+in.+x+24+Tooth+Framing+Saw+Blade&amp;qid=1695174060&amp;sr=8-1")</f>
        <v>https://www.amazon.com/D0724X-Diablo-Carbide-Framing-Knockout/dp/B00006407Q/ref=sr_1_1?keywords=Diablo+Tools+D0724X+7-1%2F4+in.+x+24+Tooth+Framing+Saw+Blade&amp;qid=1695174060&amp;sr=8-1</v>
      </c>
      <c r="F3388" t="s">
        <v>7606</v>
      </c>
      <c r="G3388" t="e">
        <f ca="1">_xludf.IMAGE("https://edmondsonsupply.com/cdn/shop/products/D0724A_Main-Image20200218_ba34939c-8546-489a-9616-b05338ff91cc.png?v=1678971696")</f>
        <v>#NAME?</v>
      </c>
      <c r="H3388" t="e">
        <f ca="1">_xludf.IMAGE("https://m.media-amazon.com/images/I/817MeNjLv8L._AC_UL320_.jpg")</f>
        <v>#NAME?</v>
      </c>
      <c r="I3388" t="s">
        <v>1427</v>
      </c>
      <c r="J3388">
        <v>11</v>
      </c>
      <c r="K3388" s="4">
        <v>0.1033</v>
      </c>
      <c r="L3388">
        <v>4.8</v>
      </c>
      <c r="M3388">
        <v>1306</v>
      </c>
      <c r="O3388" t="s">
        <v>25</v>
      </c>
      <c r="P3388" t="s">
        <v>6274</v>
      </c>
      <c r="Q3388" t="s">
        <v>6275</v>
      </c>
    </row>
    <row r="3389" spans="1:17" ht="15.5" x14ac:dyDescent="0.35">
      <c r="A3389"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3389" s="3" t="str">
        <f>HYPERLINK("https://edmondsonsupply.com/products/fluke-c60-soft-carrying-case", "https://edmondsonsupply.com/products/fluke-c60-soft-carrying-case")</f>
        <v>https://edmondsonsupply.com/products/fluke-c60-soft-carrying-case</v>
      </c>
      <c r="C3389" t="s">
        <v>265</v>
      </c>
      <c r="D3389" t="s">
        <v>503</v>
      </c>
      <c r="E3389" s="3" t="str">
        <f>HYPERLINK("https://www.amazon.com/Fluke-C150-Zippered-Carrying-T5-1000/dp/B01C3ECK5S/ref=sr_1_7?keywords=Fluke+C60+Soft+Carrying+Case&amp;qid=1695174290&amp;sr=8-7", "https://www.amazon.com/Fluke-C150-Zippered-Carrying-T5-1000/dp/B01C3ECK5S/ref=sr_1_7?keywords=Fluke+C60+Soft+Carrying+Case&amp;qid=1695174290&amp;sr=8-7")</f>
        <v>https://www.amazon.com/Fluke-C150-Zippered-Carrying-T5-1000/dp/B01C3ECK5S/ref=sr_1_7?keywords=Fluke+C60+Soft+Carrying+Case&amp;qid=1695174290&amp;sr=8-7</v>
      </c>
      <c r="F3389" t="s">
        <v>504</v>
      </c>
      <c r="G3389" t="e">
        <f ca="1">_xludf.IMAGE("https://edmondsonsupply.com/cdn/shop/products/c60.png?v=1633030926")</f>
        <v>#NAME?</v>
      </c>
      <c r="H3389" t="e">
        <f ca="1">_xludf.IMAGE("https://m.media-amazon.com/images/I/61l4A5eTrxL._AC_UL320_.jpg")</f>
        <v>#NAME?</v>
      </c>
      <c r="I3389" t="s">
        <v>268</v>
      </c>
      <c r="J3389">
        <v>54.59</v>
      </c>
      <c r="K3389" s="4">
        <v>0.1031</v>
      </c>
      <c r="L3389">
        <v>4.5999999999999996</v>
      </c>
      <c r="M3389">
        <v>300</v>
      </c>
      <c r="O3389" t="s">
        <v>25</v>
      </c>
      <c r="P3389" t="s">
        <v>269</v>
      </c>
      <c r="Q3389" t="s">
        <v>270</v>
      </c>
    </row>
    <row r="3390" spans="1:17" ht="15.5" x14ac:dyDescent="0.35">
      <c r="A3390"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3390" s="3" t="str">
        <f>HYPERLINK("https://edmondsonsupply.com/products/milwaukee-2953-22-m18-fuel%e2%84%a2-1-4-hex-impact-driver-kit", "https://edmondsonsupply.com/products/milwaukee-2953-22-m18-fuel%e2%84%a2-1-4-hex-impact-driver-kit")</f>
        <v>https://edmondsonsupply.com/products/milwaukee-2953-22-m18-fuel%e2%84%a2-1-4-hex-impact-driver-kit</v>
      </c>
      <c r="C3390" t="s">
        <v>7565</v>
      </c>
      <c r="D3390" t="s">
        <v>7607</v>
      </c>
      <c r="E3390" s="3" t="str">
        <f>HYPERLINK("https://www.amazon.com/Milwaukee-MLW285322-Fuel-Impact-Driver/dp/B07CZSSFR5/ref=sr_1_2?keywords=Milwaukee+2953-22+M18+FUEL%E2%84%A2+1%2F4%22+Hex+Impact+Driver+Kit&amp;qid=1695174155&amp;sr=8-2", "https://www.amazon.com/Milwaukee-MLW285322-Fuel-Impact-Driver/dp/B07CZSSFR5/ref=sr_1_2?keywords=Milwaukee+2953-22+M18+FUEL%E2%84%A2+1%2F4%22+Hex+Impact+Driver+Kit&amp;qid=1695174155&amp;sr=8-2")</f>
        <v>https://www.amazon.com/Milwaukee-MLW285322-Fuel-Impact-Driver/dp/B07CZSSFR5/ref=sr_1_2?keywords=Milwaukee+2953-22+M18+FUEL%E2%84%A2+1%2F4%22+Hex+Impact+Driver+Kit&amp;qid=1695174155&amp;sr=8-2</v>
      </c>
      <c r="F3390" t="s">
        <v>7608</v>
      </c>
      <c r="G3390" t="e">
        <f ca="1">_xludf.IMAGE("https://edmondsonsupply.com/cdn/shop/products/29532022ImageReel2.webp?v=1663599746")</f>
        <v>#NAME?</v>
      </c>
      <c r="H3390" t="e">
        <f ca="1">_xludf.IMAGE("https://m.media-amazon.com/images/I/71wTNkovMkL._AC_UL320_.jpg")</f>
        <v>#NAME?</v>
      </c>
      <c r="I3390" t="s">
        <v>5012</v>
      </c>
      <c r="J3390">
        <v>329</v>
      </c>
      <c r="K3390" s="4">
        <v>0.1003</v>
      </c>
      <c r="L3390">
        <v>4.7</v>
      </c>
      <c r="M3390">
        <v>255</v>
      </c>
      <c r="O3390" t="s">
        <v>25</v>
      </c>
      <c r="P3390" t="s">
        <v>7566</v>
      </c>
      <c r="Q3390" t="s">
        <v>7567</v>
      </c>
    </row>
    <row r="3391" spans="1:17" ht="15.5" x14ac:dyDescent="0.35">
      <c r="A3391" s="3" t="str">
        <f>HYPERLINK("https://edmondsonsupply.com/collections/electricians-tools/products/channellock-431", "https://edmondsonsupply.com/collections/electricians-tools/products/channellock-431")</f>
        <v>https://edmondsonsupply.com/collections/electricians-tools/products/channellock-431</v>
      </c>
      <c r="B3391" s="3" t="str">
        <f>HYPERLINK("https://edmondsonsupply.com/products/channellock-431", "https://edmondsonsupply.com/products/channellock-431")</f>
        <v>https://edmondsonsupply.com/products/channellock-431</v>
      </c>
      <c r="C3391" t="s">
        <v>3341</v>
      </c>
      <c r="D3391" t="s">
        <v>3573</v>
      </c>
      <c r="E3391" s="3" t="str">
        <f>HYPERLINK("https://www.amazon.com/Channellock-440-12-Inch-Tongue-Groove/dp/B00004SBCU/ref=sr_1_7?keywords=Channellock+432+10-Inch+V-Jaw+Tongue&amp;qid=1695173959&amp;sr=8-7", "https://www.amazon.com/Channellock-440-12-Inch-Tongue-Groove/dp/B00004SBCU/ref=sr_1_7?keywords=Channellock+432+10-Inch+V-Jaw+Tongue&amp;qid=1695173959&amp;sr=8-7")</f>
        <v>https://www.amazon.com/Channellock-440-12-Inch-Tongue-Groove/dp/B00004SBCU/ref=sr_1_7?keywords=Channellock+432+10-Inch+V-Jaw+Tongue&amp;qid=1695173959&amp;sr=8-7</v>
      </c>
      <c r="F3391" t="s">
        <v>3574</v>
      </c>
      <c r="G3391" t="e">
        <f ca="1">_xludf.IMAGE("https://edmondsonsupply.com/cdn/shop/products/432-683x1024.jpg?v=1587147134")</f>
        <v>#NAME?</v>
      </c>
      <c r="H3391" t="e">
        <f ca="1">_xludf.IMAGE("https://m.media-amazon.com/images/I/71FM1bkavsL._AC_UL320_.jpg")</f>
        <v>#NAME?</v>
      </c>
      <c r="I3391" t="s">
        <v>488</v>
      </c>
      <c r="J3391">
        <v>21.95</v>
      </c>
      <c r="K3391" s="4">
        <v>0.1003</v>
      </c>
      <c r="L3391">
        <v>4.8</v>
      </c>
      <c r="M3391">
        <v>3565</v>
      </c>
      <c r="O3391" t="s">
        <v>25</v>
      </c>
      <c r="P3391" t="s">
        <v>3344</v>
      </c>
      <c r="Q3391" t="s">
        <v>3345</v>
      </c>
    </row>
    <row r="3392" spans="1:17" ht="15.5" x14ac:dyDescent="0.35">
      <c r="A3392" s="3" t="str">
        <f>HYPERLINK("https://edmondsonsupply.com/collections/electricians-tools/products/klein-tools-44131-folding-utility-knife", "https://edmondsonsupply.com/collections/electricians-tools/products/klein-tools-44131-folding-utility-knife")</f>
        <v>https://edmondsonsupply.com/collections/electricians-tools/products/klein-tools-44131-folding-utility-knife</v>
      </c>
      <c r="B3392" s="3" t="str">
        <f>HYPERLINK("https://edmondsonsupply.com/products/klein-tools-44131-folding-utility-knife", "https://edmondsonsupply.com/products/klein-tools-44131-folding-utility-knife")</f>
        <v>https://edmondsonsupply.com/products/klein-tools-44131-folding-utility-knife</v>
      </c>
      <c r="C3392" t="s">
        <v>4138</v>
      </c>
      <c r="D3392" t="s">
        <v>4139</v>
      </c>
      <c r="E3392" s="3" t="str">
        <f>HYPERLINK("https://www.amazon.com/Replaceable-Mechanism-Klein-Tools-44218/dp/B071YR1Q2L/ref=sr_1_3?keywords=Klein+Tools+44131+Folding+Utility+Knife&amp;qid=1695173893&amp;sr=8-3", "https://www.amazon.com/Replaceable-Mechanism-Klein-Tools-44218/dp/B071YR1Q2L/ref=sr_1_3?keywords=Klein+Tools+44131+Folding+Utility+Knife&amp;qid=1695173893&amp;sr=8-3")</f>
        <v>https://www.amazon.com/Replaceable-Mechanism-Klein-Tools-44218/dp/B071YR1Q2L/ref=sr_1_3?keywords=Klein+Tools+44131+Folding+Utility+Knife&amp;qid=1695173893&amp;sr=8-3</v>
      </c>
      <c r="F3392" t="s">
        <v>4140</v>
      </c>
      <c r="G3392" t="e">
        <f ca="1">_xludf.IMAGE("https://edmondsonsupply.com/cdn/shop/files/44131.jpg?v=1685458449")</f>
        <v>#NAME?</v>
      </c>
      <c r="H3392" t="e">
        <f ca="1">_xludf.IMAGE("https://m.media-amazon.com/images/I/41ToQfPYPnL._AC_UL320_.jpg")</f>
        <v>#NAME?</v>
      </c>
      <c r="I3392" t="s">
        <v>893</v>
      </c>
      <c r="J3392">
        <v>21.97</v>
      </c>
      <c r="K3392" s="4">
        <v>0.1002</v>
      </c>
      <c r="L3392">
        <v>4.8</v>
      </c>
      <c r="M3392">
        <v>3348</v>
      </c>
      <c r="O3392" t="s">
        <v>25</v>
      </c>
      <c r="P3392" t="s">
        <v>4141</v>
      </c>
      <c r="Q3392" t="s">
        <v>4142</v>
      </c>
    </row>
    <row r="3393" spans="1:17" ht="15.5" x14ac:dyDescent="0.35">
      <c r="A3393" s="3" t="str">
        <f>HYPERLINK("https://edmondsonsupply.com/collections/electricians-tools/products/klein-tools-13156-screwdriver-blades-insulated-single-end-2-pack", "https://edmondsonsupply.com/collections/electricians-tools/products/klein-tools-13156-screwdriver-blades-insulated-single-end-2-pack")</f>
        <v>https://edmondsonsupply.com/collections/electricians-tools/products/klein-tools-13156-screwdriver-blades-insulated-single-end-2-pack</v>
      </c>
      <c r="B3393" s="3" t="str">
        <f>HYPERLINK("https://edmondsonsupply.com/products/klein-tools-13156-screwdriver-blades-insulated-single-end-2-pack", "https://edmondsonsupply.com/products/klein-tools-13156-screwdriver-blades-insulated-single-end-2-pack")</f>
        <v>https://edmondsonsupply.com/products/klein-tools-13156-screwdriver-blades-insulated-single-end-2-pack</v>
      </c>
      <c r="C3393" t="s">
        <v>7281</v>
      </c>
      <c r="D3393" t="s">
        <v>7609</v>
      </c>
      <c r="E3393" s="3" t="str">
        <f>HYPERLINK("https://www.amazon.com/Klein-Tools-13156-Interchangeable-Screwdrivers/dp/B07XJZ4CJN/ref=sr_1_1?keywords=Klein+Tools+13156+Screwdriver+Blades%2C+Insulated+Single-End%2C+2-Pack&amp;qid=1695173950&amp;sr=8-1", "https://www.amazon.com/Klein-Tools-13156-Interchangeable-Screwdrivers/dp/B07XJZ4CJN/ref=sr_1_1?keywords=Klein+Tools+13156+Screwdriver+Blades%2C+Insulated+Single-End%2C+2-Pack&amp;qid=1695173950&amp;sr=8-1")</f>
        <v>https://www.amazon.com/Klein-Tools-13156-Interchangeable-Screwdrivers/dp/B07XJZ4CJN/ref=sr_1_1?keywords=Klein+Tools+13156+Screwdriver+Blades%2C+Insulated+Single-End%2C+2-Pack&amp;qid=1695173950&amp;sr=8-1</v>
      </c>
      <c r="F3393" t="s">
        <v>7610</v>
      </c>
      <c r="G3393" t="e">
        <f ca="1">_xludf.IMAGE("https://edmondsonsupply.com/cdn/shop/products/13156.jpg?v=1587146923")</f>
        <v>#NAME?</v>
      </c>
      <c r="H3393" t="e">
        <f ca="1">_xludf.IMAGE("https://m.media-amazon.com/images/I/41bES4KYVYL._AC_UL320_.jpg")</f>
        <v>#NAME?</v>
      </c>
      <c r="I3393" t="s">
        <v>276</v>
      </c>
      <c r="J3393">
        <v>16.489999999999998</v>
      </c>
      <c r="K3393" s="4">
        <v>0.10009999999999999</v>
      </c>
      <c r="L3393">
        <v>4.7</v>
      </c>
      <c r="M3393">
        <v>105</v>
      </c>
      <c r="O3393" t="s">
        <v>25</v>
      </c>
      <c r="P3393" t="s">
        <v>7284</v>
      </c>
      <c r="Q3393" t="s">
        <v>7285</v>
      </c>
    </row>
    <row r="3394" spans="1:17" ht="15.5" x14ac:dyDescent="0.35">
      <c r="A3394" s="3" t="str">
        <f>HYPERLINK("https://edmondsonsupply.com/collections/electricians-tools/products/klein-tools-935r-aluminum-torpedo-level-rare-earth-magnet", "https://edmondsonsupply.com/collections/electricians-tools/products/klein-tools-935r-aluminum-torpedo-level-rare-earth-magnet")</f>
        <v>https://edmondsonsupply.com/collections/electricians-tools/products/klein-tools-935r-aluminum-torpedo-level-rare-earth-magnet</v>
      </c>
      <c r="B3394" s="3" t="str">
        <f>HYPERLINK("https://edmondsonsupply.com/products/klein-tools-935r-aluminum-torpedo-level-rare-earth-magnet", "https://edmondsonsupply.com/products/klein-tools-935r-aluminum-torpedo-level-rare-earth-magnet")</f>
        <v>https://edmondsonsupply.com/products/klein-tools-935r-aluminum-torpedo-level-rare-earth-magnet</v>
      </c>
      <c r="C3394" t="s">
        <v>3123</v>
      </c>
      <c r="D3394" t="s">
        <v>4143</v>
      </c>
      <c r="E3394" s="3" t="str">
        <f>HYPERLINK("https://www.amazon.com/Magnetic-Aluminum-Klein-Tools-935R/dp/B01M7SWA5B/ref=sr_1_1?keywords=Klein+Tools+935R+Aluminum+Torpedo+Level+Rare+Earth+Magnet%2C+9-Inch&amp;qid=1695173905&amp;sr=8-1", "https://www.amazon.com/Magnetic-Aluminum-Klein-Tools-935R/dp/B01M7SWA5B/ref=sr_1_1?keywords=Klein+Tools+935R+Aluminum+Torpedo+Level+Rare+Earth+Magnet%2C+9-Inch&amp;qid=1695173905&amp;sr=8-1")</f>
        <v>https://www.amazon.com/Magnetic-Aluminum-Klein-Tools-935R/dp/B01M7SWA5B/ref=sr_1_1?keywords=Klein+Tools+935R+Aluminum+Torpedo+Level+Rare+Earth+Magnet%2C+9-Inch&amp;qid=1695173905&amp;sr=8-1</v>
      </c>
      <c r="F3394" t="s">
        <v>4144</v>
      </c>
      <c r="G3394" t="e">
        <f ca="1">_xludf.IMAGE("https://edmondsonsupply.com/cdn/shop/products/935r_b.jpg?v=1658103129")</f>
        <v>#NAME?</v>
      </c>
      <c r="H3394" t="e">
        <f ca="1">_xludf.IMAGE("https://m.media-amazon.com/images/I/51BvZgLyLHL._AC_UL320_.jpg")</f>
        <v>#NAME?</v>
      </c>
      <c r="I3394" t="s">
        <v>577</v>
      </c>
      <c r="J3394">
        <v>21.99</v>
      </c>
      <c r="K3394" s="4">
        <v>0.10009999999999999</v>
      </c>
      <c r="L3394">
        <v>4.5</v>
      </c>
      <c r="M3394">
        <v>766</v>
      </c>
      <c r="O3394" t="s">
        <v>25</v>
      </c>
      <c r="P3394" t="s">
        <v>466</v>
      </c>
      <c r="Q3394" t="s">
        <v>3126</v>
      </c>
    </row>
    <row r="3395" spans="1:17" ht="15.5" x14ac:dyDescent="0.35">
      <c r="A3395" s="3" t="str">
        <f>HYPERLINK("https://edmondsonsupply.com/collections/electricians-tools/products/john-boy-grass-face-guard", "https://edmondsonsupply.com/collections/electricians-tools/products/john-boy-grass-face-guard")</f>
        <v>https://edmondsonsupply.com/collections/electricians-tools/products/john-boy-grass-face-guard</v>
      </c>
      <c r="B3395" s="3" t="str">
        <f>HYPERLINK("https://edmondsonsupply.com/products/john-boy-grass-face-guard", "https://edmondsonsupply.com/products/john-boy-grass-face-guard")</f>
        <v>https://edmondsonsupply.com/products/john-boy-grass-face-guard</v>
      </c>
      <c r="C3395" t="s">
        <v>1065</v>
      </c>
      <c r="D3395" t="s">
        <v>1062</v>
      </c>
      <c r="E3395" s="3" t="str">
        <f>HYPERLINK("https://www.amazon.com/JOHN-BOY-Hunting-Face-Guard/dp/B0843N839C/ref=sr_1_1?keywords=John+Boy+GRASS+Face+Guard&amp;qid=1695174296&amp;sr=8-1", "https://www.amazon.com/JOHN-BOY-Hunting-Face-Guard/dp/B0843N839C/ref=sr_1_1?keywords=John+Boy+GRASS+Face+Guard&amp;qid=1695174296&amp;sr=8-1")</f>
        <v>https://www.amazon.com/JOHN-BOY-Hunting-Face-Guard/dp/B0843N839C/ref=sr_1_1?keywords=John+Boy+GRASS+Face+Guard&amp;qid=1695174296&amp;sr=8-1</v>
      </c>
      <c r="F3395" t="s">
        <v>1063</v>
      </c>
      <c r="G3395" t="e">
        <f ca="1">_xludf.IMAGE("https://edmondsonsupply.com/cdn/shop/products/grassMUcopy_900x_3dbec2e2-1ea2-46e7-b806-f05c0b3108b5.jpg?v=1633030897")</f>
        <v>#NAME?</v>
      </c>
      <c r="H3395" t="e">
        <f ca="1">_xludf.IMAGE("https://m.media-amazon.com/images/I/71WilqyMaZL._AC_UL320_.jpg")</f>
        <v>#NAME?</v>
      </c>
      <c r="I3395" t="s">
        <v>1039</v>
      </c>
      <c r="J3395">
        <v>11</v>
      </c>
      <c r="K3395" s="4">
        <v>0.1</v>
      </c>
      <c r="L3395">
        <v>4</v>
      </c>
      <c r="M3395">
        <v>8</v>
      </c>
      <c r="O3395" t="s">
        <v>25</v>
      </c>
      <c r="P3395" t="s">
        <v>138</v>
      </c>
      <c r="Q3395" t="s">
        <v>1066</v>
      </c>
    </row>
    <row r="3396" spans="1:17" ht="15.5" x14ac:dyDescent="0.35">
      <c r="A3396" s="3" t="str">
        <f>HYPERLINK("https://edmondsonsupply.com/collections/electricians-tools/products/john-boy-grass-face-guard", "https://edmondsonsupply.com/collections/electricians-tools/products/john-boy-grass-face-guard")</f>
        <v>https://edmondsonsupply.com/collections/electricians-tools/products/john-boy-grass-face-guard</v>
      </c>
      <c r="B3396" s="3" t="str">
        <f>HYPERLINK("https://edmondsonsupply.com/products/john-boy-grass-face-guard", "https://edmondsonsupply.com/products/john-boy-grass-face-guard")</f>
        <v>https://edmondsonsupply.com/products/john-boy-grass-face-guard</v>
      </c>
      <c r="C3396" t="s">
        <v>1065</v>
      </c>
      <c r="D3396" t="s">
        <v>1037</v>
      </c>
      <c r="E3396" s="3" t="str">
        <f>HYPERLINK("https://www.amazon.com/JOHN-Fishing-Face-Guard-Multi-Weather/dp/B0842ZW5XH/ref=sr_1_7?keywords=John+Boy+GRASS+Face+Guard&amp;qid=1695174296&amp;sr=8-7", "https://www.amazon.com/JOHN-Fishing-Face-Guard-Multi-Weather/dp/B0842ZW5XH/ref=sr_1_7?keywords=John+Boy+GRASS+Face+Guard&amp;qid=1695174296&amp;sr=8-7")</f>
        <v>https://www.amazon.com/JOHN-Fishing-Face-Guard-Multi-Weather/dp/B0842ZW5XH/ref=sr_1_7?keywords=John+Boy+GRASS+Face+Guard&amp;qid=1695174296&amp;sr=8-7</v>
      </c>
      <c r="F3396" t="s">
        <v>1059</v>
      </c>
      <c r="G3396" t="e">
        <f ca="1">_xludf.IMAGE("https://edmondsonsupply.com/cdn/shop/products/grassMUcopy_900x_3dbec2e2-1ea2-46e7-b806-f05c0b3108b5.jpg?v=1633030897")</f>
        <v>#NAME?</v>
      </c>
      <c r="H3396" t="e">
        <f ca="1">_xludf.IMAGE("https://m.media-amazon.com/images/I/71yhaPSba3L._AC_UL320_.jpg")</f>
        <v>#NAME?</v>
      </c>
      <c r="I3396" t="s">
        <v>1039</v>
      </c>
      <c r="J3396">
        <v>11</v>
      </c>
      <c r="K3396" s="4">
        <v>0.1</v>
      </c>
      <c r="L3396">
        <v>4</v>
      </c>
      <c r="M3396">
        <v>13</v>
      </c>
      <c r="O3396" t="s">
        <v>25</v>
      </c>
      <c r="P3396" t="s">
        <v>138</v>
      </c>
      <c r="Q3396" t="s">
        <v>1066</v>
      </c>
    </row>
    <row r="3397" spans="1:17" ht="15.5" x14ac:dyDescent="0.35">
      <c r="A3397" s="3" t="str">
        <f>HYPERLINK("https://edmondsonsupply.com/collections/electricians-tools/products/klein-tools-93pll-rechargeable-self-leveling-green-planar-laser-level", "https://edmondsonsupply.com/collections/electricians-tools/products/klein-tools-93pll-rechargeable-self-leveling-green-planar-laser-level")</f>
        <v>https://edmondsonsupply.com/collections/electricians-tools/products/klein-tools-93pll-rechargeable-self-leveling-green-planar-laser-level</v>
      </c>
      <c r="B3397" s="3" t="str">
        <f>HYPERLINK("https://edmondsonsupply.com/products/klein-tools-93pll-rechargeable-self-leveling-green-planar-laser-level", "https://edmondsonsupply.com/products/klein-tools-93pll-rechargeable-self-leveling-green-planar-laser-level")</f>
        <v>https://edmondsonsupply.com/products/klein-tools-93pll-rechargeable-self-leveling-green-planar-laser-level</v>
      </c>
      <c r="C3397" t="s">
        <v>7611</v>
      </c>
      <c r="D3397" t="s">
        <v>7612</v>
      </c>
      <c r="E3397" s="3" t="str">
        <f>HYPERLINK("https://www.amazon.com/Klein-Tools-Self-Leveling-510-530nm-Electronic/dp/B0BC86ZZ6Q/ref=sr_1_1?keywords=Klein+Tools+93PLL+Rechargeable+Self-Leveling+Green+Planar+Laser+Level&amp;qid=1695174147&amp;sr=8-1", "https://www.amazon.com/Klein-Tools-Self-Leveling-510-530nm-Electronic/dp/B0BC86ZZ6Q/ref=sr_1_1?keywords=Klein+Tools+93PLL+Rechargeable+Self-Leveling+Green+Planar+Laser+Level&amp;qid=1695174147&amp;sr=8-1")</f>
        <v>https://www.amazon.com/Klein-Tools-Self-Leveling-510-530nm-Electronic/dp/B0BC86ZZ6Q/ref=sr_1_1?keywords=Klein+Tools+93PLL+Rechargeable+Self-Leveling+Green+Planar+Laser+Level&amp;qid=1695174147&amp;sr=8-1</v>
      </c>
      <c r="F3397" t="s">
        <v>7613</v>
      </c>
      <c r="G3397" t="e">
        <f ca="1">_xludf.IMAGE("https://edmondsonsupply.com/cdn/shop/products/93pll_app8.jpg?v=1664476137")</f>
        <v>#NAME?</v>
      </c>
      <c r="H3397" t="e">
        <f ca="1">_xludf.IMAGE("https://m.media-amazon.com/images/I/5142-tLPqXL._AC_UL320_.jpg")</f>
        <v>#NAME?</v>
      </c>
      <c r="I3397" t="s">
        <v>533</v>
      </c>
      <c r="J3397">
        <v>329.96</v>
      </c>
      <c r="K3397" s="4">
        <v>9.9900000000000003E-2</v>
      </c>
      <c r="L3397">
        <v>5</v>
      </c>
      <c r="M3397">
        <v>2</v>
      </c>
      <c r="O3397" t="s">
        <v>25</v>
      </c>
      <c r="P3397" t="s">
        <v>7614</v>
      </c>
      <c r="Q3397" t="s">
        <v>7615</v>
      </c>
    </row>
    <row r="3398" spans="1:17" ht="15.5" x14ac:dyDescent="0.35">
      <c r="A3398" s="3" t="str">
        <f>HYPERLINK("https://edmondsonsupply.com/collections/electricians-tools/products/wiha-tools-76889-32-piece-gobox-terminatorblue-impact-bit-set-with-mini-ratchet", "https://edmondsonsupply.com/collections/electricians-tools/products/wiha-tools-76889-32-piece-gobox-terminatorblue-impact-bit-set-with-mini-ratchet")</f>
        <v>https://edmondsonsupply.com/collections/electricians-tools/products/wiha-tools-76889-32-piece-gobox-terminatorblue-impact-bit-set-with-mini-ratchet</v>
      </c>
      <c r="B3398" s="3" t="str">
        <f>HYPERLINK("https://edmondsonsupply.com/products/wiha-tools-76889-32-piece-gobox-terminatorblue-impact-bit-set-with-mini-ratchet", "https://edmondsonsupply.com/products/wiha-tools-76889-32-piece-gobox-terminatorblue-impact-bit-set-with-mini-ratchet")</f>
        <v>https://edmondsonsupply.com/products/wiha-tools-76889-32-piece-gobox-terminatorblue-impact-bit-set-with-mini-ratchet</v>
      </c>
      <c r="C3398" t="s">
        <v>4145</v>
      </c>
      <c r="D3398" t="s">
        <v>4146</v>
      </c>
      <c r="E3398" s="3" t="str">
        <f>HYPERLINK("https://www.amazon.com/Wiha-Impact-Ratchet-Compact-Storage/dp/B07MVNQ2KZ/ref=sr_1_1?keywords=Wiha+Tools+76889+32+Piece+GoBox+TerminatorBlue+Impact+Bit+Set+with+Mini+Ratchet&amp;qid=1695173979&amp;sr=8-1", "https://www.amazon.com/Wiha-Impact-Ratchet-Compact-Storage/dp/B07MVNQ2KZ/ref=sr_1_1?keywords=Wiha+Tools+76889+32+Piece+GoBox+TerminatorBlue+Impact+Bit+Set+with+Mini+Ratchet&amp;qid=1695173979&amp;sr=8-1")</f>
        <v>https://www.amazon.com/Wiha-Impact-Ratchet-Compact-Storage/dp/B07MVNQ2KZ/ref=sr_1_1?keywords=Wiha+Tools+76889+32+Piece+GoBox+TerminatorBlue+Impact+Bit+Set+with+Mini+Ratchet&amp;qid=1695173979&amp;sr=8-1</v>
      </c>
      <c r="F3398" t="s">
        <v>4147</v>
      </c>
      <c r="G3398" t="e">
        <f ca="1">_xludf.IMAGE("https://edmondsonsupply.com/cdn/shop/files/hfx5og2ykdq224nkquvr_1000x_fdfee816-5508-46f3-892d-f4d0e2f2859c.webp?v=1690908048")</f>
        <v>#NAME?</v>
      </c>
      <c r="H3398" t="e">
        <f ca="1">_xludf.IMAGE("https://m.media-amazon.com/images/I/71x8KBiz5-L._AC_UL320_.jpg")</f>
        <v>#NAME?</v>
      </c>
      <c r="I3398" t="s">
        <v>26</v>
      </c>
      <c r="J3398">
        <v>32.979999999999997</v>
      </c>
      <c r="K3398" s="4">
        <v>9.9699999999999997E-2</v>
      </c>
      <c r="L3398">
        <v>4.8</v>
      </c>
      <c r="M3398">
        <v>345</v>
      </c>
      <c r="O3398" t="s">
        <v>25</v>
      </c>
      <c r="P3398" t="s">
        <v>4148</v>
      </c>
      <c r="Q3398" t="s">
        <v>4149</v>
      </c>
    </row>
    <row r="3399" spans="1:17" ht="15.5" x14ac:dyDescent="0.35">
      <c r="A3399"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3399" s="3" t="str">
        <f>HYPERLINK("https://edmondsonsupply.com/products/diablo-tools-dag1130-1-in-x-7-1-2-in-auger-bit", "https://edmondsonsupply.com/products/diablo-tools-dag1130-1-in-x-7-1-2-in-auger-bit")</f>
        <v>https://edmondsonsupply.com/products/diablo-tools-dag1130-1-in-x-7-1-2-in-auger-bit</v>
      </c>
      <c r="C3399" t="s">
        <v>3530</v>
      </c>
      <c r="D3399" t="s">
        <v>3903</v>
      </c>
      <c r="E3399" s="3" t="str">
        <f>HYPERLINK("https://www.amazon.com/Diablo-Freud-DAG1110-7-1-Auger/dp/B089KWR9F4/ref=sr_1_9?keywords=Diablo+Tools+DAG1130+1+in.+x+7-1%2F2+in.+Auger+Bit&amp;qid=1695173913&amp;sr=8-9", "https://www.amazon.com/Diablo-Freud-DAG1110-7-1-Auger/dp/B089KWR9F4/ref=sr_1_9?keywords=Diablo+Tools+DAG1130+1+in.+x+7-1%2F2+in.+Auger+Bit&amp;qid=1695173913&amp;sr=8-9")</f>
        <v>https://www.amazon.com/Diablo-Freud-DAG1110-7-1-Auger/dp/B089KWR9F4/ref=sr_1_9?keywords=Diablo+Tools+DAG1130+1+in.+x+7-1%2F2+in.+Auger+Bit&amp;qid=1695173913&amp;sr=8-9</v>
      </c>
      <c r="F3399" t="s">
        <v>3904</v>
      </c>
      <c r="G3399" t="e">
        <f ca="1">_xludf.IMAGE("https://edmondsonsupply.com/cdn/shop/products/DAG1130_Main-Image20200712.png?v=1633031124")</f>
        <v>#NAME?</v>
      </c>
      <c r="H3399" t="e">
        <f ca="1">_xludf.IMAGE("https://m.media-amazon.com/images/I/61FgY3Jv5eL._AC_UL320_.jpg")</f>
        <v>#NAME?</v>
      </c>
      <c r="I3399" t="s">
        <v>3533</v>
      </c>
      <c r="J3399">
        <v>17.989999999999998</v>
      </c>
      <c r="K3399" s="4">
        <v>9.9000000000000005E-2</v>
      </c>
      <c r="L3399">
        <v>4.8</v>
      </c>
      <c r="M3399">
        <v>48</v>
      </c>
      <c r="O3399" t="s">
        <v>25</v>
      </c>
      <c r="P3399" t="s">
        <v>3534</v>
      </c>
      <c r="Q3399" t="s">
        <v>3535</v>
      </c>
    </row>
    <row r="3400" spans="1:17" ht="15.5" x14ac:dyDescent="0.35">
      <c r="A3400" s="3" t="str">
        <f>HYPERLINK("https://edmondsonsupply.com/collections/electricians-tools/products/milwaukee-48-03-3010-carbide-bit-spline-to-sds-max-adapter", "https://edmondsonsupply.com/collections/electricians-tools/products/milwaukee-48-03-3010-carbide-bit-spline-to-sds-max-adapter")</f>
        <v>https://edmondsonsupply.com/collections/electricians-tools/products/milwaukee-48-03-3010-carbide-bit-spline-to-sds-max-adapter</v>
      </c>
      <c r="B3400" s="3" t="str">
        <f>HYPERLINK("https://edmondsonsupply.com/products/milwaukee-48-03-3010-carbide-bit-spline-to-sds-max-adapter", "https://edmondsonsupply.com/products/milwaukee-48-03-3010-carbide-bit-spline-to-sds-max-adapter")</f>
        <v>https://edmondsonsupply.com/products/milwaukee-48-03-3010-carbide-bit-spline-to-sds-max-adapter</v>
      </c>
      <c r="C3400" t="s">
        <v>7616</v>
      </c>
      <c r="D3400" t="s">
        <v>6365</v>
      </c>
      <c r="E3400" s="3" t="str">
        <f>HYPERLINK("https://www.amazon.com/Milwaukee-48-03-3012-SDS-Max-Spline-Adapter/dp/B00I3PGEOA/ref=sr_1_1?keywords=Milwaukee+48-03-3010+Spline+to+SDS-MAX+Bit+Adapter&amp;qid=1695174101&amp;sr=8-1", "https://www.amazon.com/Milwaukee-48-03-3012-SDS-Max-Spline-Adapter/dp/B00I3PGEOA/ref=sr_1_1?keywords=Milwaukee+48-03-3010+Spline+to+SDS-MAX+Bit+Adapter&amp;qid=1695174101&amp;sr=8-1")</f>
        <v>https://www.amazon.com/Milwaukee-48-03-3012-SDS-Max-Spline-Adapter/dp/B00I3PGEOA/ref=sr_1_1?keywords=Milwaukee+48-03-3010+Spline+to+SDS-MAX+Bit+Adapter&amp;qid=1695174101&amp;sr=8-1</v>
      </c>
      <c r="F3400" t="s">
        <v>6366</v>
      </c>
      <c r="G3400" t="e">
        <f ca="1">_xludf.IMAGE("https://edmondsonsupply.com/cdn/shop/products/48-03-3010.webp?v=1674075943")</f>
        <v>#NAME?</v>
      </c>
      <c r="H3400" t="e">
        <f ca="1">_xludf.IMAGE("https://m.media-amazon.com/images/I/61QrQEYLIrL._AC_UL320_.jpg")</f>
        <v>#NAME?</v>
      </c>
      <c r="I3400" t="s">
        <v>7617</v>
      </c>
      <c r="J3400">
        <v>166.85</v>
      </c>
      <c r="K3400" s="4">
        <v>9.8500000000000004E-2</v>
      </c>
      <c r="L3400">
        <v>4.5999999999999996</v>
      </c>
      <c r="M3400">
        <v>2</v>
      </c>
      <c r="O3400" t="s">
        <v>25</v>
      </c>
      <c r="P3400" t="s">
        <v>7618</v>
      </c>
      <c r="Q3400" t="s">
        <v>7619</v>
      </c>
    </row>
    <row r="3401" spans="1:17" ht="15.5" x14ac:dyDescent="0.35">
      <c r="A3401" s="3" t="str">
        <f>HYPERLINK("https://edmondsonsupply.com/collections/electricians-tools/products/sensible-products-hrf-1-high-beam-rechargeable-flashlight-black", "https://edmondsonsupply.com/collections/electricians-tools/products/sensible-products-hrf-1-high-beam-rechargeable-flashlight-black")</f>
        <v>https://edmondsonsupply.com/collections/electricians-tools/products/sensible-products-hrf-1-high-beam-rechargeable-flashlight-black</v>
      </c>
      <c r="B3401" s="3" t="str">
        <f>HYPERLINK("https://edmondsonsupply.com/products/sensible-products-hrf-1-high-beam-rechargeable-flashlight-black", "https://edmondsonsupply.com/products/sensible-products-hrf-1-high-beam-rechargeable-flashlight-black")</f>
        <v>https://edmondsonsupply.com/products/sensible-products-hrf-1-high-beam-rechargeable-flashlight-black</v>
      </c>
      <c r="C3401" t="s">
        <v>3285</v>
      </c>
      <c r="D3401" t="s">
        <v>4152</v>
      </c>
      <c r="E3401" s="3" t="str">
        <f>HYPERLINK("https://www.amazon.com/Sold-Each-High-Beam-Rechargeable-Flashlight/dp/B07QV3HVKP/ref=sr_1_2?keywords=Sensible+Products+HRF-1+High-Beam+Rechargeable+Flashlight%2C+Black&amp;qid=1695173847&amp;sr=8-2", "https://www.amazon.com/Sold-Each-High-Beam-Rechargeable-Flashlight/dp/B07QV3HVKP/ref=sr_1_2?keywords=Sensible+Products+HRF-1+High-Beam+Rechargeable+Flashlight%2C+Black&amp;qid=1695173847&amp;sr=8-2")</f>
        <v>https://www.amazon.com/Sold-Each-High-Beam-Rechargeable-Flashlight/dp/B07QV3HVKP/ref=sr_1_2?keywords=Sensible+Products+HRF-1+High-Beam+Rechargeable+Flashlight%2C+Black&amp;qid=1695173847&amp;sr=8-2</v>
      </c>
      <c r="F3401" t="s">
        <v>4153</v>
      </c>
      <c r="G3401" t="e">
        <f ca="1">_xludf.IMAGE("https://edmondsonsupply.com/cdn/shop/products/HRF1BLACK-2.jpg?v=1587144533")</f>
        <v>#NAME?</v>
      </c>
      <c r="H3401" t="e">
        <f ca="1">_xludf.IMAGE("https://m.media-amazon.com/images/I/31tIPF-TUsL._AC_UL320_.jpg")</f>
        <v>#NAME?</v>
      </c>
      <c r="I3401" t="s">
        <v>3288</v>
      </c>
      <c r="J3401">
        <v>29.99</v>
      </c>
      <c r="K3401" s="4">
        <v>9.7299999999999998E-2</v>
      </c>
      <c r="L3401">
        <v>4</v>
      </c>
      <c r="M3401">
        <v>14</v>
      </c>
      <c r="O3401" t="s">
        <v>25</v>
      </c>
      <c r="P3401" t="s">
        <v>138</v>
      </c>
      <c r="Q3401" t="s">
        <v>3289</v>
      </c>
    </row>
    <row r="3402" spans="1:17" ht="15.5" x14ac:dyDescent="0.35">
      <c r="A3402" s="3" t="str">
        <f>HYPERLINK("https://edmondsonsupply.com/collections/electricians-tools/products/sensible-products-hrf-1-high-beam-rechargeable-flashlight-silver", "https://edmondsonsupply.com/collections/electricians-tools/products/sensible-products-hrf-1-high-beam-rechargeable-flashlight-silver")</f>
        <v>https://edmondsonsupply.com/collections/electricians-tools/products/sensible-products-hrf-1-high-beam-rechargeable-flashlight-silver</v>
      </c>
      <c r="B3402" s="3" t="str">
        <f>HYPERLINK("https://edmondsonsupply.com/products/sensible-products-hrf-1-high-beam-rechargeable-flashlight-silver", "https://edmondsonsupply.com/products/sensible-products-hrf-1-high-beam-rechargeable-flashlight-silver")</f>
        <v>https://edmondsonsupply.com/products/sensible-products-hrf-1-high-beam-rechargeable-flashlight-silver</v>
      </c>
      <c r="C3402" t="s">
        <v>3290</v>
      </c>
      <c r="D3402" t="s">
        <v>4152</v>
      </c>
      <c r="E3402" s="3" t="str">
        <f>HYPERLINK("https://www.amazon.com/Sold-Each-High-Beam-Rechargeable-Flashlight/dp/B07QV3HVKP/ref=sr_1_1?keywords=Sensible+Products+HRF-1+High-Beam+Rechargeable+Flashlight%2C+Silver&amp;qid=1695173859&amp;sr=8-1", "https://www.amazon.com/Sold-Each-High-Beam-Rechargeable-Flashlight/dp/B07QV3HVKP/ref=sr_1_1?keywords=Sensible+Products+HRF-1+High-Beam+Rechargeable+Flashlight%2C+Silver&amp;qid=1695173859&amp;sr=8-1")</f>
        <v>https://www.amazon.com/Sold-Each-High-Beam-Rechargeable-Flashlight/dp/B07QV3HVKP/ref=sr_1_1?keywords=Sensible+Products+HRF-1+High-Beam+Rechargeable+Flashlight%2C+Silver&amp;qid=1695173859&amp;sr=8-1</v>
      </c>
      <c r="F3402" t="s">
        <v>4153</v>
      </c>
      <c r="G3402" t="e">
        <f ca="1">_xludf.IMAGE("https://edmondsonsupply.com/cdn/shop/products/HRF1SILVER-2.jpg?v=1587142434")</f>
        <v>#NAME?</v>
      </c>
      <c r="H3402" t="e">
        <f ca="1">_xludf.IMAGE("https://m.media-amazon.com/images/I/31tIPF-TUsL._AC_UL320_.jpg")</f>
        <v>#NAME?</v>
      </c>
      <c r="I3402" t="s">
        <v>3288</v>
      </c>
      <c r="J3402">
        <v>29.99</v>
      </c>
      <c r="K3402" s="4">
        <v>9.7299999999999998E-2</v>
      </c>
      <c r="L3402">
        <v>4</v>
      </c>
      <c r="M3402">
        <v>14</v>
      </c>
      <c r="O3402" t="s">
        <v>25</v>
      </c>
      <c r="P3402" t="s">
        <v>138</v>
      </c>
      <c r="Q3402" t="s">
        <v>3291</v>
      </c>
    </row>
    <row r="3403" spans="1:17" ht="15.5" x14ac:dyDescent="0.35">
      <c r="A3403" s="3" t="str">
        <f>HYPERLINK("https://edmondsonsupply.com/collections/electricians-tools/products/john-boy-grass-face-guard", "https://edmondsonsupply.com/collections/electricians-tools/products/john-boy-grass-face-guard")</f>
        <v>https://edmondsonsupply.com/collections/electricians-tools/products/john-boy-grass-face-guard</v>
      </c>
      <c r="B3403" s="3" t="str">
        <f>HYPERLINK("https://edmondsonsupply.com/products/john-boy-grass-face-guard", "https://edmondsonsupply.com/products/john-boy-grass-face-guard")</f>
        <v>https://edmondsonsupply.com/products/john-boy-grass-face-guard</v>
      </c>
      <c r="C3403" t="s">
        <v>1065</v>
      </c>
      <c r="D3403" t="s">
        <v>1071</v>
      </c>
      <c r="E3403" s="3" t="str">
        <f>HYPERLINK("https://www.amazon.com/JOHN-BOY-Construction-Face-Guard/dp/B07TSPYCSZ/ref=sr_1_8?keywords=John+Boy+GRASS+Face+Guard&amp;qid=1695174296&amp;sr=8-8", "https://www.amazon.com/JOHN-BOY-Construction-Face-Guard/dp/B07TSPYCSZ/ref=sr_1_8?keywords=John+Boy+GRASS+Face+Guard&amp;qid=1695174296&amp;sr=8-8")</f>
        <v>https://www.amazon.com/JOHN-BOY-Construction-Face-Guard/dp/B07TSPYCSZ/ref=sr_1_8?keywords=John+Boy+GRASS+Face+Guard&amp;qid=1695174296&amp;sr=8-8</v>
      </c>
      <c r="F3403" t="s">
        <v>1084</v>
      </c>
      <c r="G3403" t="e">
        <f ca="1">_xludf.IMAGE("https://edmondsonsupply.com/cdn/shop/products/grassMUcopy_900x_3dbec2e2-1ea2-46e7-b806-f05c0b3108b5.jpg?v=1633030897")</f>
        <v>#NAME?</v>
      </c>
      <c r="H3403" t="e">
        <f ca="1">_xludf.IMAGE("https://m.media-amazon.com/images/I/71P8x8a2EsL._AC_UL320_.jpg")</f>
        <v>#NAME?</v>
      </c>
      <c r="I3403" t="s">
        <v>1039</v>
      </c>
      <c r="J3403">
        <v>10.95</v>
      </c>
      <c r="K3403" s="4">
        <v>9.5000000000000001E-2</v>
      </c>
      <c r="L3403">
        <v>4</v>
      </c>
      <c r="M3403">
        <v>4</v>
      </c>
      <c r="O3403" t="s">
        <v>25</v>
      </c>
      <c r="P3403" t="s">
        <v>138</v>
      </c>
      <c r="Q3403" t="s">
        <v>1066</v>
      </c>
    </row>
    <row r="3404" spans="1:17" ht="15.5" x14ac:dyDescent="0.35">
      <c r="A3404" s="3" t="str">
        <f>HYPERLINK("https://edmondsonsupply.com/collections/electricians-tools/products/john-boy-clown-face-guard", "https://edmondsonsupply.com/collections/electricians-tools/products/john-boy-clown-face-guard")</f>
        <v>https://edmondsonsupply.com/collections/electricians-tools/products/john-boy-clown-face-guard</v>
      </c>
      <c r="B3404" s="3" t="str">
        <f>HYPERLINK("https://edmondsonsupply.com/products/john-boy-clown-face-guard", "https://edmondsonsupply.com/products/john-boy-clown-face-guard")</f>
        <v>https://edmondsonsupply.com/products/john-boy-clown-face-guard</v>
      </c>
      <c r="C3404" t="s">
        <v>1067</v>
      </c>
      <c r="D3404" t="s">
        <v>1068</v>
      </c>
      <c r="E3404" s="3" t="str">
        <f>HYPERLINK("https://www.amazon.com/JOHN-BOY-Construction-Face-Guard/dp/B0842ZPQ65/ref=sr_1_fkmr0_2?keywords=John+Boy+CLOWN+Face+Guard&amp;qid=1695174285&amp;sr=8-2-fkmr0", "https://www.amazon.com/JOHN-BOY-Construction-Face-Guard/dp/B0842ZPQ65/ref=sr_1_fkmr0_2?keywords=John+Boy+CLOWN+Face+Guard&amp;qid=1695174285&amp;sr=8-2-fkmr0")</f>
        <v>https://www.amazon.com/JOHN-BOY-Construction-Face-Guard/dp/B0842ZPQ65/ref=sr_1_fkmr0_2?keywords=John+Boy+CLOWN+Face+Guard&amp;qid=1695174285&amp;sr=8-2-fkmr0</v>
      </c>
      <c r="F3404" t="s">
        <v>1069</v>
      </c>
      <c r="G3404" t="e">
        <f ca="1">_xludf.IMAGE("https://edmondsonsupply.com/cdn/shop/products/Clown-Mcopy_900x_f7b1e6b4-ce8b-4741-b718-1676b06d35ea.jpg?v=1633030901")</f>
        <v>#NAME?</v>
      </c>
      <c r="H3404" t="e">
        <f ca="1">_xludf.IMAGE("https://m.media-amazon.com/images/I/81msE1HdXVL._AC_UL320_.jpg")</f>
        <v>#NAME?</v>
      </c>
      <c r="I3404" t="s">
        <v>1039</v>
      </c>
      <c r="J3404">
        <v>10.95</v>
      </c>
      <c r="K3404" s="4">
        <v>9.5000000000000001E-2</v>
      </c>
      <c r="L3404">
        <v>3.5</v>
      </c>
      <c r="M3404">
        <v>14</v>
      </c>
      <c r="O3404" t="s">
        <v>25</v>
      </c>
      <c r="P3404" t="s">
        <v>138</v>
      </c>
      <c r="Q3404" t="s">
        <v>1070</v>
      </c>
    </row>
    <row r="3405" spans="1:17" ht="15.5" x14ac:dyDescent="0.35">
      <c r="A3405" s="3" t="str">
        <f>HYPERLINK("https://edmondsonsupply.com/collections/electricians-tools/products/john-boy-grass-face-guard", "https://edmondsonsupply.com/collections/electricians-tools/products/john-boy-grass-face-guard")</f>
        <v>https://edmondsonsupply.com/collections/electricians-tools/products/john-boy-grass-face-guard</v>
      </c>
      <c r="B3405" s="3" t="str">
        <f>HYPERLINK("https://edmondsonsupply.com/products/john-boy-grass-face-guard", "https://edmondsonsupply.com/products/john-boy-grass-face-guard")</f>
        <v>https://edmondsonsupply.com/products/john-boy-grass-face-guard</v>
      </c>
      <c r="C3405" t="s">
        <v>1065</v>
      </c>
      <c r="D3405" t="s">
        <v>1080</v>
      </c>
      <c r="E3405" s="3" t="str">
        <f>HYPERLINK("https://www.amazon.com/JOHN-Fitness-Face-Guard-Multi-Purpose/dp/B0842ZBT1T/ref=sr_1_5?keywords=John+Boy+GRASS+Face+Guard&amp;qid=1695174296&amp;sr=8-5", "https://www.amazon.com/JOHN-Fitness-Face-Guard-Multi-Purpose/dp/B0842ZBT1T/ref=sr_1_5?keywords=John+Boy+GRASS+Face+Guard&amp;qid=1695174296&amp;sr=8-5")</f>
        <v>https://www.amazon.com/JOHN-Fitness-Face-Guard-Multi-Purpose/dp/B0842ZBT1T/ref=sr_1_5?keywords=John+Boy+GRASS+Face+Guard&amp;qid=1695174296&amp;sr=8-5</v>
      </c>
      <c r="F3405" t="s">
        <v>1076</v>
      </c>
      <c r="G3405" t="e">
        <f ca="1">_xludf.IMAGE("https://edmondsonsupply.com/cdn/shop/products/grassMUcopy_900x_3dbec2e2-1ea2-46e7-b806-f05c0b3108b5.jpg?v=1633030897")</f>
        <v>#NAME?</v>
      </c>
      <c r="H3405" t="e">
        <f ca="1">_xludf.IMAGE("https://m.media-amazon.com/images/I/71xfqXGH9sL._AC_UL320_.jpg")</f>
        <v>#NAME?</v>
      </c>
      <c r="I3405" t="s">
        <v>1039</v>
      </c>
      <c r="J3405">
        <v>10.95</v>
      </c>
      <c r="K3405" s="4">
        <v>9.5000000000000001E-2</v>
      </c>
      <c r="L3405">
        <v>3.3</v>
      </c>
      <c r="M3405">
        <v>22</v>
      </c>
      <c r="O3405" t="s">
        <v>25</v>
      </c>
      <c r="P3405" t="s">
        <v>138</v>
      </c>
      <c r="Q3405" t="s">
        <v>1066</v>
      </c>
    </row>
    <row r="3406" spans="1:17" ht="15.5" x14ac:dyDescent="0.35">
      <c r="A3406" s="3" t="str">
        <f>HYPERLINK("https://edmondsonsupply.com/collections/electricians-tools/products/john-boy-grass-face-guard", "https://edmondsonsupply.com/collections/electricians-tools/products/john-boy-grass-face-guard")</f>
        <v>https://edmondsonsupply.com/collections/electricians-tools/products/john-boy-grass-face-guard</v>
      </c>
      <c r="B3406" s="3" t="str">
        <f>HYPERLINK("https://edmondsonsupply.com/products/john-boy-grass-face-guard", "https://edmondsonsupply.com/products/john-boy-grass-face-guard")</f>
        <v>https://edmondsonsupply.com/products/john-boy-grass-face-guard</v>
      </c>
      <c r="C3406" t="s">
        <v>1065</v>
      </c>
      <c r="D3406" t="s">
        <v>1071</v>
      </c>
      <c r="E3406" s="3" t="str">
        <f>HYPERLINK("https://www.amazon.com/JOHN-BOY-Construction-Face-Guard/dp/B08HSN8R2R/ref=sr_1_10?keywords=John+Boy+GRASS+Face+Guard&amp;qid=1695174296&amp;sr=8-10", "https://www.amazon.com/JOHN-BOY-Construction-Face-Guard/dp/B08HSN8R2R/ref=sr_1_10?keywords=John+Boy+GRASS+Face+Guard&amp;qid=1695174296&amp;sr=8-10")</f>
        <v>https://www.amazon.com/JOHN-BOY-Construction-Face-Guard/dp/B08HSN8R2R/ref=sr_1_10?keywords=John+Boy+GRASS+Face+Guard&amp;qid=1695174296&amp;sr=8-10</v>
      </c>
      <c r="F3406" t="s">
        <v>1072</v>
      </c>
      <c r="G3406" t="e">
        <f ca="1">_xludf.IMAGE("https://edmondsonsupply.com/cdn/shop/products/grassMUcopy_900x_3dbec2e2-1ea2-46e7-b806-f05c0b3108b5.jpg?v=1633030897")</f>
        <v>#NAME?</v>
      </c>
      <c r="H3406" t="e">
        <f ca="1">_xludf.IMAGE("https://m.media-amazon.com/images/I/71P3C66uWOL._AC_UL320_.jpg")</f>
        <v>#NAME?</v>
      </c>
      <c r="I3406" t="s">
        <v>1039</v>
      </c>
      <c r="J3406">
        <v>10.95</v>
      </c>
      <c r="K3406" s="4">
        <v>9.5000000000000001E-2</v>
      </c>
      <c r="L3406">
        <v>5</v>
      </c>
      <c r="M3406">
        <v>7</v>
      </c>
      <c r="O3406" t="s">
        <v>25</v>
      </c>
      <c r="P3406" t="s">
        <v>138</v>
      </c>
      <c r="Q3406" t="s">
        <v>1066</v>
      </c>
    </row>
    <row r="3407" spans="1:17" ht="15.5" x14ac:dyDescent="0.35">
      <c r="A3407" s="3" t="str">
        <f>HYPERLINK("https://edmondsonsupply.com/collections/electricians-tools/products/john-boy-clown-face-guard", "https://edmondsonsupply.com/collections/electricians-tools/products/john-boy-clown-face-guard")</f>
        <v>https://edmondsonsupply.com/collections/electricians-tools/products/john-boy-clown-face-guard</v>
      </c>
      <c r="B3407" s="3" t="str">
        <f>HYPERLINK("https://edmondsonsupply.com/products/john-boy-clown-face-guard", "https://edmondsonsupply.com/products/john-boy-clown-face-guard")</f>
        <v>https://edmondsonsupply.com/products/john-boy-clown-face-guard</v>
      </c>
      <c r="C3407" t="s">
        <v>1067</v>
      </c>
      <c r="D3407" t="s">
        <v>1077</v>
      </c>
      <c r="E3407" s="3" t="str">
        <f>HYPERLINK("https://www.amazon.com/JOHN-BOY-Construction-Face-Guard/dp/B0842ZF56G/ref=sr_1_1?keywords=John+Boy+CLOWN+Face+Guard&amp;qid=1695174285&amp;sr=8-1", "https://www.amazon.com/JOHN-BOY-Construction-Face-Guard/dp/B0842ZF56G/ref=sr_1_1?keywords=John+Boy+CLOWN+Face+Guard&amp;qid=1695174285&amp;sr=8-1")</f>
        <v>https://www.amazon.com/JOHN-BOY-Construction-Face-Guard/dp/B0842ZF56G/ref=sr_1_1?keywords=John+Boy+CLOWN+Face+Guard&amp;qid=1695174285&amp;sr=8-1</v>
      </c>
      <c r="F3407" t="s">
        <v>1088</v>
      </c>
      <c r="G3407" t="e">
        <f ca="1">_xludf.IMAGE("https://edmondsonsupply.com/cdn/shop/products/Clown-Mcopy_900x_f7b1e6b4-ce8b-4741-b718-1676b06d35ea.jpg?v=1633030901")</f>
        <v>#NAME?</v>
      </c>
      <c r="H3407" t="e">
        <f ca="1">_xludf.IMAGE("https://m.media-amazon.com/images/I/71D0wruMXOL._AC_UL320_.jpg")</f>
        <v>#NAME?</v>
      </c>
      <c r="I3407" t="s">
        <v>1039</v>
      </c>
      <c r="J3407">
        <v>10.95</v>
      </c>
      <c r="K3407" s="4">
        <v>9.5000000000000001E-2</v>
      </c>
      <c r="L3407">
        <v>3.5</v>
      </c>
      <c r="M3407">
        <v>7</v>
      </c>
      <c r="O3407" t="s">
        <v>25</v>
      </c>
      <c r="P3407" t="s">
        <v>138</v>
      </c>
      <c r="Q3407" t="s">
        <v>1070</v>
      </c>
    </row>
    <row r="3408" spans="1:17" ht="15.5" x14ac:dyDescent="0.35">
      <c r="A3408" s="3" t="str">
        <f>HYPERLINK("https://edmondsonsupply.com/collections/electricians-tools/products/john-boy-clown-face-guard", "https://edmondsonsupply.com/collections/electricians-tools/products/john-boy-clown-face-guard")</f>
        <v>https://edmondsonsupply.com/collections/electricians-tools/products/john-boy-clown-face-guard</v>
      </c>
      <c r="B3408" s="3" t="str">
        <f>HYPERLINK("https://edmondsonsupply.com/products/john-boy-clown-face-guard", "https://edmondsonsupply.com/products/john-boy-clown-face-guard")</f>
        <v>https://edmondsonsupply.com/products/john-boy-clown-face-guard</v>
      </c>
      <c r="C3408" t="s">
        <v>1067</v>
      </c>
      <c r="D3408" t="s">
        <v>1042</v>
      </c>
      <c r="E3408" s="3" t="str">
        <f>HYPERLINK("https://www.amazon.com/JOHN-Fishing-Face-Guard-Multi-Weather/dp/B0842ZNMJ6/ref=sr_1_3?keywords=John+Boy+CLOWN+Face+Guard&amp;qid=1695174285&amp;sr=8-3", "https://www.amazon.com/JOHN-Fishing-Face-Guard-Multi-Weather/dp/B0842ZNMJ6/ref=sr_1_3?keywords=John+Boy+CLOWN+Face+Guard&amp;qid=1695174285&amp;sr=8-3")</f>
        <v>https://www.amazon.com/JOHN-Fishing-Face-Guard-Multi-Weather/dp/B0842ZNMJ6/ref=sr_1_3?keywords=John+Boy+CLOWN+Face+Guard&amp;qid=1695174285&amp;sr=8-3</v>
      </c>
      <c r="F3408" t="s">
        <v>1089</v>
      </c>
      <c r="G3408" t="e">
        <f ca="1">_xludf.IMAGE("https://edmondsonsupply.com/cdn/shop/products/Clown-Mcopy_900x_f7b1e6b4-ce8b-4741-b718-1676b06d35ea.jpg?v=1633030901")</f>
        <v>#NAME?</v>
      </c>
      <c r="H3408" t="e">
        <f ca="1">_xludf.IMAGE("https://m.media-amazon.com/images/I/71N6E+BLd5L._AC_UL320_.jpg")</f>
        <v>#NAME?</v>
      </c>
      <c r="I3408" t="s">
        <v>1039</v>
      </c>
      <c r="J3408">
        <v>10.95</v>
      </c>
      <c r="K3408" s="4">
        <v>9.5000000000000001E-2</v>
      </c>
      <c r="L3408">
        <v>4</v>
      </c>
      <c r="M3408">
        <v>13</v>
      </c>
      <c r="O3408" t="s">
        <v>25</v>
      </c>
      <c r="P3408" t="s">
        <v>138</v>
      </c>
      <c r="Q3408" t="s">
        <v>1070</v>
      </c>
    </row>
    <row r="3409" spans="1:17" ht="15.5" x14ac:dyDescent="0.35">
      <c r="A3409" s="3" t="str">
        <f>HYPERLINK("https://edmondsonsupply.com/collections/electricians-tools/products/john-boy-clown-face-guard", "https://edmondsonsupply.com/collections/electricians-tools/products/john-boy-clown-face-guard")</f>
        <v>https://edmondsonsupply.com/collections/electricians-tools/products/john-boy-clown-face-guard</v>
      </c>
      <c r="B3409" s="3" t="str">
        <f>HYPERLINK("https://edmondsonsupply.com/products/john-boy-clown-face-guard", "https://edmondsonsupply.com/products/john-boy-clown-face-guard")</f>
        <v>https://edmondsonsupply.com/products/john-boy-clown-face-guard</v>
      </c>
      <c r="C3409" t="s">
        <v>1067</v>
      </c>
      <c r="D3409" t="s">
        <v>1077</v>
      </c>
      <c r="E3409" s="3" t="str">
        <f>HYPERLINK("https://www.amazon.com/JOHN-BOY-Construction-Face-Guard/dp/B08HSKXW6L/ref=sr_1_fkmr0_1?keywords=John+Boy+CLOWN+Face+Guard&amp;qid=1695174285&amp;sr=8-1-fkmr0", "https://www.amazon.com/JOHN-BOY-Construction-Face-Guard/dp/B08HSKXW6L/ref=sr_1_fkmr0_1?keywords=John+Boy+CLOWN+Face+Guard&amp;qid=1695174285&amp;sr=8-1-fkmr0")</f>
        <v>https://www.amazon.com/JOHN-BOY-Construction-Face-Guard/dp/B08HSKXW6L/ref=sr_1_fkmr0_1?keywords=John+Boy+CLOWN+Face+Guard&amp;qid=1695174285&amp;sr=8-1-fkmr0</v>
      </c>
      <c r="F3409" t="s">
        <v>1085</v>
      </c>
      <c r="G3409" t="e">
        <f ca="1">_xludf.IMAGE("https://edmondsonsupply.com/cdn/shop/products/Clown-Mcopy_900x_f7b1e6b4-ce8b-4741-b718-1676b06d35ea.jpg?v=1633030901")</f>
        <v>#NAME?</v>
      </c>
      <c r="H3409" t="e">
        <f ca="1">_xludf.IMAGE("https://m.media-amazon.com/images/I/71x8Q+NujjL._AC_UL320_.jpg")</f>
        <v>#NAME?</v>
      </c>
      <c r="I3409" t="s">
        <v>1039</v>
      </c>
      <c r="J3409">
        <v>10.95</v>
      </c>
      <c r="K3409" s="4">
        <v>9.5000000000000001E-2</v>
      </c>
      <c r="L3409">
        <v>5</v>
      </c>
      <c r="M3409">
        <v>7</v>
      </c>
      <c r="O3409" t="s">
        <v>25</v>
      </c>
      <c r="P3409" t="s">
        <v>138</v>
      </c>
      <c r="Q3409" t="s">
        <v>1070</v>
      </c>
    </row>
    <row r="3410" spans="1:17" ht="15.5" x14ac:dyDescent="0.35">
      <c r="A3410" s="3" t="str">
        <f>HYPERLINK("https://edmondsonsupply.com/collections/electricians-tools/products/john-boy-grass-face-guard", "https://edmondsonsupply.com/collections/electricians-tools/products/john-boy-grass-face-guard")</f>
        <v>https://edmondsonsupply.com/collections/electricians-tools/products/john-boy-grass-face-guard</v>
      </c>
      <c r="B3410" s="3" t="str">
        <f>HYPERLINK("https://edmondsonsupply.com/products/john-boy-grass-face-guard", "https://edmondsonsupply.com/products/john-boy-grass-face-guard")</f>
        <v>https://edmondsonsupply.com/products/john-boy-grass-face-guard</v>
      </c>
      <c r="C3410" t="s">
        <v>1065</v>
      </c>
      <c r="D3410" t="s">
        <v>1071</v>
      </c>
      <c r="E3410" s="3" t="str">
        <f>HYPERLINK("https://www.amazon.com/JOHN-BOY-Construction-Face-Guard/dp/B0843N88ML/ref=sr_1_6?keywords=John+Boy+GRASS+Face+Guard&amp;qid=1695174296&amp;sr=8-6", "https://www.amazon.com/JOHN-BOY-Construction-Face-Guard/dp/B0843N88ML/ref=sr_1_6?keywords=John+Boy+GRASS+Face+Guard&amp;qid=1695174296&amp;sr=8-6")</f>
        <v>https://www.amazon.com/JOHN-BOY-Construction-Face-Guard/dp/B0843N88ML/ref=sr_1_6?keywords=John+Boy+GRASS+Face+Guard&amp;qid=1695174296&amp;sr=8-6</v>
      </c>
      <c r="F3410" t="s">
        <v>1082</v>
      </c>
      <c r="G3410" t="e">
        <f ca="1">_xludf.IMAGE("https://edmondsonsupply.com/cdn/shop/products/grassMUcopy_900x_3dbec2e2-1ea2-46e7-b806-f05c0b3108b5.jpg?v=1633030897")</f>
        <v>#NAME?</v>
      </c>
      <c r="H3410" t="e">
        <f ca="1">_xludf.IMAGE("https://m.media-amazon.com/images/I/81tbpnaNPLL._AC_UL320_.jpg")</f>
        <v>#NAME?</v>
      </c>
      <c r="I3410" t="s">
        <v>1039</v>
      </c>
      <c r="J3410">
        <v>10.95</v>
      </c>
      <c r="K3410" s="4">
        <v>9.5000000000000001E-2</v>
      </c>
      <c r="L3410">
        <v>4.0999999999999996</v>
      </c>
      <c r="M3410">
        <v>15</v>
      </c>
      <c r="O3410" t="s">
        <v>25</v>
      </c>
      <c r="P3410" t="s">
        <v>138</v>
      </c>
      <c r="Q3410" t="s">
        <v>1066</v>
      </c>
    </row>
    <row r="3411" spans="1:17" ht="15.5" x14ac:dyDescent="0.35">
      <c r="A3411" s="3" t="str">
        <f>HYPERLINK("https://edmondsonsupply.com/collections/electricians-tools/products/john-boy-grass-face-guard", "https://edmondsonsupply.com/collections/electricians-tools/products/john-boy-grass-face-guard")</f>
        <v>https://edmondsonsupply.com/collections/electricians-tools/products/john-boy-grass-face-guard</v>
      </c>
      <c r="B3411" s="3" t="str">
        <f>HYPERLINK("https://edmondsonsupply.com/products/john-boy-grass-face-guard", "https://edmondsonsupply.com/products/john-boy-grass-face-guard")</f>
        <v>https://edmondsonsupply.com/products/john-boy-grass-face-guard</v>
      </c>
      <c r="C3411" t="s">
        <v>1065</v>
      </c>
      <c r="D3411" t="s">
        <v>1068</v>
      </c>
      <c r="E3411" s="3" t="str">
        <f>HYPERLINK("https://www.amazon.com/JOHN-BOY-Construction-Face-Guard/dp/B0842ZPQ65/ref=sr_1_2?keywords=John+Boy+GRASS+Face+Guard&amp;qid=1695174296&amp;sr=8-2", "https://www.amazon.com/JOHN-BOY-Construction-Face-Guard/dp/B0842ZPQ65/ref=sr_1_2?keywords=John+Boy+GRASS+Face+Guard&amp;qid=1695174296&amp;sr=8-2")</f>
        <v>https://www.amazon.com/JOHN-BOY-Construction-Face-Guard/dp/B0842ZPQ65/ref=sr_1_2?keywords=John+Boy+GRASS+Face+Guard&amp;qid=1695174296&amp;sr=8-2</v>
      </c>
      <c r="F3411" t="s">
        <v>1069</v>
      </c>
      <c r="G3411" t="e">
        <f ca="1">_xludf.IMAGE("https://edmondsonsupply.com/cdn/shop/products/grassMUcopy_900x_3dbec2e2-1ea2-46e7-b806-f05c0b3108b5.jpg?v=1633030897")</f>
        <v>#NAME?</v>
      </c>
      <c r="H3411" t="e">
        <f ca="1">_xludf.IMAGE("https://m.media-amazon.com/images/I/81msE1HdXVL._AC_UL320_.jpg")</f>
        <v>#NAME?</v>
      </c>
      <c r="I3411" t="s">
        <v>1039</v>
      </c>
      <c r="J3411">
        <v>10.95</v>
      </c>
      <c r="K3411" s="4">
        <v>9.5000000000000001E-2</v>
      </c>
      <c r="L3411">
        <v>3.5</v>
      </c>
      <c r="M3411">
        <v>14</v>
      </c>
      <c r="O3411" t="s">
        <v>25</v>
      </c>
      <c r="P3411" t="s">
        <v>138</v>
      </c>
      <c r="Q3411" t="s">
        <v>1066</v>
      </c>
    </row>
    <row r="3412" spans="1:17" ht="15.5" x14ac:dyDescent="0.35">
      <c r="A3412" s="3" t="str">
        <f>HYPERLINK("https://edmondsonsupply.com/collections/electricians-tools/products/john-boy-sticks-face-guard", "https://edmondsonsupply.com/collections/electricians-tools/products/john-boy-sticks-face-guard")</f>
        <v>https://edmondsonsupply.com/collections/electricians-tools/products/john-boy-sticks-face-guard</v>
      </c>
      <c r="B3412" s="3" t="str">
        <f>HYPERLINK("https://edmondsonsupply.com/products/john-boy-sticks-face-guard", "https://edmondsonsupply.com/products/john-boy-sticks-face-guard")</f>
        <v>https://edmondsonsupply.com/products/john-boy-sticks-face-guard</v>
      </c>
      <c r="C3412" t="s">
        <v>1093</v>
      </c>
      <c r="D3412" t="s">
        <v>1071</v>
      </c>
      <c r="E3412" s="3" t="str">
        <f>HYPERLINK("https://www.amazon.com/JOHN-BOY-Construction-Face-Guard/dp/B08HSKXW6L/ref=sr_1_fkmr0_1?keywords=John+Boy+STICKS+Face+Guard&amp;qid=1695174288&amp;sr=8-1-fkmr0", "https://www.amazon.com/JOHN-BOY-Construction-Face-Guard/dp/B08HSKXW6L/ref=sr_1_fkmr0_1?keywords=John+Boy+STICKS+Face+Guard&amp;qid=1695174288&amp;sr=8-1-fkmr0")</f>
        <v>https://www.amazon.com/JOHN-BOY-Construction-Face-Guard/dp/B08HSKXW6L/ref=sr_1_fkmr0_1?keywords=John+Boy+STICKS+Face+Guard&amp;qid=1695174288&amp;sr=8-1-fkmr0</v>
      </c>
      <c r="F3412" t="s">
        <v>1085</v>
      </c>
      <c r="G3412" t="e">
        <f ca="1">_xludf.IMAGE("https://edmondsonsupply.com/cdn/shop/products/sticks-mockup_900x_46f7ccf9-cada-4af2-ba6b-b5f06f1a624e.jpg?v=1633030899")</f>
        <v>#NAME?</v>
      </c>
      <c r="H3412" t="e">
        <f ca="1">_xludf.IMAGE("https://m.media-amazon.com/images/I/71x8Q+NujjL._AC_UL320_.jpg")</f>
        <v>#NAME?</v>
      </c>
      <c r="I3412" t="s">
        <v>1039</v>
      </c>
      <c r="J3412">
        <v>10.95</v>
      </c>
      <c r="K3412" s="4">
        <v>9.5000000000000001E-2</v>
      </c>
      <c r="L3412">
        <v>5</v>
      </c>
      <c r="M3412">
        <v>7</v>
      </c>
      <c r="O3412" t="s">
        <v>25</v>
      </c>
      <c r="P3412" t="s">
        <v>138</v>
      </c>
      <c r="Q3412" t="s">
        <v>1094</v>
      </c>
    </row>
    <row r="3413" spans="1:17" ht="15.5" x14ac:dyDescent="0.35">
      <c r="A3413" s="3" t="str">
        <f>HYPERLINK("https://edmondsonsupply.com/collections/electricians-tools/products/john-boy-grass-face-guard", "https://edmondsonsupply.com/collections/electricians-tools/products/john-boy-grass-face-guard")</f>
        <v>https://edmondsonsupply.com/collections/electricians-tools/products/john-boy-grass-face-guard</v>
      </c>
      <c r="B3413" s="3" t="str">
        <f>HYPERLINK("https://edmondsonsupply.com/products/john-boy-grass-face-guard", "https://edmondsonsupply.com/products/john-boy-grass-face-guard")</f>
        <v>https://edmondsonsupply.com/products/john-boy-grass-face-guard</v>
      </c>
      <c r="C3413" t="s">
        <v>1065</v>
      </c>
      <c r="D3413" t="s">
        <v>1071</v>
      </c>
      <c r="E3413" s="3" t="str">
        <f>HYPERLINK("https://www.amazon.com/JOHN-BOY-Construction-Face-Guard/dp/B0842ZF56G/ref=sr_1_9?keywords=John+Boy+GRASS+Face+Guard&amp;qid=1695174296&amp;sr=8-9", "https://www.amazon.com/JOHN-BOY-Construction-Face-Guard/dp/B0842ZF56G/ref=sr_1_9?keywords=John+Boy+GRASS+Face+Guard&amp;qid=1695174296&amp;sr=8-9")</f>
        <v>https://www.amazon.com/JOHN-BOY-Construction-Face-Guard/dp/B0842ZF56G/ref=sr_1_9?keywords=John+Boy+GRASS+Face+Guard&amp;qid=1695174296&amp;sr=8-9</v>
      </c>
      <c r="F3413" t="s">
        <v>1088</v>
      </c>
      <c r="G3413" t="e">
        <f ca="1">_xludf.IMAGE("https://edmondsonsupply.com/cdn/shop/products/grassMUcopy_900x_3dbec2e2-1ea2-46e7-b806-f05c0b3108b5.jpg?v=1633030897")</f>
        <v>#NAME?</v>
      </c>
      <c r="H3413" t="e">
        <f ca="1">_xludf.IMAGE("https://m.media-amazon.com/images/I/71D0wruMXOL._AC_UL320_.jpg")</f>
        <v>#NAME?</v>
      </c>
      <c r="I3413" t="s">
        <v>1039</v>
      </c>
      <c r="J3413">
        <v>10.95</v>
      </c>
      <c r="K3413" s="4">
        <v>9.5000000000000001E-2</v>
      </c>
      <c r="L3413">
        <v>3.5</v>
      </c>
      <c r="M3413">
        <v>7</v>
      </c>
      <c r="O3413" t="s">
        <v>25</v>
      </c>
      <c r="P3413" t="s">
        <v>138</v>
      </c>
      <c r="Q3413" t="s">
        <v>1066</v>
      </c>
    </row>
    <row r="3414" spans="1:17" ht="15.5" x14ac:dyDescent="0.35">
      <c r="A3414"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3414" s="3" t="str">
        <f>HYPERLINK("https://edmondsonsupply.com/products/klein-tools-jth6m10-10-mm-hex-key-journeyman-t-handle-6-inch", "https://edmondsonsupply.com/products/klein-tools-jth6m10-10-mm-hex-key-journeyman-t-handle-6-inch")</f>
        <v>https://edmondsonsupply.com/products/klein-tools-jth6m10-10-mm-hex-key-journeyman-t-handle-6-inch</v>
      </c>
      <c r="C3414" t="s">
        <v>6945</v>
      </c>
      <c r="D3414" t="s">
        <v>2500</v>
      </c>
      <c r="E3414" s="3" t="str">
        <f>HYPERLINK("https://www.amazon.com/Journeyman-T-Handle-Klein-Tools-JTH9M6/dp/B005G3HJKU/ref=sr_1_10?keywords=Klein+Tools+JTH6M10+10+mm+Hex+Key+Journeyman+T-Handle+6-Inch&amp;qid=1695174255&amp;sr=8-10", "https://www.amazon.com/Journeyman-T-Handle-Klein-Tools-JTH9M6/dp/B005G3HJKU/ref=sr_1_10?keywords=Klein+Tools+JTH6M10+10+mm+Hex+Key+Journeyman+T-Handle+6-Inch&amp;qid=1695174255&amp;sr=8-10")</f>
        <v>https://www.amazon.com/Journeyman-T-Handle-Klein-Tools-JTH9M6/dp/B005G3HJKU/ref=sr_1_10?keywords=Klein+Tools+JTH6M10+10+mm+Hex+Key+Journeyman+T-Handle+6-Inch&amp;qid=1695174255&amp;sr=8-10</v>
      </c>
      <c r="F3414" t="s">
        <v>2501</v>
      </c>
      <c r="G3414" t="e">
        <f ca="1">_xludf.IMAGE("https://edmondsonsupply.com/cdn/shop/products/jth6m8_64c2c8d3-e13e-4b81-9b34-745be7fd837a.jpg?v=1627827117")</f>
        <v>#NAME?</v>
      </c>
      <c r="H3414" t="e">
        <f ca="1">_xludf.IMAGE("https://m.media-amazon.com/images/I/51+1x0vz9XL._AC_UL320_.jpg")</f>
        <v>#NAME?</v>
      </c>
      <c r="I3414" t="s">
        <v>924</v>
      </c>
      <c r="J3414">
        <v>9.84</v>
      </c>
      <c r="K3414" s="4">
        <v>9.4500000000000001E-2</v>
      </c>
      <c r="L3414">
        <v>4.7</v>
      </c>
      <c r="M3414">
        <v>123</v>
      </c>
      <c r="O3414" t="s">
        <v>25</v>
      </c>
      <c r="P3414" t="s">
        <v>6946</v>
      </c>
      <c r="Q3414" t="s">
        <v>6947</v>
      </c>
    </row>
    <row r="3415" spans="1:17" ht="15.5" x14ac:dyDescent="0.35">
      <c r="A3415" s="3" t="str">
        <f>HYPERLINK("https://edmondsonsupply.com/collections/electricians-tools/products/fluke-tl75-hard-point%E2%84%A2-test-lead-set", "https://edmondsonsupply.com/collections/electricians-tools/products/fluke-tl75-hard-point%E2%84%A2-test-lead-set")</f>
        <v>https://edmondsonsupply.com/collections/electricians-tools/products/fluke-tl75-hard-point%E2%84%A2-test-lead-set</v>
      </c>
      <c r="B3415" s="3" t="str">
        <f>HYPERLINK("https://edmondsonsupply.com/products/fluke-tl75-hard-point%e2%84%a2-test-lead-set", "https://edmondsonsupply.com/products/fluke-tl75-hard-point%e2%84%a2-test-lead-set")</f>
        <v>https://edmondsonsupply.com/products/fluke-tl75-hard-point%e2%84%a2-test-lead-set</v>
      </c>
      <c r="C3415" t="s">
        <v>7620</v>
      </c>
      <c r="D3415" t="s">
        <v>7621</v>
      </c>
      <c r="E3415" s="3" t="str">
        <f>HYPERLINK("https://www.amazon.com/Fluke-Corporation-FLUTL75-Hard-Point/dp/B0002SRIMS/ref=sr_1_1?keywords=Fluke+TL75+Hard+Point%E2%84%A2+Test+Lead+Set&amp;qid=1695174242&amp;sr=8-1", "https://www.amazon.com/Fluke-Corporation-FLUTL75-Hard-Point/dp/B0002SRIMS/ref=sr_1_1?keywords=Fluke+TL75+Hard+Point%E2%84%A2+Test+Lead+Set&amp;qid=1695174242&amp;sr=8-1")</f>
        <v>https://www.amazon.com/Fluke-Corporation-FLUTL75-Hard-Point/dp/B0002SRIMS/ref=sr_1_1?keywords=Fluke+TL75+Hard+Point%E2%84%A2+Test+Lead+Set&amp;qid=1695174242&amp;sr=8-1</v>
      </c>
      <c r="F3415" t="s">
        <v>7622</v>
      </c>
      <c r="G3415" t="e">
        <f ca="1">_xludf.IMAGE("https://edmondsonsupply.com/cdn/shop/products/TL75-1_72dpi_1280x1031px_E_NR-12001.jpg?v=1633031187")</f>
        <v>#NAME?</v>
      </c>
      <c r="H3415" t="e">
        <f ca="1">_xludf.IMAGE("https://m.media-amazon.com/images/I/517U+4DxqAL._AC_UY218_.jpg")</f>
        <v>#NAME?</v>
      </c>
      <c r="I3415" t="s">
        <v>3602</v>
      </c>
      <c r="J3415">
        <v>34.99</v>
      </c>
      <c r="K3415" s="4">
        <v>9.3799999999999994E-2</v>
      </c>
      <c r="L3415">
        <v>4.8</v>
      </c>
      <c r="M3415">
        <v>613</v>
      </c>
      <c r="O3415" t="s">
        <v>25</v>
      </c>
      <c r="P3415" t="s">
        <v>571</v>
      </c>
      <c r="Q3415" t="s">
        <v>7623</v>
      </c>
    </row>
    <row r="3416" spans="1:17" ht="15.5" x14ac:dyDescent="0.35">
      <c r="A3416" s="3" t="str">
        <f>HYPERLINK("https://edmondsonsupply.com/collections/electricians-tools/products/klein-tools-32537-10-fold-screwdriver-nut-driver-tamperproof-torx%C2%AE", "https://edmondsonsupply.com/collections/electricians-tools/products/klein-tools-32537-10-fold-screwdriver-nut-driver-tamperproof-torx%C2%AE")</f>
        <v>https://edmondsonsupply.com/collections/electricians-tools/products/klein-tools-32537-10-fold-screwdriver-nut-driver-tamperproof-torx%C2%AE</v>
      </c>
      <c r="B3416" s="3" t="str">
        <f>HYPERLINK("https://edmondsonsupply.com/products/klein-tools-32537-10-fold-screwdriver-nut-driver-tamperproof-torx%c2%ae", "https://edmondsonsupply.com/products/klein-tools-32537-10-fold-screwdriver-nut-driver-tamperproof-torx%c2%ae")</f>
        <v>https://edmondsonsupply.com/products/klein-tools-32537-10-fold-screwdriver-nut-driver-tamperproof-torx%c2%ae</v>
      </c>
      <c r="C3416" t="s">
        <v>7624</v>
      </c>
      <c r="D3416" t="s">
        <v>7625</v>
      </c>
      <c r="E3416" s="3" t="str">
        <f>HYPERLINK("https://www.amazon.com/Tamperproof-Screwdriver-Klein-Tools-32537/dp/B0031D0HKG/ref=sr_1_1?keywords=Klein+Tools+32537+10-Fold+Screwdriver%2FNut+Driver%2C+Tamperproof+Torx%C2%AE&amp;qid=1695174248&amp;sr=8-1", "https://www.amazon.com/Tamperproof-Screwdriver-Klein-Tools-32537/dp/B0031D0HKG/ref=sr_1_1?keywords=Klein+Tools+32537+10-Fold+Screwdriver%2FNut+Driver%2C+Tamperproof+Torx%C2%AE&amp;qid=1695174248&amp;sr=8-1")</f>
        <v>https://www.amazon.com/Tamperproof-Screwdriver-Klein-Tools-32537/dp/B0031D0HKG/ref=sr_1_1?keywords=Klein+Tools+32537+10-Fold+Screwdriver%2FNut+Driver%2C+Tamperproof+Torx%C2%AE&amp;qid=1695174248&amp;sr=8-1</v>
      </c>
      <c r="F3416" t="s">
        <v>7626</v>
      </c>
      <c r="G3416" t="e">
        <f ca="1">_xludf.IMAGE("https://edmondsonsupply.com/cdn/shop/products/32537.jpg?v=1638146043")</f>
        <v>#NAME?</v>
      </c>
      <c r="H3416" t="e">
        <f ca="1">_xludf.IMAGE("https://m.media-amazon.com/images/I/410Cn0KqPMS._AC_UL320_.jpg")</f>
        <v>#NAME?</v>
      </c>
      <c r="I3416" t="s">
        <v>26</v>
      </c>
      <c r="J3416">
        <v>32.79</v>
      </c>
      <c r="K3416" s="4">
        <v>9.3399999999999997E-2</v>
      </c>
      <c r="L3416">
        <v>4.5999999999999996</v>
      </c>
      <c r="M3416">
        <v>872</v>
      </c>
      <c r="O3416" t="s">
        <v>25</v>
      </c>
      <c r="P3416" t="s">
        <v>4371</v>
      </c>
      <c r="Q3416" t="s">
        <v>7627</v>
      </c>
    </row>
    <row r="3417" spans="1:17" ht="15.5" x14ac:dyDescent="0.35">
      <c r="A3417" s="3" t="str">
        <f>HYPERLINK("https://edmondsonsupply.com/collections/electricians-tools/products/reed-mfg-cv2-chain-vise-1-8-2-1-2", "https://edmondsonsupply.com/collections/electricians-tools/products/reed-mfg-cv2-chain-vise-1-8-2-1-2")</f>
        <v>https://edmondsonsupply.com/collections/electricians-tools/products/reed-mfg-cv2-chain-vise-1-8-2-1-2</v>
      </c>
      <c r="B3417" s="3" t="str">
        <f>HYPERLINK("https://edmondsonsupply.com/products/reed-mfg-cv2-chain-vise-1-8-2-1-2", "https://edmondsonsupply.com/products/reed-mfg-cv2-chain-vise-1-8-2-1-2")</f>
        <v>https://edmondsonsupply.com/products/reed-mfg-cv2-chain-vise-1-8-2-1-2</v>
      </c>
      <c r="C3417" t="s">
        <v>7628</v>
      </c>
      <c r="D3417" t="s">
        <v>7629</v>
      </c>
      <c r="E3417" s="3" t="str">
        <f>HYPERLINK("https://www.amazon.com/Reed-Tool-CV2-Top-Screw-Capacity/dp/B000ZJYFRA/ref=sr_1_1?keywords=Reed+Mfg+CV2+Chain+Vise%2C+1%2F8+-+2-1%2F2&amp;qid=1695174246&amp;sr=8-1", "https://www.amazon.com/Reed-Tool-CV2-Top-Screw-Capacity/dp/B000ZJYFRA/ref=sr_1_1?keywords=Reed+Mfg+CV2+Chain+Vise%2C+1%2F8+-+2-1%2F2&amp;qid=1695174246&amp;sr=8-1")</f>
        <v>https://www.amazon.com/Reed-Tool-CV2-Top-Screw-Capacity/dp/B000ZJYFRA/ref=sr_1_1?keywords=Reed+Mfg+CV2+Chain+Vise%2C+1%2F8+-+2-1%2F2&amp;qid=1695174246&amp;sr=8-1</v>
      </c>
      <c r="F3417" t="s">
        <v>7630</v>
      </c>
      <c r="G3417" t="e">
        <f ca="1">_xludf.IMAGE("https://edmondsonsupply.com/cdn/shop/products/CV4.jpg?v=1633031165")</f>
        <v>#NAME?</v>
      </c>
      <c r="H3417" t="e">
        <f ca="1">_xludf.IMAGE("https://m.media-amazon.com/images/I/71-9IwjolcL._AC_UL320_.jpg")</f>
        <v>#NAME?</v>
      </c>
      <c r="I3417" t="s">
        <v>7631</v>
      </c>
      <c r="J3417">
        <v>195.85</v>
      </c>
      <c r="K3417" s="4">
        <v>9.3100000000000002E-2</v>
      </c>
      <c r="L3417">
        <v>5</v>
      </c>
      <c r="M3417">
        <v>5</v>
      </c>
      <c r="O3417" t="s">
        <v>25</v>
      </c>
      <c r="P3417" t="s">
        <v>7632</v>
      </c>
      <c r="Q3417" t="s">
        <v>7633</v>
      </c>
    </row>
    <row r="3418" spans="1:17" ht="15.5" x14ac:dyDescent="0.35">
      <c r="A3418" s="3" t="str">
        <f>HYPERLINK("https://edmondsonsupply.com/collections/electricians-tools/products/tajima-gs-25bw-gs-lock%E2%84%A2-standard-scale-25-ft-x-1-in-steel-blade-tape-measure", "https://edmondsonsupply.com/collections/electricians-tools/products/tajima-gs-25bw-gs-lock%E2%84%A2-standard-scale-25-ft-x-1-in-steel-blade-tape-measure")</f>
        <v>https://edmondsonsupply.com/collections/electricians-tools/products/tajima-gs-25bw-gs-lock%E2%84%A2-standard-scale-25-ft-x-1-in-steel-blade-tape-measure</v>
      </c>
      <c r="B3418" s="3" t="str">
        <f>HYPERLINK("https://edmondsonsupply.com/products/tajima-gs-25bw-gs-lock%e2%84%a2-standard-scale-25-ft-x-1-in-steel-blade-tape-measure", "https://edmondsonsupply.com/products/tajima-gs-25bw-gs-lock%e2%84%a2-standard-scale-25-ft-x-1-in-steel-blade-tape-measure")</f>
        <v>https://edmondsonsupply.com/products/tajima-gs-25bw-gs-lock%e2%84%a2-standard-scale-25-ft-x-1-in-steel-blade-tape-measure</v>
      </c>
      <c r="C3418" t="s">
        <v>7634</v>
      </c>
      <c r="D3418" t="s">
        <v>7635</v>
      </c>
      <c r="E3418" s="3" t="str">
        <f>HYPERLINK("https://www.amazon.com/TAJIMA-GSSF-25BW-Measure-Standard-SAFETY/dp/B07KK5M5N6/ref=sr_1_5?keywords=Tajima+GS-25BW+GS+Lock%E2%84%A2+Standard+Scale%2C+25+ft+x+1-1%2F16+in.+Steel+Blade+Tape+Measure&amp;qid=1695174184&amp;sr=8-5", "https://www.amazon.com/TAJIMA-GSSF-25BW-Measure-Standard-SAFETY/dp/B07KK5M5N6/ref=sr_1_5?keywords=Tajima+GS-25BW+GS+Lock%E2%84%A2+Standard+Scale%2C+25+ft+x+1-1%2F16+in.+Steel+Blade+Tape+Measure&amp;qid=1695174184&amp;sr=8-5")</f>
        <v>https://www.amazon.com/TAJIMA-GSSF-25BW-Measure-Standard-SAFETY/dp/B07KK5M5N6/ref=sr_1_5?keywords=Tajima+GS-25BW+GS+Lock%E2%84%A2+Standard+Scale%2C+25+ft+x+1-1%2F16+in.+Steel+Blade+Tape+Measure&amp;qid=1695174184&amp;sr=8-5</v>
      </c>
      <c r="F3418" t="s">
        <v>7636</v>
      </c>
      <c r="G3418" t="e">
        <f ca="1">_xludf.IMAGE("https://edmondsonsupply.com/cdn/shop/products/GS25BW.jpg?v=1655828685")</f>
        <v>#NAME?</v>
      </c>
      <c r="H3418" t="e">
        <f ca="1">_xludf.IMAGE("https://m.media-amazon.com/images/I/510q5IdUd9S._AC_UL320_.jpg")</f>
        <v>#NAME?</v>
      </c>
      <c r="I3418" t="s">
        <v>7637</v>
      </c>
      <c r="J3418">
        <v>43.78</v>
      </c>
      <c r="K3418" s="4">
        <v>9.2299999999999993E-2</v>
      </c>
      <c r="L3418">
        <v>4.4000000000000004</v>
      </c>
      <c r="M3418">
        <v>276</v>
      </c>
      <c r="O3418" t="s">
        <v>25</v>
      </c>
      <c r="P3418" t="s">
        <v>7638</v>
      </c>
      <c r="Q3418" t="s">
        <v>7639</v>
      </c>
    </row>
    <row r="3419" spans="1:17" ht="15.5" x14ac:dyDescent="0.35">
      <c r="A3419"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3419" s="3" t="str">
        <f>HYPERLINK("https://edmondsonsupply.com/products/klein-tools-11053-klein-kurve%c2%ae-wire-stripper-cutter", "https://edmondsonsupply.com/products/klein-tools-11053-klein-kurve%c2%ae-wire-stripper-cutter")</f>
        <v>https://edmondsonsupply.com/products/klein-tools-11053-klein-kurve%c2%ae-wire-stripper-cutter</v>
      </c>
      <c r="C3419" t="s">
        <v>2285</v>
      </c>
      <c r="D3419" t="s">
        <v>4166</v>
      </c>
      <c r="E3419" s="3" t="str">
        <f>HYPERLINK("https://www.amazon.com/Klein-Tools-1010-Crimper-Stripper/dp/B0000302WX/ref=sr_1_4?keywords=Klein+Tools+11053+Klein-Kurve%C2%AE+Wire+Stripper%2FCutter&amp;qid=1695173869&amp;sr=8-4", "https://www.amazon.com/Klein-Tools-1010-Crimper-Stripper/dp/B0000302WX/ref=sr_1_4?keywords=Klein+Tools+11053+Klein-Kurve%C2%AE+Wire+Stripper%2FCutter&amp;qid=1695173869&amp;sr=8-4")</f>
        <v>https://www.amazon.com/Klein-Tools-1010-Crimper-Stripper/dp/B0000302WX/ref=sr_1_4?keywords=Klein+Tools+11053+Klein-Kurve%C2%AE+Wire+Stripper%2FCutter&amp;qid=1695173869&amp;sr=8-4</v>
      </c>
      <c r="F3419" t="s">
        <v>4167</v>
      </c>
      <c r="G3419" t="e">
        <f ca="1">_xludf.IMAGE("https://edmondsonsupply.com/cdn/shop/products/11053.jpg?v=1633030511")</f>
        <v>#NAME?</v>
      </c>
      <c r="H3419" t="e">
        <f ca="1">_xludf.IMAGE("https://m.media-amazon.com/images/I/51hS7c2qzvL._AC_UL320_.jpg")</f>
        <v>#NAME?</v>
      </c>
      <c r="I3419" t="s">
        <v>2288</v>
      </c>
      <c r="J3419">
        <v>22.9</v>
      </c>
      <c r="K3419" s="4">
        <v>9.1999999999999998E-2</v>
      </c>
      <c r="L3419">
        <v>4.8</v>
      </c>
      <c r="M3419">
        <v>1507</v>
      </c>
      <c r="O3419" t="s">
        <v>25</v>
      </c>
      <c r="P3419" t="s">
        <v>2289</v>
      </c>
      <c r="Q3419" t="s">
        <v>2290</v>
      </c>
    </row>
    <row r="3420" spans="1:17" ht="15.5" x14ac:dyDescent="0.35">
      <c r="A3420"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3420"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3420" t="s">
        <v>6437</v>
      </c>
      <c r="D3420" t="s">
        <v>7640</v>
      </c>
      <c r="E3420" s="3" t="str">
        <f>HYPERLINK("https://www.amazon.com/FOXBC-Bandsaw-Milwaukee-48-39-0572-Portable/dp/B0BSFB7P8L/ref=sr_1_6?keywords=Milwaukee+48-39-0572+18+TPI+Standard+Compact+Portable+Band+Saw+Blade+BULK+100&amp;qid=1695174058&amp;sr=8-6", "https://www.amazon.com/FOXBC-Bandsaw-Milwaukee-48-39-0572-Portable/dp/B0BSFB7P8L/ref=sr_1_6?keywords=Milwaukee+48-39-0572+18+TPI+Standard+Compact+Portable+Band+Saw+Blade+BULK+100&amp;qid=1695174058&amp;sr=8-6")</f>
        <v>https://www.amazon.com/FOXBC-Bandsaw-Milwaukee-48-39-0572-Portable/dp/B0BSFB7P8L/ref=sr_1_6?keywords=Milwaukee+48-39-0572+18+TPI+Standard+Compact+Portable+Band+Saw+Blade+BULK+100&amp;qid=1695174058&amp;sr=8-6</v>
      </c>
      <c r="F3420" t="s">
        <v>7641</v>
      </c>
      <c r="G3420" t="e">
        <f ca="1">_xludf.IMAGE("https://edmondsonsupply.com/cdn/shop/products/21432_48-39-0510.jpg?v=1678901662")</f>
        <v>#NAME?</v>
      </c>
      <c r="H3420" t="e">
        <f ca="1">_xludf.IMAGE("https://m.media-amazon.com/images/I/61zPgRelNiL._AC_UL320_.jpg")</f>
        <v>#NAME?</v>
      </c>
      <c r="I3420" t="s">
        <v>2247</v>
      </c>
      <c r="J3420">
        <v>23.99</v>
      </c>
      <c r="K3420" s="4">
        <v>9.1899999999999996E-2</v>
      </c>
      <c r="L3420">
        <v>4.4000000000000004</v>
      </c>
      <c r="M3420">
        <v>73</v>
      </c>
      <c r="O3420" t="s">
        <v>25</v>
      </c>
      <c r="P3420" t="s">
        <v>6313</v>
      </c>
      <c r="Q3420" t="s">
        <v>6438</v>
      </c>
    </row>
    <row r="3421" spans="1:17" ht="15.5" x14ac:dyDescent="0.35">
      <c r="A3421"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3421" s="3" t="str">
        <f>HYPERLINK("https://edmondsonsupply.com/products/milwaukee-48-39-0521-18-tpi-band-saw-blade-deep-cut-3-pack", "https://edmondsonsupply.com/products/milwaukee-48-39-0521-18-tpi-band-saw-blade-deep-cut-3-pack")</f>
        <v>https://edmondsonsupply.com/products/milwaukee-48-39-0521-18-tpi-band-saw-blade-deep-cut-3-pack</v>
      </c>
      <c r="C3421" t="s">
        <v>5843</v>
      </c>
      <c r="D3421" t="s">
        <v>5898</v>
      </c>
      <c r="E3421" s="3" t="str">
        <f>HYPERLINK("https://www.amazon.com/FOXBC-Bandsaw-Milwaukee-48-39-0529-Portable/dp/B0C3C69BHQ/ref=sr_1_5?keywords=Milwaukee+48-39-0521+18+TPI+Band+Saw+Blade%2C+Deep+Cut-+3+Pack&amp;qid=1695174009&amp;sr=8-5", "https://www.amazon.com/FOXBC-Bandsaw-Milwaukee-48-39-0529-Portable/dp/B0C3C69BHQ/ref=sr_1_5?keywords=Milwaukee+48-39-0521+18+TPI+Band+Saw+Blade%2C+Deep+Cut-+3+Pack&amp;qid=1695174009&amp;sr=8-5")</f>
        <v>https://www.amazon.com/FOXBC-Bandsaw-Milwaukee-48-39-0529-Portable/dp/B0C3C69BHQ/ref=sr_1_5?keywords=Milwaukee+48-39-0521+18+TPI+Band+Saw+Blade%2C+Deep+Cut-+3+Pack&amp;qid=1695174009&amp;sr=8-5</v>
      </c>
      <c r="F3421" t="s">
        <v>5899</v>
      </c>
      <c r="G3421" t="e">
        <f ca="1">_xludf.IMAGE("https://edmondsonsupply.com/cdn/shop/files/21432_48-39-0510_1.jpg?v=1686932969")</f>
        <v>#NAME?</v>
      </c>
      <c r="H3421" t="e">
        <f ca="1">_xludf.IMAGE("https://m.media-amazon.com/images/I/612OX4NJuxL._AC_UL320_.jpg")</f>
        <v>#NAME?</v>
      </c>
      <c r="I3421" t="s">
        <v>2247</v>
      </c>
      <c r="J3421">
        <v>23.99</v>
      </c>
      <c r="K3421" s="4">
        <v>9.1899999999999996E-2</v>
      </c>
      <c r="L3421">
        <v>4.7</v>
      </c>
      <c r="M3421">
        <v>21</v>
      </c>
      <c r="O3421" t="s">
        <v>25</v>
      </c>
      <c r="P3421" t="s">
        <v>5846</v>
      </c>
      <c r="Q3421" t="s">
        <v>5847</v>
      </c>
    </row>
    <row r="3422" spans="1:17" ht="15.5" x14ac:dyDescent="0.35">
      <c r="A3422"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3422" s="3" t="str">
        <f>HYPERLINK("https://edmondsonsupply.com/products/klein-tools-630-3-8m-3-8-magnetic-tip-nut-driver-3-hollow-shank", "https://edmondsonsupply.com/products/klein-tools-630-3-8m-3-8-magnetic-tip-nut-driver-3-hollow-shank")</f>
        <v>https://edmondsonsupply.com/products/klein-tools-630-3-8m-3-8-magnetic-tip-nut-driver-3-hollow-shank</v>
      </c>
      <c r="C3422" t="s">
        <v>6055</v>
      </c>
      <c r="D3422" t="s">
        <v>7642</v>
      </c>
      <c r="E3422" s="3" t="str">
        <f>HYPERLINK("https://www.amazon.com/Magnetic-Klein-Tools-646-3-8M/dp/B000MKKD78/ref=sr_1_2?keywords=Klein+Tools+630-3%2F8M+3%2F8-Inch+Magnetic+Tip+Nut+Driver&amp;qid=1695174153&amp;sr=8-2", "https://www.amazon.com/Magnetic-Klein-Tools-646-3-8M/dp/B000MKKD78/ref=sr_1_2?keywords=Klein+Tools+630-3%2F8M+3%2F8-Inch+Magnetic+Tip+Nut+Driver&amp;qid=1695174153&amp;sr=8-2")</f>
        <v>https://www.amazon.com/Magnetic-Klein-Tools-646-3-8M/dp/B000MKKD78/ref=sr_1_2?keywords=Klein+Tools+630-3%2F8M+3%2F8-Inch+Magnetic+Tip+Nut+Driver&amp;qid=1695174153&amp;sr=8-2</v>
      </c>
      <c r="F3422" t="s">
        <v>7643</v>
      </c>
      <c r="G3422" t="e">
        <f ca="1">_xludf.IMAGE("https://edmondsonsupply.com/cdn/shop/products/630-3-8m.jpg?v=1587145139")</f>
        <v>#NAME?</v>
      </c>
      <c r="H3422" t="e">
        <f ca="1">_xludf.IMAGE("https://m.media-amazon.com/images/I/41xN-SH9qBL._AC_UL320_.jpg")</f>
        <v>#NAME?</v>
      </c>
      <c r="I3422" t="s">
        <v>6056</v>
      </c>
      <c r="J3422">
        <v>11.99</v>
      </c>
      <c r="K3422" s="4">
        <v>9.0999999999999998E-2</v>
      </c>
      <c r="L3422">
        <v>4.8</v>
      </c>
      <c r="M3422">
        <v>2497</v>
      </c>
      <c r="O3422" t="s">
        <v>25</v>
      </c>
      <c r="P3422" t="s">
        <v>6057</v>
      </c>
      <c r="Q3422" t="s">
        <v>6058</v>
      </c>
    </row>
    <row r="3423" spans="1:17" ht="15.5" x14ac:dyDescent="0.35">
      <c r="A3423"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3423"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3423" t="s">
        <v>7470</v>
      </c>
      <c r="D3423" t="s">
        <v>7644</v>
      </c>
      <c r="E3423" s="3" t="str">
        <f>HYPERLINK("https://www.amazon.com/Crescent-Lufkin-Command-Control-Measure/dp/B09PGYTGMG/ref=sr_1_5?keywords=Crescent+Lufkin+L1025C-02+1-3%2F16%22+x+25%27+Command+Control+Series%E2%84%A2+Yellow+Clad+Tape+Measure&amp;qid=1695174033&amp;sr=8-5", "https://www.amazon.com/Crescent-Lufkin-Command-Control-Measure/dp/B09PGYTGMG/ref=sr_1_5?keywords=Crescent+Lufkin+L1025C-02+1-3%2F16%22+x+25%27+Command+Control+Series%E2%84%A2+Yellow+Clad+Tape+Measure&amp;qid=1695174033&amp;sr=8-5")</f>
        <v>https://www.amazon.com/Crescent-Lufkin-Command-Control-Measure/dp/B09PGYTGMG/ref=sr_1_5?keywords=Crescent+Lufkin+L1025C-02+1-3%2F16%22+x+25%27+Command+Control+Series%E2%84%A2+Yellow+Clad+Tape+Measure&amp;qid=1695174033&amp;sr=8-5</v>
      </c>
      <c r="F3423" t="s">
        <v>7645</v>
      </c>
      <c r="G3423" t="e">
        <f ca="1">_xludf.IMAGE("https://edmondsonsupply.com/cdn/shop/products/LFK_L1025C_4-SIDES_IMG-MAIN1.jpg?v=1680013140")</f>
        <v>#NAME?</v>
      </c>
      <c r="H3423" t="e">
        <f ca="1">_xludf.IMAGE("https://m.media-amazon.com/images/I/71iCWipzYAL._AC_UL320_.jpg")</f>
        <v>#NAME?</v>
      </c>
      <c r="I3423" t="s">
        <v>7473</v>
      </c>
      <c r="J3423">
        <v>16.989999999999998</v>
      </c>
      <c r="K3423" s="4">
        <v>8.9800000000000005E-2</v>
      </c>
      <c r="L3423">
        <v>2.9</v>
      </c>
      <c r="M3423">
        <v>5</v>
      </c>
      <c r="O3423" t="s">
        <v>25</v>
      </c>
      <c r="P3423" t="s">
        <v>6822</v>
      </c>
      <c r="Q3423" t="s">
        <v>7474</v>
      </c>
    </row>
    <row r="3424" spans="1:17" ht="15.5" x14ac:dyDescent="0.35">
      <c r="A3424"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3424"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3424" t="s">
        <v>7470</v>
      </c>
      <c r="D3424" t="s">
        <v>7646</v>
      </c>
      <c r="E3424" s="3" t="str">
        <f>HYPERLINK("https://www.amazon.com/CRESCENT-LUFKIN-Crescent-Lufkin-Command/dp/B09PGYPKZZ/ref=sr_1_6?keywords=Crescent+Lufkin+L1025C-02+1-3%2F16%22+x+25%27+Command+Control+Series%E2%84%A2+Yellow+Clad+Tape+Measure&amp;qid=1695174033&amp;sr=8-6", "https://www.amazon.com/CRESCENT-LUFKIN-Crescent-Lufkin-Command/dp/B09PGYPKZZ/ref=sr_1_6?keywords=Crescent+Lufkin+L1025C-02+1-3%2F16%22+x+25%27+Command+Control+Series%E2%84%A2+Yellow+Clad+Tape+Measure&amp;qid=1695174033&amp;sr=8-6")</f>
        <v>https://www.amazon.com/CRESCENT-LUFKIN-Crescent-Lufkin-Command/dp/B09PGYPKZZ/ref=sr_1_6?keywords=Crescent+Lufkin+L1025C-02+1-3%2F16%22+x+25%27+Command+Control+Series%E2%84%A2+Yellow+Clad+Tape+Measure&amp;qid=1695174033&amp;sr=8-6</v>
      </c>
      <c r="F3424" t="s">
        <v>7647</v>
      </c>
      <c r="G3424" t="e">
        <f ca="1">_xludf.IMAGE("https://edmondsonsupply.com/cdn/shop/products/LFK_L1025C_4-SIDES_IMG-MAIN1.jpg?v=1680013140")</f>
        <v>#NAME?</v>
      </c>
      <c r="H3424" t="e">
        <f ca="1">_xludf.IMAGE("https://m.media-amazon.com/images/I/61bn8qQzbBL._AC_UL320_.jpg")</f>
        <v>#NAME?</v>
      </c>
      <c r="I3424" t="s">
        <v>7473</v>
      </c>
      <c r="J3424">
        <v>16.989999999999998</v>
      </c>
      <c r="K3424" s="4">
        <v>8.9800000000000005E-2</v>
      </c>
      <c r="L3424">
        <v>5</v>
      </c>
      <c r="M3424">
        <v>4</v>
      </c>
      <c r="O3424" t="s">
        <v>25</v>
      </c>
      <c r="P3424" t="s">
        <v>6822</v>
      </c>
      <c r="Q3424" t="s">
        <v>7474</v>
      </c>
    </row>
    <row r="3425" spans="1:17" ht="15.5" x14ac:dyDescent="0.35">
      <c r="A3425"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3425"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3425" t="s">
        <v>7470</v>
      </c>
      <c r="D3425" t="s">
        <v>7648</v>
      </c>
      <c r="E3425" s="3" t="str">
        <f>HYPERLINK("https://www.amazon.com/Crescent-Lufkin-Command-Control-Measure/dp/B07WP71GPH/ref=sr_1_3?keywords=Crescent+Lufkin+L1025C-02+1-3%2F16%22+x+25%27+Command+Control+Series%E2%84%A2+Yellow+Clad+Tape+Measure&amp;qid=1695174033&amp;sr=8-3", "https://www.amazon.com/Crescent-Lufkin-Command-Control-Measure/dp/B07WP71GPH/ref=sr_1_3?keywords=Crescent+Lufkin+L1025C-02+1-3%2F16%22+x+25%27+Command+Control+Series%E2%84%A2+Yellow+Clad+Tape+Measure&amp;qid=1695174033&amp;sr=8-3")</f>
        <v>https://www.amazon.com/Crescent-Lufkin-Command-Control-Measure/dp/B07WP71GPH/ref=sr_1_3?keywords=Crescent+Lufkin+L1025C-02+1-3%2F16%22+x+25%27+Command+Control+Series%E2%84%A2+Yellow+Clad+Tape+Measure&amp;qid=1695174033&amp;sr=8-3</v>
      </c>
      <c r="F3425" t="s">
        <v>7649</v>
      </c>
      <c r="G3425" t="e">
        <f ca="1">_xludf.IMAGE("https://edmondsonsupply.com/cdn/shop/products/LFK_L1025C_4-SIDES_IMG-MAIN1.jpg?v=1680013140")</f>
        <v>#NAME?</v>
      </c>
      <c r="H3425" t="e">
        <f ca="1">_xludf.IMAGE("https://m.media-amazon.com/images/I/61bn8qQzbBL._AC_UL320_.jpg")</f>
        <v>#NAME?</v>
      </c>
      <c r="I3425" t="s">
        <v>7473</v>
      </c>
      <c r="J3425">
        <v>16.989999999999998</v>
      </c>
      <c r="K3425" s="4">
        <v>8.9800000000000005E-2</v>
      </c>
      <c r="L3425">
        <v>4.2</v>
      </c>
      <c r="M3425">
        <v>2589</v>
      </c>
      <c r="O3425" t="s">
        <v>25</v>
      </c>
      <c r="P3425" t="s">
        <v>6822</v>
      </c>
      <c r="Q3425" t="s">
        <v>7474</v>
      </c>
    </row>
    <row r="3426" spans="1:17" ht="15.5" x14ac:dyDescent="0.35">
      <c r="A3426"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3426" s="3" t="str">
        <f>HYPERLINK("https://edmondsonsupply.com/products/diablo-tools-dag3090-7-8-in-x-17-1-2-in-auger-bit", "https://edmondsonsupply.com/products/diablo-tools-dag3090-7-8-in-x-17-1-2-in-auger-bit")</f>
        <v>https://edmondsonsupply.com/products/diablo-tools-dag3090-7-8-in-x-17-1-2-in-auger-bit</v>
      </c>
      <c r="C3426" t="s">
        <v>7269</v>
      </c>
      <c r="D3426" t="s">
        <v>7181</v>
      </c>
      <c r="E3426" s="3" t="str">
        <f>HYPERLINK("https://www.amazon.com/Diablo-17-1-Auger-Bit/dp/B089LHKRPP/ref=sr_1_4?keywords=Diablo+Tools+DAG3090+7%2F8+in.+x+17-1%2F2+in.+Auger+Bit&amp;qid=1695174065&amp;sr=8-4", "https://www.amazon.com/Diablo-17-1-Auger-Bit/dp/B089LHKRPP/ref=sr_1_4?keywords=Diablo+Tools+DAG3090+7%2F8+in.+x+17-1%2F2+in.+Auger+Bit&amp;qid=1695174065&amp;sr=8-4")</f>
        <v>https://www.amazon.com/Diablo-17-1-Auger-Bit/dp/B089LHKRPP/ref=sr_1_4?keywords=Diablo+Tools+DAG3090+7%2F8+in.+x+17-1%2F2+in.+Auger+Bit&amp;qid=1695174065&amp;sr=8-4</v>
      </c>
      <c r="F3426" t="s">
        <v>7182</v>
      </c>
      <c r="G3426" t="e">
        <f ca="1">_xludf.IMAGE("https://edmondsonsupply.com/cdn/shop/products/aorgtpkivjubhtbiiau0.webp?v=1677256849")</f>
        <v>#NAME?</v>
      </c>
      <c r="H3426" t="e">
        <f ca="1">_xludf.IMAGE("https://m.media-amazon.com/images/I/61aMNURt08L._AC_UL320_.jpg")</f>
        <v>#NAME?</v>
      </c>
      <c r="I3426" t="s">
        <v>1589</v>
      </c>
      <c r="J3426">
        <v>25</v>
      </c>
      <c r="K3426" s="4">
        <v>8.7400000000000005E-2</v>
      </c>
      <c r="L3426">
        <v>4.5999999999999996</v>
      </c>
      <c r="M3426">
        <v>61</v>
      </c>
      <c r="O3426" t="s">
        <v>25</v>
      </c>
      <c r="P3426" t="s">
        <v>7270</v>
      </c>
      <c r="Q3426" t="s">
        <v>7271</v>
      </c>
    </row>
    <row r="3427" spans="1:17" ht="15.5" x14ac:dyDescent="0.35">
      <c r="A3427"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3427"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3427" t="s">
        <v>6393</v>
      </c>
      <c r="D3427" t="s">
        <v>7650</v>
      </c>
      <c r="E3427" s="3" t="str">
        <f>HYPERLINK("https://www.amazon.com/Electronics-Screwdriver-Klein-Tools-614-2/dp/B00B9HIBYU/ref=sr_1_1?keywords=Klein+Tools+614-2+1%2F16-Inch+Slotted+Electronics+Screwdriver%2C+2-Inch&amp;qid=1695174229&amp;sr=8-1", "https://www.amazon.com/Electronics-Screwdriver-Klein-Tools-614-2/dp/B00B9HIBYU/ref=sr_1_1?keywords=Klein+Tools+614-2+1%2F16-Inch+Slotted+Electronics+Screwdriver%2C+2-Inch&amp;qid=1695174229&amp;sr=8-1")</f>
        <v>https://www.amazon.com/Electronics-Screwdriver-Klein-Tools-614-2/dp/B00B9HIBYU/ref=sr_1_1?keywords=Klein+Tools+614-2+1%2F16-Inch+Slotted+Electronics+Screwdriver%2C+2-Inch&amp;qid=1695174229&amp;sr=8-1</v>
      </c>
      <c r="F3427" t="s">
        <v>7651</v>
      </c>
      <c r="G3427" t="e">
        <f ca="1">_xludf.IMAGE("https://edmondsonsupply.com/cdn/shop/products/614-2.jpg?v=1637284311")</f>
        <v>#NAME?</v>
      </c>
      <c r="H3427" t="e">
        <f ca="1">_xludf.IMAGE("https://m.media-amazon.com/images/I/4122Rvtcf2L._AC_UL320_.jpg")</f>
        <v>#NAME?</v>
      </c>
      <c r="I3427" t="s">
        <v>6394</v>
      </c>
      <c r="J3427">
        <v>9.23</v>
      </c>
      <c r="K3427" s="4">
        <v>8.72E-2</v>
      </c>
      <c r="L3427">
        <v>4.7</v>
      </c>
      <c r="M3427">
        <v>332</v>
      </c>
      <c r="O3427" t="s">
        <v>25</v>
      </c>
      <c r="P3427" t="s">
        <v>6395</v>
      </c>
      <c r="Q3427" t="s">
        <v>6396</v>
      </c>
    </row>
    <row r="3428" spans="1:17" ht="15.5" x14ac:dyDescent="0.35">
      <c r="A3428" s="3" t="str">
        <f>HYPERLINK("https://edmondsonsupply.com/collections/electricians-tools/products/rack-a-tiers-72101-the-nut-blaster-xl-yellow", "https://edmondsonsupply.com/collections/electricians-tools/products/rack-a-tiers-72101-the-nut-blaster-xl-yellow")</f>
        <v>https://edmondsonsupply.com/collections/electricians-tools/products/rack-a-tiers-72101-the-nut-blaster-xl-yellow</v>
      </c>
      <c r="B3428" s="3" t="str">
        <f>HYPERLINK("https://edmondsonsupply.com/products/rack-a-tiers-72101-the-nut-blaster-xl-yellow", "https://edmondsonsupply.com/products/rack-a-tiers-72101-the-nut-blaster-xl-yellow")</f>
        <v>https://edmondsonsupply.com/products/rack-a-tiers-72101-the-nut-blaster-xl-yellow</v>
      </c>
      <c r="C3428" t="s">
        <v>7652</v>
      </c>
      <c r="D3428" t="s">
        <v>7653</v>
      </c>
      <c r="E3428" s="3" t="str">
        <f>HYPERLINK("https://www.amazon.com/Rack-Tiers-72101-Blaster-XL/dp/B0087TBPS2/ref=sr_1_1?keywords=Rack-A-Tiers+72101+The+Nut+Blaster+-+XL+Yellow&amp;qid=1695174070&amp;sr=8-1", "https://www.amazon.com/Rack-Tiers-72101-Blaster-XL/dp/B0087TBPS2/ref=sr_1_1?keywords=Rack-A-Tiers+72101+The+Nut+Blaster+-+XL+Yellow&amp;qid=1695174070&amp;sr=8-1")</f>
        <v>https://www.amazon.com/Rack-Tiers-72101-Blaster-XL/dp/B0087TBPS2/ref=sr_1_1?keywords=Rack-A-Tiers+72101+The+Nut+Blaster+-+XL+Yellow&amp;qid=1695174070&amp;sr=8-1</v>
      </c>
      <c r="F3428" t="s">
        <v>7654</v>
      </c>
      <c r="G3428" t="e">
        <f ca="1">_xludf.IMAGE("https://edmondsonsupply.com/cdn/shop/products/72101-72102-Nut-Blaster-XL-and-XXL-1.webp?v=1677011483")</f>
        <v>#NAME?</v>
      </c>
      <c r="H3428" t="e">
        <f ca="1">_xludf.IMAGE("https://m.media-amazon.com/images/I/41BlhdjFsAL._AC_UL320_.jpg")</f>
        <v>#NAME?</v>
      </c>
      <c r="I3428" t="s">
        <v>7019</v>
      </c>
      <c r="J3428">
        <v>12.49</v>
      </c>
      <c r="K3428" s="4">
        <v>8.6999999999999994E-2</v>
      </c>
      <c r="L3428">
        <v>4.5</v>
      </c>
      <c r="M3428">
        <v>1366</v>
      </c>
      <c r="O3428" t="s">
        <v>25</v>
      </c>
      <c r="P3428" t="s">
        <v>6632</v>
      </c>
      <c r="Q3428" t="s">
        <v>7655</v>
      </c>
    </row>
    <row r="3429" spans="1:17" ht="15.5" x14ac:dyDescent="0.35">
      <c r="A3429" s="3" t="str">
        <f>HYPERLINK("https://edmondsonsupply.com/collections/electricians-tools/products/rack-a-tiers-84100-chip-catcher", "https://edmondsonsupply.com/collections/electricians-tools/products/rack-a-tiers-84100-chip-catcher")</f>
        <v>https://edmondsonsupply.com/collections/electricians-tools/products/rack-a-tiers-84100-chip-catcher</v>
      </c>
      <c r="B3429" s="3" t="str">
        <f>HYPERLINK("https://edmondsonsupply.com/products/rack-a-tiers-84100-chip-catcher", "https://edmondsonsupply.com/products/rack-a-tiers-84100-chip-catcher")</f>
        <v>https://edmondsonsupply.com/products/rack-a-tiers-84100-chip-catcher</v>
      </c>
      <c r="C3429" t="s">
        <v>7656</v>
      </c>
      <c r="D3429" t="s">
        <v>7657</v>
      </c>
      <c r="E3429" s="3" t="str">
        <f>HYPERLINK("https://www.amazon.com/Rack-Tiers-Magnetic-shavings-84100/dp/B00TQZDAMK/ref=sr_1_1?keywords=Rack-A-Tiers+84100+Chip+Catcher&amp;qid=1695173853&amp;sr=8-1", "https://www.amazon.com/Rack-Tiers-Magnetic-shavings-84100/dp/B00TQZDAMK/ref=sr_1_1?keywords=Rack-A-Tiers+84100+Chip+Catcher&amp;qid=1695173853&amp;sr=8-1")</f>
        <v>https://www.amazon.com/Rack-Tiers-Magnetic-shavings-84100/dp/B00TQZDAMK/ref=sr_1_1?keywords=Rack-A-Tiers+84100+Chip+Catcher&amp;qid=1695173853&amp;sr=8-1</v>
      </c>
      <c r="F3429" t="s">
        <v>7658</v>
      </c>
      <c r="G3429" t="e">
        <f ca="1">_xludf.IMAGE("https://edmondsonsupply.com/cdn/shop/products/84100-Chip-Catcher-1.png?v=1587149538")</f>
        <v>#NAME?</v>
      </c>
      <c r="H3429" t="e">
        <f ca="1">_xludf.IMAGE("https://m.media-amazon.com/images/I/41jSoyfV2AL._AC_UL320_.jpg")</f>
        <v>#NAME?</v>
      </c>
      <c r="I3429" t="s">
        <v>1589</v>
      </c>
      <c r="J3429">
        <v>24.99</v>
      </c>
      <c r="K3429" s="4">
        <v>8.6999999999999994E-2</v>
      </c>
      <c r="L3429">
        <v>4.5</v>
      </c>
      <c r="M3429">
        <v>59</v>
      </c>
      <c r="O3429" t="s">
        <v>25</v>
      </c>
      <c r="P3429" t="s">
        <v>471</v>
      </c>
      <c r="Q3429" t="s">
        <v>7659</v>
      </c>
    </row>
    <row r="3430" spans="1:17" ht="15.5" x14ac:dyDescent="0.35">
      <c r="A3430" s="3" t="str">
        <f>HYPERLINK("https://edmondsonsupply.com/collections/electricians-tools/products/rack-a-tiers-80090-the-nut-snugger-kit-1-2-3-4-magnetic-locknut-holder", "https://edmondsonsupply.com/collections/electricians-tools/products/rack-a-tiers-80090-the-nut-snugger-kit-1-2-3-4-magnetic-locknut-holder")</f>
        <v>https://edmondsonsupply.com/collections/electricians-tools/products/rack-a-tiers-80090-the-nut-snugger-kit-1-2-3-4-magnetic-locknut-holder</v>
      </c>
      <c r="B3430" s="3" t="str">
        <f>HYPERLINK("https://edmondsonsupply.com/products/rack-a-tiers-80090-the-nut-snugger-kit-1-2-3-4-magnetic-locknut-holder", "https://edmondsonsupply.com/products/rack-a-tiers-80090-the-nut-snugger-kit-1-2-3-4-magnetic-locknut-holder")</f>
        <v>https://edmondsonsupply.com/products/rack-a-tiers-80090-the-nut-snugger-kit-1-2-3-4-magnetic-locknut-holder</v>
      </c>
      <c r="C3430" t="s">
        <v>7660</v>
      </c>
      <c r="D3430" t="s">
        <v>6677</v>
      </c>
      <c r="E3430" s="3" t="str">
        <f>HYPERLINK("https://www.amazon.com/Rack-Tiers-Nut-Snugger-Kit/dp/B0BX4MB59Q/ref=sr_1_1?keywords=Rack-A-Tiers+80090+The+Nut+Snugger+Kit+-+1%2F2&amp;qid=1695174128&amp;sr=8-1", "https://www.amazon.com/Rack-Tiers-Nut-Snugger-Kit/dp/B0BX4MB59Q/ref=sr_1_1?keywords=Rack-A-Tiers+80090+The+Nut+Snugger+Kit+-+1%2F2&amp;qid=1695174128&amp;sr=8-1")</f>
        <v>https://www.amazon.com/Rack-Tiers-Nut-Snugger-Kit/dp/B0BX4MB59Q/ref=sr_1_1?keywords=Rack-A-Tiers+80090+The+Nut+Snugger+Kit+-+1%2F2&amp;qid=1695174128&amp;sr=8-1</v>
      </c>
      <c r="F3430" t="s">
        <v>6678</v>
      </c>
      <c r="G3430" t="e">
        <f ca="1">_xludf.IMAGE("https://edmondsonsupply.com/cdn/shop/products/820XX-Nut-Snugger_c9aae897-213e-499d-a6ba-7f1e2d3c2249.png?v=1667153419")</f>
        <v>#NAME?</v>
      </c>
      <c r="H3430" t="e">
        <f ca="1">_xludf.IMAGE("https://m.media-amazon.com/images/I/31gF-2h5bgL._AC_UY218_.jpg")</f>
        <v>#NAME?</v>
      </c>
      <c r="I3430" t="s">
        <v>3699</v>
      </c>
      <c r="J3430">
        <v>68.989999999999995</v>
      </c>
      <c r="K3430" s="4">
        <v>8.6599999999999996E-2</v>
      </c>
      <c r="L3430">
        <v>5</v>
      </c>
      <c r="M3430">
        <v>2</v>
      </c>
      <c r="O3430" t="s">
        <v>25</v>
      </c>
      <c r="P3430" t="s">
        <v>1543</v>
      </c>
      <c r="Q3430" t="s">
        <v>7661</v>
      </c>
    </row>
    <row r="3431" spans="1:17" ht="15.5" x14ac:dyDescent="0.35">
      <c r="A3431"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3431" s="3" t="str">
        <f>HYPERLINK("https://edmondsonsupply.com/products/klein-tools-58888-12-pocket-tool-tote-with-shoulder-strap", "https://edmondsonsupply.com/products/klein-tools-58888-12-pocket-tool-tote-with-shoulder-strap")</f>
        <v>https://edmondsonsupply.com/products/klein-tools-58888-12-pocket-tool-tote-with-shoulder-strap</v>
      </c>
      <c r="C3431" t="s">
        <v>445</v>
      </c>
      <c r="D3431" t="s">
        <v>505</v>
      </c>
      <c r="E3431" s="3" t="str">
        <f>HYPERLINK("https://www.amazon.com/Shoulder-Interior-Klein-Tools-5541610-14/dp/B00MS16CU6/ref=sr_1_3?keywords=Klein+Tools+58888+12+Pocket+Tool+Tote+with+Shoulder+Strap&amp;qid=1695174176&amp;sr=8-3", "https://www.amazon.com/Shoulder-Interior-Klein-Tools-5541610-14/dp/B00MS16CU6/ref=sr_1_3?keywords=Klein+Tools+58888+12+Pocket+Tool+Tote+with+Shoulder+Strap&amp;qid=1695174176&amp;sr=8-3")</f>
        <v>https://www.amazon.com/Shoulder-Interior-Klein-Tools-5541610-14/dp/B00MS16CU6/ref=sr_1_3?keywords=Klein+Tools+58888+12+Pocket+Tool+Tote+with+Shoulder+Strap&amp;qid=1695174176&amp;sr=8-3</v>
      </c>
      <c r="F3431" t="s">
        <v>506</v>
      </c>
      <c r="G3431" t="e">
        <f ca="1">_xludf.IMAGE("https://edmondsonsupply.com/cdn/shop/products/58888.jpg?v=1660004615")</f>
        <v>#NAME?</v>
      </c>
      <c r="H3431" t="e">
        <f ca="1">_xludf.IMAGE("https://m.media-amazon.com/images/I/61ach47aWeL._AC_UL320_.jpg")</f>
        <v>#NAME?</v>
      </c>
      <c r="I3431" t="s">
        <v>448</v>
      </c>
      <c r="J3431">
        <v>90.15</v>
      </c>
      <c r="K3431" s="4">
        <v>8.6300000000000002E-2</v>
      </c>
      <c r="L3431">
        <v>4.8</v>
      </c>
      <c r="M3431">
        <v>2932</v>
      </c>
      <c r="O3431" t="s">
        <v>25</v>
      </c>
      <c r="P3431" t="s">
        <v>449</v>
      </c>
      <c r="Q3431" t="s">
        <v>450</v>
      </c>
    </row>
    <row r="3432" spans="1:17" ht="15.5" x14ac:dyDescent="0.35">
      <c r="A3432"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3432"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3432" t="s">
        <v>6932</v>
      </c>
      <c r="D3432" t="s">
        <v>7662</v>
      </c>
      <c r="E3432" s="3" t="str">
        <f>HYPERLINK("https://www.amazon.com/Diablo-Freud-DOU125BF3-Universal-Oscillating/dp/B089KTHL1Z/ref=sr_1_9?keywords=Diablo+Tools+DOU250JBW+2-1%2F2+in.+Universal+Fit+Bi-Metal+Oscillating+Blade+for+Clean+Wood&amp;qid=1695174020&amp;sr=8-9", "https://www.amazon.com/Diablo-Freud-DOU125BF3-Universal-Oscillating/dp/B089KTHL1Z/ref=sr_1_9?keywords=Diablo+Tools+DOU250JBW+2-1%2F2+in.+Universal+Fit+Bi-Metal+Oscillating+Blade+for+Clean+Wood&amp;qid=1695174020&amp;sr=8-9")</f>
        <v>https://www.amazon.com/Diablo-Freud-DOU125BF3-Universal-Oscillating/dp/B089KTHL1Z/ref=sr_1_9?keywords=Diablo+Tools+DOU250JBW+2-1%2F2+in.+Universal+Fit+Bi-Metal+Oscillating+Blade+for+Clean+Wood&amp;qid=1695174020&amp;sr=8-9</v>
      </c>
      <c r="F3432" t="s">
        <v>7663</v>
      </c>
      <c r="G3432" t="e">
        <f ca="1">_xludf.IMAGE("https://edmondsonsupply.com/cdn/shop/files/pycnap4eb1urn2hxvudq.webp?v=1685718789")</f>
        <v>#NAME?</v>
      </c>
      <c r="H3432" t="e">
        <f ca="1">_xludf.IMAGE("https://m.media-amazon.com/images/I/61mZfXlj-XL._AC_UL320_.jpg")</f>
        <v>#NAME?</v>
      </c>
      <c r="I3432" t="s">
        <v>6935</v>
      </c>
      <c r="J3432">
        <v>16.989999999999998</v>
      </c>
      <c r="K3432" s="4">
        <v>8.5599999999999996E-2</v>
      </c>
      <c r="L3432">
        <v>4.2</v>
      </c>
      <c r="M3432">
        <v>14</v>
      </c>
      <c r="O3432" t="s">
        <v>25</v>
      </c>
      <c r="P3432" t="s">
        <v>6936</v>
      </c>
      <c r="Q3432" t="s">
        <v>6937</v>
      </c>
    </row>
    <row r="3433" spans="1:17" ht="15.5" x14ac:dyDescent="0.35">
      <c r="A3433"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3433" s="3" t="str">
        <f>HYPERLINK("https://edmondsonsupply.com/products/diablo-tools-d0740x-7-1-4-in-x-40-tooth-finish-saw-blade", "https://edmondsonsupply.com/products/diablo-tools-d0740x-7-1-4-in-x-40-tooth-finish-saw-blade")</f>
        <v>https://edmondsonsupply.com/products/diablo-tools-d0740x-7-1-4-in-x-40-tooth-finish-saw-blade</v>
      </c>
      <c r="C3433" t="s">
        <v>6112</v>
      </c>
      <c r="D3433" t="s">
        <v>7664</v>
      </c>
      <c r="E3433" s="3" t="str">
        <f>HYPERLINK("https://www.amazon.com/Freud-D0740A-Finishing-Knockout-PermaShield/dp/B00008WQ2G/ref=sr_1_1?keywords=Diablo+Tools+D0740X+7-1%2F4+in.+x+40+Tooth+Finish+Saw+Blade&amp;qid=1695174073&amp;sr=8-1", "https://www.amazon.com/Freud-D0740A-Finishing-Knockout-PermaShield/dp/B00008WQ2G/ref=sr_1_1?keywords=Diablo+Tools+D0740X+7-1%2F4+in.+x+40+Tooth+Finish+Saw+Blade&amp;qid=1695174073&amp;sr=8-1")</f>
        <v>https://www.amazon.com/Freud-D0740A-Finishing-Knockout-PermaShield/dp/B00008WQ2G/ref=sr_1_1?keywords=Diablo+Tools+D0740X+7-1%2F4+in.+x+40+Tooth+Finish+Saw+Blade&amp;qid=1695174073&amp;sr=8-1</v>
      </c>
      <c r="F3433" t="s">
        <v>7665</v>
      </c>
      <c r="G3433" t="e">
        <f ca="1">_xludf.IMAGE("https://edmondsonsupply.com/cdn/shop/products/kdrkrhhsfpivsggxnkhy.webp?v=1678975834")</f>
        <v>#NAME?</v>
      </c>
      <c r="H3433" t="e">
        <f ca="1">_xludf.IMAGE("https://m.media-amazon.com/images/I/71P5utUYOqL._AC_UL320_.jpg")</f>
        <v>#NAME?</v>
      </c>
      <c r="I3433" t="s">
        <v>2784</v>
      </c>
      <c r="J3433">
        <v>16.239999999999998</v>
      </c>
      <c r="K3433" s="4">
        <v>8.48E-2</v>
      </c>
      <c r="L3433">
        <v>4.7</v>
      </c>
      <c r="M3433">
        <v>2849</v>
      </c>
      <c r="O3433" t="s">
        <v>25</v>
      </c>
      <c r="P3433" t="s">
        <v>6115</v>
      </c>
      <c r="Q3433" t="s">
        <v>6116</v>
      </c>
    </row>
    <row r="3434" spans="1:17" ht="15.5" x14ac:dyDescent="0.35">
      <c r="A3434"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3434" s="3" t="str">
        <f>HYPERLINK("https://edmondsonsupply.com/products/klein-tools-et600-insulation-resistance-tester", "https://edmondsonsupply.com/products/klein-tools-et600-insulation-resistance-tester")</f>
        <v>https://edmondsonsupply.com/products/klein-tools-et600-insulation-resistance-tester</v>
      </c>
      <c r="C3434" t="s">
        <v>6505</v>
      </c>
      <c r="D3434" t="s">
        <v>7666</v>
      </c>
      <c r="E3434" s="3" t="str">
        <f>HYPERLINK("https://www.amazon.com/Klein-Tools-Multimeter-MegohmmeterInsulation-Rare-Earth/dp/B09T6YCW54/ref=sr_1_2?keywords=Klein+Tools+ET600+Insulation+Resistance+Tester&amp;qid=1695173907&amp;sr=8-2", "https://www.amazon.com/Klein-Tools-Multimeter-MegohmmeterInsulation-Rare-Earth/dp/B09T6YCW54/ref=sr_1_2?keywords=Klein+Tools+ET600+Insulation+Resistance+Tester&amp;qid=1695173907&amp;sr=8-2")</f>
        <v>https://www.amazon.com/Klein-Tools-Multimeter-MegohmmeterInsulation-Rare-Earth/dp/B09T6YCW54/ref=sr_1_2?keywords=Klein+Tools+ET600+Insulation+Resistance+Tester&amp;qid=1695173907&amp;sr=8-2</v>
      </c>
      <c r="F3434" t="s">
        <v>7667</v>
      </c>
      <c r="G3434" t="e">
        <f ca="1">_xludf.IMAGE("https://edmondsonsupply.com/cdn/shop/products/et600_accessories_b.jpg?v=1677685603")</f>
        <v>#NAME?</v>
      </c>
      <c r="H3434" t="e">
        <f ca="1">_xludf.IMAGE("https://m.media-amazon.com/images/I/514bUmc4y+L._AC_UY218_.jpg")</f>
        <v>#NAME?</v>
      </c>
      <c r="I3434" t="s">
        <v>6506</v>
      </c>
      <c r="J3434">
        <v>178.98</v>
      </c>
      <c r="K3434" s="4">
        <v>8.48E-2</v>
      </c>
      <c r="L3434">
        <v>4.8</v>
      </c>
      <c r="M3434">
        <v>11</v>
      </c>
      <c r="O3434" t="s">
        <v>25</v>
      </c>
      <c r="P3434" t="s">
        <v>6507</v>
      </c>
      <c r="Q3434" t="s">
        <v>6508</v>
      </c>
    </row>
    <row r="3435" spans="1:17" ht="15.5" x14ac:dyDescent="0.35">
      <c r="A3435" s="3" t="str">
        <f>HYPERLINK("https://edmondsonsupply.com/collections/electricians-tools/products/rack-a-tiers-43095-electricians-grande-butt-pouch", "https://edmondsonsupply.com/collections/electricians-tools/products/rack-a-tiers-43095-electricians-grande-butt-pouch")</f>
        <v>https://edmondsonsupply.com/collections/electricians-tools/products/rack-a-tiers-43095-electricians-grande-butt-pouch</v>
      </c>
      <c r="B3435" s="3" t="str">
        <f>HYPERLINK("https://edmondsonsupply.com/products/rack-a-tiers-43095-electricians-grande-butt-pouch", "https://edmondsonsupply.com/products/rack-a-tiers-43095-electricians-grande-butt-pouch")</f>
        <v>https://edmondsonsupply.com/products/rack-a-tiers-43095-electricians-grande-butt-pouch</v>
      </c>
      <c r="C3435" t="s">
        <v>3598</v>
      </c>
      <c r="D3435" t="s">
        <v>4174</v>
      </c>
      <c r="E3435" s="3" t="str">
        <f>HYPERLINK("https://www.amazon.com/Rack-Tiers-43095-Pocket-Holder/dp/B079DWYQQF/ref=sr_1_2?keywords=Rack-A-Tiers+43095+Electrician%27s+Grande+Butt+Pouch&amp;qid=1695173924&amp;sr=8-2", "https://www.amazon.com/Rack-Tiers-43095-Pocket-Holder/dp/B079DWYQQF/ref=sr_1_2?keywords=Rack-A-Tiers+43095+Electrician%27s+Grande+Butt+Pouch&amp;qid=1695173924&amp;sr=8-2")</f>
        <v>https://www.amazon.com/Rack-Tiers-43095-Pocket-Holder/dp/B079DWYQQF/ref=sr_1_2?keywords=Rack-A-Tiers+43095+Electrician%27s+Grande+Butt+Pouch&amp;qid=1695173924&amp;sr=8-2</v>
      </c>
      <c r="F3435" t="s">
        <v>4175</v>
      </c>
      <c r="G3435" t="e">
        <f ca="1">_xludf.IMAGE("https://edmondsonsupply.com/cdn/shop/products/43095-Grande-Butt-Pouch-1-1-1-1-1-300x300.png?v=1633030598")</f>
        <v>#NAME?</v>
      </c>
      <c r="H3435" t="e">
        <f ca="1">_xludf.IMAGE("https://m.media-amazon.com/images/I/51y+Jt8bC5L._AC_UL320_.jpg")</f>
        <v>#NAME?</v>
      </c>
      <c r="I3435" t="s">
        <v>3601</v>
      </c>
      <c r="J3435">
        <v>31.99</v>
      </c>
      <c r="K3435" s="4">
        <v>8.48E-2</v>
      </c>
      <c r="L3435">
        <v>5</v>
      </c>
      <c r="M3435">
        <v>1</v>
      </c>
      <c r="O3435" t="s">
        <v>25</v>
      </c>
      <c r="P3435" t="s">
        <v>3602</v>
      </c>
      <c r="Q3435" t="s">
        <v>3603</v>
      </c>
    </row>
    <row r="3436" spans="1:17" ht="15.5" x14ac:dyDescent="0.35">
      <c r="A3436" s="3" t="str">
        <f>HYPERLINK("https://edmondsonsupply.com/collections/electricians-tools/products/reed-mfg-rwo10-10-heavy-duty-45-offset-pipe-wrench", "https://edmondsonsupply.com/collections/electricians-tools/products/reed-mfg-rwo10-10-heavy-duty-45-offset-pipe-wrench")</f>
        <v>https://edmondsonsupply.com/collections/electricians-tools/products/reed-mfg-rwo10-10-heavy-duty-45-offset-pipe-wrench</v>
      </c>
      <c r="B3436" s="3" t="str">
        <f>HYPERLINK("https://edmondsonsupply.com/products/reed-mfg-rwo10-10-heavy-duty-45-offset-pipe-wrench", "https://edmondsonsupply.com/products/reed-mfg-rwo10-10-heavy-duty-45-offset-pipe-wrench")</f>
        <v>https://edmondsonsupply.com/products/reed-mfg-rwo10-10-heavy-duty-45-offset-pipe-wrench</v>
      </c>
      <c r="C3436" t="s">
        <v>7668</v>
      </c>
      <c r="D3436" t="s">
        <v>7669</v>
      </c>
      <c r="E3436" s="3" t="str">
        <f>HYPERLINK("https://www.amazon.com/Reed-Tool-RWO10-Offset-10-Inch/dp/B001H4K3KK/ref=sr_1_1?keywords=Reed+Mfg+RWO10+10%22+Heavy-Duty+45%C2%B0+Offset+Pipe+Wrench&amp;qid=1695174270&amp;sr=8-1", "https://www.amazon.com/Reed-Tool-RWO10-Offset-10-Inch/dp/B001H4K3KK/ref=sr_1_1?keywords=Reed+Mfg+RWO10+10%22+Heavy-Duty+45%C2%B0+Offset+Pipe+Wrench&amp;qid=1695174270&amp;sr=8-1")</f>
        <v>https://www.amazon.com/Reed-Tool-RWO10-Offset-10-Inch/dp/B001H4K3KK/ref=sr_1_1?keywords=Reed+Mfg+RWO10+10%22+Heavy-Duty+45%C2%B0+Offset+Pipe+Wrench&amp;qid=1695174270&amp;sr=8-1</v>
      </c>
      <c r="F3436" t="s">
        <v>7670</v>
      </c>
      <c r="G3436" t="e">
        <f ca="1">_xludf.IMAGE("https://edmondsonsupply.com/cdn/shop/products/02220-RWO10-RGB.jpg?v=1633031011")</f>
        <v>#NAME?</v>
      </c>
      <c r="H3436" t="e">
        <f ca="1">_xludf.IMAGE("https://m.media-amazon.com/images/I/411qsxTmSzL._AC_UL320_.jpg")</f>
        <v>#NAME?</v>
      </c>
      <c r="I3436" t="s">
        <v>7671</v>
      </c>
      <c r="J3436">
        <v>36.9</v>
      </c>
      <c r="K3436" s="4">
        <v>8.43E-2</v>
      </c>
      <c r="L3436">
        <v>5</v>
      </c>
      <c r="M3436">
        <v>4</v>
      </c>
      <c r="O3436" t="s">
        <v>25</v>
      </c>
      <c r="P3436" t="s">
        <v>7672</v>
      </c>
      <c r="Q3436" t="s">
        <v>7673</v>
      </c>
    </row>
    <row r="3437" spans="1:17" ht="15.5" x14ac:dyDescent="0.35">
      <c r="A3437" s="3" t="str">
        <f>HYPERLINK("https://edmondsonsupply.com/collections/electricians-tools/products/clc-pb1133-molded-rubber-bottom-tool-backpack", "https://edmondsonsupply.com/collections/electricians-tools/products/clc-pb1133-molded-rubber-bottom-tool-backpack")</f>
        <v>https://edmondsonsupply.com/collections/electricians-tools/products/clc-pb1133-molded-rubber-bottom-tool-backpack</v>
      </c>
      <c r="B3437" s="3" t="str">
        <f>HYPERLINK("https://edmondsonsupply.com/products/clc-pb1133-molded-rubber-bottom-tool-backpack", "https://edmondsonsupply.com/products/clc-pb1133-molded-rubber-bottom-tool-backpack")</f>
        <v>https://edmondsonsupply.com/products/clc-pb1133-molded-rubber-bottom-tool-backpack</v>
      </c>
      <c r="C3437" t="s">
        <v>507</v>
      </c>
      <c r="D3437" t="s">
        <v>237</v>
      </c>
      <c r="E3437" s="3" t="str">
        <f>HYPERLINK("https://www.amazon.com/PB1133-Pocket-Backpack-Multi-Purpose-Zippered/dp/B09Z92LJFF/ref=sr_1_2?keywords=CLC+PB1133+Molded+Rubber+Bottom+Tool+Backpack&amp;qid=1695174264&amp;sr=8-2", "https://www.amazon.com/PB1133-Pocket-Backpack-Multi-Purpose-Zippered/dp/B09Z92LJFF/ref=sr_1_2?keywords=CLC+PB1133+Molded+Rubber+Bottom+Tool+Backpack&amp;qid=1695174264&amp;sr=8-2")</f>
        <v>https://www.amazon.com/PB1133-Pocket-Backpack-Multi-Purpose-Zippered/dp/B09Z92LJFF/ref=sr_1_2?keywords=CLC+PB1133+Molded+Rubber+Bottom+Tool+Backpack&amp;qid=1695174264&amp;sr=8-2</v>
      </c>
      <c r="F3437" t="s">
        <v>238</v>
      </c>
      <c r="G3437" t="e">
        <f ca="1">_xludf.IMAGE("https://edmondsonsupply.com/cdn/shop/products/PB1133.png?v=1633031051")</f>
        <v>#NAME?</v>
      </c>
      <c r="H3437" t="e">
        <f ca="1">_xludf.IMAGE("https://m.media-amazon.com/images/I/510j+91N6EL._AC_UL320_.jpg")</f>
        <v>#NAME?</v>
      </c>
      <c r="I3437" t="s">
        <v>369</v>
      </c>
      <c r="J3437">
        <v>128.97999999999999</v>
      </c>
      <c r="K3437" s="4">
        <v>8.3900000000000002E-2</v>
      </c>
      <c r="L3437">
        <v>4.2</v>
      </c>
      <c r="M3437">
        <v>4</v>
      </c>
      <c r="O3437" t="s">
        <v>25</v>
      </c>
      <c r="P3437" t="s">
        <v>282</v>
      </c>
      <c r="Q3437" t="s">
        <v>508</v>
      </c>
    </row>
    <row r="3438" spans="1:17" ht="15.5" x14ac:dyDescent="0.35">
      <c r="A3438"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3438"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3438" t="s">
        <v>5837</v>
      </c>
      <c r="D3438" t="s">
        <v>5900</v>
      </c>
      <c r="E3438" s="3" t="str">
        <f>HYPERLINK("https://www.amazon.com/Diablo-DMAMXCC5030-SDS-Max-Carbide-Tipped/dp/B089M8K3HG/ref=sr_1_1?keywords=Diablo+Tools+DMAMXCC5010+2+in.+x+7+in.+SDS-Max+Carbide+Tipped+Core+Bit&amp;qid=1695174008&amp;sr=8-1", "https://www.amazon.com/Diablo-DMAMXCC5030-SDS-Max-Carbide-Tipped/dp/B089M8K3HG/ref=sr_1_1?keywords=Diablo+Tools+DMAMXCC5010+2+in.+x+7+in.+SDS-Max+Carbide+Tipped+Core+Bit&amp;qid=1695174008&amp;sr=8-1")</f>
        <v>https://www.amazon.com/Diablo-DMAMXCC5030-SDS-Max-Carbide-Tipped/dp/B089M8K3HG/ref=sr_1_1?keywords=Diablo+Tools+DMAMXCC5010+2+in.+x+7+in.+SDS-Max+Carbide+Tipped+Core+Bit&amp;qid=1695174008&amp;sr=8-1</v>
      </c>
      <c r="F3438" t="s">
        <v>5901</v>
      </c>
      <c r="G3438" t="e">
        <f ca="1">_xludf.IMAGE("https://edmondsonsupply.com/cdn/shop/files/kbs61qpkymnshwvx13k1.webp?v=1686583113")</f>
        <v>#NAME?</v>
      </c>
      <c r="H3438" t="e">
        <f ca="1">_xludf.IMAGE("https://m.media-amazon.com/images/I/71U1Um--OXL._AC_UL320_.jpg")</f>
        <v>#NAME?</v>
      </c>
      <c r="I3438" t="s">
        <v>5840</v>
      </c>
      <c r="J3438">
        <v>110</v>
      </c>
      <c r="K3438" s="4">
        <v>8.3900000000000002E-2</v>
      </c>
      <c r="L3438">
        <v>5</v>
      </c>
      <c r="M3438">
        <v>3</v>
      </c>
      <c r="O3438" t="s">
        <v>25</v>
      </c>
      <c r="P3438" t="s">
        <v>5841</v>
      </c>
      <c r="Q3438" t="s">
        <v>5842</v>
      </c>
    </row>
    <row r="3439" spans="1:17" ht="15.5" x14ac:dyDescent="0.35">
      <c r="A3439"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3439"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3439" t="s">
        <v>6932</v>
      </c>
      <c r="D3439" t="s">
        <v>5960</v>
      </c>
      <c r="E3439" s="3" t="str">
        <f>HYPERLINK("https://www.amazon.com/Diablo-Freud-DOU250BW-Oscillating-Nail-Embedded/dp/B089KWP5Z2/ref=sr_1_3?keywords=Diablo+Tools+DOU250JBW+2-1%2F2+in.+Universal+Fit+Bi-Metal+Oscillating+Blade+for+Clean+Wood&amp;qid=1695174020&amp;sr=8-3", "https://www.amazon.com/Diablo-Freud-DOU250BW-Oscillating-Nail-Embedded/dp/B089KWP5Z2/ref=sr_1_3?keywords=Diablo+Tools+DOU250JBW+2-1%2F2+in.+Universal+Fit+Bi-Metal+Oscillating+Blade+for+Clean+Wood&amp;qid=1695174020&amp;sr=8-3")</f>
        <v>https://www.amazon.com/Diablo-Freud-DOU250BW-Oscillating-Nail-Embedded/dp/B089KWP5Z2/ref=sr_1_3?keywords=Diablo+Tools+DOU250JBW+2-1%2F2+in.+Universal+Fit+Bi-Metal+Oscillating+Blade+for+Clean+Wood&amp;qid=1695174020&amp;sr=8-3</v>
      </c>
      <c r="F3439" t="s">
        <v>5961</v>
      </c>
      <c r="G3439" t="e">
        <f ca="1">_xludf.IMAGE("https://edmondsonsupply.com/cdn/shop/files/pycnap4eb1urn2hxvudq.webp?v=1685718789")</f>
        <v>#NAME?</v>
      </c>
      <c r="H3439" t="e">
        <f ca="1">_xludf.IMAGE("https://m.media-amazon.com/images/I/71fhfiK3NaL._AC_UL320_.jpg")</f>
        <v>#NAME?</v>
      </c>
      <c r="I3439" t="s">
        <v>6935</v>
      </c>
      <c r="J3439">
        <v>16.96</v>
      </c>
      <c r="K3439" s="4">
        <v>8.3699999999999997E-2</v>
      </c>
      <c r="L3439">
        <v>4.5999999999999996</v>
      </c>
      <c r="M3439">
        <v>31</v>
      </c>
      <c r="O3439" t="s">
        <v>25</v>
      </c>
      <c r="P3439" t="s">
        <v>6936</v>
      </c>
      <c r="Q3439" t="s">
        <v>6937</v>
      </c>
    </row>
    <row r="3440" spans="1:17" ht="15.5" x14ac:dyDescent="0.35">
      <c r="A3440" s="3" t="str">
        <f>HYPERLINK("https://edmondsonsupply.com/collections/electricians-tools/products/rack-a-tiers-7wbk100-panel-buddy-knockout-kit", "https://edmondsonsupply.com/collections/electricians-tools/products/rack-a-tiers-7wbk100-panel-buddy-knockout-kit")</f>
        <v>https://edmondsonsupply.com/collections/electricians-tools/products/rack-a-tiers-7wbk100-panel-buddy-knockout-kit</v>
      </c>
      <c r="B3440" s="3" t="str">
        <f>HYPERLINK("https://edmondsonsupply.com/products/rack-a-tiers-7wbk100-panel-buddy-knockout-kit", "https://edmondsonsupply.com/products/rack-a-tiers-7wbk100-panel-buddy-knockout-kit")</f>
        <v>https://edmondsonsupply.com/products/rack-a-tiers-7wbk100-panel-buddy-knockout-kit</v>
      </c>
      <c r="C3440" t="s">
        <v>7674</v>
      </c>
      <c r="D3440" t="s">
        <v>7674</v>
      </c>
      <c r="E3440" s="3" t="str">
        <f>HYPERLINK("https://www.amazon.com/Panel-Knockout-Removal-Existing-Panels/dp/B0087TBHKS/ref=sr_1_1?keywords=Rack-A-Tiers+7WBK100+Panel+Buddy+Knockout+Kit&amp;qid=1695173905&amp;sr=8-1", "https://www.amazon.com/Panel-Knockout-Removal-Existing-Panels/dp/B0087TBHKS/ref=sr_1_1?keywords=Rack-A-Tiers+7WBK100+Panel+Buddy+Knockout+Kit&amp;qid=1695173905&amp;sr=8-1")</f>
        <v>https://www.amazon.com/Panel-Knockout-Removal-Existing-Panels/dp/B0087TBHKS/ref=sr_1_1?keywords=Rack-A-Tiers+7WBK100+Panel+Buddy+Knockout+Kit&amp;qid=1695173905&amp;sr=8-1</v>
      </c>
      <c r="F3440" t="s">
        <v>7675</v>
      </c>
      <c r="G3440" t="e">
        <f ca="1">_xludf.IMAGE("https://edmondsonsupply.com/cdn/shop/files/Panel-Buddy-Blue-Handle_600.webp?v=1683752773")</f>
        <v>#NAME?</v>
      </c>
      <c r="H3440" t="e">
        <f ca="1">_xludf.IMAGE("https://m.media-amazon.com/images/I/51x1XeeUaHL._AC_UL320_.jpg")</f>
        <v>#NAME?</v>
      </c>
      <c r="I3440" t="s">
        <v>261</v>
      </c>
      <c r="J3440">
        <v>38.99</v>
      </c>
      <c r="K3440" s="4">
        <v>8.3400000000000002E-2</v>
      </c>
      <c r="L3440">
        <v>4.5999999999999996</v>
      </c>
      <c r="M3440">
        <v>47</v>
      </c>
      <c r="O3440" t="s">
        <v>25</v>
      </c>
      <c r="P3440" t="s">
        <v>3930</v>
      </c>
      <c r="Q3440" t="s">
        <v>7676</v>
      </c>
    </row>
    <row r="3441" spans="1:17" ht="15.5" x14ac:dyDescent="0.35">
      <c r="A3441"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3441" s="3" t="str">
        <f>HYPERLINK("https://edmondsonsupply.com/products/klein-tools-et450-advanced-circuit-tracer-kit", "https://edmondsonsupply.com/products/klein-tools-et450-advanced-circuit-tracer-kit")</f>
        <v>https://edmondsonsupply.com/products/klein-tools-et450-advanced-circuit-tracer-kit</v>
      </c>
      <c r="C3441" t="s">
        <v>2849</v>
      </c>
      <c r="D3441" t="s">
        <v>4181</v>
      </c>
      <c r="E3441" s="3" t="str">
        <f>HYPERLINK("https://www.amazon.com/Klein-Tools-VDV500-820-Telephone-Communications/dp/B0BS36CVBC/ref=sr_1_3?keywords=Klein+Tools+ET450+Advanced+Circuit+Tracer+Kit&amp;qid=1695173869&amp;sr=8-3", "https://www.amazon.com/Klein-Tools-VDV500-820-Telephone-Communications/dp/B0BS36CVBC/ref=sr_1_3?keywords=Klein+Tools+ET450+Advanced+Circuit+Tracer+Kit&amp;qid=1695173869&amp;sr=8-3")</f>
        <v>https://www.amazon.com/Klein-Tools-VDV500-820-Telephone-Communications/dp/B0BS36CVBC/ref=sr_1_3?keywords=Klein+Tools+ET450+Advanced+Circuit+Tracer+Kit&amp;qid=1695173869&amp;sr=8-3</v>
      </c>
      <c r="F3441" t="s">
        <v>4182</v>
      </c>
      <c r="G3441" t="e">
        <f ca="1">_xludf.IMAGE("https://edmondsonsupply.com/cdn/shop/products/et450.jpg?v=1660165248")</f>
        <v>#NAME?</v>
      </c>
      <c r="H3441" t="e">
        <f ca="1">_xludf.IMAGE("https://m.media-amazon.com/images/I/616jkVkV61L._AC_UL320_.jpg")</f>
        <v>#NAME?</v>
      </c>
      <c r="I3441" t="s">
        <v>759</v>
      </c>
      <c r="J3441">
        <v>259.95999999999998</v>
      </c>
      <c r="K3441" s="4">
        <v>8.3199999999999996E-2</v>
      </c>
      <c r="L3441">
        <v>5</v>
      </c>
      <c r="M3441">
        <v>3</v>
      </c>
      <c r="O3441" t="s">
        <v>25</v>
      </c>
      <c r="P3441" t="s">
        <v>2852</v>
      </c>
      <c r="Q3441" t="s">
        <v>2853</v>
      </c>
    </row>
    <row r="3442" spans="1:17" ht="15.5" x14ac:dyDescent="0.35">
      <c r="A3442"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3442" s="3" t="str">
        <f>HYPERLINK("https://edmondsonsupply.com/products/diablo-tools-dag3040-9-16-in-x-17-1-2-in-auger-bit", "https://edmondsonsupply.com/products/diablo-tools-dag3040-9-16-in-x-17-1-2-in-auger-bit")</f>
        <v>https://edmondsonsupply.com/products/diablo-tools-dag3040-9-16-in-x-17-1-2-in-auger-bit</v>
      </c>
      <c r="C3442" t="s">
        <v>7382</v>
      </c>
      <c r="D3442" t="s">
        <v>7677</v>
      </c>
      <c r="E3442" s="3" t="str">
        <f>HYPERLINK("https://www.amazon.com/BOSCH-NKLT09-17-1-Daredevil-Auger/dp/B003BIFMUQ/ref=sr_1_10?keywords=Diablo+Tools+DAG3040+9%2F16+in.+x+17-1%2F2+in.+Auger+Bit&amp;qid=1695174106&amp;sr=8-10", "https://www.amazon.com/BOSCH-NKLT09-17-1-Daredevil-Auger/dp/B003BIFMUQ/ref=sr_1_10?keywords=Diablo+Tools+DAG3040+9%2F16+in.+x+17-1%2F2+in.+Auger+Bit&amp;qid=1695174106&amp;sr=8-10")</f>
        <v>https://www.amazon.com/BOSCH-NKLT09-17-1-Daredevil-Auger/dp/B003BIFMUQ/ref=sr_1_10?keywords=Diablo+Tools+DAG3040+9%2F16+in.+x+17-1%2F2+in.+Auger+Bit&amp;qid=1695174106&amp;sr=8-10</v>
      </c>
      <c r="F3442" t="s">
        <v>7678</v>
      </c>
      <c r="G3442" t="e">
        <f ca="1">_xludf.IMAGE("https://edmondsonsupply.com/cdn/shop/products/fmfcptadhtney3owwa7y.webp?v=1669993222")</f>
        <v>#NAME?</v>
      </c>
      <c r="H3442" t="e">
        <f ca="1">_xludf.IMAGE("https://m.media-amazon.com/images/I/61IQhakETzL._AC_UL320_.jpg")</f>
        <v>#NAME?</v>
      </c>
      <c r="I3442" t="s">
        <v>7383</v>
      </c>
      <c r="J3442">
        <v>19.3</v>
      </c>
      <c r="K3442" s="4">
        <v>8.2400000000000001E-2</v>
      </c>
      <c r="L3442">
        <v>4.4000000000000004</v>
      </c>
      <c r="M3442">
        <v>161</v>
      </c>
      <c r="O3442" t="s">
        <v>25</v>
      </c>
      <c r="P3442" t="s">
        <v>7384</v>
      </c>
      <c r="Q3442" t="s">
        <v>7385</v>
      </c>
    </row>
    <row r="3443" spans="1:17" ht="15.5" x14ac:dyDescent="0.35">
      <c r="A3443" s="3" t="str">
        <f>HYPERLINK("https://edmondsonsupply.com/collections/electricians-tools/products/tajima-gkb-g210-g-saw%E2%84%A2-replacement-blade", "https://edmondsonsupply.com/collections/electricians-tools/products/tajima-gkb-g210-g-saw%E2%84%A2-replacement-blade")</f>
        <v>https://edmondsonsupply.com/collections/electricians-tools/products/tajima-gkb-g210-g-saw%E2%84%A2-replacement-blade</v>
      </c>
      <c r="B3443" s="3" t="str">
        <f>HYPERLINK("https://edmondsonsupply.com/products/tajima-gkb-g210-g-saw%e2%84%a2-replacement-blade", "https://edmondsonsupply.com/products/tajima-gkb-g210-g-saw%e2%84%a2-replacement-blade")</f>
        <v>https://edmondsonsupply.com/products/tajima-gkb-g210-g-saw%e2%84%a2-replacement-blade</v>
      </c>
      <c r="C3443" t="s">
        <v>7363</v>
      </c>
      <c r="D3443" t="s">
        <v>7679</v>
      </c>
      <c r="E3443" s="3" t="str">
        <f>HYPERLINK("https://www.amazon.com/TAJIMA-Replacement-Pull-Blade-Premium-Grade/dp/B0008KLNPS/ref=sr_1_1?keywords=Tajima+GKB-G210+G-Saw%E2%84%A2+Replacement+Blade&amp;qid=1695174198&amp;sr=8-1", "https://www.amazon.com/TAJIMA-Replacement-Pull-Blade-Premium-Grade/dp/B0008KLNPS/ref=sr_1_1?keywords=Tajima+GKB-G210+G-Saw%E2%84%A2+Replacement+Blade&amp;qid=1695174198&amp;sr=8-1")</f>
        <v>https://www.amazon.com/TAJIMA-Replacement-Pull-Blade-Premium-Grade/dp/B0008KLNPS/ref=sr_1_1?keywords=Tajima+GKB-G210+G-Saw%E2%84%A2+Replacement+Blade&amp;qid=1695174198&amp;sr=8-1</v>
      </c>
      <c r="F3443" t="s">
        <v>7680</v>
      </c>
      <c r="G3443" t="e">
        <f ca="1">_xludf.IMAGE("https://edmondsonsupply.com/cdn/shop/products/GKB-210.jpg?v=1655298927")</f>
        <v>#NAME?</v>
      </c>
      <c r="H3443" t="e">
        <f ca="1">_xludf.IMAGE("https://m.media-amazon.com/images/I/51zGGeD6teL._AC_UL320_.jpg")</f>
        <v>#NAME?</v>
      </c>
      <c r="I3443" t="s">
        <v>7366</v>
      </c>
      <c r="J3443">
        <v>13.72</v>
      </c>
      <c r="K3443" s="4">
        <v>8.1199999999999994E-2</v>
      </c>
      <c r="L3443">
        <v>4.8</v>
      </c>
      <c r="M3443">
        <v>40</v>
      </c>
      <c r="O3443" t="s">
        <v>25</v>
      </c>
      <c r="P3443" t="s">
        <v>7366</v>
      </c>
      <c r="Q3443" t="s">
        <v>7367</v>
      </c>
    </row>
    <row r="3444" spans="1:17" ht="15.5" x14ac:dyDescent="0.35">
      <c r="A3444"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3444" s="3" t="str">
        <f>HYPERLINK("https://edmondsonsupply.com/products/klein-tools-56059-multi-groove-fiberglass-fish-tape-200-foot", "https://edmondsonsupply.com/products/klein-tools-56059-multi-groove-fiberglass-fish-tape-200-foot")</f>
        <v>https://edmondsonsupply.com/products/klein-tools-56059-multi-groove-fiberglass-fish-tape-200-foot</v>
      </c>
      <c r="C3444" t="s">
        <v>7681</v>
      </c>
      <c r="D3444" t="s">
        <v>3274</v>
      </c>
      <c r="E3444" s="3" t="str">
        <f>HYPERLINK("https://www.amazon.com/Multi-Groove-Fiberglass-200-Foot-Klein-Tools/dp/B00N6Y8RRA/ref=sr_1_4?keywords=Klein+Tools+56059+Multi-Groove+Fiberglass+Fish+Tape+200-Foot&amp;qid=1695174221&amp;sr=8-4", "https://www.amazon.com/Multi-Groove-Fiberglass-200-Foot-Klein-Tools/dp/B00N6Y8RRA/ref=sr_1_4?keywords=Klein+Tools+56059+Multi-Groove+Fiberglass+Fish+Tape+200-Foot&amp;qid=1695174221&amp;sr=8-4")</f>
        <v>https://www.amazon.com/Multi-Groove-Fiberglass-200-Foot-Klein-Tools/dp/B00N6Y8RRA/ref=sr_1_4?keywords=Klein+Tools+56059+Multi-Groove+Fiberglass+Fish+Tape+200-Foot&amp;qid=1695174221&amp;sr=8-4</v>
      </c>
      <c r="F3444" t="s">
        <v>3275</v>
      </c>
      <c r="G3444" t="e">
        <f ca="1">_xludf.IMAGE("https://edmondsonsupply.com/cdn/shop/products/56059.jpg?v=1648938340")</f>
        <v>#NAME?</v>
      </c>
      <c r="H3444" t="e">
        <f ca="1">_xludf.IMAGE("https://m.media-amazon.com/images/I/61-dcSdFpvL._AC_UL320_.jpg")</f>
        <v>#NAME?</v>
      </c>
      <c r="I3444" t="s">
        <v>7682</v>
      </c>
      <c r="J3444">
        <v>199.99</v>
      </c>
      <c r="K3444" s="4">
        <v>8.1100000000000005E-2</v>
      </c>
      <c r="L3444">
        <v>4.4000000000000004</v>
      </c>
      <c r="M3444">
        <v>86</v>
      </c>
      <c r="O3444" t="s">
        <v>25</v>
      </c>
      <c r="P3444" t="s">
        <v>7683</v>
      </c>
      <c r="Q3444" t="s">
        <v>7684</v>
      </c>
    </row>
    <row r="3445" spans="1:17" ht="15.5" x14ac:dyDescent="0.35">
      <c r="A3445"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3445" s="3" t="str">
        <f>HYPERLINK("https://edmondsonsupply.com/products/klein-tools-630-5-8-nut-driver-5-8-inch-4-inch-hollow-shaft", "https://edmondsonsupply.com/products/klein-tools-630-5-8-nut-driver-5-8-inch-4-inch-hollow-shaft")</f>
        <v>https://edmondsonsupply.com/products/klein-tools-630-5-8-nut-driver-5-8-inch-4-inch-hollow-shaft</v>
      </c>
      <c r="C3445" t="s">
        <v>6629</v>
      </c>
      <c r="D3445" t="s">
        <v>6938</v>
      </c>
      <c r="E3445" s="3" t="str">
        <f>HYPERLINK("https://www.amazon.com/Klein-Tools-646-5-Cushion-Grip-Hollow-Shank/dp/B000QJHJSG/ref=sr_1_5?keywords=Klein+Tools+630-5%2F8+Nut+Driver%2C+5%2F8-Inch%2C+4-Inch+Hollow+Shaft&amp;qid=1695174302&amp;sr=8-5", "https://www.amazon.com/Klein-Tools-646-5-Cushion-Grip-Hollow-Shank/dp/B000QJHJSG/ref=sr_1_5?keywords=Klein+Tools+630-5%2F8+Nut+Driver%2C+5%2F8-Inch%2C+4-Inch+Hollow+Shaft&amp;qid=1695174302&amp;sr=8-5")</f>
        <v>https://www.amazon.com/Klein-Tools-646-5-Cushion-Grip-Hollow-Shank/dp/B000QJHJSG/ref=sr_1_5?keywords=Klein+Tools+630-5%2F8+Nut+Driver%2C+5%2F8-Inch%2C+4-Inch+Hollow+Shaft&amp;qid=1695174302&amp;sr=8-5</v>
      </c>
      <c r="F3445" t="s">
        <v>6939</v>
      </c>
      <c r="G3445" t="e">
        <f ca="1">_xludf.IMAGE("https://edmondsonsupply.com/cdn/shop/products/630-1-2_df0ca74a-79e7-41f4-ad94-60312e01e692.jpg?v=1633031052")</f>
        <v>#NAME?</v>
      </c>
      <c r="H3445" t="e">
        <f ca="1">_xludf.IMAGE("https://m.media-amazon.com/images/I/41esdWE3JCL._AC_UL320_.jpg")</f>
        <v>#NAME?</v>
      </c>
      <c r="I3445" t="s">
        <v>6632</v>
      </c>
      <c r="J3445">
        <v>13.49</v>
      </c>
      <c r="K3445" s="4">
        <v>8.0100000000000005E-2</v>
      </c>
      <c r="L3445">
        <v>4.9000000000000004</v>
      </c>
      <c r="M3445">
        <v>45</v>
      </c>
      <c r="O3445" t="s">
        <v>25</v>
      </c>
      <c r="P3445" t="s">
        <v>2328</v>
      </c>
      <c r="Q3445" t="s">
        <v>6633</v>
      </c>
    </row>
    <row r="3446" spans="1:17" ht="15.5" x14ac:dyDescent="0.35">
      <c r="A3446"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3446"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3446" t="s">
        <v>6998</v>
      </c>
      <c r="D3446" t="s">
        <v>3732</v>
      </c>
      <c r="E3446" s="3" t="str">
        <f>HYPERLINK("https://www.amazon.com/Driver-6-Inch-Klein-Tools-65129/dp/B0716VDFTD/ref=sr_1_2?keywords=Klein+Tools+65131+2-in-1+Nut+Driver%2C+Hex+Head+Slide+Drive%E2%84%A2%2C+1-1%2F2-Inch&amp;qid=1695174203&amp;sr=8-2", "https://www.amazon.com/Driver-6-Inch-Klein-Tools-65129/dp/B0716VDFTD/ref=sr_1_2?keywords=Klein+Tools+65131+2-in-1+Nut+Driver%2C+Hex+Head+Slide+Drive%E2%84%A2%2C+1-1%2F2-Inch&amp;qid=1695174203&amp;sr=8-2")</f>
        <v>https://www.amazon.com/Driver-6-Inch-Klein-Tools-65129/dp/B0716VDFTD/ref=sr_1_2?keywords=Klein+Tools+65131+2-in-1+Nut+Driver%2C+Hex+Head+Slide+Drive%E2%84%A2%2C+1-1%2F2-Inch&amp;qid=1695174203&amp;sr=8-2</v>
      </c>
      <c r="F3446" t="s">
        <v>3733</v>
      </c>
      <c r="G3446" t="e">
        <f ca="1">_xludf.IMAGE("https://edmondsonsupply.com/cdn/shop/products/65131.jpg?v=1660742745")</f>
        <v>#NAME?</v>
      </c>
      <c r="H3446" t="e">
        <f ca="1">_xludf.IMAGE("https://m.media-amazon.com/images/I/31G5opAPxjL._AC_UL320_.jpg")</f>
        <v>#NAME?</v>
      </c>
      <c r="I3446" t="s">
        <v>2101</v>
      </c>
      <c r="J3446">
        <v>19.97</v>
      </c>
      <c r="K3446" s="4">
        <v>0.08</v>
      </c>
      <c r="L3446">
        <v>4.8</v>
      </c>
      <c r="M3446">
        <v>688</v>
      </c>
      <c r="O3446" t="s">
        <v>25</v>
      </c>
      <c r="P3446" t="s">
        <v>7001</v>
      </c>
      <c r="Q3446" t="s">
        <v>7002</v>
      </c>
    </row>
    <row r="3447" spans="1:17" ht="15.5" x14ac:dyDescent="0.35">
      <c r="A3447" s="3" t="str">
        <f>HYPERLINK("https://edmondsonsupply.com/collections/electricians-tools/products/klein-tools-56255-wire-markers-household-electric-panel-w-directory", "https://edmondsonsupply.com/collections/electricians-tools/products/klein-tools-56255-wire-markers-household-electric-panel-w-directory")</f>
        <v>https://edmondsonsupply.com/collections/electricians-tools/products/klein-tools-56255-wire-markers-household-electric-panel-w-directory</v>
      </c>
      <c r="B3447" s="3" t="str">
        <f>HYPERLINK("https://edmondsonsupply.com/products/klein-tools-56255-wire-markers-household-electric-panel-w-directory", "https://edmondsonsupply.com/products/klein-tools-56255-wire-markers-household-electric-panel-w-directory")</f>
        <v>https://edmondsonsupply.com/products/klein-tools-56255-wire-markers-household-electric-panel-w-directory</v>
      </c>
      <c r="C3447" t="s">
        <v>7685</v>
      </c>
      <c r="D3447" t="s">
        <v>7686</v>
      </c>
      <c r="E3447" s="3" t="str">
        <f>HYPERLINK("https://www.amazon.com/Book-Household-Electrical-Klein-Tools-56254/dp/B07222CNFX/ref=sr_1_2?keywords=Klein+Tools+56255+Wire+Markers%2C+Household+Electric+Panel+w%2FDirectory&amp;qid=1695174227&amp;sr=8-2", "https://www.amazon.com/Book-Household-Electrical-Klein-Tools-56254/dp/B07222CNFX/ref=sr_1_2?keywords=Klein+Tools+56255+Wire+Markers%2C+Household+Electric+Panel+w%2FDirectory&amp;qid=1695174227&amp;sr=8-2")</f>
        <v>https://www.amazon.com/Book-Household-Electrical-Klein-Tools-56254/dp/B07222CNFX/ref=sr_1_2?keywords=Klein+Tools+56255+Wire+Markers%2C+Household+Electric+Panel+w%2FDirectory&amp;qid=1695174227&amp;sr=8-2</v>
      </c>
      <c r="F3447" t="s">
        <v>7687</v>
      </c>
      <c r="G3447" t="e">
        <f ca="1">_xludf.IMAGE("https://edmondsonsupply.com/cdn/shop/products/56255_b.jpg?v=1641342700")</f>
        <v>#NAME?</v>
      </c>
      <c r="H3447" t="e">
        <f ca="1">_xludf.IMAGE("https://m.media-amazon.com/images/I/61GGjfOIRJL._AC_UL320_.jpg")</f>
        <v>#NAME?</v>
      </c>
      <c r="I3447" t="s">
        <v>1211</v>
      </c>
      <c r="J3447">
        <v>13.99</v>
      </c>
      <c r="K3447" s="4">
        <v>7.8600000000000003E-2</v>
      </c>
      <c r="L3447">
        <v>4.3</v>
      </c>
      <c r="M3447">
        <v>46</v>
      </c>
      <c r="O3447" t="s">
        <v>25</v>
      </c>
      <c r="P3447" t="s">
        <v>1549</v>
      </c>
      <c r="Q3447" t="s">
        <v>7688</v>
      </c>
    </row>
    <row r="3448" spans="1:17" ht="15.5" x14ac:dyDescent="0.35">
      <c r="A3448" s="3" t="str">
        <f>HYPERLINK("https://edmondsonsupply.com/collections/electricians-tools/products/fluke-tl75-hard-point%E2%84%A2-test-lead-set", "https://edmondsonsupply.com/collections/electricians-tools/products/fluke-tl75-hard-point%E2%84%A2-test-lead-set")</f>
        <v>https://edmondsonsupply.com/collections/electricians-tools/products/fluke-tl75-hard-point%E2%84%A2-test-lead-set</v>
      </c>
      <c r="B3448" s="3" t="str">
        <f>HYPERLINK("https://edmondsonsupply.com/products/fluke-tl75-hard-point%e2%84%a2-test-lead-set", "https://edmondsonsupply.com/products/fluke-tl75-hard-point%e2%84%a2-test-lead-set")</f>
        <v>https://edmondsonsupply.com/products/fluke-tl75-hard-point%e2%84%a2-test-lead-set</v>
      </c>
      <c r="C3448" t="s">
        <v>7620</v>
      </c>
      <c r="D3448" t="s">
        <v>7621</v>
      </c>
      <c r="E3448" s="3" t="str">
        <f>HYPERLINK("https://www.amazon.com/Fluke-TL75-Hard-Point-Test/dp/B000E2NFP6/ref=sr_1_2?keywords=Fluke+TL75+Hard+Point%E2%84%A2+Test+Lead+Set&amp;qid=1695174242&amp;sr=8-2", "https://www.amazon.com/Fluke-TL75-Hard-Point-Test/dp/B000E2NFP6/ref=sr_1_2?keywords=Fluke+TL75+Hard+Point%E2%84%A2+Test+Lead+Set&amp;qid=1695174242&amp;sr=8-2")</f>
        <v>https://www.amazon.com/Fluke-TL75-Hard-Point-Test/dp/B000E2NFP6/ref=sr_1_2?keywords=Fluke+TL75+Hard+Point%E2%84%A2+Test+Lead+Set&amp;qid=1695174242&amp;sr=8-2</v>
      </c>
      <c r="F3448" t="s">
        <v>7689</v>
      </c>
      <c r="G3448" t="e">
        <f ca="1">_xludf.IMAGE("https://edmondsonsupply.com/cdn/shop/products/TL75-1_72dpi_1280x1031px_E_NR-12001.jpg?v=1633031187")</f>
        <v>#NAME?</v>
      </c>
      <c r="H3448" t="e">
        <f ca="1">_xludf.IMAGE("https://m.media-amazon.com/images/I/61wghbxvLUL._AC_UY218_.jpg")</f>
        <v>#NAME?</v>
      </c>
      <c r="I3448" t="s">
        <v>3602</v>
      </c>
      <c r="J3448">
        <v>34.5</v>
      </c>
      <c r="K3448" s="4">
        <v>7.85E-2</v>
      </c>
      <c r="L3448">
        <v>4.7</v>
      </c>
      <c r="M3448">
        <v>414</v>
      </c>
      <c r="O3448" t="s">
        <v>25</v>
      </c>
      <c r="P3448" t="s">
        <v>571</v>
      </c>
      <c r="Q3448" t="s">
        <v>7623</v>
      </c>
    </row>
    <row r="3449" spans="1:17" ht="15.5" x14ac:dyDescent="0.35">
      <c r="A3449" s="3" t="str">
        <f>HYPERLINK("https://edmondsonsupply.com/collections/electricians-tools/products/milwaukee-2997-22-m18-fuel%E2%84%A2-2-tool-combo-kit-hammer-drill-impact", "https://edmondsonsupply.com/collections/electricians-tools/products/milwaukee-2997-22-m18-fuel%E2%84%A2-2-tool-combo-kit-hammer-drill-impact")</f>
        <v>https://edmondsonsupply.com/collections/electricians-tools/products/milwaukee-2997-22-m18-fuel%E2%84%A2-2-tool-combo-kit-hammer-drill-impact</v>
      </c>
      <c r="B3449" s="3" t="str">
        <f>HYPERLINK("https://edmondsonsupply.com/products/milwaukee-2997-22-m18-fuel%e2%84%a2-2-tool-combo-kit-hammer-drill-impact", "https://edmondsonsupply.com/products/milwaukee-2997-22-m18-fuel%e2%84%a2-2-tool-combo-kit-hammer-drill-impact")</f>
        <v>https://edmondsonsupply.com/products/milwaukee-2997-22-m18-fuel%e2%84%a2-2-tool-combo-kit-hammer-drill-impact</v>
      </c>
      <c r="C3449" t="s">
        <v>4205</v>
      </c>
      <c r="D3449" t="s">
        <v>4206</v>
      </c>
      <c r="E3449" s="3" t="str">
        <f>HYPERLINK("https://www.amazon.com/Milwaukee-2797-22-Lithium-2-Tool-Hammer/dp/B009OO84RY/ref=sr_1_2?keywords=Milwaukee+2997-22+M18+FUEL%E2%84%A2+2-Tool+Combo+Kit%3A+Hammer+Drill%2FImpact&amp;qid=1695173909&amp;sr=8-2", "https://www.amazon.com/Milwaukee-2797-22-Lithium-2-Tool-Hammer/dp/B009OO84RY/ref=sr_1_2?keywords=Milwaukee+2997-22+M18+FUEL%E2%84%A2+2-Tool+Combo+Kit%3A+Hammer+Drill%2FImpact&amp;qid=1695173909&amp;sr=8-2")</f>
        <v>https://www.amazon.com/Milwaukee-2797-22-Lithium-2-Tool-Hammer/dp/B009OO84RY/ref=sr_1_2?keywords=Milwaukee+2997-22+M18+FUEL%E2%84%A2+2-Tool+Combo+Kit%3A+Hammer+Drill%2FImpact&amp;qid=1695173909&amp;sr=8-2</v>
      </c>
      <c r="F3449" t="s">
        <v>4207</v>
      </c>
      <c r="G3449" t="e">
        <f ca="1">_xludf.IMAGE("https://edmondsonsupply.com/cdn/shop/products/2997-22-1.png?v=1657217833")</f>
        <v>#NAME?</v>
      </c>
      <c r="H3449" t="e">
        <f ca="1">_xludf.IMAGE("https://m.media-amazon.com/images/I/51XUQoGSTFL._AC_UL320_.jpg")</f>
        <v>#NAME?</v>
      </c>
      <c r="I3449" t="s">
        <v>4208</v>
      </c>
      <c r="J3449">
        <v>429.9</v>
      </c>
      <c r="K3449" s="4">
        <v>7.7399999999999997E-2</v>
      </c>
      <c r="L3449">
        <v>4.5</v>
      </c>
      <c r="M3449">
        <v>162</v>
      </c>
      <c r="O3449" t="s">
        <v>171</v>
      </c>
      <c r="P3449" t="s">
        <v>4209</v>
      </c>
      <c r="Q3449" t="s">
        <v>4210</v>
      </c>
    </row>
    <row r="3450" spans="1:17" ht="15.5" x14ac:dyDescent="0.35">
      <c r="A3450" s="3" t="str">
        <f>HYPERLINK("https://edmondsonsupply.com/collections/electricians-tools/products/rack-a-tiers-11655-the-x-dispenser", "https://edmondsonsupply.com/collections/electricians-tools/products/rack-a-tiers-11655-the-x-dispenser")</f>
        <v>https://edmondsonsupply.com/collections/electricians-tools/products/rack-a-tiers-11655-the-x-dispenser</v>
      </c>
      <c r="B3450" s="3" t="str">
        <f>HYPERLINK("https://edmondsonsupply.com/products/rack-a-tiers-11655-the-x-dispenser", "https://edmondsonsupply.com/products/rack-a-tiers-11655-the-x-dispenser")</f>
        <v>https://edmondsonsupply.com/products/rack-a-tiers-11655-the-x-dispenser</v>
      </c>
      <c r="C3450" t="s">
        <v>7690</v>
      </c>
      <c r="D3450" t="s">
        <v>7691</v>
      </c>
      <c r="E3450" s="3" t="str">
        <f>HYPERLINK("https://www.amazon.com/Rack-Tiers-55632-Big-Z/dp/B0179VK4DK/ref=sr_1_9?keywords=Rack-A-Tiers+11655+The+X-Dispenser&amp;qid=1695173851&amp;sr=8-9", "https://www.amazon.com/Rack-Tiers-55632-Big-Z/dp/B0179VK4DK/ref=sr_1_9?keywords=Rack-A-Tiers+11655+The+X-Dispenser&amp;qid=1695173851&amp;sr=8-9")</f>
        <v>https://www.amazon.com/Rack-Tiers-55632-Big-Z/dp/B0179VK4DK/ref=sr_1_9?keywords=Rack-A-Tiers+11655+The+X-Dispenser&amp;qid=1695173851&amp;sr=8-9</v>
      </c>
      <c r="F3450" t="s">
        <v>7692</v>
      </c>
      <c r="G3450" t="e">
        <f ca="1">_xludf.IMAGE("https://edmondsonsupply.com/cdn/shop/products/11655-X-Dispenser-5.png?v=1633031067")</f>
        <v>#NAME?</v>
      </c>
      <c r="H3450" t="e">
        <f ca="1">_xludf.IMAGE("https://m.media-amazon.com/images/I/51c16LYKqnL._AC_UL320_.jpg")</f>
        <v>#NAME?</v>
      </c>
      <c r="I3450" t="s">
        <v>7693</v>
      </c>
      <c r="J3450">
        <v>189.47</v>
      </c>
      <c r="K3450" s="4">
        <v>7.7200000000000005E-2</v>
      </c>
      <c r="L3450">
        <v>3.7</v>
      </c>
      <c r="M3450">
        <v>29</v>
      </c>
      <c r="O3450" t="s">
        <v>25</v>
      </c>
      <c r="P3450" t="s">
        <v>7694</v>
      </c>
      <c r="Q3450" t="s">
        <v>7695</v>
      </c>
    </row>
    <row r="3451" spans="1:17" ht="15.5" x14ac:dyDescent="0.35">
      <c r="A3451" s="3" t="str">
        <f>HYPERLINK("https://edmondsonsupply.com/collections/electricians-tools/products/rack-a-tiers-54100-clip-whacker-beam-clamp-tool", "https://edmondsonsupply.com/collections/electricians-tools/products/rack-a-tiers-54100-clip-whacker-beam-clamp-tool")</f>
        <v>https://edmondsonsupply.com/collections/electricians-tools/products/rack-a-tiers-54100-clip-whacker-beam-clamp-tool</v>
      </c>
      <c r="B3451" s="3" t="str">
        <f>HYPERLINK("https://edmondsonsupply.com/products/rack-a-tiers-54100-clip-whacker-beam-clamp-tool", "https://edmondsonsupply.com/products/rack-a-tiers-54100-clip-whacker-beam-clamp-tool")</f>
        <v>https://edmondsonsupply.com/products/rack-a-tiers-54100-clip-whacker-beam-clamp-tool</v>
      </c>
      <c r="C3451" t="s">
        <v>7696</v>
      </c>
      <c r="D3451" t="s">
        <v>7697</v>
      </c>
      <c r="E3451" s="3" t="str">
        <f>HYPERLINK("https://www.amazon.com/Rack-Tiers-Clip-Whacker-Clamp/dp/B0C75W9DPB/ref=sr_1_1?keywords=Rack-A-Tiers+54100+Clip+Whacker+%E2%80%93+Beam+Clamp+Tool&amp;qid=1695173850&amp;sr=8-1", "https://www.amazon.com/Rack-Tiers-Clip-Whacker-Clamp/dp/B0C75W9DPB/ref=sr_1_1?keywords=Rack-A-Tiers+54100+Clip+Whacker+%E2%80%93+Beam+Clamp+Tool&amp;qid=1695173850&amp;sr=8-1")</f>
        <v>https://www.amazon.com/Rack-Tiers-Clip-Whacker-Clamp/dp/B0C75W9DPB/ref=sr_1_1?keywords=Rack-A-Tiers+54100+Clip+Whacker+%E2%80%93+Beam+Clamp+Tool&amp;qid=1695173850&amp;sr=8-1</v>
      </c>
      <c r="F3451" t="s">
        <v>7698</v>
      </c>
      <c r="G3451" t="e">
        <f ca="1">_xludf.IMAGE("https://edmondsonsupply.com/cdn/shop/products/Clip-Whacker-with-Clip-1.png?v=1667150430")</f>
        <v>#NAME?</v>
      </c>
      <c r="H3451" t="e">
        <f ca="1">_xludf.IMAGE("https://m.media-amazon.com/images/I/51KfrFsJ-HL._AC_UL320_.jpg")</f>
        <v>#NAME?</v>
      </c>
      <c r="I3451" t="s">
        <v>7699</v>
      </c>
      <c r="J3451">
        <v>42.49</v>
      </c>
      <c r="K3451" s="4">
        <v>7.5999999999999998E-2</v>
      </c>
      <c r="L3451">
        <v>4</v>
      </c>
      <c r="M3451">
        <v>1</v>
      </c>
      <c r="O3451" t="s">
        <v>25</v>
      </c>
      <c r="P3451" t="s">
        <v>7700</v>
      </c>
      <c r="Q3451" t="s">
        <v>7701</v>
      </c>
    </row>
    <row r="3452" spans="1:17" ht="15.5" x14ac:dyDescent="0.35">
      <c r="A3452" s="3" t="str">
        <f>HYPERLINK("https://edmondsonsupply.com/collections/electricians-tools/products/rack-a-tiers-40001-apprentice-wire-vortex-wire-pulling-guide", "https://edmondsonsupply.com/collections/electricians-tools/products/rack-a-tiers-40001-apprentice-wire-vortex-wire-pulling-guide")</f>
        <v>https://edmondsonsupply.com/collections/electricians-tools/products/rack-a-tiers-40001-apprentice-wire-vortex-wire-pulling-guide</v>
      </c>
      <c r="B3452" s="3" t="str">
        <f>HYPERLINK("https://edmondsonsupply.com/products/rack-a-tiers-40001-apprentice-wire-vortex-wire-pulling-guide", "https://edmondsonsupply.com/products/rack-a-tiers-40001-apprentice-wire-vortex-wire-pulling-guide")</f>
        <v>https://edmondsonsupply.com/products/rack-a-tiers-40001-apprentice-wire-vortex-wire-pulling-guide</v>
      </c>
      <c r="C3452" t="s">
        <v>7702</v>
      </c>
      <c r="D3452" t="s">
        <v>7703</v>
      </c>
      <c r="E3452" s="3" t="str">
        <f>HYPERLINK("https://www.amazon.com/Rack-Tiers-40001-Wire-Vortex/dp/B0087TBRPS/ref=sr_1_1?keywords=Rack-A-Tiers+40001+Wire+Vortex+-+Wire+Pulling+Guide&amp;qid=1695173898&amp;sr=8-1", "https://www.amazon.com/Rack-Tiers-40001-Wire-Vortex/dp/B0087TBRPS/ref=sr_1_1?keywords=Rack-A-Tiers+40001+Wire+Vortex+-+Wire+Pulling+Guide&amp;qid=1695173898&amp;sr=8-1")</f>
        <v>https://www.amazon.com/Rack-Tiers-40001-Wire-Vortex/dp/B0087TBRPS/ref=sr_1_1?keywords=Rack-A-Tiers+40001+Wire+Vortex+-+Wire+Pulling+Guide&amp;qid=1695173898&amp;sr=8-1</v>
      </c>
      <c r="F3452" t="s">
        <v>7704</v>
      </c>
      <c r="G3452" t="e">
        <f ca="1">_xludf.IMAGE("https://edmondsonsupply.com/cdn/shop/products/40001-Wire-Vortex-1-1-1.png?v=1587149010")</f>
        <v>#NAME?</v>
      </c>
      <c r="H3452" t="e">
        <f ca="1">_xludf.IMAGE("https://m.media-amazon.com/images/I/61fqfZYjqVL._AC_UL320_.jpg")</f>
        <v>#NAME?</v>
      </c>
      <c r="I3452" t="s">
        <v>577</v>
      </c>
      <c r="J3452">
        <v>21.49</v>
      </c>
      <c r="K3452" s="4">
        <v>7.4999999999999997E-2</v>
      </c>
      <c r="L3452">
        <v>4.5</v>
      </c>
      <c r="M3452">
        <v>77</v>
      </c>
      <c r="O3452" t="s">
        <v>25</v>
      </c>
      <c r="P3452" t="s">
        <v>7705</v>
      </c>
      <c r="Q3452" t="s">
        <v>7706</v>
      </c>
    </row>
    <row r="3453" spans="1:17" ht="15.5" x14ac:dyDescent="0.35">
      <c r="A3453"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3453" s="3" t="str">
        <f>HYPERLINK("https://edmondsonsupply.com/products/fluke-393-solar-clamp-meter-cat-iii-1500-v", "https://edmondsonsupply.com/products/fluke-393-solar-clamp-meter-cat-iii-1500-v")</f>
        <v>https://edmondsonsupply.com/products/fluke-393-solar-clamp-meter-cat-iii-1500-v</v>
      </c>
      <c r="C3453" t="s">
        <v>6951</v>
      </c>
      <c r="D3453" t="s">
        <v>7707</v>
      </c>
      <c r="E3453" s="3" t="str">
        <f>HYPERLINK("https://www.amazon.com/Fluke-IP54-Rated-Measurements-Connect-Software/dp/B0B499Y3Y5/ref=sr_1_3?keywords=Fluke+393+FC+Solar+Clamp+Meter+CAT+III+1500+V&amp;qid=1695174164&amp;sr=8-3", "https://www.amazon.com/Fluke-IP54-Rated-Measurements-Connect-Software/dp/B0B499Y3Y5/ref=sr_1_3?keywords=Fluke+393+FC+Solar+Clamp+Meter+CAT+III+1500+V&amp;qid=1695174164&amp;sr=8-3")</f>
        <v>https://www.amazon.com/Fluke-IP54-Rated-Measurements-Connect-Software/dp/B0B499Y3Y5/ref=sr_1_3?keywords=Fluke+393+FC+Solar+Clamp+Meter+CAT+III+1500+V&amp;qid=1695174164&amp;sr=8-3</v>
      </c>
      <c r="F3453" t="s">
        <v>7708</v>
      </c>
      <c r="G3453" t="e">
        <f ca="1">_xludf.IMAGE("https://edmondsonsupply.com/cdn/shop/products/F-393fc_01a_w.webp?v=1662652371")</f>
        <v>#NAME?</v>
      </c>
      <c r="H3453" t="e">
        <f ca="1">_xludf.IMAGE("https://m.media-amazon.com/images/I/61rDUzMfRiL._AC_UY218_.jpg")</f>
        <v>#NAME?</v>
      </c>
      <c r="I3453" t="s">
        <v>6954</v>
      </c>
      <c r="J3453">
        <v>727.36</v>
      </c>
      <c r="K3453" s="4">
        <v>7.4700000000000003E-2</v>
      </c>
      <c r="L3453">
        <v>4.5999999999999996</v>
      </c>
      <c r="M3453">
        <v>3</v>
      </c>
      <c r="O3453" t="s">
        <v>25</v>
      </c>
      <c r="P3453" t="s">
        <v>6955</v>
      </c>
      <c r="Q3453" t="s">
        <v>6956</v>
      </c>
    </row>
    <row r="3454" spans="1:17" ht="15.5" x14ac:dyDescent="0.35">
      <c r="A3454" s="3" t="str">
        <f>HYPERLINK("https://edmondsonsupply.com/collections/electricians-tools/products/rack-a-tiers-18455-wire-tub-coil-dispenser", "https://edmondsonsupply.com/collections/electricians-tools/products/rack-a-tiers-18455-wire-tub-coil-dispenser")</f>
        <v>https://edmondsonsupply.com/collections/electricians-tools/products/rack-a-tiers-18455-wire-tub-coil-dispenser</v>
      </c>
      <c r="B3454" s="3" t="str">
        <f>HYPERLINK("https://edmondsonsupply.com/products/rack-a-tiers-18455-wire-tub-coil-dispenser", "https://edmondsonsupply.com/products/rack-a-tiers-18455-wire-tub-coil-dispenser")</f>
        <v>https://edmondsonsupply.com/products/rack-a-tiers-18455-wire-tub-coil-dispenser</v>
      </c>
      <c r="C3454" t="s">
        <v>7709</v>
      </c>
      <c r="D3454" t="s">
        <v>7526</v>
      </c>
      <c r="E3454" s="3" t="str">
        <f>HYPERLINK("https://www.amazon.com/Rack-Tiers-18455-Wire-Tub/dp/B0087TBRI0/ref=sr_1_1?keywords=Rack-A-Tiers+18455+Wire+Tub&amp;qid=1695173955&amp;sr=8-1", "https://www.amazon.com/Rack-Tiers-18455-Wire-Tub/dp/B0087TBRI0/ref=sr_1_1?keywords=Rack-A-Tiers+18455+Wire+Tub&amp;qid=1695173955&amp;sr=8-1")</f>
        <v>https://www.amazon.com/Rack-Tiers-18455-Wire-Tub/dp/B0087TBRI0/ref=sr_1_1?keywords=Rack-A-Tiers+18455+Wire+Tub&amp;qid=1695173955&amp;sr=8-1</v>
      </c>
      <c r="F3454" t="s">
        <v>7527</v>
      </c>
      <c r="G3454" t="e">
        <f ca="1">_xludf.IMAGE("https://edmondsonsupply.com/cdn/shop/products/18455-Wire-Tub-1-1-1.png?v=1587146060")</f>
        <v>#NAME?</v>
      </c>
      <c r="H3454" t="e">
        <f ca="1">_xludf.IMAGE("https://m.media-amazon.com/images/I/61aM91GUOYL._AC_UL320_.jpg")</f>
        <v>#NAME?</v>
      </c>
      <c r="I3454" t="s">
        <v>7710</v>
      </c>
      <c r="J3454">
        <v>123.99</v>
      </c>
      <c r="K3454" s="4">
        <v>7.4499999999999997E-2</v>
      </c>
      <c r="L3454">
        <v>4.5999999999999996</v>
      </c>
      <c r="M3454">
        <v>82</v>
      </c>
      <c r="O3454" t="s">
        <v>25</v>
      </c>
      <c r="P3454" t="s">
        <v>4197</v>
      </c>
      <c r="Q3454" t="s">
        <v>7711</v>
      </c>
    </row>
    <row r="3455" spans="1:17" ht="15.5" x14ac:dyDescent="0.35">
      <c r="A3455" s="3" t="str">
        <f>HYPERLINK("https://edmondsonsupply.com/collections/electricians-tools/products/rack-a-tiers-72102-the-nut-blaster-xxl-blue", "https://edmondsonsupply.com/collections/electricians-tools/products/rack-a-tiers-72102-the-nut-blaster-xxl-blue")</f>
        <v>https://edmondsonsupply.com/collections/electricians-tools/products/rack-a-tiers-72102-the-nut-blaster-xxl-blue</v>
      </c>
      <c r="B3455" s="3" t="str">
        <f>HYPERLINK("https://edmondsonsupply.com/products/rack-a-tiers-72102-the-nut-blaster-xxl-blue", "https://edmondsonsupply.com/products/rack-a-tiers-72102-the-nut-blaster-xxl-blue")</f>
        <v>https://edmondsonsupply.com/products/rack-a-tiers-72102-the-nut-blaster-xxl-blue</v>
      </c>
      <c r="C3455" t="s">
        <v>7712</v>
      </c>
      <c r="D3455" t="s">
        <v>7713</v>
      </c>
      <c r="E3455" s="3" t="str">
        <f>HYPERLINK("https://www.amazon.com/Rack-Tiers-72102-Blaster-XXL/dp/B0087TBQ5O/ref=sr_1_1?keywords=Rack-A-Tiers+72102+The+Nut+Blaster+-+XXL+Blue&amp;qid=1695174067&amp;sr=8-1", "https://www.amazon.com/Rack-Tiers-72102-Blaster-XXL/dp/B0087TBQ5O/ref=sr_1_1?keywords=Rack-A-Tiers+72102+The+Nut+Blaster+-+XXL+Blue&amp;qid=1695174067&amp;sr=8-1")</f>
        <v>https://www.amazon.com/Rack-Tiers-72102-Blaster-XXL/dp/B0087TBQ5O/ref=sr_1_1?keywords=Rack-A-Tiers+72102+The+Nut+Blaster+-+XXL+Blue&amp;qid=1695174067&amp;sr=8-1</v>
      </c>
      <c r="F3455" t="s">
        <v>7714</v>
      </c>
      <c r="G3455" t="e">
        <f ca="1">_xludf.IMAGE("https://edmondsonsupply.com/cdn/shop/products/72101-72102-Nut-Blaster-XL-and-XXL-1_eced9b8e-38c5-44f8-9fd1-ef6353ffc883.webp?v=1677012027")</f>
        <v>#NAME?</v>
      </c>
      <c r="H3455" t="e">
        <f ca="1">_xludf.IMAGE("https://m.media-amazon.com/images/I/31Al65h91dL._AC_UL320_.jpg")</f>
        <v>#NAME?</v>
      </c>
      <c r="I3455" t="s">
        <v>3454</v>
      </c>
      <c r="J3455">
        <v>14.49</v>
      </c>
      <c r="K3455" s="4">
        <v>7.4099999999999999E-2</v>
      </c>
      <c r="L3455">
        <v>4.5</v>
      </c>
      <c r="M3455">
        <v>1366</v>
      </c>
      <c r="O3455" t="s">
        <v>25</v>
      </c>
      <c r="P3455" t="s">
        <v>1883</v>
      </c>
      <c r="Q3455" t="s">
        <v>7715</v>
      </c>
    </row>
    <row r="3456" spans="1:17" ht="15.5" x14ac:dyDescent="0.35">
      <c r="A3456" s="3" t="str">
        <f>HYPERLINK("https://edmondsonsupply.com/collections/electricians-tools/products/tajima-jpr-265-japan-pull%E2%84%A2-265-16-tpi-blade", "https://edmondsonsupply.com/collections/electricians-tools/products/tajima-jpr-265-japan-pull%E2%84%A2-265-16-tpi-blade")</f>
        <v>https://edmondsonsupply.com/collections/electricians-tools/products/tajima-jpr-265-japan-pull%E2%84%A2-265-16-tpi-blade</v>
      </c>
      <c r="B3456" s="3" t="str">
        <f>HYPERLINK("https://edmondsonsupply.com/products/tajima-jpr-265-japan-pull%e2%84%a2-265-16-tpi-blade", "https://edmondsonsupply.com/products/tajima-jpr-265-japan-pull%e2%84%a2-265-16-tpi-blade")</f>
        <v>https://edmondsonsupply.com/products/tajima-jpr-265-japan-pull%e2%84%a2-265-16-tpi-blade</v>
      </c>
      <c r="C3456" t="s">
        <v>7348</v>
      </c>
      <c r="D3456" t="s">
        <v>7716</v>
      </c>
      <c r="E3456" s="3" t="str">
        <f>HYPERLINK("https://www.amazon.com/TAJIMA-Pull-Stroke-Saw-Quick-Release-Elastomer/dp/B00ID1PKD0/ref=sr_1_3?keywords=Tajima+JPR-265+Japan+Pull%E2%84%A2+265%2C+16+TPI+Blade&amp;qid=1695174192&amp;sr=8-3", "https://www.amazon.com/TAJIMA-Pull-Stroke-Saw-Quick-Release-Elastomer/dp/B00ID1PKD0/ref=sr_1_3?keywords=Tajima+JPR-265+Japan+Pull%E2%84%A2+265%2C+16+TPI+Blade&amp;qid=1695174192&amp;sr=8-3")</f>
        <v>https://www.amazon.com/TAJIMA-Pull-Stroke-Saw-Quick-Release-Elastomer/dp/B00ID1PKD0/ref=sr_1_3?keywords=Tajima+JPR-265+Japan+Pull%E2%84%A2+265%2C+16+TPI+Blade&amp;qid=1695174192&amp;sr=8-3</v>
      </c>
      <c r="F3456" t="s">
        <v>7717</v>
      </c>
      <c r="G3456" t="e">
        <f ca="1">_xludf.IMAGE("https://edmondsonsupply.com/cdn/shop/products/JPR-265.jpg?v=1655818417")</f>
        <v>#NAME?</v>
      </c>
      <c r="H3456" t="e">
        <f ca="1">_xludf.IMAGE("https://m.media-amazon.com/images/I/71cdoT0D2wL._AC_UL320_.jpg")</f>
        <v>#NAME?</v>
      </c>
      <c r="I3456" t="s">
        <v>7351</v>
      </c>
      <c r="J3456">
        <v>34.17</v>
      </c>
      <c r="K3456" s="4">
        <v>7.3899999999999993E-2</v>
      </c>
      <c r="L3456">
        <v>4.5</v>
      </c>
      <c r="M3456">
        <v>59</v>
      </c>
      <c r="O3456" t="s">
        <v>25</v>
      </c>
      <c r="P3456" t="s">
        <v>260</v>
      </c>
      <c r="Q3456" t="s">
        <v>7352</v>
      </c>
    </row>
    <row r="3457" spans="1:17" ht="15.5" x14ac:dyDescent="0.35">
      <c r="A3457" s="3" t="str">
        <f>HYPERLINK("https://edmondsonsupply.com/collections/electricians-tools/products/rack-a-tiers-48000-driller-s-dust-bowl", "https://edmondsonsupply.com/collections/electricians-tools/products/rack-a-tiers-48000-driller-s-dust-bowl")</f>
        <v>https://edmondsonsupply.com/collections/electricians-tools/products/rack-a-tiers-48000-driller-s-dust-bowl</v>
      </c>
      <c r="B3457" s="3" t="str">
        <f>HYPERLINK("https://edmondsonsupply.com/products/rack-a-tiers-48000-driller-s-dust-bowl", "https://edmondsonsupply.com/products/rack-a-tiers-48000-driller-s-dust-bowl")</f>
        <v>https://edmondsonsupply.com/products/rack-a-tiers-48000-driller-s-dust-bowl</v>
      </c>
      <c r="C3457" t="s">
        <v>7718</v>
      </c>
      <c r="D3457" t="s">
        <v>7719</v>
      </c>
      <c r="E3457" s="3" t="str">
        <f>HYPERLINK("https://www.amazon.com/Rack-Tiers-Drillers-Dust-Bowl/dp/B00QW29WR2/ref=sr_1_1?keywords=Rack-A-Tiers+48000+Driller%E2%80%99s+Dust+Bowl&amp;qid=1695174243&amp;sr=8-1", "https://www.amazon.com/Rack-Tiers-Drillers-Dust-Bowl/dp/B00QW29WR2/ref=sr_1_1?keywords=Rack-A-Tiers+48000+Driller%E2%80%99s+Dust+Bowl&amp;qid=1695174243&amp;sr=8-1")</f>
        <v>https://www.amazon.com/Rack-Tiers-Drillers-Dust-Bowl/dp/B00QW29WR2/ref=sr_1_1?keywords=Rack-A-Tiers+48000+Driller%E2%80%99s+Dust+Bowl&amp;qid=1695174243&amp;sr=8-1</v>
      </c>
      <c r="F3457" t="s">
        <v>7720</v>
      </c>
      <c r="G3457" t="e">
        <f ca="1">_xludf.IMAGE("https://edmondsonsupply.com/cdn/shop/products/48000-Drillers-Dust-Bowl-6.png?v=1640112431")</f>
        <v>#NAME?</v>
      </c>
      <c r="H3457" t="e">
        <f ca="1">_xludf.IMAGE("https://m.media-amazon.com/images/I/41juH+JG+LL._AC_UL320_.jpg")</f>
        <v>#NAME?</v>
      </c>
      <c r="I3457" t="s">
        <v>7721</v>
      </c>
      <c r="J3457">
        <v>29.49</v>
      </c>
      <c r="K3457" s="4">
        <v>7.2800000000000004E-2</v>
      </c>
      <c r="L3457">
        <v>4.5</v>
      </c>
      <c r="M3457">
        <v>299</v>
      </c>
      <c r="O3457" t="s">
        <v>25</v>
      </c>
      <c r="P3457" t="s">
        <v>3601</v>
      </c>
      <c r="Q3457" t="s">
        <v>7722</v>
      </c>
    </row>
    <row r="3458" spans="1:17" ht="15.5" x14ac:dyDescent="0.35">
      <c r="A3458" s="3" t="str">
        <f>HYPERLINK("https://edmondsonsupply.com/collections/electricians-tools/products/klein-tools-502-10-eins-insulated-pump-pliers-slim-handle-10-inch", "https://edmondsonsupply.com/collections/electricians-tools/products/klein-tools-502-10-eins-insulated-pump-pliers-slim-handle-10-inch")</f>
        <v>https://edmondsonsupply.com/collections/electricians-tools/products/klein-tools-502-10-eins-insulated-pump-pliers-slim-handle-10-inch</v>
      </c>
      <c r="B3458" s="3" t="str">
        <f>HYPERLINK("https://edmondsonsupply.com/products/klein-tools-502-10-eins-insulated-pump-pliers-slim-handle-10-inch", "https://edmondsonsupply.com/products/klein-tools-502-10-eins-insulated-pump-pliers-slim-handle-10-inch")</f>
        <v>https://edmondsonsupply.com/products/klein-tools-502-10-eins-insulated-pump-pliers-slim-handle-10-inch</v>
      </c>
      <c r="C3458" t="s">
        <v>4213</v>
      </c>
      <c r="D3458" t="s">
        <v>4214</v>
      </c>
      <c r="E3458" s="3" t="str">
        <f>HYPERLINK("https://www.amazon.com/Electricians-Insulated-Klein-Tools-502-10-EINS/dp/B00JGG5QE4/ref=sr_1_1?keywords=Klein+Tools+502-10-EINS+Insulated+Pump+Pliers%2C+Slim+Handle%2C+10-Inch&amp;qid=1695173917&amp;sr=8-1", "https://www.amazon.com/Electricians-Insulated-Klein-Tools-502-10-EINS/dp/B00JGG5QE4/ref=sr_1_1?keywords=Klein+Tools+502-10-EINS+Insulated+Pump+Pliers%2C+Slim+Handle%2C+10-Inch&amp;qid=1695173917&amp;sr=8-1")</f>
        <v>https://www.amazon.com/Electricians-Insulated-Klein-Tools-502-10-EINS/dp/B00JGG5QE4/ref=sr_1_1?keywords=Klein+Tools+502-10-EINS+Insulated+Pump+Pliers%2C+Slim+Handle%2C+10-Inch&amp;qid=1695173917&amp;sr=8-1</v>
      </c>
      <c r="F3458" t="s">
        <v>4215</v>
      </c>
      <c r="G3458" t="e">
        <f ca="1">_xludf.IMAGE("https://edmondsonsupply.com/cdn/shop/products/50210eins.jpg?v=1633030819")</f>
        <v>#NAME?</v>
      </c>
      <c r="H3458" t="e">
        <f ca="1">_xludf.IMAGE("https://m.media-amazon.com/images/I/51NdzPzCWBL._AC_UL320_.jpg")</f>
        <v>#NAME?</v>
      </c>
      <c r="I3458" t="s">
        <v>905</v>
      </c>
      <c r="J3458">
        <v>64.349999999999994</v>
      </c>
      <c r="K3458" s="4">
        <v>7.2700000000000001E-2</v>
      </c>
      <c r="L3458">
        <v>4.5999999999999996</v>
      </c>
      <c r="M3458">
        <v>77</v>
      </c>
      <c r="O3458" t="s">
        <v>25</v>
      </c>
      <c r="P3458" t="s">
        <v>4216</v>
      </c>
      <c r="Q3458" t="s">
        <v>4217</v>
      </c>
    </row>
    <row r="3459" spans="1:17" ht="15.5" x14ac:dyDescent="0.35">
      <c r="A3459"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3459" s="3" t="str">
        <f>HYPERLINK("https://edmondsonsupply.com/products/klein-tools-80028-electricians-tool-kit-28-piece", "https://edmondsonsupply.com/products/klein-tools-80028-electricians-tool-kit-28-piece")</f>
        <v>https://edmondsonsupply.com/products/klein-tools-80028-electricians-tool-kit-28-piece</v>
      </c>
      <c r="C3459" t="s">
        <v>4066</v>
      </c>
      <c r="D3459" t="s">
        <v>4218</v>
      </c>
      <c r="E3459" s="3" t="str">
        <f>HYPERLINK("https://www.amazon.com/Klein-Tools-28-Piece-32807MAG-Magnetic/dp/B09T6Z6BK9/ref=sr_1_2?keywords=Klein+Tools+80028+Electrician%27s+Tool+Kit%2C+28-Piece&amp;qid=1695173883&amp;sr=8-2", "https://www.amazon.com/Klein-Tools-28-Piece-32807MAG-Magnetic/dp/B09T6Z6BK9/ref=sr_1_2?keywords=Klein+Tools+80028+Electrician%27s+Tool+Kit%2C+28-Piece&amp;qid=1695173883&amp;sr=8-2")</f>
        <v>https://www.amazon.com/Klein-Tools-28-Piece-32807MAG-Magnetic/dp/B09T6Z6BK9/ref=sr_1_2?keywords=Klein+Tools+80028+Electrician%27s+Tool+Kit%2C+28-Piece&amp;qid=1695173883&amp;sr=8-2</v>
      </c>
      <c r="F3459" t="s">
        <v>4219</v>
      </c>
      <c r="G3459" t="e">
        <f ca="1">_xludf.IMAGE("https://edmondsonsupply.com/cdn/shop/files/80028_d.jpg?v=1686062794")</f>
        <v>#NAME?</v>
      </c>
      <c r="H3459" t="e">
        <f ca="1">_xludf.IMAGE("https://m.media-amazon.com/images/I/511xo9SQ+rL._AC_UL320_.jpg")</f>
        <v>#NAME?</v>
      </c>
      <c r="I3459" t="s">
        <v>4069</v>
      </c>
      <c r="J3459">
        <v>444.96</v>
      </c>
      <c r="K3459" s="4">
        <v>7.22E-2</v>
      </c>
      <c r="L3459">
        <v>5</v>
      </c>
      <c r="M3459">
        <v>1</v>
      </c>
      <c r="O3459" t="s">
        <v>25</v>
      </c>
      <c r="P3459" t="s">
        <v>4070</v>
      </c>
      <c r="Q3459" t="s">
        <v>4071</v>
      </c>
    </row>
    <row r="3460" spans="1:17" ht="15.5" x14ac:dyDescent="0.35">
      <c r="A3460" s="3" t="str">
        <f>HYPERLINK("https://edmondsonsupply.com/collections/electricians-tools/products/milwaukee-49-56-9280-7-pc-big-hawg%E2%84%A2-with-carbide-teeth-hole-saw-kit", "https://edmondsonsupply.com/collections/electricians-tools/products/milwaukee-49-56-9280-7-pc-big-hawg%E2%84%A2-with-carbide-teeth-hole-saw-kit")</f>
        <v>https://edmondsonsupply.com/collections/electricians-tools/products/milwaukee-49-56-9280-7-pc-big-hawg%E2%84%A2-with-carbide-teeth-hole-saw-kit</v>
      </c>
      <c r="B3460" s="3" t="str">
        <f>HYPERLINK("https://edmondsonsupply.com/products/milwaukee-49-56-9280-7-pc-big-hawg%e2%84%a2-with-carbide-teeth-hole-saw-kit", "https://edmondsonsupply.com/products/milwaukee-49-56-9280-7-pc-big-hawg%e2%84%a2-with-carbide-teeth-hole-saw-kit")</f>
        <v>https://edmondsonsupply.com/products/milwaukee-49-56-9280-7-pc-big-hawg%e2%84%a2-with-carbide-teeth-hole-saw-kit</v>
      </c>
      <c r="C3460" t="s">
        <v>7723</v>
      </c>
      <c r="D3460" t="s">
        <v>7724</v>
      </c>
      <c r="E3460" s="3" t="str">
        <f>HYPERLINK("https://www.amazon.com/Milwaukee-49-56-9285-Hawg-Carbide-Teeth/dp/B07HNDM4VB/ref=sr_1_1?keywords=Milwaukee+49-56-9280+7+PC+BIG+HAWG%E2%84%A2+with+Carbide+Teeth+Hole+Saw+Kit&amp;qid=1695174117&amp;sr=8-1", "https://www.amazon.com/Milwaukee-49-56-9285-Hawg-Carbide-Teeth/dp/B07HNDM4VB/ref=sr_1_1?keywords=Milwaukee+49-56-9280+7+PC+BIG+HAWG%E2%84%A2+with+Carbide+Teeth+Hole+Saw+Kit&amp;qid=1695174117&amp;sr=8-1")</f>
        <v>https://www.amazon.com/Milwaukee-49-56-9285-Hawg-Carbide-Teeth/dp/B07HNDM4VB/ref=sr_1_1?keywords=Milwaukee+49-56-9280+7+PC+BIG+HAWG%E2%84%A2+with+Carbide+Teeth+Hole+Saw+Kit&amp;qid=1695174117&amp;sr=8-1</v>
      </c>
      <c r="F3460" t="s">
        <v>7725</v>
      </c>
      <c r="G3460" t="e">
        <f ca="1">_xludf.IMAGE("https://edmondsonsupply.com/cdn/shop/products/49-56-9280_Kit.png?v=1668538393")</f>
        <v>#NAME?</v>
      </c>
      <c r="H3460" t="e">
        <f ca="1">_xludf.IMAGE("https://m.media-amazon.com/images/I/91MZfSE7dxL._AC_UL320_.jpg")</f>
        <v>#NAME?</v>
      </c>
      <c r="I3460" t="s">
        <v>7726</v>
      </c>
      <c r="J3460">
        <v>150</v>
      </c>
      <c r="K3460" s="4">
        <v>7.17E-2</v>
      </c>
      <c r="L3460">
        <v>4.8</v>
      </c>
      <c r="M3460">
        <v>99</v>
      </c>
      <c r="O3460" t="s">
        <v>25</v>
      </c>
      <c r="P3460" t="s">
        <v>7727</v>
      </c>
      <c r="Q3460" t="s">
        <v>7728</v>
      </c>
    </row>
    <row r="3461" spans="1:17" ht="15.5" x14ac:dyDescent="0.35">
      <c r="A3461" s="3" t="str">
        <f>HYPERLINK("https://edmondsonsupply.com/collections/electricians-tools/products/klein-tools-6944ins", "https://edmondsonsupply.com/collections/electricians-tools/products/klein-tools-6944ins")</f>
        <v>https://edmondsonsupply.com/collections/electricians-tools/products/klein-tools-6944ins</v>
      </c>
      <c r="B3461" s="3" t="str">
        <f>HYPERLINK("https://edmondsonsupply.com/products/klein-tools-6944ins", "https://edmondsonsupply.com/products/klein-tools-6944ins")</f>
        <v>https://edmondsonsupply.com/products/klein-tools-6944ins</v>
      </c>
      <c r="C3461" t="s">
        <v>7729</v>
      </c>
      <c r="D3461" t="s">
        <v>7098</v>
      </c>
      <c r="E3461" s="3" t="str">
        <f>HYPERLINK("https://www.amazon.com/Klein-Tools-6926INS-Screwdriver-Cushion-Grip/dp/B09GL1X5SZ/ref=sr_1_4?keywords=Klein+Tools+6944INS+Slim-Tip+1000V+Insulated+Screwdriver%2C&amp;qid=1695174144&amp;sr=8-4", "https://www.amazon.com/Klein-Tools-6926INS-Screwdriver-Cushion-Grip/dp/B09GL1X5SZ/ref=sr_1_4?keywords=Klein+Tools+6944INS+Slim-Tip+1000V+Insulated+Screwdriver%2C&amp;qid=1695174144&amp;sr=8-4")</f>
        <v>https://www.amazon.com/Klein-Tools-6926INS-Screwdriver-Cushion-Grip/dp/B09GL1X5SZ/ref=sr_1_4?keywords=Klein+Tools+6944INS+Slim-Tip+1000V+Insulated+Screwdriver%2C&amp;qid=1695174144&amp;sr=8-4</v>
      </c>
      <c r="F3461" t="s">
        <v>7099</v>
      </c>
      <c r="G3461" t="e">
        <f ca="1">_xludf.IMAGE("https://edmondsonsupply.com/cdn/shop/products/6944ins.jpg?v=1664804875")</f>
        <v>#NAME?</v>
      </c>
      <c r="H3461" t="e">
        <f ca="1">_xludf.IMAGE("https://m.media-amazon.com/images/I/41JbepP5oGL._AC_UL320_.jpg")</f>
        <v>#NAME?</v>
      </c>
      <c r="I3461" t="s">
        <v>288</v>
      </c>
      <c r="J3461">
        <v>14.99</v>
      </c>
      <c r="K3461" s="4">
        <v>7.1499999999999994E-2</v>
      </c>
      <c r="L3461">
        <v>4.8</v>
      </c>
      <c r="M3461">
        <v>85</v>
      </c>
      <c r="O3461" t="s">
        <v>25</v>
      </c>
      <c r="P3461" t="s">
        <v>7730</v>
      </c>
      <c r="Q3461" t="s">
        <v>7731</v>
      </c>
    </row>
    <row r="3462" spans="1:17" ht="15.5" x14ac:dyDescent="0.35">
      <c r="A3462"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3462"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3462" t="s">
        <v>7732</v>
      </c>
      <c r="D3462" t="s">
        <v>7098</v>
      </c>
      <c r="E3462" s="3" t="str">
        <f>HYPERLINK("https://www.amazon.com/Klein-Tools-6926INS-Screwdriver-Cushion-Grip/dp/B09GL1X5SZ/ref=sr_1_8?keywords=Klein+Tools+6984INS+Slim-Tip+1000V+Insulated+Screwdriver%2C+%231+Square%2C+4-Inch+Round+Shank&amp;qid=1695174144&amp;sr=8-8", "https://www.amazon.com/Klein-Tools-6926INS-Screwdriver-Cushion-Grip/dp/B09GL1X5SZ/ref=sr_1_8?keywords=Klein+Tools+6984INS+Slim-Tip+1000V+Insulated+Screwdriver%2C+%231+Square%2C+4-Inch+Round+Shank&amp;qid=1695174144&amp;sr=8-8")</f>
        <v>https://www.amazon.com/Klein-Tools-6926INS-Screwdriver-Cushion-Grip/dp/B09GL1X5SZ/ref=sr_1_8?keywords=Klein+Tools+6984INS+Slim-Tip+1000V+Insulated+Screwdriver%2C+%231+Square%2C+4-Inch+Round+Shank&amp;qid=1695174144&amp;sr=8-8</v>
      </c>
      <c r="F3462" t="s">
        <v>7099</v>
      </c>
      <c r="G3462" t="e">
        <f ca="1">_xludf.IMAGE("https://edmondsonsupply.com/cdn/shop/products/6984ins.jpg?v=1664806448")</f>
        <v>#NAME?</v>
      </c>
      <c r="H3462" t="e">
        <f ca="1">_xludf.IMAGE("https://m.media-amazon.com/images/I/41JbepP5oGL._AC_UL320_.jpg")</f>
        <v>#NAME?</v>
      </c>
      <c r="I3462" t="s">
        <v>288</v>
      </c>
      <c r="J3462">
        <v>14.99</v>
      </c>
      <c r="K3462" s="4">
        <v>7.1499999999999994E-2</v>
      </c>
      <c r="L3462">
        <v>4.8</v>
      </c>
      <c r="M3462">
        <v>85</v>
      </c>
      <c r="O3462" t="s">
        <v>25</v>
      </c>
      <c r="P3462" t="s">
        <v>7730</v>
      </c>
      <c r="Q3462" t="s">
        <v>7733</v>
      </c>
    </row>
    <row r="3463" spans="1:17" ht="15.5" x14ac:dyDescent="0.35">
      <c r="A3463"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3463"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3463" t="s">
        <v>7732</v>
      </c>
      <c r="D3463" t="s">
        <v>7095</v>
      </c>
      <c r="E3463" s="3" t="str">
        <f>HYPERLINK("https://www.amazon.com/Klein-Tools-6986INS-Screwdriver-Cushion-Grip/dp/B09GPYQ7DM/ref=sr_1_2?keywords=Klein+Tools+6984INS+Slim-Tip+1000V+Insulated+Screwdriver%2C+%231+Square%2C+4-Inch+Round+Shank&amp;qid=1695174144&amp;sr=8-2", "https://www.amazon.com/Klein-Tools-6986INS-Screwdriver-Cushion-Grip/dp/B09GPYQ7DM/ref=sr_1_2?keywords=Klein+Tools+6984INS+Slim-Tip+1000V+Insulated+Screwdriver%2C+%231+Square%2C+4-Inch+Round+Shank&amp;qid=1695174144&amp;sr=8-2")</f>
        <v>https://www.amazon.com/Klein-Tools-6986INS-Screwdriver-Cushion-Grip/dp/B09GPYQ7DM/ref=sr_1_2?keywords=Klein+Tools+6984INS+Slim-Tip+1000V+Insulated+Screwdriver%2C+%231+Square%2C+4-Inch+Round+Shank&amp;qid=1695174144&amp;sr=8-2</v>
      </c>
      <c r="F3463" t="s">
        <v>7096</v>
      </c>
      <c r="G3463" t="e">
        <f ca="1">_xludf.IMAGE("https://edmondsonsupply.com/cdn/shop/products/6984ins.jpg?v=1664806448")</f>
        <v>#NAME?</v>
      </c>
      <c r="H3463" t="e">
        <f ca="1">_xludf.IMAGE("https://m.media-amazon.com/images/I/41d5Ic37xZL._AC_UL320_.jpg")</f>
        <v>#NAME?</v>
      </c>
      <c r="I3463" t="s">
        <v>288</v>
      </c>
      <c r="J3463">
        <v>14.99</v>
      </c>
      <c r="K3463" s="4">
        <v>7.1499999999999994E-2</v>
      </c>
      <c r="L3463">
        <v>4.8</v>
      </c>
      <c r="M3463">
        <v>29</v>
      </c>
      <c r="O3463" t="s">
        <v>25</v>
      </c>
      <c r="P3463" t="s">
        <v>7730</v>
      </c>
      <c r="Q3463" t="s">
        <v>7733</v>
      </c>
    </row>
    <row r="3464" spans="1:17" ht="15.5" x14ac:dyDescent="0.35">
      <c r="A3464"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3464" s="3" t="str">
        <f>HYPERLINK("https://edmondsonsupply.com/products/klein-tools-31940-bi-metal-hole-saw-2-1-2-inch", "https://edmondsonsupply.com/products/klein-tools-31940-bi-metal-hole-saw-2-1-2-inch")</f>
        <v>https://edmondsonsupply.com/products/klein-tools-31940-bi-metal-hole-saw-2-1-2-inch</v>
      </c>
      <c r="C3464" t="s">
        <v>6842</v>
      </c>
      <c r="D3464" t="s">
        <v>6787</v>
      </c>
      <c r="E3464" s="3" t="str">
        <f>HYPERLINK("https://www.amazon.com/Klein-Tools-31534-Bi-Metal-8-Inch/dp/B0009OIJFA/ref=sr_1_10?keywords=Klein+Tools+31940+Bi-Metal+Hole+Saw%2C+2-1%2F2-Inch&amp;qid=1695174215&amp;sr=8-10", "https://www.amazon.com/Klein-Tools-31534-Bi-Metal-8-Inch/dp/B0009OIJFA/ref=sr_1_10?keywords=Klein+Tools+31940+Bi-Metal+Hole+Saw%2C+2-1%2F2-Inch&amp;qid=1695174215&amp;sr=8-10")</f>
        <v>https://www.amazon.com/Klein-Tools-31534-Bi-Metal-8-Inch/dp/B0009OIJFA/ref=sr_1_10?keywords=Klein+Tools+31940+Bi-Metal+Hole+Saw%2C+2-1%2F2-Inch&amp;qid=1695174215&amp;sr=8-10</v>
      </c>
      <c r="F3464" t="s">
        <v>6788</v>
      </c>
      <c r="G3464" t="e">
        <f ca="1">_xludf.IMAGE("https://edmondsonsupply.com/cdn/shop/products/31940.jpg?v=1649380086")</f>
        <v>#NAME?</v>
      </c>
      <c r="H3464" t="e">
        <f ca="1">_xludf.IMAGE("https://m.media-amazon.com/images/I/31Wk-f8wwaL._AC_UL320_.jpg")</f>
        <v>#NAME?</v>
      </c>
      <c r="I3464" t="s">
        <v>288</v>
      </c>
      <c r="J3464">
        <v>14.99</v>
      </c>
      <c r="K3464" s="4">
        <v>7.1499999999999994E-2</v>
      </c>
      <c r="L3464">
        <v>5</v>
      </c>
      <c r="M3464">
        <v>5</v>
      </c>
      <c r="O3464" t="s">
        <v>25</v>
      </c>
      <c r="P3464" t="s">
        <v>6845</v>
      </c>
      <c r="Q3464" t="s">
        <v>6846</v>
      </c>
    </row>
    <row r="3465" spans="1:17" ht="15.5" x14ac:dyDescent="0.35">
      <c r="A3465"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3465"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3465" t="s">
        <v>6443</v>
      </c>
      <c r="D3465" t="s">
        <v>7734</v>
      </c>
      <c r="E3465" s="3" t="str">
        <f>HYPERLINK("https://www.amazon.com/Journeyman-T-Handle-Klein-Tools-JTH9E06/dp/B004QV4A50/ref=sr_1_2?keywords=Klein+Tools+JTH4E06+3%2F32-Inch+Hex+Key%2C+Journeyman+T-Handle%2C+4-Inch&amp;qid=1695174228&amp;sr=8-2", "https://www.amazon.com/Journeyman-T-Handle-Klein-Tools-JTH9E06/dp/B004QV4A50/ref=sr_1_2?keywords=Klein+Tools+JTH4E06+3%2F32-Inch+Hex+Key%2C+Journeyman+T-Handle%2C+4-Inch&amp;qid=1695174228&amp;sr=8-2")</f>
        <v>https://www.amazon.com/Journeyman-T-Handle-Klein-Tools-JTH9E06/dp/B004QV4A50/ref=sr_1_2?keywords=Klein+Tools+JTH4E06+3%2F32-Inch+Hex+Key%2C+Journeyman+T-Handle%2C+4-Inch&amp;qid=1695174228&amp;sr=8-2</v>
      </c>
      <c r="F3465" t="s">
        <v>7735</v>
      </c>
      <c r="G3465" t="e">
        <f ca="1">_xludf.IMAGE("https://edmondsonsupply.com/cdn/shop/products/jth4e06.jpg?v=1635112029")</f>
        <v>#NAME?</v>
      </c>
      <c r="H3465" t="e">
        <f ca="1">_xludf.IMAGE("https://m.media-amazon.com/images/I/51Yb8h41vLL._AC_UL320_.jpg")</f>
        <v>#NAME?</v>
      </c>
      <c r="I3465" t="s">
        <v>6444</v>
      </c>
      <c r="J3465">
        <v>4.2699999999999996</v>
      </c>
      <c r="K3465" s="4">
        <v>7.0199999999999999E-2</v>
      </c>
      <c r="L3465">
        <v>4.5999999999999996</v>
      </c>
      <c r="M3465">
        <v>393</v>
      </c>
      <c r="O3465" t="s">
        <v>25</v>
      </c>
      <c r="P3465" t="s">
        <v>2044</v>
      </c>
      <c r="Q3465" t="s">
        <v>6445</v>
      </c>
    </row>
    <row r="3466" spans="1:17" ht="15.5" x14ac:dyDescent="0.35">
      <c r="A3466" s="3" t="str">
        <f>HYPERLINK("https://edmondsonsupply.com/collections/electricians-tools/products/klein-tools-jth6e07-7-64-inch-hex-key-journeyman%E2%84%A2-t-handle-6-inch", "https://edmondsonsupply.com/collections/electricians-tools/products/klein-tools-jth6e07-7-64-inch-hex-key-journeyman%E2%84%A2-t-handle-6-inch")</f>
        <v>https://edmondsonsupply.com/collections/electricians-tools/products/klein-tools-jth6e07-7-64-inch-hex-key-journeyman%E2%84%A2-t-handle-6-inch</v>
      </c>
      <c r="B3466" s="3" t="str">
        <f>HYPERLINK("https://edmondsonsupply.com/products/klein-tools-jth6e07-7-64-inch-hex-key-journeyman%e2%84%a2-t-handle-6-inch", "https://edmondsonsupply.com/products/klein-tools-jth6e07-7-64-inch-hex-key-journeyman%e2%84%a2-t-handle-6-inch")</f>
        <v>https://edmondsonsupply.com/products/klein-tools-jth6e07-7-64-inch-hex-key-journeyman%e2%84%a2-t-handle-6-inch</v>
      </c>
      <c r="C3466" t="s">
        <v>7736</v>
      </c>
      <c r="D3466" t="s">
        <v>7737</v>
      </c>
      <c r="E3466" s="3" t="str">
        <f>HYPERLINK("https://www.amazon.com/Journeyman-T-Handle-Klein-Tools-JTH9E07/dp/B004QV6Q9S/ref=sr_1_3?keywords=Klein+Tools+JTH6E07+7%2F64-Inch+Hex+Key%2C+Journeyman%E2%84%A2+T-Handle%2C+6-Inch&amp;qid=1695174136&amp;sr=8-3", "https://www.amazon.com/Journeyman-T-Handle-Klein-Tools-JTH9E07/dp/B004QV6Q9S/ref=sr_1_3?keywords=Klein+Tools+JTH6E07+7%2F64-Inch+Hex+Key%2C+Journeyman%E2%84%A2+T-Handle%2C+6-Inch&amp;qid=1695174136&amp;sr=8-3")</f>
        <v>https://www.amazon.com/Journeyman-T-Handle-Klein-Tools-JTH9E07/dp/B004QV6Q9S/ref=sr_1_3?keywords=Klein+Tools+JTH6E07+7%2F64-Inch+Hex+Key%2C+Journeyman%E2%84%A2+T-Handle%2C+6-Inch&amp;qid=1695174136&amp;sr=8-3</v>
      </c>
      <c r="F3466" t="s">
        <v>7738</v>
      </c>
      <c r="G3466" t="e">
        <f ca="1">_xludf.IMAGE("https://edmondsonsupply.com/cdn/shop/products/jth6e15_1.jpg?v=1666369631")</f>
        <v>#NAME?</v>
      </c>
      <c r="H3466" t="e">
        <f ca="1">_xludf.IMAGE("https://m.media-amazon.com/images/I/51Yb8h41vLL._AC_UL320_.jpg")</f>
        <v>#NAME?</v>
      </c>
      <c r="I3466" t="s">
        <v>6444</v>
      </c>
      <c r="J3466">
        <v>4.2699999999999996</v>
      </c>
      <c r="K3466" s="4">
        <v>7.0199999999999999E-2</v>
      </c>
      <c r="L3466">
        <v>4.5999999999999996</v>
      </c>
      <c r="M3466">
        <v>393</v>
      </c>
      <c r="O3466" t="s">
        <v>25</v>
      </c>
      <c r="P3466" t="s">
        <v>2044</v>
      </c>
      <c r="Q3466" t="s">
        <v>7739</v>
      </c>
    </row>
    <row r="3467" spans="1:17" ht="15.5" x14ac:dyDescent="0.35">
      <c r="A3467" s="3" t="str">
        <f>HYPERLINK("https://edmondsonsupply.com/collections/electricians-tools/products/rack-a-tiers-bb1520-bumper-balls-kit", "https://edmondsonsupply.com/collections/electricians-tools/products/rack-a-tiers-bb1520-bumper-balls-kit")</f>
        <v>https://edmondsonsupply.com/collections/electricians-tools/products/rack-a-tiers-bb1520-bumper-balls-kit</v>
      </c>
      <c r="B3467" s="3" t="str">
        <f>HYPERLINK("https://edmondsonsupply.com/products/rack-a-tiers-bb1520-bumper-balls-kit", "https://edmondsonsupply.com/products/rack-a-tiers-bb1520-bumper-balls-kit")</f>
        <v>https://edmondsonsupply.com/products/rack-a-tiers-bb1520-bumper-balls-kit</v>
      </c>
      <c r="C3467" t="s">
        <v>4226</v>
      </c>
      <c r="D3467" t="s">
        <v>4227</v>
      </c>
      <c r="E3467" s="3" t="str">
        <f>HYPERLINK("https://www.amazon.com/Rack-Tiers-Bumper-Balls-Alignment/dp/B09JTWFQHT/ref=sr_1_1?keywords=Rack-A-Tiers+BB1520+Bumper+Balls+Kit&amp;qid=1695173881&amp;sr=8-1", "https://www.amazon.com/Rack-Tiers-Bumper-Balls-Alignment/dp/B09JTWFQHT/ref=sr_1_1?keywords=Rack-A-Tiers+BB1520+Bumper+Balls+Kit&amp;qid=1695173881&amp;sr=8-1")</f>
        <v>https://www.amazon.com/Rack-Tiers-Bumper-Balls-Alignment/dp/B09JTWFQHT/ref=sr_1_1?keywords=Rack-A-Tiers+BB1520+Bumper+Balls+Kit&amp;qid=1695173881&amp;sr=8-1</v>
      </c>
      <c r="F3467" t="s">
        <v>4228</v>
      </c>
      <c r="G3467" t="e">
        <f ca="1">_xludf.IMAGE("https://edmondsonsupply.com/cdn/shop/products/BB1520-Bumper-Balls.png?v=1633031148")</f>
        <v>#NAME?</v>
      </c>
      <c r="H3467" t="e">
        <f ca="1">_xludf.IMAGE("https://m.media-amazon.com/images/I/41V-bJsX0DL._AC_UL320_.jpg")</f>
        <v>#NAME?</v>
      </c>
      <c r="I3467" t="s">
        <v>1883</v>
      </c>
      <c r="J3467">
        <v>15.49</v>
      </c>
      <c r="K3467" s="4">
        <v>6.9000000000000006E-2</v>
      </c>
      <c r="L3467">
        <v>4.2</v>
      </c>
      <c r="M3467">
        <v>25</v>
      </c>
      <c r="O3467" t="s">
        <v>25</v>
      </c>
      <c r="P3467" t="s">
        <v>4229</v>
      </c>
      <c r="Q3467" t="s">
        <v>4230</v>
      </c>
    </row>
    <row r="3468" spans="1:17" ht="15.5" x14ac:dyDescent="0.35">
      <c r="A3468" s="3" t="str">
        <f>HYPERLINK("https://edmondsonsupply.com/collections/electricians-tools/products/diablo-tools-d0424x-4-1-2-in-x-24-tooth-framing-trim-saw-blade", "https://edmondsonsupply.com/collections/electricians-tools/products/diablo-tools-d0424x-4-1-2-in-x-24-tooth-framing-trim-saw-blade")</f>
        <v>https://edmondsonsupply.com/collections/electricians-tools/products/diablo-tools-d0424x-4-1-2-in-x-24-tooth-framing-trim-saw-blade</v>
      </c>
      <c r="B3468" s="3" t="str">
        <f>HYPERLINK("https://edmondsonsupply.com/products/diablo-tools-d0424x-4-1-2-in-x-24-tooth-framing-trim-saw-blade", "https://edmondsonsupply.com/products/diablo-tools-d0424x-4-1-2-in-x-24-tooth-framing-trim-saw-blade")</f>
        <v>https://edmondsonsupply.com/products/diablo-tools-d0424x-4-1-2-in-x-24-tooth-framing-trim-saw-blade</v>
      </c>
      <c r="C3468" t="s">
        <v>7740</v>
      </c>
      <c r="D3468" t="s">
        <v>7741</v>
      </c>
      <c r="E3468" s="3" t="str">
        <f>HYPERLINK("https://www.amazon.com/Echo-Corner-General-Purpose-Ultra-Thin-Woodworking/dp/B0BQB4YHBQ/ref=sr_1_5?keywords=Diablo+Tools+D0424X+4-1%2F2+in.+x+24+Tooth+Framing+Trim+Saw+Blade&amp;qid=1695174057&amp;sr=8-5", "https://www.amazon.com/Echo-Corner-General-Purpose-Ultra-Thin-Woodworking/dp/B0BQB4YHBQ/ref=sr_1_5?keywords=Diablo+Tools+D0424X+4-1%2F2+in.+x+24+Tooth+Framing+Trim+Saw+Blade&amp;qid=1695174057&amp;sr=8-5")</f>
        <v>https://www.amazon.com/Echo-Corner-General-Purpose-Ultra-Thin-Woodworking/dp/B0BQB4YHBQ/ref=sr_1_5?keywords=Diablo+Tools+D0424X+4-1%2F2+in.+x+24+Tooth+Framing+Trim+Saw+Blade&amp;qid=1695174057&amp;sr=8-5</v>
      </c>
      <c r="F3468" t="s">
        <v>7742</v>
      </c>
      <c r="G3468" t="e">
        <f ca="1">_xludf.IMAGE("https://edmondsonsupply.com/cdn/shop/products/kscyqpb4khjcxmaeciqc.webp?v=1679327311")</f>
        <v>#NAME?</v>
      </c>
      <c r="H3468" t="e">
        <f ca="1">_xludf.IMAGE("https://m.media-amazon.com/images/I/716cG-klfkL._AC_UL320_.jpg")</f>
        <v>#NAME?</v>
      </c>
      <c r="I3468" t="s">
        <v>2784</v>
      </c>
      <c r="J3468">
        <v>16</v>
      </c>
      <c r="K3468" s="4">
        <v>6.88E-2</v>
      </c>
      <c r="L3468">
        <v>4.0999999999999996</v>
      </c>
      <c r="M3468">
        <v>42</v>
      </c>
      <c r="O3468" t="s">
        <v>25</v>
      </c>
      <c r="P3468" t="s">
        <v>7743</v>
      </c>
      <c r="Q3468" t="s">
        <v>7744</v>
      </c>
    </row>
    <row r="3469" spans="1:17" ht="15.5" x14ac:dyDescent="0.35">
      <c r="A3469"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3469" s="3" t="str">
        <f>HYPERLINK("https://edmondsonsupply.com/products/diablo-tools-d0740x-7-1-4-in-x-40-tooth-finish-saw-blade", "https://edmondsonsupply.com/products/diablo-tools-d0740x-7-1-4-in-x-40-tooth-finish-saw-blade")</f>
        <v>https://edmondsonsupply.com/products/diablo-tools-d0740x-7-1-4-in-x-40-tooth-finish-saw-blade</v>
      </c>
      <c r="C3469" t="s">
        <v>6112</v>
      </c>
      <c r="D3469" t="s">
        <v>7745</v>
      </c>
      <c r="E3469" s="3" t="str">
        <f>HYPERLINK("https://www.amazon.com/FOXBC-Circular-60-Tooth-Replacement-DWA171460/dp/B0C6L4CRY2/ref=sr_1_7?keywords=Diablo+Tools+D0740X+7-1%2F4+in.+x+40+Tooth+Finish+Saw+Blade&amp;qid=1695174073&amp;sr=8-7", "https://www.amazon.com/FOXBC-Circular-60-Tooth-Replacement-DWA171460/dp/B0C6L4CRY2/ref=sr_1_7?keywords=Diablo+Tools+D0740X+7-1%2F4+in.+x+40+Tooth+Finish+Saw+Blade&amp;qid=1695174073&amp;sr=8-7")</f>
        <v>https://www.amazon.com/FOXBC-Circular-60-Tooth-Replacement-DWA171460/dp/B0C6L4CRY2/ref=sr_1_7?keywords=Diablo+Tools+D0740X+7-1%2F4+in.+x+40+Tooth+Finish+Saw+Blade&amp;qid=1695174073&amp;sr=8-7</v>
      </c>
      <c r="F3469" t="s">
        <v>7746</v>
      </c>
      <c r="G3469" t="e">
        <f ca="1">_xludf.IMAGE("https://edmondsonsupply.com/cdn/shop/products/kdrkrhhsfpivsggxnkhy.webp?v=1678975834")</f>
        <v>#NAME?</v>
      </c>
      <c r="H3469" t="e">
        <f ca="1">_xludf.IMAGE("https://m.media-amazon.com/images/I/7198akWEx0L._AC_UL320_.jpg")</f>
        <v>#NAME?</v>
      </c>
      <c r="I3469" t="s">
        <v>2784</v>
      </c>
      <c r="J3469">
        <v>15.99</v>
      </c>
      <c r="K3469" s="4">
        <v>6.8099999999999994E-2</v>
      </c>
      <c r="L3469">
        <v>4.8</v>
      </c>
      <c r="M3469">
        <v>31</v>
      </c>
      <c r="O3469" t="s">
        <v>25</v>
      </c>
      <c r="P3469" t="s">
        <v>6115</v>
      </c>
      <c r="Q3469" t="s">
        <v>6116</v>
      </c>
    </row>
    <row r="3470" spans="1:17" ht="15.5" x14ac:dyDescent="0.35">
      <c r="A3470"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3470"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470" t="s">
        <v>851</v>
      </c>
      <c r="D3470" t="s">
        <v>927</v>
      </c>
      <c r="E3470" s="3" t="str">
        <f>HYPERLINK("https://www.amazon.com/Klein-60470-Protection-Anti-Fog-Resistant/dp/B0B69KPRPF/ref=sr_1_2?keywords=Klein+Tools+60163+Professional+Safety+Glasses%2C+Full+Frame%2C+Clear+Lens&amp;qid=1695174311&amp;sr=8-2", "https://www.amazon.com/Klein-60470-Protection-Anti-Fog-Resistant/dp/B0B69KPRPF/ref=sr_1_2?keywords=Klein+Tools+60163+Professional+Safety+Glasses%2C+Full+Frame%2C+Clear+Lens&amp;qid=1695174311&amp;sr=8-2")</f>
        <v>https://www.amazon.com/Klein-60470-Protection-Anti-Fog-Resistant/dp/B0B69KPRPF/ref=sr_1_2?keywords=Klein+Tools+60163+Professional+Safety+Glasses%2C+Full+Frame%2C+Clear+Lens&amp;qid=1695174311&amp;sr=8-2</v>
      </c>
      <c r="F3470" t="s">
        <v>928</v>
      </c>
      <c r="G3470" t="e">
        <f ca="1">_xludf.IMAGE("https://edmondsonsupply.com/cdn/shop/products/60163.jpg?v=1633030848")</f>
        <v>#NAME?</v>
      </c>
      <c r="H3470" t="e">
        <f ca="1">_xludf.IMAGE("https://m.media-amazon.com/images/I/51TkfiRMYgL._AC_UL320_.jpg")</f>
        <v>#NAME?</v>
      </c>
      <c r="I3470" t="s">
        <v>276</v>
      </c>
      <c r="J3470">
        <v>15.99</v>
      </c>
      <c r="K3470" s="4">
        <v>6.6699999999999995E-2</v>
      </c>
      <c r="L3470">
        <v>4</v>
      </c>
      <c r="M3470">
        <v>29</v>
      </c>
      <c r="O3470" t="s">
        <v>25</v>
      </c>
      <c r="P3470" t="s">
        <v>277</v>
      </c>
      <c r="Q3470" t="s">
        <v>852</v>
      </c>
    </row>
    <row r="3471" spans="1:17" ht="15.5" x14ac:dyDescent="0.35">
      <c r="A3471"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3471"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3471" t="s">
        <v>1848</v>
      </c>
      <c r="D3471" t="s">
        <v>922</v>
      </c>
      <c r="E3471" s="3" t="str">
        <f>HYPERLINK("https://www.amazon.com/Klein-60161-Professional-Protective-Resistant/dp/B08B496F57/ref=sr_1_10?keywords=Klein+Tools+60164+Professional+Safety+Glasses%2C+Full+Frame%2C+Gray+Lens&amp;qid=1695173933&amp;sr=8-10", "https://www.amazon.com/Klein-60161-Professional-Protective-Resistant/dp/B08B496F57/ref=sr_1_10?keywords=Klein+Tools+60164+Professional+Safety+Glasses%2C+Full+Frame%2C+Gray+Lens&amp;qid=1695173933&amp;sr=8-10")</f>
        <v>https://www.amazon.com/Klein-60161-Professional-Protective-Resistant/dp/B08B496F57/ref=sr_1_10?keywords=Klein+Tools+60164+Professional+Safety+Glasses%2C+Full+Frame%2C+Gray+Lens&amp;qid=1695173933&amp;sr=8-10</v>
      </c>
      <c r="F3471" t="s">
        <v>923</v>
      </c>
      <c r="G3471" t="e">
        <f ca="1">_xludf.IMAGE("https://edmondsonsupply.com/cdn/shop/products/60164.jpg?v=1633030851")</f>
        <v>#NAME?</v>
      </c>
      <c r="H3471" t="e">
        <f ca="1">_xludf.IMAGE("https://m.media-amazon.com/images/I/515pVZPvJ0L._AC_UL320_.jpg")</f>
        <v>#NAME?</v>
      </c>
      <c r="I3471" t="s">
        <v>276</v>
      </c>
      <c r="J3471">
        <v>15.99</v>
      </c>
      <c r="K3471" s="4">
        <v>6.6699999999999995E-2</v>
      </c>
      <c r="L3471">
        <v>4.4000000000000004</v>
      </c>
      <c r="M3471">
        <v>374</v>
      </c>
      <c r="O3471" t="s">
        <v>25</v>
      </c>
      <c r="P3471" t="s">
        <v>277</v>
      </c>
      <c r="Q3471" t="s">
        <v>1849</v>
      </c>
    </row>
    <row r="3472" spans="1:17" ht="15.5" x14ac:dyDescent="0.35">
      <c r="A3472"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3472"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472" t="s">
        <v>851</v>
      </c>
      <c r="D3472" t="s">
        <v>922</v>
      </c>
      <c r="E3472" s="3" t="str">
        <f>HYPERLINK("https://www.amazon.com/Klein-60161-Professional-Protective-Resistant/dp/B08B496F57/ref=sr_1_10?keywords=Klein+Tools+60163+Professional+Safety+Glasses%2C+Full+Frame%2C+Clear+Lens&amp;qid=1695174311&amp;sr=8-10", "https://www.amazon.com/Klein-60161-Professional-Protective-Resistant/dp/B08B496F57/ref=sr_1_10?keywords=Klein+Tools+60163+Professional+Safety+Glasses%2C+Full+Frame%2C+Clear+Lens&amp;qid=1695174311&amp;sr=8-10")</f>
        <v>https://www.amazon.com/Klein-60161-Professional-Protective-Resistant/dp/B08B496F57/ref=sr_1_10?keywords=Klein+Tools+60163+Professional+Safety+Glasses%2C+Full+Frame%2C+Clear+Lens&amp;qid=1695174311&amp;sr=8-10</v>
      </c>
      <c r="F3472" t="s">
        <v>923</v>
      </c>
      <c r="G3472" t="e">
        <f ca="1">_xludf.IMAGE("https://edmondsonsupply.com/cdn/shop/products/60163.jpg?v=1633030848")</f>
        <v>#NAME?</v>
      </c>
      <c r="H3472" t="e">
        <f ca="1">_xludf.IMAGE("https://m.media-amazon.com/images/I/515pVZPvJ0L._AC_UL320_.jpg")</f>
        <v>#NAME?</v>
      </c>
      <c r="I3472" t="s">
        <v>276</v>
      </c>
      <c r="J3472">
        <v>15.99</v>
      </c>
      <c r="K3472" s="4">
        <v>6.6699999999999995E-2</v>
      </c>
      <c r="L3472">
        <v>4.4000000000000004</v>
      </c>
      <c r="M3472">
        <v>374</v>
      </c>
      <c r="O3472" t="s">
        <v>25</v>
      </c>
      <c r="P3472" t="s">
        <v>277</v>
      </c>
      <c r="Q3472" t="s">
        <v>852</v>
      </c>
    </row>
    <row r="3473" spans="1:17" ht="15.5" x14ac:dyDescent="0.35">
      <c r="A3473"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3473"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3473" t="s">
        <v>1848</v>
      </c>
      <c r="D3473" t="s">
        <v>930</v>
      </c>
      <c r="E3473" s="3" t="str">
        <f>HYPERLINK("https://www.amazon.com/Klein-60471-Protection-Anti-Fog-Resistant/dp/B0B69LNT2Y/ref=sr_1_3?keywords=Klein+Tools+60164+Professional+Safety+Glasses%2C+Full+Frame%2C+Gray+Lens&amp;qid=1695173933&amp;sr=8-3", "https://www.amazon.com/Klein-60471-Protection-Anti-Fog-Resistant/dp/B0B69LNT2Y/ref=sr_1_3?keywords=Klein+Tools+60164+Professional+Safety+Glasses%2C+Full+Frame%2C+Gray+Lens&amp;qid=1695173933&amp;sr=8-3")</f>
        <v>https://www.amazon.com/Klein-60471-Protection-Anti-Fog-Resistant/dp/B0B69LNT2Y/ref=sr_1_3?keywords=Klein+Tools+60164+Professional+Safety+Glasses%2C+Full+Frame%2C+Gray+Lens&amp;qid=1695173933&amp;sr=8-3</v>
      </c>
      <c r="F3473" t="s">
        <v>931</v>
      </c>
      <c r="G3473" t="e">
        <f ca="1">_xludf.IMAGE("https://edmondsonsupply.com/cdn/shop/products/60164.jpg?v=1633030851")</f>
        <v>#NAME?</v>
      </c>
      <c r="H3473" t="e">
        <f ca="1">_xludf.IMAGE("https://m.media-amazon.com/images/I/51z-a2tdJlL._AC_UL320_.jpg")</f>
        <v>#NAME?</v>
      </c>
      <c r="I3473" t="s">
        <v>276</v>
      </c>
      <c r="J3473">
        <v>15.99</v>
      </c>
      <c r="K3473" s="4">
        <v>6.6699999999999995E-2</v>
      </c>
      <c r="L3473">
        <v>4.3</v>
      </c>
      <c r="M3473">
        <v>56</v>
      </c>
      <c r="O3473" t="s">
        <v>25</v>
      </c>
      <c r="P3473" t="s">
        <v>277</v>
      </c>
      <c r="Q3473" t="s">
        <v>1849</v>
      </c>
    </row>
    <row r="3474" spans="1:17" ht="15.5" x14ac:dyDescent="0.35">
      <c r="A3474" s="3" t="str">
        <f>HYPERLINK("https://edmondsonsupply.com/collections/electricians-tools/products/rack-a-tiers-47002-crocs-jr-needle-nose-wire-strippers", "https://edmondsonsupply.com/collections/electricians-tools/products/rack-a-tiers-47002-crocs-jr-needle-nose-wire-strippers")</f>
        <v>https://edmondsonsupply.com/collections/electricians-tools/products/rack-a-tiers-47002-crocs-jr-needle-nose-wire-strippers</v>
      </c>
      <c r="B3474" s="3" t="str">
        <f>HYPERLINK("https://edmondsonsupply.com/products/rack-a-tiers-47002-crocs-jr-needle-nose-wire-strippers", "https://edmondsonsupply.com/products/rack-a-tiers-47002-crocs-jr-needle-nose-wire-strippers")</f>
        <v>https://edmondsonsupply.com/products/rack-a-tiers-47002-crocs-jr-needle-nose-wire-strippers</v>
      </c>
      <c r="C3474" t="s">
        <v>3468</v>
      </c>
      <c r="D3474" t="s">
        <v>4231</v>
      </c>
      <c r="E3474" s="3" t="str">
        <f>HYPERLINK("https://www.amazon.com/Rack-A-Tiers-CECOMINOD033650-47002-Crocs-Jr/dp/B00ZV4JXU8/ref=sr_1_1?keywords=Rack-A-Tiers+47002+Croc%27s+Jr.+Needle+Nose+Wire+Strippers&amp;qid=1695173869&amp;sr=8-1", "https://www.amazon.com/Rack-A-Tiers-CECOMINOD033650-47002-Crocs-Jr/dp/B00ZV4JXU8/ref=sr_1_1?keywords=Rack-A-Tiers+47002+Croc%27s+Jr.+Needle+Nose+Wire+Strippers&amp;qid=1695173869&amp;sr=8-1")</f>
        <v>https://www.amazon.com/Rack-A-Tiers-CECOMINOD033650-47002-Crocs-Jr/dp/B00ZV4JXU8/ref=sr_1_1?keywords=Rack-A-Tiers+47002+Croc%27s+Jr.+Needle+Nose+Wire+Strippers&amp;qid=1695173869&amp;sr=8-1</v>
      </c>
      <c r="F3474" t="s">
        <v>4232</v>
      </c>
      <c r="G3474" t="e">
        <f ca="1">_xludf.IMAGE("https://edmondsonsupply.com/cdn/shop/products/47002-Crocs-Jr-2-1-1-1.png?v=1587142280")</f>
        <v>#NAME?</v>
      </c>
      <c r="H3474" t="e">
        <f ca="1">_xludf.IMAGE("https://m.media-amazon.com/images/I/41nJh9Nus8S._AC_UL320_.jpg")</f>
        <v>#NAME?</v>
      </c>
      <c r="I3474" t="s">
        <v>3471</v>
      </c>
      <c r="J3474">
        <v>23.99</v>
      </c>
      <c r="K3474" s="4">
        <v>6.6699999999999995E-2</v>
      </c>
      <c r="L3474">
        <v>4.5</v>
      </c>
      <c r="M3474">
        <v>252</v>
      </c>
      <c r="O3474" t="s">
        <v>25</v>
      </c>
      <c r="P3474" t="s">
        <v>3472</v>
      </c>
      <c r="Q3474" t="s">
        <v>3473</v>
      </c>
    </row>
    <row r="3475" spans="1:17" ht="15.5" x14ac:dyDescent="0.35">
      <c r="A3475"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3475" s="3" t="str">
        <f>HYPERLINK("https://edmondsonsupply.com/products/klein-tools-d2000-28glw-diagonal-cutting-pliers-hi-viz-8-inch", "https://edmondsonsupply.com/products/klein-tools-d2000-28glw-diagonal-cutting-pliers-hi-viz-8-inch")</f>
        <v>https://edmondsonsupply.com/products/klein-tools-d2000-28glw-diagonal-cutting-pliers-hi-viz-8-inch</v>
      </c>
      <c r="C3475" t="s">
        <v>4233</v>
      </c>
      <c r="D3475" t="s">
        <v>4234</v>
      </c>
      <c r="E3475" s="3" t="str">
        <f>HYPERLINK("https://www.amazon.com/Klein-Tools-J2000-48-Diagonal-Cutters/dp/B0006M6Y8O/ref=sr_1_6?keywords=Klein+Tools+D200028GLW+Diagonal+Cutting+Pliers%2C+High-Visibility%2C+8-Inch&amp;qid=1695173928&amp;sr=8-6", "https://www.amazon.com/Klein-Tools-J2000-48-Diagonal-Cutters/dp/B0006M6Y8O/ref=sr_1_6?keywords=Klein+Tools+D200028GLW+Diagonal+Cutting+Pliers%2C+High-Visibility%2C+8-Inch&amp;qid=1695173928&amp;sr=8-6")</f>
        <v>https://www.amazon.com/Klein-Tools-J2000-48-Diagonal-Cutters/dp/B0006M6Y8O/ref=sr_1_6?keywords=Klein+Tools+D200028GLW+Diagonal+Cutting+Pliers%2C+High-Visibility%2C+8-Inch&amp;qid=1695173928&amp;sr=8-6</v>
      </c>
      <c r="F3475" t="s">
        <v>4235</v>
      </c>
      <c r="G3475" t="e">
        <f ca="1">_xludf.IMAGE("https://edmondsonsupply.com/cdn/shop/products/d200028glw.jpg?v=1633030701")</f>
        <v>#NAME?</v>
      </c>
      <c r="H3475" t="e">
        <f ca="1">_xludf.IMAGE("https://m.media-amazon.com/images/I/41ZnJLE+YFL._AC_UL320_.jpg")</f>
        <v>#NAME?</v>
      </c>
      <c r="I3475" t="s">
        <v>67</v>
      </c>
      <c r="J3475">
        <v>39.99</v>
      </c>
      <c r="K3475" s="4">
        <v>6.6699999999999995E-2</v>
      </c>
      <c r="L3475">
        <v>4.8</v>
      </c>
      <c r="M3475">
        <v>1554</v>
      </c>
      <c r="O3475" t="s">
        <v>25</v>
      </c>
      <c r="P3475" t="s">
        <v>4236</v>
      </c>
      <c r="Q3475" t="s">
        <v>4237</v>
      </c>
    </row>
    <row r="3476" spans="1:17" ht="15.5" x14ac:dyDescent="0.35">
      <c r="A3476"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3476" s="3" t="str">
        <f>HYPERLINK("https://edmondsonsupply.com/products/klein-tools-d2000-28glw-diagonal-cutting-pliers-hi-viz-8-inch", "https://edmondsonsupply.com/products/klein-tools-d2000-28glw-diagonal-cutting-pliers-hi-viz-8-inch")</f>
        <v>https://edmondsonsupply.com/products/klein-tools-d2000-28glw-diagonal-cutting-pliers-hi-viz-8-inch</v>
      </c>
      <c r="C3476" t="s">
        <v>4233</v>
      </c>
      <c r="D3476" t="s">
        <v>4244</v>
      </c>
      <c r="E3476" s="3" t="str">
        <f>HYPERLINK("https://www.amazon.com/Klein-Tools-J248-8-Diagonal-Cutters-Angled/dp/B000CRY52A/ref=sr_1_5?keywords=Klein+Tools+D200028GLW+Diagonal+Cutting+Pliers%2C+High-Visibility%2C+8-Inch&amp;qid=1695173928&amp;sr=8-5", "https://www.amazon.com/Klein-Tools-J248-8-Diagonal-Cutters-Angled/dp/B000CRY52A/ref=sr_1_5?keywords=Klein+Tools+D200028GLW+Diagonal+Cutting+Pliers%2C+High-Visibility%2C+8-Inch&amp;qid=1695173928&amp;sr=8-5")</f>
        <v>https://www.amazon.com/Klein-Tools-J248-8-Diagonal-Cutters-Angled/dp/B000CRY52A/ref=sr_1_5?keywords=Klein+Tools+D200028GLW+Diagonal+Cutting+Pliers%2C+High-Visibility%2C+8-Inch&amp;qid=1695173928&amp;sr=8-5</v>
      </c>
      <c r="F3476" t="s">
        <v>4245</v>
      </c>
      <c r="G3476" t="e">
        <f ca="1">_xludf.IMAGE("https://edmondsonsupply.com/cdn/shop/products/d200028glw.jpg?v=1633030701")</f>
        <v>#NAME?</v>
      </c>
      <c r="H3476" t="e">
        <f ca="1">_xludf.IMAGE("https://m.media-amazon.com/images/I/51AWyzskD+L._AC_UL320_.jpg")</f>
        <v>#NAME?</v>
      </c>
      <c r="I3476" t="s">
        <v>67</v>
      </c>
      <c r="J3476">
        <v>39.97</v>
      </c>
      <c r="K3476" s="4">
        <v>6.6199999999999995E-2</v>
      </c>
      <c r="L3476">
        <v>4.9000000000000004</v>
      </c>
      <c r="M3476">
        <v>490</v>
      </c>
      <c r="O3476" t="s">
        <v>25</v>
      </c>
      <c r="P3476" t="s">
        <v>4236</v>
      </c>
      <c r="Q3476" t="s">
        <v>4237</v>
      </c>
    </row>
    <row r="3477" spans="1:17" ht="15.5" x14ac:dyDescent="0.35">
      <c r="A3477" s="3" t="str">
        <f>HYPERLINK("https://edmondsonsupply.com/collections/electricians-tools/products/klein-tools-56119-illuminated-fish-rod-tip", "https://edmondsonsupply.com/collections/electricians-tools/products/klein-tools-56119-illuminated-fish-rod-tip")</f>
        <v>https://edmondsonsupply.com/collections/electricians-tools/products/klein-tools-56119-illuminated-fish-rod-tip</v>
      </c>
      <c r="B3477" s="3" t="str">
        <f>HYPERLINK("https://edmondsonsupply.com/products/klein-tools-56119-illuminated-fish-rod-tip", "https://edmondsonsupply.com/products/klein-tools-56119-illuminated-fish-rod-tip")</f>
        <v>https://edmondsonsupply.com/products/klein-tools-56119-illuminated-fish-rod-tip</v>
      </c>
      <c r="C3477" t="s">
        <v>6104</v>
      </c>
      <c r="D3477" t="s">
        <v>7747</v>
      </c>
      <c r="E3477" s="3" t="str">
        <f>HYPERLINK("https://www.amazon.com/Pulling-Illuminated-Klein-Tools-56119/dp/B00ABSYVUQ/ref=sr_1_1?keywords=Klein+Tools+56119+Illuminated+Fish+Rod+Tip&amp;qid=1695174323&amp;sr=8-1", "https://www.amazon.com/Pulling-Illuminated-Klein-Tools-56119/dp/B00ABSYVUQ/ref=sr_1_1?keywords=Klein+Tools+56119+Illuminated+Fish+Rod+Tip&amp;qid=1695174323&amp;sr=8-1")</f>
        <v>https://www.amazon.com/Pulling-Illuminated-Klein-Tools-56119/dp/B00ABSYVUQ/ref=sr_1_1?keywords=Klein+Tools+56119+Illuminated+Fish+Rod+Tip&amp;qid=1695174323&amp;sr=8-1</v>
      </c>
      <c r="F3477" t="s">
        <v>7748</v>
      </c>
      <c r="G3477" t="e">
        <f ca="1">_xludf.IMAGE("https://edmondsonsupply.com/cdn/shop/products/56119.jpg?v=1633030794")</f>
        <v>#NAME?</v>
      </c>
      <c r="H3477" t="e">
        <f ca="1">_xludf.IMAGE("https://m.media-amazon.com/images/I/81Xcx0EWw3L._AC_UL320_.jpg")</f>
        <v>#NAME?</v>
      </c>
      <c r="I3477" t="s">
        <v>2577</v>
      </c>
      <c r="J3477">
        <v>10.64</v>
      </c>
      <c r="K3477" s="4">
        <v>6.5100000000000005E-2</v>
      </c>
      <c r="L3477">
        <v>4.3</v>
      </c>
      <c r="M3477">
        <v>713</v>
      </c>
      <c r="O3477" t="s">
        <v>25</v>
      </c>
      <c r="P3477" t="s">
        <v>6105</v>
      </c>
      <c r="Q3477" t="s">
        <v>6106</v>
      </c>
    </row>
    <row r="3478" spans="1:17" ht="15.5" x14ac:dyDescent="0.35">
      <c r="A3478"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3478" s="3" t="str">
        <f>HYPERLINK("https://edmondsonsupply.com/products/fluke-1587-fc-insulation-multimeter", "https://edmondsonsupply.com/products/fluke-1587-fc-insulation-multimeter")</f>
        <v>https://edmondsonsupply.com/products/fluke-1587-fc-insulation-multimeter</v>
      </c>
      <c r="C3478" t="s">
        <v>4074</v>
      </c>
      <c r="D3478" t="s">
        <v>4250</v>
      </c>
      <c r="E3478" s="3" t="str">
        <f>HYPERLINK("https://www.amazon.com/Fluke-Insulation-Multimeter-Telecommunications-Resistance/dp/B0012WTHIQ/ref=sr_1_8?keywords=Fluke+1587+FC+Insulation+Multimeter&amp;qid=1695173858&amp;sr=8-8", "https://www.amazon.com/Fluke-Insulation-Multimeter-Telecommunications-Resistance/dp/B0012WTHIQ/ref=sr_1_8?keywords=Fluke+1587+FC+Insulation+Multimeter&amp;qid=1695173858&amp;sr=8-8")</f>
        <v>https://www.amazon.com/Fluke-Insulation-Multimeter-Telecommunications-Resistance/dp/B0012WTHIQ/ref=sr_1_8?keywords=Fluke+1587+FC+Insulation+Multimeter&amp;qid=1695173858&amp;sr=8-8</v>
      </c>
      <c r="F3478" t="s">
        <v>4251</v>
      </c>
      <c r="G3478" t="e">
        <f ca="1">_xludf.IMAGE("https://edmondsonsupply.com/cdn/shop/products/Fluke_1587_FC_True-rms_Insulation_Multimeter__1280x1006px_E_NR-20298.jpg?v=1633031188")</f>
        <v>#NAME?</v>
      </c>
      <c r="H3478" t="e">
        <f ca="1">_xludf.IMAGE("https://m.media-amazon.com/images/I/91ygwKv9dWL._AC_UL320_.jpg")</f>
        <v>#NAME?</v>
      </c>
      <c r="I3478" t="s">
        <v>4077</v>
      </c>
      <c r="J3478">
        <v>989.99</v>
      </c>
      <c r="K3478" s="4">
        <v>6.4500000000000002E-2</v>
      </c>
      <c r="L3478">
        <v>5</v>
      </c>
      <c r="M3478">
        <v>1</v>
      </c>
      <c r="O3478" t="s">
        <v>25</v>
      </c>
      <c r="P3478" t="s">
        <v>4078</v>
      </c>
      <c r="Q3478" t="s">
        <v>4079</v>
      </c>
    </row>
    <row r="3479" spans="1:17" ht="15.5" x14ac:dyDescent="0.35">
      <c r="A3479"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3479"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3479" t="s">
        <v>2344</v>
      </c>
      <c r="D3479" t="s">
        <v>3163</v>
      </c>
      <c r="E3479" s="3" t="str">
        <f>HYPERLINK("https://www.amazon.com/Journeyman-T-Handle-Klein-Tools-JTH9E14/dp/B004QVAH4I/ref=sr_1_3?keywords=Klein+Tools+JTH6E14+5%2F16-Inch+Hex+Key+with+Journeyman+T-Handle%2C+6-Inch&amp;qid=1695173855&amp;sr=8-3", "https://www.amazon.com/Journeyman-T-Handle-Klein-Tools-JTH9E14/dp/B004QVAH4I/ref=sr_1_3?keywords=Klein+Tools+JTH6E14+5%2F16-Inch+Hex+Key+with+Journeyman+T-Handle%2C+6-Inch&amp;qid=1695173855&amp;sr=8-3")</f>
        <v>https://www.amazon.com/Journeyman-T-Handle-Klein-Tools-JTH9E14/dp/B004QVAH4I/ref=sr_1_3?keywords=Klein+Tools+JTH6E14+5%2F16-Inch+Hex+Key+with+Journeyman+T-Handle%2C+6-Inch&amp;qid=1695173855&amp;sr=8-3</v>
      </c>
      <c r="F3479" t="s">
        <v>3164</v>
      </c>
      <c r="G3479" t="e">
        <f ca="1">_xludf.IMAGE("https://edmondsonsupply.com/cdn/shop/products/jth6e15.jpg?v=1587148489")</f>
        <v>#NAME?</v>
      </c>
      <c r="H3479" t="e">
        <f ca="1">_xludf.IMAGE("https://m.media-amazon.com/images/I/51Yb8h41vLL._AC_UL320_.jpg")</f>
        <v>#NAME?</v>
      </c>
      <c r="I3479" t="s">
        <v>2347</v>
      </c>
      <c r="J3479">
        <v>7.44</v>
      </c>
      <c r="K3479" s="4">
        <v>6.4399999999999999E-2</v>
      </c>
      <c r="L3479">
        <v>4.8</v>
      </c>
      <c r="M3479">
        <v>114</v>
      </c>
      <c r="O3479" t="s">
        <v>25</v>
      </c>
      <c r="P3479" t="s">
        <v>1140</v>
      </c>
      <c r="Q3479" t="s">
        <v>2348</v>
      </c>
    </row>
    <row r="3480" spans="1:17" ht="15.5" x14ac:dyDescent="0.35">
      <c r="A3480" s="3" t="str">
        <f>HYPERLINK("https://edmondsonsupply.com/collections/electricians-tools/products/diablo-tools-dmamx1220", "https://edmondsonsupply.com/collections/electricians-tools/products/diablo-tools-dmamx1220")</f>
        <v>https://edmondsonsupply.com/collections/electricians-tools/products/diablo-tools-dmamx1220</v>
      </c>
      <c r="B3480" s="3" t="str">
        <f>HYPERLINK("https://edmondsonsupply.com/products/diablo-tools-dmamx1220", "https://edmondsonsupply.com/products/diablo-tools-dmamx1220")</f>
        <v>https://edmondsonsupply.com/products/diablo-tools-dmamx1220</v>
      </c>
      <c r="C3480" t="s">
        <v>7454</v>
      </c>
      <c r="D3480" t="s">
        <v>5388</v>
      </c>
      <c r="E3480" s="3" t="str">
        <f>HYPERLINK("https://www.amazon.com/Diablo-DMAPL4310-SDS-Plus-4-Cutter-Carbide/dp/B089KX2VKR/ref=sr_1_7?keywords=Diablo+Tools+DMAMX1220+1+in.+x+16+in.+x+21+in.+Rebar+Demon%E2%84%A2+SDS-Max+4-Cutter+Full+Carbide+Head+Hammer+Drill+Bit&amp;qid=1695174109&amp;sr=8-7", "https://www.amazon.com/Diablo-DMAPL4310-SDS-Plus-4-Cutter-Carbide/dp/B089KX2VKR/ref=sr_1_7?keywords=Diablo+Tools+DMAMX1220+1+in.+x+16+in.+x+21+in.+Rebar+Demon%E2%84%A2+SDS-Max+4-Cutter+Full+Carbide+Head+Hammer+Drill+Bit&amp;qid=1695174109&amp;sr=8-7")</f>
        <v>https://www.amazon.com/Diablo-DMAPL4310-SDS-Plus-4-Cutter-Carbide/dp/B089KX2VKR/ref=sr_1_7?keywords=Diablo+Tools+DMAMX1220+1+in.+x+16+in.+x+21+in.+Rebar+Demon%E2%84%A2+SDS-Max+4-Cutter+Full+Carbide+Head+Hammer+Drill+Bit&amp;qid=1695174109&amp;sr=8-7</v>
      </c>
      <c r="F3480" t="s">
        <v>5389</v>
      </c>
      <c r="G3480" t="e">
        <f ca="1">_xludf.IMAGE("https://edmondsonsupply.com/cdn/shop/products/immoyh7jjmbau4fzhuq6.webp?v=1670431066")</f>
        <v>#NAME?</v>
      </c>
      <c r="H3480" t="e">
        <f ca="1">_xludf.IMAGE("https://m.media-amazon.com/images/I/61iwxfqG2VL._AC_UL320_.jpg")</f>
        <v>#NAME?</v>
      </c>
      <c r="I3480" t="s">
        <v>7455</v>
      </c>
      <c r="J3480">
        <v>48.49</v>
      </c>
      <c r="K3480" s="4">
        <v>6.13E-2</v>
      </c>
      <c r="L3480">
        <v>4.5</v>
      </c>
      <c r="M3480">
        <v>32</v>
      </c>
      <c r="O3480" t="s">
        <v>25</v>
      </c>
      <c r="P3480" t="s">
        <v>7456</v>
      </c>
      <c r="Q3480" t="s">
        <v>7457</v>
      </c>
    </row>
    <row r="3481" spans="1:17" ht="15.5" x14ac:dyDescent="0.35">
      <c r="A3481" s="3" t="str">
        <f>HYPERLINK("https://edmondsonsupply.com/collections/electricians-tools/products/uniweld-70022", "https://edmondsonsupply.com/collections/electricians-tools/products/uniweld-70022")</f>
        <v>https://edmondsonsupply.com/collections/electricians-tools/products/uniweld-70022</v>
      </c>
      <c r="B3481" s="3" t="str">
        <f>HYPERLINK("https://edmondsonsupply.com/products/uniweld-70022", "https://edmondsonsupply.com/products/uniweld-70022")</f>
        <v>https://edmondsonsupply.com/products/uniweld-70022</v>
      </c>
      <c r="C3481" t="s">
        <v>3613</v>
      </c>
      <c r="D3481" t="s">
        <v>151</v>
      </c>
      <c r="E3481" s="3" t="str">
        <f>HYPERLINK("https://www.amazon.com/Uniweld-DHW316/dp/B00ECC6DR6/ref=sr_1_2?keywords=Uniweld+70022+Ratchet+Service+Wrench%2B&amp;qid=1695173884&amp;sr=8-2", "https://www.amazon.com/Uniweld-DHW316/dp/B00ECC6DR6/ref=sr_1_2?keywords=Uniweld+70022+Ratchet+Service+Wrench%2B&amp;qid=1695173884&amp;sr=8-2")</f>
        <v>https://www.amazon.com/Uniweld-DHW316/dp/B00ECC6DR6/ref=sr_1_2?keywords=Uniweld+70022+Ratchet+Service+Wrench%2B&amp;qid=1695173884&amp;sr=8-2</v>
      </c>
      <c r="F3481" t="s">
        <v>152</v>
      </c>
      <c r="G3481" t="e">
        <f ca="1">_xludf.IMAGE("https://edmondsonsupply.com/cdn/shop/products/70022_pkg.jpg?v=1656082349")</f>
        <v>#NAME?</v>
      </c>
      <c r="H3481" t="e">
        <f ca="1">_xludf.IMAGE("https://m.media-amazon.com/images/I/61AUWm45d4L._AC_UL320_.jpg")</f>
        <v>#NAME?</v>
      </c>
      <c r="I3481" t="s">
        <v>3616</v>
      </c>
      <c r="J3481">
        <v>14.19</v>
      </c>
      <c r="K3481" s="4">
        <v>5.9700000000000003E-2</v>
      </c>
      <c r="L3481">
        <v>3.9</v>
      </c>
      <c r="M3481">
        <v>26</v>
      </c>
      <c r="O3481" t="s">
        <v>25</v>
      </c>
      <c r="P3481" t="s">
        <v>3617</v>
      </c>
      <c r="Q3481" t="s">
        <v>3618</v>
      </c>
    </row>
    <row r="3482" spans="1:17" ht="15.5" x14ac:dyDescent="0.35">
      <c r="A3482"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3482" s="3" t="str">
        <f>HYPERLINK("https://edmondsonsupply.com/products/milwaukee-49-56-0505-1-4-diamond-max%e2%84%a2-hole-saw", "https://edmondsonsupply.com/products/milwaukee-49-56-0505-1-4-diamond-max%e2%84%a2-hole-saw")</f>
        <v>https://edmondsonsupply.com/products/milwaukee-49-56-0505-1-4-diamond-max%e2%84%a2-hole-saw</v>
      </c>
      <c r="C3482" t="s">
        <v>6614</v>
      </c>
      <c r="D3482" t="s">
        <v>7749</v>
      </c>
      <c r="E3482" s="3" t="str">
        <f>HYPERLINK("https://www.amazon.com/Milwaukee-49-56-5620-1-1-Diamond-Hole/dp/B00KXURDC0/ref=sr_1_5?keywords=Milwaukee+49-56-0505+1%2F4%22+Diamond+MAX%E2%84%A2+Hole+Saw&amp;qid=1695174028&amp;sr=8-5", "https://www.amazon.com/Milwaukee-49-56-5620-1-1-Diamond-Hole/dp/B00KXURDC0/ref=sr_1_5?keywords=Milwaukee+49-56-0505+1%2F4%22+Diamond+MAX%E2%84%A2+Hole+Saw&amp;qid=1695174028&amp;sr=8-5")</f>
        <v>https://www.amazon.com/Milwaukee-49-56-5620-1-1-Diamond-Hole/dp/B00KXURDC0/ref=sr_1_5?keywords=Milwaukee+49-56-0505+1%2F4%22+Diamond+MAX%E2%84%A2+Hole+Saw&amp;qid=1695174028&amp;sr=8-5</v>
      </c>
      <c r="F3482" t="s">
        <v>7750</v>
      </c>
      <c r="G3482" t="e">
        <f ca="1">_xludf.IMAGE("https://edmondsonsupply.com/cdn/shop/products/49-56-0507_1.png?v=1680111300")</f>
        <v>#NAME?</v>
      </c>
      <c r="H3482" t="e">
        <f ca="1">_xludf.IMAGE("https://m.media-amazon.com/images/I/711w3u20qmL._AC_UL320_.jpg")</f>
        <v>#NAME?</v>
      </c>
      <c r="I3482" t="s">
        <v>577</v>
      </c>
      <c r="J3482">
        <v>21.18</v>
      </c>
      <c r="K3482" s="4">
        <v>5.9499999999999997E-2</v>
      </c>
      <c r="L3482">
        <v>4.5999999999999996</v>
      </c>
      <c r="M3482">
        <v>16</v>
      </c>
      <c r="O3482" t="s">
        <v>25</v>
      </c>
      <c r="P3482" t="s">
        <v>6617</v>
      </c>
      <c r="Q3482" t="s">
        <v>6618</v>
      </c>
    </row>
    <row r="3483" spans="1:17" ht="15.5" x14ac:dyDescent="0.35">
      <c r="A3483"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3483" s="3" t="str">
        <f>HYPERLINK("https://edmondsonsupply.com/products/diablo-tools-dsp2130-p2-1-in-x-6-in-spade-bit", "https://edmondsonsupply.com/products/diablo-tools-dsp2130-p2-1-in-x-6-in-spade-bit")</f>
        <v>https://edmondsonsupply.com/products/diablo-tools-dsp2130-p2-1-in-x-6-in-spade-bit</v>
      </c>
      <c r="C3483" t="s">
        <v>7211</v>
      </c>
      <c r="D3483" t="s">
        <v>7751</v>
      </c>
      <c r="E3483" s="3" t="str">
        <f>HYPERLINK("https://www.amazon.com/Diablo-1-1-SPEEDemon-Spade-Bit/dp/B089KWPYC8/ref=sr_1_3?keywords=Diablo+Tools+DSP2130-P2+1+in.+x+6+in.+Spade+Bit&amp;qid=1695174112&amp;sr=8-3", "https://www.amazon.com/Diablo-1-1-SPEEDemon-Spade-Bit/dp/B089KWPYC8/ref=sr_1_3?keywords=Diablo+Tools+DSP2130-P2+1+in.+x+6+in.+Spade+Bit&amp;qid=1695174112&amp;sr=8-3")</f>
        <v>https://www.amazon.com/Diablo-1-1-SPEEDemon-Spade-Bit/dp/B089KWPYC8/ref=sr_1_3?keywords=Diablo+Tools+DSP2130-P2+1+in.+x+6+in.+Spade+Bit&amp;qid=1695174112&amp;sr=8-3</v>
      </c>
      <c r="F3483" t="s">
        <v>7752</v>
      </c>
      <c r="G3483" t="e">
        <f ca="1">_xludf.IMAGE("https://edmondsonsupply.com/cdn/shop/products/peyjwqlntvnioikkr5be.webp?v=1670515689")</f>
        <v>#NAME?</v>
      </c>
      <c r="H3483" t="e">
        <f ca="1">_xludf.IMAGE("https://m.media-amazon.com/images/I/61mOtHPCpLL._AC_UL320_.jpg")</f>
        <v>#NAME?</v>
      </c>
      <c r="I3483" t="s">
        <v>7212</v>
      </c>
      <c r="J3483">
        <v>6.77</v>
      </c>
      <c r="K3483" s="4">
        <v>5.9499999999999997E-2</v>
      </c>
      <c r="L3483">
        <v>4.0999999999999996</v>
      </c>
      <c r="M3483">
        <v>12</v>
      </c>
      <c r="O3483" t="s">
        <v>25</v>
      </c>
      <c r="P3483" t="s">
        <v>138</v>
      </c>
      <c r="Q3483" t="s">
        <v>7213</v>
      </c>
    </row>
    <row r="3484" spans="1:17" ht="15.5" x14ac:dyDescent="0.35">
      <c r="A3484"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3484" s="3" t="str">
        <f>HYPERLINK("https://edmondsonsupply.com/products/diablo-tools-dag3090-7-8-in-x-17-1-2-in-auger-bit", "https://edmondsonsupply.com/products/diablo-tools-dag3090-7-8-in-x-17-1-2-in-auger-bit")</f>
        <v>https://edmondsonsupply.com/products/diablo-tools-dag3090-7-8-in-x-17-1-2-in-auger-bit</v>
      </c>
      <c r="C3484" t="s">
        <v>7269</v>
      </c>
      <c r="D3484" t="s">
        <v>7133</v>
      </c>
      <c r="E3484" s="3" t="str">
        <f>HYPERLINK("https://www.amazon.com/Diablo-Freud-DAG3050-17-1-Auger/dp/B089KWL81X/ref=sr_1_3?keywords=Diablo+Tools+DAG3090+7%2F8+in.+x+17-1%2F2+in.+Auger+Bit&amp;qid=1695174065&amp;sr=8-3", "https://www.amazon.com/Diablo-Freud-DAG3050-17-1-Auger/dp/B089KWL81X/ref=sr_1_3?keywords=Diablo+Tools+DAG3090+7%2F8+in.+x+17-1%2F2+in.+Auger+Bit&amp;qid=1695174065&amp;sr=8-3")</f>
        <v>https://www.amazon.com/Diablo-Freud-DAG3050-17-1-Auger/dp/B089KWL81X/ref=sr_1_3?keywords=Diablo+Tools+DAG3090+7%2F8+in.+x+17-1%2F2+in.+Auger+Bit&amp;qid=1695174065&amp;sr=8-3</v>
      </c>
      <c r="F3484" t="s">
        <v>7134</v>
      </c>
      <c r="G3484" t="e">
        <f ca="1">_xludf.IMAGE("https://edmondsonsupply.com/cdn/shop/products/aorgtpkivjubhtbiiau0.webp?v=1677256849")</f>
        <v>#NAME?</v>
      </c>
      <c r="H3484" t="e">
        <f ca="1">_xludf.IMAGE("https://m.media-amazon.com/images/I/61DWkFmOdeL._AC_UL320_.jpg")</f>
        <v>#NAME?</v>
      </c>
      <c r="I3484" t="s">
        <v>1589</v>
      </c>
      <c r="J3484">
        <v>24.35</v>
      </c>
      <c r="K3484" s="4">
        <v>5.9200000000000003E-2</v>
      </c>
      <c r="L3484">
        <v>4.3</v>
      </c>
      <c r="M3484">
        <v>20</v>
      </c>
      <c r="O3484" t="s">
        <v>25</v>
      </c>
      <c r="P3484" t="s">
        <v>7270</v>
      </c>
      <c r="Q3484" t="s">
        <v>7271</v>
      </c>
    </row>
    <row r="3485" spans="1:17" ht="15.5" x14ac:dyDescent="0.35">
      <c r="A3485" s="3" t="str">
        <f>HYPERLINK("https://edmondsonsupply.com/collections/electricians-tools/products/klein-tools-450-320-cable-and-wire-management-sleeves-1-25-inch-diameter-3-foot-long", "https://edmondsonsupply.com/collections/electricians-tools/products/klein-tools-450-320-cable-and-wire-management-sleeves-1-25-inch-diameter-3-foot-long")</f>
        <v>https://edmondsonsupply.com/collections/electricians-tools/products/klein-tools-450-320-cable-and-wire-management-sleeves-1-25-inch-diameter-3-foot-long</v>
      </c>
      <c r="B3485" s="3" t="str">
        <f>HYPERLINK("https://edmondsonsupply.com/products/klein-tools-450-320-cable-and-wire-management-sleeves-1-25-inch-diameter-3-foot-long", "https://edmondsonsupply.com/products/klein-tools-450-320-cable-and-wire-management-sleeves-1-25-inch-diameter-3-foot-long")</f>
        <v>https://edmondsonsupply.com/products/klein-tools-450-320-cable-and-wire-management-sleeves-1-25-inch-diameter-3-foot-long</v>
      </c>
      <c r="C3485" t="s">
        <v>7753</v>
      </c>
      <c r="D3485" t="s">
        <v>7754</v>
      </c>
      <c r="E3485" s="3" t="str">
        <f>HYPERLINK("https://www.amazon.com/Klein-Tools-450-320-Management-Diameter/dp/B092X37WSG/ref=sr_1_1?keywords=Klein+Tools+450-320+Cable+and+Wire+Management+Sleeves%2C1.25-Inch+Diameter%2C+3-Foot+Long&amp;qid=1695174153&amp;sr=8-1", "https://www.amazon.com/Klein-Tools-450-320-Management-Diameter/dp/B092X37WSG/ref=sr_1_1?keywords=Klein+Tools+450-320+Cable+and+Wire+Management+Sleeves%2C1.25-Inch+Diameter%2C+3-Foot+Long&amp;qid=1695174153&amp;sr=8-1")</f>
        <v>https://www.amazon.com/Klein-Tools-450-320-Management-Diameter/dp/B092X37WSG/ref=sr_1_1?keywords=Klein+Tools+450-320+Cable+and+Wire+Management+Sleeves%2C1.25-Inch+Diameter%2C+3-Foot+Long&amp;qid=1695174153&amp;sr=8-1</v>
      </c>
      <c r="F3485" t="s">
        <v>7755</v>
      </c>
      <c r="G3485" t="e">
        <f ca="1">_xludf.IMAGE("https://edmondsonsupply.com/cdn/shop/products/450320.jpg?v=1663947996")</f>
        <v>#NAME?</v>
      </c>
      <c r="H3485" t="e">
        <f ca="1">_xludf.IMAGE("https://m.media-amazon.com/images/I/51WO50-hkcL._AC_UY218_.jpg")</f>
        <v>#NAME?</v>
      </c>
      <c r="I3485" t="s">
        <v>834</v>
      </c>
      <c r="J3485">
        <v>13.74</v>
      </c>
      <c r="K3485" s="4">
        <v>5.7700000000000001E-2</v>
      </c>
      <c r="L3485">
        <v>5</v>
      </c>
      <c r="M3485">
        <v>1</v>
      </c>
      <c r="O3485" t="s">
        <v>25</v>
      </c>
      <c r="P3485" t="s">
        <v>878</v>
      </c>
      <c r="Q3485" t="s">
        <v>7756</v>
      </c>
    </row>
    <row r="3486" spans="1:17" ht="15.5" x14ac:dyDescent="0.35">
      <c r="A3486" s="3" t="str">
        <f>HYPERLINK("https://edmondsonsupply.com/collections/electricians-tools/products/uei-dl589-600a-trms-clamp-meter-w-dc-amps-inrush-magnet", "https://edmondsonsupply.com/collections/electricians-tools/products/uei-dl589-600a-trms-clamp-meter-w-dc-amps-inrush-magnet")</f>
        <v>https://edmondsonsupply.com/collections/electricians-tools/products/uei-dl589-600a-trms-clamp-meter-w-dc-amps-inrush-magnet</v>
      </c>
      <c r="B3486" s="3" t="str">
        <f>HYPERLINK("https://edmondsonsupply.com/products/uei-dl589-600a-trms-clamp-meter-w-dc-amps-inrush-magnet", "https://edmondsonsupply.com/products/uei-dl589-600a-trms-clamp-meter-w-dc-amps-inrush-magnet")</f>
        <v>https://edmondsonsupply.com/products/uei-dl589-600a-trms-clamp-meter-w-dc-amps-inrush-magnet</v>
      </c>
      <c r="C3486" t="s">
        <v>7757</v>
      </c>
      <c r="D3486" t="s">
        <v>7758</v>
      </c>
      <c r="E3486" s="3" t="str">
        <f>HYPERLINK("https://www.amazon.com/UEi-DL589-600A-Clamp-Inrush-Magnet/dp/B0BCVNJ8KW/ref=sr_1_2?keywords=UEi+DL589+600A+TRMS+Clamp+Meter+w%2F+DC+Amps%2C+Inrush%2C+Magnet&amp;qid=1695174207&amp;sr=8-2", "https://www.amazon.com/UEi-DL589-600A-Clamp-Inrush-Magnet/dp/B0BCVNJ8KW/ref=sr_1_2?keywords=UEi+DL589+600A+TRMS+Clamp+Meter+w%2F+DC+Amps%2C+Inrush%2C+Magnet&amp;qid=1695174207&amp;sr=8-2")</f>
        <v>https://www.amazon.com/UEi-DL589-600A-Clamp-Inrush-Magnet/dp/B0BCVNJ8KW/ref=sr_1_2?keywords=UEi+DL589+600A+TRMS+Clamp+Meter+w%2F+DC+Amps%2C+Inrush%2C+Magnet&amp;qid=1695174207&amp;sr=8-2</v>
      </c>
      <c r="F3486" t="s">
        <v>7759</v>
      </c>
      <c r="G3486" t="e">
        <f ca="1">_xludf.IMAGE("https://edmondsonsupply.com/cdn/shop/products/DL589_PP_A.png?v=1654035509")</f>
        <v>#NAME?</v>
      </c>
      <c r="H3486" t="e">
        <f ca="1">_xludf.IMAGE("https://m.media-amazon.com/images/I/41hAo1NFGGL._AC_UY218_.jpg")</f>
        <v>#NAME?</v>
      </c>
      <c r="I3486" t="s">
        <v>7760</v>
      </c>
      <c r="J3486">
        <v>215.33</v>
      </c>
      <c r="K3486" s="4">
        <v>5.57E-2</v>
      </c>
      <c r="L3486">
        <v>5</v>
      </c>
      <c r="M3486">
        <v>1</v>
      </c>
      <c r="O3486" t="s">
        <v>25</v>
      </c>
      <c r="P3486" t="s">
        <v>7761</v>
      </c>
      <c r="Q3486" t="s">
        <v>7762</v>
      </c>
    </row>
    <row r="3487" spans="1:17" ht="15.5" x14ac:dyDescent="0.35">
      <c r="A3487"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3487" s="3" t="str">
        <f>HYPERLINK("https://edmondsonsupply.com/products/klein-tools-s8m-1-4-inch-magnetic-nut-driver-3-inch-shank", "https://edmondsonsupply.com/products/klein-tools-s8m-1-4-inch-magnetic-nut-driver-3-inch-shank")</f>
        <v>https://edmondsonsupply.com/products/klein-tools-s8m-1-4-inch-magnetic-nut-driver-3-inch-shank</v>
      </c>
      <c r="C3487" t="s">
        <v>3809</v>
      </c>
      <c r="D3487" t="s">
        <v>3884</v>
      </c>
      <c r="E3487" s="3" t="str">
        <f>HYPERLINK("https://www.amazon.com/Magnetic-Cushion-Klein-610-1-4M/dp/B00093GE3A/ref=sr_1_6?keywords=Klein+Tools+S8M+1%2F4-Inch+Magnetic+Nut+Driver+3-Inch+Shank&amp;qid=1695174041&amp;sr=8-6", "https://www.amazon.com/Magnetic-Cushion-Klein-610-1-4M/dp/B00093GE3A/ref=sr_1_6?keywords=Klein+Tools+S8M+1%2F4-Inch+Magnetic+Nut+Driver+3-Inch+Shank&amp;qid=1695174041&amp;sr=8-6")</f>
        <v>https://www.amazon.com/Magnetic-Cushion-Klein-610-1-4M/dp/B00093GE3A/ref=sr_1_6?keywords=Klein+Tools+S8M+1%2F4-Inch+Magnetic+Nut+Driver+3-Inch+Shank&amp;qid=1695174041&amp;sr=8-6</v>
      </c>
      <c r="F3487" t="s">
        <v>3885</v>
      </c>
      <c r="G3487" t="e">
        <f ca="1">_xludf.IMAGE("https://edmondsonsupply.com/cdn/shop/products/s8m.jpg?v=1633030818")</f>
        <v>#NAME?</v>
      </c>
      <c r="H3487" t="e">
        <f ca="1">_xludf.IMAGE("https://m.media-amazon.com/images/I/41piyjqJVeL._AC_UL320_.jpg")</f>
        <v>#NAME?</v>
      </c>
      <c r="I3487" t="s">
        <v>924</v>
      </c>
      <c r="J3487">
        <v>9.49</v>
      </c>
      <c r="K3487" s="4">
        <v>5.5599999999999997E-2</v>
      </c>
      <c r="L3487">
        <v>4.8</v>
      </c>
      <c r="M3487">
        <v>260</v>
      </c>
      <c r="O3487" t="s">
        <v>25</v>
      </c>
      <c r="P3487" t="s">
        <v>3812</v>
      </c>
      <c r="Q3487" t="s">
        <v>3813</v>
      </c>
    </row>
    <row r="3488" spans="1:17" ht="15.5" x14ac:dyDescent="0.35">
      <c r="A3488"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3488" s="3" t="str">
        <f>HYPERLINK("https://edmondsonsupply.com/products/klein-tools-605-4-1-4-inch-cabinet-tip-screwdriver-4-inch-shank", "https://edmondsonsupply.com/products/klein-tools-605-4-1-4-inch-cabinet-tip-screwdriver-4-inch-shank")</f>
        <v>https://edmondsonsupply.com/products/klein-tools-605-4-1-4-inch-cabinet-tip-screwdriver-4-inch-shank</v>
      </c>
      <c r="C3488" t="s">
        <v>6418</v>
      </c>
      <c r="D3488" t="s">
        <v>5516</v>
      </c>
      <c r="E3488" s="3" t="str">
        <f>HYPERLINK("https://www.amazon.com/Keystone-Tip-Screwdriver-Round-Shank-Klein-602-4/dp/B0000302WD/ref=sr_1_3?keywords=Klein+Tools+605-4+1%2F4-Inch+Cabinet+Tip+Screwdriver+4-Inch+Shank&amp;qid=1695174135&amp;sr=8-3", "https://www.amazon.com/Keystone-Tip-Screwdriver-Round-Shank-Klein-602-4/dp/B0000302WD/ref=sr_1_3?keywords=Klein+Tools+605-4+1%2F4-Inch+Cabinet+Tip+Screwdriver+4-Inch+Shank&amp;qid=1695174135&amp;sr=8-3")</f>
        <v>https://www.amazon.com/Keystone-Tip-Screwdriver-Round-Shank-Klein-602-4/dp/B0000302WD/ref=sr_1_3?keywords=Klein+Tools+605-4+1%2F4-Inch+Cabinet+Tip+Screwdriver+4-Inch+Shank&amp;qid=1695174135&amp;sr=8-3</v>
      </c>
      <c r="F3488" t="s">
        <v>5517</v>
      </c>
      <c r="G3488" t="e">
        <f ca="1">_xludf.IMAGE("https://edmondsonsupply.com/cdn/shop/products/605-6_ac5e56ca-920d-4d55-842f-c7dc8361f892.jpg?v=1665688377")</f>
        <v>#NAME?</v>
      </c>
      <c r="H3488" t="e">
        <f ca="1">_xludf.IMAGE("https://m.media-amazon.com/images/I/51BHg1CmntL._AC_UL320_.jpg")</f>
        <v>#NAME?</v>
      </c>
      <c r="I3488" t="s">
        <v>924</v>
      </c>
      <c r="J3488">
        <v>9.49</v>
      </c>
      <c r="K3488" s="4">
        <v>5.5599999999999997E-2</v>
      </c>
      <c r="L3488">
        <v>4.8</v>
      </c>
      <c r="M3488">
        <v>879</v>
      </c>
      <c r="O3488" t="s">
        <v>25</v>
      </c>
      <c r="P3488" t="s">
        <v>6421</v>
      </c>
      <c r="Q3488" t="s">
        <v>6422</v>
      </c>
    </row>
    <row r="3489" spans="1:17" ht="15.5" x14ac:dyDescent="0.35">
      <c r="A3489"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3489"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3489" t="s">
        <v>6827</v>
      </c>
      <c r="D3489" t="s">
        <v>3170</v>
      </c>
      <c r="E3489" s="3" t="str">
        <f>HYPERLINK("https://www.amazon.com/Diablo-SDS-Max-4-Cutter-Carbide-Tipped-Hammer/dp/B089KXF4R5/ref=sr_1_1?keywords=Diablo+Tools+DMAMX1360+1-1%2F2+in.+x+16+in.+x+21+in.+Rebar+Demon%E2%84%A2+SDS-Max+4-Cutter+Carbide-Tipped+Hammer+Drill+Bit&amp;qid=1695174071&amp;sr=8-1", "https://www.amazon.com/Diablo-SDS-Max-4-Cutter-Carbide-Tipped-Hammer/dp/B089KXF4R5/ref=sr_1_1?keywords=Diablo+Tools+DMAMX1360+1-1%2F2+in.+x+16+in.+x+21+in.+Rebar+Demon%E2%84%A2+SDS-Max+4-Cutter+Carbide-Tipped+Hammer+Drill+Bit&amp;qid=1695174071&amp;sr=8-1")</f>
        <v>https://www.amazon.com/Diablo-SDS-Max-4-Cutter-Carbide-Tipped-Hammer/dp/B089KXF4R5/ref=sr_1_1?keywords=Diablo+Tools+DMAMX1360+1-1%2F2+in.+x+16+in.+x+21+in.+Rebar+Demon%E2%84%A2+SDS-Max+4-Cutter+Carbide-Tipped+Hammer+Drill+Bit&amp;qid=1695174071&amp;sr=8-1</v>
      </c>
      <c r="F3489" t="s">
        <v>3171</v>
      </c>
      <c r="G3489" t="e">
        <f ca="1">_xludf.IMAGE("https://edmondsonsupply.com/cdn/shop/products/z2umcsdaj3y4uvsfnxoh.webp?v=1677257156")</f>
        <v>#NAME?</v>
      </c>
      <c r="H3489" t="e">
        <f ca="1">_xludf.IMAGE("https://m.media-amazon.com/images/I/61MTkJ-cWaL._AC_UL320_.jpg")</f>
        <v>#NAME?</v>
      </c>
      <c r="I3489" t="s">
        <v>6830</v>
      </c>
      <c r="J3489">
        <v>98.99</v>
      </c>
      <c r="K3489" s="4">
        <v>5.45E-2</v>
      </c>
      <c r="L3489">
        <v>5</v>
      </c>
      <c r="M3489">
        <v>5</v>
      </c>
      <c r="O3489" t="s">
        <v>25</v>
      </c>
      <c r="P3489" t="s">
        <v>6831</v>
      </c>
      <c r="Q3489" t="s">
        <v>6832</v>
      </c>
    </row>
    <row r="3490" spans="1:17" ht="15.5" x14ac:dyDescent="0.35">
      <c r="A3490"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3490"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3490" t="s">
        <v>2903</v>
      </c>
      <c r="D3490" t="s">
        <v>4269</v>
      </c>
      <c r="E3490" s="3" t="str">
        <f>HYPERLINK("https://www.amazon.com/Diablo-Freud-DMAMX1300-4-Cutter-Carbide-Tipped/dp/B089KX2QSQ/ref=sr_1_2?keywords=Diablo+Tools+DMAMX1300+1-1%2F4+in.+x+16+in.+x+21+in.+Rebar+Demon%E2%84%A2+SDS-Max+4-Cutter+Full+Carbide+Head+Hammer+Drill+Bit&amp;qid=1695173871&amp;sr=8-2", "https://www.amazon.com/Diablo-Freud-DMAMX1300-4-Cutter-Carbide-Tipped/dp/B089KX2QSQ/ref=sr_1_2?keywords=Diablo+Tools+DMAMX1300+1-1%2F4+in.+x+16+in.+x+21+in.+Rebar+Demon%E2%84%A2+SDS-Max+4-Cutter+Full+Carbide+Head+Hammer+Drill+Bit&amp;qid=1695173871&amp;sr=8-2")</f>
        <v>https://www.amazon.com/Diablo-Freud-DMAMX1300-4-Cutter-Carbide-Tipped/dp/B089KX2QSQ/ref=sr_1_2?keywords=Diablo+Tools+DMAMX1300+1-1%2F4+in.+x+16+in.+x+21+in.+Rebar+Demon%E2%84%A2+SDS-Max+4-Cutter+Full+Carbide+Head+Hammer+Drill+Bit&amp;qid=1695173871&amp;sr=8-2</v>
      </c>
      <c r="F3490" t="s">
        <v>4270</v>
      </c>
      <c r="G3490" t="e">
        <f ca="1">_xludf.IMAGE("https://edmondsonsupply.com/cdn/shop/files/immoyh7jjmbau4fzhuq6_7dd7fd73-2865-4c12-9443-da45b48dbd51.webp?v=1685465465")</f>
        <v>#NAME?</v>
      </c>
      <c r="H3490" t="e">
        <f ca="1">_xludf.IMAGE("https://m.media-amazon.com/images/I/61pgqdG9SfL._AC_UL320_.jpg")</f>
        <v>#NAME?</v>
      </c>
      <c r="I3490" t="s">
        <v>2906</v>
      </c>
      <c r="J3490">
        <v>70</v>
      </c>
      <c r="K3490" s="4">
        <v>5.4199999999999998E-2</v>
      </c>
      <c r="L3490">
        <v>5</v>
      </c>
      <c r="M3490">
        <v>2</v>
      </c>
      <c r="O3490" t="s">
        <v>171</v>
      </c>
      <c r="P3490" t="s">
        <v>2907</v>
      </c>
      <c r="Q3490" t="s">
        <v>2908</v>
      </c>
    </row>
    <row r="3491" spans="1:17" ht="15.5" x14ac:dyDescent="0.35">
      <c r="A3491"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3491" s="3" t="str">
        <f>HYPERLINK("https://edmondsonsupply.com/products/klein-tools-jth4e08-1-8-inch-hex-key-journeyman-t-handle-4-inch", "https://edmondsonsupply.com/products/klein-tools-jth4e08-1-8-inch-hex-key-journeyman-t-handle-4-inch")</f>
        <v>https://edmondsonsupply.com/products/klein-tools-jth4e08-1-8-inch-hex-key-journeyman-t-handle-4-inch</v>
      </c>
      <c r="C3491" t="s">
        <v>6406</v>
      </c>
      <c r="D3491" t="s">
        <v>5678</v>
      </c>
      <c r="E3491" s="3" t="str">
        <f>HYPERLINK("https://www.amazon.com/Journeyman-T-Handle-Klein-Tools-JTH6M4/dp/B005G394YO/ref=sr_1_3?keywords=Klein+Tools+JTH4E08+1%2F8-Inch+Hex+Key%2C+Journeyman+T-Handle%2C+4-Inch&amp;qid=1695174216&amp;sr=8-3", "https://www.amazon.com/Journeyman-T-Handle-Klein-Tools-JTH6M4/dp/B005G394YO/ref=sr_1_3?keywords=Klein+Tools+JTH4E08+1%2F8-Inch+Hex+Key%2C+Journeyman+T-Handle%2C+4-Inch&amp;qid=1695174216&amp;sr=8-3")</f>
        <v>https://www.amazon.com/Journeyman-T-Handle-Klein-Tools-JTH6M4/dp/B005G394YO/ref=sr_1_3?keywords=Klein+Tools+JTH4E08+1%2F8-Inch+Hex+Key%2C+Journeyman+T-Handle%2C+4-Inch&amp;qid=1695174216&amp;sr=8-3</v>
      </c>
      <c r="F3491" t="s">
        <v>5679</v>
      </c>
      <c r="G3491" t="e">
        <f ca="1">_xludf.IMAGE("https://edmondsonsupply.com/cdn/shop/products/jth4e06_0950e3ec-22b0-4cdd-acd1-822980009e67.jpg?v=1645564818")</f>
        <v>#NAME?</v>
      </c>
      <c r="H3491" t="e">
        <f ca="1">_xludf.IMAGE("https://m.media-amazon.com/images/I/51+1x0vz9XL._AC_UL320_.jpg")</f>
        <v>#NAME?</v>
      </c>
      <c r="I3491" t="s">
        <v>6228</v>
      </c>
      <c r="J3491">
        <v>3.99</v>
      </c>
      <c r="K3491" s="4">
        <v>5.28E-2</v>
      </c>
      <c r="L3491">
        <v>4.8</v>
      </c>
      <c r="M3491">
        <v>1532</v>
      </c>
      <c r="O3491" t="s">
        <v>25</v>
      </c>
      <c r="P3491" t="s">
        <v>6407</v>
      </c>
      <c r="Q3491" t="s">
        <v>6408</v>
      </c>
    </row>
    <row r="3492" spans="1:17" ht="15.5" x14ac:dyDescent="0.35">
      <c r="A3492"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3492"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3492" t="s">
        <v>6225</v>
      </c>
      <c r="D3492" t="s">
        <v>5678</v>
      </c>
      <c r="E3492" s="3" t="str">
        <f>HYPERLINK("https://www.amazon.com/Journeyman-T-Handle-Klein-Tools-JTH6M4/dp/B005G394YO/ref=sr_1_5?keywords=Klein+Tools+JTH4E09+9%2F64-Inch+Hex+Key+Journeyman+T-Handle+4-Inch&amp;qid=1695174238&amp;sr=8-5", "https://www.amazon.com/Journeyman-T-Handle-Klein-Tools-JTH6M4/dp/B005G394YO/ref=sr_1_5?keywords=Klein+Tools+JTH4E09+9%2F64-Inch+Hex+Key+Journeyman+T-Handle+4-Inch&amp;qid=1695174238&amp;sr=8-5")</f>
        <v>https://www.amazon.com/Journeyman-T-Handle-Klein-Tools-JTH6M4/dp/B005G394YO/ref=sr_1_5?keywords=Klein+Tools+JTH4E09+9%2F64-Inch+Hex+Key+Journeyman+T-Handle+4-Inch&amp;qid=1695174238&amp;sr=8-5</v>
      </c>
      <c r="F3492" t="s">
        <v>5679</v>
      </c>
      <c r="G3492" t="e">
        <f ca="1">_xludf.IMAGE("https://edmondsonsupply.com/cdn/shop/products/jth4e06_be5118a6-2e9d-44f5-81ad-c027572dd2d3.jpg?v=1635981570")</f>
        <v>#NAME?</v>
      </c>
      <c r="H3492" t="e">
        <f ca="1">_xludf.IMAGE("https://m.media-amazon.com/images/I/51+1x0vz9XL._AC_UL320_.jpg")</f>
        <v>#NAME?</v>
      </c>
      <c r="I3492" t="s">
        <v>6228</v>
      </c>
      <c r="J3492">
        <v>3.99</v>
      </c>
      <c r="K3492" s="4">
        <v>5.28E-2</v>
      </c>
      <c r="L3492">
        <v>4.8</v>
      </c>
      <c r="M3492">
        <v>1532</v>
      </c>
      <c r="O3492" t="s">
        <v>25</v>
      </c>
      <c r="P3492" t="s">
        <v>6229</v>
      </c>
      <c r="Q3492" t="s">
        <v>6230</v>
      </c>
    </row>
    <row r="3493" spans="1:17" ht="15.5" x14ac:dyDescent="0.35">
      <c r="A3493" s="3" t="str">
        <f>HYPERLINK("https://edmondsonsupply.com/collections/electricians-tools/products/rack-a-tiers-47010-v-cutter", "https://edmondsonsupply.com/collections/electricians-tools/products/rack-a-tiers-47010-v-cutter")</f>
        <v>https://edmondsonsupply.com/collections/electricians-tools/products/rack-a-tiers-47010-v-cutter</v>
      </c>
      <c r="B3493" s="3" t="str">
        <f>HYPERLINK("https://edmondsonsupply.com/products/rack-a-tiers-47010-v-cutter", "https://edmondsonsupply.com/products/rack-a-tiers-47010-v-cutter")</f>
        <v>https://edmondsonsupply.com/products/rack-a-tiers-47010-v-cutter</v>
      </c>
      <c r="C3493" t="s">
        <v>7763</v>
      </c>
      <c r="D3493" t="s">
        <v>7764</v>
      </c>
      <c r="E3493" s="3" t="str">
        <f>HYPERLINK("https://www.amazon.com/V-Cutter-Attachable-Precision-Sheathing-Stripper/dp/B00AKPFOW4/ref=sr_1_1?keywords=Rack-A-Tiers+47010+V-Cutter&amp;qid=1695173958&amp;sr=8-1", "https://www.amazon.com/V-Cutter-Attachable-Precision-Sheathing-Stripper/dp/B00AKPFOW4/ref=sr_1_1?keywords=Rack-A-Tiers+47010+V-Cutter&amp;qid=1695173958&amp;sr=8-1")</f>
        <v>https://www.amazon.com/V-Cutter-Attachable-Precision-Sheathing-Stripper/dp/B00AKPFOW4/ref=sr_1_1?keywords=Rack-A-Tiers+47010+V-Cutter&amp;qid=1695173958&amp;sr=8-1</v>
      </c>
      <c r="F3493" t="s">
        <v>7765</v>
      </c>
      <c r="G3493" t="e">
        <f ca="1">_xludf.IMAGE("https://edmondsonsupply.com/cdn/shop/products/47010.jpg?v=1587146041")</f>
        <v>#NAME?</v>
      </c>
      <c r="H3493" t="e">
        <f ca="1">_xludf.IMAGE("https://m.media-amazon.com/images/I/51wvBHpYDDL._AC_UL320_.jpg")</f>
        <v>#NAME?</v>
      </c>
      <c r="I3493" t="s">
        <v>2433</v>
      </c>
      <c r="J3493">
        <v>9.99</v>
      </c>
      <c r="K3493" s="4">
        <v>5.2699999999999997E-2</v>
      </c>
      <c r="L3493">
        <v>4.0999999999999996</v>
      </c>
      <c r="M3493">
        <v>144</v>
      </c>
      <c r="O3493" t="s">
        <v>25</v>
      </c>
      <c r="P3493" t="s">
        <v>2577</v>
      </c>
      <c r="Q3493" t="s">
        <v>7766</v>
      </c>
    </row>
    <row r="3494" spans="1:17" ht="15.5" x14ac:dyDescent="0.35">
      <c r="A3494"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3494" s="3" t="str">
        <f>HYPERLINK("https://edmondsonsupply.com/products/klein-tools-80028-electricians-tool-kit-28-piece", "https://edmondsonsupply.com/products/klein-tools-80028-electricians-tool-kit-28-piece")</f>
        <v>https://edmondsonsupply.com/products/klein-tools-80028-electricians-tool-kit-28-piece</v>
      </c>
      <c r="C3494" t="s">
        <v>4066</v>
      </c>
      <c r="D3494" t="s">
        <v>4276</v>
      </c>
      <c r="E3494" s="3" t="str">
        <f>HYPERLINK("https://www.amazon.com/Klein-Tools-Screwdrivers-28-Piece-Lockback/dp/B0BXK9YSJS/ref=sr_1_3?keywords=Klein+Tools+80028+Electrician%27s+Tool+Kit%2C+28-Piece&amp;qid=1695173883&amp;sr=8-3", "https://www.amazon.com/Klein-Tools-Screwdrivers-28-Piece-Lockback/dp/B0BXK9YSJS/ref=sr_1_3?keywords=Klein+Tools+80028+Electrician%27s+Tool+Kit%2C+28-Piece&amp;qid=1695173883&amp;sr=8-3")</f>
        <v>https://www.amazon.com/Klein-Tools-Screwdrivers-28-Piece-Lockback/dp/B0BXK9YSJS/ref=sr_1_3?keywords=Klein+Tools+80028+Electrician%27s+Tool+Kit%2C+28-Piece&amp;qid=1695173883&amp;sr=8-3</v>
      </c>
      <c r="F3494" t="s">
        <v>4277</v>
      </c>
      <c r="G3494" t="e">
        <f ca="1">_xludf.IMAGE("https://edmondsonsupply.com/cdn/shop/files/80028_d.jpg?v=1686062794")</f>
        <v>#NAME?</v>
      </c>
      <c r="H3494" t="e">
        <f ca="1">_xludf.IMAGE("https://m.media-amazon.com/images/I/51rspFjanxL._AC_UL320_.jpg")</f>
        <v>#NAME?</v>
      </c>
      <c r="I3494" t="s">
        <v>4069</v>
      </c>
      <c r="J3494">
        <v>435.98</v>
      </c>
      <c r="K3494" s="4">
        <v>5.0599999999999999E-2</v>
      </c>
      <c r="L3494">
        <v>5</v>
      </c>
      <c r="M3494">
        <v>1</v>
      </c>
      <c r="O3494" t="s">
        <v>25</v>
      </c>
      <c r="P3494" t="s">
        <v>4070</v>
      </c>
      <c r="Q3494" t="s">
        <v>4071</v>
      </c>
    </row>
    <row r="3495" spans="1:17" ht="15.5" x14ac:dyDescent="0.35">
      <c r="A3495" s="3" t="str">
        <f>HYPERLINK("https://edmondsonsupply.com/collections/electricians-tools/products/klein-tools-5114dsc-canvas-bucket-with-drawstring-close-17-inch", "https://edmondsonsupply.com/collections/electricians-tools/products/klein-tools-5114dsc-canvas-bucket-with-drawstring-close-17-inch")</f>
        <v>https://edmondsonsupply.com/collections/electricians-tools/products/klein-tools-5114dsc-canvas-bucket-with-drawstring-close-17-inch</v>
      </c>
      <c r="B3495" s="3" t="str">
        <f>HYPERLINK("https://edmondsonsupply.com/products/klein-tools-5114dsc-canvas-bucket-with-drawstring-close-17-inch", "https://edmondsonsupply.com/products/klein-tools-5114dsc-canvas-bucket-with-drawstring-close-17-inch")</f>
        <v>https://edmondsonsupply.com/products/klein-tools-5114dsc-canvas-bucket-with-drawstring-close-17-inch</v>
      </c>
      <c r="C3495" t="s">
        <v>522</v>
      </c>
      <c r="D3495" t="s">
        <v>523</v>
      </c>
      <c r="E3495" s="3" t="str">
        <f>HYPERLINK("https://www.amazon.com/Klein-Tools-5114DSC-Drawstring-Reinforced/dp/B08BQ27XQB/ref=sr_1_1?keywords=Klein+Tools+5114DSC+Canvas+Bucket+with+Drawstring+Close%2C+17-Inch&amp;qid=1695174305&amp;sr=8-1", "https://www.amazon.com/Klein-Tools-5114DSC-Drawstring-Reinforced/dp/B08BQ27XQB/ref=sr_1_1?keywords=Klein+Tools+5114DSC+Canvas+Bucket+with+Drawstring+Close%2C+17-Inch&amp;qid=1695174305&amp;sr=8-1")</f>
        <v>https://www.amazon.com/Klein-Tools-5114DSC-Drawstring-Reinforced/dp/B08BQ27XQB/ref=sr_1_1?keywords=Klein+Tools+5114DSC+Canvas+Bucket+with+Drawstring+Close%2C+17-Inch&amp;qid=1695174305&amp;sr=8-1</v>
      </c>
      <c r="F3495" t="s">
        <v>524</v>
      </c>
      <c r="G3495" t="e">
        <f ca="1">_xludf.IMAGE("https://edmondsonsupply.com/cdn/shop/products/5114dsc.jpg?v=1633030814")</f>
        <v>#NAME?</v>
      </c>
      <c r="H3495" t="e">
        <f ca="1">_xludf.IMAGE("https://m.media-amazon.com/images/I/51v3kR-RRnL._AC_UL320_.jpg")</f>
        <v>#NAME?</v>
      </c>
      <c r="I3495" t="s">
        <v>525</v>
      </c>
      <c r="J3495">
        <v>113.45</v>
      </c>
      <c r="K3495" s="4">
        <v>5.0599999999999999E-2</v>
      </c>
      <c r="L3495">
        <v>4</v>
      </c>
      <c r="M3495">
        <v>5</v>
      </c>
      <c r="O3495" t="s">
        <v>25</v>
      </c>
      <c r="P3495" t="s">
        <v>526</v>
      </c>
      <c r="Q3495" t="s">
        <v>527</v>
      </c>
    </row>
    <row r="3496" spans="1:17" ht="15.5" x14ac:dyDescent="0.35">
      <c r="A3496" s="3" t="str">
        <f>HYPERLINK("https://edmondsonsupply.com/collections/electricians-tools/products/klein-tools-5416tbr-tool-pouch-bolt-retention-pouch-canvas-tunnel-connect-5x10x9-inch", "https://edmondsonsupply.com/collections/electricians-tools/products/klein-tools-5416tbr-tool-pouch-bolt-retention-pouch-canvas-tunnel-connect-5x10x9-inch")</f>
        <v>https://edmondsonsupply.com/collections/electricians-tools/products/klein-tools-5416tbr-tool-pouch-bolt-retention-pouch-canvas-tunnel-connect-5x10x9-inch</v>
      </c>
      <c r="B3496" s="3" t="str">
        <f>HYPERLINK("https://edmondsonsupply.com/products/klein-tools-5416tbr-tool-pouch-bolt-retention-pouch-canvas-tunnel-connect-5x10x9-inch", "https://edmondsonsupply.com/products/klein-tools-5416tbr-tool-pouch-bolt-retention-pouch-canvas-tunnel-connect-5x10x9-inch")</f>
        <v>https://edmondsonsupply.com/products/klein-tools-5416tbr-tool-pouch-bolt-retention-pouch-canvas-tunnel-connect-5x10x9-inch</v>
      </c>
      <c r="C3496" t="s">
        <v>7767</v>
      </c>
      <c r="D3496" t="s">
        <v>7768</v>
      </c>
      <c r="E3496" s="3" t="str">
        <f>HYPERLINK("https://www.amazon.com/Retention-10-Inch-Klein-Tools-5416TBR/dp/B06XYVMGZK/ref=sr_1_1?keywords=Klein+Tools+5416TBR+Tool+Pouch%2C+Bolt+Retention+Pouch%2C+Canvas%2C+Tunnel+Connect%2C+5x10x9-Inch&amp;qid=1695174132&amp;sr=8-1", "https://www.amazon.com/Retention-10-Inch-Klein-Tools-5416TBR/dp/B06XYVMGZK/ref=sr_1_1?keywords=Klein+Tools+5416TBR+Tool+Pouch%2C+Bolt+Retention+Pouch%2C+Canvas%2C+Tunnel+Connect%2C+5x10x9-Inch&amp;qid=1695174132&amp;sr=8-1")</f>
        <v>https://www.amazon.com/Retention-10-Inch-Klein-Tools-5416TBR/dp/B06XYVMGZK/ref=sr_1_1?keywords=Klein+Tools+5416TBR+Tool+Pouch%2C+Bolt+Retention+Pouch%2C+Canvas%2C+Tunnel+Connect%2C+5x10x9-Inch&amp;qid=1695174132&amp;sr=8-1</v>
      </c>
      <c r="F3496" t="s">
        <v>7769</v>
      </c>
      <c r="G3496" t="e">
        <f ca="1">_xludf.IMAGE("https://edmondsonsupply.com/cdn/shop/products/5416tbr.jpg?v=1666359521")</f>
        <v>#NAME?</v>
      </c>
      <c r="H3496" t="e">
        <f ca="1">_xludf.IMAGE("https://m.media-amazon.com/images/I/61X7uHtI2DL._AC_UL320_.jpg")</f>
        <v>#NAME?</v>
      </c>
      <c r="I3496" t="s">
        <v>840</v>
      </c>
      <c r="J3496">
        <v>39.29</v>
      </c>
      <c r="K3496" s="4">
        <v>5.0500000000000003E-2</v>
      </c>
      <c r="L3496">
        <v>4.2</v>
      </c>
      <c r="M3496">
        <v>21</v>
      </c>
      <c r="O3496" t="s">
        <v>25</v>
      </c>
      <c r="P3496" t="s">
        <v>7770</v>
      </c>
      <c r="Q3496" t="s">
        <v>7771</v>
      </c>
    </row>
    <row r="3497" spans="1:17" ht="15.5" x14ac:dyDescent="0.35">
      <c r="A3497"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3497"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3497" t="s">
        <v>3227</v>
      </c>
      <c r="D3497" t="s">
        <v>4278</v>
      </c>
      <c r="E3497" s="3" t="str">
        <f>HYPERLINK("https://www.amazon.com/Multimeter-Non-Contact-Klein-Tools-MM320KIT/dp/B08W1THSM8/ref=sr_1_1?keywords=Klein+Tools+MM320KIT+Digital+Multimeter+Electrical+Test+Kit&amp;qid=1695173860&amp;sr=8-1", "https://www.amazon.com/Multimeter-Non-Contact-Klein-Tools-MM320KIT/dp/B08W1THSM8/ref=sr_1_1?keywords=Klein+Tools+MM320KIT+Digital+Multimeter+Electrical+Test+Kit&amp;qid=1695173860&amp;sr=8-1")</f>
        <v>https://www.amazon.com/Multimeter-Non-Contact-Klein-Tools-MM320KIT/dp/B08W1THSM8/ref=sr_1_1?keywords=Klein+Tools+MM320KIT+Digital+Multimeter+Electrical+Test+Kit&amp;qid=1695173860&amp;sr=8-1</v>
      </c>
      <c r="F3497" t="s">
        <v>4279</v>
      </c>
      <c r="G3497" t="e">
        <f ca="1">_xludf.IMAGE("https://edmondsonsupply.com/cdn/shop/products/mm320kit_photo.jpg?v=1660756496")</f>
        <v>#NAME?</v>
      </c>
      <c r="H3497" t="e">
        <f ca="1">_xludf.IMAGE("https://m.media-amazon.com/images/I/61xZtUfGpuL._AC_UL320_.jpg")</f>
        <v>#NAME?</v>
      </c>
      <c r="I3497" t="s">
        <v>380</v>
      </c>
      <c r="J3497">
        <v>52.49</v>
      </c>
      <c r="K3497" s="4">
        <v>5.04E-2</v>
      </c>
      <c r="L3497">
        <v>4.8</v>
      </c>
      <c r="M3497">
        <v>1458</v>
      </c>
      <c r="O3497" t="s">
        <v>25</v>
      </c>
      <c r="P3497" t="s">
        <v>3230</v>
      </c>
      <c r="Q3497" t="s">
        <v>3231</v>
      </c>
    </row>
    <row r="3498" spans="1:17" ht="15.5" x14ac:dyDescent="0.35">
      <c r="A3498" s="3" t="str">
        <f>HYPERLINK("https://edmondsonsupply.com/collections/electricians-tools/products/klein-tools-j63050-journeyman%E2%84%A2-cable-cutter", "https://edmondsonsupply.com/collections/electricians-tools/products/klein-tools-j63050-journeyman%E2%84%A2-cable-cutter")</f>
        <v>https://edmondsonsupply.com/collections/electricians-tools/products/klein-tools-j63050-journeyman%E2%84%A2-cable-cutter</v>
      </c>
      <c r="B3498" s="3" t="str">
        <f>HYPERLINK("https://edmondsonsupply.com/products/klein-tools-j63050-journeyman%e2%84%a2-cable-cutter", "https://edmondsonsupply.com/products/klein-tools-j63050-journeyman%e2%84%a2-cable-cutter")</f>
        <v>https://edmondsonsupply.com/products/klein-tools-j63050-journeyman%e2%84%a2-cable-cutter</v>
      </c>
      <c r="C3498" t="s">
        <v>7772</v>
      </c>
      <c r="D3498" t="s">
        <v>7773</v>
      </c>
      <c r="E3498" s="3" t="str">
        <f>HYPERLINK("https://www.amazon.com/High-Leverage-Communications-Klein-Tools-J63225N/dp/B08R8SNQCL/ref=sr_1_1?keywords=Klein+Tools+J63050+Journeyman%E2%84%A2+High+Leverage+Cable+Cutter&amp;qid=1695174171&amp;sr=8-1", "https://www.amazon.com/High-Leverage-Communications-Klein-Tools-J63225N/dp/B08R8SNQCL/ref=sr_1_1?keywords=Klein+Tools+J63050+Journeyman%E2%84%A2+High+Leverage+Cable+Cutter&amp;qid=1695174171&amp;sr=8-1")</f>
        <v>https://www.amazon.com/High-Leverage-Communications-Klein-Tools-J63225N/dp/B08R8SNQCL/ref=sr_1_1?keywords=Klein+Tools+J63050+Journeyman%E2%84%A2+High+Leverage+Cable+Cutter&amp;qid=1695174171&amp;sr=8-1</v>
      </c>
      <c r="F3498" t="s">
        <v>7774</v>
      </c>
      <c r="G3498" t="e">
        <f ca="1">_xludf.IMAGE("https://edmondsonsupply.com/cdn/shop/products/j63050.jpg?v=1660349782")</f>
        <v>#NAME?</v>
      </c>
      <c r="H3498" t="e">
        <f ca="1">_xludf.IMAGE("https://m.media-amazon.com/images/I/61+P5wW4RkL._AC_UL320_.jpg")</f>
        <v>#NAME?</v>
      </c>
      <c r="I3498" t="s">
        <v>198</v>
      </c>
      <c r="J3498">
        <v>41.97</v>
      </c>
      <c r="K3498" s="4">
        <v>4.9500000000000002E-2</v>
      </c>
      <c r="L3498">
        <v>4.7</v>
      </c>
      <c r="M3498">
        <v>428</v>
      </c>
      <c r="O3498" t="s">
        <v>25</v>
      </c>
      <c r="P3498" t="s">
        <v>7775</v>
      </c>
      <c r="Q3498" t="s">
        <v>7776</v>
      </c>
    </row>
    <row r="3499" spans="1:17" ht="15.5" x14ac:dyDescent="0.35">
      <c r="A3499" s="3" t="str">
        <f>HYPERLINK("https://edmondsonsupply.com/collections/electricians-tools/products/diablo-tools-dsp2090-p2-3-4-in-x-6-in-spade-bit-2-pack", "https://edmondsonsupply.com/collections/electricians-tools/products/diablo-tools-dsp2090-p2-3-4-in-x-6-in-spade-bit-2-pack")</f>
        <v>https://edmondsonsupply.com/collections/electricians-tools/products/diablo-tools-dsp2090-p2-3-4-in-x-6-in-spade-bit-2-pack</v>
      </c>
      <c r="B3499" s="3" t="str">
        <f>HYPERLINK("https://edmondsonsupply.com/products/diablo-tools-dsp2090-p2-3-4-in-x-6-in-spade-bit-2-pack", "https://edmondsonsupply.com/products/diablo-tools-dsp2090-p2-3-4-in-x-6-in-spade-bit-2-pack")</f>
        <v>https://edmondsonsupply.com/products/diablo-tools-dsp2090-p2-3-4-in-x-6-in-spade-bit-2-pack</v>
      </c>
      <c r="C3499" t="s">
        <v>5902</v>
      </c>
      <c r="D3499" t="s">
        <v>5835</v>
      </c>
      <c r="E3499" s="3" t="str">
        <f>HYPERLINK("https://www.amazon.com/Diablo-SPEEDemon-Spade-Bit-2-Pack/dp/B089KV8K7W/ref=sr_1_1?keywords=Diablo+Tools+DSP2090-P2+3%2F4+in.+x+6+in.+Spade+Bit+%282+Pack%29&amp;qid=1695173999&amp;sr=8-1", "https://www.amazon.com/Diablo-SPEEDemon-Spade-Bit-2-Pack/dp/B089KV8K7W/ref=sr_1_1?keywords=Diablo+Tools+DSP2090-P2+3%2F4+in.+x+6+in.+Spade+Bit+%282+Pack%29&amp;qid=1695173999&amp;sr=8-1")</f>
        <v>https://www.amazon.com/Diablo-SPEEDemon-Spade-Bit-2-Pack/dp/B089KV8K7W/ref=sr_1_1?keywords=Diablo+Tools+DSP2090-P2+3%2F4+in.+x+6+in.+Spade+Bit+%282+Pack%29&amp;qid=1695173999&amp;sr=8-1</v>
      </c>
      <c r="F3499" t="s">
        <v>5836</v>
      </c>
      <c r="G3499" t="e">
        <f ca="1">_xludf.IMAGE("https://edmondsonsupply.com/cdn/shop/files/hg4rmyretai2aybkajqp_48ccaf8c-0943-4015-b125-9dac62e31e3c.webp?v=1686587544")</f>
        <v>#NAME?</v>
      </c>
      <c r="H3499" t="e">
        <f ca="1">_xludf.IMAGE("https://m.media-amazon.com/images/I/610FU8LQY+L._AC_UL320_.jpg")</f>
        <v>#NAME?</v>
      </c>
      <c r="I3499" t="s">
        <v>1003</v>
      </c>
      <c r="J3499">
        <v>8.3800000000000008</v>
      </c>
      <c r="K3499" s="4">
        <v>4.8800000000000003E-2</v>
      </c>
      <c r="L3499">
        <v>4.7</v>
      </c>
      <c r="M3499">
        <v>40</v>
      </c>
      <c r="O3499" t="s">
        <v>25</v>
      </c>
      <c r="P3499" t="s">
        <v>138</v>
      </c>
      <c r="Q3499" t="s">
        <v>5903</v>
      </c>
    </row>
    <row r="3500" spans="1:17" ht="15.5" x14ac:dyDescent="0.35">
      <c r="A3500"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3500" s="3" t="str">
        <f>HYPERLINK("https://edmondsonsupply.com/products/klein-tools-32500mag-11-in-1-magnetic-screwdriver-nut-driver", "https://edmondsonsupply.com/products/klein-tools-32500mag-11-in-1-magnetic-screwdriver-nut-driver")</f>
        <v>https://edmondsonsupply.com/products/klein-tools-32500mag-11-in-1-magnetic-screwdriver-nut-driver</v>
      </c>
      <c r="C3500" t="s">
        <v>6522</v>
      </c>
      <c r="D3500" t="s">
        <v>7777</v>
      </c>
      <c r="E3500" s="3" t="str">
        <f>HYPERLINK("https://www.amazon.com/Klein-Tools-32500HD-Multi-Bit-Screwdriver/dp/B0C9V6NYZ4/ref=sr_1_10?keywords=Klein+Tools+32500MAG+11-in-1+Magnetic+Screwdriver+%2F+Nut+Driver&amp;qid=1695174303&amp;sr=8-10", "https://www.amazon.com/Klein-Tools-32500HD-Multi-Bit-Screwdriver/dp/B0C9V6NYZ4/ref=sr_1_10?keywords=Klein+Tools+32500MAG+11-in-1+Magnetic+Screwdriver+%2F+Nut+Driver&amp;qid=1695174303&amp;sr=8-10")</f>
        <v>https://www.amazon.com/Klein-Tools-32500HD-Multi-Bit-Screwdriver/dp/B0C9V6NYZ4/ref=sr_1_10?keywords=Klein+Tools+32500MAG+11-in-1+Magnetic+Screwdriver+%2F+Nut+Driver&amp;qid=1695174303&amp;sr=8-10</v>
      </c>
      <c r="F3500" t="s">
        <v>7778</v>
      </c>
      <c r="G3500" t="e">
        <f ca="1">_xludf.IMAGE("https://edmondsonsupply.com/cdn/shop/products/32500mag.jpg?v=1633030832")</f>
        <v>#NAME?</v>
      </c>
      <c r="H3500" t="e">
        <f ca="1">_xludf.IMAGE("https://m.media-amazon.com/images/I/41OcyKmA3fL._AC_UL320_.jpg")</f>
        <v>#NAME?</v>
      </c>
      <c r="I3500" t="s">
        <v>2288</v>
      </c>
      <c r="J3500">
        <v>21.97</v>
      </c>
      <c r="K3500" s="4">
        <v>4.7699999999999999E-2</v>
      </c>
      <c r="L3500">
        <v>4.7</v>
      </c>
      <c r="M3500">
        <v>52</v>
      </c>
      <c r="O3500" t="s">
        <v>25</v>
      </c>
      <c r="P3500" t="s">
        <v>6525</v>
      </c>
      <c r="Q3500" t="s">
        <v>6526</v>
      </c>
    </row>
    <row r="3501" spans="1:17" ht="15.5" x14ac:dyDescent="0.35">
      <c r="A3501" s="3" t="str">
        <f>HYPERLINK("https://edmondsonsupply.com/collections/electricians-tools/products/milwaukee-48-22-1540-fastback%E2%84%A2-5-in-1-folding-knife", "https://edmondsonsupply.com/collections/electricians-tools/products/milwaukee-48-22-1540-fastback%E2%84%A2-5-in-1-folding-knife")</f>
        <v>https://edmondsonsupply.com/collections/electricians-tools/products/milwaukee-48-22-1540-fastback%E2%84%A2-5-in-1-folding-knife</v>
      </c>
      <c r="B3501" s="3" t="str">
        <f>HYPERLINK("https://edmondsonsupply.com/products/milwaukee-48-22-1540-fastback%e2%84%a2-5-in-1-folding-knife", "https://edmondsonsupply.com/products/milwaukee-48-22-1540-fastback%e2%84%a2-5-in-1-folding-knife")</f>
        <v>https://edmondsonsupply.com/products/milwaukee-48-22-1540-fastback%e2%84%a2-5-in-1-folding-knife</v>
      </c>
      <c r="C3501" t="s">
        <v>2507</v>
      </c>
      <c r="D3501" t="s">
        <v>4303</v>
      </c>
      <c r="E3501" s="3" t="str">
        <f>HYPERLINK("https://www.amazon.com/Milwaukee-48-22-1985-Fastback-Folding-Lanyard/dp/B00IQCDWIG/ref=sr_1_5?keywords=Milwaukee+48-22-1540+FASTBACK%E2%84%A2+5-in-1+Folding+Knife&amp;qid=1695173855&amp;sr=8-5", "https://www.amazon.com/Milwaukee-48-22-1985-Fastback-Folding-Lanyard/dp/B00IQCDWIG/ref=sr_1_5?keywords=Milwaukee+48-22-1540+FASTBACK%E2%84%A2+5-in-1+Folding+Knife&amp;qid=1695173855&amp;sr=8-5")</f>
        <v>https://www.amazon.com/Milwaukee-48-22-1985-Fastback-Folding-Lanyard/dp/B00IQCDWIG/ref=sr_1_5?keywords=Milwaukee+48-22-1540+FASTBACK%E2%84%A2+5-in-1+Folding+Knife&amp;qid=1695173855&amp;sr=8-5</v>
      </c>
      <c r="F3501" t="s">
        <v>4304</v>
      </c>
      <c r="G3501" t="e">
        <f ca="1">_xludf.IMAGE("https://edmondsonsupply.com/cdn/shop/products/48-22-1540_1.png?v=1587142762")</f>
        <v>#NAME?</v>
      </c>
      <c r="H3501" t="e">
        <f ca="1">_xludf.IMAGE("https://m.media-amazon.com/images/I/714SFoSX-4L._AC_UL320_.jpg")</f>
        <v>#NAME?</v>
      </c>
      <c r="I3501" t="s">
        <v>2510</v>
      </c>
      <c r="J3501">
        <v>25.05</v>
      </c>
      <c r="K3501" s="4">
        <v>4.5100000000000001E-2</v>
      </c>
      <c r="L3501">
        <v>4.5999999999999996</v>
      </c>
      <c r="M3501">
        <v>627</v>
      </c>
      <c r="O3501" t="s">
        <v>25</v>
      </c>
      <c r="P3501" t="s">
        <v>2511</v>
      </c>
      <c r="Q3501" t="s">
        <v>2512</v>
      </c>
    </row>
    <row r="3502" spans="1:17" ht="15.5" x14ac:dyDescent="0.35">
      <c r="A3502"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3502" s="3" t="str">
        <f>HYPERLINK("https://edmondsonsupply.com/products/klein-tools-vaco-s10m-5-16-magnetic-nut-driver-3-hollow-shaft", "https://edmondsonsupply.com/products/klein-tools-vaco-s10m-5-16-magnetic-nut-driver-3-hollow-shaft")</f>
        <v>https://edmondsonsupply.com/products/klein-tools-vaco-s10m-5-16-magnetic-nut-driver-3-hollow-shaft</v>
      </c>
      <c r="C3502" t="s">
        <v>6468</v>
      </c>
      <c r="D3502" t="s">
        <v>7779</v>
      </c>
      <c r="E3502" s="3" t="str">
        <f>HYPERLINK("https://www.amazon.com/Klein-Tools-646-5-16M-Magnetic/dp/B00093GECG/ref=sr_1_9?keywords=Klein+Tools+S10M+5%2F16-Inch+Magnetic+Nut+Driver+3-Inch+Shaft&amp;qid=1695174019&amp;sr=8-9", "https://www.amazon.com/Klein-Tools-646-5-16M-Magnetic/dp/B00093GECG/ref=sr_1_9?keywords=Klein+Tools+S10M+5%2F16-Inch+Magnetic+Nut+Driver+3-Inch+Shaft&amp;qid=1695174019&amp;sr=8-9")</f>
        <v>https://www.amazon.com/Klein-Tools-646-5-16M-Magnetic/dp/B00093GECG/ref=sr_1_9?keywords=Klein+Tools+S10M+5%2F16-Inch+Magnetic+Nut+Driver+3-Inch+Shaft&amp;qid=1695174019&amp;sr=8-9</v>
      </c>
      <c r="F3502" t="s">
        <v>7780</v>
      </c>
      <c r="G3502" t="e">
        <f ca="1">_xludf.IMAGE("https://edmondsonsupply.com/cdn/shop/products/s10m_alt2.jpg?v=1587143022")</f>
        <v>#NAME?</v>
      </c>
      <c r="H3502" t="e">
        <f ca="1">_xludf.IMAGE("https://m.media-amazon.com/images/I/41j5NAMWLQL._AC_UL320_.jpg")</f>
        <v>#NAME?</v>
      </c>
      <c r="I3502" t="s">
        <v>2577</v>
      </c>
      <c r="J3502">
        <v>10.44</v>
      </c>
      <c r="K3502" s="4">
        <v>4.4999999999999998E-2</v>
      </c>
      <c r="L3502">
        <v>4.8</v>
      </c>
      <c r="M3502">
        <v>2497</v>
      </c>
      <c r="O3502" t="s">
        <v>25</v>
      </c>
      <c r="P3502" t="s">
        <v>6469</v>
      </c>
      <c r="Q3502" t="s">
        <v>6470</v>
      </c>
    </row>
    <row r="3503" spans="1:17" ht="15.5" x14ac:dyDescent="0.35">
      <c r="A3503"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3503" s="3" t="str">
        <f>HYPERLINK("https://edmondsonsupply.com/products/diablo-tools-dmapl2290-7-16-in-x-10-in-x-12-in-sds-plus-2-cutter", "https://edmondsonsupply.com/products/diablo-tools-dmapl2290-7-16-in-x-10-in-x-12-in-sds-plus-2-cutter")</f>
        <v>https://edmondsonsupply.com/products/diablo-tools-dmapl2290-7-16-in-x-10-in-x-12-in-sds-plus-2-cutter</v>
      </c>
      <c r="C3503" t="s">
        <v>5860</v>
      </c>
      <c r="D3503" t="s">
        <v>5904</v>
      </c>
      <c r="E3503" s="3" t="str">
        <f>HYPERLINK("https://www.amazon.com/Diablo-10-12-SDS-Plus-2-Cutter/dp/B089KVWDFV/ref=sr_1_2?keywords=Diablo+Tools+DMAPL2290+7%2F16+in.+x+10+in.+x+12+in.+SDS-Plus+2-Cutter&amp;qid=1695174015&amp;sr=8-2", "https://www.amazon.com/Diablo-10-12-SDS-Plus-2-Cutter/dp/B089KVWDFV/ref=sr_1_2?keywords=Diablo+Tools+DMAPL2290+7%2F16+in.+x+10+in.+x+12+in.+SDS-Plus+2-Cutter&amp;qid=1695174015&amp;sr=8-2")</f>
        <v>https://www.amazon.com/Diablo-10-12-SDS-Plus-2-Cutter/dp/B089KVWDFV/ref=sr_1_2?keywords=Diablo+Tools+DMAPL2290+7%2F16+in.+x+10+in.+x+12+in.+SDS-Plus+2-Cutter&amp;qid=1695174015&amp;sr=8-2</v>
      </c>
      <c r="F3503" t="s">
        <v>5905</v>
      </c>
      <c r="G3503" t="e">
        <f ca="1">_xludf.IMAGE("https://edmondsonsupply.com/cdn/shop/files/lgvfccwvf9ikjakt8qfb.webp?v=1686146379")</f>
        <v>#NAME?</v>
      </c>
      <c r="H3503" t="e">
        <f ca="1">_xludf.IMAGE("https://m.media-amazon.com/images/I/61jSXDDK72L._AC_UL320_.jpg")</f>
        <v>#NAME?</v>
      </c>
      <c r="I3503" t="s">
        <v>1140</v>
      </c>
      <c r="J3503">
        <v>10.97</v>
      </c>
      <c r="K3503" s="4">
        <v>4.48E-2</v>
      </c>
      <c r="L3503">
        <v>5</v>
      </c>
      <c r="M3503">
        <v>1</v>
      </c>
      <c r="O3503" t="s">
        <v>25</v>
      </c>
      <c r="P3503" t="s">
        <v>5863</v>
      </c>
      <c r="Q3503" t="s">
        <v>5864</v>
      </c>
    </row>
    <row r="3504" spans="1:17" ht="15.5" x14ac:dyDescent="0.35">
      <c r="A3504"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3504"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3504" t="s">
        <v>7204</v>
      </c>
      <c r="D3504" t="s">
        <v>7781</v>
      </c>
      <c r="E3504" s="3" t="str">
        <f>HYPERLINK("https://www.amazon.com/16-Inch-Screwdriver-Klein-Tools-621-6/dp/B00093GE44/ref=sr_1_5?keywords=Klein+Tools+6816INS+Insulated+Screwdriver%2C+3%2F16-Inch+Cabinet+Tip%2C+6-Inch+Round+Shank&amp;qid=1695174141&amp;sr=8-5", "https://www.amazon.com/16-Inch-Screwdriver-Klein-Tools-621-6/dp/B00093GE44/ref=sr_1_5?keywords=Klein+Tools+6816INS+Insulated+Screwdriver%2C+3%2F16-Inch+Cabinet+Tip%2C+6-Inch+Round+Shank&amp;qid=1695174141&amp;sr=8-5")</f>
        <v>https://www.amazon.com/16-Inch-Screwdriver-Klein-Tools-621-6/dp/B00093GE44/ref=sr_1_5?keywords=Klein+Tools+6816INS+Insulated+Screwdriver%2C+3%2F16-Inch+Cabinet+Tip%2C+6-Inch+Round+Shank&amp;qid=1695174141&amp;sr=8-5</v>
      </c>
      <c r="F3504" t="s">
        <v>7782</v>
      </c>
      <c r="G3504" t="e">
        <f ca="1">_xludf.IMAGE("https://edmondsonsupply.com/cdn/shop/products/6816ins.jpg?v=1664812840")</f>
        <v>#NAME?</v>
      </c>
      <c r="H3504" t="e">
        <f ca="1">_xludf.IMAGE("https://m.media-amazon.com/images/I/51PRkgD+r3L._AC_UL320_.jpg")</f>
        <v>#NAME?</v>
      </c>
      <c r="I3504" t="s">
        <v>6073</v>
      </c>
      <c r="J3504">
        <v>12.49</v>
      </c>
      <c r="K3504" s="4">
        <v>4.3400000000000001E-2</v>
      </c>
      <c r="L3504">
        <v>4.4000000000000004</v>
      </c>
      <c r="M3504">
        <v>25</v>
      </c>
      <c r="O3504" t="s">
        <v>25</v>
      </c>
      <c r="P3504" t="s">
        <v>6728</v>
      </c>
      <c r="Q3504" t="s">
        <v>7205</v>
      </c>
    </row>
    <row r="3505" spans="1:17" ht="15.5" x14ac:dyDescent="0.35">
      <c r="A3505"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3505" s="3" t="str">
        <f>HYPERLINK("https://edmondsonsupply.com/products/diablo-tools-dag3070-3-4-in-x-17-1-2-in-auger-bit", "https://edmondsonsupply.com/products/diablo-tools-dag3070-3-4-in-x-17-1-2-in-auger-bit")</f>
        <v>https://edmondsonsupply.com/products/diablo-tools-dag3070-3-4-in-x-17-1-2-in-auger-bit</v>
      </c>
      <c r="C3505" t="s">
        <v>7783</v>
      </c>
      <c r="D3505" t="s">
        <v>7181</v>
      </c>
      <c r="E3505" s="3" t="str">
        <f>HYPERLINK("https://www.amazon.com/Diablo-17-1-Auger-Bit/dp/B089LHKRPP/ref=sr_1_1?keywords=Diablo+Tools+DAG3070+3%2F4+in.+x+17-1%2F2+in.+Auger+Bit&amp;qid=1695174104&amp;sr=8-1", "https://www.amazon.com/Diablo-17-1-Auger-Bit/dp/B089LHKRPP/ref=sr_1_1?keywords=Diablo+Tools+DAG3070+3%2F4+in.+x+17-1%2F2+in.+Auger+Bit&amp;qid=1695174104&amp;sr=8-1")</f>
        <v>https://www.amazon.com/Diablo-17-1-Auger-Bit/dp/B089LHKRPP/ref=sr_1_1?keywords=Diablo+Tools+DAG3070+3%2F4+in.+x+17-1%2F2+in.+Auger+Bit&amp;qid=1695174104&amp;sr=8-1</v>
      </c>
      <c r="F3505" t="s">
        <v>7182</v>
      </c>
      <c r="G3505" t="e">
        <f ca="1">_xludf.IMAGE("https://edmondsonsupply.com/cdn/shop/products/ljatbudptj8xmo1m7sg7.webp?v=1669994151")</f>
        <v>#NAME?</v>
      </c>
      <c r="H3505" t="e">
        <f ca="1">_xludf.IMAGE("https://m.media-amazon.com/images/I/61aMNURt08L._AC_UL320_.jpg")</f>
        <v>#NAME?</v>
      </c>
      <c r="I3505" t="s">
        <v>3472</v>
      </c>
      <c r="J3505">
        <v>25</v>
      </c>
      <c r="K3505" s="4">
        <v>4.2099999999999999E-2</v>
      </c>
      <c r="L3505">
        <v>4.5999999999999996</v>
      </c>
      <c r="M3505">
        <v>61</v>
      </c>
      <c r="O3505" t="s">
        <v>25</v>
      </c>
      <c r="P3505" t="s">
        <v>7784</v>
      </c>
      <c r="Q3505" t="s">
        <v>7785</v>
      </c>
    </row>
    <row r="3506" spans="1:17" ht="15.5" x14ac:dyDescent="0.35">
      <c r="A3506" s="3" t="str">
        <f>HYPERLINK("https://edmondsonsupply.com/collections/electricians-tools/products/milwaukee-48-22-1540-fastback%E2%84%A2-5-in-1-folding-knife", "https://edmondsonsupply.com/collections/electricians-tools/products/milwaukee-48-22-1540-fastback%E2%84%A2-5-in-1-folding-knife")</f>
        <v>https://edmondsonsupply.com/collections/electricians-tools/products/milwaukee-48-22-1540-fastback%E2%84%A2-5-in-1-folding-knife</v>
      </c>
      <c r="B3506" s="3" t="str">
        <f>HYPERLINK("https://edmondsonsupply.com/products/milwaukee-48-22-1540-fastback%e2%84%a2-5-in-1-folding-knife", "https://edmondsonsupply.com/products/milwaukee-48-22-1540-fastback%e2%84%a2-5-in-1-folding-knife")</f>
        <v>https://edmondsonsupply.com/products/milwaukee-48-22-1540-fastback%e2%84%a2-5-in-1-folding-knife</v>
      </c>
      <c r="C3506" t="s">
        <v>2507</v>
      </c>
      <c r="D3506" t="s">
        <v>4305</v>
      </c>
      <c r="E3506" s="3" t="str">
        <f>HYPERLINK("https://www.amazon.com/Milwaukee-48-22-1990-FASTBACK-Smooth-Folding/dp/B00IKVFCUO/ref=sr_1_2?keywords=Milwaukee+48-22-1540+FASTBACK%E2%84%A2+5-in-1+Folding+Knife&amp;qid=1695173855&amp;sr=8-2", "https://www.amazon.com/Milwaukee-48-22-1990-FASTBACK-Smooth-Folding/dp/B00IKVFCUO/ref=sr_1_2?keywords=Milwaukee+48-22-1540+FASTBACK%E2%84%A2+5-in-1+Folding+Knife&amp;qid=1695173855&amp;sr=8-2")</f>
        <v>https://www.amazon.com/Milwaukee-48-22-1990-FASTBACK-Smooth-Folding/dp/B00IKVFCUO/ref=sr_1_2?keywords=Milwaukee+48-22-1540+FASTBACK%E2%84%A2+5-in-1+Folding+Knife&amp;qid=1695173855&amp;sr=8-2</v>
      </c>
      <c r="F3506" t="s">
        <v>4306</v>
      </c>
      <c r="G3506" t="e">
        <f ca="1">_xludf.IMAGE("https://edmondsonsupply.com/cdn/shop/products/48-22-1540_1.png?v=1587142762")</f>
        <v>#NAME?</v>
      </c>
      <c r="H3506" t="e">
        <f ca="1">_xludf.IMAGE("https://m.media-amazon.com/images/I/81wFFG5g9vL._AC_UL320_.jpg")</f>
        <v>#NAME?</v>
      </c>
      <c r="I3506" t="s">
        <v>2510</v>
      </c>
      <c r="J3506">
        <v>24.97</v>
      </c>
      <c r="K3506" s="4">
        <v>4.1700000000000001E-2</v>
      </c>
      <c r="L3506">
        <v>4.5</v>
      </c>
      <c r="M3506">
        <v>982</v>
      </c>
      <c r="O3506" t="s">
        <v>25</v>
      </c>
      <c r="P3506" t="s">
        <v>2511</v>
      </c>
      <c r="Q3506" t="s">
        <v>2512</v>
      </c>
    </row>
    <row r="3507" spans="1:17" ht="15.5" x14ac:dyDescent="0.35">
      <c r="A3507" s="3" t="str">
        <f>HYPERLINK("https://edmondsonsupply.com/collections/electricians-tools/products/klein-tools-44001-blk-black-lightweight-lockback-knife-2-1-2-inch", "https://edmondsonsupply.com/collections/electricians-tools/products/klein-tools-44001-blk-black-lightweight-lockback-knife-2-1-2-inch")</f>
        <v>https://edmondsonsupply.com/collections/electricians-tools/products/klein-tools-44001-blk-black-lightweight-lockback-knife-2-1-2-inch</v>
      </c>
      <c r="B3507" s="3" t="str">
        <f>HYPERLINK("https://edmondsonsupply.com/products/klein-tools-44001-blk-black-lightweight-lockback-knife-2-1-2-inch", "https://edmondsonsupply.com/products/klein-tools-44001-blk-black-lightweight-lockback-knife-2-1-2-inch")</f>
        <v>https://edmondsonsupply.com/products/klein-tools-44001-blk-black-lightweight-lockback-knife-2-1-2-inch</v>
      </c>
      <c r="C3507" t="s">
        <v>7786</v>
      </c>
      <c r="D3507" t="s">
        <v>6970</v>
      </c>
      <c r="E3507" s="3" t="str">
        <f>HYPERLINK("https://www.amazon.com/Lightweight-Lockback-Klein-Tools-44007/dp/B001TJ1JVK/ref=sr_1_6?keywords=Klein+Tools+44001-BLK+Black+Lightweight+Lockback+Knife%2C+2-1%2F2-Inch&amp;qid=1695174306&amp;sr=8-6", "https://www.amazon.com/Lightweight-Lockback-Klein-Tools-44007/dp/B001TJ1JVK/ref=sr_1_6?keywords=Klein+Tools+44001-BLK+Black+Lightweight+Lockback+Knife%2C+2-1%2F2-Inch&amp;qid=1695174306&amp;sr=8-6")</f>
        <v>https://www.amazon.com/Lightweight-Lockback-Klein-Tools-44007/dp/B001TJ1JVK/ref=sr_1_6?keywords=Klein+Tools+44001-BLK+Black+Lightweight+Lockback+Knife%2C+2-1%2F2-Inch&amp;qid=1695174306&amp;sr=8-6</v>
      </c>
      <c r="F3507" t="s">
        <v>6971</v>
      </c>
      <c r="G3507" t="e">
        <f ca="1">_xludf.IMAGE("https://edmondsonsupply.com/cdn/shop/products/44001-blk.jpg?v=1633030819")</f>
        <v>#NAME?</v>
      </c>
      <c r="H3507" t="e">
        <f ca="1">_xludf.IMAGE("https://m.media-amazon.com/images/I/71-kYHzVBIL._AC_UL320_.jpg")</f>
        <v>#NAME?</v>
      </c>
      <c r="I3507" t="s">
        <v>3436</v>
      </c>
      <c r="J3507">
        <v>49.97</v>
      </c>
      <c r="K3507" s="4">
        <v>4.1300000000000003E-2</v>
      </c>
      <c r="L3507">
        <v>4.5999999999999996</v>
      </c>
      <c r="M3507">
        <v>60</v>
      </c>
      <c r="O3507" t="s">
        <v>25</v>
      </c>
      <c r="P3507" t="s">
        <v>7787</v>
      </c>
      <c r="Q3507" t="s">
        <v>7788</v>
      </c>
    </row>
    <row r="3508" spans="1:17" ht="15.5" x14ac:dyDescent="0.35">
      <c r="A3508" s="3" t="str">
        <f>HYPERLINK("https://edmondsonsupply.com/collections/electricians-tools/products/klein-tools-1010-long-nose-multi-purpose-tool", "https://edmondsonsupply.com/collections/electricians-tools/products/klein-tools-1010-long-nose-multi-purpose-tool")</f>
        <v>https://edmondsonsupply.com/collections/electricians-tools/products/klein-tools-1010-long-nose-multi-purpose-tool</v>
      </c>
      <c r="B3508" s="3" t="str">
        <f>HYPERLINK("https://edmondsonsupply.com/products/klein-tools-1010-long-nose-multi-purpose-tool", "https://edmondsonsupply.com/products/klein-tools-1010-long-nose-multi-purpose-tool")</f>
        <v>https://edmondsonsupply.com/products/klein-tools-1010-long-nose-multi-purpose-tool</v>
      </c>
      <c r="C3508" t="s">
        <v>5322</v>
      </c>
      <c r="D3508" t="s">
        <v>5323</v>
      </c>
      <c r="E3508" s="3" t="str">
        <f>HYPERLINK("https://www.amazon.com/Klein-Tools-1001-Multi-Purpose-Electricians/dp/B000EVLUR2/ref=sr_1_3?keywords=Klein+Tools+1010+Long+Nose+Multi+Tool+Wire+Stripper%2C+Wire+Cutters%2C+Crimping+Tool&amp;qid=1695173933&amp;sr=8-3", "https://www.amazon.com/Klein-Tools-1001-Multi-Purpose-Electricians/dp/B000EVLUR2/ref=sr_1_3?keywords=Klein+Tools+1010+Long+Nose+Multi+Tool+Wire+Stripper%2C+Wire+Cutters%2C+Crimping+Tool&amp;qid=1695173933&amp;sr=8-3")</f>
        <v>https://www.amazon.com/Klein-Tools-1001-Multi-Purpose-Electricians/dp/B000EVLUR2/ref=sr_1_3?keywords=Klein+Tools+1010+Long+Nose+Multi+Tool+Wire+Stripper%2C+Wire+Cutters%2C+Crimping+Tool&amp;qid=1695173933&amp;sr=8-3</v>
      </c>
      <c r="F3508" t="s">
        <v>5324</v>
      </c>
      <c r="G3508" t="e">
        <f ca="1">_xludf.IMAGE("https://edmondsonsupply.com/cdn/shop/products/1010.jpg?v=1587145604")</f>
        <v>#NAME?</v>
      </c>
      <c r="H3508" t="e">
        <f ca="1">_xludf.IMAGE("https://m.media-amazon.com/images/I/51Df2gzkHqL._AC_UL320_.jpg")</f>
        <v>#NAME?</v>
      </c>
      <c r="I3508" t="s">
        <v>859</v>
      </c>
      <c r="J3508">
        <v>25.99</v>
      </c>
      <c r="K3508" s="4">
        <v>4.0800000000000003E-2</v>
      </c>
      <c r="L3508">
        <v>4.5</v>
      </c>
      <c r="M3508">
        <v>476</v>
      </c>
      <c r="O3508" t="s">
        <v>25</v>
      </c>
      <c r="P3508" t="s">
        <v>5325</v>
      </c>
      <c r="Q3508" t="s">
        <v>5326</v>
      </c>
    </row>
    <row r="3509" spans="1:17" ht="15.5" x14ac:dyDescent="0.35">
      <c r="A3509"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3509"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3509" t="s">
        <v>6231</v>
      </c>
      <c r="D3509" t="s">
        <v>4313</v>
      </c>
      <c r="E3509" s="3" t="str">
        <f>HYPERLINK("https://www.amazon.com/Klein-Tools-80097-Beginner-3-Piece/dp/B0B7Z178B1/ref=sr_1_2?keywords=Klein+Tools+NCVT1PKIT+Non-Contact+Voltage+and+GFCI+Receptacle+Test+Kit&amp;qid=1695174067&amp;sr=8-2", "https://www.amazon.com/Klein-Tools-80097-Beginner-3-Piece/dp/B0B7Z178B1/ref=sr_1_2?keywords=Klein+Tools+NCVT1PKIT+Non-Contact+Voltage+and+GFCI+Receptacle+Test+Kit&amp;qid=1695174067&amp;sr=8-2")</f>
        <v>https://www.amazon.com/Klein-Tools-80097-Beginner-3-Piece/dp/B0B7Z178B1/ref=sr_1_2?keywords=Klein+Tools+NCVT1PKIT+Non-Contact+Voltage+and+GFCI+Receptacle+Test+Kit&amp;qid=1695174067&amp;sr=8-2</v>
      </c>
      <c r="F3509" t="s">
        <v>4314</v>
      </c>
      <c r="G3509" t="e">
        <f ca="1">_xludf.IMAGE("https://edmondsonsupply.com/cdn/shop/products/ncvt1pkit.jpg?v=1677682920")</f>
        <v>#NAME?</v>
      </c>
      <c r="H3509" t="e">
        <f ca="1">_xludf.IMAGE("https://m.media-amazon.com/images/I/51TWbZ0INyL._AC_UL320_.jpg")</f>
        <v>#NAME?</v>
      </c>
      <c r="I3509" t="s">
        <v>859</v>
      </c>
      <c r="J3509">
        <v>25.99</v>
      </c>
      <c r="K3509" s="4">
        <v>4.0800000000000003E-2</v>
      </c>
      <c r="L3509">
        <v>4.5999999999999996</v>
      </c>
      <c r="M3509">
        <v>121</v>
      </c>
      <c r="O3509" t="s">
        <v>25</v>
      </c>
      <c r="P3509" t="s">
        <v>6234</v>
      </c>
      <c r="Q3509" t="s">
        <v>6235</v>
      </c>
    </row>
    <row r="3510" spans="1:17" ht="15.5" x14ac:dyDescent="0.35">
      <c r="A3510"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3510"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3510" t="s">
        <v>2155</v>
      </c>
      <c r="D3510" t="s">
        <v>4313</v>
      </c>
      <c r="E3510" s="3" t="str">
        <f>HYPERLINK("https://www.amazon.com/Klein-Tools-80097-Beginner-3-Piece/dp/B0B7Z178B1/ref=sr_1_6?keywords=Klein+Tools+NCVT1XTKIT+Non-Contact+Voltage+and+GFCI+Receptacle+Premium+Test+Kit&amp;qid=1695173872&amp;sr=8-6", "https://www.amazon.com/Klein-Tools-80097-Beginner-3-Piece/dp/B0B7Z178B1/ref=sr_1_6?keywords=Klein+Tools+NCVT1XTKIT+Non-Contact+Voltage+and+GFCI+Receptacle+Premium+Test+Kit&amp;qid=1695173872&amp;sr=8-6")</f>
        <v>https://www.amazon.com/Klein-Tools-80097-Beginner-3-Piece/dp/B0B7Z178B1/ref=sr_1_6?keywords=Klein+Tools+NCVT1XTKIT+Non-Contact+Voltage+and+GFCI+Receptacle+Premium+Test+Kit&amp;qid=1695173872&amp;sr=8-6</v>
      </c>
      <c r="F3510" t="s">
        <v>4314</v>
      </c>
      <c r="G3510" t="e">
        <f ca="1">_xludf.IMAGE("https://edmondsonsupply.com/cdn/shop/products/ncvt1xtkit.jpg?v=1674497102")</f>
        <v>#NAME?</v>
      </c>
      <c r="H3510" t="e">
        <f ca="1">_xludf.IMAGE("https://m.media-amazon.com/images/I/51TWbZ0INyL._AC_UL320_.jpg")</f>
        <v>#NAME?</v>
      </c>
      <c r="I3510" t="s">
        <v>471</v>
      </c>
      <c r="J3510">
        <v>25.99</v>
      </c>
      <c r="K3510" s="4">
        <v>0.04</v>
      </c>
      <c r="L3510">
        <v>4.5999999999999996</v>
      </c>
      <c r="M3510">
        <v>121</v>
      </c>
      <c r="O3510" t="s">
        <v>25</v>
      </c>
      <c r="P3510" t="s">
        <v>2158</v>
      </c>
      <c r="Q3510" t="s">
        <v>2159</v>
      </c>
    </row>
    <row r="3511" spans="1:17" ht="15.5" x14ac:dyDescent="0.35">
      <c r="A3511"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3511"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3511" t="s">
        <v>5906</v>
      </c>
      <c r="D3511" t="s">
        <v>5881</v>
      </c>
      <c r="E3511" s="3" t="str">
        <f>HYPERLINK("https://www.amazon.com/Diablo-SDS-Max-Carbide-Tipped-Core/dp/B089M8ST7R/ref=sr_1_1?keywords=Diablo+Tools+DMAMXCC5050+4+in.+x+7+in.+SDS-Max+Carbide+Tipped+Core+Bit&amp;qid=1695174004&amp;sr=8-1", "https://www.amazon.com/Diablo-SDS-Max-Carbide-Tipped-Core/dp/B089M8ST7R/ref=sr_1_1?keywords=Diablo+Tools+DMAMXCC5050+4+in.+x+7+in.+SDS-Max+Carbide+Tipped+Core+Bit&amp;qid=1695174004&amp;sr=8-1")</f>
        <v>https://www.amazon.com/Diablo-SDS-Max-Carbide-Tipped-Core/dp/B089M8ST7R/ref=sr_1_1?keywords=Diablo+Tools+DMAMXCC5050+4+in.+x+7+in.+SDS-Max+Carbide+Tipped+Core+Bit&amp;qid=1695174004&amp;sr=8-1</v>
      </c>
      <c r="F3511" t="s">
        <v>5882</v>
      </c>
      <c r="G3511" t="e">
        <f ca="1">_xludf.IMAGE("https://edmondsonsupply.com/cdn/shop/files/yghx7uqdjxchri5fikny.webp?v=1686586834")</f>
        <v>#NAME?</v>
      </c>
      <c r="H3511" t="e">
        <f ca="1">_xludf.IMAGE("https://m.media-amazon.com/images/I/71bh3TRvqmL._AC_UL320_.jpg")</f>
        <v>#NAME?</v>
      </c>
      <c r="I3511" t="s">
        <v>5907</v>
      </c>
      <c r="J3511">
        <v>157.44</v>
      </c>
      <c r="K3511" s="4">
        <v>3.9899999999999998E-2</v>
      </c>
      <c r="L3511">
        <v>4.7</v>
      </c>
      <c r="M3511">
        <v>8</v>
      </c>
      <c r="O3511" t="s">
        <v>25</v>
      </c>
      <c r="P3511" t="s">
        <v>5908</v>
      </c>
      <c r="Q3511" t="s">
        <v>5909</v>
      </c>
    </row>
    <row r="3512" spans="1:17" ht="15.5" x14ac:dyDescent="0.35">
      <c r="A3512"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3512" s="3" t="str">
        <f>HYPERLINK("https://edmondsonsupply.com/products/diablo-tools-dag1130-1-in-x-7-1-2-in-auger-bit", "https://edmondsonsupply.com/products/diablo-tools-dag1130-1-in-x-7-1-2-in-auger-bit")</f>
        <v>https://edmondsonsupply.com/products/diablo-tools-dag1130-1-in-x-7-1-2-in-auger-bit</v>
      </c>
      <c r="C3512" t="s">
        <v>3530</v>
      </c>
      <c r="D3512" t="s">
        <v>4322</v>
      </c>
      <c r="E3512" s="3" t="str">
        <f>HYPERLINK("https://www.amazon.com/Diablo-7-1-Auger-Bit/dp/B089LHLLW4/ref=sr_1_1?keywords=Diablo+Tools+DAG1130+1+in.+x+7-1%2F2+in.+Auger+Bit&amp;qid=1695173913&amp;sr=8-1", "https://www.amazon.com/Diablo-7-1-Auger-Bit/dp/B089LHLLW4/ref=sr_1_1?keywords=Diablo+Tools+DAG1130+1+in.+x+7-1%2F2+in.+Auger+Bit&amp;qid=1695173913&amp;sr=8-1")</f>
        <v>https://www.amazon.com/Diablo-7-1-Auger-Bit/dp/B089LHLLW4/ref=sr_1_1?keywords=Diablo+Tools+DAG1130+1+in.+x+7-1%2F2+in.+Auger+Bit&amp;qid=1695173913&amp;sr=8-1</v>
      </c>
      <c r="F3512" t="s">
        <v>4323</v>
      </c>
      <c r="G3512" t="e">
        <f ca="1">_xludf.IMAGE("https://edmondsonsupply.com/cdn/shop/products/DAG1130_Main-Image20200712.png?v=1633031124")</f>
        <v>#NAME?</v>
      </c>
      <c r="H3512" t="e">
        <f ca="1">_xludf.IMAGE("https://m.media-amazon.com/images/I/61bFULmp4GL._AC_UL320_.jpg")</f>
        <v>#NAME?</v>
      </c>
      <c r="I3512" t="s">
        <v>3533</v>
      </c>
      <c r="J3512">
        <v>16.989999999999998</v>
      </c>
      <c r="K3512" s="4">
        <v>3.7900000000000003E-2</v>
      </c>
      <c r="L3512">
        <v>4.4000000000000004</v>
      </c>
      <c r="M3512">
        <v>38</v>
      </c>
      <c r="O3512" t="s">
        <v>25</v>
      </c>
      <c r="P3512" t="s">
        <v>3534</v>
      </c>
      <c r="Q3512" t="s">
        <v>3535</v>
      </c>
    </row>
    <row r="3513" spans="1:17" ht="15.5" x14ac:dyDescent="0.35">
      <c r="A3513" s="3" t="str">
        <f>HYPERLINK("https://edmondsonsupply.com/collections/electricians-tools/products/klein-tools-mm325-digital-multimeter-manual-ranging-600v", "https://edmondsonsupply.com/collections/electricians-tools/products/klein-tools-mm325-digital-multimeter-manual-ranging-600v")</f>
        <v>https://edmondsonsupply.com/collections/electricians-tools/products/klein-tools-mm325-digital-multimeter-manual-ranging-600v</v>
      </c>
      <c r="B3513" s="3" t="str">
        <f>HYPERLINK("https://edmondsonsupply.com/products/klein-tools-mm325-digital-multimeter-manual-ranging-600v", "https://edmondsonsupply.com/products/klein-tools-mm325-digital-multimeter-manual-ranging-600v")</f>
        <v>https://edmondsonsupply.com/products/klein-tools-mm325-digital-multimeter-manual-ranging-600v</v>
      </c>
      <c r="C3513" t="s">
        <v>7789</v>
      </c>
      <c r="D3513" t="s">
        <v>7790</v>
      </c>
      <c r="E3513" s="3" t="str">
        <f>HYPERLINK("https://www.amazon.com/Multimeter-Manual-Ranging-Klein-Tools-MM300/dp/B018O18VUW/ref=sr_1_5?keywords=Klein+Tools+MM325+Digital+Multimeter%2C+Manual-Ranging%2C+600V&amp;qid=1695174152&amp;sr=8-5", "https://www.amazon.com/Multimeter-Manual-Ranging-Klein-Tools-MM300/dp/B018O18VUW/ref=sr_1_5?keywords=Klein+Tools+MM325+Digital+Multimeter%2C+Manual-Ranging%2C+600V&amp;qid=1695174152&amp;sr=8-5")</f>
        <v>https://www.amazon.com/Multimeter-Manual-Ranging-Klein-Tools-MM300/dp/B018O18VUW/ref=sr_1_5?keywords=Klein+Tools+MM325+Digital+Multimeter%2C+Manual-Ranging%2C+600V&amp;qid=1695174152&amp;sr=8-5</v>
      </c>
      <c r="F3513" t="s">
        <v>7791</v>
      </c>
      <c r="G3513" t="e">
        <f ca="1">_xludf.IMAGE("https://edmondsonsupply.com/cdn/shop/products/mm325.jpg?v=1663612847")</f>
        <v>#NAME?</v>
      </c>
      <c r="H3513" t="e">
        <f ca="1">_xludf.IMAGE("https://m.media-amazon.com/images/I/51kA6WpFHwL._AC_UL320_.jpg")</f>
        <v>#NAME?</v>
      </c>
      <c r="I3513" t="s">
        <v>340</v>
      </c>
      <c r="J3513">
        <v>36.270000000000003</v>
      </c>
      <c r="K3513" s="4">
        <v>3.7199999999999997E-2</v>
      </c>
      <c r="L3513">
        <v>4.7</v>
      </c>
      <c r="M3513">
        <v>1556</v>
      </c>
      <c r="O3513" t="s">
        <v>25</v>
      </c>
      <c r="P3513" t="s">
        <v>7792</v>
      </c>
      <c r="Q3513" t="s">
        <v>7793</v>
      </c>
    </row>
    <row r="3514" spans="1:17" ht="15.5" x14ac:dyDescent="0.35">
      <c r="A3514"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3514"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3514" t="s">
        <v>5880</v>
      </c>
      <c r="D3514" t="s">
        <v>5869</v>
      </c>
      <c r="E3514" s="3" t="str">
        <f>HYPERLINK("https://www.amazon.com/Diablo-DMAMX1390-SDS-Max-4-Cutter-Carbide-Tipped/dp/B089KW6C8V/ref=sr_1_7?keywords=Diablo+Tools+DMAMXCC5030+3-1%2F4+in.+x+7+in.+SDS-Max+Carbide+Tipped+Core+Bit&amp;qid=1695174010&amp;sr=8-7", "https://www.amazon.com/Diablo-DMAMX1390-SDS-Max-4-Cutter-Carbide-Tipped/dp/B089KW6C8V/ref=sr_1_7?keywords=Diablo+Tools+DMAMXCC5030+3-1%2F4+in.+x+7+in.+SDS-Max+Carbide+Tipped+Core+Bit&amp;qid=1695174010&amp;sr=8-7")</f>
        <v>https://www.amazon.com/Diablo-DMAMX1390-SDS-Max-4-Cutter-Carbide-Tipped/dp/B089KW6C8V/ref=sr_1_7?keywords=Diablo+Tools+DMAMXCC5030+3-1%2F4+in.+x+7+in.+SDS-Max+Carbide+Tipped+Core+Bit&amp;qid=1695174010&amp;sr=8-7</v>
      </c>
      <c r="F3514" t="s">
        <v>5870</v>
      </c>
      <c r="G3514" t="e">
        <f ca="1">_xludf.IMAGE("https://edmondsonsupply.com/cdn/shop/files/gtygiwnduxetozty2qne.webp?v=1686585332")</f>
        <v>#NAME?</v>
      </c>
      <c r="H3514" t="e">
        <f ca="1">_xludf.IMAGE("https://m.media-amazon.com/images/I/61J-83UaGmL._AC_UL320_.jpg")</f>
        <v>#NAME?</v>
      </c>
      <c r="I3514" t="s">
        <v>5883</v>
      </c>
      <c r="J3514">
        <v>130.66999999999999</v>
      </c>
      <c r="K3514" s="4">
        <v>3.7100000000000001E-2</v>
      </c>
      <c r="L3514">
        <v>4.8</v>
      </c>
      <c r="M3514">
        <v>10</v>
      </c>
      <c r="O3514" t="s">
        <v>25</v>
      </c>
      <c r="P3514" t="s">
        <v>5884</v>
      </c>
      <c r="Q3514" t="s">
        <v>5885</v>
      </c>
    </row>
    <row r="3515" spans="1:17" ht="15.5" x14ac:dyDescent="0.35">
      <c r="A3515" s="3" t="str">
        <f>HYPERLINK("https://edmondsonsupply.com/collections/electricians-tools/products/klein-tools-70572-grip-it%C2%AE-ball-end-hex-set-5-key-metric-sizes", "https://edmondsonsupply.com/collections/electricians-tools/products/klein-tools-70572-grip-it%C2%AE-ball-end-hex-set-5-key-metric-sizes")</f>
        <v>https://edmondsonsupply.com/collections/electricians-tools/products/klein-tools-70572-grip-it%C2%AE-ball-end-hex-set-5-key-metric-sizes</v>
      </c>
      <c r="B3515" s="3" t="str">
        <f>HYPERLINK("https://edmondsonsupply.com/products/klein-tools-70572-grip-it%c2%ae-ball-end-hex-set-5-key-metric-sizes", "https://edmondsonsupply.com/products/klein-tools-70572-grip-it%c2%ae-ball-end-hex-set-5-key-metric-sizes")</f>
        <v>https://edmondsonsupply.com/products/klein-tools-70572-grip-it%c2%ae-ball-end-hex-set-5-key-metric-sizes</v>
      </c>
      <c r="C3515" t="s">
        <v>7794</v>
      </c>
      <c r="D3515" t="s">
        <v>7795</v>
      </c>
      <c r="E3515" s="3" t="str">
        <f>HYPERLINK("https://www.amazon.com/Klein-Tools-70571-Grip-Sizes/dp/B0002RI8P0/ref=sr_1_2?keywords=Klein+Tools+70572+Grip-It%C2%AE+Ball+End+Hex+Set%2C+5-Key%2C+Metric+Sizes&amp;qid=1695174191&amp;sr=8-2", "https://www.amazon.com/Klein-Tools-70571-Grip-Sizes/dp/B0002RI8P0/ref=sr_1_2?keywords=Klein+Tools+70572+Grip-It%C2%AE+Ball+End+Hex+Set%2C+5-Key%2C+Metric+Sizes&amp;qid=1695174191&amp;sr=8-2")</f>
        <v>https://www.amazon.com/Klein-Tools-70571-Grip-Sizes/dp/B0002RI8P0/ref=sr_1_2?keywords=Klein+Tools+70572+Grip-It%C2%AE+Ball+End+Hex+Set%2C+5-Key%2C+Metric+Sizes&amp;qid=1695174191&amp;sr=8-2</v>
      </c>
      <c r="F3515" t="s">
        <v>7796</v>
      </c>
      <c r="G3515" t="e">
        <f ca="1">_xludf.IMAGE("https://edmondsonsupply.com/cdn/shop/products/70572.jpg?v=1661198448")</f>
        <v>#NAME?</v>
      </c>
      <c r="H3515" t="e">
        <f ca="1">_xludf.IMAGE("https://m.media-amazon.com/images/I/51dn90ONbbL._AC_UL320_.jpg")</f>
        <v>#NAME?</v>
      </c>
      <c r="I3515" t="s">
        <v>3454</v>
      </c>
      <c r="J3515">
        <v>13.99</v>
      </c>
      <c r="K3515" s="4">
        <v>3.7100000000000001E-2</v>
      </c>
      <c r="L3515">
        <v>4.5999999999999996</v>
      </c>
      <c r="M3515">
        <v>159</v>
      </c>
      <c r="O3515" t="s">
        <v>25</v>
      </c>
      <c r="P3515" t="s">
        <v>7797</v>
      </c>
      <c r="Q3515" t="s">
        <v>7798</v>
      </c>
    </row>
    <row r="3516" spans="1:17" ht="15.5" x14ac:dyDescent="0.35">
      <c r="A3516"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3516"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3516" t="s">
        <v>6587</v>
      </c>
      <c r="D3516" t="s">
        <v>4912</v>
      </c>
      <c r="E3516" s="3" t="str">
        <f>HYPERLINK("https://www.amazon.com/Klein-Tools-NCVT2PKIT-Non-Contact-Application/dp/B08FPHS6HL/ref=sr_1_3?keywords=Klein+Tools+NCVT-2P+Dual+Range+Non-Contact+Voltage+Tester+12+-+1000V+AC&amp;qid=1695174301&amp;sr=8-3", "https://www.amazon.com/Klein-Tools-NCVT2PKIT-Non-Contact-Application/dp/B08FPHS6HL/ref=sr_1_3?keywords=Klein+Tools+NCVT-2P+Dual+Range+Non-Contact+Voltage+Tester+12+-+1000V+AC&amp;qid=1695174301&amp;sr=8-3")</f>
        <v>https://www.amazon.com/Klein-Tools-NCVT2PKIT-Non-Contact-Application/dp/B08FPHS6HL/ref=sr_1_3?keywords=Klein+Tools+NCVT-2P+Dual+Range+Non-Contact+Voltage+Tester+12+-+1000V+AC&amp;qid=1695174301&amp;sr=8-3</v>
      </c>
      <c r="F3516" t="s">
        <v>4913</v>
      </c>
      <c r="G3516" t="e">
        <f ca="1">_xludf.IMAGE("https://edmondsonsupply.com/cdn/shop/products/ncvt2p.jpg?v=1633030824")</f>
        <v>#NAME?</v>
      </c>
      <c r="H3516" t="e">
        <f ca="1">_xludf.IMAGE("https://m.media-amazon.com/images/I/511RscwJPxL._AC_UL320_.jpg")</f>
        <v>#NAME?</v>
      </c>
      <c r="I3516" t="s">
        <v>6588</v>
      </c>
      <c r="J3516">
        <v>28.99</v>
      </c>
      <c r="K3516" s="4">
        <v>3.6499999999999998E-2</v>
      </c>
      <c r="L3516">
        <v>4.8</v>
      </c>
      <c r="M3516">
        <v>3262</v>
      </c>
      <c r="O3516" t="s">
        <v>25</v>
      </c>
      <c r="P3516" t="s">
        <v>6589</v>
      </c>
      <c r="Q3516" t="s">
        <v>6590</v>
      </c>
    </row>
    <row r="3517" spans="1:17" ht="15.5" x14ac:dyDescent="0.35">
      <c r="A3517"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3517" s="3" t="str">
        <f>HYPERLINK("https://edmondsonsupply.com/products/klein-tools-31856-1-1-8-inch-carbide-hole-cutter", "https://edmondsonsupply.com/products/klein-tools-31856-1-1-8-inch-carbide-hole-cutter")</f>
        <v>https://edmondsonsupply.com/products/klein-tools-31856-1-1-8-inch-carbide-hole-cutter</v>
      </c>
      <c r="C3517" t="s">
        <v>6035</v>
      </c>
      <c r="D3517" t="s">
        <v>7799</v>
      </c>
      <c r="E3517" s="3" t="str">
        <f>HYPERLINK("https://www.amazon.com/36-303-8-Inch-Carbide-Tipped-Cutter/dp/B002BAZVTW/ref=sr_1_7?keywords=Klein+Tools+31856+1-1%2F8-Inch+Carbide+Hole+Cutter&amp;qid=1695174011&amp;sr=8-7", "https://www.amazon.com/36-303-8-Inch-Carbide-Tipped-Cutter/dp/B002BAZVTW/ref=sr_1_7?keywords=Klein+Tools+31856+1-1%2F8-Inch+Carbide+Hole+Cutter&amp;qid=1695174011&amp;sr=8-7")</f>
        <v>https://www.amazon.com/36-303-8-Inch-Carbide-Tipped-Cutter/dp/B002BAZVTW/ref=sr_1_7?keywords=Klein+Tools+31856+1-1%2F8-Inch+Carbide+Hole+Cutter&amp;qid=1695174011&amp;sr=8-7</v>
      </c>
      <c r="F3517" t="s">
        <v>7800</v>
      </c>
      <c r="G3517" t="e">
        <f ca="1">_xludf.IMAGE("https://edmondsonsupply.com/cdn/shop/files/31856.jpg?v=1685712345")</f>
        <v>#NAME?</v>
      </c>
      <c r="H3517" t="e">
        <f ca="1">_xludf.IMAGE("https://m.media-amazon.com/images/I/511IZF-o-tL._AC_UL320_.jpg")</f>
        <v>#NAME?</v>
      </c>
      <c r="I3517" t="s">
        <v>261</v>
      </c>
      <c r="J3517">
        <v>37.26</v>
      </c>
      <c r="K3517" s="4">
        <v>3.5299999999999998E-2</v>
      </c>
      <c r="L3517">
        <v>4.9000000000000004</v>
      </c>
      <c r="M3517">
        <v>32</v>
      </c>
      <c r="O3517" t="s">
        <v>25</v>
      </c>
      <c r="P3517" t="s">
        <v>6038</v>
      </c>
      <c r="Q3517" t="s">
        <v>6039</v>
      </c>
    </row>
    <row r="3518" spans="1:17" ht="15.5" x14ac:dyDescent="0.35">
      <c r="A3518"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3518"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3518" t="s">
        <v>6587</v>
      </c>
      <c r="D3518" t="s">
        <v>4914</v>
      </c>
      <c r="E3518" s="3" t="str">
        <f>HYPERLINK("https://www.amazon.com/Klein-Tools-NCVT-2-Standard-Protection/dp/B004FXJOQO/ref=sr_1_4?keywords=Klein+Tools+NCVT-2P+Dual+Range+Non-Contact+Voltage+Tester+12+-+1000V+AC&amp;qid=1695174301&amp;sr=8-4", "https://www.amazon.com/Klein-Tools-NCVT-2-Standard-Protection/dp/B004FXJOQO/ref=sr_1_4?keywords=Klein+Tools+NCVT-2P+Dual+Range+Non-Contact+Voltage+Tester+12+-+1000V+AC&amp;qid=1695174301&amp;sr=8-4")</f>
        <v>https://www.amazon.com/Klein-Tools-NCVT-2-Standard-Protection/dp/B004FXJOQO/ref=sr_1_4?keywords=Klein+Tools+NCVT-2P+Dual+Range+Non-Contact+Voltage+Tester+12+-+1000V+AC&amp;qid=1695174301&amp;sr=8-4</v>
      </c>
      <c r="F3518" t="s">
        <v>4915</v>
      </c>
      <c r="G3518" t="e">
        <f ca="1">_xludf.IMAGE("https://edmondsonsupply.com/cdn/shop/products/ncvt2p.jpg?v=1633030824")</f>
        <v>#NAME?</v>
      </c>
      <c r="H3518" t="e">
        <f ca="1">_xludf.IMAGE("https://m.media-amazon.com/images/I/514tywDAdHL._AC_UL320_.jpg")</f>
        <v>#NAME?</v>
      </c>
      <c r="I3518" t="s">
        <v>6588</v>
      </c>
      <c r="J3518">
        <v>28.95</v>
      </c>
      <c r="K3518" s="4">
        <v>3.5000000000000003E-2</v>
      </c>
      <c r="L3518">
        <v>4.5999999999999996</v>
      </c>
      <c r="M3518">
        <v>5762</v>
      </c>
      <c r="O3518" t="s">
        <v>25</v>
      </c>
      <c r="P3518" t="s">
        <v>6589</v>
      </c>
      <c r="Q3518" t="s">
        <v>6590</v>
      </c>
    </row>
    <row r="3519" spans="1:17" ht="15.5" x14ac:dyDescent="0.35">
      <c r="A3519" s="3" t="str">
        <f>HYPERLINK("https://edmondsonsupply.com/collections/electricians-tools/products/reed-mfg-dhr12-1-2npt-r12-drophead-1-2-npt", "https://edmondsonsupply.com/collections/electricians-tools/products/reed-mfg-dhr12-1-2npt-r12-drophead-1-2-npt")</f>
        <v>https://edmondsonsupply.com/collections/electricians-tools/products/reed-mfg-dhr12-1-2npt-r12-drophead-1-2-npt</v>
      </c>
      <c r="B3519" s="3" t="str">
        <f>HYPERLINK("https://edmondsonsupply.com/products/reed-mfg-dhr12-1-2npt-r12-drophead-1-2-npt", "https://edmondsonsupply.com/products/reed-mfg-dhr12-1-2npt-r12-drophead-1-2-npt")</f>
        <v>https://edmondsonsupply.com/products/reed-mfg-dhr12-1-2npt-r12-drophead-1-2-npt</v>
      </c>
      <c r="C3519" t="s">
        <v>7194</v>
      </c>
      <c r="D3519" t="s">
        <v>5250</v>
      </c>
      <c r="E3519" s="3" t="str">
        <f>HYPERLINK("https://www.amazon.com/Reed-Tool-DHR12-4NPT-Drophead/dp/B000ZH6R3M/ref=sr_1_fkmr1_1?keywords=Reed+Mfg+DHR12+1%2F2NPT+R12%2B+Drophead%2C+1%2F2%22+NPT&amp;qid=1695174269&amp;sr=8-1-fkmr1", "https://www.amazon.com/Reed-Tool-DHR12-4NPT-Drophead/dp/B000ZH6R3M/ref=sr_1_fkmr1_1?keywords=Reed+Mfg+DHR12+1%2F2NPT+R12%2B+Drophead%2C+1%2F2%22+NPT&amp;qid=1695174269&amp;sr=8-1-fkmr1")</f>
        <v>https://www.amazon.com/Reed-Tool-DHR12-4NPT-Drophead/dp/B000ZH6R3M/ref=sr_1_fkmr1_1?keywords=Reed+Mfg+DHR12+1%2F2NPT+R12%2B+Drophead%2C+1%2F2%22+NPT&amp;qid=1695174269&amp;sr=8-1-fkmr1</v>
      </c>
      <c r="F3519" t="s">
        <v>5251</v>
      </c>
      <c r="G3519" t="e">
        <f ca="1">_xludf.IMAGE("https://edmondsonsupply.com/cdn/shop/products/05626-DHR12-1-2NPT-RGB.jpg?v=1633031013")</f>
        <v>#NAME?</v>
      </c>
      <c r="H3519" t="e">
        <f ca="1">_xludf.IMAGE("https://m.media-amazon.com/images/I/51I4FIWUu7L._AC_UY218_.jpg")</f>
        <v>#NAME?</v>
      </c>
      <c r="I3519" t="s">
        <v>7197</v>
      </c>
      <c r="J3519">
        <v>125.3</v>
      </c>
      <c r="K3519" s="4">
        <v>3.4200000000000001E-2</v>
      </c>
      <c r="L3519">
        <v>1</v>
      </c>
      <c r="M3519">
        <v>1</v>
      </c>
      <c r="O3519" t="s">
        <v>25</v>
      </c>
      <c r="P3519" t="s">
        <v>7198</v>
      </c>
      <c r="Q3519" t="s">
        <v>7199</v>
      </c>
    </row>
    <row r="3520" spans="1:17" ht="15.5" x14ac:dyDescent="0.35">
      <c r="A3520" s="3" t="str">
        <f>HYPERLINK("https://edmondsonsupply.com/collections/electricians-tools/products/reed-mfg-dhr12-3-4npt-r12-drophead-3-4-npt", "https://edmondsonsupply.com/collections/electricians-tools/products/reed-mfg-dhr12-3-4npt-r12-drophead-3-4-npt")</f>
        <v>https://edmondsonsupply.com/collections/electricians-tools/products/reed-mfg-dhr12-3-4npt-r12-drophead-3-4-npt</v>
      </c>
      <c r="B3520" s="3" t="str">
        <f>HYPERLINK("https://edmondsonsupply.com/products/reed-mfg-dhr12-3-4npt-r12-drophead-3-4-npt", "https://edmondsonsupply.com/products/reed-mfg-dhr12-3-4npt-r12-drophead-3-4-npt")</f>
        <v>https://edmondsonsupply.com/products/reed-mfg-dhr12-3-4npt-r12-drophead-3-4-npt</v>
      </c>
      <c r="C3520" t="s">
        <v>7801</v>
      </c>
      <c r="D3520" t="s">
        <v>5250</v>
      </c>
      <c r="E3520" s="3" t="str">
        <f>HYPERLINK("https://www.amazon.com/Reed-Tool-DHR12-4NPT-Drophead/dp/B000ZH6R3M/ref=sr_1_1?keywords=Reed+Mfg+DHR12+3%2F4NPT+R12%2B+Drophead%2C+3%2F4%22+NPT&amp;qid=1695174268&amp;sr=8-1", "https://www.amazon.com/Reed-Tool-DHR12-4NPT-Drophead/dp/B000ZH6R3M/ref=sr_1_1?keywords=Reed+Mfg+DHR12+3%2F4NPT+R12%2B+Drophead%2C+3%2F4%22+NPT&amp;qid=1695174268&amp;sr=8-1")</f>
        <v>https://www.amazon.com/Reed-Tool-DHR12-4NPT-Drophead/dp/B000ZH6R3M/ref=sr_1_1?keywords=Reed+Mfg+DHR12+3%2F4NPT+R12%2B+Drophead%2C+3%2F4%22+NPT&amp;qid=1695174268&amp;sr=8-1</v>
      </c>
      <c r="F3520" t="s">
        <v>5251</v>
      </c>
      <c r="G3520" t="e">
        <f ca="1">_xludf.IMAGE("https://edmondsonsupply.com/cdn/shop/products/05628-DHR12-3-4NPT-RGB.jpg?v=1633031013")</f>
        <v>#NAME?</v>
      </c>
      <c r="H3520" t="e">
        <f ca="1">_xludf.IMAGE("https://m.media-amazon.com/images/I/51I4FIWUu7L._AC_UY218_.jpg")</f>
        <v>#NAME?</v>
      </c>
      <c r="I3520" t="s">
        <v>7197</v>
      </c>
      <c r="J3520">
        <v>125.3</v>
      </c>
      <c r="K3520" s="4">
        <v>3.4200000000000001E-2</v>
      </c>
      <c r="L3520">
        <v>1</v>
      </c>
      <c r="M3520">
        <v>1</v>
      </c>
      <c r="O3520" t="s">
        <v>25</v>
      </c>
      <c r="P3520" t="s">
        <v>7198</v>
      </c>
      <c r="Q3520" t="s">
        <v>7802</v>
      </c>
    </row>
    <row r="3521" spans="1:17" ht="15.5" x14ac:dyDescent="0.35">
      <c r="A3521" s="3" t="str">
        <f>HYPERLINK("https://edmondsonsupply.com/collections/electricians-tools/products/tajima-lc-650-rock-hard%C2%AE-utility-knife-dial-blade-lock-1x-rock-hard-blade", "https://edmondsonsupply.com/collections/electricians-tools/products/tajima-lc-650-rock-hard%C2%AE-utility-knife-dial-blade-lock-1x-rock-hard-blade")</f>
        <v>https://edmondsonsupply.com/collections/electricians-tools/products/tajima-lc-650-rock-hard%C2%AE-utility-knife-dial-blade-lock-1x-rock-hard-blade</v>
      </c>
      <c r="B3521" s="3" t="str">
        <f>HYPERLINK("https://edmondsonsupply.com/products/tajima-lc-650-rock-hard%c2%ae-utility-knife-dial-blade-lock-1x-rock-hard-blade", "https://edmondsonsupply.com/products/tajima-lc-650-rock-hard%c2%ae-utility-knife-dial-blade-lock-1x-rock-hard-blade")</f>
        <v>https://edmondsonsupply.com/products/tajima-lc-650-rock-hard%c2%ae-utility-knife-dial-blade-lock-1x-rock-hard-blade</v>
      </c>
      <c r="C3521" t="s">
        <v>7803</v>
      </c>
      <c r="D3521" t="s">
        <v>7804</v>
      </c>
      <c r="E3521" s="3" t="str">
        <f>HYPERLINK("https://www.amazon.com/Tajima-LC-650-Rock-Utility-Knife/dp/B0006HHWY4/ref=sr_1_1?keywords=Tajima+LC-650+Rock+Hard%C2%AE+Utility+Knife%2C+Dial+Blade+Lock%2C+1x+Rock+Hard+Blade&amp;qid=1695174258&amp;sr=8-1", "https://www.amazon.com/Tajima-LC-650-Rock-Utility-Knife/dp/B0006HHWY4/ref=sr_1_1?keywords=Tajima+LC-650+Rock+Hard%C2%AE+Utility+Knife%2C+Dial+Blade+Lock%2C+1x+Rock+Hard+Blade&amp;qid=1695174258&amp;sr=8-1")</f>
        <v>https://www.amazon.com/Tajima-LC-650-Rock-Utility-Knife/dp/B0006HHWY4/ref=sr_1_1?keywords=Tajima+LC-650+Rock+Hard%C2%AE+Utility+Knife%2C+Dial+Blade+Lock%2C+1x+Rock+Hard+Blade&amp;qid=1695174258&amp;sr=8-1</v>
      </c>
      <c r="F3521" t="s">
        <v>7805</v>
      </c>
      <c r="G3521" t="e">
        <f ca="1">_xludf.IMAGE("https://edmondsonsupply.com/cdn/shop/products/LC-650_s-2.jpg?v=1633031160")</f>
        <v>#NAME?</v>
      </c>
      <c r="H3521" t="e">
        <f ca="1">_xludf.IMAGE("https://m.media-amazon.com/images/I/61SMcIF7dlL._AC_UL320_.jpg")</f>
        <v>#NAME?</v>
      </c>
      <c r="I3521" t="s">
        <v>7806</v>
      </c>
      <c r="J3521">
        <v>12.5</v>
      </c>
      <c r="K3521" s="4">
        <v>3.39E-2</v>
      </c>
      <c r="L3521">
        <v>4.8</v>
      </c>
      <c r="M3521">
        <v>318</v>
      </c>
      <c r="O3521" t="s">
        <v>25</v>
      </c>
      <c r="P3521" t="s">
        <v>138</v>
      </c>
      <c r="Q3521" t="s">
        <v>7807</v>
      </c>
    </row>
    <row r="3522" spans="1:17" ht="15.5" x14ac:dyDescent="0.35">
      <c r="A3522"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3522" s="3" t="str">
        <f>HYPERLINK("https://edmondsonsupply.com/products/klein-tools-44005c-hawkbill-lockback-knife-with-clip", "https://edmondsonsupply.com/products/klein-tools-44005c-hawkbill-lockback-knife-with-clip")</f>
        <v>https://edmondsonsupply.com/products/klein-tools-44005c-hawkbill-lockback-knife-with-clip</v>
      </c>
      <c r="C3522" t="s">
        <v>7808</v>
      </c>
      <c r="D3522" t="s">
        <v>7809</v>
      </c>
      <c r="E3522" s="3" t="str">
        <f>HYPERLINK("https://www.amazon.com/Klein-Tools-Hawkbill-Lockback-Round/dp/B082PKQRKT/ref=sr_1_2?keywords=Klein+Tools+44005C+Hawkbill+Lockback+Knife+with+Clip&amp;qid=1695174149&amp;sr=8-2", "https://www.amazon.com/Klein-Tools-Hawkbill-Lockback-Round/dp/B082PKQRKT/ref=sr_1_2?keywords=Klein+Tools+44005C+Hawkbill+Lockback+Knife+with+Clip&amp;qid=1695174149&amp;sr=8-2")</f>
        <v>https://www.amazon.com/Klein-Tools-Hawkbill-Lockback-Round/dp/B082PKQRKT/ref=sr_1_2?keywords=Klein+Tools+44005C+Hawkbill+Lockback+Knife+with+Clip&amp;qid=1695174149&amp;sr=8-2</v>
      </c>
      <c r="F3522" t="s">
        <v>7810</v>
      </c>
      <c r="G3522" t="e">
        <f ca="1">_xludf.IMAGE("https://edmondsonsupply.com/cdn/shop/products/44005c.jpg?v=1664810854")</f>
        <v>#NAME?</v>
      </c>
      <c r="H3522" t="e">
        <f ca="1">_xludf.IMAGE("https://m.media-amazon.com/images/I/512+ClgLcNL._AC_UL320_.jpg")</f>
        <v>#NAME?</v>
      </c>
      <c r="I3522" t="s">
        <v>1931</v>
      </c>
      <c r="J3522">
        <v>51.64</v>
      </c>
      <c r="K3522" s="4">
        <v>3.3000000000000002E-2</v>
      </c>
      <c r="L3522">
        <v>5</v>
      </c>
      <c r="M3522">
        <v>1</v>
      </c>
      <c r="O3522" t="s">
        <v>25</v>
      </c>
      <c r="P3522" t="s">
        <v>7811</v>
      </c>
      <c r="Q3522" t="s">
        <v>7812</v>
      </c>
    </row>
    <row r="3523" spans="1:17" ht="15.5" x14ac:dyDescent="0.35">
      <c r="A3523" s="3" t="str">
        <f>HYPERLINK("https://edmondsonsupply.com/collections/electricians-tools/products/fluke-377-fc-non-contact-voltage-true-rms-ac-dc-clamp-meter-with-iflex", "https://edmondsonsupply.com/collections/electricians-tools/products/fluke-377-fc-non-contact-voltage-true-rms-ac-dc-clamp-meter-with-iflex")</f>
        <v>https://edmondsonsupply.com/collections/electricians-tools/products/fluke-377-fc-non-contact-voltage-true-rms-ac-dc-clamp-meter-with-iflex</v>
      </c>
      <c r="B3523" s="3" t="str">
        <f>HYPERLINK("https://edmondsonsupply.com/products/fluke-377-fc-non-contact-voltage-true-rms-ac-dc-clamp-meter-with-iflex", "https://edmondsonsupply.com/products/fluke-377-fc-non-contact-voltage-true-rms-ac-dc-clamp-meter-with-iflex")</f>
        <v>https://edmondsonsupply.com/products/fluke-377-fc-non-contact-voltage-true-rms-ac-dc-clamp-meter-with-iflex</v>
      </c>
      <c r="C3523" t="s">
        <v>7466</v>
      </c>
      <c r="D3523" t="s">
        <v>3767</v>
      </c>
      <c r="E3523" s="3" t="str">
        <f>HYPERLINK("https://www.amazon.com/Fluke-376-FC-NIST-Traceable-Calibration-Certificate/dp/B01CFXIMOU/ref=sr_1_5?keywords=Fluke+377+FC+Non-Contact+Voltage+True-RMS+AC%2FDC+Clamp+Meter+with+iFlex&amp;qid=1695174253&amp;sr=8-5", "https://www.amazon.com/Fluke-376-FC-NIST-Traceable-Calibration-Certificate/dp/B01CFXIMOU/ref=sr_1_5?keywords=Fluke+377+FC+Non-Contact+Voltage+True-RMS+AC%2FDC+Clamp+Meter+with+iFlex&amp;qid=1695174253&amp;sr=8-5")</f>
        <v>https://www.amazon.com/Fluke-376-FC-NIST-Traceable-Calibration-Certificate/dp/B01CFXIMOU/ref=sr_1_5?keywords=Fluke+377+FC+Non-Contact+Voltage+True-RMS+AC%2FDC+Clamp+Meter+with+iFlex&amp;qid=1695174253&amp;sr=8-5</v>
      </c>
      <c r="F3523" t="s">
        <v>3768</v>
      </c>
      <c r="G3523" t="e">
        <f ca="1">_xludf.IMAGE("https://edmondsonsupply.com/cdn/shop/products/377_FC_72dpi_499x1024px_E_NR-27677.jpg?v=1633031119")</f>
        <v>#NAME?</v>
      </c>
      <c r="H3523" t="e">
        <f ca="1">_xludf.IMAGE("https://m.media-amazon.com/images/I/81SZ2OCx2VL._AC_UL320_.jpg")</f>
        <v>#NAME?</v>
      </c>
      <c r="I3523" t="s">
        <v>7467</v>
      </c>
      <c r="J3523">
        <v>659.99</v>
      </c>
      <c r="K3523" s="4">
        <v>3.1399999999999997E-2</v>
      </c>
      <c r="L3523">
        <v>4.5999999999999996</v>
      </c>
      <c r="M3523">
        <v>21</v>
      </c>
      <c r="O3523" t="s">
        <v>171</v>
      </c>
      <c r="P3523" t="s">
        <v>7468</v>
      </c>
      <c r="Q3523" t="s">
        <v>7469</v>
      </c>
    </row>
    <row r="3524" spans="1:17" ht="15.5" x14ac:dyDescent="0.35">
      <c r="A3524" s="3" t="str">
        <f>HYPERLINK("https://edmondsonsupply.com/collections/electricians-tools/products/diablo-tools-d0424x-4-1-2-in-x-24-tooth-framing-trim-saw-blade", "https://edmondsonsupply.com/collections/electricians-tools/products/diablo-tools-d0424x-4-1-2-in-x-24-tooth-framing-trim-saw-blade")</f>
        <v>https://edmondsonsupply.com/collections/electricians-tools/products/diablo-tools-d0424x-4-1-2-in-x-24-tooth-framing-trim-saw-blade</v>
      </c>
      <c r="B3524" s="3" t="str">
        <f>HYPERLINK("https://edmondsonsupply.com/products/diablo-tools-d0424x-4-1-2-in-x-24-tooth-framing-trim-saw-blade", "https://edmondsonsupply.com/products/diablo-tools-d0424x-4-1-2-in-x-24-tooth-framing-trim-saw-blade")</f>
        <v>https://edmondsonsupply.com/products/diablo-tools-d0424x-4-1-2-in-x-24-tooth-framing-trim-saw-blade</v>
      </c>
      <c r="C3524" t="s">
        <v>7740</v>
      </c>
      <c r="D3524" t="s">
        <v>7813</v>
      </c>
      <c r="E3524" s="3" t="str">
        <f>HYPERLINK("https://www.amazon.com/Freud-D0436X-Cordless-20-Millimeter-Reducer/dp/B0002TUFAO/ref=sr_1_1?keywords=Diablo+Tools+D0424X+4-1%2F2+in.+x+24+Tooth+Framing+Trim+Saw+Blade&amp;qid=1695174057&amp;sr=8-1", "https://www.amazon.com/Freud-D0436X-Cordless-20-Millimeter-Reducer/dp/B0002TUFAO/ref=sr_1_1?keywords=Diablo+Tools+D0424X+4-1%2F2+in.+x+24+Tooth+Framing+Trim+Saw+Blade&amp;qid=1695174057&amp;sr=8-1")</f>
        <v>https://www.amazon.com/Freud-D0436X-Cordless-20-Millimeter-Reducer/dp/B0002TUFAO/ref=sr_1_1?keywords=Diablo+Tools+D0424X+4-1%2F2+in.+x+24+Tooth+Framing+Trim+Saw+Blade&amp;qid=1695174057&amp;sr=8-1</v>
      </c>
      <c r="F3524" t="s">
        <v>7814</v>
      </c>
      <c r="G3524" t="e">
        <f ca="1">_xludf.IMAGE("https://edmondsonsupply.com/cdn/shop/products/kscyqpb4khjcxmaeciqc.webp?v=1679327311")</f>
        <v>#NAME?</v>
      </c>
      <c r="H3524" t="e">
        <f ca="1">_xludf.IMAGE("https://m.media-amazon.com/images/I/81ODrvwzTbL._AC_UL320_.jpg")</f>
        <v>#NAME?</v>
      </c>
      <c r="I3524" t="s">
        <v>2784</v>
      </c>
      <c r="J3524">
        <v>15.43</v>
      </c>
      <c r="K3524" s="4">
        <v>3.0700000000000002E-2</v>
      </c>
      <c r="L3524">
        <v>4.7</v>
      </c>
      <c r="M3524">
        <v>1258</v>
      </c>
      <c r="O3524" t="s">
        <v>25</v>
      </c>
      <c r="P3524" t="s">
        <v>7743</v>
      </c>
      <c r="Q3524" t="s">
        <v>7744</v>
      </c>
    </row>
    <row r="3525" spans="1:17" ht="15.5" x14ac:dyDescent="0.35">
      <c r="A3525"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3525" s="3" t="str">
        <f>HYPERLINK("https://edmondsonsupply.com/products/diablo-tools-dag1110-7-8-in-x-7-1-2-in-auger-bit", "https://edmondsonsupply.com/products/diablo-tools-dag1110-7-8-in-x-7-1-2-in-auger-bit")</f>
        <v>https://edmondsonsupply.com/products/diablo-tools-dag1110-7-8-in-x-7-1-2-in-auger-bit</v>
      </c>
      <c r="C3525" t="s">
        <v>6839</v>
      </c>
      <c r="D3525" t="s">
        <v>4870</v>
      </c>
      <c r="E3525" s="3" t="str">
        <f>HYPERLINK("https://www.amazon.com/Diablo-Freud-DAG1090-7-1-Auger/dp/B089KW4S6Y/ref=sr_1_4?keywords=Diablo+Tools+DAG1110+7%2F8+in.+x+7-1%2F2+in.+Auger+Bit&amp;qid=1695174030&amp;sr=8-4", "https://www.amazon.com/Diablo-Freud-DAG1090-7-1-Auger/dp/B089KW4S6Y/ref=sr_1_4?keywords=Diablo+Tools+DAG1110+7%2F8+in.+x+7-1%2F2+in.+Auger+Bit&amp;qid=1695174030&amp;sr=8-4")</f>
        <v>https://www.amazon.com/Diablo-Freud-DAG1090-7-1-Auger/dp/B089KW4S6Y/ref=sr_1_4?keywords=Diablo+Tools+DAG1110+7%2F8+in.+x+7-1%2F2+in.+Auger+Bit&amp;qid=1695174030&amp;sr=8-4</v>
      </c>
      <c r="F3525" t="s">
        <v>4871</v>
      </c>
      <c r="G3525" t="e">
        <f ca="1">_xludf.IMAGE("https://edmondsonsupply.com/cdn/shop/products/yel7mbaiyy08ii0assd5.webp?v=1680187136")</f>
        <v>#NAME?</v>
      </c>
      <c r="H3525" t="e">
        <f ca="1">_xludf.IMAGE("https://m.media-amazon.com/images/I/61wiLPAG21L._AC_UL320_.jpg")</f>
        <v>#NAME?</v>
      </c>
      <c r="I3525" t="s">
        <v>4985</v>
      </c>
      <c r="J3525">
        <v>17.489999999999998</v>
      </c>
      <c r="K3525" s="4">
        <v>3.0599999999999999E-2</v>
      </c>
      <c r="L3525">
        <v>4.4000000000000004</v>
      </c>
      <c r="M3525">
        <v>35</v>
      </c>
      <c r="O3525" t="s">
        <v>25</v>
      </c>
      <c r="P3525" t="s">
        <v>6840</v>
      </c>
      <c r="Q3525" t="s">
        <v>6841</v>
      </c>
    </row>
    <row r="3526" spans="1:17" ht="15.5" x14ac:dyDescent="0.35">
      <c r="A3526"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3526"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3526" t="s">
        <v>6321</v>
      </c>
      <c r="D3526" t="s">
        <v>7815</v>
      </c>
      <c r="E3526" s="3" t="str">
        <f>HYPERLINK("https://www.amazon.com/2880-20-Milwaukee-Grinder-Paddle-No-Lock/dp/B0C1BWXP7W/ref=sr_1_2?keywords=Milwaukee+2880-20+M18+FUEL%E2%84%A2+4-1%2F2%22+%2F+5%22+Grinder+Paddle+Switch%2C+No-Lock&amp;qid=1695174165&amp;sr=8-2", "https://www.amazon.com/2880-20-Milwaukee-Grinder-Paddle-No-Lock/dp/B0C1BWXP7W/ref=sr_1_2?keywords=Milwaukee+2880-20+M18+FUEL%E2%84%A2+4-1%2F2%22+%2F+5%22+Grinder+Paddle+Switch%2C+No-Lock&amp;qid=1695174165&amp;sr=8-2")</f>
        <v>https://www.amazon.com/2880-20-Milwaukee-Grinder-Paddle-No-Lock/dp/B0C1BWXP7W/ref=sr_1_2?keywords=Milwaukee+2880-20+M18+FUEL%E2%84%A2+4-1%2F2%22+%2F+5%22+Grinder+Paddle+Switch%2C+No-Lock&amp;qid=1695174165&amp;sr=8-2</v>
      </c>
      <c r="F3526" t="s">
        <v>7816</v>
      </c>
      <c r="G3526" t="e">
        <f ca="1">_xludf.IMAGE("https://edmondsonsupply.com/cdn/shop/products/2880-20_1.webp?v=1661698933")</f>
        <v>#NAME?</v>
      </c>
      <c r="H3526" t="e">
        <f ca="1">_xludf.IMAGE("https://m.media-amazon.com/images/I/611hF2k6v8L._AC_UL320_.jpg")</f>
        <v>#NAME?</v>
      </c>
      <c r="I3526" t="s">
        <v>715</v>
      </c>
      <c r="J3526">
        <v>205</v>
      </c>
      <c r="K3526" s="4">
        <v>3.0200000000000001E-2</v>
      </c>
      <c r="L3526">
        <v>3</v>
      </c>
      <c r="M3526">
        <v>1</v>
      </c>
      <c r="O3526" t="s">
        <v>25</v>
      </c>
      <c r="P3526" t="s">
        <v>4885</v>
      </c>
      <c r="Q3526" t="s">
        <v>6324</v>
      </c>
    </row>
    <row r="3527" spans="1:17" ht="15.5" x14ac:dyDescent="0.35">
      <c r="A3527" s="3" t="str">
        <f>HYPERLINK("https://edmondsonsupply.com/collections/electricians-tools/products/klein-tools-50351-steel-fish-tape-swivel-eyelet", "https://edmondsonsupply.com/collections/electricians-tools/products/klein-tools-50351-steel-fish-tape-swivel-eyelet")</f>
        <v>https://edmondsonsupply.com/collections/electricians-tools/products/klein-tools-50351-steel-fish-tape-swivel-eyelet</v>
      </c>
      <c r="B3527" s="3" t="str">
        <f>HYPERLINK("https://edmondsonsupply.com/products/klein-tools-50351-steel-fish-tape-swivel-eyelet", "https://edmondsonsupply.com/products/klein-tools-50351-steel-fish-tape-swivel-eyelet")</f>
        <v>https://edmondsonsupply.com/products/klein-tools-50351-steel-fish-tape-swivel-eyelet</v>
      </c>
      <c r="C3527" t="s">
        <v>7817</v>
      </c>
      <c r="D3527" t="s">
        <v>7818</v>
      </c>
      <c r="E3527" s="3" t="str">
        <f>HYPERLINK("https://www.amazon.com/Swivel-Flat-Steel-Klein-Tools-50351/dp/B0002RI5QW/ref=sr_1_1?keywords=Klein+Tools+50351+Steel+Fish+Tape+Swivel+Eyelet&amp;qid=1695174226&amp;sr=8-1", "https://www.amazon.com/Swivel-Flat-Steel-Klein-Tools-50351/dp/B0002RI5QW/ref=sr_1_1?keywords=Klein+Tools+50351+Steel+Fish+Tape+Swivel+Eyelet&amp;qid=1695174226&amp;sr=8-1")</f>
        <v>https://www.amazon.com/Swivel-Flat-Steel-Klein-Tools-50351/dp/B0002RI5QW/ref=sr_1_1?keywords=Klein+Tools+50351+Steel+Fish+Tape+Swivel+Eyelet&amp;qid=1695174226&amp;sr=8-1</v>
      </c>
      <c r="F3527" t="s">
        <v>7819</v>
      </c>
      <c r="G3527" t="e">
        <f ca="1">_xludf.IMAGE("https://edmondsonsupply.com/cdn/shop/products/50351.jpg?v=1641776718")</f>
        <v>#NAME?</v>
      </c>
      <c r="H3527" t="e">
        <f ca="1">_xludf.IMAGE("https://m.media-amazon.com/images/I/51gRwx9DMzL._AC_UL320_.jpg")</f>
        <v>#NAME?</v>
      </c>
      <c r="I3527" t="s">
        <v>276</v>
      </c>
      <c r="J3527">
        <v>15.43</v>
      </c>
      <c r="K3527" s="4">
        <v>2.9399999999999999E-2</v>
      </c>
      <c r="L3527">
        <v>4.4000000000000004</v>
      </c>
      <c r="M3527">
        <v>31</v>
      </c>
      <c r="O3527" t="s">
        <v>171</v>
      </c>
      <c r="P3527" t="s">
        <v>7820</v>
      </c>
      <c r="Q3527" t="s">
        <v>7821</v>
      </c>
    </row>
    <row r="3528" spans="1:17" ht="15.5" x14ac:dyDescent="0.35">
      <c r="A3528"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3528"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3528" t="s">
        <v>6463</v>
      </c>
      <c r="D3528" t="s">
        <v>7444</v>
      </c>
      <c r="E3528" s="3" t="str">
        <f>HYPERLINK("https://www.amazon.com/Journeyman-T-Handle-Klein-Tools-JTH6E12BE/dp/B004QW74L6/ref=sr_1_4?keywords=Klein+Tools+JTH6M6BE+6+mm+Ball-End+Hex+Key%2C+Journeyman%E2%84%A2+T-Handle%2C+6-Inch&amp;qid=1695174142&amp;sr=8-4", "https://www.amazon.com/Journeyman-T-Handle-Klein-Tools-JTH6E12BE/dp/B004QW74L6/ref=sr_1_4?keywords=Klein+Tools+JTH6M6BE+6+mm+Ball-End+Hex+Key%2C+Journeyman%E2%84%A2+T-Handle%2C+6-Inch&amp;qid=1695174142&amp;sr=8-4")</f>
        <v>https://www.amazon.com/Journeyman-T-Handle-Klein-Tools-JTH6E12BE/dp/B004QW74L6/ref=sr_1_4?keywords=Klein+Tools+JTH6M6BE+6+mm+Ball-End+Hex+Key%2C+Journeyman%E2%84%A2+T-Handle%2C+6-Inch&amp;qid=1695174142&amp;sr=8-4</v>
      </c>
      <c r="F3528" t="s">
        <v>7445</v>
      </c>
      <c r="G3528" t="e">
        <f ca="1">_xludf.IMAGE("https://edmondsonsupply.com/cdn/shop/products/jth6m8be_8608088e-2ec0-429e-80d7-5bd927a3a1b6.jpg?v=1666111557")</f>
        <v>#NAME?</v>
      </c>
      <c r="H3528" t="e">
        <f ca="1">_xludf.IMAGE("https://m.media-amazon.com/images/I/51f9vBFVXgL._AC_UL320_.jpg")</f>
        <v>#NAME?</v>
      </c>
      <c r="I3528" t="s">
        <v>2639</v>
      </c>
      <c r="J3528">
        <v>6.15</v>
      </c>
      <c r="K3528" s="4">
        <v>2.6700000000000002E-2</v>
      </c>
      <c r="L3528">
        <v>4.5</v>
      </c>
      <c r="M3528">
        <v>9</v>
      </c>
      <c r="O3528" t="s">
        <v>25</v>
      </c>
      <c r="P3528" t="s">
        <v>6464</v>
      </c>
      <c r="Q3528" t="s">
        <v>6465</v>
      </c>
    </row>
    <row r="3529" spans="1:17" ht="15.5" x14ac:dyDescent="0.35">
      <c r="A3529"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3529"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3529" t="s">
        <v>6587</v>
      </c>
      <c r="D3529" t="s">
        <v>7822</v>
      </c>
      <c r="E3529" s="3" t="str">
        <f>HYPERLINK("https://www.amazon.com/Klein-Tools-NCVT3P-Flashlight-Protection/dp/B08DQMX7YF/ref=sr_1_2?keywords=Klein+Tools+NCVT-2P+Dual+Range+Non-Contact+Voltage+Tester+12+-+1000V+AC&amp;qid=1695174301&amp;sr=8-2", "https://www.amazon.com/Klein-Tools-NCVT3P-Flashlight-Protection/dp/B08DQMX7YF/ref=sr_1_2?keywords=Klein+Tools+NCVT-2P+Dual+Range+Non-Contact+Voltage+Tester+12+-+1000V+AC&amp;qid=1695174301&amp;sr=8-2")</f>
        <v>https://www.amazon.com/Klein-Tools-NCVT3P-Flashlight-Protection/dp/B08DQMX7YF/ref=sr_1_2?keywords=Klein+Tools+NCVT-2P+Dual+Range+Non-Contact+Voltage+Tester+12+-+1000V+AC&amp;qid=1695174301&amp;sr=8-2</v>
      </c>
      <c r="F3529" t="s">
        <v>7823</v>
      </c>
      <c r="G3529" t="e">
        <f ca="1">_xludf.IMAGE("https://edmondsonsupply.com/cdn/shop/products/ncvt2p.jpg?v=1633030824")</f>
        <v>#NAME?</v>
      </c>
      <c r="H3529" t="e">
        <f ca="1">_xludf.IMAGE("https://m.media-amazon.com/images/I/516VUtyWXRL._AC_UL320_.jpg")</f>
        <v>#NAME?</v>
      </c>
      <c r="I3529" t="s">
        <v>6588</v>
      </c>
      <c r="J3529">
        <v>28.71</v>
      </c>
      <c r="K3529" s="4">
        <v>2.6499999999999999E-2</v>
      </c>
      <c r="L3529">
        <v>4.7</v>
      </c>
      <c r="M3529">
        <v>4231</v>
      </c>
      <c r="O3529" t="s">
        <v>25</v>
      </c>
      <c r="P3529" t="s">
        <v>6589</v>
      </c>
      <c r="Q3529" t="s">
        <v>6590</v>
      </c>
    </row>
    <row r="3530" spans="1:17" ht="15.5" x14ac:dyDescent="0.35">
      <c r="A3530"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3530" s="3" t="str">
        <f>HYPERLINK("https://edmondsonsupply.com/products/klein-tools-32535-10-in-1-10-fold-screwdriver-nut-driver", "https://edmondsonsupply.com/products/klein-tools-32535-10-in-1-10-fold-screwdriver-nut-driver")</f>
        <v>https://edmondsonsupply.com/products/klein-tools-32535-10-in-1-10-fold-screwdriver-nut-driver</v>
      </c>
      <c r="C3530" t="s">
        <v>4368</v>
      </c>
      <c r="D3530" t="s">
        <v>4369</v>
      </c>
      <c r="E3530" s="3" t="str">
        <f>HYPERLINK("https://www.amazon.com/Klein-Tools-10-Fold-Screwdriver-Schrader/dp/B007OX62QM/ref=sr_1_8?keywords=Klein+Tools+32535+10-in-1+10+Fold+Screwdriver+%2F+Nut+Driver&amp;qid=1695173914&amp;sr=8-8", "https://www.amazon.com/Klein-Tools-10-Fold-Screwdriver-Schrader/dp/B007OX62QM/ref=sr_1_8?keywords=Klein+Tools+32535+10-in-1+10+Fold+Screwdriver+%2F+Nut+Driver&amp;qid=1695173914&amp;sr=8-8")</f>
        <v>https://www.amazon.com/Klein-Tools-10-Fold-Screwdriver-Schrader/dp/B007OX62QM/ref=sr_1_8?keywords=Klein+Tools+32535+10-in-1+10+Fold+Screwdriver+%2F+Nut+Driver&amp;qid=1695173914&amp;sr=8-8</v>
      </c>
      <c r="F3530" t="s">
        <v>4370</v>
      </c>
      <c r="G3530" t="e">
        <f ca="1">_xludf.IMAGE("https://edmondsonsupply.com/cdn/shop/products/32535.jpg?v=1633030894")</f>
        <v>#NAME?</v>
      </c>
      <c r="H3530" t="e">
        <f ca="1">_xludf.IMAGE("https://m.media-amazon.com/images/I/51VSZEBhlgL._AC_UL320_.jpg")</f>
        <v>#NAME?</v>
      </c>
      <c r="I3530" t="s">
        <v>26</v>
      </c>
      <c r="J3530">
        <v>30.78</v>
      </c>
      <c r="K3530" s="4">
        <v>2.63E-2</v>
      </c>
      <c r="L3530">
        <v>4.5999999999999996</v>
      </c>
      <c r="M3530">
        <v>153</v>
      </c>
      <c r="O3530" t="s">
        <v>25</v>
      </c>
      <c r="P3530" t="s">
        <v>4371</v>
      </c>
      <c r="Q3530" t="s">
        <v>4372</v>
      </c>
    </row>
    <row r="3531" spans="1:17" ht="15.5" x14ac:dyDescent="0.35">
      <c r="A3531"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3531"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3531" t="s">
        <v>7824</v>
      </c>
      <c r="D3531" t="s">
        <v>4234</v>
      </c>
      <c r="E3531" s="3" t="str">
        <f>HYPERLINK("https://www.amazon.com/Klein-Tools-J2000-48-Diagonal-Cutters/dp/B0006M6Y8O/ref=sr_1_4?keywords=Klein+Tools+D2000-49+Diagonal+Cutting+Pliers%2C+Angled+Head%2C+9-Inch&amp;qid=1695174302&amp;sr=8-4", "https://www.amazon.com/Klein-Tools-J2000-48-Diagonal-Cutters/dp/B0006M6Y8O/ref=sr_1_4?keywords=Klein+Tools+D2000-49+Diagonal+Cutting+Pliers%2C+Angled+Head%2C+9-Inch&amp;qid=1695174302&amp;sr=8-4")</f>
        <v>https://www.amazon.com/Klein-Tools-J2000-48-Diagonal-Cutters/dp/B0006M6Y8O/ref=sr_1_4?keywords=Klein+Tools+D2000-49+Diagonal+Cutting+Pliers%2C+Angled+Head%2C+9-Inch&amp;qid=1695174302&amp;sr=8-4</v>
      </c>
      <c r="F3531" t="s">
        <v>4235</v>
      </c>
      <c r="G3531" t="e">
        <f ca="1">_xludf.IMAGE("https://edmondsonsupply.com/cdn/shop/products/d2000-49.jpg?v=1633030811")</f>
        <v>#NAME?</v>
      </c>
      <c r="H3531" t="e">
        <f ca="1">_xludf.IMAGE("https://m.media-amazon.com/images/I/41ZnJLE+YFL._AC_UL320_.jpg")</f>
        <v>#NAME?</v>
      </c>
      <c r="I3531" t="s">
        <v>3930</v>
      </c>
      <c r="J3531">
        <v>39.99</v>
      </c>
      <c r="K3531" s="4">
        <v>2.5600000000000001E-2</v>
      </c>
      <c r="L3531">
        <v>4.8</v>
      </c>
      <c r="M3531">
        <v>1554</v>
      </c>
      <c r="O3531" t="s">
        <v>25</v>
      </c>
      <c r="P3531" t="s">
        <v>7825</v>
      </c>
      <c r="Q3531" t="s">
        <v>7826</v>
      </c>
    </row>
    <row r="3532" spans="1:17" ht="15.5" x14ac:dyDescent="0.35">
      <c r="A3532" s="3" t="str">
        <f>HYPERLINK("https://edmondsonsupply.com/collections/electricians-tools/products/klein-tools-66078-flip-impact-socket-adapter-large-1-2-to-1-2-inch", "https://edmondsonsupply.com/collections/electricians-tools/products/klein-tools-66078-flip-impact-socket-adapter-large-1-2-to-1-2-inch")</f>
        <v>https://edmondsonsupply.com/collections/electricians-tools/products/klein-tools-66078-flip-impact-socket-adapter-large-1-2-to-1-2-inch</v>
      </c>
      <c r="B3532" s="3" t="str">
        <f>HYPERLINK("https://edmondsonsupply.com/products/klein-tools-66078-flip-impact-socket-adapter-large-1-2-to-1-2-inch", "https://edmondsonsupply.com/products/klein-tools-66078-flip-impact-socket-adapter-large-1-2-to-1-2-inch")</f>
        <v>https://edmondsonsupply.com/products/klein-tools-66078-flip-impact-socket-adapter-large-1-2-to-1-2-inch</v>
      </c>
      <c r="C3532" t="s">
        <v>6125</v>
      </c>
      <c r="D3532" t="s">
        <v>7234</v>
      </c>
      <c r="E3532" s="3" t="str">
        <f>HYPERLINK("https://www.amazon.com/Klein-Tools-66079-Impact-Adapter/dp/B0B33WGYX5/ref=sr_1_2?keywords=Klein+Tools+66078+Flip+Impact+Socket+Adapter%2C+Large%2C+1%2F2+to+1%2F2-Inch&amp;qid=1695174159&amp;sr=8-2", "https://www.amazon.com/Klein-Tools-66079-Impact-Adapter/dp/B0B33WGYX5/ref=sr_1_2?keywords=Klein+Tools+66078+Flip+Impact+Socket+Adapter%2C+Large%2C+1%2F2+to+1%2F2-Inch&amp;qid=1695174159&amp;sr=8-2")</f>
        <v>https://www.amazon.com/Klein-Tools-66079-Impact-Adapter/dp/B0B33WGYX5/ref=sr_1_2?keywords=Klein+Tools+66078+Flip+Impact+Socket+Adapter%2C+Large%2C+1%2F2+to+1%2F2-Inch&amp;qid=1695174159&amp;sr=8-2</v>
      </c>
      <c r="F3532" t="s">
        <v>7235</v>
      </c>
      <c r="G3532" t="e">
        <f ca="1">_xludf.IMAGE("https://edmondsonsupply.com/cdn/shop/products/66078.jpg?v=1674145294")</f>
        <v>#NAME?</v>
      </c>
      <c r="H3532" t="e">
        <f ca="1">_xludf.IMAGE("https://m.media-amazon.com/images/I/41eZRUf3qGL._AC_UL320_.jpg")</f>
        <v>#NAME?</v>
      </c>
      <c r="I3532" t="s">
        <v>6128</v>
      </c>
      <c r="J3532">
        <v>9.6</v>
      </c>
      <c r="K3532" s="4">
        <v>2.5600000000000001E-2</v>
      </c>
      <c r="L3532">
        <v>3.8</v>
      </c>
      <c r="M3532">
        <v>5</v>
      </c>
      <c r="O3532" t="s">
        <v>25</v>
      </c>
      <c r="P3532" t="s">
        <v>6129</v>
      </c>
      <c r="Q3532" t="s">
        <v>6130</v>
      </c>
    </row>
    <row r="3533" spans="1:17" ht="15.5" x14ac:dyDescent="0.35">
      <c r="A3533" s="3" t="str">
        <f>HYPERLINK("https://edmondsonsupply.com/collections/electricians-tools/products/greenlee-gsb01-1-2-step-bit-1", "https://edmondsonsupply.com/collections/electricians-tools/products/greenlee-gsb01-1-2-step-bit-1")</f>
        <v>https://edmondsonsupply.com/collections/electricians-tools/products/greenlee-gsb01-1-2-step-bit-1</v>
      </c>
      <c r="B3533" s="3" t="str">
        <f>HYPERLINK("https://edmondsonsupply.com/products/greenlee-gsb01-1-2-step-bit-1", "https://edmondsonsupply.com/products/greenlee-gsb01-1-2-step-bit-1")</f>
        <v>https://edmondsonsupply.com/products/greenlee-gsb01-1-2-step-bit-1</v>
      </c>
      <c r="C3533" t="s">
        <v>2319</v>
      </c>
      <c r="D3533" t="s">
        <v>4378</v>
      </c>
      <c r="E3533" s="3" t="str">
        <f>HYPERLINK("https://www.amazon.com/Greenlee-GSB04-Step-Bit/dp/B08TVF22W4/ref=sr_1_1?keywords=Greenlee+GSB01+1%2F2%22+Step+Bit+%28%231%29&amp;qid=1695173990&amp;sr=8-1", "https://www.amazon.com/Greenlee-GSB04-Step-Bit/dp/B08TVF22W4/ref=sr_1_1?keywords=Greenlee+GSB01+1%2F2%22+Step+Bit+%28%231%29&amp;qid=1695173990&amp;sr=8-1")</f>
        <v>https://www.amazon.com/Greenlee-GSB04-Step-Bit/dp/B08TVF22W4/ref=sr_1_1?keywords=Greenlee+GSB01+1%2F2%22+Step+Bit+%28%231%29&amp;qid=1695173990&amp;sr=8-1</v>
      </c>
      <c r="F3533" t="s">
        <v>4379</v>
      </c>
      <c r="G3533" t="e">
        <f ca="1">_xludf.IMAGE("https://edmondsonsupply.com/cdn/shop/files/GSB01_CAT1_72dpi_1.jpg?v=1687790366")</f>
        <v>#NAME?</v>
      </c>
      <c r="H3533" t="e">
        <f ca="1">_xludf.IMAGE("https://m.media-amazon.com/images/I/41FX4czhS0L._AC_UY218_.jpg")</f>
        <v>#NAME?</v>
      </c>
      <c r="I3533" t="s">
        <v>2322</v>
      </c>
      <c r="J3533">
        <v>32</v>
      </c>
      <c r="K3533" s="4">
        <v>2.5000000000000001E-2</v>
      </c>
      <c r="L3533">
        <v>5</v>
      </c>
      <c r="M3533">
        <v>7</v>
      </c>
      <c r="O3533" t="s">
        <v>25</v>
      </c>
      <c r="P3533" t="s">
        <v>138</v>
      </c>
      <c r="Q3533" t="s">
        <v>2323</v>
      </c>
    </row>
    <row r="3534" spans="1:17" ht="15.5" x14ac:dyDescent="0.35">
      <c r="A3534"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3534" s="3" t="str">
        <f>HYPERLINK("https://edmondsonsupply.com/products/klein-tools-51608-1-2-inch-iron-conduit-bender-head", "https://edmondsonsupply.com/products/klein-tools-51608-1-2-inch-iron-conduit-bender-head")</f>
        <v>https://edmondsonsupply.com/products/klein-tools-51608-1-2-inch-iron-conduit-bender-head</v>
      </c>
      <c r="C3534" t="s">
        <v>6789</v>
      </c>
      <c r="D3534" t="s">
        <v>6204</v>
      </c>
      <c r="E3534" s="3" t="str">
        <f>HYPERLINK("https://www.amazon.com/Conduit-Compatible-Klein-Tools-51608/dp/B08VYJMT3R/ref=sr_1_1?keywords=Klein+Tools+51608+1%2F2-inch+Iron+Conduit+Bender+Head&amp;qid=1695174222&amp;sr=8-1", "https://www.amazon.com/Conduit-Compatible-Klein-Tools-51608/dp/B08VYJMT3R/ref=sr_1_1?keywords=Klein+Tools+51608+1%2F2-inch+Iron+Conduit+Bender+Head&amp;qid=1695174222&amp;sr=8-1")</f>
        <v>https://www.amazon.com/Conduit-Compatible-Klein-Tools-51608/dp/B08VYJMT3R/ref=sr_1_1?keywords=Klein+Tools+51608+1%2F2-inch+Iron+Conduit+Bender+Head&amp;qid=1695174222&amp;sr=8-1</v>
      </c>
      <c r="F3534" t="s">
        <v>6205</v>
      </c>
      <c r="G3534" t="e">
        <f ca="1">_xludf.IMAGE("https://edmondsonsupply.com/cdn/shop/products/51608.jpg?v=1643679335")</f>
        <v>#NAME?</v>
      </c>
      <c r="H3534" t="e">
        <f ca="1">_xludf.IMAGE("https://m.media-amazon.com/images/I/61mnVTiX18L._AC_UL320_.jpg")</f>
        <v>#NAME?</v>
      </c>
      <c r="I3534" t="s">
        <v>198</v>
      </c>
      <c r="J3534">
        <v>40.909999999999997</v>
      </c>
      <c r="K3534" s="4">
        <v>2.3E-2</v>
      </c>
      <c r="L3534">
        <v>4.3</v>
      </c>
      <c r="M3534">
        <v>17</v>
      </c>
      <c r="O3534" t="s">
        <v>25</v>
      </c>
      <c r="P3534" t="s">
        <v>6790</v>
      </c>
      <c r="Q3534" t="s">
        <v>6791</v>
      </c>
    </row>
    <row r="3535" spans="1:17" ht="15.5" x14ac:dyDescent="0.35">
      <c r="A3535"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3535" s="3" t="str">
        <f>HYPERLINK("https://edmondsonsupply.com/products/klein-tools-jth4e08-1-8-inch-hex-key-journeyman-t-handle-4-inch", "https://edmondsonsupply.com/products/klein-tools-jth4e08-1-8-inch-hex-key-journeyman-t-handle-4-inch")</f>
        <v>https://edmondsonsupply.com/products/klein-tools-jth4e08-1-8-inch-hex-key-journeyman-t-handle-4-inch</v>
      </c>
      <c r="C3535" t="s">
        <v>6406</v>
      </c>
      <c r="D3535" t="s">
        <v>7827</v>
      </c>
      <c r="E3535" s="3" t="str">
        <f>HYPERLINK("https://www.amazon.com/Klein-Tools-JTH4E08-Journeyman-T-Handle/dp/B004ITRDJ0/ref=sr_1_1?keywords=Klein+Tools+JTH4E08+1%2F8-Inch+Hex+Key%2C+Journeyman+T-Handle%2C+4-Inch&amp;qid=1695174216&amp;sr=8-1", "https://www.amazon.com/Klein-Tools-JTH4E08-Journeyman-T-Handle/dp/B004ITRDJ0/ref=sr_1_1?keywords=Klein+Tools+JTH4E08+1%2F8-Inch+Hex+Key%2C+Journeyman+T-Handle%2C+4-Inch&amp;qid=1695174216&amp;sr=8-1")</f>
        <v>https://www.amazon.com/Klein-Tools-JTH4E08-Journeyman-T-Handle/dp/B004ITRDJ0/ref=sr_1_1?keywords=Klein+Tools+JTH4E08+1%2F8-Inch+Hex+Key%2C+Journeyman+T-Handle%2C+4-Inch&amp;qid=1695174216&amp;sr=8-1</v>
      </c>
      <c r="F3535" t="s">
        <v>7828</v>
      </c>
      <c r="G3535" t="e">
        <f ca="1">_xludf.IMAGE("https://edmondsonsupply.com/cdn/shop/products/jth4e06_0950e3ec-22b0-4cdd-acd1-822980009e67.jpg?v=1645564818")</f>
        <v>#NAME?</v>
      </c>
      <c r="H3535" t="e">
        <f ca="1">_xludf.IMAGE("https://m.media-amazon.com/images/I/41qPlbWa2FL._AC_UL320_.jpg")</f>
        <v>#NAME?</v>
      </c>
      <c r="I3535" t="s">
        <v>6228</v>
      </c>
      <c r="J3535">
        <v>3.87</v>
      </c>
      <c r="K3535" s="4">
        <v>2.1100000000000001E-2</v>
      </c>
      <c r="L3535">
        <v>4.8</v>
      </c>
      <c r="M3535">
        <v>2479</v>
      </c>
      <c r="O3535" t="s">
        <v>25</v>
      </c>
      <c r="P3535" t="s">
        <v>6407</v>
      </c>
      <c r="Q3535" t="s">
        <v>6408</v>
      </c>
    </row>
    <row r="3536" spans="1:17" ht="15.5" x14ac:dyDescent="0.35">
      <c r="A3536"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3536" s="3" t="str">
        <f>HYPERLINK("https://edmondsonsupply.com/products/klein-tools-56341-stainless-steel-fish-tape-1-8-inch-x-240-foot", "https://edmondsonsupply.com/products/klein-tools-56341-stainless-steel-fish-tape-1-8-inch-x-240-foot")</f>
        <v>https://edmondsonsupply.com/products/klein-tools-56341-stainless-steel-fish-tape-1-8-inch-x-240-foot</v>
      </c>
      <c r="C3536" t="s">
        <v>7829</v>
      </c>
      <c r="D3536" t="s">
        <v>7830</v>
      </c>
      <c r="E3536" s="3" t="str">
        <f>HYPERLINK("https://www.amazon.com/240-Foot-Measuring-Klein-Tools-56004/dp/B0026TDB5Y/ref=sr_1_3?keywords=Klein+Tools+56341+Stainless+Steel+Fish+Tape%2C+1%2F8-Inch+x+240-Foot&amp;qid=1695174134&amp;sr=8-3", "https://www.amazon.com/240-Foot-Measuring-Klein-Tools-56004/dp/B0026TDB5Y/ref=sr_1_3?keywords=Klein+Tools+56341+Stainless+Steel+Fish+Tape%2C+1%2F8-Inch+x+240-Foot&amp;qid=1695174134&amp;sr=8-3")</f>
        <v>https://www.amazon.com/240-Foot-Measuring-Klein-Tools-56004/dp/B0026TDB5Y/ref=sr_1_3?keywords=Klein+Tools+56341+Stainless+Steel+Fish+Tape%2C+1%2F8-Inch+x+240-Foot&amp;qid=1695174134&amp;sr=8-3</v>
      </c>
      <c r="F3536" t="s">
        <v>7831</v>
      </c>
      <c r="G3536" t="e">
        <f ca="1">_xludf.IMAGE("https://edmondsonsupply.com/cdn/shop/products/56341.jpg?v=1666901345")</f>
        <v>#NAME?</v>
      </c>
      <c r="H3536" t="e">
        <f ca="1">_xludf.IMAGE("https://m.media-amazon.com/images/I/61YlVKsUkcL._AC_UL320_.jpg")</f>
        <v>#NAME?</v>
      </c>
      <c r="I3536" t="s">
        <v>7832</v>
      </c>
      <c r="J3536">
        <v>117.34</v>
      </c>
      <c r="K3536" s="4">
        <v>2.0400000000000001E-2</v>
      </c>
      <c r="L3536">
        <v>4.0999999999999996</v>
      </c>
      <c r="M3536">
        <v>81</v>
      </c>
      <c r="O3536" t="s">
        <v>25</v>
      </c>
      <c r="P3536" t="s">
        <v>7833</v>
      </c>
      <c r="Q3536" t="s">
        <v>7834</v>
      </c>
    </row>
    <row r="3537" spans="1:17" ht="15.5" x14ac:dyDescent="0.35">
      <c r="A3537"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3537" s="3" t="str">
        <f>HYPERLINK("https://edmondsonsupply.com/products/diablo-tools-dag3090-7-8-in-x-17-1-2-in-auger-bit", "https://edmondsonsupply.com/products/diablo-tools-dag3090-7-8-in-x-17-1-2-in-auger-bit")</f>
        <v>https://edmondsonsupply.com/products/diablo-tools-dag3090-7-8-in-x-17-1-2-in-auger-bit</v>
      </c>
      <c r="C3537" t="s">
        <v>7269</v>
      </c>
      <c r="D3537" t="s">
        <v>7835</v>
      </c>
      <c r="E3537" s="3" t="str">
        <f>HYPERLINK("https://www.amazon.com/Diablo-Freud-DAG3030-17-1-Auger/dp/B089KVBK8P/ref=sr_1_6?keywords=Diablo+Tools+DAG3090+7%2F8+in.+x+17-1%2F2+in.+Auger+Bit&amp;qid=1695174065&amp;sr=8-6", "https://www.amazon.com/Diablo-Freud-DAG3030-17-1-Auger/dp/B089KVBK8P/ref=sr_1_6?keywords=Diablo+Tools+DAG3090+7%2F8+in.+x+17-1%2F2+in.+Auger+Bit&amp;qid=1695174065&amp;sr=8-6")</f>
        <v>https://www.amazon.com/Diablo-Freud-DAG3030-17-1-Auger/dp/B089KVBK8P/ref=sr_1_6?keywords=Diablo+Tools+DAG3090+7%2F8+in.+x+17-1%2F2+in.+Auger+Bit&amp;qid=1695174065&amp;sr=8-6</v>
      </c>
      <c r="F3537" t="s">
        <v>7836</v>
      </c>
      <c r="G3537" t="e">
        <f ca="1">_xludf.IMAGE("https://edmondsonsupply.com/cdn/shop/products/aorgtpkivjubhtbiiau0.webp?v=1677256849")</f>
        <v>#NAME?</v>
      </c>
      <c r="H3537" t="e">
        <f ca="1">_xludf.IMAGE("https://m.media-amazon.com/images/I/61gYTsV7rCL._AC_UL320_.jpg")</f>
        <v>#NAME?</v>
      </c>
      <c r="I3537" t="s">
        <v>1589</v>
      </c>
      <c r="J3537">
        <v>23.45</v>
      </c>
      <c r="K3537" s="4">
        <v>0.02</v>
      </c>
      <c r="L3537">
        <v>4.4000000000000004</v>
      </c>
      <c r="M3537">
        <v>12</v>
      </c>
      <c r="O3537" t="s">
        <v>25</v>
      </c>
      <c r="P3537" t="s">
        <v>7270</v>
      </c>
      <c r="Q3537" t="s">
        <v>7271</v>
      </c>
    </row>
    <row r="3538" spans="1:17" ht="15.5" x14ac:dyDescent="0.35">
      <c r="A3538" s="3" t="str">
        <f>HYPERLINK("https://edmondsonsupply.com/collections/electricians-tools/products/reed-mfg-dhr12-1npt-r12-drophead-1-npt", "https://edmondsonsupply.com/collections/electricians-tools/products/reed-mfg-dhr12-1npt-r12-drophead-1-npt")</f>
        <v>https://edmondsonsupply.com/collections/electricians-tools/products/reed-mfg-dhr12-1npt-r12-drophead-1-npt</v>
      </c>
      <c r="B3538" s="3" t="str">
        <f>HYPERLINK("https://edmondsonsupply.com/products/reed-mfg-dhr12-1npt-r12-drophead-1-npt", "https://edmondsonsupply.com/products/reed-mfg-dhr12-1npt-r12-drophead-1-npt")</f>
        <v>https://edmondsonsupply.com/products/reed-mfg-dhr12-1npt-r12-drophead-1-npt</v>
      </c>
      <c r="C3538" t="s">
        <v>7837</v>
      </c>
      <c r="D3538" t="s">
        <v>4385</v>
      </c>
      <c r="E3538" s="3" t="str">
        <f>HYPERLINK("https://www.amazon.com/Reed-Tool-DHR12-1NPT-Drophead/dp/B000ZGZ0PY/ref=sr_1_1?keywords=Reed+Mfg+DHR12+1NPT+R12%2B+Drophead%2C+1%22+NPT&amp;qid=1695174275&amp;sr=8-1", "https://www.amazon.com/Reed-Tool-DHR12-1NPT-Drophead/dp/B000ZGZ0PY/ref=sr_1_1?keywords=Reed+Mfg+DHR12+1NPT+R12%2B+Drophead%2C+1%22+NPT&amp;qid=1695174275&amp;sr=8-1")</f>
        <v>https://www.amazon.com/Reed-Tool-DHR12-1NPT-Drophead/dp/B000ZGZ0PY/ref=sr_1_1?keywords=Reed+Mfg+DHR12+1NPT+R12%2B+Drophead%2C+1%22+NPT&amp;qid=1695174275&amp;sr=8-1</v>
      </c>
      <c r="F3538" t="s">
        <v>4386</v>
      </c>
      <c r="G3538" t="e">
        <f ca="1">_xludf.IMAGE("https://edmondsonsupply.com/cdn/shop/products/05630-DHR12-1NPT-RGB.jpg?v=1633031013")</f>
        <v>#NAME?</v>
      </c>
      <c r="H3538" t="e">
        <f ca="1">_xludf.IMAGE("https://m.media-amazon.com/images/I/61ePWvUMWkL._AC_UY218_.jpg")</f>
        <v>#NAME?</v>
      </c>
      <c r="I3538" t="s">
        <v>4387</v>
      </c>
      <c r="J3538">
        <v>157.93</v>
      </c>
      <c r="K3538" s="4">
        <v>1.9800000000000002E-2</v>
      </c>
      <c r="L3538">
        <v>1</v>
      </c>
      <c r="M3538">
        <v>1</v>
      </c>
      <c r="O3538" t="s">
        <v>25</v>
      </c>
      <c r="P3538" t="s">
        <v>4388</v>
      </c>
      <c r="Q3538" t="s">
        <v>7838</v>
      </c>
    </row>
    <row r="3539" spans="1:17" ht="15.5" x14ac:dyDescent="0.35">
      <c r="A3539" s="3" t="str">
        <f>HYPERLINK("https://edmondsonsupply.com/collections/electricians-tools/products/reed-mfg-dhr12-1-1-4npt-r12-drophead-1-1-4-npt", "https://edmondsonsupply.com/collections/electricians-tools/products/reed-mfg-dhr12-1-1-4npt-r12-drophead-1-1-4-npt")</f>
        <v>https://edmondsonsupply.com/collections/electricians-tools/products/reed-mfg-dhr12-1-1-4npt-r12-drophead-1-1-4-npt</v>
      </c>
      <c r="B3539" s="3" t="str">
        <f>HYPERLINK("https://edmondsonsupply.com/products/reed-mfg-dhr12-1-1-4npt-r12-drophead-1-1-4-npt", "https://edmondsonsupply.com/products/reed-mfg-dhr12-1-1-4npt-r12-drophead-1-1-4-npt")</f>
        <v>https://edmondsonsupply.com/products/reed-mfg-dhr12-1-1-4npt-r12-drophead-1-1-4-npt</v>
      </c>
      <c r="C3539" t="s">
        <v>4384</v>
      </c>
      <c r="D3539" t="s">
        <v>4385</v>
      </c>
      <c r="E3539" s="3" t="str">
        <f>HYPERLINK("https://www.amazon.com/Reed-Tool-DHR12-1NPT-Drophead/dp/B000ZGZ0PY/ref=sr_1_fkmr0_2?keywords=Reed+Mfg+DHR12+1+1%2F4NPT+R12%2B+Drophead%2C+1-1%2F4%22+NPT&amp;qid=1695173914&amp;sr=8-2-fkmr0", "https://www.amazon.com/Reed-Tool-DHR12-1NPT-Drophead/dp/B000ZGZ0PY/ref=sr_1_fkmr0_2?keywords=Reed+Mfg+DHR12+1+1%2F4NPT+R12%2B+Drophead%2C+1-1%2F4%22+NPT&amp;qid=1695173914&amp;sr=8-2-fkmr0")</f>
        <v>https://www.amazon.com/Reed-Tool-DHR12-1NPT-Drophead/dp/B000ZGZ0PY/ref=sr_1_fkmr0_2?keywords=Reed+Mfg+DHR12+1+1%2F4NPT+R12%2B+Drophead%2C+1-1%2F4%22+NPT&amp;qid=1695173914&amp;sr=8-2-fkmr0</v>
      </c>
      <c r="F3539" t="s">
        <v>4386</v>
      </c>
      <c r="G3539" t="e">
        <f ca="1">_xludf.IMAGE("https://edmondsonsupply.com/cdn/shop/products/05632-DHR121-1-4NPT-RGB.jpg?v=1633031013")</f>
        <v>#NAME?</v>
      </c>
      <c r="H3539" t="e">
        <f ca="1">_xludf.IMAGE("https://m.media-amazon.com/images/I/61ePWvUMWkL._AC_UY218_.jpg")</f>
        <v>#NAME?</v>
      </c>
      <c r="I3539" t="s">
        <v>4387</v>
      </c>
      <c r="J3539">
        <v>157.93</v>
      </c>
      <c r="K3539" s="4">
        <v>1.9800000000000002E-2</v>
      </c>
      <c r="L3539">
        <v>1</v>
      </c>
      <c r="M3539">
        <v>1</v>
      </c>
      <c r="O3539" t="s">
        <v>25</v>
      </c>
      <c r="P3539" t="s">
        <v>4388</v>
      </c>
      <c r="Q3539" t="s">
        <v>4389</v>
      </c>
    </row>
    <row r="3540" spans="1:17" ht="15.5" x14ac:dyDescent="0.35">
      <c r="A3540" s="3" t="str">
        <f>HYPERLINK("https://edmondsonsupply.com/collections/electricians-tools/products/klein-tools-29026-li-ion-battery", "https://edmondsonsupply.com/collections/electricians-tools/products/klein-tools-29026-li-ion-battery")</f>
        <v>https://edmondsonsupply.com/collections/electricians-tools/products/klein-tools-29026-li-ion-battery</v>
      </c>
      <c r="B3540" s="3" t="str">
        <f>HYPERLINK("https://edmondsonsupply.com/products/klein-tools-29026-li-ion-battery", "https://edmondsonsupply.com/products/klein-tools-29026-li-ion-battery")</f>
        <v>https://edmondsonsupply.com/products/klein-tools-29026-li-ion-battery</v>
      </c>
      <c r="C3540" t="s">
        <v>7839</v>
      </c>
      <c r="D3540" t="s">
        <v>7840</v>
      </c>
      <c r="E3540" s="3" t="str">
        <f>HYPERLINK("https://www.amazon.com/Klein-Tools-29026-Rechargeable-Self-Leveling/dp/B09C6SDHXS/ref=sr_1_1?keywords=Klein+Tools+29026+Li-Ion+Battery&amp;qid=1695174150&amp;sr=8-1", "https://www.amazon.com/Klein-Tools-29026-Rechargeable-Self-Leveling/dp/B09C6SDHXS/ref=sr_1_1?keywords=Klein+Tools+29026+Li-Ion+Battery&amp;qid=1695174150&amp;sr=8-1")</f>
        <v>https://www.amazon.com/Klein-Tools-29026-Rechargeable-Self-Leveling/dp/B09C6SDHXS/ref=sr_1_1?keywords=Klein+Tools+29026+Li-Ion+Battery&amp;qid=1695174150&amp;sr=8-1</v>
      </c>
      <c r="F3540" t="s">
        <v>7841</v>
      </c>
      <c r="G3540" t="e">
        <f ca="1">_xludf.IMAGE("https://edmondsonsupply.com/cdn/shop/products/29026.jpg?v=1664476716")</f>
        <v>#NAME?</v>
      </c>
      <c r="H3540" t="e">
        <f ca="1">_xludf.IMAGE("https://m.media-amazon.com/images/I/41nEzSxwfXL._AC_UL320_.jpg")</f>
        <v>#NAME?</v>
      </c>
      <c r="I3540" t="s">
        <v>4030</v>
      </c>
      <c r="J3540">
        <v>52.99</v>
      </c>
      <c r="K3540" s="4">
        <v>1.9199999999999998E-2</v>
      </c>
      <c r="L3540">
        <v>5</v>
      </c>
      <c r="M3540">
        <v>6</v>
      </c>
      <c r="O3540" t="s">
        <v>25</v>
      </c>
      <c r="P3540" t="s">
        <v>4349</v>
      </c>
      <c r="Q3540" t="s">
        <v>7842</v>
      </c>
    </row>
    <row r="3541" spans="1:17" ht="15.5" x14ac:dyDescent="0.35">
      <c r="A3541" s="3" t="str">
        <f>HYPERLINK("https://edmondsonsupply.com/collections/electricians-tools/products/diablo-tools-dmamxcc5020-2-5-8-in-x-7-in-sds-max-carbide-tipped-core-bit", "https://edmondsonsupply.com/collections/electricians-tools/products/diablo-tools-dmamxcc5020-2-5-8-in-x-7-in-sds-max-carbide-tipped-core-bit")</f>
        <v>https://edmondsonsupply.com/collections/electricians-tools/products/diablo-tools-dmamxcc5020-2-5-8-in-x-7-in-sds-max-carbide-tipped-core-bit</v>
      </c>
      <c r="B3541" s="3" t="str">
        <f>HYPERLINK("https://edmondsonsupply.com/products/diablo-tools-dmamxcc5020-2-5-8-in-x-7-in-sds-max-carbide-tipped-core-bit", "https://edmondsonsupply.com/products/diablo-tools-dmamxcc5020-2-5-8-in-x-7-in-sds-max-carbide-tipped-core-bit")</f>
        <v>https://edmondsonsupply.com/products/diablo-tools-dmamxcc5020-2-5-8-in-x-7-in-sds-max-carbide-tipped-core-bit</v>
      </c>
      <c r="C3541" t="s">
        <v>5895</v>
      </c>
      <c r="D3541" t="s">
        <v>5900</v>
      </c>
      <c r="E3541" s="3" t="str">
        <f>HYPERLINK("https://www.amazon.com/Diablo-DMAMXCC5030-SDS-Max-Carbide-Tipped/dp/B089M8K3HG/ref=sr_1_2?keywords=Diablo+Tools+DMAMXCC5020+2-5%2F8+in.+x+7+in.+SDS-Max+Carbide+Tipped+Core+Bit&amp;qid=1695174025&amp;sr=8-2", "https://www.amazon.com/Diablo-DMAMXCC5030-SDS-Max-Carbide-Tipped/dp/B089M8K3HG/ref=sr_1_2?keywords=Diablo+Tools+DMAMXCC5020+2-5%2F8+in.+x+7+in.+SDS-Max+Carbide+Tipped+Core+Bit&amp;qid=1695174025&amp;sr=8-2")</f>
        <v>https://www.amazon.com/Diablo-DMAMXCC5030-SDS-Max-Carbide-Tipped/dp/B089M8K3HG/ref=sr_1_2?keywords=Diablo+Tools+DMAMXCC5020+2-5%2F8+in.+x+7+in.+SDS-Max+Carbide+Tipped+Core+Bit&amp;qid=1695174025&amp;sr=8-2</v>
      </c>
      <c r="F3541" t="s">
        <v>5901</v>
      </c>
      <c r="G3541" t="e">
        <f ca="1">_xludf.IMAGE("https://edmondsonsupply.com/cdn/shop/files/vashcrdlazsqjug8tmyc.webp?v=1686584484")</f>
        <v>#NAME?</v>
      </c>
      <c r="H3541" t="e">
        <f ca="1">_xludf.IMAGE("https://m.media-amazon.com/images/I/71U1Um--OXL._AC_UL320_.jpg")</f>
        <v>#NAME?</v>
      </c>
      <c r="I3541" t="s">
        <v>525</v>
      </c>
      <c r="J3541">
        <v>110</v>
      </c>
      <c r="K3541" s="4">
        <v>1.8599999999999998E-2</v>
      </c>
      <c r="L3541">
        <v>5</v>
      </c>
      <c r="M3541">
        <v>3</v>
      </c>
      <c r="O3541" t="s">
        <v>25</v>
      </c>
      <c r="P3541" t="s">
        <v>5896</v>
      </c>
      <c r="Q3541" t="s">
        <v>5897</v>
      </c>
    </row>
    <row r="3542" spans="1:17" ht="15.5" x14ac:dyDescent="0.35">
      <c r="A3542"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3542"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3542" t="s">
        <v>4395</v>
      </c>
      <c r="D3542" t="s">
        <v>4396</v>
      </c>
      <c r="E3542" s="3" t="str">
        <f>HYPERLINK("https://www.amazon.com/Wiha-66991-MagicRing-Holder-Piece/dp/B000WTAK2C/ref=sr_1_7?keywords=Wiha+Tools+66990+9+Piece+MagicRing+Ball+End+Long+Arm+Hex+L-Key+Set+-+Metric&amp;qid=1695173977&amp;sr=8-7", "https://www.amazon.com/Wiha-66991-MagicRing-Holder-Piece/dp/B000WTAK2C/ref=sr_1_7?keywords=Wiha+Tools+66990+9+Piece+MagicRing+Ball+End+Long+Arm+Hex+L-Key+Set+-+Metric&amp;qid=1695173977&amp;sr=8-7")</f>
        <v>https://www.amazon.com/Wiha-66991-MagicRing-Holder-Piece/dp/B000WTAK2C/ref=sr_1_7?keywords=Wiha+Tools+66990+9+Piece+MagicRing+Ball+End+Long+Arm+Hex+L-Key+Set+-+Metric&amp;qid=1695173977&amp;sr=8-7</v>
      </c>
      <c r="F3542" t="s">
        <v>4397</v>
      </c>
      <c r="G3542" t="e">
        <f ca="1">_xludf.IMAGE("https://edmondsonsupply.com/cdn/shop/files/13e958aad91c16597a10bc35346fe94965ff7cc5_1000x_585c36ae-bd90-4c7e-95df-eb1519527f63.webp?v=1690841217")</f>
        <v>#NAME?</v>
      </c>
      <c r="H3542" t="e">
        <f ca="1">_xludf.IMAGE("https://m.media-amazon.com/images/I/61jqxmDwZLL._AC_UL320_.jpg")</f>
        <v>#NAME?</v>
      </c>
      <c r="I3542" t="s">
        <v>4398</v>
      </c>
      <c r="J3542">
        <v>39.99</v>
      </c>
      <c r="K3542" s="4">
        <v>1.8599999999999998E-2</v>
      </c>
      <c r="L3542">
        <v>4.8</v>
      </c>
      <c r="M3542">
        <v>17</v>
      </c>
      <c r="O3542" t="s">
        <v>25</v>
      </c>
      <c r="P3542" t="s">
        <v>4399</v>
      </c>
      <c r="Q3542" t="s">
        <v>4400</v>
      </c>
    </row>
    <row r="3543" spans="1:17" ht="15.5" x14ac:dyDescent="0.35">
      <c r="A3543" s="3" t="str">
        <f>HYPERLINK("https://edmondsonsupply.com/collections/electricians-tools/products/milwaukee-2962p-22-m18-fuel%E2%84%A2-1-2-mid-torque-impact-wrench-w-pin-detent-kit", "https://edmondsonsupply.com/collections/electricians-tools/products/milwaukee-2962p-22-m18-fuel%E2%84%A2-1-2-mid-torque-impact-wrench-w-pin-detent-kit")</f>
        <v>https://edmondsonsupply.com/collections/electricians-tools/products/milwaukee-2962p-22-m18-fuel%E2%84%A2-1-2-mid-torque-impact-wrench-w-pin-detent-kit</v>
      </c>
      <c r="B3543" s="3" t="str">
        <f>HYPERLINK("https://edmondsonsupply.com/products/milwaukee-2962p-22-m18-fuel%e2%84%a2-1-2-mid-torque-impact-wrench-w-pin-detent-kit", "https://edmondsonsupply.com/products/milwaukee-2962p-22-m18-fuel%e2%84%a2-1-2-mid-torque-impact-wrench-w-pin-detent-kit")</f>
        <v>https://edmondsonsupply.com/products/milwaukee-2962p-22-m18-fuel%e2%84%a2-1-2-mid-torque-impact-wrench-w-pin-detent-kit</v>
      </c>
      <c r="C3543" t="s">
        <v>4401</v>
      </c>
      <c r="D3543" t="s">
        <v>4402</v>
      </c>
      <c r="E3543" s="3" t="str">
        <f>HYPERLINK("https://www.amazon.com/Milwaukee-276622-Torque-Impact-Wrench/dp/B076S2DV48/ref=sr_1_2?keywords=Milwaukee+2962P-22+M18+FUEL%E2%84%A2+1%2F2+%22+Mid-Torque+Impact+Wrench+w%2F+Pin+Detent+Kit&amp;qid=1695173981&amp;sr=8-2", "https://www.amazon.com/Milwaukee-276622-Torque-Impact-Wrench/dp/B076S2DV48/ref=sr_1_2?keywords=Milwaukee+2962P-22+M18+FUEL%E2%84%A2+1%2F2+%22+Mid-Torque+Impact+Wrench+w%2F+Pin+Detent+Kit&amp;qid=1695173981&amp;sr=8-2")</f>
        <v>https://www.amazon.com/Milwaukee-276622-Torque-Impact-Wrench/dp/B076S2DV48/ref=sr_1_2?keywords=Milwaukee+2962P-22+M18+FUEL%E2%84%A2+1%2F2+%22+Mid-Torque+Impact+Wrench+w%2F+Pin+Detent+Kit&amp;qid=1695173981&amp;sr=8-2</v>
      </c>
      <c r="F3543" t="s">
        <v>4403</v>
      </c>
      <c r="G3543" t="e">
        <f ca="1">_xludf.IMAGE("https://edmondsonsupply.com/cdn/shop/files/2962P-22_Kit_1.png?v=1690295413")</f>
        <v>#NAME?</v>
      </c>
      <c r="H3543" t="e">
        <f ca="1">_xludf.IMAGE("https://m.media-amazon.com/images/I/51nVC273wLL._AC_UL320_.jpg")</f>
        <v>#NAME?</v>
      </c>
      <c r="I3543" t="s">
        <v>4404</v>
      </c>
      <c r="J3543">
        <v>466.88</v>
      </c>
      <c r="K3543" s="4">
        <v>1.72E-2</v>
      </c>
      <c r="L3543">
        <v>4.5</v>
      </c>
      <c r="M3543">
        <v>51</v>
      </c>
      <c r="O3543" t="s">
        <v>25</v>
      </c>
      <c r="P3543" t="s">
        <v>4405</v>
      </c>
      <c r="Q3543" t="s">
        <v>4406</v>
      </c>
    </row>
    <row r="3544" spans="1:17" ht="15.5" x14ac:dyDescent="0.35">
      <c r="A3544" s="3" t="str">
        <f>HYPERLINK("https://edmondsonsupply.com/collections/electricians-tools/products/channellock-8wcb", "https://edmondsonsupply.com/collections/electricians-tools/products/channellock-8wcb")</f>
        <v>https://edmondsonsupply.com/collections/electricians-tools/products/channellock-8wcb</v>
      </c>
      <c r="B3544" s="3" t="str">
        <f>HYPERLINK("https://edmondsonsupply.com/products/channellock-8wcb", "https://edmondsonsupply.com/products/channellock-8wcb")</f>
        <v>https://edmondsonsupply.com/products/channellock-8wcb</v>
      </c>
      <c r="C3544" t="s">
        <v>3038</v>
      </c>
      <c r="D3544" t="s">
        <v>2555</v>
      </c>
      <c r="E3544" s="3" t="str">
        <f>HYPERLINK("https://www.amazon.com/Channellock-808WCB-8-Inch-Chrome-Adjustable/dp/B00LFIEQ3S/ref=sr_1_3?keywords=Channellock+8WCB+8%22+Code+Blue+WIDEAZZ+Adjustable+Wrench&amp;qid=1695173930&amp;sr=8-3", "https://www.amazon.com/Channellock-808WCB-8-Inch-Chrome-Adjustable/dp/B00LFIEQ3S/ref=sr_1_3?keywords=Channellock+8WCB+8%22+Code+Blue+WIDEAZZ+Adjustable+Wrench&amp;qid=1695173930&amp;sr=8-3")</f>
        <v>https://www.amazon.com/Channellock-808WCB-8-Inch-Chrome-Adjustable/dp/B00LFIEQ3S/ref=sr_1_3?keywords=Channellock+8WCB+8%22+Code+Blue+WIDEAZZ+Adjustable+Wrench&amp;qid=1695173930&amp;sr=8-3</v>
      </c>
      <c r="F3544" t="s">
        <v>2556</v>
      </c>
      <c r="G3544" t="e">
        <f ca="1">_xludf.IMAGE("https://edmondsonsupply.com/cdn/shop/products/8WCB-683x1024.jpg?v=1633030324")</f>
        <v>#NAME?</v>
      </c>
      <c r="H3544" t="e">
        <f ca="1">_xludf.IMAGE("https://m.media-amazon.com/images/I/717njKwq-cL._AC_UL320_.jpg")</f>
        <v>#NAME?</v>
      </c>
      <c r="I3544" t="s">
        <v>3041</v>
      </c>
      <c r="J3544">
        <v>32.450000000000003</v>
      </c>
      <c r="K3544" s="4">
        <v>1.5599999999999999E-2</v>
      </c>
      <c r="L3544">
        <v>4.5999999999999996</v>
      </c>
      <c r="M3544">
        <v>89</v>
      </c>
      <c r="O3544" t="s">
        <v>25</v>
      </c>
      <c r="P3544" t="s">
        <v>3042</v>
      </c>
      <c r="Q3544" t="s">
        <v>3043</v>
      </c>
    </row>
    <row r="3545" spans="1:17" ht="15.5" x14ac:dyDescent="0.35">
      <c r="A3545" s="3" t="str">
        <f>HYPERLINK("https://edmondsonsupply.com/collections/electricians-tools/products/klein-tools-70574-grip-it-nine-key-hex-set-with-2-positions-sae", "https://edmondsonsupply.com/collections/electricians-tools/products/klein-tools-70574-grip-it-nine-key-hex-set-with-2-positions-sae")</f>
        <v>https://edmondsonsupply.com/collections/electricians-tools/products/klein-tools-70574-grip-it-nine-key-hex-set-with-2-positions-sae</v>
      </c>
      <c r="B3545" s="3" t="str">
        <f>HYPERLINK("https://edmondsonsupply.com/products/klein-tools-70574-grip-it-nine-key-hex-set-with-2-positions-sae", "https://edmondsonsupply.com/products/klein-tools-70574-grip-it-nine-key-hex-set-with-2-positions-sae")</f>
        <v>https://edmondsonsupply.com/products/klein-tools-70574-grip-it-nine-key-hex-set-with-2-positions-sae</v>
      </c>
      <c r="C3545" t="s">
        <v>7843</v>
      </c>
      <c r="D3545" t="s">
        <v>7844</v>
      </c>
      <c r="E3545" s="3" t="str">
        <f>HYPERLINK("https://www.amazon.com/Grip-Square-Klein-Tools-70575/dp/B0002RI8PK/ref=sr_1_2?keywords=Klein+Tools+70574+Grip-It%C2%AE+Hex+Key+Set%2C+9-Key%2C+4-1%2F2-Inch+Handle%2C+SAE+Sizes&amp;qid=1695174288&amp;sr=8-2", "https://www.amazon.com/Grip-Square-Klein-Tools-70575/dp/B0002RI8PK/ref=sr_1_2?keywords=Klein+Tools+70574+Grip-It%C2%AE+Hex+Key+Set%2C+9-Key%2C+4-1%2F2-Inch+Handle%2C+SAE+Sizes&amp;qid=1695174288&amp;sr=8-2")</f>
        <v>https://www.amazon.com/Grip-Square-Klein-Tools-70575/dp/B0002RI8PK/ref=sr_1_2?keywords=Klein+Tools+70574+Grip-It%C2%AE+Hex+Key+Set%2C+9-Key%2C+4-1%2F2-Inch+Handle%2C+SAE+Sizes&amp;qid=1695174288&amp;sr=8-2</v>
      </c>
      <c r="F3545" t="s">
        <v>7845</v>
      </c>
      <c r="G3545" t="e">
        <f ca="1">_xludf.IMAGE("https://edmondsonsupply.com/cdn/shop/products/70574.jpg?v=1633030924")</f>
        <v>#NAME?</v>
      </c>
      <c r="H3545" t="e">
        <f ca="1">_xludf.IMAGE("https://m.media-amazon.com/images/I/51C7aw6OxTL._AC_UL320_.jpg")</f>
        <v>#NAME?</v>
      </c>
      <c r="I3545" t="s">
        <v>6479</v>
      </c>
      <c r="J3545">
        <v>10.74</v>
      </c>
      <c r="K3545" s="4">
        <v>1.5100000000000001E-2</v>
      </c>
      <c r="L3545">
        <v>4.4000000000000004</v>
      </c>
      <c r="M3545">
        <v>65</v>
      </c>
      <c r="O3545" t="s">
        <v>25</v>
      </c>
      <c r="P3545" t="s">
        <v>138</v>
      </c>
      <c r="Q3545" t="s">
        <v>7846</v>
      </c>
    </row>
    <row r="3546" spans="1:17" ht="15.5" x14ac:dyDescent="0.35">
      <c r="A3546" s="3" t="str">
        <f>HYPERLINK("https://edmondsonsupply.com/collections/electricians-tools/products/testo-0590-7552-755-2-current-voltage-meter-with-200-a-ac-1000-v-ac-dc-continuity-and-phase-rotation-tester", "https://edmondsonsupply.com/collections/electricians-tools/products/testo-0590-7552-755-2-current-voltage-meter-with-200-a-ac-1000-v-ac-dc-continuity-and-phase-rotation-tester")</f>
        <v>https://edmondsonsupply.com/collections/electricians-tools/products/testo-0590-7552-755-2-current-voltage-meter-with-200-a-ac-1000-v-ac-dc-continuity-and-phase-rotation-tester</v>
      </c>
      <c r="B3546" s="3" t="str">
        <f>HYPERLINK("https://edmondsonsupply.com/products/testo-0590-7552-755-2-current-voltage-meter-with-200-a-ac-1000-v-ac-dc-continuity-and-phase-rotation-tester", "https://edmondsonsupply.com/products/testo-0590-7552-755-2-current-voltage-meter-with-200-a-ac-1000-v-ac-dc-continuity-and-phase-rotation-tester")</f>
        <v>https://edmondsonsupply.com/products/testo-0590-7552-755-2-current-voltage-meter-with-200-a-ac-1000-v-ac-dc-continuity-and-phase-rotation-tester</v>
      </c>
      <c r="C3546" t="s">
        <v>4409</v>
      </c>
      <c r="D3546" t="s">
        <v>3817</v>
      </c>
      <c r="E3546" s="3" t="str">
        <f>HYPERLINK("https://www.amazon.com/Testo-755-2-Current-Continuity-Rotation/dp/B01F3MPHQG/ref=sr_1_1?keywords=Testo+0590+7552+755-2+-+Current+%2F+Voltage+Meter+with+200+A+AC%2C+1000+V+AC%2FDC%2C+Continuity%2C+and+Phase+Rotation+Tester&amp;qid=1695174018&amp;sr=8-1", "https://www.amazon.com/Testo-755-2-Current-Continuity-Rotation/dp/B01F3MPHQG/ref=sr_1_1?keywords=Testo+0590+7552+755-2+-+Current+%2F+Voltage+Meter+with+200+A+AC%2C+1000+V+AC%2FDC%2C+Continuity%2C+and+Phase+Rotation+Tester&amp;qid=1695174018&amp;sr=8-1")</f>
        <v>https://www.amazon.com/Testo-755-2-Current-Continuity-Rotation/dp/B01F3MPHQG/ref=sr_1_1?keywords=Testo+0590+7552+755-2+-+Current+%2F+Voltage+Meter+with+200+A+AC%2C+1000+V+AC%2FDC%2C+Continuity%2C+and+Phase+Rotation+Tester&amp;qid=1695174018&amp;sr=8-1</v>
      </c>
      <c r="F3546" t="s">
        <v>3818</v>
      </c>
      <c r="G3546" t="e">
        <f ca="1">_xludf.IMAGE("https://edmondsonsupply.com/cdn/shop/files/testo-755-2_front_master.jpg?v=1688227541")</f>
        <v>#NAME?</v>
      </c>
      <c r="H3546" t="e">
        <f ca="1">_xludf.IMAGE("https://m.media-amazon.com/images/I/617sSpgpYbL._AC_UY218_.jpg")</f>
        <v>#NAME?</v>
      </c>
      <c r="I3546" t="s">
        <v>4410</v>
      </c>
      <c r="J3546">
        <v>216.53</v>
      </c>
      <c r="K3546" s="4">
        <v>1.49E-2</v>
      </c>
      <c r="L3546">
        <v>4.2</v>
      </c>
      <c r="M3546">
        <v>7</v>
      </c>
      <c r="O3546" t="s">
        <v>25</v>
      </c>
      <c r="P3546" t="s">
        <v>4411</v>
      </c>
      <c r="Q3546" t="s">
        <v>4412</v>
      </c>
    </row>
    <row r="3547" spans="1:17" ht="15.5" x14ac:dyDescent="0.35">
      <c r="A3547"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3547" s="3" t="str">
        <f>HYPERLINK("https://edmondsonsupply.com/products/fluke-373-true-rms-ac-clamp-meter", "https://edmondsonsupply.com/products/fluke-373-true-rms-ac-clamp-meter")</f>
        <v>https://edmondsonsupply.com/products/fluke-373-true-rms-ac-clamp-meter</v>
      </c>
      <c r="C3547" t="s">
        <v>5826</v>
      </c>
      <c r="D3547" t="s">
        <v>5910</v>
      </c>
      <c r="E3547" s="3" t="str">
        <f>HYPERLINK("https://www.amazon.com/Fluke-True-RMS-Clamp-Meter-600A/dp/B004E248XA/ref=sr_1_3?keywords=Fluke+373+True-RMS+AC+Clamp+Meter&amp;qid=1695173996&amp;sr=8-3", "https://www.amazon.com/Fluke-True-RMS-Clamp-Meter-600A/dp/B004E248XA/ref=sr_1_3?keywords=Fluke+373+True-RMS+AC+Clamp+Meter&amp;qid=1695173996&amp;sr=8-3")</f>
        <v>https://www.amazon.com/Fluke-True-RMS-Clamp-Meter-600A/dp/B004E248XA/ref=sr_1_3?keywords=Fluke+373+True-RMS+AC+Clamp+Meter&amp;qid=1695173996&amp;sr=8-3</v>
      </c>
      <c r="F3547" t="s">
        <v>5911</v>
      </c>
      <c r="G3547" t="e">
        <f ca="1">_xludf.IMAGE("https://edmondsonsupply.com/cdn/shop/files/f-373-01d-1500x1000.webp?v=1689369435")</f>
        <v>#NAME?</v>
      </c>
      <c r="H3547" t="e">
        <f ca="1">_xludf.IMAGE("https://m.media-amazon.com/images/I/51dRRtycxZL._AC_UY218_.jpg")</f>
        <v>#NAME?</v>
      </c>
      <c r="I3547" t="s">
        <v>5829</v>
      </c>
      <c r="J3547">
        <v>294</v>
      </c>
      <c r="K3547" s="4">
        <v>1.3599999999999999E-2</v>
      </c>
      <c r="L3547">
        <v>4</v>
      </c>
      <c r="M3547">
        <v>64</v>
      </c>
      <c r="O3547" t="s">
        <v>25</v>
      </c>
      <c r="P3547" t="s">
        <v>138</v>
      </c>
      <c r="Q3547" t="s">
        <v>5830</v>
      </c>
    </row>
    <row r="3548" spans="1:17" ht="15.5" x14ac:dyDescent="0.35">
      <c r="A3548" s="3" t="str">
        <f>HYPERLINK("https://edmondsonsupply.com/collections/electricians-tools/products/reed-mfg-dhr12-1-1-2npt-r12-drophead-1-1-2-npt", "https://edmondsonsupply.com/collections/electricians-tools/products/reed-mfg-dhr12-1-1-2npt-r12-drophead-1-1-2-npt")</f>
        <v>https://edmondsonsupply.com/collections/electricians-tools/products/reed-mfg-dhr12-1-1-2npt-r12-drophead-1-1-2-npt</v>
      </c>
      <c r="B3548" s="3" t="str">
        <f>HYPERLINK("https://edmondsonsupply.com/products/reed-mfg-dhr12-1-1-2npt-r12-drophead-1-1-2-npt", "https://edmondsonsupply.com/products/reed-mfg-dhr12-1-1-2npt-r12-drophead-1-1-2-npt")</f>
        <v>https://edmondsonsupply.com/products/reed-mfg-dhr12-1-1-2npt-r12-drophead-1-1-2-npt</v>
      </c>
      <c r="C3548" t="s">
        <v>7847</v>
      </c>
      <c r="D3548" t="s">
        <v>7195</v>
      </c>
      <c r="E3548" s="3" t="str">
        <f>HYPERLINK("https://www.amazon.com/Reed-Tool-DHR12-2NPT-Drophead/dp/B000ZGXUMY/ref=sr_1_1?keywords=Reed+Mfg+DHR12+1+1%2F2NPT+R12%2B+Drophead%2C+1-1%2F2%22+NPT&amp;qid=1695174267&amp;sr=8-1", "https://www.amazon.com/Reed-Tool-DHR12-2NPT-Drophead/dp/B000ZGXUMY/ref=sr_1_1?keywords=Reed+Mfg+DHR12+1+1%2F2NPT+R12%2B+Drophead%2C+1-1%2F2%22+NPT&amp;qid=1695174267&amp;sr=8-1")</f>
        <v>https://www.amazon.com/Reed-Tool-DHR12-2NPT-Drophead/dp/B000ZGXUMY/ref=sr_1_1?keywords=Reed+Mfg+DHR12+1+1%2F2NPT+R12%2B+Drophead%2C+1-1%2F2%22+NPT&amp;qid=1695174267&amp;sr=8-1</v>
      </c>
      <c r="F3548" t="s">
        <v>7196</v>
      </c>
      <c r="G3548" t="e">
        <f ca="1">_xludf.IMAGE("https://edmondsonsupply.com/cdn/shop/products/57_1_43919434-23d1-4a38-ae34-862e7aaca453.jpg?v=1633031013")</f>
        <v>#NAME?</v>
      </c>
      <c r="H3548" t="e">
        <f ca="1">_xludf.IMAGE("https://m.media-amazon.com/images/I/61Y5u+qPi2L._AC_UY218_.jpg")</f>
        <v>#NAME?</v>
      </c>
      <c r="I3548" t="s">
        <v>7848</v>
      </c>
      <c r="J3548">
        <v>172.93</v>
      </c>
      <c r="K3548" s="4">
        <v>1.3100000000000001E-2</v>
      </c>
      <c r="L3548">
        <v>1</v>
      </c>
      <c r="M3548">
        <v>1</v>
      </c>
      <c r="O3548" t="s">
        <v>25</v>
      </c>
      <c r="P3548" t="s">
        <v>7849</v>
      </c>
      <c r="Q3548" t="s">
        <v>7850</v>
      </c>
    </row>
    <row r="3549" spans="1:17" ht="15.5" x14ac:dyDescent="0.35">
      <c r="A3549" s="3" t="str">
        <f>HYPERLINK("https://edmondsonsupply.com/collections/electricians-tools/products/diablo-tools-dmapl9920-s7-7pc-rebar-demon%E2%84%A2-sds-plus-4-cutter-full-carbide-head-hammer-bit-set", "https://edmondsonsupply.com/collections/electricians-tools/products/diablo-tools-dmapl9920-s7-7pc-rebar-demon%E2%84%A2-sds-plus-4-cutter-full-carbide-head-hammer-bit-set")</f>
        <v>https://edmondsonsupply.com/collections/electricians-tools/products/diablo-tools-dmapl9920-s7-7pc-rebar-demon%E2%84%A2-sds-plus-4-cutter-full-carbide-head-hammer-bit-set</v>
      </c>
      <c r="B3549" s="3" t="str">
        <f>HYPERLINK("https://edmondsonsupply.com/products/diablo-tools-dmapl9920-s7-7pc-rebar-demon%e2%84%a2-sds-plus-4-cutter-full-carbide-head-hammer-bit-set", "https://edmondsonsupply.com/products/diablo-tools-dmapl9920-s7-7pc-rebar-demon%e2%84%a2-sds-plus-4-cutter-full-carbide-head-hammer-bit-set")</f>
        <v>https://edmondsonsupply.com/products/diablo-tools-dmapl9920-s7-7pc-rebar-demon%e2%84%a2-sds-plus-4-cutter-full-carbide-head-hammer-bit-set</v>
      </c>
      <c r="C3549" t="s">
        <v>7851</v>
      </c>
      <c r="D3549" t="s">
        <v>7852</v>
      </c>
      <c r="E3549" s="3" t="str">
        <f>HYPERLINK("https://www.amazon.com/Diablo-Freud-DMAPL9920-S7-SDS-Plus-4-Cutter/dp/B089LJJ6KJ/ref=sr_1_1?keywords=Diablo+Tools+DMAPL9920-S7+7pc+Rebar+Demon%E2%84%A2+SDS-Plus+4-Cutter+Full+Carbide+Head+Hammer+Bit+Set&amp;qid=1695174050&amp;sr=8-1", "https://www.amazon.com/Diablo-Freud-DMAPL9920-S7-SDS-Plus-4-Cutter/dp/B089LJJ6KJ/ref=sr_1_1?keywords=Diablo+Tools+DMAPL9920-S7+7pc+Rebar+Demon%E2%84%A2+SDS-Plus+4-Cutter+Full+Carbide+Head+Hammer+Bit+Set&amp;qid=1695174050&amp;sr=8-1")</f>
        <v>https://www.amazon.com/Diablo-Freud-DMAPL9920-S7-SDS-Plus-4-Cutter/dp/B089LJJ6KJ/ref=sr_1_1?keywords=Diablo+Tools+DMAPL9920-S7+7pc+Rebar+Demon%E2%84%A2+SDS-Plus+4-Cutter+Full+Carbide+Head+Hammer+Bit+Set&amp;qid=1695174050&amp;sr=8-1</v>
      </c>
      <c r="F3549" t="s">
        <v>7853</v>
      </c>
      <c r="G3549" t="e">
        <f ca="1">_xludf.IMAGE("https://edmondsonsupply.com/cdn/shop/products/vgtm2xrrra4yfevsszgf.webp?v=1679328619")</f>
        <v>#NAME?</v>
      </c>
      <c r="H3549" t="e">
        <f ca="1">_xludf.IMAGE("https://m.media-amazon.com/images/I/61zvSTnM+LL._AC_UL320_.jpg")</f>
        <v>#NAME?</v>
      </c>
      <c r="I3549" t="s">
        <v>7854</v>
      </c>
      <c r="J3549">
        <v>38.380000000000003</v>
      </c>
      <c r="K3549" s="4">
        <v>1.0800000000000001E-2</v>
      </c>
      <c r="L3549">
        <v>4.3</v>
      </c>
      <c r="M3549">
        <v>22</v>
      </c>
      <c r="O3549" t="s">
        <v>25</v>
      </c>
      <c r="P3549" t="s">
        <v>7855</v>
      </c>
      <c r="Q3549" t="s">
        <v>7856</v>
      </c>
    </row>
    <row r="3550" spans="1:17" ht="15.5" x14ac:dyDescent="0.35">
      <c r="A3550"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3550" s="3" t="str">
        <f>HYPERLINK("https://edmondsonsupply.com/products/klein-tools-jth6m10-10-mm-hex-key-journeyman-t-handle-6-inch", "https://edmondsonsupply.com/products/klein-tools-jth6m10-10-mm-hex-key-journeyman-t-handle-6-inch")</f>
        <v>https://edmondsonsupply.com/products/klein-tools-jth6m10-10-mm-hex-key-journeyman-t-handle-6-inch</v>
      </c>
      <c r="C3550" t="s">
        <v>6945</v>
      </c>
      <c r="D3550" t="s">
        <v>7857</v>
      </c>
      <c r="E3550" s="3" t="str">
        <f>HYPERLINK("https://www.amazon.com/Journeyman-T-Handle-Klein-Tools-JTH6T10/dp/B005G3B3TI/ref=sr_1_4?keywords=Klein+Tools+JTH6M10+10+mm+Hex+Key+Journeyman+T-Handle+6-Inch&amp;qid=1695174255&amp;sr=8-4", "https://www.amazon.com/Journeyman-T-Handle-Klein-Tools-JTH6T10/dp/B005G3B3TI/ref=sr_1_4?keywords=Klein+Tools+JTH6M10+10+mm+Hex+Key+Journeyman+T-Handle+6-Inch&amp;qid=1695174255&amp;sr=8-4")</f>
        <v>https://www.amazon.com/Journeyman-T-Handle-Klein-Tools-JTH6T10/dp/B005G3B3TI/ref=sr_1_4?keywords=Klein+Tools+JTH6M10+10+mm+Hex+Key+Journeyman+T-Handle+6-Inch&amp;qid=1695174255&amp;sr=8-4</v>
      </c>
      <c r="F3550" t="s">
        <v>7858</v>
      </c>
      <c r="G3550" t="e">
        <f ca="1">_xludf.IMAGE("https://edmondsonsupply.com/cdn/shop/products/jth6m8_64c2c8d3-e13e-4b81-9b34-745be7fd837a.jpg?v=1627827117")</f>
        <v>#NAME?</v>
      </c>
      <c r="H3550" t="e">
        <f ca="1">_xludf.IMAGE("https://m.media-amazon.com/images/I/51Xj0Vsb-EL._AC_UL320_.jpg")</f>
        <v>#NAME?</v>
      </c>
      <c r="I3550" t="s">
        <v>924</v>
      </c>
      <c r="J3550">
        <v>9.08</v>
      </c>
      <c r="K3550" s="4">
        <v>0.01</v>
      </c>
      <c r="L3550">
        <v>4.8</v>
      </c>
      <c r="M3550">
        <v>1544</v>
      </c>
      <c r="O3550" t="s">
        <v>25</v>
      </c>
      <c r="P3550" t="s">
        <v>6946</v>
      </c>
      <c r="Q3550" t="s">
        <v>6947</v>
      </c>
    </row>
    <row r="3551" spans="1:17" ht="15.5" x14ac:dyDescent="0.35">
      <c r="A3551"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3551" s="3" t="str">
        <f>HYPERLINK("https://edmondsonsupply.com/products/amprobe-thwd-3-relative-humidity-temperature-meter", "https://edmondsonsupply.com/products/amprobe-thwd-3-relative-humidity-temperature-meter")</f>
        <v>https://edmondsonsupply.com/products/amprobe-thwd-3-relative-humidity-temperature-meter</v>
      </c>
      <c r="C3551" t="s">
        <v>7258</v>
      </c>
      <c r="D3551" t="s">
        <v>7258</v>
      </c>
      <c r="E3551" s="3" t="str">
        <f>HYPERLINK("https://www.amazon.com/Amprobe-THWD-3-Temperature-Relative-Humidity/dp/B002ICF5AI/ref=sr_1_1?keywords=Amprobe+THWD-3+Relative+Humidity+Temperature+Meter&amp;qid=1695174239&amp;sr=8-1", "https://www.amazon.com/Amprobe-THWD-3-Temperature-Relative-Humidity/dp/B002ICF5AI/ref=sr_1_1?keywords=Amprobe+THWD-3+Relative+Humidity+Temperature+Meter&amp;qid=1695174239&amp;sr=8-1")</f>
        <v>https://www.amazon.com/Amprobe-THWD-3-Temperature-Relative-Humidity/dp/B002ICF5AI/ref=sr_1_1?keywords=Amprobe+THWD-3+Relative+Humidity+Temperature+Meter&amp;qid=1695174239&amp;sr=8-1</v>
      </c>
      <c r="F3551" t="s">
        <v>7859</v>
      </c>
      <c r="G3551" t="e">
        <f ca="1">_xludf.IMAGE("https://edmondsonsupply.com/cdn/shop/products/THWD-3.png?v=1633526329")</f>
        <v>#NAME?</v>
      </c>
      <c r="H3551" t="e">
        <f ca="1">_xludf.IMAGE("https://m.media-amazon.com/images/I/51VeR6DpHLL._AC_UY218_.jpg")</f>
        <v>#NAME?</v>
      </c>
      <c r="I3551" t="s">
        <v>7261</v>
      </c>
      <c r="J3551">
        <v>177.95</v>
      </c>
      <c r="K3551" s="4">
        <v>8.9999999999999993E-3</v>
      </c>
      <c r="L3551">
        <v>4.7</v>
      </c>
      <c r="M3551">
        <v>156</v>
      </c>
      <c r="O3551" t="s">
        <v>25</v>
      </c>
      <c r="P3551" t="s">
        <v>4452</v>
      </c>
      <c r="Q3551" t="s">
        <v>7262</v>
      </c>
    </row>
    <row r="3552" spans="1:17" ht="15.5" x14ac:dyDescent="0.35">
      <c r="A3552"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3552" s="3" t="str">
        <f>HYPERLINK("https://edmondsonsupply.com/products/klein-tools-56341-stainless-steel-fish-tape-1-8-inch-x-240-foot", "https://edmondsonsupply.com/products/klein-tools-56341-stainless-steel-fish-tape-1-8-inch-x-240-foot")</f>
        <v>https://edmondsonsupply.com/products/klein-tools-56341-stainless-steel-fish-tape-1-8-inch-x-240-foot</v>
      </c>
      <c r="C3552" t="s">
        <v>7829</v>
      </c>
      <c r="D3552" t="s">
        <v>7860</v>
      </c>
      <c r="E3552" s="3" t="str">
        <f>HYPERLINK("https://www.amazon.com/Stainless-240-Foot-Klein-Tools-56008/dp/B002PDVHXO/ref=sr_1_2?keywords=Klein+Tools+56341+Stainless+Steel+Fish+Tape%2C+1%2F8-Inch+x+240-Foot&amp;qid=1695174134&amp;sr=8-2", "https://www.amazon.com/Stainless-240-Foot-Klein-Tools-56008/dp/B002PDVHXO/ref=sr_1_2?keywords=Klein+Tools+56341+Stainless+Steel+Fish+Tape%2C+1%2F8-Inch+x+240-Foot&amp;qid=1695174134&amp;sr=8-2")</f>
        <v>https://www.amazon.com/Stainless-240-Foot-Klein-Tools-56008/dp/B002PDVHXO/ref=sr_1_2?keywords=Klein+Tools+56341+Stainless+Steel+Fish+Tape%2C+1%2F8-Inch+x+240-Foot&amp;qid=1695174134&amp;sr=8-2</v>
      </c>
      <c r="F3552" t="s">
        <v>7861</v>
      </c>
      <c r="G3552" t="e">
        <f ca="1">_xludf.IMAGE("https://edmondsonsupply.com/cdn/shop/products/56341.jpg?v=1666901345")</f>
        <v>#NAME?</v>
      </c>
      <c r="H3552" t="e">
        <f ca="1">_xludf.IMAGE("https://m.media-amazon.com/images/I/61xbap4AX1L._AC_UL320_.jpg")</f>
        <v>#NAME?</v>
      </c>
      <c r="I3552" t="s">
        <v>7832</v>
      </c>
      <c r="J3552">
        <v>115.99</v>
      </c>
      <c r="K3552" s="4">
        <v>8.6999999999999994E-3</v>
      </c>
      <c r="L3552">
        <v>4.0999999999999996</v>
      </c>
      <c r="M3552">
        <v>25</v>
      </c>
      <c r="O3552" t="s">
        <v>25</v>
      </c>
      <c r="P3552" t="s">
        <v>7833</v>
      </c>
      <c r="Q3552" t="s">
        <v>7834</v>
      </c>
    </row>
    <row r="3553" spans="1:17" ht="15.5" x14ac:dyDescent="0.35">
      <c r="A3553"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3553" s="3" t="str">
        <f>HYPERLINK("https://edmondsonsupply.com/products/klein-tools-s8m-1-4-inch-magnetic-nut-driver-3-inch-shank", "https://edmondsonsupply.com/products/klein-tools-s8m-1-4-inch-magnetic-nut-driver-3-inch-shank")</f>
        <v>https://edmondsonsupply.com/products/klein-tools-s8m-1-4-inch-magnetic-nut-driver-3-inch-shank</v>
      </c>
      <c r="C3553" t="s">
        <v>3809</v>
      </c>
      <c r="D3553" t="s">
        <v>4434</v>
      </c>
      <c r="E3553" s="3" t="str">
        <f>HYPERLINK("https://www.amazon.com/Magnetic-Comfordome-Klein-Tools-S10M/dp/B000936PCU/ref=sr_1_9?keywords=Klein+Tools+S8M+1%2F4-Inch+Magnetic+Nut+Driver+3-Inch+Shank&amp;qid=1695174041&amp;sr=8-9", "https://www.amazon.com/Magnetic-Comfordome-Klein-Tools-S10M/dp/B000936PCU/ref=sr_1_9?keywords=Klein+Tools+S8M+1%2F4-Inch+Magnetic+Nut+Driver+3-Inch+Shank&amp;qid=1695174041&amp;sr=8-9")</f>
        <v>https://www.amazon.com/Magnetic-Comfordome-Klein-Tools-S10M/dp/B000936PCU/ref=sr_1_9?keywords=Klein+Tools+S8M+1%2F4-Inch+Magnetic+Nut+Driver+3-Inch+Shank&amp;qid=1695174041&amp;sr=8-9</v>
      </c>
      <c r="F3553" t="s">
        <v>4435</v>
      </c>
      <c r="G3553" t="e">
        <f ca="1">_xludf.IMAGE("https://edmondsonsupply.com/cdn/shop/products/s8m.jpg?v=1633030818")</f>
        <v>#NAME?</v>
      </c>
      <c r="H3553" t="e">
        <f ca="1">_xludf.IMAGE("https://m.media-amazon.com/images/I/51wT5Rnu5GL._AC_UL320_.jpg")</f>
        <v>#NAME?</v>
      </c>
      <c r="I3553" t="s">
        <v>924</v>
      </c>
      <c r="J3553">
        <v>9.0500000000000007</v>
      </c>
      <c r="K3553" s="4">
        <v>6.7000000000000002E-3</v>
      </c>
      <c r="L3553">
        <v>4.5999999999999996</v>
      </c>
      <c r="M3553">
        <v>231</v>
      </c>
      <c r="O3553" t="s">
        <v>25</v>
      </c>
      <c r="P3553" t="s">
        <v>3812</v>
      </c>
      <c r="Q3553" t="s">
        <v>3813</v>
      </c>
    </row>
    <row r="3554" spans="1:17" ht="15.5" x14ac:dyDescent="0.35">
      <c r="A3554" s="3" t="str">
        <f>HYPERLINK("https://edmondsonsupply.com/collections/electricians-tools/products/fluke-378-fc-non-contact-voltage-true-rms-ac-dc-clamp-meter-with-iflex", "https://edmondsonsupply.com/collections/electricians-tools/products/fluke-378-fc-non-contact-voltage-true-rms-ac-dc-clamp-meter-with-iflex")</f>
        <v>https://edmondsonsupply.com/collections/electricians-tools/products/fluke-378-fc-non-contact-voltage-true-rms-ac-dc-clamp-meter-with-iflex</v>
      </c>
      <c r="B3554" s="3" t="str">
        <f>HYPERLINK("https://edmondsonsupply.com/products/fluke-378-fc-non-contact-voltage-true-rms-ac-dc-clamp-meter-with-iflex", "https://edmondsonsupply.com/products/fluke-378-fc-non-contact-voltage-true-rms-ac-dc-clamp-meter-with-iflex")</f>
        <v>https://edmondsonsupply.com/products/fluke-378-fc-non-contact-voltage-true-rms-ac-dc-clamp-meter-with-iflex</v>
      </c>
      <c r="C3554" t="s">
        <v>4438</v>
      </c>
      <c r="D3554" t="s">
        <v>4439</v>
      </c>
      <c r="E3554" s="3" t="str">
        <f>HYPERLINK("https://www.amazon.com/Fluke-Non-Contact-Voltage-Wireless-Indicator/dp/B0916K6JZF/ref=sr_1_1?keywords=Fluke+378+FC+Non-Contact+Voltage+True-RMS+AC%2FDC+Clamp+Meter+with+iFlex&amp;qid=1695173847&amp;sr=8-1", "https://www.amazon.com/Fluke-Non-Contact-Voltage-Wireless-Indicator/dp/B0916K6JZF/ref=sr_1_1?keywords=Fluke+378+FC+Non-Contact+Voltage+True-RMS+AC%2FDC+Clamp+Meter+with+iFlex&amp;qid=1695173847&amp;sr=8-1")</f>
        <v>https://www.amazon.com/Fluke-Non-Contact-Voltage-Wireless-Indicator/dp/B0916K6JZF/ref=sr_1_1?keywords=Fluke+378+FC+Non-Contact+Voltage+True-RMS+AC%2FDC+Clamp+Meter+with+iFlex&amp;qid=1695173847&amp;sr=8-1</v>
      </c>
      <c r="F3554" t="s">
        <v>4440</v>
      </c>
      <c r="G3554" t="e">
        <f ca="1">_xludf.IMAGE("https://edmondsonsupply.com/cdn/shop/products/378_FC_72dpi_499x1024px_E_NR-27689.jpg?v=1633031120")</f>
        <v>#NAME?</v>
      </c>
      <c r="H3554" t="e">
        <f ca="1">_xludf.IMAGE("https://m.media-amazon.com/images/I/813NB9dMeUL._AC_UY218_.jpg")</f>
        <v>#NAME?</v>
      </c>
      <c r="I3554" t="s">
        <v>4441</v>
      </c>
      <c r="J3554">
        <v>779.89</v>
      </c>
      <c r="K3554" s="4">
        <v>4.1000000000000003E-3</v>
      </c>
      <c r="L3554">
        <v>4.5999999999999996</v>
      </c>
      <c r="M3554">
        <v>97</v>
      </c>
      <c r="O3554" t="s">
        <v>171</v>
      </c>
      <c r="P3554" t="s">
        <v>4442</v>
      </c>
      <c r="Q3554" t="s">
        <v>4443</v>
      </c>
    </row>
    <row r="3555" spans="1:17" ht="15.5" x14ac:dyDescent="0.35">
      <c r="A3555"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3555"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3555" t="s">
        <v>5906</v>
      </c>
      <c r="D3555" t="s">
        <v>5838</v>
      </c>
      <c r="E3555" s="3" t="str">
        <f>HYPERLINK("https://www.amazon.com/Diablo-SDS-Max-4-Cutter-Carbide-Tipped-Hammer/dp/B089LHKFQ2/ref=sr_1_9?keywords=Diablo+Tools+DMAMXCC5050+4+in.+x+7+in.+SDS-Max+Carbide+Tipped+Core+Bit&amp;qid=1695174004&amp;sr=8-9", "https://www.amazon.com/Diablo-SDS-Max-4-Cutter-Carbide-Tipped-Hammer/dp/B089LHKFQ2/ref=sr_1_9?keywords=Diablo+Tools+DMAMXCC5050+4+in.+x+7+in.+SDS-Max+Carbide+Tipped+Core+Bit&amp;qid=1695174004&amp;sr=8-9")</f>
        <v>https://www.amazon.com/Diablo-SDS-Max-4-Cutter-Carbide-Tipped-Hammer/dp/B089LHKFQ2/ref=sr_1_9?keywords=Diablo+Tools+DMAMXCC5050+4+in.+x+7+in.+SDS-Max+Carbide+Tipped+Core+Bit&amp;qid=1695174004&amp;sr=8-9</v>
      </c>
      <c r="F3555" t="s">
        <v>5839</v>
      </c>
      <c r="G3555" t="e">
        <f ca="1">_xludf.IMAGE("https://edmondsonsupply.com/cdn/shop/files/yghx7uqdjxchri5fikny.webp?v=1686586834")</f>
        <v>#NAME?</v>
      </c>
      <c r="H3555" t="e">
        <f ca="1">_xludf.IMAGE("https://m.media-amazon.com/images/I/61p4Q032qYL._AC_UL320_.jpg")</f>
        <v>#NAME?</v>
      </c>
      <c r="I3555" t="s">
        <v>5907</v>
      </c>
      <c r="J3555">
        <v>151.99</v>
      </c>
      <c r="K3555" s="4">
        <v>3.8999999999999998E-3</v>
      </c>
      <c r="L3555">
        <v>4.4000000000000004</v>
      </c>
      <c r="M3555">
        <v>4</v>
      </c>
      <c r="O3555" t="s">
        <v>25</v>
      </c>
      <c r="P3555" t="s">
        <v>5908</v>
      </c>
      <c r="Q3555" t="s">
        <v>5909</v>
      </c>
    </row>
    <row r="3556" spans="1:17" ht="15.5" x14ac:dyDescent="0.35">
      <c r="A3556"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3556" s="3" t="str">
        <f>HYPERLINK("https://edmondsonsupply.com/products/diablo-tools-dmapl2290-7-16-in-x-10-in-x-12-in-sds-plus-2-cutter", "https://edmondsonsupply.com/products/diablo-tools-dmapl2290-7-16-in-x-10-in-x-12-in-sds-plus-2-cutter")</f>
        <v>https://edmondsonsupply.com/products/diablo-tools-dmapl2290-7-16-in-x-10-in-x-12-in-sds-plus-2-cutter</v>
      </c>
      <c r="C3556" t="s">
        <v>5860</v>
      </c>
      <c r="D3556" t="s">
        <v>5912</v>
      </c>
      <c r="E3556" s="3" t="str">
        <f>HYPERLINK("https://www.amazon.com/Diablo-DMAPL2290-16-SDS-Plus-2-Cutter/dp/B089KVPSVG/ref=sr_1_1?keywords=Diablo+Tools+DMAPL2290+7%2F16+in.+x+10+in.+x+12+in.+SDS-Plus+2-Cutter&amp;qid=1695174015&amp;sr=8-1", "https://www.amazon.com/Diablo-DMAPL2290-16-SDS-Plus-2-Cutter/dp/B089KVPSVG/ref=sr_1_1?keywords=Diablo+Tools+DMAPL2290+7%2F16+in.+x+10+in.+x+12+in.+SDS-Plus+2-Cutter&amp;qid=1695174015&amp;sr=8-1")</f>
        <v>https://www.amazon.com/Diablo-DMAPL2290-16-SDS-Plus-2-Cutter/dp/B089KVPSVG/ref=sr_1_1?keywords=Diablo+Tools+DMAPL2290+7%2F16+in.+x+10+in.+x+12+in.+SDS-Plus+2-Cutter&amp;qid=1695174015&amp;sr=8-1</v>
      </c>
      <c r="F3556" t="s">
        <v>5913</v>
      </c>
      <c r="G3556" t="e">
        <f ca="1">_xludf.IMAGE("https://edmondsonsupply.com/cdn/shop/files/lgvfccwvf9ikjakt8qfb.webp?v=1686146379")</f>
        <v>#NAME?</v>
      </c>
      <c r="H3556" t="e">
        <f ca="1">_xludf.IMAGE("https://m.media-amazon.com/images/I/61fcva10QfL._AC_UL320_.jpg")</f>
        <v>#NAME?</v>
      </c>
      <c r="I3556" t="s">
        <v>1140</v>
      </c>
      <c r="J3556">
        <v>10.54</v>
      </c>
      <c r="K3556" s="4">
        <v>3.8E-3</v>
      </c>
      <c r="L3556">
        <v>4.7</v>
      </c>
      <c r="M3556">
        <v>6</v>
      </c>
      <c r="O3556" t="s">
        <v>25</v>
      </c>
      <c r="P3556" t="s">
        <v>5863</v>
      </c>
      <c r="Q3556" t="s">
        <v>5864</v>
      </c>
    </row>
    <row r="3557" spans="1:17" ht="15.5" x14ac:dyDescent="0.35">
      <c r="A3557"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3557"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3557" t="s">
        <v>6812</v>
      </c>
      <c r="D3557" t="s">
        <v>7862</v>
      </c>
      <c r="E3557" s="3" t="str">
        <f>HYPERLINK("https://www.amazon.com/Klein-Tools-6834INS-Screwdriver-Cushion-Grip/dp/B0BF7LCHQ9/ref=sr_1_10?keywords=Klein+Tools+6824INS+Insulated+Screwdriver%2C+1%2F4-Inch+Cabinet+Tip%2C+4-Inch+Round+Shank&amp;qid=1695174148&amp;sr=8-10", "https://www.amazon.com/Klein-Tools-6834INS-Screwdriver-Cushion-Grip/dp/B0BF7LCHQ9/ref=sr_1_10?keywords=Klein+Tools+6824INS+Insulated+Screwdriver%2C+1%2F4-Inch+Cabinet+Tip%2C+4-Inch+Round+Shank&amp;qid=1695174148&amp;sr=8-10")</f>
        <v>https://www.amazon.com/Klein-Tools-6834INS-Screwdriver-Cushion-Grip/dp/B0BF7LCHQ9/ref=sr_1_10?keywords=Klein+Tools+6824INS+Insulated+Screwdriver%2C+1%2F4-Inch+Cabinet+Tip%2C+4-Inch+Round+Shank&amp;qid=1695174148&amp;sr=8-10</v>
      </c>
      <c r="F3557" t="s">
        <v>7863</v>
      </c>
      <c r="G3557" t="e">
        <f ca="1">_xludf.IMAGE("https://edmondsonsupply.com/cdn/shop/products/6824ins.jpg?v=1664813487")</f>
        <v>#NAME?</v>
      </c>
      <c r="H3557" t="e">
        <f ca="1">_xludf.IMAGE("https://m.media-amazon.com/images/I/41syzbetq2L._AC_UL320_.jpg")</f>
        <v>#NAME?</v>
      </c>
      <c r="I3557" t="s">
        <v>1427</v>
      </c>
      <c r="J3557">
        <v>9.99</v>
      </c>
      <c r="K3557" s="4">
        <v>2E-3</v>
      </c>
      <c r="L3557">
        <v>5</v>
      </c>
      <c r="M3557">
        <v>6</v>
      </c>
      <c r="O3557" t="s">
        <v>25</v>
      </c>
      <c r="P3557" t="s">
        <v>6813</v>
      </c>
      <c r="Q3557" t="s">
        <v>6814</v>
      </c>
    </row>
    <row r="3558" spans="1:17" ht="15.5" x14ac:dyDescent="0.35">
      <c r="A3558"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3558"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3558" t="s">
        <v>7214</v>
      </c>
      <c r="D3558" t="s">
        <v>7864</v>
      </c>
      <c r="E3558" s="3" t="str">
        <f>HYPERLINK("https://www.amazon.com/Klein-Tools-6844INS-Screwdriver-Cushion-Grip/dp/B0BF7L6BZ6/ref=sr_1_1?keywords=Klein+Tools+6844INS+Insulated+Screwdriver%2C+%232+Square+Tip%2C+4-Inch+Round+Shank&amp;qid=1695174147&amp;sr=8-1", "https://www.amazon.com/Klein-Tools-6844INS-Screwdriver-Cushion-Grip/dp/B0BF7L6BZ6/ref=sr_1_1?keywords=Klein+Tools+6844INS+Insulated+Screwdriver%2C+%232+Square+Tip%2C+4-Inch+Round+Shank&amp;qid=1695174147&amp;sr=8-1")</f>
        <v>https://www.amazon.com/Klein-Tools-6844INS-Screwdriver-Cushion-Grip/dp/B0BF7L6BZ6/ref=sr_1_1?keywords=Klein+Tools+6844INS+Insulated+Screwdriver%2C+%232+Square+Tip%2C+4-Inch+Round+Shank&amp;qid=1695174147&amp;sr=8-1</v>
      </c>
      <c r="F3558" t="s">
        <v>7865</v>
      </c>
      <c r="G3558" t="e">
        <f ca="1">_xludf.IMAGE("https://edmondsonsupply.com/cdn/shop/products/6844ins.jpg?v=1664817203")</f>
        <v>#NAME?</v>
      </c>
      <c r="H3558" t="e">
        <f ca="1">_xludf.IMAGE("https://m.media-amazon.com/images/I/41RKewAXjvL._AC_UL320_.jpg")</f>
        <v>#NAME?</v>
      </c>
      <c r="I3558" t="s">
        <v>1427</v>
      </c>
      <c r="J3558">
        <v>9.99</v>
      </c>
      <c r="K3558" s="4">
        <v>2E-3</v>
      </c>
      <c r="L3558">
        <v>4.9000000000000004</v>
      </c>
      <c r="M3558">
        <v>205</v>
      </c>
      <c r="O3558" t="s">
        <v>25</v>
      </c>
      <c r="P3558" t="s">
        <v>7217</v>
      </c>
      <c r="Q3558" t="s">
        <v>7218</v>
      </c>
    </row>
    <row r="3559" spans="1:17" ht="15.5" x14ac:dyDescent="0.35">
      <c r="A3559"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3559"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3559" t="s">
        <v>6812</v>
      </c>
      <c r="D3559" t="s">
        <v>7866</v>
      </c>
      <c r="E3559" s="3" t="str">
        <f>HYPERLINK("https://www.amazon.com/Klein-Tools-6824INS-Screwdriver-Cushion-Grip/dp/B0BF78XBPX/ref=sr_1_3?keywords=Klein+Tools+6824INS+Insulated+Screwdriver%2C+1%2F4-Inch+Cabinet+Tip%2C+4-Inch+Round+Shank&amp;qid=1695174148&amp;sr=8-3", "https://www.amazon.com/Klein-Tools-6824INS-Screwdriver-Cushion-Grip/dp/B0BF78XBPX/ref=sr_1_3?keywords=Klein+Tools+6824INS+Insulated+Screwdriver%2C+1%2F4-Inch+Cabinet+Tip%2C+4-Inch+Round+Shank&amp;qid=1695174148&amp;sr=8-3")</f>
        <v>https://www.amazon.com/Klein-Tools-6824INS-Screwdriver-Cushion-Grip/dp/B0BF78XBPX/ref=sr_1_3?keywords=Klein+Tools+6824INS+Insulated+Screwdriver%2C+1%2F4-Inch+Cabinet+Tip%2C+4-Inch+Round+Shank&amp;qid=1695174148&amp;sr=8-3</v>
      </c>
      <c r="F3559" t="s">
        <v>7867</v>
      </c>
      <c r="G3559" t="e">
        <f ca="1">_xludf.IMAGE("https://edmondsonsupply.com/cdn/shop/products/6824ins.jpg?v=1664813487")</f>
        <v>#NAME?</v>
      </c>
      <c r="H3559" t="e">
        <f ca="1">_xludf.IMAGE("https://m.media-amazon.com/images/I/410Gu3snLdL._AC_UL320_.jpg")</f>
        <v>#NAME?</v>
      </c>
      <c r="I3559" t="s">
        <v>1427</v>
      </c>
      <c r="J3559">
        <v>9.99</v>
      </c>
      <c r="K3559" s="4">
        <v>2E-3</v>
      </c>
      <c r="L3559">
        <v>4.9000000000000004</v>
      </c>
      <c r="M3559">
        <v>205</v>
      </c>
      <c r="O3559" t="s">
        <v>25</v>
      </c>
      <c r="P3559" t="s">
        <v>6813</v>
      </c>
      <c r="Q3559" t="s">
        <v>6814</v>
      </c>
    </row>
    <row r="3560" spans="1:17" ht="15.5" x14ac:dyDescent="0.35">
      <c r="A3560" s="3" t="str">
        <f>HYPERLINK("https://edmondsonsupply.com/collections/electricians-tools/products/channellock-431", "https://edmondsonsupply.com/collections/electricians-tools/products/channellock-431")</f>
        <v>https://edmondsonsupply.com/collections/electricians-tools/products/channellock-431</v>
      </c>
      <c r="B3560" s="3" t="str">
        <f>HYPERLINK("https://edmondsonsupply.com/products/channellock-431", "https://edmondsonsupply.com/products/channellock-431")</f>
        <v>https://edmondsonsupply.com/products/channellock-431</v>
      </c>
      <c r="C3560" t="s">
        <v>3341</v>
      </c>
      <c r="D3560" t="s">
        <v>4447</v>
      </c>
      <c r="E3560" s="3" t="str">
        <f>HYPERLINK("https://www.amazon.com/MAXPOWER-Groove-Pliers-Adjustable-Serrtated/dp/B0BBMQZ28N/ref=sr_1_8?keywords=Channellock+432+10-Inch+V-Jaw+Tongue&amp;qid=1695173959&amp;sr=8-8", "https://www.amazon.com/MAXPOWER-Groove-Pliers-Adjustable-Serrtated/dp/B0BBMQZ28N/ref=sr_1_8?keywords=Channellock+432+10-Inch+V-Jaw+Tongue&amp;qid=1695173959&amp;sr=8-8")</f>
        <v>https://www.amazon.com/MAXPOWER-Groove-Pliers-Adjustable-Serrtated/dp/B0BBMQZ28N/ref=sr_1_8?keywords=Channellock+432+10-Inch+V-Jaw+Tongue&amp;qid=1695173959&amp;sr=8-8</v>
      </c>
      <c r="F3560" t="s">
        <v>4448</v>
      </c>
      <c r="G3560" t="e">
        <f ca="1">_xludf.IMAGE("https://edmondsonsupply.com/cdn/shop/products/432-683x1024.jpg?v=1587147134")</f>
        <v>#NAME?</v>
      </c>
      <c r="H3560" t="e">
        <f ca="1">_xludf.IMAGE("https://m.media-amazon.com/images/I/6184vDVNMFL._AC_UL320_.jpg")</f>
        <v>#NAME?</v>
      </c>
      <c r="I3560" t="s">
        <v>488</v>
      </c>
      <c r="J3560">
        <v>19.989999999999998</v>
      </c>
      <c r="K3560" s="4">
        <v>2E-3</v>
      </c>
      <c r="L3560">
        <v>4.5</v>
      </c>
      <c r="M3560">
        <v>19</v>
      </c>
      <c r="O3560" t="s">
        <v>25</v>
      </c>
      <c r="P3560" t="s">
        <v>3344</v>
      </c>
      <c r="Q3560" t="s">
        <v>3345</v>
      </c>
    </row>
    <row r="3561" spans="1:17" ht="15.5" x14ac:dyDescent="0.35">
      <c r="A3561" s="3" t="str">
        <f>HYPERLINK("https://edmondsonsupply.com/collections/electricians-tools/products/klein-tools-jth6t25-t25-torx%C2%AE-hex-key-with-journeyman-t-handle-6-inch", "https://edmondsonsupply.com/collections/electricians-tools/products/klein-tools-jth6t25-t25-torx%C2%AE-hex-key-with-journeyman-t-handle-6-inch")</f>
        <v>https://edmondsonsupply.com/collections/electricians-tools/products/klein-tools-jth6t25-t25-torx%C2%AE-hex-key-with-journeyman-t-handle-6-inch</v>
      </c>
      <c r="B3561" s="3" t="str">
        <f>HYPERLINK("https://edmondsonsupply.com/products/klein-tools-jth6t25-t25-torx%c2%ae-hex-key-with-journeyman-t-handle-6-inch", "https://edmondsonsupply.com/products/klein-tools-jth6t25-t25-torx%c2%ae-hex-key-with-journeyman-t-handle-6-inch")</f>
        <v>https://edmondsonsupply.com/products/klein-tools-jth6t25-t25-torx%c2%ae-hex-key-with-journeyman-t-handle-6-inch</v>
      </c>
      <c r="C3561" t="s">
        <v>3078</v>
      </c>
      <c r="D3561" t="s">
        <v>3079</v>
      </c>
      <c r="E3561" s="3" t="str">
        <f>HYPERLINK("https://www.amazon.com/Journeyman-T-Handle-Klein-Tools-JTH6T25/dp/B005G3B4HE/ref=sr_1_1?keywords=Klein+Tools+JTH6T25+T25+Torx%C2%AE+Hex+Key+with+Journeyman+T-Handle%2C+6-Inch&amp;qid=1695173879&amp;sr=8-1", "https://www.amazon.com/Journeyman-T-Handle-Klein-Tools-JTH6T25/dp/B005G3B4HE/ref=sr_1_1?keywords=Klein+Tools+JTH6T25+T25+Torx%C2%AE+Hex+Key+with+Journeyman+T-Handle%2C+6-Inch&amp;qid=1695173879&amp;sr=8-1")</f>
        <v>https://www.amazon.com/Journeyman-T-Handle-Klein-Tools-JTH6T25/dp/B005G3B4HE/ref=sr_1_1?keywords=Klein+Tools+JTH6T25+T25+Torx%C2%AE+Hex+Key+with+Journeyman+T-Handle%2C+6-Inch&amp;qid=1695173879&amp;sr=8-1</v>
      </c>
      <c r="F3561" t="s">
        <v>3080</v>
      </c>
      <c r="G3561" t="e">
        <f ca="1">_xludf.IMAGE("https://edmondsonsupply.com/cdn/shop/products/jth6t40_f27d4256-4343-44f4-afb3-5989c8c8fc7b.jpg?v=1613168190")</f>
        <v>#NAME?</v>
      </c>
      <c r="H3561" t="e">
        <f ca="1">_xludf.IMAGE("https://m.media-amazon.com/images/I/51Xj0Vsb-EL._AC_UL320_.jpg")</f>
        <v>#NAME?</v>
      </c>
      <c r="I3561" t="s">
        <v>3081</v>
      </c>
      <c r="J3561">
        <v>12.16</v>
      </c>
      <c r="K3561" s="4">
        <v>1.6000000000000001E-3</v>
      </c>
      <c r="L3561">
        <v>4.8</v>
      </c>
      <c r="M3561">
        <v>1544</v>
      </c>
      <c r="O3561" t="s">
        <v>25</v>
      </c>
      <c r="P3561" t="s">
        <v>138</v>
      </c>
      <c r="Q3561" t="s">
        <v>3082</v>
      </c>
    </row>
    <row r="3562" spans="1:17" ht="15.5" x14ac:dyDescent="0.35">
      <c r="A3562"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3562" s="3" t="str">
        <f>HYPERLINK("https://edmondsonsupply.com/products/diablo-tools-d0740x-7-1-4-in-x-40-tooth-finish-saw-blade", "https://edmondsonsupply.com/products/diablo-tools-d0740x-7-1-4-in-x-40-tooth-finish-saw-blade")</f>
        <v>https://edmondsonsupply.com/products/diablo-tools-d0740x-7-1-4-in-x-40-tooth-finish-saw-blade</v>
      </c>
      <c r="C3562" t="s">
        <v>6112</v>
      </c>
      <c r="D3562" t="s">
        <v>7868</v>
      </c>
      <c r="E3562" s="3" t="str">
        <f>HYPERLINK("https://www.amazon.com/FOXBC-Circular-Replacement-D0740A-Finishing/dp/B0C6L5RLM8/ref=sr_1_6?keywords=Diablo+Tools+D0740X+7-1%2F4+in.+x+40+Tooth+Finish+Saw+Blade&amp;qid=1695174073&amp;sr=8-6", "https://www.amazon.com/FOXBC-Circular-Replacement-D0740A-Finishing/dp/B0C6L5RLM8/ref=sr_1_6?keywords=Diablo+Tools+D0740X+7-1%2F4+in.+x+40+Tooth+Finish+Saw+Blade&amp;qid=1695174073&amp;sr=8-6")</f>
        <v>https://www.amazon.com/FOXBC-Circular-Replacement-D0740A-Finishing/dp/B0C6L5RLM8/ref=sr_1_6?keywords=Diablo+Tools+D0740X+7-1%2F4+in.+x+40+Tooth+Finish+Saw+Blade&amp;qid=1695174073&amp;sr=8-6</v>
      </c>
      <c r="F3562" t="s">
        <v>7869</v>
      </c>
      <c r="G3562" t="e">
        <f ca="1">_xludf.IMAGE("https://edmondsonsupply.com/cdn/shop/products/kdrkrhhsfpivsggxnkhy.webp?v=1678975834")</f>
        <v>#NAME?</v>
      </c>
      <c r="H3562" t="e">
        <f ca="1">_xludf.IMAGE("https://m.media-amazon.com/images/I/71ar9CaHLGL._AC_UL320_.jpg")</f>
        <v>#NAME?</v>
      </c>
      <c r="I3562" t="s">
        <v>2784</v>
      </c>
      <c r="J3562">
        <v>14.99</v>
      </c>
      <c r="K3562" s="4">
        <v>1.2999999999999999E-3</v>
      </c>
      <c r="L3562">
        <v>4.5</v>
      </c>
      <c r="M3562">
        <v>27</v>
      </c>
      <c r="O3562" t="s">
        <v>25</v>
      </c>
      <c r="P3562" t="s">
        <v>6115</v>
      </c>
      <c r="Q3562" t="s">
        <v>6116</v>
      </c>
    </row>
    <row r="3563" spans="1:17" ht="15.5" x14ac:dyDescent="0.35">
      <c r="A3563"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3563" s="3" t="str">
        <f>HYPERLINK("https://edmondsonsupply.com/products/diablo-tools-dag1110-7-8-in-x-7-1-2-in-auger-bit", "https://edmondsonsupply.com/products/diablo-tools-dag1110-7-8-in-x-7-1-2-in-auger-bit")</f>
        <v>https://edmondsonsupply.com/products/diablo-tools-dag1110-7-8-in-x-7-1-2-in-auger-bit</v>
      </c>
      <c r="C3563" t="s">
        <v>6839</v>
      </c>
      <c r="D3563" t="s">
        <v>4322</v>
      </c>
      <c r="E3563" s="3" t="str">
        <f>HYPERLINK("https://www.amazon.com/Diablo-7-1-Auger-Bit/dp/B089LHLLW4/ref=sr_1_9?keywords=Diablo+Tools+DAG1110+7%2F8+in.+x+7-1%2F2+in.+Auger+Bit&amp;qid=1695174030&amp;sr=8-9", "https://www.amazon.com/Diablo-7-1-Auger-Bit/dp/B089LHLLW4/ref=sr_1_9?keywords=Diablo+Tools+DAG1110+7%2F8+in.+x+7-1%2F2+in.+Auger+Bit&amp;qid=1695174030&amp;sr=8-9")</f>
        <v>https://www.amazon.com/Diablo-7-1-Auger-Bit/dp/B089LHLLW4/ref=sr_1_9?keywords=Diablo+Tools+DAG1110+7%2F8+in.+x+7-1%2F2+in.+Auger+Bit&amp;qid=1695174030&amp;sr=8-9</v>
      </c>
      <c r="F3563" t="s">
        <v>4323</v>
      </c>
      <c r="G3563" t="e">
        <f ca="1">_xludf.IMAGE("https://edmondsonsupply.com/cdn/shop/products/yel7mbaiyy08ii0assd5.webp?v=1680187136")</f>
        <v>#NAME?</v>
      </c>
      <c r="H3563" t="e">
        <f ca="1">_xludf.IMAGE("https://m.media-amazon.com/images/I/61bFULmp4GL._AC_UL320_.jpg")</f>
        <v>#NAME?</v>
      </c>
      <c r="I3563" t="s">
        <v>4985</v>
      </c>
      <c r="J3563">
        <v>16.989999999999998</v>
      </c>
      <c r="K3563" s="4">
        <v>1.1999999999999999E-3</v>
      </c>
      <c r="L3563">
        <v>4.4000000000000004</v>
      </c>
      <c r="M3563">
        <v>38</v>
      </c>
      <c r="O3563" t="s">
        <v>25</v>
      </c>
      <c r="P3563" t="s">
        <v>6840</v>
      </c>
      <c r="Q3563" t="s">
        <v>6841</v>
      </c>
    </row>
    <row r="3564" spans="1:17" ht="15.5" x14ac:dyDescent="0.35">
      <c r="A3564"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3564" s="3" t="str">
        <f>HYPERLINK("https://edmondsonsupply.com/products/milwaukee-48-39-0521-18-tpi-band-saw-blade-deep-cut-3-pack", "https://edmondsonsupply.com/products/milwaukee-48-39-0521-18-tpi-band-saw-blade-deep-cut-3-pack")</f>
        <v>https://edmondsonsupply.com/products/milwaukee-48-39-0521-18-tpi-band-saw-blade-deep-cut-3-pack</v>
      </c>
      <c r="C3564" t="s">
        <v>5843</v>
      </c>
      <c r="D3564" t="s">
        <v>5916</v>
      </c>
      <c r="E3564" s="3" t="str">
        <f>HYPERLINK("https://www.amazon.com/FOXBC-Replacement-Milwaukee-48-39-0521-Portable/dp/B0C3C8Q6K1/ref=sr_1_2?keywords=Milwaukee+48-39-0521+18+TPI+Band+Saw+Blade%2C+Deep+Cut-+3+Pack&amp;qid=1695174009&amp;sr=8-2", "https://www.amazon.com/FOXBC-Replacement-Milwaukee-48-39-0521-Portable/dp/B0C3C8Q6K1/ref=sr_1_2?keywords=Milwaukee+48-39-0521+18+TPI+Band+Saw+Blade%2C+Deep+Cut-+3+Pack&amp;qid=1695174009&amp;sr=8-2")</f>
        <v>https://www.amazon.com/FOXBC-Replacement-Milwaukee-48-39-0521-Portable/dp/B0C3C8Q6K1/ref=sr_1_2?keywords=Milwaukee+48-39-0521+18+TPI+Band+Saw+Blade%2C+Deep+Cut-+3+Pack&amp;qid=1695174009&amp;sr=8-2</v>
      </c>
      <c r="F3564" t="s">
        <v>5917</v>
      </c>
      <c r="G3564" t="e">
        <f ca="1">_xludf.IMAGE("https://edmondsonsupply.com/cdn/shop/files/21432_48-39-0510_1.jpg?v=1686932969")</f>
        <v>#NAME?</v>
      </c>
      <c r="H3564" t="e">
        <f ca="1">_xludf.IMAGE("https://m.media-amazon.com/images/I/61VscaX1XdL._AC_UL320_.jpg")</f>
        <v>#NAME?</v>
      </c>
      <c r="I3564" t="s">
        <v>2247</v>
      </c>
      <c r="J3564">
        <v>21.99</v>
      </c>
      <c r="K3564" s="4">
        <v>8.9999999999999998E-4</v>
      </c>
      <c r="L3564">
        <v>4.4000000000000004</v>
      </c>
      <c r="M3564">
        <v>43</v>
      </c>
      <c r="O3564" t="s">
        <v>25</v>
      </c>
      <c r="P3564" t="s">
        <v>5846</v>
      </c>
      <c r="Q3564" t="s">
        <v>5847</v>
      </c>
    </row>
    <row r="3565" spans="1:17" ht="15.5" x14ac:dyDescent="0.35">
      <c r="A3565"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3565" s="3" t="str">
        <f>HYPERLINK("https://edmondsonsupply.com/products/klein-tools-56028-flashlight-with-worklight-led-flashlight", "https://edmondsonsupply.com/products/klein-tools-56028-flashlight-with-worklight-led-flashlight")</f>
        <v>https://edmondsonsupply.com/products/klein-tools-56028-flashlight-with-worklight-led-flashlight</v>
      </c>
      <c r="C3565" t="s">
        <v>7140</v>
      </c>
      <c r="D3565" t="s">
        <v>7870</v>
      </c>
      <c r="E3565" s="3" t="str">
        <f>HYPERLINK("https://www.amazon.com/Blackfire-Rechargeable-Waterproof-BBM6411-Dual-Direction/dp/B0973SR954/ref=sr_1_10?keywords=Klein+Tools+56028+LED+Flashlight+with+Work+Light&amp;qid=1695174266&amp;sr=8-10", "https://www.amazon.com/Blackfire-Rechargeable-Waterproof-BBM6411-Dual-Direction/dp/B0973SR954/ref=sr_1_10?keywords=Klein+Tools+56028+LED+Flashlight+with+Work+Light&amp;qid=1695174266&amp;sr=8-10")</f>
        <v>https://www.amazon.com/Blackfire-Rechargeable-Waterproof-BBM6411-Dual-Direction/dp/B0973SR954/ref=sr_1_10?keywords=Klein+Tools+56028+LED+Flashlight+with+Work+Light&amp;qid=1695174266&amp;sr=8-10</v>
      </c>
      <c r="F3565" t="s">
        <v>7871</v>
      </c>
      <c r="G3565" t="e">
        <f ca="1">_xludf.IMAGE("https://edmondsonsupply.com/cdn/shop/products/56028.jpg?v=1587148656")</f>
        <v>#NAME?</v>
      </c>
      <c r="H3565" t="e">
        <f ca="1">_xludf.IMAGE("https://m.media-amazon.com/images/I/61lqPHvKTUL._AC_UL320_.jpg")</f>
        <v>#NAME?</v>
      </c>
      <c r="I3565" t="s">
        <v>936</v>
      </c>
      <c r="J3565">
        <v>26.99</v>
      </c>
      <c r="K3565" s="4">
        <v>6.9999999999999999E-4</v>
      </c>
      <c r="L3565">
        <v>4.3</v>
      </c>
      <c r="M3565">
        <v>26</v>
      </c>
      <c r="O3565" t="s">
        <v>25</v>
      </c>
      <c r="P3565" t="s">
        <v>7141</v>
      </c>
      <c r="Q3565" t="s">
        <v>7142</v>
      </c>
    </row>
    <row r="3566" spans="1:17" ht="15.5" x14ac:dyDescent="0.35">
      <c r="A3566"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3566" s="3" t="str">
        <f>HYPERLINK("https://edmondsonsupply.com/products/milwaukee-49-90-1900-hepa-filter", "https://edmondsonsupply.com/products/milwaukee-49-90-1900-hepa-filter")</f>
        <v>https://edmondsonsupply.com/products/milwaukee-49-90-1900-hepa-filter</v>
      </c>
      <c r="C3566" t="s">
        <v>5831</v>
      </c>
      <c r="D3566" t="s">
        <v>5918</v>
      </c>
      <c r="E3566" s="3" t="str">
        <f>HYPERLINK("https://www.amazon.com/SpaceTent-49-90-1900-Filters-Milwaukee-0880-20/dp/B0C8HF1NGW/ref=sr_1_5?keywords=Milwaukee+49-90-1900+HEPA+Filter&amp;qid=1695174010&amp;sr=8-5", "https://www.amazon.com/SpaceTent-49-90-1900-Filters-Milwaukee-0880-20/dp/B0C8HF1NGW/ref=sr_1_5?keywords=Milwaukee+49-90-1900+HEPA+Filter&amp;qid=1695174010&amp;sr=8-5")</f>
        <v>https://www.amazon.com/SpaceTent-49-90-1900-Filters-Milwaukee-0880-20/dp/B0C8HF1NGW/ref=sr_1_5?keywords=Milwaukee+49-90-1900+HEPA+Filter&amp;qid=1695174010&amp;sr=8-5</v>
      </c>
      <c r="F3566" t="s">
        <v>5919</v>
      </c>
      <c r="G3566" t="e">
        <f ca="1">_xludf.IMAGE("https://edmondsonsupply.com/cdn/shop/files/49-90-1900_1.png?v=1686234774")</f>
        <v>#NAME?</v>
      </c>
      <c r="H3566" t="e">
        <f ca="1">_xludf.IMAGE("https://m.media-amazon.com/images/I/61cxD0+NfyL._AC_UL320_.jpg")</f>
        <v>#NAME?</v>
      </c>
      <c r="I3566" t="s">
        <v>2170</v>
      </c>
      <c r="J3566">
        <v>24.99</v>
      </c>
      <c r="K3566" s="4">
        <v>4.0000000000000002E-4</v>
      </c>
      <c r="L3566">
        <v>4.7</v>
      </c>
      <c r="M3566">
        <v>11</v>
      </c>
      <c r="O3566" t="s">
        <v>25</v>
      </c>
      <c r="P3566" t="s">
        <v>2470</v>
      </c>
      <c r="Q3566" t="s">
        <v>5834</v>
      </c>
    </row>
    <row r="3567" spans="1:17" ht="15.5" x14ac:dyDescent="0.35">
      <c r="A3567"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3567"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3567" t="s">
        <v>7872</v>
      </c>
      <c r="D3567" t="s">
        <v>6126</v>
      </c>
      <c r="E3567" s="3" t="str">
        <f>HYPERLINK("https://www.amazon.com/Klein-Tools-66031-Slotted-12-Point/dp/B08R6FL5P8/ref=sr_1_3?keywords=Klein+Tools+66030+2-in-1+Coated+Impact+Socket%2C+12-Point%2C+3%2F4+and+9%2F16-Inch&amp;qid=1695174140&amp;sr=8-3", "https://www.amazon.com/Klein-Tools-66031-Slotted-12-Point/dp/B08R6FL5P8/ref=sr_1_3?keywords=Klein+Tools+66030+2-in-1+Coated+Impact+Socket%2C+12-Point%2C+3%2F4+and+9%2F16-Inch&amp;qid=1695174140&amp;sr=8-3")</f>
        <v>https://www.amazon.com/Klein-Tools-66031-Slotted-12-Point/dp/B08R6FL5P8/ref=sr_1_3?keywords=Klein+Tools+66030+2-in-1+Coated+Impact+Socket%2C+12-Point%2C+3%2F4+and+9%2F16-Inch&amp;qid=1695174140&amp;sr=8-3</v>
      </c>
      <c r="F3567" t="s">
        <v>6127</v>
      </c>
      <c r="G3567" t="e">
        <f ca="1">_xludf.IMAGE("https://edmondsonsupply.com/cdn/shop/products/66030.jpg?v=1666027133")</f>
        <v>#NAME?</v>
      </c>
      <c r="H3567" t="e">
        <f ca="1">_xludf.IMAGE("https://m.media-amazon.com/images/I/51mIf57QKuL._AC_UL320_.jpg")</f>
        <v>#NAME?</v>
      </c>
      <c r="I3567" t="s">
        <v>7792</v>
      </c>
      <c r="J3567">
        <v>49.99</v>
      </c>
      <c r="K3567" s="4">
        <v>2.0000000000000001E-4</v>
      </c>
      <c r="L3567">
        <v>4.8</v>
      </c>
      <c r="M3567">
        <v>662</v>
      </c>
      <c r="O3567" t="s">
        <v>25</v>
      </c>
      <c r="P3567" t="s">
        <v>7873</v>
      </c>
      <c r="Q3567" t="s">
        <v>7874</v>
      </c>
    </row>
    <row r="3568" spans="1:17" ht="15.5" x14ac:dyDescent="0.35">
      <c r="A3568"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3568"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3568" t="s">
        <v>6725</v>
      </c>
      <c r="D3568" t="s">
        <v>7875</v>
      </c>
      <c r="E3568" s="3" t="str">
        <f>HYPERLINK("https://www.amazon.com/Klein-Tools-6826INS-Screwdriver-Cushion-Grip/dp/B0BF79W49J/ref=sr_1_1?keywords=Klein+Tools+6826INS+Insulated+Screwdriver%2C+1%2F4-Inch+Cabinet+Tip%2C+6-Inch+Shank&amp;qid=1695174154&amp;sr=8-1", "https://www.amazon.com/Klein-Tools-6826INS-Screwdriver-Cushion-Grip/dp/B0BF79W49J/ref=sr_1_1?keywords=Klein+Tools+6826INS+Insulated+Screwdriver%2C+1%2F4-Inch+Cabinet+Tip%2C+6-Inch+Shank&amp;qid=1695174154&amp;sr=8-1")</f>
        <v>https://www.amazon.com/Klein-Tools-6826INS-Screwdriver-Cushion-Grip/dp/B0BF79W49J/ref=sr_1_1?keywords=Klein+Tools+6826INS+Insulated+Screwdriver%2C+1%2F4-Inch+Cabinet+Tip%2C+6-Inch+Shank&amp;qid=1695174154&amp;sr=8-1</v>
      </c>
      <c r="F3568" t="s">
        <v>7876</v>
      </c>
      <c r="G3568" t="e">
        <f ca="1">_xludf.IMAGE("https://edmondsonsupply.com/cdn/shop/products/6826ins.jpg?v=1664814069")</f>
        <v>#NAME?</v>
      </c>
      <c r="H3568" t="e">
        <f ca="1">_xludf.IMAGE("https://m.media-amazon.com/images/I/41dJ6lRyHyL._AC_UL320_.jpg")</f>
        <v>#NAME?</v>
      </c>
      <c r="I3568" t="s">
        <v>6073</v>
      </c>
      <c r="J3568">
        <v>11.97</v>
      </c>
      <c r="K3568" s="4">
        <v>0</v>
      </c>
      <c r="L3568">
        <v>4.9000000000000004</v>
      </c>
      <c r="M3568">
        <v>9</v>
      </c>
      <c r="O3568" t="s">
        <v>25</v>
      </c>
      <c r="P3568" t="s">
        <v>6728</v>
      </c>
      <c r="Q3568" t="s">
        <v>6729</v>
      </c>
    </row>
    <row r="3569" spans="1:17" ht="15.5" x14ac:dyDescent="0.35">
      <c r="A3569" s="3" t="str">
        <f>HYPERLINK("https://edmondsonsupply.com/collections/electricians-tools/products/klein-tools-635-6-nut-driver-set-magnetic-nut-drivers-heavy-duty-6-piece", "https://edmondsonsupply.com/collections/electricians-tools/products/klein-tools-635-6-nut-driver-set-magnetic-nut-drivers-heavy-duty-6-piece")</f>
        <v>https://edmondsonsupply.com/collections/electricians-tools/products/klein-tools-635-6-nut-driver-set-magnetic-nut-drivers-heavy-duty-6-piece</v>
      </c>
      <c r="B3569" s="3" t="str">
        <f>HYPERLINK("https://edmondsonsupply.com/products/klein-tools-635-6-nut-driver-set-magnetic-nut-drivers-heavy-duty-6-piece", "https://edmondsonsupply.com/products/klein-tools-635-6-nut-driver-set-magnetic-nut-drivers-heavy-duty-6-piece")</f>
        <v>https://edmondsonsupply.com/products/klein-tools-635-6-nut-driver-set-magnetic-nut-drivers-heavy-duty-6-piece</v>
      </c>
      <c r="C3569" t="s">
        <v>7877</v>
      </c>
      <c r="D3569" t="s">
        <v>1691</v>
      </c>
      <c r="E3569" s="3" t="str">
        <f>HYPERLINK("https://www.amazon.com/Klein-Tools-647M-Magnetic-7-Piece/dp/B000MKIUYQ/ref=sr_1_7?keywords=Klein+Tools+635-6+Nut+Driver+Set%2C+Magnetic+Nut+Drivers%2C+Heavy+Duty%2C+6-Piece&amp;qid=1695174277&amp;sr=8-7", "https://www.amazon.com/Klein-Tools-647M-Magnetic-7-Piece/dp/B000MKIUYQ/ref=sr_1_7?keywords=Klein+Tools+635-6+Nut+Driver+Set%2C+Magnetic+Nut+Drivers%2C+Heavy+Duty%2C+6-Piece&amp;qid=1695174277&amp;sr=8-7")</f>
        <v>https://www.amazon.com/Klein-Tools-647M-Magnetic-7-Piece/dp/B000MKIUYQ/ref=sr_1_7?keywords=Klein+Tools+635-6+Nut+Driver+Set%2C+Magnetic+Nut+Drivers%2C+Heavy+Duty%2C+6-Piece&amp;qid=1695174277&amp;sr=8-7</v>
      </c>
      <c r="F3569" t="s">
        <v>1692</v>
      </c>
      <c r="G3569" t="e">
        <f ca="1">_xludf.IMAGE("https://edmondsonsupply.com/cdn/shop/products/635-6.jpg?v=1633031003")</f>
        <v>#NAME?</v>
      </c>
      <c r="H3569" t="e">
        <f ca="1">_xludf.IMAGE("https://m.media-amazon.com/images/I/61PNUE211uL._AC_UL320_.jpg")</f>
        <v>#NAME?</v>
      </c>
      <c r="I3569" t="s">
        <v>300</v>
      </c>
      <c r="J3569">
        <v>79.989999999999995</v>
      </c>
      <c r="K3569" s="4">
        <v>0</v>
      </c>
      <c r="L3569">
        <v>4.8</v>
      </c>
      <c r="M3569">
        <v>985</v>
      </c>
      <c r="O3569" t="s">
        <v>25</v>
      </c>
      <c r="P3569" t="s">
        <v>6296</v>
      </c>
      <c r="Q3569" t="s">
        <v>7878</v>
      </c>
    </row>
    <row r="3570" spans="1:17" ht="15.5" x14ac:dyDescent="0.35">
      <c r="A3570"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3570"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3570" t="s">
        <v>6725</v>
      </c>
      <c r="D3570" t="s">
        <v>7499</v>
      </c>
      <c r="E3570" s="3" t="str">
        <f>HYPERLINK("https://www.amazon.com/Klein-Tools-6846INS-Screwdriver-Cushion-Grip/dp/B0BF7X96QK/ref=sr_1_6?keywords=Klein+Tools+6826INS+Insulated+Screwdriver%2C+1%2F4-Inch+Cabinet+Tip%2C+6-Inch+Shank&amp;qid=1695174154&amp;sr=8-6", "https://www.amazon.com/Klein-Tools-6846INS-Screwdriver-Cushion-Grip/dp/B0BF7X96QK/ref=sr_1_6?keywords=Klein+Tools+6826INS+Insulated+Screwdriver%2C+1%2F4-Inch+Cabinet+Tip%2C+6-Inch+Shank&amp;qid=1695174154&amp;sr=8-6")</f>
        <v>https://www.amazon.com/Klein-Tools-6846INS-Screwdriver-Cushion-Grip/dp/B0BF7X96QK/ref=sr_1_6?keywords=Klein+Tools+6826INS+Insulated+Screwdriver%2C+1%2F4-Inch+Cabinet+Tip%2C+6-Inch+Shank&amp;qid=1695174154&amp;sr=8-6</v>
      </c>
      <c r="F3570" t="s">
        <v>7500</v>
      </c>
      <c r="G3570" t="e">
        <f ca="1">_xludf.IMAGE("https://edmondsonsupply.com/cdn/shop/products/6826ins.jpg?v=1664814069")</f>
        <v>#NAME?</v>
      </c>
      <c r="H3570" t="e">
        <f ca="1">_xludf.IMAGE("https://m.media-amazon.com/images/I/31EOUkZ6n3L._AC_UL320_.jpg")</f>
        <v>#NAME?</v>
      </c>
      <c r="I3570" t="s">
        <v>6073</v>
      </c>
      <c r="J3570">
        <v>11.97</v>
      </c>
      <c r="K3570" s="4">
        <v>0</v>
      </c>
      <c r="L3570">
        <v>4.8</v>
      </c>
      <c r="M3570">
        <v>207</v>
      </c>
      <c r="O3570" t="s">
        <v>25</v>
      </c>
      <c r="P3570" t="s">
        <v>6728</v>
      </c>
      <c r="Q3570" t="s">
        <v>6729</v>
      </c>
    </row>
    <row r="3571" spans="1:17" ht="15.5" x14ac:dyDescent="0.35">
      <c r="A3571" s="3" t="str">
        <f>HYPERLINK("https://edmondsonsupply.com/collections/electricians-tools/products/klein-tools-93lcls-laser-level-self-leveling-red-cross-line-level-and-red-plumb-spot", "https://edmondsonsupply.com/collections/electricians-tools/products/klein-tools-93lcls-laser-level-self-leveling-red-cross-line-level-and-red-plumb-spot")</f>
        <v>https://edmondsonsupply.com/collections/electricians-tools/products/klein-tools-93lcls-laser-level-self-leveling-red-cross-line-level-and-red-plumb-spot</v>
      </c>
      <c r="B3571" s="3" t="str">
        <f>HYPERLINK("https://edmondsonsupply.com/products/klein-tools-93lcls-laser-level-self-leveling-red-cross-line-level-and-red-plumb-spot", "https://edmondsonsupply.com/products/klein-tools-93lcls-laser-level-self-leveling-red-cross-line-level-and-red-plumb-spot")</f>
        <v>https://edmondsonsupply.com/products/klein-tools-93lcls-laser-level-self-leveling-red-cross-line-level-and-red-plumb-spot</v>
      </c>
      <c r="C3571" t="s">
        <v>7290</v>
      </c>
      <c r="D3571" t="s">
        <v>7879</v>
      </c>
      <c r="E3571" s="3" t="str">
        <f>HYPERLINK("https://www.amazon.com/Self-Leveling-Magnetic-Klein-Tools-93LCLS/dp/B0753K7XQF/ref=sr_1_1?keywords=Klein+Tools+93LCLS+Laser+Level%2C+Self-Leveling+Red+Cross-Line+Level+and+Red+Plumb+Spot&amp;qid=1695174282&amp;sr=8-1", "https://www.amazon.com/Self-Leveling-Magnetic-Klein-Tools-93LCLS/dp/B0753K7XQF/ref=sr_1_1?keywords=Klein+Tools+93LCLS+Laser+Level%2C+Self-Leveling+Red+Cross-Line+Level+and+Red+Plumb+Spot&amp;qid=1695174282&amp;sr=8-1")</f>
        <v>https://www.amazon.com/Self-Leveling-Magnetic-Klein-Tools-93LCLS/dp/B0753K7XQF/ref=sr_1_1?keywords=Klein+Tools+93LCLS+Laser+Level%2C+Self-Leveling+Red+Cross-Line+Level+and+Red+Plumb+Spot&amp;qid=1695174282&amp;sr=8-1</v>
      </c>
      <c r="F3571" t="s">
        <v>7880</v>
      </c>
      <c r="G3571" t="e">
        <f ca="1">_xludf.IMAGE("https://edmondsonsupply.com/cdn/shop/files/93lcls_b.jpg?v=1685714711")</f>
        <v>#NAME?</v>
      </c>
      <c r="H3571" t="e">
        <f ca="1">_xludf.IMAGE("https://m.media-amazon.com/images/I/61AqaTcHiwL._AC_UL320_.jpg")</f>
        <v>#NAME?</v>
      </c>
      <c r="I3571" t="s">
        <v>7293</v>
      </c>
      <c r="J3571">
        <v>149.97</v>
      </c>
      <c r="K3571" s="4">
        <v>0</v>
      </c>
      <c r="L3571">
        <v>4.5</v>
      </c>
      <c r="M3571">
        <v>2214</v>
      </c>
      <c r="O3571" t="s">
        <v>25</v>
      </c>
      <c r="P3571" t="s">
        <v>7294</v>
      </c>
      <c r="Q3571" t="s">
        <v>7295</v>
      </c>
    </row>
    <row r="3572" spans="1:17" ht="15.5" x14ac:dyDescent="0.35">
      <c r="A3572" s="3" t="str">
        <f>HYPERLINK("https://edmondsonsupply.com/collections/electricians-tools/products/klein-tools-66050e-2-in-1-metric-impact-socket-set-12-point-5-piece", "https://edmondsonsupply.com/collections/electricians-tools/products/klein-tools-66050e-2-in-1-metric-impact-socket-set-12-point-5-piece")</f>
        <v>https://edmondsonsupply.com/collections/electricians-tools/products/klein-tools-66050e-2-in-1-metric-impact-socket-set-12-point-5-piece</v>
      </c>
      <c r="B3572" s="3" t="str">
        <f>HYPERLINK("https://edmondsonsupply.com/products/klein-tools-66050e-2-in-1-metric-impact-socket-set-12-point-5-piece", "https://edmondsonsupply.com/products/klein-tools-66050e-2-in-1-metric-impact-socket-set-12-point-5-piece")</f>
        <v>https://edmondsonsupply.com/products/klein-tools-66050e-2-in-1-metric-impact-socket-set-12-point-5-piece</v>
      </c>
      <c r="C3572" t="s">
        <v>7273</v>
      </c>
      <c r="D3572" t="s">
        <v>7522</v>
      </c>
      <c r="E3572" s="3" t="str">
        <f>HYPERLINK("https://www.amazon.com/Klein-Tools-66050E-12-Point-Carrying/dp/B08R138PF6/ref=sr_1_1?keywords=Klein+Tools+66050E+2-in-1+Metric+Impact+Socket+Set%2C+12-Point%2C+5-Piece&amp;qid=1695174176&amp;sr=8-1", "https://www.amazon.com/Klein-Tools-66050E-12-Point-Carrying/dp/B08R138PF6/ref=sr_1_1?keywords=Klein+Tools+66050E+2-in-1+Metric+Impact+Socket+Set%2C+12-Point%2C+5-Piece&amp;qid=1695174176&amp;sr=8-1")</f>
        <v>https://www.amazon.com/Klein-Tools-66050E-12-Point-Carrying/dp/B08R138PF6/ref=sr_1_1?keywords=Klein+Tools+66050E+2-in-1+Metric+Impact+Socket+Set%2C+12-Point%2C+5-Piece&amp;qid=1695174176&amp;sr=8-1</v>
      </c>
      <c r="F3572" t="s">
        <v>7523</v>
      </c>
      <c r="G3572" t="e">
        <f ca="1">_xludf.IMAGE("https://edmondsonsupply.com/cdn/shop/products/66050e.jpg?v=1659120052")</f>
        <v>#NAME?</v>
      </c>
      <c r="H3572" t="e">
        <f ca="1">_xludf.IMAGE("https://m.media-amazon.com/images/I/61HXSd9dQWL._AC_UL320_.jpg")</f>
        <v>#NAME?</v>
      </c>
      <c r="I3572" t="s">
        <v>7274</v>
      </c>
      <c r="J3572">
        <v>149.54</v>
      </c>
      <c r="K3572" s="4">
        <v>0</v>
      </c>
      <c r="L3572">
        <v>4.3</v>
      </c>
      <c r="M3572">
        <v>6</v>
      </c>
      <c r="O3572" t="s">
        <v>25</v>
      </c>
      <c r="P3572" t="s">
        <v>7275</v>
      </c>
      <c r="Q3572" t="s">
        <v>7276</v>
      </c>
    </row>
    <row r="3573" spans="1:17" ht="15.5" x14ac:dyDescent="0.35">
      <c r="A3573" s="3" t="str">
        <f>HYPERLINK("https://edmondsonsupply.com/collections/electricians-tools/products/klein-tools-51606", "https://edmondsonsupply.com/collections/electricians-tools/products/klein-tools-51606")</f>
        <v>https://edmondsonsupply.com/collections/electricians-tools/products/klein-tools-51606</v>
      </c>
      <c r="B3573" s="3" t="str">
        <f>HYPERLINK("https://edmondsonsupply.com/products/klein-tools-51606", "https://edmondsonsupply.com/products/klein-tools-51606")</f>
        <v>https://edmondsonsupply.com/products/klein-tools-51606</v>
      </c>
      <c r="C3573" t="s">
        <v>6785</v>
      </c>
      <c r="D3573" t="s">
        <v>6208</v>
      </c>
      <c r="E3573" s="3" t="str">
        <f>HYPERLINK("https://www.amazon.com/Aluminum-Benchmark-Technology-Klein-Tools/dp/B08L41DC9N/ref=sr_1_1?keywords=Klein+Tools+51606+Aluminum+Conduit+Bender+Full+Assembly%2C+1%2F2-Inch+EMT+with+Angle+Setter%E2%84%A2&amp;qid=1695174158&amp;sr=8-1", "https://www.amazon.com/Aluminum-Benchmark-Technology-Klein-Tools/dp/B08L41DC9N/ref=sr_1_1?keywords=Klein+Tools+51606+Aluminum+Conduit+Bender+Full+Assembly%2C+1%2F2-Inch+EMT+with+Angle+Setter%E2%84%A2&amp;qid=1695174158&amp;sr=8-1")</f>
        <v>https://www.amazon.com/Aluminum-Benchmark-Technology-Klein-Tools/dp/B08L41DC9N/ref=sr_1_1?keywords=Klein+Tools+51606+Aluminum+Conduit+Bender+Full+Assembly%2C+1%2F2-Inch+EMT+with+Angle+Setter%E2%84%A2&amp;qid=1695174158&amp;sr=8-1</v>
      </c>
      <c r="F3573" t="s">
        <v>6209</v>
      </c>
      <c r="G3573" t="e">
        <f ca="1">_xludf.IMAGE("https://edmondsonsupply.com/cdn/shop/products/51606.jpg?v=1663942126")</f>
        <v>#NAME?</v>
      </c>
      <c r="H3573" t="e">
        <f ca="1">_xludf.IMAGE("https://m.media-amazon.com/images/I/41JBDxEE8NL._AC_UL320_.jpg")</f>
        <v>#NAME?</v>
      </c>
      <c r="I3573" t="s">
        <v>246</v>
      </c>
      <c r="J3573">
        <v>39.97</v>
      </c>
      <c r="K3573" s="4">
        <v>0</v>
      </c>
      <c r="L3573">
        <v>4.8</v>
      </c>
      <c r="M3573">
        <v>258</v>
      </c>
      <c r="O3573" t="s">
        <v>25</v>
      </c>
      <c r="P3573" t="s">
        <v>1027</v>
      </c>
      <c r="Q3573" t="s">
        <v>6786</v>
      </c>
    </row>
    <row r="3574" spans="1:17" ht="15.5" x14ac:dyDescent="0.35">
      <c r="A3574"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3574"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574" t="s">
        <v>853</v>
      </c>
      <c r="D3574" t="s">
        <v>927</v>
      </c>
      <c r="E3574" s="3" t="str">
        <f>HYPERLINK("https://www.amazon.com/Klein-60470-Protection-Anti-Fog-Resistant/dp/B0B69KPRPF/ref=sr_1_4?keywords=Klein+Tools+60471+Professional+Full-Frame+Gasket+Safety+Glasses%2C+Gray+Lens&amp;qid=1695174157&amp;sr=8-4", "https://www.amazon.com/Klein-60470-Protection-Anti-Fog-Resistant/dp/B0B69KPRPF/ref=sr_1_4?keywords=Klein+Tools+60471+Professional+Full-Frame+Gasket+Safety+Glasses%2C+Gray+Lens&amp;qid=1695174157&amp;sr=8-4")</f>
        <v>https://www.amazon.com/Klein-60470-Protection-Anti-Fog-Resistant/dp/B0B69KPRPF/ref=sr_1_4?keywords=Klein+Tools+60471+Professional+Full-Frame+Gasket+Safety+Glasses%2C+Gray+Lens&amp;qid=1695174157&amp;sr=8-4</v>
      </c>
      <c r="F3574" t="s">
        <v>928</v>
      </c>
      <c r="G3574" t="e">
        <f ca="1">_xludf.IMAGE("https://edmondsonsupply.com/cdn/shop/products/60471.jpg?v=1663257501")</f>
        <v>#NAME?</v>
      </c>
      <c r="H3574" t="e">
        <f ca="1">_xludf.IMAGE("https://m.media-amazon.com/images/I/51TkfiRMYgL._AC_UL320_.jpg")</f>
        <v>#NAME?</v>
      </c>
      <c r="I3574" t="s">
        <v>252</v>
      </c>
      <c r="J3574">
        <v>15.99</v>
      </c>
      <c r="K3574" s="4">
        <v>0</v>
      </c>
      <c r="L3574">
        <v>4</v>
      </c>
      <c r="M3574">
        <v>29</v>
      </c>
      <c r="O3574" t="s">
        <v>25</v>
      </c>
      <c r="P3574" t="s">
        <v>854</v>
      </c>
      <c r="Q3574" t="s">
        <v>855</v>
      </c>
    </row>
    <row r="3575" spans="1:17" ht="15.5" x14ac:dyDescent="0.35">
      <c r="A3575"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3575"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575" t="s">
        <v>853</v>
      </c>
      <c r="D3575" t="s">
        <v>930</v>
      </c>
      <c r="E3575" s="3" t="str">
        <f>HYPERLINK("https://www.amazon.com/Klein-60471-Protection-Anti-Fog-Resistant/dp/B0B69LNT2Y/ref=sr_1_1?keywords=Klein+Tools+60471+Professional+Full-Frame+Gasket+Safety+Glasses%2C+Gray+Lens&amp;qid=1695174157&amp;sr=8-1", "https://www.amazon.com/Klein-60471-Protection-Anti-Fog-Resistant/dp/B0B69LNT2Y/ref=sr_1_1?keywords=Klein+Tools+60471+Professional+Full-Frame+Gasket+Safety+Glasses%2C+Gray+Lens&amp;qid=1695174157&amp;sr=8-1")</f>
        <v>https://www.amazon.com/Klein-60471-Protection-Anti-Fog-Resistant/dp/B0B69LNT2Y/ref=sr_1_1?keywords=Klein+Tools+60471+Professional+Full-Frame+Gasket+Safety+Glasses%2C+Gray+Lens&amp;qid=1695174157&amp;sr=8-1</v>
      </c>
      <c r="F3575" t="s">
        <v>931</v>
      </c>
      <c r="G3575" t="e">
        <f ca="1">_xludf.IMAGE("https://edmondsonsupply.com/cdn/shop/products/60471.jpg?v=1663257501")</f>
        <v>#NAME?</v>
      </c>
      <c r="H3575" t="e">
        <f ca="1">_xludf.IMAGE("https://m.media-amazon.com/images/I/51z-a2tdJlL._AC_UL320_.jpg")</f>
        <v>#NAME?</v>
      </c>
      <c r="I3575" t="s">
        <v>252</v>
      </c>
      <c r="J3575">
        <v>15.99</v>
      </c>
      <c r="K3575" s="4">
        <v>0</v>
      </c>
      <c r="L3575">
        <v>4.3</v>
      </c>
      <c r="M3575">
        <v>56</v>
      </c>
      <c r="O3575" t="s">
        <v>25</v>
      </c>
      <c r="P3575" t="s">
        <v>854</v>
      </c>
      <c r="Q3575" t="s">
        <v>855</v>
      </c>
    </row>
    <row r="3576" spans="1:17" ht="15.5" x14ac:dyDescent="0.35">
      <c r="A3576" s="3" t="str">
        <f>HYPERLINK("https://edmondsonsupply.com/collections/electricians-tools/products/klein-tools-60487-cooling-headband-blue-2-pack", "https://edmondsonsupply.com/collections/electricians-tools/products/klein-tools-60487-cooling-headband-blue-2-pack")</f>
        <v>https://edmondsonsupply.com/collections/electricians-tools/products/klein-tools-60487-cooling-headband-blue-2-pack</v>
      </c>
      <c r="B3576" s="3" t="str">
        <f>HYPERLINK("https://edmondsonsupply.com/products/klein-tools-60487-cooling-headband-blue-2-pack", "https://edmondsonsupply.com/products/klein-tools-60487-cooling-headband-blue-2-pack")</f>
        <v>https://edmondsonsupply.com/products/klein-tools-60487-cooling-headband-blue-2-pack</v>
      </c>
      <c r="C3576" t="s">
        <v>7881</v>
      </c>
      <c r="D3576" t="s">
        <v>7882</v>
      </c>
      <c r="E3576" s="3" t="str">
        <f>HYPERLINK("https://www.amazon.com/Klein-Tools-Evaporative-Lightweight-60487/dp/B092XCFFKH/ref=sr_1_1?keywords=Klein+Tools+60487+Cooling+Headband%2C+Blue%2C+2-Pack&amp;qid=1695174151&amp;sr=8-1", "https://www.amazon.com/Klein-Tools-Evaporative-Lightweight-60487/dp/B092XCFFKH/ref=sr_1_1?keywords=Klein+Tools+60487+Cooling+Headband%2C+Blue%2C+2-Pack&amp;qid=1695174151&amp;sr=8-1")</f>
        <v>https://www.amazon.com/Klein-Tools-Evaporative-Lightweight-60487/dp/B092XCFFKH/ref=sr_1_1?keywords=Klein+Tools+60487+Cooling+Headband%2C+Blue%2C+2-Pack&amp;qid=1695174151&amp;sr=8-1</v>
      </c>
      <c r="F3576" t="s">
        <v>7883</v>
      </c>
      <c r="G3576" t="e">
        <f ca="1">_xludf.IMAGE("https://edmondsonsupply.com/cdn/shop/products/60487.jpg?v=1663691363")</f>
        <v>#NAME?</v>
      </c>
      <c r="H3576" t="e">
        <f ca="1">_xludf.IMAGE("https://m.media-amazon.com/images/I/71+kqo8iJYS._AC_UL320_.jpg")</f>
        <v>#NAME?</v>
      </c>
      <c r="I3576" t="s">
        <v>2577</v>
      </c>
      <c r="J3576">
        <v>9.99</v>
      </c>
      <c r="K3576" s="4">
        <v>0</v>
      </c>
      <c r="L3576">
        <v>4.5</v>
      </c>
      <c r="M3576">
        <v>207</v>
      </c>
      <c r="O3576" t="s">
        <v>25</v>
      </c>
      <c r="P3576" t="s">
        <v>7884</v>
      </c>
      <c r="Q3576" t="s">
        <v>7885</v>
      </c>
    </row>
    <row r="3577" spans="1:17" ht="15.5" x14ac:dyDescent="0.35">
      <c r="A3577" s="3" t="str">
        <f>HYPERLINK("https://edmondsonsupply.com/collections/electricians-tools/products/klein-tools-50611-magnetic-wire-puller", "https://edmondsonsupply.com/collections/electricians-tools/products/klein-tools-50611-magnetic-wire-puller")</f>
        <v>https://edmondsonsupply.com/collections/electricians-tools/products/klein-tools-50611-magnetic-wire-puller</v>
      </c>
      <c r="B3577" s="3" t="str">
        <f>HYPERLINK("https://edmondsonsupply.com/products/klein-tools-50611-magnetic-wire-puller", "https://edmondsonsupply.com/products/klein-tools-50611-magnetic-wire-puller")</f>
        <v>https://edmondsonsupply.com/products/klein-tools-50611-magnetic-wire-puller</v>
      </c>
      <c r="C3577" t="s">
        <v>7886</v>
      </c>
      <c r="D3577" t="s">
        <v>6398</v>
      </c>
      <c r="E3577" s="3" t="str">
        <f>HYPERLINK("https://www.amazon.com/Magnetic-Puller-Stainless-Steel-Klein-Tools/dp/B093J6Z5QT/ref=sr_1_1?keywords=Klein+Tools+50611+Magnetic+Wire+Puller&amp;qid=1695174156&amp;sr=8-1", "https://www.amazon.com/Magnetic-Puller-Stainless-Steel-Klein-Tools/dp/B093J6Z5QT/ref=sr_1_1?keywords=Klein+Tools+50611+Magnetic+Wire+Puller&amp;qid=1695174156&amp;sr=8-1")</f>
        <v>https://www.amazon.com/Magnetic-Puller-Stainless-Steel-Klein-Tools/dp/B093J6Z5QT/ref=sr_1_1?keywords=Klein+Tools+50611+Magnetic+Wire+Puller&amp;qid=1695174156&amp;sr=8-1</v>
      </c>
      <c r="F3577" t="s">
        <v>6399</v>
      </c>
      <c r="G3577" t="e">
        <f ca="1">_xludf.IMAGE("https://edmondsonsupply.com/cdn/shop/products/50611.jpg?v=1663951524")</f>
        <v>#NAME?</v>
      </c>
      <c r="H3577" t="e">
        <f ca="1">_xludf.IMAGE("https://m.media-amazon.com/images/I/5165nncGD9S._AC_UL320_.jpg")</f>
        <v>#NAME?</v>
      </c>
      <c r="I3577" t="s">
        <v>356</v>
      </c>
      <c r="J3577">
        <v>69.97</v>
      </c>
      <c r="K3577" s="4">
        <v>0</v>
      </c>
      <c r="L3577">
        <v>4.5999999999999996</v>
      </c>
      <c r="M3577">
        <v>500</v>
      </c>
      <c r="O3577" t="s">
        <v>25</v>
      </c>
      <c r="P3577" t="s">
        <v>5007</v>
      </c>
      <c r="Q3577" t="s">
        <v>7887</v>
      </c>
    </row>
    <row r="3578" spans="1:17" ht="15.5" x14ac:dyDescent="0.35">
      <c r="A3578" s="3" t="str">
        <f>HYPERLINK("https://edmondsonsupply.com/collections/electricians-tools/products/klein-tools-k1412-klein-kurve%C2%AE-dual-nm-cable-stripper-cutter", "https://edmondsonsupply.com/collections/electricians-tools/products/klein-tools-k1412-klein-kurve%C2%AE-dual-nm-cable-stripper-cutter")</f>
        <v>https://edmondsonsupply.com/collections/electricians-tools/products/klein-tools-k1412-klein-kurve%C2%AE-dual-nm-cable-stripper-cutter</v>
      </c>
      <c r="B3578" s="3" t="str">
        <f>HYPERLINK("https://edmondsonsupply.com/products/klein-tools-k1412-klein-kurve%c2%ae-dual-nm-cable-stripper-cutter", "https://edmondsonsupply.com/products/klein-tools-k1412-klein-kurve%c2%ae-dual-nm-cable-stripper-cutter")</f>
        <v>https://edmondsonsupply.com/products/klein-tools-k1412-klein-kurve%c2%ae-dual-nm-cable-stripper-cutter</v>
      </c>
      <c r="C3578" t="s">
        <v>6899</v>
      </c>
      <c r="D3578" t="s">
        <v>3269</v>
      </c>
      <c r="E3578" s="3" t="str">
        <f>HYPERLINK("https://www.amazon.com/Cutter-Stripper-Klein-Tools-K1412/dp/B000F9HIEC/ref=sr_1_1?keywords=Klein+Tools+K1412+Klein-Kurve%C2%AE+Dual+NM+Cable+Stripper%2FCutter&amp;qid=1695174281&amp;sr=8-1", "https://www.amazon.com/Cutter-Stripper-Klein-Tools-K1412/dp/B000F9HIEC/ref=sr_1_1?keywords=Klein+Tools+K1412+Klein-Kurve%C2%AE+Dual+NM+Cable+Stripper%2FCutter&amp;qid=1695174281&amp;sr=8-1")</f>
        <v>https://www.amazon.com/Cutter-Stripper-Klein-Tools-K1412/dp/B000F9HIEC/ref=sr_1_1?keywords=Klein+Tools+K1412+Klein-Kurve%C2%AE+Dual+NM+Cable+Stripper%2FCutter&amp;qid=1695174281&amp;sr=8-1</v>
      </c>
      <c r="F3578" t="s">
        <v>3270</v>
      </c>
      <c r="G3578" t="e">
        <f ca="1">_xludf.IMAGE("https://edmondsonsupply.com/cdn/shop/products/k1412_b.jpg?v=1646350543")</f>
        <v>#NAME?</v>
      </c>
      <c r="H3578" t="e">
        <f ca="1">_xludf.IMAGE("https://m.media-amazon.com/images/I/41sdPMsHXcL._AC_UL320_.jpg")</f>
        <v>#NAME?</v>
      </c>
      <c r="I3578" t="s">
        <v>824</v>
      </c>
      <c r="J3578">
        <v>29.97</v>
      </c>
      <c r="K3578" s="4">
        <v>0</v>
      </c>
      <c r="L3578">
        <v>4.8</v>
      </c>
      <c r="M3578">
        <v>1850</v>
      </c>
      <c r="O3578" t="s">
        <v>25</v>
      </c>
      <c r="P3578" t="s">
        <v>6902</v>
      </c>
      <c r="Q3578" t="s">
        <v>6903</v>
      </c>
    </row>
    <row r="3579" spans="1:17" ht="15.5" x14ac:dyDescent="0.35">
      <c r="A3579" s="3" t="str">
        <f>HYPERLINK("https://edmondsonsupply.com/collections/electricians-tools/products/klein-tools-85091-power-conduit-reamer", "https://edmondsonsupply.com/collections/electricians-tools/products/klein-tools-85091-power-conduit-reamer")</f>
        <v>https://edmondsonsupply.com/collections/electricians-tools/products/klein-tools-85091-power-conduit-reamer</v>
      </c>
      <c r="B3579" s="3" t="str">
        <f>HYPERLINK("https://edmondsonsupply.com/products/klein-tools-85091-power-conduit-reamer", "https://edmondsonsupply.com/products/klein-tools-85091-power-conduit-reamer")</f>
        <v>https://edmondsonsupply.com/products/klein-tools-85091-power-conduit-reamer</v>
      </c>
      <c r="C3579" t="s">
        <v>6570</v>
      </c>
      <c r="D3579" t="s">
        <v>7888</v>
      </c>
      <c r="E3579" s="3" t="str">
        <f>HYPERLINK("https://www.amazon.com/Power-Conduit-Reamer-Klein-Tools/dp/B00B9HICKI/ref=sr_1_1?keywords=Klein+Tools+85091+Power+Conduit+Reamer&amp;qid=1695174290&amp;sr=8-1", "https://www.amazon.com/Power-Conduit-Reamer-Klein-Tools/dp/B00B9HICKI/ref=sr_1_1?keywords=Klein+Tools+85091+Power+Conduit+Reamer&amp;qid=1695174290&amp;sr=8-1")</f>
        <v>https://www.amazon.com/Power-Conduit-Reamer-Klein-Tools/dp/B00B9HICKI/ref=sr_1_1?keywords=Klein+Tools+85091+Power+Conduit+Reamer&amp;qid=1695174290&amp;sr=8-1</v>
      </c>
      <c r="F3579" t="s">
        <v>7889</v>
      </c>
      <c r="G3579" t="e">
        <f ca="1">_xludf.IMAGE("https://edmondsonsupply.com/cdn/shop/products/85091.jpg?v=1633030889")</f>
        <v>#NAME?</v>
      </c>
      <c r="H3579" t="e">
        <f ca="1">_xludf.IMAGE("https://m.media-amazon.com/images/I/41eR1PHplSL._AC_UL320_.jpg")</f>
        <v>#NAME?</v>
      </c>
      <c r="I3579" t="s">
        <v>859</v>
      </c>
      <c r="J3579">
        <v>24.97</v>
      </c>
      <c r="K3579" s="4">
        <v>0</v>
      </c>
      <c r="L3579">
        <v>4.4000000000000004</v>
      </c>
      <c r="M3579">
        <v>1418</v>
      </c>
      <c r="O3579" t="s">
        <v>25</v>
      </c>
      <c r="P3579" t="s">
        <v>6573</v>
      </c>
      <c r="Q3579" t="s">
        <v>6574</v>
      </c>
    </row>
    <row r="3580" spans="1:17" ht="15.5" x14ac:dyDescent="0.35">
      <c r="A3580" s="3" t="str">
        <f>HYPERLINK("https://edmondsonsupply.com/collections/electricians-tools/products/klein-tools-vdv327-103-wire-pick", "https://edmondsonsupply.com/collections/electricians-tools/products/klein-tools-vdv327-103-wire-pick")</f>
        <v>https://edmondsonsupply.com/collections/electricians-tools/products/klein-tools-vdv327-103-wire-pick</v>
      </c>
      <c r="B3580" s="3" t="str">
        <f>HYPERLINK("https://edmondsonsupply.com/products/klein-tools-vdv327-103-wire-pick", "https://edmondsonsupply.com/products/klein-tools-vdv327-103-wire-pick")</f>
        <v>https://edmondsonsupply.com/products/klein-tools-vdv327-103-wire-pick</v>
      </c>
      <c r="C3580" t="s">
        <v>7890</v>
      </c>
      <c r="D3580" t="s">
        <v>7890</v>
      </c>
      <c r="E3580" s="3" t="str">
        <f>HYPERLINK("https://www.amazon.com/Wire-Pick-Klein-Tools-VDV327-103/dp/B00ITG4PNK/ref=sr_1_1?keywords=Klein+Tools+VDV327-103+Wire+Pick&amp;qid=1695174289&amp;sr=8-1", "https://www.amazon.com/Wire-Pick-Klein-Tools-VDV327-103/dp/B00ITG4PNK/ref=sr_1_1?keywords=Klein+Tools+VDV327-103+Wire+Pick&amp;qid=1695174289&amp;sr=8-1")</f>
        <v>https://www.amazon.com/Wire-Pick-Klein-Tools-VDV327-103/dp/B00ITG4PNK/ref=sr_1_1?keywords=Klein+Tools+VDV327-103+Wire+Pick&amp;qid=1695174289&amp;sr=8-1</v>
      </c>
      <c r="F3580" t="s">
        <v>7891</v>
      </c>
      <c r="G3580" t="e">
        <f ca="1">_xludf.IMAGE("https://edmondsonsupply.com/cdn/shop/products/vdv327-103.jpg?v=1633030929")</f>
        <v>#NAME?</v>
      </c>
      <c r="H3580" t="e">
        <f ca="1">_xludf.IMAGE("https://m.media-amazon.com/images/I/41pI4Nn4DFL._AC_UL320_.jpg")</f>
        <v>#NAME?</v>
      </c>
      <c r="I3580" t="s">
        <v>288</v>
      </c>
      <c r="J3580">
        <v>13.99</v>
      </c>
      <c r="K3580" s="4">
        <v>0</v>
      </c>
      <c r="L3580">
        <v>4.7</v>
      </c>
      <c r="M3580">
        <v>218</v>
      </c>
      <c r="O3580" t="s">
        <v>25</v>
      </c>
      <c r="P3580" t="s">
        <v>2328</v>
      </c>
      <c r="Q3580" t="s">
        <v>7892</v>
      </c>
    </row>
    <row r="3581" spans="1:17" ht="15.5" x14ac:dyDescent="0.35">
      <c r="A3581" s="3" t="str">
        <f>HYPERLINK("https://edmondsonsupply.com/collections/electricians-tools/products/klein-tools-ti222-thermal-imager-for-ios-devices", "https://edmondsonsupply.com/collections/electricians-tools/products/klein-tools-ti222-thermal-imager-for-ios-devices")</f>
        <v>https://edmondsonsupply.com/collections/electricians-tools/products/klein-tools-ti222-thermal-imager-for-ios-devices</v>
      </c>
      <c r="B3581" s="3" t="str">
        <f>HYPERLINK("https://edmondsonsupply.com/products/klein-tools-ti222-thermal-imager-for-ios-devices", "https://edmondsonsupply.com/products/klein-tools-ti222-thermal-imager-for-ios-devices")</f>
        <v>https://edmondsonsupply.com/products/klein-tools-ti222-thermal-imager-for-ios-devices</v>
      </c>
      <c r="C3581" t="s">
        <v>7893</v>
      </c>
      <c r="D3581" t="s">
        <v>7894</v>
      </c>
      <c r="E3581" s="3" t="str">
        <f>HYPERLINK("https://www.amazon.com/Klein-Tools-TI222-Thermal-Imager-Temperatures/dp/B0B4PXYRS1/ref=sr_1_1?keywords=Klein+Tools+TI222+Thermal+Imager+for+iOS+Devices&amp;qid=1695174156&amp;sr=8-1", "https://www.amazon.com/Klein-Tools-TI222-Thermal-Imager-Temperatures/dp/B0B4PXYRS1/ref=sr_1_1?keywords=Klein+Tools+TI222+Thermal+Imager+for+iOS+Devices&amp;qid=1695174156&amp;sr=8-1")</f>
        <v>https://www.amazon.com/Klein-Tools-TI222-Thermal-Imager-Temperatures/dp/B0B4PXYRS1/ref=sr_1_1?keywords=Klein+Tools+TI222+Thermal+Imager+for+iOS+Devices&amp;qid=1695174156&amp;sr=8-1</v>
      </c>
      <c r="F3581" t="s">
        <v>7895</v>
      </c>
      <c r="G3581" t="e">
        <f ca="1">_xludf.IMAGE("https://edmondsonsupply.com/cdn/shop/products/ti222.jpg?v=1663593119")</f>
        <v>#NAME?</v>
      </c>
      <c r="H3581" t="e">
        <f ca="1">_xludf.IMAGE("https://m.media-amazon.com/images/I/5136eVKO+tL._AC_UY218_.jpg")</f>
        <v>#NAME?</v>
      </c>
      <c r="I3581" t="s">
        <v>4625</v>
      </c>
      <c r="J3581">
        <v>249.99</v>
      </c>
      <c r="K3581" s="4">
        <v>0</v>
      </c>
      <c r="L3581">
        <v>4.5</v>
      </c>
      <c r="M3581">
        <v>91</v>
      </c>
      <c r="O3581" t="s">
        <v>25</v>
      </c>
      <c r="P3581" t="s">
        <v>4626</v>
      </c>
      <c r="Q3581" t="s">
        <v>7896</v>
      </c>
    </row>
    <row r="3582" spans="1:17" ht="15.5" x14ac:dyDescent="0.35">
      <c r="A3582"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3582" s="3" t="str">
        <f>HYPERLINK("https://edmondsonsupply.com/products/klein-tools-31932-bi-metal-hole-saw-2-inch", "https://edmondsonsupply.com/products/klein-tools-31932-bi-metal-hole-saw-2-inch")</f>
        <v>https://edmondsonsupply.com/products/klein-tools-31932-bi-metal-hole-saw-2-inch</v>
      </c>
      <c r="C3582" t="s">
        <v>6244</v>
      </c>
      <c r="D3582" t="s">
        <v>7897</v>
      </c>
      <c r="E3582" s="3" t="str">
        <f>HYPERLINK("https://www.amazon.com/Bi-Metal-2-Inch-Klein-Tools-31932/dp/B019874WBS/ref=sr_1_1?keywords=Klein+Tools+31932+Bi-Metal+Hole+Saw%2C+2-Inch&amp;qid=1695174279&amp;sr=8-1", "https://www.amazon.com/Bi-Metal-2-Inch-Klein-Tools-31932/dp/B019874WBS/ref=sr_1_1?keywords=Klein+Tools+31932+Bi-Metal+Hole+Saw%2C+2-Inch&amp;qid=1695174279&amp;sr=8-1")</f>
        <v>https://www.amazon.com/Bi-Metal-2-Inch-Klein-Tools-31932/dp/B019874WBS/ref=sr_1_1?keywords=Klein+Tools+31932+Bi-Metal+Hole+Saw%2C+2-Inch&amp;qid=1695174279&amp;sr=8-1</v>
      </c>
      <c r="F3582" t="s">
        <v>7898</v>
      </c>
      <c r="G3582" t="e">
        <f ca="1">_xludf.IMAGE("https://edmondsonsupply.com/cdn/shop/products/31932.jpg?v=1633030939")</f>
        <v>#NAME?</v>
      </c>
      <c r="H3582" t="e">
        <f ca="1">_xludf.IMAGE("https://m.media-amazon.com/images/I/514gOtu-YJL._AC_UL320_.jpg")</f>
        <v>#NAME?</v>
      </c>
      <c r="I3582" t="s">
        <v>6056</v>
      </c>
      <c r="J3582">
        <v>10.99</v>
      </c>
      <c r="K3582" s="4">
        <v>0</v>
      </c>
      <c r="L3582">
        <v>4.5999999999999996</v>
      </c>
      <c r="M3582">
        <v>406</v>
      </c>
      <c r="O3582" t="s">
        <v>25</v>
      </c>
      <c r="P3582" t="s">
        <v>1620</v>
      </c>
      <c r="Q3582" t="s">
        <v>6247</v>
      </c>
    </row>
    <row r="3583" spans="1:17" ht="15.5" x14ac:dyDescent="0.35">
      <c r="A3583"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3583" s="3" t="str">
        <f>HYPERLINK("https://edmondsonsupply.com/products/klein-tools-31870-carbide-hole-cutter-2-1-2-inch", "https://edmondsonsupply.com/products/klein-tools-31870-carbide-hole-cutter-2-1-2-inch")</f>
        <v>https://edmondsonsupply.com/products/klein-tools-31870-carbide-hole-cutter-2-1-2-inch</v>
      </c>
      <c r="C3583" t="s">
        <v>6295</v>
      </c>
      <c r="D3583" t="s">
        <v>7899</v>
      </c>
      <c r="E3583" s="3" t="str">
        <f>HYPERLINK("https://www.amazon.com/Carbide-Cutter-Klein-Tools-31870/dp/B00776T3C6/ref=sr_1_1?keywords=Klein+Tools+31870+Carbide+Hole+Cutter%2C+2-1%2F2-Inch&amp;qid=1695174279&amp;sr=8-1", "https://www.amazon.com/Carbide-Cutter-Klein-Tools-31870/dp/B00776T3C6/ref=sr_1_1?keywords=Klein+Tools+31870+Carbide+Hole+Cutter%2C+2-1%2F2-Inch&amp;qid=1695174279&amp;sr=8-1")</f>
        <v>https://www.amazon.com/Carbide-Cutter-Klein-Tools-31870/dp/B00776T3C6/ref=sr_1_1?keywords=Klein+Tools+31870+Carbide+Hole+Cutter%2C+2-1%2F2-Inch&amp;qid=1695174279&amp;sr=8-1</v>
      </c>
      <c r="F3583" t="s">
        <v>7900</v>
      </c>
      <c r="G3583" t="e">
        <f ca="1">_xludf.IMAGE("https://edmondsonsupply.com/cdn/shop/products/31870_alt1.jpg?v=1633030999")</f>
        <v>#NAME?</v>
      </c>
      <c r="H3583" t="e">
        <f ca="1">_xludf.IMAGE("https://m.media-amazon.com/images/I/41YZKcK6nOL._AC_UL320_.jpg")</f>
        <v>#NAME?</v>
      </c>
      <c r="I3583" t="s">
        <v>300</v>
      </c>
      <c r="J3583">
        <v>79.989999999999995</v>
      </c>
      <c r="K3583" s="4">
        <v>0</v>
      </c>
      <c r="L3583">
        <v>4.5</v>
      </c>
      <c r="M3583">
        <v>473</v>
      </c>
      <c r="O3583" t="s">
        <v>25</v>
      </c>
      <c r="P3583" t="s">
        <v>6296</v>
      </c>
      <c r="Q3583" t="s">
        <v>6297</v>
      </c>
    </row>
    <row r="3584" spans="1:17" ht="15.5" x14ac:dyDescent="0.35">
      <c r="A3584" s="3" t="str">
        <f>HYPERLINK("https://edmondsonsupply.com/collections/electricians-tools/products/klein-tools-635-6-nut-driver-set-magnetic-nut-drivers-heavy-duty-6-piece", "https://edmondsonsupply.com/collections/electricians-tools/products/klein-tools-635-6-nut-driver-set-magnetic-nut-drivers-heavy-duty-6-piece")</f>
        <v>https://edmondsonsupply.com/collections/electricians-tools/products/klein-tools-635-6-nut-driver-set-magnetic-nut-drivers-heavy-duty-6-piece</v>
      </c>
      <c r="B3584" s="3" t="str">
        <f>HYPERLINK("https://edmondsonsupply.com/products/klein-tools-635-6-nut-driver-set-magnetic-nut-drivers-heavy-duty-6-piece", "https://edmondsonsupply.com/products/klein-tools-635-6-nut-driver-set-magnetic-nut-drivers-heavy-duty-6-piece")</f>
        <v>https://edmondsonsupply.com/products/klein-tools-635-6-nut-driver-set-magnetic-nut-drivers-heavy-duty-6-piece</v>
      </c>
      <c r="C3584" t="s">
        <v>7877</v>
      </c>
      <c r="D3584" t="s">
        <v>1685</v>
      </c>
      <c r="E3584" s="3" t="str">
        <f>HYPERLINK("https://www.amazon.com/Heavy-Duty-Driver-6-Piece-Klein-Tools/dp/B01DKNDHGM/ref=sr_1_1?keywords=Klein+Tools+635-6+Nut+Driver+Set%2C+Magnetic+Nut+Drivers%2C+Heavy+Duty%2C+6-Piece&amp;qid=1695174277&amp;sr=8-1", "https://www.amazon.com/Heavy-Duty-Driver-6-Piece-Klein-Tools/dp/B01DKNDHGM/ref=sr_1_1?keywords=Klein+Tools+635-6+Nut+Driver+Set%2C+Magnetic+Nut+Drivers%2C+Heavy+Duty%2C+6-Piece&amp;qid=1695174277&amp;sr=8-1")</f>
        <v>https://www.amazon.com/Heavy-Duty-Driver-6-Piece-Klein-Tools/dp/B01DKNDHGM/ref=sr_1_1?keywords=Klein+Tools+635-6+Nut+Driver+Set%2C+Magnetic+Nut+Drivers%2C+Heavy+Duty%2C+6-Piece&amp;qid=1695174277&amp;sr=8-1</v>
      </c>
      <c r="F3584" t="s">
        <v>1686</v>
      </c>
      <c r="G3584" t="e">
        <f ca="1">_xludf.IMAGE("https://edmondsonsupply.com/cdn/shop/products/635-6.jpg?v=1633031003")</f>
        <v>#NAME?</v>
      </c>
      <c r="H3584" t="e">
        <f ca="1">_xludf.IMAGE("https://m.media-amazon.com/images/I/61eypCy1RLL._AC_UL320_.jpg")</f>
        <v>#NAME?</v>
      </c>
      <c r="I3584" t="s">
        <v>300</v>
      </c>
      <c r="J3584">
        <v>79.989999999999995</v>
      </c>
      <c r="K3584" s="4">
        <v>0</v>
      </c>
      <c r="L3584">
        <v>4.7</v>
      </c>
      <c r="M3584">
        <v>943</v>
      </c>
      <c r="O3584" t="s">
        <v>25</v>
      </c>
      <c r="P3584" t="s">
        <v>6296</v>
      </c>
      <c r="Q3584" t="s">
        <v>7878</v>
      </c>
    </row>
    <row r="3585" spans="1:17" ht="15.5" x14ac:dyDescent="0.35">
      <c r="A3585"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3585"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3585" t="s">
        <v>3174</v>
      </c>
      <c r="D3585" t="s">
        <v>4580</v>
      </c>
      <c r="E3585" s="3" t="str">
        <f>HYPERLINK("https://www.amazon.com/Heavy-Stripper-Cutter-Crimper-Multi/dp/B08BX9RTPX/ref=sr_1_2?keywords=Klein+Tools+K12065CR+Klein-Kurve%C2%AE+Heavy-Duty+Wire+Stripper+%2F+Cutter+%2F+Crimper+Multi+Tool%2C+8-20+AWG&amp;qid=1695173857&amp;sr=8-2", "https://www.amazon.com/Heavy-Stripper-Cutter-Crimper-Multi/dp/B08BX9RTPX/ref=sr_1_2?keywords=Klein+Tools+K12065CR+Klein-Kurve%C2%AE+Heavy-Duty+Wire+Stripper+%2F+Cutter+%2F+Crimper+Multi+Tool%2C+8-20+AWG&amp;qid=1695173857&amp;sr=8-2")</f>
        <v>https://www.amazon.com/Heavy-Stripper-Cutter-Crimper-Multi/dp/B08BX9RTPX/ref=sr_1_2?keywords=Klein+Tools+K12065CR+Klein-Kurve%C2%AE+Heavy-Duty+Wire+Stripper+%2F+Cutter+%2F+Crimper+Multi+Tool%2C+8-20+AWG&amp;qid=1695173857&amp;sr=8-2</v>
      </c>
      <c r="F3585" t="s">
        <v>4581</v>
      </c>
      <c r="G3585" t="e">
        <f ca="1">_xludf.IMAGE("https://edmondsonsupply.com/cdn/shop/products/k12065cr_b.jpg?v=1650066835")</f>
        <v>#NAME?</v>
      </c>
      <c r="H3585" t="e">
        <f ca="1">_xludf.IMAGE("https://m.media-amazon.com/images/I/51Oylu1vHoL._AC_UL320_.jpg")</f>
        <v>#NAME?</v>
      </c>
      <c r="I3585" t="s">
        <v>246</v>
      </c>
      <c r="J3585">
        <v>39.97</v>
      </c>
      <c r="K3585" s="4">
        <v>0</v>
      </c>
      <c r="L3585">
        <v>4.7</v>
      </c>
      <c r="M3585">
        <v>726</v>
      </c>
      <c r="O3585" t="s">
        <v>25</v>
      </c>
      <c r="P3585" t="s">
        <v>3177</v>
      </c>
      <c r="Q3585" t="s">
        <v>3178</v>
      </c>
    </row>
    <row r="3586" spans="1:17" ht="15.5" x14ac:dyDescent="0.35">
      <c r="A3586" s="3" t="str">
        <f>HYPERLINK("https://edmondsonsupply.com/collections/electricians-tools/products/klein-tools-32538-10-fold-screwdriver-nut-driver-fractional-hex", "https://edmondsonsupply.com/collections/electricians-tools/products/klein-tools-32538-10-fold-screwdriver-nut-driver-fractional-hex")</f>
        <v>https://edmondsonsupply.com/collections/electricians-tools/products/klein-tools-32538-10-fold-screwdriver-nut-driver-fractional-hex</v>
      </c>
      <c r="B3586" s="3" t="str">
        <f>HYPERLINK("https://edmondsonsupply.com/products/klein-tools-32538-10-fold-screwdriver-nut-driver-fractional-hex", "https://edmondsonsupply.com/products/klein-tools-32538-10-fold-screwdriver-nut-driver-fractional-hex")</f>
        <v>https://edmondsonsupply.com/products/klein-tools-32538-10-fold-screwdriver-nut-driver-fractional-hex</v>
      </c>
      <c r="C3586" t="s">
        <v>7901</v>
      </c>
      <c r="D3586" t="s">
        <v>7901</v>
      </c>
      <c r="E3586" s="3" t="str">
        <f>HYPERLINK("https://www.amazon.com/Fractional-Screwdriver-Klein-Tools-32538/dp/B0031D9NSS/ref=sr_1_1?keywords=Klein+Tools+32538+10-Fold+Screwdriver+%2F+Nut+Driver%2C+Fractional+Hex&amp;qid=1695174255&amp;sr=8-1", "https://www.amazon.com/Fractional-Screwdriver-Klein-Tools-32538/dp/B0031D9NSS/ref=sr_1_1?keywords=Klein+Tools+32538+10-Fold+Screwdriver+%2F+Nut+Driver%2C+Fractional+Hex&amp;qid=1695174255&amp;sr=8-1")</f>
        <v>https://www.amazon.com/Fractional-Screwdriver-Klein-Tools-32538/dp/B0031D9NSS/ref=sr_1_1?keywords=Klein+Tools+32538+10-Fold+Screwdriver+%2F+Nut+Driver%2C+Fractional+Hex&amp;qid=1695174255&amp;sr=8-1</v>
      </c>
      <c r="F3586" t="s">
        <v>7902</v>
      </c>
      <c r="G3586" t="e">
        <f ca="1">_xludf.IMAGE("https://edmondsonsupply.com/cdn/shop/products/32538.jpg?v=1642959018")</f>
        <v>#NAME?</v>
      </c>
      <c r="H3586" t="e">
        <f ca="1">_xludf.IMAGE("https://m.media-amazon.com/images/I/51oV4zAuP7L._AC_UL320_.jpg")</f>
        <v>#NAME?</v>
      </c>
      <c r="I3586" t="s">
        <v>26</v>
      </c>
      <c r="J3586">
        <v>29.99</v>
      </c>
      <c r="K3586" s="4">
        <v>0</v>
      </c>
      <c r="L3586">
        <v>4.5999999999999996</v>
      </c>
      <c r="M3586">
        <v>872</v>
      </c>
      <c r="O3586" t="s">
        <v>25</v>
      </c>
      <c r="P3586" t="s">
        <v>4371</v>
      </c>
      <c r="Q3586" t="s">
        <v>7903</v>
      </c>
    </row>
    <row r="3587" spans="1:17" ht="15.5" x14ac:dyDescent="0.35">
      <c r="A3587" s="3" t="str">
        <f>HYPERLINK("https://edmondsonsupply.com/collections/electricians-tools/products/klein-tools-725-jab-saw", "https://edmondsonsupply.com/collections/electricians-tools/products/klein-tools-725-jab-saw")</f>
        <v>https://edmondsonsupply.com/collections/electricians-tools/products/klein-tools-725-jab-saw</v>
      </c>
      <c r="B3587" s="3" t="str">
        <f>HYPERLINK("https://edmondsonsupply.com/products/klein-tools-725-jab-saw", "https://edmondsonsupply.com/products/klein-tools-725-jab-saw")</f>
        <v>https://edmondsonsupply.com/products/klein-tools-725-jab-saw</v>
      </c>
      <c r="C3587" t="s">
        <v>3337</v>
      </c>
      <c r="D3587" t="s">
        <v>4774</v>
      </c>
      <c r="E3587" s="3" t="str">
        <f>HYPERLINK("https://www.amazon.com/Wallboard-Applications-Klein-Tools-725/dp/B0014KQGHG/ref=sr_1_1?keywords=Klein+Tools+725+Jab+Saw&amp;qid=1695173921&amp;sr=8-1", "https://www.amazon.com/Wallboard-Applications-Klein-Tools-725/dp/B0014KQGHG/ref=sr_1_1?keywords=Klein+Tools+725+Jab+Saw&amp;qid=1695173921&amp;sr=8-1")</f>
        <v>https://www.amazon.com/Wallboard-Applications-Klein-Tools-725/dp/B0014KQGHG/ref=sr_1_1?keywords=Klein+Tools+725+Jab+Saw&amp;qid=1695173921&amp;sr=8-1</v>
      </c>
      <c r="F3587" t="s">
        <v>4775</v>
      </c>
      <c r="G3587" t="e">
        <f ca="1">_xludf.IMAGE("https://edmondsonsupply.com/cdn/shop/products/725.jpg?v=1633030531")</f>
        <v>#NAME?</v>
      </c>
      <c r="H3587" t="e">
        <f ca="1">_xludf.IMAGE("https://m.media-amazon.com/images/I/5146hv5ZO3L._AC_UL320_.jpg")</f>
        <v>#NAME?</v>
      </c>
      <c r="I3587" t="s">
        <v>2784</v>
      </c>
      <c r="J3587">
        <v>14.97</v>
      </c>
      <c r="K3587" s="4">
        <v>0</v>
      </c>
      <c r="L3587">
        <v>4.8</v>
      </c>
      <c r="M3587">
        <v>465</v>
      </c>
      <c r="O3587" t="s">
        <v>25</v>
      </c>
      <c r="P3587" t="s">
        <v>332</v>
      </c>
      <c r="Q3587" t="s">
        <v>3340</v>
      </c>
    </row>
    <row r="3588" spans="1:17" ht="15.5" x14ac:dyDescent="0.35">
      <c r="A3588"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3588"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3588" t="s">
        <v>6304</v>
      </c>
      <c r="D3588" t="s">
        <v>7904</v>
      </c>
      <c r="E3588" s="3" t="str">
        <f>HYPERLINK("https://www.amazon.com/Klein-Tools-2036EINS-Insulated-Cutters/dp/B00JGG5OB4/ref=sr_1_1?keywords=Klein+Tools+2036EINS+Long+Nose+Side+Cutter+Pliers+6-Inch+Slim+Insulated&amp;qid=1695174256&amp;sr=8-1", "https://www.amazon.com/Klein-Tools-2036EINS-Insulated-Cutters/dp/B00JGG5OB4/ref=sr_1_1?keywords=Klein+Tools+2036EINS+Long+Nose+Side+Cutter+Pliers+6-Inch+Slim+Insulated&amp;qid=1695174256&amp;sr=8-1")</f>
        <v>https://www.amazon.com/Klein-Tools-2036EINS-Insulated-Cutters/dp/B00JGG5OB4/ref=sr_1_1?keywords=Klein+Tools+2036EINS+Long+Nose+Side+Cutter+Pliers+6-Inch+Slim+Insulated&amp;qid=1695174256&amp;sr=8-1</v>
      </c>
      <c r="F3588" t="s">
        <v>7905</v>
      </c>
      <c r="G3588" t="e">
        <f ca="1">_xludf.IMAGE("https://edmondsonsupply.com/cdn/shop/products/2036eins.jpg?v=1633031077")</f>
        <v>#NAME?</v>
      </c>
      <c r="H3588" t="e">
        <f ca="1">_xludf.IMAGE("https://m.media-amazon.com/images/I/51myk0Mm3RL._AC_UL320_.jpg")</f>
        <v>#NAME?</v>
      </c>
      <c r="I3588" t="s">
        <v>6307</v>
      </c>
      <c r="J3588">
        <v>46.99</v>
      </c>
      <c r="K3588" s="4">
        <v>0</v>
      </c>
      <c r="L3588">
        <v>4.9000000000000004</v>
      </c>
      <c r="M3588">
        <v>348</v>
      </c>
      <c r="O3588" t="s">
        <v>25</v>
      </c>
      <c r="P3588" t="s">
        <v>6308</v>
      </c>
      <c r="Q3588" t="s">
        <v>6309</v>
      </c>
    </row>
    <row r="3589" spans="1:17" ht="15.5" x14ac:dyDescent="0.35">
      <c r="A3589"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3589" s="3" t="str">
        <f>HYPERLINK("https://edmondsonsupply.com/products/klein-tools-69190-magnetic-hanger", "https://edmondsonsupply.com/products/klein-tools-69190-magnetic-hanger")</f>
        <v>https://edmondsonsupply.com/products/klein-tools-69190-magnetic-hanger</v>
      </c>
      <c r="C3589" t="s">
        <v>7906</v>
      </c>
      <c r="D3589" t="s">
        <v>7907</v>
      </c>
      <c r="E3589" s="3" t="str">
        <f>HYPERLINK("https://www.amazon.com/Magnetic-Multimeters-Klein-Tools-69190/dp/B003USDOD4/ref=sr_1_2?keywords=Klein+Tools+69190+Magnetic+Hanger&amp;qid=1695174256&amp;sr=8-2", "https://www.amazon.com/Magnetic-Multimeters-Klein-Tools-69190/dp/B003USDOD4/ref=sr_1_2?keywords=Klein+Tools+69190+Magnetic+Hanger&amp;qid=1695174256&amp;sr=8-2")</f>
        <v>https://www.amazon.com/Magnetic-Multimeters-Klein-Tools-69190/dp/B003USDOD4/ref=sr_1_2?keywords=Klein+Tools+69190+Magnetic+Hanger&amp;qid=1695174256&amp;sr=8-2</v>
      </c>
      <c r="F3589" t="s">
        <v>7908</v>
      </c>
      <c r="G3589" t="e">
        <f ca="1">_xludf.IMAGE("https://edmondsonsupply.com/cdn/shop/products/69190.jpg?v=1633031095")</f>
        <v>#NAME?</v>
      </c>
      <c r="H3589" t="e">
        <f ca="1">_xludf.IMAGE("https://m.media-amazon.com/images/I/61tQe8u+O1L._AC_UL320_.jpg")</f>
        <v>#NAME?</v>
      </c>
      <c r="I3589" t="s">
        <v>3185</v>
      </c>
      <c r="J3589">
        <v>20.99</v>
      </c>
      <c r="K3589" s="4">
        <v>0</v>
      </c>
      <c r="L3589">
        <v>4.0999999999999996</v>
      </c>
      <c r="M3589">
        <v>99</v>
      </c>
      <c r="O3589" t="s">
        <v>25</v>
      </c>
      <c r="P3589" t="s">
        <v>7909</v>
      </c>
      <c r="Q3589" t="s">
        <v>7910</v>
      </c>
    </row>
    <row r="3590" spans="1:17" ht="15.5" x14ac:dyDescent="0.35">
      <c r="A3590" s="3" t="str">
        <f>HYPERLINK("https://edmondsonsupply.com/collections/electricians-tools/products/clc-pb1531-molded-plastic-bottom-electrical-hvac-tool-carrier", "https://edmondsonsupply.com/collections/electricians-tools/products/clc-pb1531-molded-plastic-bottom-electrical-hvac-tool-carrier")</f>
        <v>https://edmondsonsupply.com/collections/electricians-tools/products/clc-pb1531-molded-plastic-bottom-electrical-hvac-tool-carrier</v>
      </c>
      <c r="B3590" s="3" t="str">
        <f>HYPERLINK("https://edmondsonsupply.com/products/clc-pb1531-molded-plastic-bottom-electrical-hvac-tool-carrier", "https://edmondsonsupply.com/products/clc-pb1531-molded-plastic-bottom-electrical-hvac-tool-carrier")</f>
        <v>https://edmondsonsupply.com/products/clc-pb1531-molded-plastic-bottom-electrical-hvac-tool-carrier</v>
      </c>
      <c r="C3590" t="s">
        <v>553</v>
      </c>
      <c r="D3590" t="s">
        <v>554</v>
      </c>
      <c r="E3590" s="3" t="str">
        <f>HYPERLINK("https://www.amazon.com/Work-PB1531-Molded-Electrical-Carrier/dp/B099JPPB5S/ref=sr_1_1?keywords=CLC+PB1531+Molded+Plastic+Bottom+Electrical%2FHVAC+Tool+Carrier&amp;qid=1695174259&amp;sr=8-1", "https://www.amazon.com/Work-PB1531-Molded-Electrical-Carrier/dp/B099JPPB5S/ref=sr_1_1?keywords=CLC+PB1531+Molded+Plastic+Bottom+Electrical%2FHVAC+Tool+Carrier&amp;qid=1695174259&amp;sr=8-1")</f>
        <v>https://www.amazon.com/Work-PB1531-Molded-Electrical-Carrier/dp/B099JPPB5S/ref=sr_1_1?keywords=CLC+PB1531+Molded+Plastic+Bottom+Electrical%2FHVAC+Tool+Carrier&amp;qid=1695174259&amp;sr=8-1</v>
      </c>
      <c r="F3590" t="s">
        <v>555</v>
      </c>
      <c r="G3590" t="e">
        <f ca="1">_xludf.IMAGE("https://edmondsonsupply.com/cdn/shop/products/PB1531.png?v=1633031052")</f>
        <v>#NAME?</v>
      </c>
      <c r="H3590" t="e">
        <f ca="1">_xludf.IMAGE("https://m.media-amazon.com/images/I/81bFPHq3MXS._AC_UL320_.jpg")</f>
        <v>#NAME?</v>
      </c>
      <c r="I3590" t="s">
        <v>368</v>
      </c>
      <c r="J3590">
        <v>89.95</v>
      </c>
      <c r="K3590" s="4">
        <v>0</v>
      </c>
      <c r="L3590">
        <v>4.4000000000000004</v>
      </c>
      <c r="M3590">
        <v>18</v>
      </c>
      <c r="O3590" t="s">
        <v>25</v>
      </c>
      <c r="P3590" t="s">
        <v>369</v>
      </c>
      <c r="Q3590" t="s">
        <v>556</v>
      </c>
    </row>
    <row r="3591" spans="1:17" ht="15.5" x14ac:dyDescent="0.35">
      <c r="A3591" s="3" t="str">
        <f>HYPERLINK("https://edmondsonsupply.com/collections/electricians-tools/products/klein-tools-56412-rechargeable-led-flashlight-with-worklight", "https://edmondsonsupply.com/collections/electricians-tools/products/klein-tools-56412-rechargeable-led-flashlight-with-worklight")</f>
        <v>https://edmondsonsupply.com/collections/electricians-tools/products/klein-tools-56412-rechargeable-led-flashlight-with-worklight</v>
      </c>
      <c r="B3591" s="3" t="str">
        <f>HYPERLINK("https://edmondsonsupply.com/products/klein-tools-56412-rechargeable-led-flashlight-with-worklight", "https://edmondsonsupply.com/products/klein-tools-56412-rechargeable-led-flashlight-with-worklight")</f>
        <v>https://edmondsonsupply.com/products/klein-tools-56412-rechargeable-led-flashlight-with-worklight</v>
      </c>
      <c r="C3591" t="s">
        <v>7109</v>
      </c>
      <c r="D3591" t="s">
        <v>5270</v>
      </c>
      <c r="E3591" s="3" t="str">
        <f>HYPERLINK("https://www.amazon.com/Klein-Tools-56403-Rechargeable-Illumination/dp/B07V4FTX6C/ref=sr_1_2?keywords=Klein+Tools+56412+Rechargeable+LED+Flashlight+with+Worklight&amp;qid=1695174153&amp;sr=8-2", "https://www.amazon.com/Klein-Tools-56403-Rechargeable-Illumination/dp/B07V4FTX6C/ref=sr_1_2?keywords=Klein+Tools+56412+Rechargeable+LED+Flashlight+with+Worklight&amp;qid=1695174153&amp;sr=8-2")</f>
        <v>https://www.amazon.com/Klein-Tools-56403-Rechargeable-Illumination/dp/B07V4FTX6C/ref=sr_1_2?keywords=Klein+Tools+56412+Rechargeable+LED+Flashlight+with+Worklight&amp;qid=1695174153&amp;sr=8-2</v>
      </c>
      <c r="F3591" t="s">
        <v>5271</v>
      </c>
      <c r="G3591" t="e">
        <f ca="1">_xludf.IMAGE("https://edmondsonsupply.com/cdn/shop/products/56412.jpg?v=1663953549")</f>
        <v>#NAME?</v>
      </c>
      <c r="H3591" t="e">
        <f ca="1">_xludf.IMAGE("https://m.media-amazon.com/images/I/61Gs90A8wDL._AC_UL320_.jpg")</f>
        <v>#NAME?</v>
      </c>
      <c r="I3591" t="s">
        <v>246</v>
      </c>
      <c r="J3591">
        <v>39.97</v>
      </c>
      <c r="K3591" s="4">
        <v>0</v>
      </c>
      <c r="L3591">
        <v>4.8</v>
      </c>
      <c r="M3591">
        <v>2756</v>
      </c>
      <c r="O3591" t="s">
        <v>25</v>
      </c>
      <c r="P3591" t="s">
        <v>7110</v>
      </c>
      <c r="Q3591" t="s">
        <v>7111</v>
      </c>
    </row>
    <row r="3592" spans="1:17" ht="15.5" x14ac:dyDescent="0.35">
      <c r="A3592" s="3" t="str">
        <f>HYPERLINK("https://edmondsonsupply.com/collections/electricians-tools/products/klein-tools-56412-rechargeable-led-flashlight-with-worklight", "https://edmondsonsupply.com/collections/electricians-tools/products/klein-tools-56412-rechargeable-led-flashlight-with-worklight")</f>
        <v>https://edmondsonsupply.com/collections/electricians-tools/products/klein-tools-56412-rechargeable-led-flashlight-with-worklight</v>
      </c>
      <c r="B3592" s="3" t="str">
        <f>HYPERLINK("https://edmondsonsupply.com/products/klein-tools-56412-rechargeable-led-flashlight-with-worklight", "https://edmondsonsupply.com/products/klein-tools-56412-rechargeable-led-flashlight-with-worklight")</f>
        <v>https://edmondsonsupply.com/products/klein-tools-56412-rechargeable-led-flashlight-with-worklight</v>
      </c>
      <c r="C3592" t="s">
        <v>7109</v>
      </c>
      <c r="D3592" t="s">
        <v>6708</v>
      </c>
      <c r="E3592" s="3" t="str">
        <f>HYPERLINK("https://www.amazon.com/Rechargeable-Flashlight-Worklight-Klein-Tools/dp/B0947YMH51/ref=sr_1_1?keywords=Klein+Tools+56412+Rechargeable+LED+Flashlight+with+Worklight&amp;qid=1695174153&amp;sr=8-1", "https://www.amazon.com/Rechargeable-Flashlight-Worklight-Klein-Tools/dp/B0947YMH51/ref=sr_1_1?keywords=Klein+Tools+56412+Rechargeable+LED+Flashlight+with+Worklight&amp;qid=1695174153&amp;sr=8-1")</f>
        <v>https://www.amazon.com/Rechargeable-Flashlight-Worklight-Klein-Tools/dp/B0947YMH51/ref=sr_1_1?keywords=Klein+Tools+56412+Rechargeable+LED+Flashlight+with+Worklight&amp;qid=1695174153&amp;sr=8-1</v>
      </c>
      <c r="F3592" t="s">
        <v>6709</v>
      </c>
      <c r="G3592" t="e">
        <f ca="1">_xludf.IMAGE("https://edmondsonsupply.com/cdn/shop/products/56412.jpg?v=1663953549")</f>
        <v>#NAME?</v>
      </c>
      <c r="H3592" t="e">
        <f ca="1">_xludf.IMAGE("https://m.media-amazon.com/images/I/51Of8ojN4aS._AC_UL320_.jpg")</f>
        <v>#NAME?</v>
      </c>
      <c r="I3592" t="s">
        <v>246</v>
      </c>
      <c r="J3592">
        <v>39.97</v>
      </c>
      <c r="K3592" s="4">
        <v>0</v>
      </c>
      <c r="L3592">
        <v>4.5999999999999996</v>
      </c>
      <c r="M3592">
        <v>424</v>
      </c>
      <c r="O3592" t="s">
        <v>25</v>
      </c>
      <c r="P3592" t="s">
        <v>7110</v>
      </c>
      <c r="Q3592" t="s">
        <v>7111</v>
      </c>
    </row>
    <row r="3593" spans="1:17" ht="15.5" x14ac:dyDescent="0.35">
      <c r="A3593"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3593"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3593" t="s">
        <v>7911</v>
      </c>
      <c r="D3593" t="s">
        <v>6602</v>
      </c>
      <c r="E3593" s="3" t="str">
        <f>HYPERLINK("https://www.amazon.com/Conduit-Technology-Benchmark-Klein-Tools/dp/B08L3ZQCT1/ref=sr_1_1?keywords=Klein+Tools+51605+Iron+Conduit+Bender+Full+Assembly%2C+1-Inch+EMT+with+Angle+Setter%E2%84%A2&amp;qid=1695174157&amp;sr=8-1", "https://www.amazon.com/Conduit-Technology-Benchmark-Klein-Tools/dp/B08L3ZQCT1/ref=sr_1_1?keywords=Klein+Tools+51605+Iron+Conduit+Bender+Full+Assembly%2C+1-Inch+EMT+with+Angle+Setter%E2%84%A2&amp;qid=1695174157&amp;sr=8-1")</f>
        <v>https://www.amazon.com/Conduit-Technology-Benchmark-Klein-Tools/dp/B08L3ZQCT1/ref=sr_1_1?keywords=Klein+Tools+51605+Iron+Conduit+Bender+Full+Assembly%2C+1-Inch+EMT+with+Angle+Setter%E2%84%A2&amp;qid=1695174157&amp;sr=8-1</v>
      </c>
      <c r="F3593" t="s">
        <v>6603</v>
      </c>
      <c r="G3593" t="e">
        <f ca="1">_xludf.IMAGE("https://edmondsonsupply.com/cdn/shop/products/51605.jpg?v=1663938749")</f>
        <v>#NAME?</v>
      </c>
      <c r="H3593" t="e">
        <f ca="1">_xludf.IMAGE("https://m.media-amazon.com/images/I/41stj4NcdUL._AC_UL320_.jpg")</f>
        <v>#NAME?</v>
      </c>
      <c r="I3593" t="s">
        <v>545</v>
      </c>
      <c r="J3593">
        <v>99.97</v>
      </c>
      <c r="K3593" s="4">
        <v>0</v>
      </c>
      <c r="L3593">
        <v>4.7</v>
      </c>
      <c r="M3593">
        <v>60</v>
      </c>
      <c r="O3593" t="s">
        <v>25</v>
      </c>
      <c r="P3593" t="s">
        <v>2225</v>
      </c>
      <c r="Q3593" t="s">
        <v>7912</v>
      </c>
    </row>
    <row r="3594" spans="1:17" ht="15.5" x14ac:dyDescent="0.35">
      <c r="A3594"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3594" s="3" t="str">
        <f>HYPERLINK("https://edmondsonsupply.com/products/klein-tools-et450-advanced-circuit-tracer-kit", "https://edmondsonsupply.com/products/klein-tools-et450-advanced-circuit-tracer-kit")</f>
        <v>https://edmondsonsupply.com/products/klein-tools-et450-advanced-circuit-tracer-kit</v>
      </c>
      <c r="C3594" t="s">
        <v>2849</v>
      </c>
      <c r="D3594" t="s">
        <v>4541</v>
      </c>
      <c r="E3594" s="3" t="str">
        <f>HYPERLINK("https://www.amazon.com/Klein-Tools-ET450-Energized-Non-Energized/dp/B09XG38XLP/ref=sr_1_1?keywords=Klein+Tools+ET450+Advanced+Circuit+Tracer+Kit&amp;qid=1695173869&amp;sr=8-1", "https://www.amazon.com/Klein-Tools-ET450-Energized-Non-Energized/dp/B09XG38XLP/ref=sr_1_1?keywords=Klein+Tools+ET450+Advanced+Circuit+Tracer+Kit&amp;qid=1695173869&amp;sr=8-1")</f>
        <v>https://www.amazon.com/Klein-Tools-ET450-Energized-Non-Energized/dp/B09XG38XLP/ref=sr_1_1?keywords=Klein+Tools+ET450+Advanced+Circuit+Tracer+Kit&amp;qid=1695173869&amp;sr=8-1</v>
      </c>
      <c r="F3594" t="s">
        <v>4542</v>
      </c>
      <c r="G3594" t="e">
        <f ca="1">_xludf.IMAGE("https://edmondsonsupply.com/cdn/shop/products/et450.jpg?v=1660165248")</f>
        <v>#NAME?</v>
      </c>
      <c r="H3594" t="e">
        <f ca="1">_xludf.IMAGE("https://m.media-amazon.com/images/I/71DaXgIbaFL._AC_UL320_.jpg")</f>
        <v>#NAME?</v>
      </c>
      <c r="I3594" t="s">
        <v>759</v>
      </c>
      <c r="J3594">
        <v>239.99</v>
      </c>
      <c r="K3594" s="4">
        <v>0</v>
      </c>
      <c r="L3594">
        <v>4.7</v>
      </c>
      <c r="M3594">
        <v>484</v>
      </c>
      <c r="O3594" t="s">
        <v>25</v>
      </c>
      <c r="P3594" t="s">
        <v>2852</v>
      </c>
      <c r="Q3594" t="s">
        <v>2853</v>
      </c>
    </row>
    <row r="3595" spans="1:17" ht="15.5" x14ac:dyDescent="0.35">
      <c r="A3595"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3595" s="3" t="str">
        <f>HYPERLINK("https://edmondsonsupply.com/products/klein-tools-11053-klein-kurve%c2%ae-wire-stripper-cutter", "https://edmondsonsupply.com/products/klein-tools-11053-klein-kurve%c2%ae-wire-stripper-cutter")</f>
        <v>https://edmondsonsupply.com/products/klein-tools-11053-klein-kurve%c2%ae-wire-stripper-cutter</v>
      </c>
      <c r="C3595" t="s">
        <v>2285</v>
      </c>
      <c r="D3595" t="s">
        <v>4572</v>
      </c>
      <c r="E3595" s="3" t="str">
        <f>HYPERLINK("https://www.amazon.com/Klein-Tools-1019-Connectors-Terminals/dp/B07GFYBW4V/ref=sr_1_8?keywords=Klein+Tools+11053+Klein-Kurve%C2%AE+Wire+Stripper%2FCutter&amp;qid=1695173869&amp;sr=8-8", "https://www.amazon.com/Klein-Tools-1019-Connectors-Terminals/dp/B07GFYBW4V/ref=sr_1_8?keywords=Klein+Tools+11053+Klein-Kurve%C2%AE+Wire+Stripper%2FCutter&amp;qid=1695173869&amp;sr=8-8")</f>
        <v>https://www.amazon.com/Klein-Tools-1019-Connectors-Terminals/dp/B07GFYBW4V/ref=sr_1_8?keywords=Klein+Tools+11053+Klein-Kurve%C2%AE+Wire+Stripper%2FCutter&amp;qid=1695173869&amp;sr=8-8</v>
      </c>
      <c r="F3595" t="s">
        <v>4573</v>
      </c>
      <c r="G3595" t="e">
        <f ca="1">_xludf.IMAGE("https://edmondsonsupply.com/cdn/shop/products/11053.jpg?v=1633030511")</f>
        <v>#NAME?</v>
      </c>
      <c r="H3595" t="e">
        <f ca="1">_xludf.IMAGE("https://m.media-amazon.com/images/I/41CdFsk2lFL._AC_UL320_.jpg")</f>
        <v>#NAME?</v>
      </c>
      <c r="I3595" t="s">
        <v>2288</v>
      </c>
      <c r="J3595">
        <v>20.97</v>
      </c>
      <c r="K3595" s="4">
        <v>0</v>
      </c>
      <c r="L3595">
        <v>4.7</v>
      </c>
      <c r="M3595">
        <v>1802</v>
      </c>
      <c r="O3595" t="s">
        <v>25</v>
      </c>
      <c r="P3595" t="s">
        <v>2289</v>
      </c>
      <c r="Q3595" t="s">
        <v>2290</v>
      </c>
    </row>
    <row r="3596" spans="1:17" ht="15.5" x14ac:dyDescent="0.35">
      <c r="A3596"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3596" s="3" t="str">
        <f>HYPERLINK("https://edmondsonsupply.com/products/klein-tools-11053-klein-kurve%c2%ae-wire-stripper-cutter", "https://edmondsonsupply.com/products/klein-tools-11053-klein-kurve%c2%ae-wire-stripper-cutter")</f>
        <v>https://edmondsonsupply.com/products/klein-tools-11053-klein-kurve%c2%ae-wire-stripper-cutter</v>
      </c>
      <c r="C3596" t="s">
        <v>2285</v>
      </c>
      <c r="D3596" t="s">
        <v>4576</v>
      </c>
      <c r="E3596" s="3" t="str">
        <f>HYPERLINK("https://www.amazon.com/Klein-Kurve-Stripper-Klein-Tools-11053/dp/B000MKH0YC/ref=sr_1_1?keywords=Klein+Tools+11053+Klein-Kurve%C2%AE+Wire+Stripper%2FCutter&amp;qid=1695173869&amp;sr=8-1", "https://www.amazon.com/Klein-Kurve-Stripper-Klein-Tools-11053/dp/B000MKH0YC/ref=sr_1_1?keywords=Klein+Tools+11053+Klein-Kurve%C2%AE+Wire+Stripper%2FCutter&amp;qid=1695173869&amp;sr=8-1")</f>
        <v>https://www.amazon.com/Klein-Kurve-Stripper-Klein-Tools-11053/dp/B000MKH0YC/ref=sr_1_1?keywords=Klein+Tools+11053+Klein-Kurve%C2%AE+Wire+Stripper%2FCutter&amp;qid=1695173869&amp;sr=8-1</v>
      </c>
      <c r="F3596" t="s">
        <v>4577</v>
      </c>
      <c r="G3596" t="e">
        <f ca="1">_xludf.IMAGE("https://edmondsonsupply.com/cdn/shop/products/11053.jpg?v=1633030511")</f>
        <v>#NAME?</v>
      </c>
      <c r="H3596" t="e">
        <f ca="1">_xludf.IMAGE("https://m.media-amazon.com/images/I/51eHDSucYhL._AC_UL320_.jpg")</f>
        <v>#NAME?</v>
      </c>
      <c r="I3596" t="s">
        <v>2288</v>
      </c>
      <c r="J3596">
        <v>20.97</v>
      </c>
      <c r="K3596" s="4">
        <v>0</v>
      </c>
      <c r="L3596">
        <v>4.8</v>
      </c>
      <c r="M3596">
        <v>2989</v>
      </c>
      <c r="O3596" t="s">
        <v>25</v>
      </c>
      <c r="P3596" t="s">
        <v>2289</v>
      </c>
      <c r="Q3596" t="s">
        <v>2290</v>
      </c>
    </row>
    <row r="3597" spans="1:17" ht="15.5" x14ac:dyDescent="0.35">
      <c r="A3597"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3597"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3597" t="s">
        <v>6146</v>
      </c>
      <c r="D3597" t="s">
        <v>7913</v>
      </c>
      <c r="E3597" s="3" t="str">
        <f>HYPERLINK("https://www.amazon.com/Klein-Tools-32288-Screwdriver-Interchangeable/dp/B07WTRTVFS/ref=sr_1_1?keywords=Klein+Tools+32288+8-in-1+Insulated+Interchangeable+Screwdriver+Set&amp;qid=1695173864&amp;sr=8-1", "https://www.amazon.com/Klein-Tools-32288-Screwdriver-Interchangeable/dp/B07WTRTVFS/ref=sr_1_1?keywords=Klein+Tools+32288+8-in-1+Insulated+Interchangeable+Screwdriver+Set&amp;qid=1695173864&amp;sr=8-1")</f>
        <v>https://www.amazon.com/Klein-Tools-32288-Screwdriver-Interchangeable/dp/B07WTRTVFS/ref=sr_1_1?keywords=Klein+Tools+32288+8-in-1+Insulated+Interchangeable+Screwdriver+Set&amp;qid=1695173864&amp;sr=8-1</v>
      </c>
      <c r="F3597" t="s">
        <v>7914</v>
      </c>
      <c r="G3597" t="e">
        <f ca="1">_xludf.IMAGE("https://edmondsonsupply.com/cdn/shop/products/32288.jpg?v=1587146849")</f>
        <v>#NAME?</v>
      </c>
      <c r="H3597" t="e">
        <f ca="1">_xludf.IMAGE("https://m.media-amazon.com/images/I/61+siNL-a8L._AC_UL320_.jpg")</f>
        <v>#NAME?</v>
      </c>
      <c r="I3597" t="s">
        <v>1931</v>
      </c>
      <c r="J3597">
        <v>49.99</v>
      </c>
      <c r="K3597" s="4">
        <v>0</v>
      </c>
      <c r="L3597">
        <v>4.8</v>
      </c>
      <c r="M3597">
        <v>4266</v>
      </c>
      <c r="O3597" t="s">
        <v>25</v>
      </c>
      <c r="P3597" t="s">
        <v>1114</v>
      </c>
      <c r="Q3597" t="s">
        <v>6149</v>
      </c>
    </row>
    <row r="3598" spans="1:17" ht="15.5" x14ac:dyDescent="0.35">
      <c r="A3598" s="3" t="str">
        <f>HYPERLINK("https://edmondsonsupply.com/collections/electricians-tools/products/klein-tools-85077-screwdriver-set-multi-application-7-piece", "https://edmondsonsupply.com/collections/electricians-tools/products/klein-tools-85077-screwdriver-set-multi-application-7-piece")</f>
        <v>https://edmondsonsupply.com/collections/electricians-tools/products/klein-tools-85077-screwdriver-set-multi-application-7-piece</v>
      </c>
      <c r="B3598" s="3" t="str">
        <f>HYPERLINK("https://edmondsonsupply.com/products/klein-tools-85077-screwdriver-set-multi-application-7-piece", "https://edmondsonsupply.com/products/klein-tools-85077-screwdriver-set-multi-application-7-piece")</f>
        <v>https://edmondsonsupply.com/products/klein-tools-85077-screwdriver-set-multi-application-7-piece</v>
      </c>
      <c r="C3598" t="s">
        <v>7915</v>
      </c>
      <c r="D3598" t="s">
        <v>7916</v>
      </c>
      <c r="E3598" s="3" t="str">
        <f>HYPERLINK("https://www.amazon.com/Application-Screwdriver-Klein-Tools-85077/dp/B0002DOL78/ref=sr_1_1?keywords=Klein+Tools+85077+Screwdriver+Set%2C+Multi-Application%2C+7-Piece&amp;qid=1695174266&amp;sr=8-1", "https://www.amazon.com/Application-Screwdriver-Klein-Tools-85077/dp/B0002DOL78/ref=sr_1_1?keywords=Klein+Tools+85077+Screwdriver+Set%2C+Multi-Application%2C+7-Piece&amp;qid=1695174266&amp;sr=8-1")</f>
        <v>https://www.amazon.com/Application-Screwdriver-Klein-Tools-85077/dp/B0002DOL78/ref=sr_1_1?keywords=Klein+Tools+85077+Screwdriver+Set%2C+Multi-Application%2C+7-Piece&amp;qid=1695174266&amp;sr=8-1</v>
      </c>
      <c r="F3598" t="s">
        <v>7917</v>
      </c>
      <c r="G3598" t="e">
        <f ca="1">_xludf.IMAGE("https://edmondsonsupply.com/cdn/shop/products/85077.jpg?v=1633031193")</f>
        <v>#NAME?</v>
      </c>
      <c r="H3598" t="e">
        <f ca="1">_xludf.IMAGE("https://m.media-amazon.com/images/I/617g3He2GNL._AC_UL320_.jpg")</f>
        <v>#NAME?</v>
      </c>
      <c r="I3598" t="s">
        <v>7918</v>
      </c>
      <c r="J3598">
        <v>64.989999999999995</v>
      </c>
      <c r="K3598" s="4">
        <v>0</v>
      </c>
      <c r="L3598">
        <v>4.9000000000000004</v>
      </c>
      <c r="M3598">
        <v>30</v>
      </c>
      <c r="O3598" t="s">
        <v>25</v>
      </c>
      <c r="P3598" t="s">
        <v>7919</v>
      </c>
      <c r="Q3598" t="s">
        <v>7920</v>
      </c>
    </row>
    <row r="3599" spans="1:17" ht="15.5" x14ac:dyDescent="0.35">
      <c r="A3599" s="3" t="str">
        <f>HYPERLINK("https://edmondsonsupply.com/collections/electricians-tools/products/fieldpiece-sc640", "https://edmondsonsupply.com/collections/electricians-tools/products/fieldpiece-sc640")</f>
        <v>https://edmondsonsupply.com/collections/electricians-tools/products/fieldpiece-sc640</v>
      </c>
      <c r="B3599" s="3" t="str">
        <f>HYPERLINK("https://edmondsonsupply.com/products/fieldpiece-sc640", "https://edmondsonsupply.com/products/fieldpiece-sc640")</f>
        <v>https://edmondsonsupply.com/products/fieldpiece-sc640</v>
      </c>
      <c r="C3599" t="s">
        <v>4608</v>
      </c>
      <c r="D3599" t="s">
        <v>4609</v>
      </c>
      <c r="E3599" s="3" t="str">
        <f>HYPERLINK("https://www.amazon.com/Fieldpiece-SC640-Loaded-Multimeter-Flashlight/dp/B00KLYJGJQ/ref=sr_1_1?keywords=Fieldpiece+SC640+Loaded+Clamp+Meter&amp;qid=1695173866&amp;sr=8-1", "https://www.amazon.com/Fieldpiece-SC640-Loaded-Multimeter-Flashlight/dp/B00KLYJGJQ/ref=sr_1_1?keywords=Fieldpiece+SC640+Loaded+Clamp+Meter&amp;qid=1695173866&amp;sr=8-1")</f>
        <v>https://www.amazon.com/Fieldpiece-SC640-Loaded-Multimeter-Flashlight/dp/B00KLYJGJQ/ref=sr_1_1?keywords=Fieldpiece+SC640+Loaded+Clamp+Meter&amp;qid=1695173866&amp;sr=8-1</v>
      </c>
      <c r="F3599" t="s">
        <v>4610</v>
      </c>
      <c r="G3599" t="e">
        <f ca="1">_xludf.IMAGE("https://edmondsonsupply.com/cdn/shop/products/SC640-SRC-product.jpg?v=1633030198")</f>
        <v>#NAME?</v>
      </c>
      <c r="H3599" t="e">
        <f ca="1">_xludf.IMAGE("https://m.media-amazon.com/images/I/61RFJYVGaCL._AC_UY218_.jpg")</f>
        <v>#NAME?</v>
      </c>
      <c r="I3599" t="s">
        <v>4611</v>
      </c>
      <c r="J3599">
        <v>249.9</v>
      </c>
      <c r="K3599" s="4">
        <v>0</v>
      </c>
      <c r="L3599">
        <v>4.8</v>
      </c>
      <c r="M3599">
        <v>244</v>
      </c>
      <c r="O3599" t="s">
        <v>25</v>
      </c>
      <c r="P3599" t="s">
        <v>4612</v>
      </c>
      <c r="Q3599" t="s">
        <v>4613</v>
      </c>
    </row>
    <row r="3600" spans="1:17" ht="15.5" x14ac:dyDescent="0.35">
      <c r="A3600"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3600" s="3" t="str">
        <f>HYPERLINK("https://edmondsonsupply.com/products/klein-tools-rt110-receptacle-tester", "https://edmondsonsupply.com/products/klein-tools-rt110-receptacle-tester")</f>
        <v>https://edmondsonsupply.com/products/klein-tools-rt110-receptacle-tester</v>
      </c>
      <c r="C3600" t="s">
        <v>6021</v>
      </c>
      <c r="D3600" t="s">
        <v>7921</v>
      </c>
      <c r="E3600" s="3" t="str">
        <f>HYPERLINK("https://www.amazon.com/Receptacle-Tester-Klein-Tools-RT110/dp/B01AKX3AYE/ref=sr_1_1?keywords=Klein+Tools+RT110+Receptacle+Tester&amp;qid=1695174267&amp;sr=8-1", "https://www.amazon.com/Receptacle-Tester-Klein-Tools-RT110/dp/B01AKX3AYE/ref=sr_1_1?keywords=Klein+Tools+RT110+Receptacle+Tester&amp;qid=1695174267&amp;sr=8-1")</f>
        <v>https://www.amazon.com/Receptacle-Tester-Klein-Tools-RT110/dp/B01AKX3AYE/ref=sr_1_1?keywords=Klein+Tools+RT110+Receptacle+Tester&amp;qid=1695174267&amp;sr=8-1</v>
      </c>
      <c r="F3600" t="s">
        <v>7922</v>
      </c>
      <c r="G3600" t="e">
        <f ca="1">_xludf.IMAGE("https://edmondsonsupply.com/cdn/shop/products/rt110.jpg?v=1633031036")</f>
        <v>#NAME?</v>
      </c>
      <c r="H3600" t="e">
        <f ca="1">_xludf.IMAGE("https://m.media-amazon.com/images/I/51+w2FODeGL._AC_UL320_.jpg")</f>
        <v>#NAME?</v>
      </c>
      <c r="I3600" t="s">
        <v>1427</v>
      </c>
      <c r="J3600">
        <v>9.9700000000000006</v>
      </c>
      <c r="K3600" s="4">
        <v>0</v>
      </c>
      <c r="L3600">
        <v>4.8</v>
      </c>
      <c r="M3600">
        <v>2442</v>
      </c>
      <c r="O3600" t="s">
        <v>25</v>
      </c>
      <c r="P3600" t="s">
        <v>6024</v>
      </c>
      <c r="Q3600" t="s">
        <v>6025</v>
      </c>
    </row>
    <row r="3601" spans="1:17" ht="15.5" x14ac:dyDescent="0.35">
      <c r="A3601" s="3" t="str">
        <f>HYPERLINK("https://edmondsonsupply.com/collections/electricians-tools/products/klein-tools-44218-cable-skinning-utility-knife-w-replaceable-blade", "https://edmondsonsupply.com/collections/electricians-tools/products/klein-tools-44218-cable-skinning-utility-knife-w-replaceable-blade")</f>
        <v>https://edmondsonsupply.com/collections/electricians-tools/products/klein-tools-44218-cable-skinning-utility-knife-w-replaceable-blade</v>
      </c>
      <c r="B3601" s="3" t="str">
        <f>HYPERLINK("https://edmondsonsupply.com/products/klein-tools-44218-cable-skinning-utility-knife-w-replaceable-blade", "https://edmondsonsupply.com/products/klein-tools-44218-cable-skinning-utility-knife-w-replaceable-blade")</f>
        <v>https://edmondsonsupply.com/products/klein-tools-44218-cable-skinning-utility-knife-w-replaceable-blade</v>
      </c>
      <c r="C3601" t="s">
        <v>4543</v>
      </c>
      <c r="D3601" t="s">
        <v>4139</v>
      </c>
      <c r="E3601" s="3" t="str">
        <f>HYPERLINK("https://www.amazon.com/Replaceable-Mechanism-Klein-Tools-44218/dp/B071YR1Q2L/ref=sr_1_1?keywords=Klein+Tools+44218+Cable+Skinning+Utility+Knife+w%2FReplaceable+Blade&amp;qid=1695173865&amp;sr=8-1", "https://www.amazon.com/Replaceable-Mechanism-Klein-Tools-44218/dp/B071YR1Q2L/ref=sr_1_1?keywords=Klein+Tools+44218+Cable+Skinning+Utility+Knife+w%2FReplaceable+Blade&amp;qid=1695173865&amp;sr=8-1")</f>
        <v>https://www.amazon.com/Replaceable-Mechanism-Klein-Tools-44218/dp/B071YR1Q2L/ref=sr_1_1?keywords=Klein+Tools+44218+Cable+Skinning+Utility+Knife+w%2FReplaceable+Blade&amp;qid=1695173865&amp;sr=8-1</v>
      </c>
      <c r="F3601" t="s">
        <v>4140</v>
      </c>
      <c r="G3601" t="e">
        <f ca="1">_xludf.IMAGE("https://edmondsonsupply.com/cdn/shop/products/44218.jpg?v=1587145352")</f>
        <v>#NAME?</v>
      </c>
      <c r="H3601" t="e">
        <f ca="1">_xludf.IMAGE("https://m.media-amazon.com/images/I/41ToQfPYPnL._AC_UL320_.jpg")</f>
        <v>#NAME?</v>
      </c>
      <c r="I3601" t="s">
        <v>2247</v>
      </c>
      <c r="J3601">
        <v>21.97</v>
      </c>
      <c r="K3601" s="4">
        <v>0</v>
      </c>
      <c r="L3601">
        <v>4.8</v>
      </c>
      <c r="M3601">
        <v>3348</v>
      </c>
      <c r="O3601" t="s">
        <v>25</v>
      </c>
      <c r="P3601" t="s">
        <v>4544</v>
      </c>
      <c r="Q3601" t="s">
        <v>4545</v>
      </c>
    </row>
    <row r="3602" spans="1:17" ht="15.5" x14ac:dyDescent="0.35">
      <c r="A3602" s="3" t="str">
        <f>HYPERLINK("https://edmondsonsupply.com/collections/electricians-tools/products/klein-tools-13231-replacement-bit-1-8-slotted-and-schrader%C2%AE", "https://edmondsonsupply.com/collections/electricians-tools/products/klein-tools-13231-replacement-bit-1-8-slotted-and-schrader%C2%AE")</f>
        <v>https://edmondsonsupply.com/collections/electricians-tools/products/klein-tools-13231-replacement-bit-1-8-slotted-and-schrader%C2%AE</v>
      </c>
      <c r="B3602" s="3" t="str">
        <f>HYPERLINK("https://edmondsonsupply.com/products/klein-tools-13231-replacement-bit-1-8-slotted-and-schrader%c2%ae", "https://edmondsonsupply.com/products/klein-tools-13231-replacement-bit-1-8-slotted-and-schrader%c2%ae")</f>
        <v>https://edmondsonsupply.com/products/klein-tools-13231-replacement-bit-1-8-slotted-and-schrader%c2%ae</v>
      </c>
      <c r="C3602" t="s">
        <v>4614</v>
      </c>
      <c r="D3602" t="s">
        <v>4615</v>
      </c>
      <c r="E3602" s="3" t="str">
        <f>HYPERLINK("https://www.amazon.com/Replacement-Schrader-Klein-Tools-13231/dp/B0791D1VPP/ref=sr_1_1?keywords=Klein+Tools+13231+Replacement+Bits%2C+1%2F8-Inch+Slotted+and+Schrader%C2%AE&amp;qid=1695173866&amp;sr=8-1", "https://www.amazon.com/Replacement-Schrader-Klein-Tools-13231/dp/B0791D1VPP/ref=sr_1_1?keywords=Klein+Tools+13231+Replacement+Bits%2C+1%2F8-Inch+Slotted+and+Schrader%C2%AE&amp;qid=1695173866&amp;sr=8-1")</f>
        <v>https://www.amazon.com/Replacement-Schrader-Klein-Tools-13231/dp/B0791D1VPP/ref=sr_1_1?keywords=Klein+Tools+13231+Replacement+Bits%2C+1%2F8-Inch+Slotted+and+Schrader%C2%AE&amp;qid=1695173866&amp;sr=8-1</v>
      </c>
      <c r="F3602" t="s">
        <v>4616</v>
      </c>
      <c r="G3602" t="e">
        <f ca="1">_xludf.IMAGE("https://edmondsonsupply.com/cdn/shop/products/13231.jpg?v=1587143809")</f>
        <v>#NAME?</v>
      </c>
      <c r="H3602" t="e">
        <f ca="1">_xludf.IMAGE("https://m.media-amazon.com/images/I/51Ap07mXRLL._AC_UL320_.jpg")</f>
        <v>#NAME?</v>
      </c>
      <c r="I3602" t="s">
        <v>4617</v>
      </c>
      <c r="J3602">
        <v>6.49</v>
      </c>
      <c r="K3602" s="4">
        <v>0</v>
      </c>
      <c r="L3602">
        <v>4.7</v>
      </c>
      <c r="M3602">
        <v>448</v>
      </c>
      <c r="O3602" t="s">
        <v>25</v>
      </c>
      <c r="P3602" t="s">
        <v>4618</v>
      </c>
      <c r="Q3602" t="s">
        <v>4619</v>
      </c>
    </row>
    <row r="3603" spans="1:17" ht="15.5" x14ac:dyDescent="0.35">
      <c r="A3603"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3603" s="3" t="str">
        <f>HYPERLINK("https://edmondsonsupply.com/products/klein-tools-630-3-8-3-8-inch-nut-driver-with-3-inch-hollow-shaft", "https://edmondsonsupply.com/products/klein-tools-630-3-8-3-8-inch-nut-driver-with-3-inch-hollow-shaft")</f>
        <v>https://edmondsonsupply.com/products/klein-tools-630-3-8-3-8-inch-nut-driver-with-3-inch-hollow-shaft</v>
      </c>
      <c r="C3603" t="s">
        <v>6150</v>
      </c>
      <c r="D3603" t="s">
        <v>7923</v>
      </c>
      <c r="E3603" s="3" t="str">
        <f>HYPERLINK("https://www.amazon.com/Capri-Tools-Kontour-8-Inch-Driver/dp/B079G82XNX/ref=sr_1_6?keywords=Klein+Tools+630-3%2F8+3%2F8-Inch+Nut+Driver+with+3-Inch+Hollow+Shaft&amp;qid=1695174289&amp;sr=8-6", "https://www.amazon.com/Capri-Tools-Kontour-8-Inch-Driver/dp/B079G82XNX/ref=sr_1_6?keywords=Klein+Tools+630-3%2F8+3%2F8-Inch+Nut+Driver+with+3-Inch+Hollow+Shaft&amp;qid=1695174289&amp;sr=8-6")</f>
        <v>https://www.amazon.com/Capri-Tools-Kontour-8-Inch-Driver/dp/B079G82XNX/ref=sr_1_6?keywords=Klein+Tools+630-3%2F8+3%2F8-Inch+Nut+Driver+with+3-Inch+Hollow+Shaft&amp;qid=1695174289&amp;sr=8-6</v>
      </c>
      <c r="F3603" t="s">
        <v>7924</v>
      </c>
      <c r="G3603" t="e">
        <f ca="1">_xludf.IMAGE("https://edmondsonsupply.com/cdn/shop/products/630-1-2_e23f9fbd-a282-44d7-b743-2cfe0f84edfa.jpg?v=1633030906")</f>
        <v>#NAME?</v>
      </c>
      <c r="H3603" t="e">
        <f ca="1">_xludf.IMAGE("https://m.media-amazon.com/images/I/61d32Cf79OL._AC_UL320_.jpg")</f>
        <v>#NAME?</v>
      </c>
      <c r="I3603" t="s">
        <v>924</v>
      </c>
      <c r="J3603">
        <v>8.99</v>
      </c>
      <c r="K3603" s="4">
        <v>0</v>
      </c>
      <c r="L3603">
        <v>4.5</v>
      </c>
      <c r="M3603">
        <v>62</v>
      </c>
      <c r="O3603" t="s">
        <v>25</v>
      </c>
      <c r="P3603" t="s">
        <v>6153</v>
      </c>
      <c r="Q3603" t="s">
        <v>6154</v>
      </c>
    </row>
    <row r="3604" spans="1:17" ht="15.5" x14ac:dyDescent="0.35">
      <c r="A3604"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3604"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3604" t="s">
        <v>6824</v>
      </c>
      <c r="D3604" t="s">
        <v>7925</v>
      </c>
      <c r="E3604" s="3" t="str">
        <f>HYPERLINK("https://www.amazon.com/Klein-Tools-ET310-Circuit-Integrated/dp/B07QNMCVWP/ref=sr_1_2?keywords=Klein+Tools+ET310+Digital+Circuit+Breaker+Finder+with+GFCI+Outlet+Tester&amp;qid=1695173862&amp;sr=8-2", "https://www.amazon.com/Klein-Tools-ET310-Circuit-Integrated/dp/B07QNMCVWP/ref=sr_1_2?keywords=Klein+Tools+ET310+Digital+Circuit+Breaker+Finder+with+GFCI+Outlet+Tester&amp;qid=1695173862&amp;sr=8-2")</f>
        <v>https://www.amazon.com/Klein-Tools-ET310-Circuit-Integrated/dp/B07QNMCVWP/ref=sr_1_2?keywords=Klein+Tools+ET310+Digital+Circuit+Breaker+Finder+with+GFCI+Outlet+Tester&amp;qid=1695173862&amp;sr=8-2</v>
      </c>
      <c r="F3604" t="s">
        <v>7926</v>
      </c>
      <c r="G3604" t="e">
        <f ca="1">_xludf.IMAGE("https://edmondsonsupply.com/cdn/shop/products/et310_c.jpg?v=1646963918")</f>
        <v>#NAME?</v>
      </c>
      <c r="H3604" t="e">
        <f ca="1">_xludf.IMAGE("https://m.media-amazon.com/images/I/61pw8oA02AL._AC_UL320_.jpg")</f>
        <v>#NAME?</v>
      </c>
      <c r="I3604" t="s">
        <v>380</v>
      </c>
      <c r="J3604">
        <v>49.97</v>
      </c>
      <c r="K3604" s="4">
        <v>0</v>
      </c>
      <c r="L3604">
        <v>4.7</v>
      </c>
      <c r="M3604">
        <v>19569</v>
      </c>
      <c r="O3604" t="s">
        <v>25</v>
      </c>
      <c r="P3604" t="s">
        <v>6825</v>
      </c>
      <c r="Q3604" t="s">
        <v>6826</v>
      </c>
    </row>
    <row r="3605" spans="1:17" ht="15.5" x14ac:dyDescent="0.35">
      <c r="A3605"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3605"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605" t="s">
        <v>919</v>
      </c>
      <c r="D3605" t="s">
        <v>927</v>
      </c>
      <c r="E3605" s="3" t="str">
        <f>HYPERLINK("https://www.amazon.com/Klein-60470-Protection-Anti-Fog-Resistant/dp/B0B69KPRPF/ref=sr_1_1?keywords=Klein+Tools+60470+Professional+Full-Frame+Gasket+Safety+Glasses%2C+Clear+Lens&amp;qid=1695174156&amp;sr=8-1", "https://www.amazon.com/Klein-60470-Protection-Anti-Fog-Resistant/dp/B0B69KPRPF/ref=sr_1_1?keywords=Klein+Tools+60470+Professional+Full-Frame+Gasket+Safety+Glasses%2C+Clear+Lens&amp;qid=1695174156&amp;sr=8-1")</f>
        <v>https://www.amazon.com/Klein-60470-Protection-Anti-Fog-Resistant/dp/B0B69KPRPF/ref=sr_1_1?keywords=Klein+Tools+60470+Professional+Full-Frame+Gasket+Safety+Glasses%2C+Clear+Lens&amp;qid=1695174156&amp;sr=8-1</v>
      </c>
      <c r="F3605" t="s">
        <v>928</v>
      </c>
      <c r="G3605" t="e">
        <f ca="1">_xludf.IMAGE("https://edmondsonsupply.com/cdn/shop/products/60470.jpg?v=1663260659")</f>
        <v>#NAME?</v>
      </c>
      <c r="H3605" t="e">
        <f ca="1">_xludf.IMAGE("https://m.media-amazon.com/images/I/51TkfiRMYgL._AC_UL320_.jpg")</f>
        <v>#NAME?</v>
      </c>
      <c r="I3605" t="s">
        <v>252</v>
      </c>
      <c r="J3605">
        <v>15.99</v>
      </c>
      <c r="K3605" s="4">
        <v>0</v>
      </c>
      <c r="L3605">
        <v>4</v>
      </c>
      <c r="M3605">
        <v>29</v>
      </c>
      <c r="O3605" t="s">
        <v>25</v>
      </c>
      <c r="P3605" t="s">
        <v>854</v>
      </c>
      <c r="Q3605" t="s">
        <v>920</v>
      </c>
    </row>
    <row r="3606" spans="1:17" ht="15.5" x14ac:dyDescent="0.35">
      <c r="A3606"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3606" s="3" t="str">
        <f>HYPERLINK("https://edmondsonsupply.com/products/klein-tools-vdv526-200-lan-scout-%c2%ae-jr-2-cable-tester", "https://edmondsonsupply.com/products/klein-tools-vdv526-200-lan-scout-%c2%ae-jr-2-cable-tester")</f>
        <v>https://edmondsonsupply.com/products/klein-tools-vdv526-200-lan-scout-%c2%ae-jr-2-cable-tester</v>
      </c>
      <c r="C3606" t="s">
        <v>6500</v>
      </c>
      <c r="D3606" t="s">
        <v>7927</v>
      </c>
      <c r="E3606" s="3" t="str">
        <f>HYPERLINK("https://www.amazon.com/Ethernet-Connections-Klein-Tools-VDV526-200/dp/B0925826M2/ref=sr_1_1?keywords=Klein+Tools+VDV526-200+LAN+Scout+%C2%AE+Jr.+2+Cable+Tester&amp;qid=1695174153&amp;sr=8-1", "https://www.amazon.com/Ethernet-Connections-Klein-Tools-VDV526-200/dp/B0925826M2/ref=sr_1_1?keywords=Klein+Tools+VDV526-200+LAN+Scout+%C2%AE+Jr.+2+Cable+Tester&amp;qid=1695174153&amp;sr=8-1")</f>
        <v>https://www.amazon.com/Ethernet-Connections-Klein-Tools-VDV526-200/dp/B0925826M2/ref=sr_1_1?keywords=Klein+Tools+VDV526-200+LAN+Scout+%C2%AE+Jr.+2+Cable+Tester&amp;qid=1695174153&amp;sr=8-1</v>
      </c>
      <c r="F3606" t="s">
        <v>7928</v>
      </c>
      <c r="G3606" t="e">
        <f ca="1">_xludf.IMAGE("https://edmondsonsupply.com/cdn/shop/products/vdv526200.jpg?v=1663689949")</f>
        <v>#NAME?</v>
      </c>
      <c r="H3606" t="e">
        <f ca="1">_xludf.IMAGE("https://m.media-amazon.com/images/I/519D2efRZyL._AC_UY218_.jpg")</f>
        <v>#NAME?</v>
      </c>
      <c r="I3606" t="s">
        <v>3359</v>
      </c>
      <c r="J3606">
        <v>54.97</v>
      </c>
      <c r="K3606" s="4">
        <v>0</v>
      </c>
      <c r="L3606">
        <v>4.8</v>
      </c>
      <c r="M3606">
        <v>889</v>
      </c>
      <c r="O3606" t="s">
        <v>25</v>
      </c>
      <c r="P3606" t="s">
        <v>6503</v>
      </c>
      <c r="Q3606" t="s">
        <v>6504</v>
      </c>
    </row>
    <row r="3607" spans="1:17" ht="15.5" x14ac:dyDescent="0.35">
      <c r="A3607"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3607" s="3" t="str">
        <f>HYPERLINK("https://edmondsonsupply.com/products/klein-tools-d2000-9ne-linemans-pliers-9-inch", "https://edmondsonsupply.com/products/klein-tools-d2000-9ne-linemans-pliers-9-inch")</f>
        <v>https://edmondsonsupply.com/products/klein-tools-d2000-9ne-linemans-pliers-9-inch</v>
      </c>
      <c r="C3607" t="s">
        <v>6770</v>
      </c>
      <c r="D3607" t="s">
        <v>7929</v>
      </c>
      <c r="E3607" s="3" t="str">
        <f>HYPERLINK("https://www.amazon.com/Klein-Tools-D2000-9NE-Linemans-Electrical/dp/B0031ERRNU/ref=sr_1_1?keywords=Klein+Tools+D2000-9NE+Linemans+Pliers%2C+9-Inch&amp;qid=1695174298&amp;sr=8-1", "https://www.amazon.com/Klein-Tools-D2000-9NE-Linemans-Electrical/dp/B0031ERRNU/ref=sr_1_1?keywords=Klein+Tools+D2000-9NE+Linemans+Pliers%2C+9-Inch&amp;qid=1695174298&amp;sr=8-1")</f>
        <v>https://www.amazon.com/Klein-Tools-D2000-9NE-Linemans-Electrical/dp/B0031ERRNU/ref=sr_1_1?keywords=Klein+Tools+D2000-9NE+Linemans+Pliers%2C+9-Inch&amp;qid=1695174298&amp;sr=8-1</v>
      </c>
      <c r="F3607" t="s">
        <v>7930</v>
      </c>
      <c r="G3607" t="e">
        <f ca="1">_xludf.IMAGE("https://edmondsonsupply.com/cdn/shop/products/d20009ne.jpg?v=1633030816")</f>
        <v>#NAME?</v>
      </c>
      <c r="H3607" t="e">
        <f ca="1">_xludf.IMAGE("https://m.media-amazon.com/images/I/319FPD8uLZL._AC_UL320_.jpg")</f>
        <v>#NAME?</v>
      </c>
      <c r="I3607" t="s">
        <v>198</v>
      </c>
      <c r="J3607">
        <v>39.99</v>
      </c>
      <c r="K3607" s="4">
        <v>0</v>
      </c>
      <c r="L3607">
        <v>4.8</v>
      </c>
      <c r="M3607">
        <v>1734</v>
      </c>
      <c r="O3607" t="s">
        <v>25</v>
      </c>
      <c r="P3607" t="s">
        <v>6773</v>
      </c>
      <c r="Q3607" t="s">
        <v>6774</v>
      </c>
    </row>
    <row r="3608" spans="1:17" ht="15.5" x14ac:dyDescent="0.35">
      <c r="A3608"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3608" s="3" t="str">
        <f>HYPERLINK("https://edmondsonsupply.com/products/klein-tools-d2000-9ne-linemans-pliers-9-inch", "https://edmondsonsupply.com/products/klein-tools-d2000-9ne-linemans-pliers-9-inch")</f>
        <v>https://edmondsonsupply.com/products/klein-tools-d2000-9ne-linemans-pliers-9-inch</v>
      </c>
      <c r="C3608" t="s">
        <v>6770</v>
      </c>
      <c r="D3608" t="s">
        <v>5136</v>
      </c>
      <c r="E3608" s="3" t="str">
        <f>HYPERLINK("https://www.amazon.com/Linemans-Streamlined-Klein-Tools-J213-9NE/dp/B001TKF1BS/ref=sr_1_4?keywords=Klein+Tools+D2000-9NE+Linemans+Pliers%2C+9-Inch&amp;qid=1695174298&amp;sr=8-4", "https://www.amazon.com/Linemans-Streamlined-Klein-Tools-J213-9NE/dp/B001TKF1BS/ref=sr_1_4?keywords=Klein+Tools+D2000-9NE+Linemans+Pliers%2C+9-Inch&amp;qid=1695174298&amp;sr=8-4")</f>
        <v>https://www.amazon.com/Linemans-Streamlined-Klein-Tools-J213-9NE/dp/B001TKF1BS/ref=sr_1_4?keywords=Klein+Tools+D2000-9NE+Linemans+Pliers%2C+9-Inch&amp;qid=1695174298&amp;sr=8-4</v>
      </c>
      <c r="F3608" t="s">
        <v>5137</v>
      </c>
      <c r="G3608" t="e">
        <f ca="1">_xludf.IMAGE("https://edmondsonsupply.com/cdn/shop/products/d20009ne.jpg?v=1633030816")</f>
        <v>#NAME?</v>
      </c>
      <c r="H3608" t="e">
        <f ca="1">_xludf.IMAGE("https://m.media-amazon.com/images/I/41zk0Z6-1BL._AC_UL320_.jpg")</f>
        <v>#NAME?</v>
      </c>
      <c r="I3608" t="s">
        <v>198</v>
      </c>
      <c r="J3608">
        <v>39.99</v>
      </c>
      <c r="K3608" s="4">
        <v>0</v>
      </c>
      <c r="L3608">
        <v>4.8</v>
      </c>
      <c r="M3608">
        <v>746</v>
      </c>
      <c r="O3608" t="s">
        <v>25</v>
      </c>
      <c r="P3608" t="s">
        <v>6773</v>
      </c>
      <c r="Q3608" t="s">
        <v>6774</v>
      </c>
    </row>
    <row r="3609" spans="1:17" ht="15.5" x14ac:dyDescent="0.35">
      <c r="A3609"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3609"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3609" t="s">
        <v>6861</v>
      </c>
      <c r="D3609" t="s">
        <v>7931</v>
      </c>
      <c r="E3609" s="3" t="str">
        <f>HYPERLINK("https://www.amazon.com/Klein-Tools-CL220-Auto-Ranging-Temperature/dp/B08CFWMYYY/ref=sr_1_1?keywords=Klein+Tools+CL220+Digital+Clamp+Meter%2C+AC+Auto-Ranging+400+Amp+with+Temp&amp;qid=1695174305&amp;sr=8-1", "https://www.amazon.com/Klein-Tools-CL220-Auto-Ranging-Temperature/dp/B08CFWMYYY/ref=sr_1_1?keywords=Klein+Tools+CL220+Digital+Clamp+Meter%2C+AC+Auto-Ranging+400+Amp+with+Temp&amp;qid=1695174305&amp;sr=8-1")</f>
        <v>https://www.amazon.com/Klein-Tools-CL220-Auto-Ranging-Temperature/dp/B08CFWMYYY/ref=sr_1_1?keywords=Klein+Tools+CL220+Digital+Clamp+Meter%2C+AC+Auto-Ranging+400+Amp+with+Temp&amp;qid=1695174305&amp;sr=8-1</v>
      </c>
      <c r="F3609" t="s">
        <v>7932</v>
      </c>
      <c r="G3609" t="e">
        <f ca="1">_xludf.IMAGE("https://edmondsonsupply.com/cdn/shop/products/cl220.jpg?v=1633030821")</f>
        <v>#NAME?</v>
      </c>
      <c r="H3609" t="e">
        <f ca="1">_xludf.IMAGE("https://m.media-amazon.com/images/I/61PTwVjeWtL._AC_UY218_.jpg")</f>
        <v>#NAME?</v>
      </c>
      <c r="I3609" t="s">
        <v>356</v>
      </c>
      <c r="J3609">
        <v>69.97</v>
      </c>
      <c r="K3609" s="4">
        <v>0</v>
      </c>
      <c r="L3609">
        <v>4.7</v>
      </c>
      <c r="M3609">
        <v>811</v>
      </c>
      <c r="O3609" t="s">
        <v>25</v>
      </c>
      <c r="P3609" t="s">
        <v>6864</v>
      </c>
      <c r="Q3609" t="s">
        <v>6865</v>
      </c>
    </row>
    <row r="3610" spans="1:17" ht="15.5" x14ac:dyDescent="0.35">
      <c r="A3610" s="3" t="str">
        <f>HYPERLINK("https://edmondsonsupply.com/collections/electricians-tools/products/klein-tools-60344-hinged-gel-knee-pads", "https://edmondsonsupply.com/collections/electricians-tools/products/klein-tools-60344-hinged-gel-knee-pads")</f>
        <v>https://edmondsonsupply.com/collections/electricians-tools/products/klein-tools-60344-hinged-gel-knee-pads</v>
      </c>
      <c r="B3610" s="3" t="str">
        <f>HYPERLINK("https://edmondsonsupply.com/products/klein-tools-60344-hinged-gel-knee-pads", "https://edmondsonsupply.com/products/klein-tools-60344-hinged-gel-knee-pads")</f>
        <v>https://edmondsonsupply.com/products/klein-tools-60344-hinged-gel-knee-pads</v>
      </c>
      <c r="C3610" t="s">
        <v>1125</v>
      </c>
      <c r="D3610" t="s">
        <v>1126</v>
      </c>
      <c r="E3610" s="3" t="str">
        <f>HYPERLINK("https://www.amazon.com/Quick-Release-Adjustable-Klein-Tools-60344/dp/B099HB24TD/ref=sr_1_1?keywords=Klein+Tools+60344+Hinged+Gel+Knee+Pads&amp;qid=1695174150&amp;sr=8-1", "https://www.amazon.com/Quick-Release-Adjustable-Klein-Tools-60344/dp/B099HB24TD/ref=sr_1_1?keywords=Klein+Tools+60344+Hinged+Gel+Knee+Pads&amp;qid=1695174150&amp;sr=8-1")</f>
        <v>https://www.amazon.com/Quick-Release-Adjustable-Klein-Tools-60344/dp/B099HB24TD/ref=sr_1_1?keywords=Klein+Tools+60344+Hinged+Gel+Knee+Pads&amp;qid=1695174150&amp;sr=8-1</v>
      </c>
      <c r="F3610" t="s">
        <v>1127</v>
      </c>
      <c r="G3610" t="e">
        <f ca="1">_xludf.IMAGE("https://edmondsonsupply.com/cdn/shop/products/60344.jpg?v=1664386765")</f>
        <v>#NAME?</v>
      </c>
      <c r="H3610" t="e">
        <f ca="1">_xludf.IMAGE("https://m.media-amazon.com/images/I/61a1YyyaXNS._AC_UL320_.jpg")</f>
        <v>#NAME?</v>
      </c>
      <c r="I3610" t="s">
        <v>261</v>
      </c>
      <c r="J3610">
        <v>35.99</v>
      </c>
      <c r="K3610" s="4">
        <v>0</v>
      </c>
      <c r="L3610">
        <v>4.4000000000000004</v>
      </c>
      <c r="M3610">
        <v>289</v>
      </c>
      <c r="O3610" t="s">
        <v>25</v>
      </c>
      <c r="P3610" t="s">
        <v>1128</v>
      </c>
      <c r="Q3610" t="s">
        <v>1129</v>
      </c>
    </row>
    <row r="3611" spans="1:17" ht="15.5" x14ac:dyDescent="0.35">
      <c r="A3611" s="3" t="str">
        <f>HYPERLINK("https://edmondsonsupply.com/collections/electricians-tools/products/klein-tools-d504-7-classic-klaw%E2%84%A2-pump-pliers-7-inch", "https://edmondsonsupply.com/collections/electricians-tools/products/klein-tools-d504-7-classic-klaw%E2%84%A2-pump-pliers-7-inch")</f>
        <v>https://edmondsonsupply.com/collections/electricians-tools/products/klein-tools-d504-7-classic-klaw%E2%84%A2-pump-pliers-7-inch</v>
      </c>
      <c r="B3611" s="3" t="str">
        <f>HYPERLINK("https://edmondsonsupply.com/products/klein-tools-d504-7-classic-klaw%e2%84%a2-pump-pliers-7-inch", "https://edmondsonsupply.com/products/klein-tools-d504-7-classic-klaw%e2%84%a2-pump-pliers-7-inch")</f>
        <v>https://edmondsonsupply.com/products/klein-tools-d504-7-classic-klaw%e2%84%a2-pump-pliers-7-inch</v>
      </c>
      <c r="C3611" t="s">
        <v>4489</v>
      </c>
      <c r="D3611" t="s">
        <v>4490</v>
      </c>
      <c r="E3611" s="3" t="str">
        <f>HYPERLINK("https://www.amazon.com/Classic-Pliers-Klein-Tools-D504-7/dp/B00BJ4OSTA/ref=sr_1_1?keywords=Klein+Tools+D504-7+Classic+Klaw%E2%84%A2+Pump+Pliers%2C+7-Inch&amp;qid=1695173926&amp;sr=8-1", "https://www.amazon.com/Classic-Pliers-Klein-Tools-D504-7/dp/B00BJ4OSTA/ref=sr_1_1?keywords=Klein+Tools+D504-7+Classic+Klaw%E2%84%A2+Pump+Pliers%2C+7-Inch&amp;qid=1695173926&amp;sr=8-1")</f>
        <v>https://www.amazon.com/Classic-Pliers-Klein-Tools-D504-7/dp/B00BJ4OSTA/ref=sr_1_1?keywords=Klein+Tools+D504-7+Classic+Klaw%E2%84%A2+Pump+Pliers%2C+7-Inch&amp;qid=1695173926&amp;sr=8-1</v>
      </c>
      <c r="F3611" t="s">
        <v>4491</v>
      </c>
      <c r="G3611" t="e">
        <f ca="1">_xludf.IMAGE("https://edmondsonsupply.com/cdn/shop/products/d504-7.jpg?v=1633030267")</f>
        <v>#NAME?</v>
      </c>
      <c r="H3611" t="e">
        <f ca="1">_xludf.IMAGE("https://m.media-amazon.com/images/I/51kiGD+1-6L._AC_UL320_.jpg")</f>
        <v>#NAME?</v>
      </c>
      <c r="I3611" t="s">
        <v>26</v>
      </c>
      <c r="J3611">
        <v>29.99</v>
      </c>
      <c r="K3611" s="4">
        <v>0</v>
      </c>
      <c r="L3611">
        <v>4.5999999999999996</v>
      </c>
      <c r="M3611">
        <v>391</v>
      </c>
      <c r="O3611" t="s">
        <v>25</v>
      </c>
      <c r="P3611" t="s">
        <v>4492</v>
      </c>
      <c r="Q3611" t="s">
        <v>4493</v>
      </c>
    </row>
    <row r="3612" spans="1:17" ht="15.5" x14ac:dyDescent="0.35">
      <c r="A3612" s="3" t="str">
        <f>HYPERLINK("https://edmondsonsupply.com/collections/electricians-tools/products/fieldpiece-sc680", "https://edmondsonsupply.com/collections/electricians-tools/products/fieldpiece-sc680")</f>
        <v>https://edmondsonsupply.com/collections/electricians-tools/products/fieldpiece-sc680</v>
      </c>
      <c r="B3612" s="3" t="str">
        <f>HYPERLINK("https://edmondsonsupply.com/products/fieldpiece-sc680", "https://edmondsonsupply.com/products/fieldpiece-sc680")</f>
        <v>https://edmondsonsupply.com/products/fieldpiece-sc680</v>
      </c>
      <c r="C3612" t="s">
        <v>4702</v>
      </c>
      <c r="D3612" t="s">
        <v>4703</v>
      </c>
      <c r="E3612" s="3" t="str">
        <f>HYPERLINK("https://www.amazon.com/Fieldpiece-SC680-Wireless-Power-Clamp/dp/B0839M1W9X/ref=sr_1_1?keywords=Fieldpiece+SC680+Wireless+Power+Clamp+Meter&amp;qid=1695173853&amp;sr=8-1", "https://www.amazon.com/Fieldpiece-SC680-Wireless-Power-Clamp/dp/B0839M1W9X/ref=sr_1_1?keywords=Fieldpiece+SC680+Wireless+Power+Clamp+Meter&amp;qid=1695173853&amp;sr=8-1")</f>
        <v>https://www.amazon.com/Fieldpiece-SC680-Wireless-Power-Clamp/dp/B0839M1W9X/ref=sr_1_1?keywords=Fieldpiece+SC680+Wireless+Power+Clamp+Meter&amp;qid=1695173853&amp;sr=8-1</v>
      </c>
      <c r="F3612" t="s">
        <v>4704</v>
      </c>
      <c r="G3612" t="e">
        <f ca="1">_xludf.IMAGE("https://edmondsonsupply.com/cdn/shop/products/SC680-SRC-Product.jpg?v=1633030204")</f>
        <v>#NAME?</v>
      </c>
      <c r="H3612" t="e">
        <f ca="1">_xludf.IMAGE("https://m.media-amazon.com/images/I/41OLjC+UioL._AC_UY218_.jpg")</f>
        <v>#NAME?</v>
      </c>
      <c r="I3612" t="s">
        <v>4705</v>
      </c>
      <c r="J3612">
        <v>385.9</v>
      </c>
      <c r="K3612" s="4">
        <v>0</v>
      </c>
      <c r="L3612">
        <v>4.7</v>
      </c>
      <c r="M3612">
        <v>202</v>
      </c>
      <c r="O3612" t="s">
        <v>25</v>
      </c>
      <c r="P3612" t="s">
        <v>4706</v>
      </c>
      <c r="Q3612" t="s">
        <v>4707</v>
      </c>
    </row>
    <row r="3613" spans="1:17" ht="15.5" x14ac:dyDescent="0.35">
      <c r="A3613" s="3" t="str">
        <f>HYPERLINK("https://edmondsonsupply.com/collections/electricians-tools/products/klein-tools-31905-hole-saw-arbor-with-adapter-3-8-inch", "https://edmondsonsupply.com/collections/electricians-tools/products/klein-tools-31905-hole-saw-arbor-with-adapter-3-8-inch")</f>
        <v>https://edmondsonsupply.com/collections/electricians-tools/products/klein-tools-31905-hole-saw-arbor-with-adapter-3-8-inch</v>
      </c>
      <c r="B3613" s="3" t="str">
        <f>HYPERLINK("https://edmondsonsupply.com/products/klein-tools-31905-hole-saw-arbor-with-adapter-3-8-inch", "https://edmondsonsupply.com/products/klein-tools-31905-hole-saw-arbor-with-adapter-3-8-inch")</f>
        <v>https://edmondsonsupply.com/products/klein-tools-31905-hole-saw-arbor-with-adapter-3-8-inch</v>
      </c>
      <c r="C3613" t="s">
        <v>6866</v>
      </c>
      <c r="D3613" t="s">
        <v>6866</v>
      </c>
      <c r="E3613" s="3" t="str">
        <f>HYPERLINK("https://www.amazon.com/Adapter-8-Inch-Klein-Tools-31905/dp/B019874KZ6/ref=sr_1_1?keywords=Klein+Tools+31905+Hole+Saw+Arbor+with+Adapter%2C+3%2F8-Inch&amp;qid=1695174150&amp;sr=8-1", "https://www.amazon.com/Adapter-8-Inch-Klein-Tools-31905/dp/B019874KZ6/ref=sr_1_1?keywords=Klein+Tools+31905+Hole+Saw+Arbor+with+Adapter%2C+3%2F8-Inch&amp;qid=1695174150&amp;sr=8-1")</f>
        <v>https://www.amazon.com/Adapter-8-Inch-Klein-Tools-31905/dp/B019874KZ6/ref=sr_1_1?keywords=Klein+Tools+31905+Hole+Saw+Arbor+with+Adapter%2C+3%2F8-Inch&amp;qid=1695174150&amp;sr=8-1</v>
      </c>
      <c r="F3613" t="s">
        <v>7933</v>
      </c>
      <c r="G3613" t="e">
        <f ca="1">_xludf.IMAGE("https://edmondsonsupply.com/cdn/shop/products/31905.jpg?v=1665602746")</f>
        <v>#NAME?</v>
      </c>
      <c r="H3613" t="e">
        <f ca="1">_xludf.IMAGE("https://m.media-amazon.com/images/I/41tjgdmtGhL._AC_UL320_.jpg")</f>
        <v>#NAME?</v>
      </c>
      <c r="I3613" t="s">
        <v>924</v>
      </c>
      <c r="J3613">
        <v>8.99</v>
      </c>
      <c r="K3613" s="4">
        <v>0</v>
      </c>
      <c r="L3613">
        <v>4.7</v>
      </c>
      <c r="M3613">
        <v>39</v>
      </c>
      <c r="O3613" t="s">
        <v>25</v>
      </c>
      <c r="P3613" t="s">
        <v>6868</v>
      </c>
      <c r="Q3613" t="s">
        <v>6869</v>
      </c>
    </row>
    <row r="3614" spans="1:17" ht="15.5" x14ac:dyDescent="0.35">
      <c r="A3614" s="3" t="str">
        <f>HYPERLINK("https://edmondsonsupply.com/collections/electricians-tools/products/klein-tools-60172-pro-safety-glasses-wide-lens-2-pack", "https://edmondsonsupply.com/collections/electricians-tools/products/klein-tools-60172-pro-safety-glasses-wide-lens-2-pack")</f>
        <v>https://edmondsonsupply.com/collections/electricians-tools/products/klein-tools-60172-pro-safety-glasses-wide-lens-2-pack</v>
      </c>
      <c r="B3614" s="3" t="str">
        <f>HYPERLINK("https://edmondsonsupply.com/products/klein-tools-60172-pro-safety-glasses-wide-lens-2-pack", "https://edmondsonsupply.com/products/klein-tools-60172-pro-safety-glasses-wide-lens-2-pack")</f>
        <v>https://edmondsonsupply.com/products/klein-tools-60172-pro-safety-glasses-wide-lens-2-pack</v>
      </c>
      <c r="C3614" t="s">
        <v>1194</v>
      </c>
      <c r="D3614" t="s">
        <v>1195</v>
      </c>
      <c r="E3614" s="3" t="str">
        <f>HYPERLINK("https://www.amazon.com/Klein-Tools-60172-Professional-Protective/dp/B08B6ZZY8D/ref=sr_1_2?keywords=Klein+Tools+60172+PRO+Safety+Glasses%2C+Wide+Lens%2C+2-Pack&amp;qid=1695174299&amp;sr=8-2", "https://www.amazon.com/Klein-Tools-60172-Professional-Protective/dp/B08B6ZZY8D/ref=sr_1_2?keywords=Klein+Tools+60172+PRO+Safety+Glasses%2C+Wide+Lens%2C+2-Pack&amp;qid=1695174299&amp;sr=8-2")</f>
        <v>https://www.amazon.com/Klein-Tools-60172-Professional-Protective/dp/B08B6ZZY8D/ref=sr_1_2?keywords=Klein+Tools+60172+PRO+Safety+Glasses%2C+Wide+Lens%2C+2-Pack&amp;qid=1695174299&amp;sr=8-2</v>
      </c>
      <c r="F3614" t="s">
        <v>1196</v>
      </c>
      <c r="G3614" t="e">
        <f ca="1">_xludf.IMAGE("https://edmondsonsupply.com/cdn/shop/products/60172.jpg?v=1633030853")</f>
        <v>#NAME?</v>
      </c>
      <c r="H3614" t="e">
        <f ca="1">_xludf.IMAGE("https://m.media-amazon.com/images/I/51NTbRtYx8L._AC_UL320_.jpg")</f>
        <v>#NAME?</v>
      </c>
      <c r="I3614" t="s">
        <v>1158</v>
      </c>
      <c r="J3614">
        <v>21.99</v>
      </c>
      <c r="K3614" s="4">
        <v>0</v>
      </c>
      <c r="L3614">
        <v>4.4000000000000004</v>
      </c>
      <c r="M3614">
        <v>374</v>
      </c>
      <c r="O3614" t="s">
        <v>25</v>
      </c>
      <c r="P3614" t="s">
        <v>1159</v>
      </c>
      <c r="Q3614" t="s">
        <v>1197</v>
      </c>
    </row>
    <row r="3615" spans="1:17" ht="15.5" x14ac:dyDescent="0.35">
      <c r="A3615" s="3" t="str">
        <f>HYPERLINK("https://edmondsonsupply.com/collections/electricians-tools/products/klein-tools-mag2-magnetizer-demagnetizer", "https://edmondsonsupply.com/collections/electricians-tools/products/klein-tools-mag2-magnetizer-demagnetizer")</f>
        <v>https://edmondsonsupply.com/collections/electricians-tools/products/klein-tools-mag2-magnetizer-demagnetizer</v>
      </c>
      <c r="B3615" s="3" t="str">
        <f>HYPERLINK("https://edmondsonsupply.com/products/klein-tools-mag2-magnetizer-demagnetizer", "https://edmondsonsupply.com/products/klein-tools-mag2-magnetizer-demagnetizer")</f>
        <v>https://edmondsonsupply.com/products/klein-tools-mag2-magnetizer-demagnetizer</v>
      </c>
      <c r="C3615" t="s">
        <v>1520</v>
      </c>
      <c r="D3615" t="s">
        <v>4595</v>
      </c>
      <c r="E3615" s="3" t="str">
        <f>HYPERLINK("https://www.amazon.com/Demagnetizer-Screwdriver-Klein-Tools-MAG2/dp/B074RMH9VL/ref=sr_1_1?keywords=Klein+Tools+MAG2+Magnetizer+%2F+Demagnetizer&amp;qid=1695173850&amp;sr=8-1", "https://www.amazon.com/Demagnetizer-Screwdriver-Klein-Tools-MAG2/dp/B074RMH9VL/ref=sr_1_1?keywords=Klein+Tools+MAG2+Magnetizer+%2F+Demagnetizer&amp;qid=1695173850&amp;sr=8-1")</f>
        <v>https://www.amazon.com/Demagnetizer-Screwdriver-Klein-Tools-MAG2/dp/B074RMH9VL/ref=sr_1_1?keywords=Klein+Tools+MAG2+Magnetizer+%2F+Demagnetizer&amp;qid=1695173850&amp;sr=8-1</v>
      </c>
      <c r="F3615" t="s">
        <v>4596</v>
      </c>
      <c r="G3615" t="e">
        <f ca="1">_xludf.IMAGE("https://edmondsonsupply.com/cdn/shop/products/mag2.jpg?v=1587145008")</f>
        <v>#NAME?</v>
      </c>
      <c r="H3615" t="e">
        <f ca="1">_xludf.IMAGE("https://m.media-amazon.com/images/I/51CaSCI4PCL._AC_UL320_.jpg")</f>
        <v>#NAME?</v>
      </c>
      <c r="I3615" t="s">
        <v>1427</v>
      </c>
      <c r="J3615">
        <v>9.9700000000000006</v>
      </c>
      <c r="K3615" s="4">
        <v>0</v>
      </c>
      <c r="L3615">
        <v>4.7</v>
      </c>
      <c r="M3615">
        <v>7454</v>
      </c>
      <c r="O3615" t="s">
        <v>25</v>
      </c>
      <c r="P3615" t="s">
        <v>1523</v>
      </c>
      <c r="Q3615" t="s">
        <v>1524</v>
      </c>
    </row>
    <row r="3616" spans="1:17" ht="15.5" x14ac:dyDescent="0.35">
      <c r="A3616" s="3" t="str">
        <f>HYPERLINK("https://edmondsonsupply.com/collections/electricians-tools/products/klein-tools-et40-electronic-ac-dc-voltage-tester-12-to-240v-ac-1-5-to-24v-dc", "https://edmondsonsupply.com/collections/electricians-tools/products/klein-tools-et40-electronic-ac-dc-voltage-tester-12-to-240v-ac-1-5-to-24v-dc")</f>
        <v>https://edmondsonsupply.com/collections/electricians-tools/products/klein-tools-et40-electronic-ac-dc-voltage-tester-12-to-240v-ac-1-5-to-24v-dc</v>
      </c>
      <c r="B3616" s="3" t="str">
        <f>HYPERLINK("https://edmondsonsupply.com/products/klein-tools-et40-electronic-ac-dc-voltage-tester-12-to-240v-ac-1-5-to-24v-dc", "https://edmondsonsupply.com/products/klein-tools-et40-electronic-ac-dc-voltage-tester-12-to-240v-ac-1-5-to-24v-dc")</f>
        <v>https://edmondsonsupply.com/products/klein-tools-et40-electronic-ac-dc-voltage-tester-12-to-240v-ac-1-5-to-24v-dc</v>
      </c>
      <c r="C3616" t="s">
        <v>7934</v>
      </c>
      <c r="D3616" t="s">
        <v>7935</v>
      </c>
      <c r="E3616" s="3" t="str">
        <f>HYPERLINK("https://www.amazon.com/Klein-Tools-ET40-Polarity-Batteries/dp/B07P45RB8S/ref=sr_1_1?keywords=Klein+Tools+ET40+Electronic+AC%2FDC+Voltage+Tester+12+to+240V+AC%2C+1.5+to+24V+DC&amp;qid=1695174298&amp;sr=8-1", "https://www.amazon.com/Klein-Tools-ET40-Polarity-Batteries/dp/B07P45RB8S/ref=sr_1_1?keywords=Klein+Tools+ET40+Electronic+AC%2FDC+Voltage+Tester+12+to+240V+AC%2C+1.5+to+24V+DC&amp;qid=1695174298&amp;sr=8-1")</f>
        <v>https://www.amazon.com/Klein-Tools-ET40-Polarity-Batteries/dp/B07P45RB8S/ref=sr_1_1?keywords=Klein+Tools+ET40+Electronic+AC%2FDC+Voltage+Tester+12+to+240V+AC%2C+1.5+to+24V+DC&amp;qid=1695174298&amp;sr=8-1</v>
      </c>
      <c r="F3616" t="s">
        <v>7936</v>
      </c>
      <c r="G3616" t="e">
        <f ca="1">_xludf.IMAGE("https://edmondsonsupply.com/cdn/shop/products/et40.jpg?v=1633030910")</f>
        <v>#NAME?</v>
      </c>
      <c r="H3616" t="e">
        <f ca="1">_xludf.IMAGE("https://m.media-amazon.com/images/I/519RV+CHdeL._AC_UL320_.jpg")</f>
        <v>#NAME?</v>
      </c>
      <c r="I3616" t="s">
        <v>2586</v>
      </c>
      <c r="J3616">
        <v>17.97</v>
      </c>
      <c r="K3616" s="4">
        <v>0</v>
      </c>
      <c r="L3616">
        <v>4.5</v>
      </c>
      <c r="M3616">
        <v>1284</v>
      </c>
      <c r="O3616" t="s">
        <v>25</v>
      </c>
      <c r="P3616" t="s">
        <v>2096</v>
      </c>
      <c r="Q3616" t="s">
        <v>7937</v>
      </c>
    </row>
    <row r="3617" spans="1:17" ht="15.5" x14ac:dyDescent="0.35">
      <c r="A3617"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3617"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3617" t="s">
        <v>6852</v>
      </c>
      <c r="D3617" t="s">
        <v>7938</v>
      </c>
      <c r="E3617" s="3" t="str">
        <f>HYPERLINK("https://www.amazon.com/Rechargeable-Flashlight-Klein-Tools-56413/dp/B094JV7LNF/ref=sr_1_2?keywords=Klein+Tools+56413+Rechargeable+2-Color+LED+Flashlight+with+Holster&amp;qid=1695174149&amp;sr=8-2", "https://www.amazon.com/Rechargeable-Flashlight-Klein-Tools-56413/dp/B094JV7LNF/ref=sr_1_2?keywords=Klein+Tools+56413+Rechargeable+2-Color+LED+Flashlight+with+Holster&amp;qid=1695174149&amp;sr=8-2")</f>
        <v>https://www.amazon.com/Rechargeable-Flashlight-Klein-Tools-56413/dp/B094JV7LNF/ref=sr_1_2?keywords=Klein+Tools+56413+Rechargeable+2-Color+LED+Flashlight+with+Holster&amp;qid=1695174149&amp;sr=8-2</v>
      </c>
      <c r="F3617" t="s">
        <v>7939</v>
      </c>
      <c r="G3617" t="e">
        <f ca="1">_xludf.IMAGE("https://edmondsonsupply.com/cdn/shop/products/56413.jpg?v=1663954210")</f>
        <v>#NAME?</v>
      </c>
      <c r="H3617" t="e">
        <f ca="1">_xludf.IMAGE("https://m.media-amazon.com/images/I/61F2y6UWWJS._AC_UL320_.jpg")</f>
        <v>#NAME?</v>
      </c>
      <c r="I3617" t="s">
        <v>380</v>
      </c>
      <c r="J3617">
        <v>49.97</v>
      </c>
      <c r="K3617" s="4">
        <v>0</v>
      </c>
      <c r="L3617">
        <v>4.3</v>
      </c>
      <c r="M3617">
        <v>289</v>
      </c>
      <c r="O3617" t="s">
        <v>25</v>
      </c>
      <c r="P3617" t="s">
        <v>6855</v>
      </c>
      <c r="Q3617" t="s">
        <v>6856</v>
      </c>
    </row>
    <row r="3618" spans="1:17" ht="15.5" x14ac:dyDescent="0.35">
      <c r="A3618"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3618"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618" t="s">
        <v>851</v>
      </c>
      <c r="D3618" t="s">
        <v>956</v>
      </c>
      <c r="E3618" s="3" t="str">
        <f>HYPERLINK("https://www.amazon.com/Klein-60163-Professional-Protective-Resistant/dp/B08B48CZ5V/ref=sr_1_1?keywords=Klein+Tools+60163+Professional+Safety+Glasses%2C+Full+Frame%2C+Clear+Lens&amp;qid=1695174311&amp;sr=8-1", "https://www.amazon.com/Klein-60163-Professional-Protective-Resistant/dp/B08B48CZ5V/ref=sr_1_1?keywords=Klein+Tools+60163+Professional+Safety+Glasses%2C+Full+Frame%2C+Clear+Lens&amp;qid=1695174311&amp;sr=8-1")</f>
        <v>https://www.amazon.com/Klein-60163-Professional-Protective-Resistant/dp/B08B48CZ5V/ref=sr_1_1?keywords=Klein+Tools+60163+Professional+Safety+Glasses%2C+Full+Frame%2C+Clear+Lens&amp;qid=1695174311&amp;sr=8-1</v>
      </c>
      <c r="F3618" t="s">
        <v>957</v>
      </c>
      <c r="G3618" t="e">
        <f ca="1">_xludf.IMAGE("https://edmondsonsupply.com/cdn/shop/products/60163.jpg?v=1633030848")</f>
        <v>#NAME?</v>
      </c>
      <c r="H3618" t="e">
        <f ca="1">_xludf.IMAGE("https://m.media-amazon.com/images/I/41IY8K6EFLL._AC_UL320_.jpg")</f>
        <v>#NAME?</v>
      </c>
      <c r="I3618" t="s">
        <v>276</v>
      </c>
      <c r="J3618">
        <v>14.99</v>
      </c>
      <c r="K3618" s="4">
        <v>0</v>
      </c>
      <c r="L3618">
        <v>4.4000000000000004</v>
      </c>
      <c r="M3618">
        <v>198</v>
      </c>
      <c r="O3618" t="s">
        <v>25</v>
      </c>
      <c r="P3618" t="s">
        <v>277</v>
      </c>
      <c r="Q3618" t="s">
        <v>852</v>
      </c>
    </row>
    <row r="3619" spans="1:17" ht="15.5" x14ac:dyDescent="0.35">
      <c r="A3619"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3619"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3619" t="s">
        <v>851</v>
      </c>
      <c r="D3619" t="s">
        <v>958</v>
      </c>
      <c r="E3619" s="3" t="str">
        <f>HYPERLINK("https://www.amazon.com/Klein-60164-Professional-Protective-Resistant/dp/B08B4BNSHM/ref=sr_1_8?keywords=Klein+Tools+60163+Professional+Safety+Glasses%2C+Full+Frame%2C+Clear+Lens&amp;qid=1695174311&amp;sr=8-8", "https://www.amazon.com/Klein-60164-Professional-Protective-Resistant/dp/B08B4BNSHM/ref=sr_1_8?keywords=Klein+Tools+60163+Professional+Safety+Glasses%2C+Full+Frame%2C+Clear+Lens&amp;qid=1695174311&amp;sr=8-8")</f>
        <v>https://www.amazon.com/Klein-60164-Professional-Protective-Resistant/dp/B08B4BNSHM/ref=sr_1_8?keywords=Klein+Tools+60163+Professional+Safety+Glasses%2C+Full+Frame%2C+Clear+Lens&amp;qid=1695174311&amp;sr=8-8</v>
      </c>
      <c r="F3619" t="s">
        <v>959</v>
      </c>
      <c r="G3619" t="e">
        <f ca="1">_xludf.IMAGE("https://edmondsonsupply.com/cdn/shop/products/60163.jpg?v=1633030848")</f>
        <v>#NAME?</v>
      </c>
      <c r="H3619" t="e">
        <f ca="1">_xludf.IMAGE("https://m.media-amazon.com/images/I/41bNrH9NnFL._AC_UL320_.jpg")</f>
        <v>#NAME?</v>
      </c>
      <c r="I3619" t="s">
        <v>276</v>
      </c>
      <c r="J3619">
        <v>14.99</v>
      </c>
      <c r="K3619" s="4">
        <v>0</v>
      </c>
      <c r="L3619">
        <v>4.4000000000000004</v>
      </c>
      <c r="M3619">
        <v>463</v>
      </c>
      <c r="O3619" t="s">
        <v>25</v>
      </c>
      <c r="P3619" t="s">
        <v>277</v>
      </c>
      <c r="Q3619" t="s">
        <v>852</v>
      </c>
    </row>
    <row r="3620" spans="1:17" ht="15.5" x14ac:dyDescent="0.35">
      <c r="A3620" s="3" t="str">
        <f>HYPERLINK("https://edmondsonsupply.com/collections/electricians-tools/products/rack-a-tiers-11455-wire-dispenser", "https://edmondsonsupply.com/collections/electricians-tools/products/rack-a-tiers-11455-wire-dispenser")</f>
        <v>https://edmondsonsupply.com/collections/electricians-tools/products/rack-a-tiers-11455-wire-dispenser</v>
      </c>
      <c r="B3620" s="3" t="str">
        <f>HYPERLINK("https://edmondsonsupply.com/products/rack-a-tiers-11455-wire-dispenser", "https://edmondsonsupply.com/products/rack-a-tiers-11455-wire-dispenser")</f>
        <v>https://edmondsonsupply.com/products/rack-a-tiers-11455-wire-dispenser</v>
      </c>
      <c r="C3620" t="s">
        <v>7319</v>
      </c>
      <c r="D3620" t="s">
        <v>7940</v>
      </c>
      <c r="E3620" s="3" t="str">
        <f>HYPERLINK("https://www.amazon.com/RACK-TIERS-11455-PURPOSE-DISPENSER/dp/B0039UVLZG/ref=sr_1_5?keywords=Rack-A-Tiers+11455+Wire+Dispenser&amp;qid=1695173848&amp;sr=8-5", "https://www.amazon.com/RACK-TIERS-11455-PURPOSE-DISPENSER/dp/B0039UVLZG/ref=sr_1_5?keywords=Rack-A-Tiers+11455+Wire+Dispenser&amp;qid=1695173848&amp;sr=8-5")</f>
        <v>https://www.amazon.com/RACK-TIERS-11455-PURPOSE-DISPENSER/dp/B0039UVLZG/ref=sr_1_5?keywords=Rack-A-Tiers+11455+Wire+Dispenser&amp;qid=1695173848&amp;sr=8-5</v>
      </c>
      <c r="F3620" t="s">
        <v>7941</v>
      </c>
      <c r="G3620" t="e">
        <f ca="1">_xludf.IMAGE("https://edmondsonsupply.com/cdn/shop/products/11455.png?v=1587150070")</f>
        <v>#NAME?</v>
      </c>
      <c r="H3620" t="e">
        <f ca="1">_xludf.IMAGE("https://m.media-amazon.com/images/I/71cBlqwCtjL._AC_UL320_.jpg")</f>
        <v>#NAME?</v>
      </c>
      <c r="I3620" t="s">
        <v>7322</v>
      </c>
      <c r="J3620">
        <v>105.39</v>
      </c>
      <c r="K3620" s="4">
        <v>0</v>
      </c>
      <c r="L3620">
        <v>4.8</v>
      </c>
      <c r="M3620">
        <v>597</v>
      </c>
      <c r="O3620" t="s">
        <v>25</v>
      </c>
      <c r="P3620" t="s">
        <v>4016</v>
      </c>
      <c r="Q3620" t="s">
        <v>7323</v>
      </c>
    </row>
    <row r="3621" spans="1:17" ht="15.5" x14ac:dyDescent="0.35">
      <c r="A3621"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3621"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3621" t="s">
        <v>6948</v>
      </c>
      <c r="D3621" t="s">
        <v>5516</v>
      </c>
      <c r="E3621" s="3" t="str">
        <f>HYPERLINK("https://www.amazon.com/Keystone-Tip-Screwdriver-Round-Shank-Klein-602-4/dp/B0000302WD/ref=sr_1_1?keywords=Klein+Tools+602-4+1%2F4-Inch+Keystone+Screwdriver%2C+4-Inch+Round+Shank&amp;qid=1695174315&amp;sr=8-1", "https://www.amazon.com/Keystone-Tip-Screwdriver-Round-Shank-Klein-602-4/dp/B0000302WD/ref=sr_1_1?keywords=Klein+Tools+602-4+1%2F4-Inch+Keystone+Screwdriver%2C+4-Inch+Round+Shank&amp;qid=1695174315&amp;sr=8-1")</f>
        <v>https://www.amazon.com/Keystone-Tip-Screwdriver-Round-Shank-Klein-602-4/dp/B0000302WD/ref=sr_1_1?keywords=Klein+Tools+602-4+1%2F4-Inch+Keystone+Screwdriver%2C+4-Inch+Round+Shank&amp;qid=1695174315&amp;sr=8-1</v>
      </c>
      <c r="F3621" t="s">
        <v>5517</v>
      </c>
      <c r="G3621" t="e">
        <f ca="1">_xludf.IMAGE("https://edmondsonsupply.com/cdn/shop/products/602-6.jpg?v=1633030821")</f>
        <v>#NAME?</v>
      </c>
      <c r="H3621" t="e">
        <f ca="1">_xludf.IMAGE("https://m.media-amazon.com/images/I/51BHg1CmntL._AC_UL320_.jpg")</f>
        <v>#NAME?</v>
      </c>
      <c r="I3621" t="s">
        <v>2433</v>
      </c>
      <c r="J3621">
        <v>9.49</v>
      </c>
      <c r="K3621" s="4">
        <v>0</v>
      </c>
      <c r="L3621">
        <v>4.8</v>
      </c>
      <c r="M3621">
        <v>879</v>
      </c>
      <c r="O3621" t="s">
        <v>25</v>
      </c>
      <c r="P3621" t="s">
        <v>6949</v>
      </c>
      <c r="Q3621" t="s">
        <v>6950</v>
      </c>
    </row>
    <row r="3622" spans="1:17" ht="15.5" x14ac:dyDescent="0.35">
      <c r="A3622" s="3" t="str">
        <f>HYPERLINK("https://edmondsonsupply.com/collections/electricians-tools/products/klein-tools-llk12-l-style-hex-key-caddy-set-12-piece-inch", "https://edmondsonsupply.com/collections/electricians-tools/products/klein-tools-llk12-l-style-hex-key-caddy-set-12-piece-inch")</f>
        <v>https://edmondsonsupply.com/collections/electricians-tools/products/klein-tools-llk12-l-style-hex-key-caddy-set-12-piece-inch</v>
      </c>
      <c r="B3622" s="3" t="str">
        <f>HYPERLINK("https://edmondsonsupply.com/products/klein-tools-llk12-l-style-hex-key-caddy-set-12-piece-inch", "https://edmondsonsupply.com/products/klein-tools-llk12-l-style-hex-key-caddy-set-12-piece-inch")</f>
        <v>https://edmondsonsupply.com/products/klein-tools-llk12-l-style-hex-key-caddy-set-12-piece-inch</v>
      </c>
      <c r="C3622" t="s">
        <v>4528</v>
      </c>
      <c r="D3622" t="s">
        <v>4529</v>
      </c>
      <c r="E3622" s="3" t="str">
        <f>HYPERLINK("https://www.amazon.com/L-Style-12-Piece-Klein-Tools-LLK12/dp/B0002RIA0I/ref=sr_1_1?keywords=Klein+Tools+LLK12+L-Style+Hex+Key+Caddy+Set+12-Piece%2C+Inch&amp;qid=1695173923&amp;sr=8-1", "https://www.amazon.com/L-Style-12-Piece-Klein-Tools-LLK12/dp/B0002RIA0I/ref=sr_1_1?keywords=Klein+Tools+LLK12+L-Style+Hex+Key+Caddy+Set+12-Piece%2C+Inch&amp;qid=1695173923&amp;sr=8-1")</f>
        <v>https://www.amazon.com/L-Style-12-Piece-Klein-Tools-LLK12/dp/B0002RIA0I/ref=sr_1_1?keywords=Klein+Tools+LLK12+L-Style+Hex+Key+Caddy+Set+12-Piece%2C+Inch&amp;qid=1695173923&amp;sr=8-1</v>
      </c>
      <c r="F3622" t="s">
        <v>4530</v>
      </c>
      <c r="G3622" t="e">
        <f ca="1">_xludf.IMAGE("https://edmondsonsupply.com/cdn/shop/products/llk12.jpg?v=1633030476")</f>
        <v>#NAME?</v>
      </c>
      <c r="H3622" t="e">
        <f ca="1">_xludf.IMAGE("https://m.media-amazon.com/images/I/612CxDeGVTL._AC_UL320_.jpg")</f>
        <v>#NAME?</v>
      </c>
      <c r="I3622" t="s">
        <v>2337</v>
      </c>
      <c r="J3622">
        <v>11.99</v>
      </c>
      <c r="K3622" s="4">
        <v>0</v>
      </c>
      <c r="L3622">
        <v>4.8</v>
      </c>
      <c r="M3622">
        <v>601</v>
      </c>
      <c r="O3622" t="s">
        <v>25</v>
      </c>
      <c r="P3622" t="s">
        <v>4531</v>
      </c>
      <c r="Q3622" t="s">
        <v>4532</v>
      </c>
    </row>
    <row r="3623" spans="1:17" ht="15.5" x14ac:dyDescent="0.35">
      <c r="A3623" s="3" t="str">
        <f>HYPERLINK("https://edmondsonsupply.com/collections/electricians-tools/products/klein-tools-650-cushion-grip-scratch-awl", "https://edmondsonsupply.com/collections/electricians-tools/products/klein-tools-650-cushion-grip-scratch-awl")</f>
        <v>https://edmondsonsupply.com/collections/electricians-tools/products/klein-tools-650-cushion-grip-scratch-awl</v>
      </c>
      <c r="B3623" s="3" t="str">
        <f>HYPERLINK("https://edmondsonsupply.com/products/klein-tools-650-cushion-grip-scratch-awl", "https://edmondsonsupply.com/products/klein-tools-650-cushion-grip-scratch-awl")</f>
        <v>https://edmondsonsupply.com/products/klein-tools-650-cushion-grip-scratch-awl</v>
      </c>
      <c r="C3623" t="s">
        <v>7177</v>
      </c>
      <c r="D3623" t="s">
        <v>7942</v>
      </c>
      <c r="E3623" s="3" t="str">
        <f>HYPERLINK("https://www.amazon.com/Scratch-Cushion-Klein-Tools-650/dp/B0000302W2/ref=sr_1_1?keywords=Klein+Tools+650+Cushion-Grip+Scratch+Awl&amp;qid=1695174325&amp;sr=8-1", "https://www.amazon.com/Scratch-Cushion-Klein-Tools-650/dp/B0000302W2/ref=sr_1_1?keywords=Klein+Tools+650+Cushion-Grip+Scratch+Awl&amp;qid=1695174325&amp;sr=8-1")</f>
        <v>https://www.amazon.com/Scratch-Cushion-Klein-Tools-650/dp/B0000302W2/ref=sr_1_1?keywords=Klein+Tools+650+Cushion-Grip+Scratch+Awl&amp;qid=1695174325&amp;sr=8-1</v>
      </c>
      <c r="F3623" t="s">
        <v>7943</v>
      </c>
      <c r="G3623" t="e">
        <f ca="1">_xludf.IMAGE("https://edmondsonsupply.com/cdn/shop/products/650.jpg?v=1633030813")</f>
        <v>#NAME?</v>
      </c>
      <c r="H3623" t="e">
        <f ca="1">_xludf.IMAGE("https://m.media-amazon.com/images/I/51y0stAoHwL._AC_UL320_.jpg")</f>
        <v>#NAME?</v>
      </c>
      <c r="I3623" t="s">
        <v>6632</v>
      </c>
      <c r="J3623">
        <v>12.49</v>
      </c>
      <c r="K3623" s="4">
        <v>0</v>
      </c>
      <c r="L3623">
        <v>4.8</v>
      </c>
      <c r="M3623">
        <v>1392</v>
      </c>
      <c r="O3623" t="s">
        <v>25</v>
      </c>
      <c r="P3623" t="s">
        <v>2328</v>
      </c>
      <c r="Q3623" t="s">
        <v>7178</v>
      </c>
    </row>
    <row r="3624" spans="1:17" ht="15.5" x14ac:dyDescent="0.35">
      <c r="A3624" s="3" t="str">
        <f>HYPERLINK("https://edmondsonsupply.com/collections/electricians-tools/products/klein-tools-93pll-rechargeable-self-leveling-green-planar-laser-level", "https://edmondsonsupply.com/collections/electricians-tools/products/klein-tools-93pll-rechargeable-self-leveling-green-planar-laser-level")</f>
        <v>https://edmondsonsupply.com/collections/electricians-tools/products/klein-tools-93pll-rechargeable-self-leveling-green-planar-laser-level</v>
      </c>
      <c r="B3624" s="3" t="str">
        <f>HYPERLINK("https://edmondsonsupply.com/products/klein-tools-93pll-rechargeable-self-leveling-green-planar-laser-level", "https://edmondsonsupply.com/products/klein-tools-93pll-rechargeable-self-leveling-green-planar-laser-level")</f>
        <v>https://edmondsonsupply.com/products/klein-tools-93pll-rechargeable-self-leveling-green-planar-laser-level</v>
      </c>
      <c r="C3624" t="s">
        <v>7611</v>
      </c>
      <c r="D3624" t="s">
        <v>7944</v>
      </c>
      <c r="E3624" s="3" t="str">
        <f>HYPERLINK("https://www.amazon.com/Klein-Tools-93PLL-Self-Leveling-Rechargeable/dp/B09C7F4H9T/ref=sr_1_2?keywords=Klein+Tools+93PLL+Rechargeable+Self-Leveling+Green+Planar+Laser+Level&amp;qid=1695174147&amp;sr=8-2", "https://www.amazon.com/Klein-Tools-93PLL-Self-Leveling-Rechargeable/dp/B09C7F4H9T/ref=sr_1_2?keywords=Klein+Tools+93PLL+Rechargeable+Self-Leveling+Green+Planar+Laser+Level&amp;qid=1695174147&amp;sr=8-2")</f>
        <v>https://www.amazon.com/Klein-Tools-93PLL-Self-Leveling-Rechargeable/dp/B09C7F4H9T/ref=sr_1_2?keywords=Klein+Tools+93PLL+Rechargeable+Self-Leveling+Green+Planar+Laser+Level&amp;qid=1695174147&amp;sr=8-2</v>
      </c>
      <c r="F3624" t="s">
        <v>7945</v>
      </c>
      <c r="G3624" t="e">
        <f ca="1">_xludf.IMAGE("https://edmondsonsupply.com/cdn/shop/products/93pll_app8.jpg?v=1664476137")</f>
        <v>#NAME?</v>
      </c>
      <c r="H3624" t="e">
        <f ca="1">_xludf.IMAGE("https://m.media-amazon.com/images/I/51jR1c6Z+cL._AC_UL320_.jpg")</f>
        <v>#NAME?</v>
      </c>
      <c r="I3624" t="s">
        <v>533</v>
      </c>
      <c r="J3624">
        <v>299.99</v>
      </c>
      <c r="K3624" s="4">
        <v>0</v>
      </c>
      <c r="L3624">
        <v>4.7</v>
      </c>
      <c r="M3624">
        <v>272</v>
      </c>
      <c r="O3624" t="s">
        <v>25</v>
      </c>
      <c r="P3624" t="s">
        <v>7614</v>
      </c>
      <c r="Q3624" t="s">
        <v>7615</v>
      </c>
    </row>
    <row r="3625" spans="1:17" ht="15.5" x14ac:dyDescent="0.35">
      <c r="A3625"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3625"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3625" t="s">
        <v>7824</v>
      </c>
      <c r="D3625" t="s">
        <v>7946</v>
      </c>
      <c r="E3625" s="3" t="str">
        <f>HYPERLINK("https://www.amazon.com/Klein-Tools-D2000-49-Pliers-Diagonal-Cutters/dp/B01KKCNNWY/ref=sr_1_1?keywords=Klein+Tools+D2000-49+Diagonal+Cutting+Pliers%2C+Angled+Head%2C+9-Inch&amp;qid=1695174302&amp;sr=8-1", "https://www.amazon.com/Klein-Tools-D2000-49-Pliers-Diagonal-Cutters/dp/B01KKCNNWY/ref=sr_1_1?keywords=Klein+Tools+D2000-49+Diagonal+Cutting+Pliers%2C+Angled+Head%2C+9-Inch&amp;qid=1695174302&amp;sr=8-1")</f>
        <v>https://www.amazon.com/Klein-Tools-D2000-49-Pliers-Diagonal-Cutters/dp/B01KKCNNWY/ref=sr_1_1?keywords=Klein+Tools+D2000-49+Diagonal+Cutting+Pliers%2C+Angled+Head%2C+9-Inch&amp;qid=1695174302&amp;sr=8-1</v>
      </c>
      <c r="F3625" t="s">
        <v>7947</v>
      </c>
      <c r="G3625" t="e">
        <f ca="1">_xludf.IMAGE("https://edmondsonsupply.com/cdn/shop/products/d2000-49.jpg?v=1633030811")</f>
        <v>#NAME?</v>
      </c>
      <c r="H3625" t="e">
        <f ca="1">_xludf.IMAGE("https://m.media-amazon.com/images/I/41YARuDNT4L._AC_UL320_.jpg")</f>
        <v>#NAME?</v>
      </c>
      <c r="I3625" t="s">
        <v>3930</v>
      </c>
      <c r="J3625">
        <v>38.99</v>
      </c>
      <c r="K3625" s="4">
        <v>0</v>
      </c>
      <c r="L3625">
        <v>4.7</v>
      </c>
      <c r="M3625">
        <v>415</v>
      </c>
      <c r="O3625" t="s">
        <v>25</v>
      </c>
      <c r="P3625" t="s">
        <v>7825</v>
      </c>
      <c r="Q3625" t="s">
        <v>7826</v>
      </c>
    </row>
    <row r="3626" spans="1:17" ht="15.5" x14ac:dyDescent="0.35">
      <c r="A3626"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3626"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3626" t="s">
        <v>6995</v>
      </c>
      <c r="D3626" t="s">
        <v>5272</v>
      </c>
      <c r="E3626" s="3" t="str">
        <f>HYPERLINK("https://www.amazon.com/Klein-Tools-69149P-Multimeter-Noncontact/dp/B09C6MGD7J/ref=sr_1_1?keywords=Klein+Tools+69149P+Test+Kit+with+Multimeter%2C+Non-Contact+Volt+Tester%2C+Receptacle+Tester&amp;qid=1695174288&amp;sr=8-1", "https://www.amazon.com/Klein-Tools-69149P-Multimeter-Noncontact/dp/B09C6MGD7J/ref=sr_1_1?keywords=Klein+Tools+69149P+Test+Kit+with+Multimeter%2C+Non-Contact+Volt+Tester%2C+Receptacle+Tester&amp;qid=1695174288&amp;sr=8-1")</f>
        <v>https://www.amazon.com/Klein-Tools-69149P-Multimeter-Noncontact/dp/B09C6MGD7J/ref=sr_1_1?keywords=Klein+Tools+69149P+Test+Kit+with+Multimeter%2C+Non-Contact+Volt+Tester%2C+Receptacle+Tester&amp;qid=1695174288&amp;sr=8-1</v>
      </c>
      <c r="F3626" t="s">
        <v>5273</v>
      </c>
      <c r="G3626" t="e">
        <f ca="1">_xludf.IMAGE("https://edmondsonsupply.com/cdn/shop/products/69149p.jpg?v=1664479017")</f>
        <v>#NAME?</v>
      </c>
      <c r="H3626" t="e">
        <f ca="1">_xludf.IMAGE("https://m.media-amazon.com/images/I/61+WhEXhVkL._AC_UL320_.jpg")</f>
        <v>#NAME?</v>
      </c>
      <c r="I3626" t="s">
        <v>246</v>
      </c>
      <c r="J3626">
        <v>39.97</v>
      </c>
      <c r="K3626" s="4">
        <v>0</v>
      </c>
      <c r="L3626">
        <v>4.7</v>
      </c>
      <c r="M3626">
        <v>1358</v>
      </c>
      <c r="O3626" t="s">
        <v>25</v>
      </c>
      <c r="P3626" t="s">
        <v>6996</v>
      </c>
      <c r="Q3626" t="s">
        <v>6997</v>
      </c>
    </row>
    <row r="3627" spans="1:17" ht="15.5" x14ac:dyDescent="0.35">
      <c r="A3627" s="3" t="str">
        <f>HYPERLINK("https://edmondsonsupply.com/collections/electricians-tools/products/klein-tools-22002-large-broad-blade-utility-shear", "https://edmondsonsupply.com/collections/electricians-tools/products/klein-tools-22002-large-broad-blade-utility-shear")</f>
        <v>https://edmondsonsupply.com/collections/electricians-tools/products/klein-tools-22002-large-broad-blade-utility-shear</v>
      </c>
      <c r="B3627" s="3" t="str">
        <f>HYPERLINK("https://edmondsonsupply.com/products/klein-tools-22002-large-broad-blade-utility-shear", "https://edmondsonsupply.com/products/klein-tools-22002-large-broad-blade-utility-shear")</f>
        <v>https://edmondsonsupply.com/products/klein-tools-22002-large-broad-blade-utility-shear</v>
      </c>
      <c r="C3627" t="s">
        <v>7948</v>
      </c>
      <c r="D3627" t="s">
        <v>7949</v>
      </c>
      <c r="E3627" s="3" t="str">
        <f>HYPERLINK("https://www.amazon.com/Klein-Tools-22002-Scissors-Anything/dp/B001UBYWJS/ref=sr_1_1?keywords=Klein+Tools+22002+Large+Broad+Blade+Utility+Shear&amp;qid=1695174304&amp;sr=8-1", "https://www.amazon.com/Klein-Tools-22002-Scissors-Anything/dp/B001UBYWJS/ref=sr_1_1?keywords=Klein+Tools+22002+Large+Broad+Blade+Utility+Shear&amp;qid=1695174304&amp;sr=8-1")</f>
        <v>https://www.amazon.com/Klein-Tools-22002-Scissors-Anything/dp/B001UBYWJS/ref=sr_1_1?keywords=Klein+Tools+22002+Large+Broad+Blade+Utility+Shear&amp;qid=1695174304&amp;sr=8-1</v>
      </c>
      <c r="F3627" t="s">
        <v>7950</v>
      </c>
      <c r="G3627" t="e">
        <f ca="1">_xludf.IMAGE("https://edmondsonsupply.com/cdn/shop/products/22002.jpg?v=1633030813")</f>
        <v>#NAME?</v>
      </c>
      <c r="H3627" t="e">
        <f ca="1">_xludf.IMAGE("https://m.media-amazon.com/images/I/51d6CIMZeML._AC_UL320_.jpg")</f>
        <v>#NAME?</v>
      </c>
      <c r="I3627" t="s">
        <v>261</v>
      </c>
      <c r="J3627">
        <v>35.99</v>
      </c>
      <c r="K3627" s="4">
        <v>0</v>
      </c>
      <c r="L3627">
        <v>4.7</v>
      </c>
      <c r="M3627">
        <v>73</v>
      </c>
      <c r="O3627" t="s">
        <v>25</v>
      </c>
      <c r="P3627" t="s">
        <v>2679</v>
      </c>
      <c r="Q3627" t="s">
        <v>7951</v>
      </c>
    </row>
    <row r="3628" spans="1:17" ht="15.5" x14ac:dyDescent="0.35">
      <c r="A3628" s="3" t="str">
        <f>HYPERLINK("https://edmondsonsupply.com/collections/electricians-tools/products/klein-tools-63060-ratcheting-cable-cutter", "https://edmondsonsupply.com/collections/electricians-tools/products/klein-tools-63060-ratcheting-cable-cutter")</f>
        <v>https://edmondsonsupply.com/collections/electricians-tools/products/klein-tools-63060-ratcheting-cable-cutter</v>
      </c>
      <c r="B3628" s="3" t="str">
        <f>HYPERLINK("https://edmondsonsupply.com/products/klein-tools-63060-ratcheting-cable-cutter", "https://edmondsonsupply.com/products/klein-tools-63060-ratcheting-cable-cutter")</f>
        <v>https://edmondsonsupply.com/products/klein-tools-63060-ratcheting-cable-cutter</v>
      </c>
      <c r="C3628" t="s">
        <v>7427</v>
      </c>
      <c r="D3628" t="s">
        <v>7952</v>
      </c>
      <c r="E3628" s="3" t="str">
        <f>HYPERLINK("https://www.amazon.com/Ratcheting-Preparation-Klein-Tools-63060/dp/B001BPYJO6/ref=sr_1_1?keywords=Klein+Tools+63060+Ratcheting+Cable+Cutter&amp;qid=1695174295&amp;sr=8-1", "https://www.amazon.com/Ratcheting-Preparation-Klein-Tools-63060/dp/B001BPYJO6/ref=sr_1_1?keywords=Klein+Tools+63060+Ratcheting+Cable+Cutter&amp;qid=1695174295&amp;sr=8-1")</f>
        <v>https://www.amazon.com/Ratcheting-Preparation-Klein-Tools-63060/dp/B001BPYJO6/ref=sr_1_1?keywords=Klein+Tools+63060+Ratcheting+Cable+Cutter&amp;qid=1695174295&amp;sr=8-1</v>
      </c>
      <c r="F3628" t="s">
        <v>7953</v>
      </c>
      <c r="G3628" t="e">
        <f ca="1">_xludf.IMAGE("https://edmondsonsupply.com/cdn/shop/products/63060.jpg?v=1633030887")</f>
        <v>#NAME?</v>
      </c>
      <c r="H3628" t="e">
        <f ca="1">_xludf.IMAGE("https://m.media-amazon.com/images/I/416+PgFPpyL._AC_UL320_.jpg")</f>
        <v>#NAME?</v>
      </c>
      <c r="I3628" t="s">
        <v>400</v>
      </c>
      <c r="J3628">
        <v>199.99</v>
      </c>
      <c r="K3628" s="4">
        <v>0</v>
      </c>
      <c r="L3628">
        <v>4.7</v>
      </c>
      <c r="M3628">
        <v>344</v>
      </c>
      <c r="O3628" t="s">
        <v>25</v>
      </c>
      <c r="P3628" t="s">
        <v>7430</v>
      </c>
      <c r="Q3628" t="s">
        <v>7431</v>
      </c>
    </row>
    <row r="3629" spans="1:17" ht="15.5" x14ac:dyDescent="0.35">
      <c r="A3629" s="3" t="str">
        <f>HYPERLINK("https://edmondsonsupply.com/collections/electricians-tools/products/dewalt-dgl573-41-pocket-lighted-technician-s-tool-bag", "https://edmondsonsupply.com/collections/electricians-tools/products/dewalt-dgl573-41-pocket-lighted-technician-s-tool-bag")</f>
        <v>https://edmondsonsupply.com/collections/electricians-tools/products/dewalt-dgl573-41-pocket-lighted-technician-s-tool-bag</v>
      </c>
      <c r="B3629" s="3" t="str">
        <f>HYPERLINK("https://edmondsonsupply.com/products/dewalt-dgl573-41-pocket-lighted-technician-s-tool-bag", "https://edmondsonsupply.com/products/dewalt-dgl573-41-pocket-lighted-technician-s-tool-bag")</f>
        <v>https://edmondsonsupply.com/products/dewalt-dgl573-41-pocket-lighted-technician-s-tool-bag</v>
      </c>
      <c r="C3629" t="s">
        <v>548</v>
      </c>
      <c r="D3629" t="s">
        <v>549</v>
      </c>
      <c r="E3629" s="3" t="str">
        <f>HYPERLINK("https://www.amazon.com/DEWALT-DGL573-Lighted-Technicians-Tool/dp/B00QNTVV6Y/ref=sr_1_1?keywords=CLC+DeWALT+DGL573+41-Pocket+Lighted+Technician%E2%80%99s+Tool+Bag&amp;qid=1695173920&amp;sr=8-1", "https://www.amazon.com/DEWALT-DGL573-Lighted-Technicians-Tool/dp/B00QNTVV6Y/ref=sr_1_1?keywords=CLC+DeWALT+DGL573+41-Pocket+Lighted+Technician%E2%80%99s+Tool+Bag&amp;qid=1695173920&amp;sr=8-1")</f>
        <v>https://www.amazon.com/DEWALT-DGL573-Lighted-Technicians-Tool/dp/B00QNTVV6Y/ref=sr_1_1?keywords=CLC+DeWALT+DGL573+41-Pocket+Lighted+Technician%E2%80%99s+Tool+Bag&amp;qid=1695173920&amp;sr=8-1</v>
      </c>
      <c r="F3629" t="s">
        <v>550</v>
      </c>
      <c r="G3629" t="e">
        <f ca="1">_xludf.IMAGE("https://edmondsonsupply.com/cdn/shop/products/DGL573-1.png?v=1609787804")</f>
        <v>#NAME?</v>
      </c>
      <c r="H3629" t="e">
        <f ca="1">_xludf.IMAGE("https://m.media-amazon.com/images/I/A1ffPzA9uNL._AC_UL320_.jpg")</f>
        <v>#NAME?</v>
      </c>
      <c r="I3629" t="s">
        <v>551</v>
      </c>
      <c r="J3629">
        <v>84.95</v>
      </c>
      <c r="K3629" s="4">
        <v>0</v>
      </c>
      <c r="L3629">
        <v>4.7</v>
      </c>
      <c r="M3629">
        <v>2827</v>
      </c>
      <c r="O3629" t="s">
        <v>25</v>
      </c>
      <c r="P3629" t="s">
        <v>369</v>
      </c>
      <c r="Q3629" t="s">
        <v>552</v>
      </c>
    </row>
    <row r="3630" spans="1:17" ht="15.5" x14ac:dyDescent="0.35">
      <c r="A3630" s="3" t="str">
        <f>HYPERLINK("https://edmondsonsupply.com/collections/electricians-tools/products/klein-tools-60176-safety-glasses-hard-case", "https://edmondsonsupply.com/collections/electricians-tools/products/klein-tools-60176-safety-glasses-hard-case")</f>
        <v>https://edmondsonsupply.com/collections/electricians-tools/products/klein-tools-60176-safety-glasses-hard-case</v>
      </c>
      <c r="B3630" s="3" t="str">
        <f>HYPERLINK("https://edmondsonsupply.com/products/klein-tools-60176-safety-glasses-hard-case", "https://edmondsonsupply.com/products/klein-tools-60176-safety-glasses-hard-case")</f>
        <v>https://edmondsonsupply.com/products/klein-tools-60176-safety-glasses-hard-case</v>
      </c>
      <c r="C3630" t="s">
        <v>1137</v>
      </c>
      <c r="D3630" t="s">
        <v>1138</v>
      </c>
      <c r="E3630" s="3" t="str">
        <f>HYPERLINK("https://www.amazon.com/Klein-Tools-60176-Glasses-Protection/dp/B08B7B7SH3/ref=sr_1_1?keywords=Klein+Tools+60176+Safety+Glasses+Hard+Case&amp;qid=1695174295&amp;sr=8-1", "https://www.amazon.com/Klein-Tools-60176-Glasses-Protection/dp/B08B7B7SH3/ref=sr_1_1?keywords=Klein+Tools+60176+Safety+Glasses+Hard+Case&amp;qid=1695174295&amp;sr=8-1")</f>
        <v>https://www.amazon.com/Klein-Tools-60176-Glasses-Protection/dp/B08B7B7SH3/ref=sr_1_1?keywords=Klein+Tools+60176+Safety+Glasses+Hard+Case&amp;qid=1695174295&amp;sr=8-1</v>
      </c>
      <c r="F3630" t="s">
        <v>1139</v>
      </c>
      <c r="G3630" t="e">
        <f ca="1">_xludf.IMAGE("https://edmondsonsupply.com/cdn/shop/products/60176.jpg?v=1633030856")</f>
        <v>#NAME?</v>
      </c>
      <c r="H3630" t="e">
        <f ca="1">_xludf.IMAGE("https://m.media-amazon.com/images/I/71OJpcZ0B3L._AC_UL320_.jpg")</f>
        <v>#NAME?</v>
      </c>
      <c r="I3630" t="s">
        <v>1003</v>
      </c>
      <c r="J3630">
        <v>7.99</v>
      </c>
      <c r="K3630" s="4">
        <v>0</v>
      </c>
      <c r="L3630">
        <v>4.5999999999999996</v>
      </c>
      <c r="M3630">
        <v>77</v>
      </c>
      <c r="O3630" t="s">
        <v>25</v>
      </c>
      <c r="P3630" t="s">
        <v>1140</v>
      </c>
      <c r="Q3630" t="s">
        <v>1141</v>
      </c>
    </row>
    <row r="3631" spans="1:17" ht="15.5" x14ac:dyDescent="0.35">
      <c r="A3631"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3631"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3631" t="s">
        <v>6693</v>
      </c>
      <c r="D3631" t="s">
        <v>7954</v>
      </c>
      <c r="E3631" s="3" t="str">
        <f>HYPERLINK("https://www.amazon.com/Klein-Tools-56411-Rechargeable-Dual-Direction/dp/B0948329XF/ref=sr_1_1?keywords=Klein+Tools+56411+Rechargeable+Waterproof+LED+Pocket+Light+with+Lanyard&amp;qid=1695174156&amp;sr=8-1", "https://www.amazon.com/Klein-Tools-56411-Rechargeable-Dual-Direction/dp/B0948329XF/ref=sr_1_1?keywords=Klein+Tools+56411+Rechargeable+Waterproof+LED+Pocket+Light+with+Lanyard&amp;qid=1695174156&amp;sr=8-1")</f>
        <v>https://www.amazon.com/Klein-Tools-56411-Rechargeable-Dual-Direction/dp/B0948329XF/ref=sr_1_1?keywords=Klein+Tools+56411+Rechargeable+Waterproof+LED+Pocket+Light+with+Lanyard&amp;qid=1695174156&amp;sr=8-1</v>
      </c>
      <c r="F3631" t="s">
        <v>7955</v>
      </c>
      <c r="G3631" t="e">
        <f ca="1">_xludf.IMAGE("https://edmondsonsupply.com/cdn/shop/products/56411.jpg?v=1663952448")</f>
        <v>#NAME?</v>
      </c>
      <c r="H3631" t="e">
        <f ca="1">_xludf.IMAGE("https://m.media-amazon.com/images/I/51tftSPlJHS._AC_UL320_.jpg")</f>
        <v>#NAME?</v>
      </c>
      <c r="I3631" t="s">
        <v>824</v>
      </c>
      <c r="J3631">
        <v>29.97</v>
      </c>
      <c r="K3631" s="4">
        <v>0</v>
      </c>
      <c r="L3631">
        <v>4.3</v>
      </c>
      <c r="M3631">
        <v>94</v>
      </c>
      <c r="O3631" t="s">
        <v>25</v>
      </c>
      <c r="P3631" t="s">
        <v>825</v>
      </c>
      <c r="Q3631" t="s">
        <v>6696</v>
      </c>
    </row>
    <row r="3632" spans="1:17" ht="15.5" x14ac:dyDescent="0.35">
      <c r="A3632" s="3" t="str">
        <f>HYPERLINK("https://edmondsonsupply.com/collections/electricians-tools/products/klein-tools-450-003-staples-11-32-inch-x-19-32-inch-insulated", "https://edmondsonsupply.com/collections/electricians-tools/products/klein-tools-450-003-staples-11-32-inch-x-19-32-inch-insulated")</f>
        <v>https://edmondsonsupply.com/collections/electricians-tools/products/klein-tools-450-003-staples-11-32-inch-x-19-32-inch-insulated</v>
      </c>
      <c r="B3632" s="3" t="str">
        <f>HYPERLINK("https://edmondsonsupply.com/products/klein-tools-450-003-staples-11-32-inch-x-19-32-inch-insulated", "https://edmondsonsupply.com/products/klein-tools-450-003-staples-11-32-inch-x-19-32-inch-insulated")</f>
        <v>https://edmondsonsupply.com/products/klein-tools-450-003-staples-11-32-inch-x-19-32-inch-insulated</v>
      </c>
      <c r="C3632" t="s">
        <v>7956</v>
      </c>
      <c r="D3632" t="s">
        <v>7957</v>
      </c>
      <c r="E3632" s="3" t="str">
        <f>HYPERLINK("https://www.amazon.com/Klein-Tools-Staples-Insulated-Stapler/dp/B085T26XB8/ref=sr_1_1?keywords=Klein+Tools+450-003+Staples%2C+11%2F32-Inch+x+19%2F32-Inch+Insulated&amp;qid=1695173920&amp;sr=8-1", "https://www.amazon.com/Klein-Tools-Staples-Insulated-Stapler/dp/B085T26XB8/ref=sr_1_1?keywords=Klein+Tools+450-003+Staples%2C+11%2F32-Inch+x+19%2F32-Inch+Insulated&amp;qid=1695173920&amp;sr=8-1")</f>
        <v>https://www.amazon.com/Klein-Tools-Staples-Insulated-Stapler/dp/B085T26XB8/ref=sr_1_1?keywords=Klein+Tools+450-003+Staples%2C+11%2F32-Inch+x+19%2F32-Inch+Insulated&amp;qid=1695173920&amp;sr=8-1</v>
      </c>
      <c r="F3632" t="s">
        <v>7958</v>
      </c>
      <c r="G3632" t="e">
        <f ca="1">_xludf.IMAGE("https://edmondsonsupply.com/cdn/shop/products/450003.jpg?v=1633030473")</f>
        <v>#NAME?</v>
      </c>
      <c r="H3632" t="e">
        <f ca="1">_xludf.IMAGE("https://m.media-amazon.com/images/I/61G6HQn1wZL._AC_UL320_.jpg")</f>
        <v>#NAME?</v>
      </c>
      <c r="I3632" t="s">
        <v>2577</v>
      </c>
      <c r="J3632">
        <v>9.99</v>
      </c>
      <c r="K3632" s="4">
        <v>0</v>
      </c>
      <c r="L3632">
        <v>4.0999999999999996</v>
      </c>
      <c r="M3632">
        <v>652</v>
      </c>
      <c r="O3632" t="s">
        <v>25</v>
      </c>
      <c r="P3632" t="s">
        <v>2434</v>
      </c>
      <c r="Q3632" t="s">
        <v>7959</v>
      </c>
    </row>
    <row r="3633" spans="1:17" ht="15.5" x14ac:dyDescent="0.35">
      <c r="A3633"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3633" s="3" t="str">
        <f>HYPERLINK("https://edmondsonsupply.com/products/klein-tools-s10-5-16-inch-nut-driver-3-inch-hollow-shaft", "https://edmondsonsupply.com/products/klein-tools-s10-5-16-inch-nut-driver-3-inch-hollow-shaft")</f>
        <v>https://edmondsonsupply.com/products/klein-tools-s10-5-16-inch-nut-driver-3-inch-hollow-shaft</v>
      </c>
      <c r="C3633" t="s">
        <v>7432</v>
      </c>
      <c r="D3633" t="s">
        <v>4676</v>
      </c>
      <c r="E3633" s="3" t="str">
        <f>HYPERLINK("https://www.amazon.com/16-Inch-Driver-Cushion-Klein-Tools/dp/B000LEZVWM/ref=sr_1_4?keywords=Klein+Tools+S10+5%2F16-Inch+Nut+Driver+3-Inch+Hollow+Shaft&amp;qid=1695174298&amp;sr=8-4", "https://www.amazon.com/16-Inch-Driver-Cushion-Klein-Tools/dp/B000LEZVWM/ref=sr_1_4?keywords=Klein+Tools+S10+5%2F16-Inch+Nut+Driver+3-Inch+Hollow+Shaft&amp;qid=1695174298&amp;sr=8-4")</f>
        <v>https://www.amazon.com/16-Inch-Driver-Cushion-Klein-Tools/dp/B000LEZVWM/ref=sr_1_4?keywords=Klein+Tools+S10+5%2F16-Inch+Nut+Driver+3-Inch+Hollow+Shaft&amp;qid=1695174298&amp;sr=8-4</v>
      </c>
      <c r="F3633" t="s">
        <v>4677</v>
      </c>
      <c r="G3633" t="e">
        <f ca="1">_xludf.IMAGE("https://edmondsonsupply.com/cdn/shop/products/s10_38acacb8-6c8e-49ef-8ed3-7160ab53875a.jpg?v=1633030893")</f>
        <v>#NAME?</v>
      </c>
      <c r="H3633" t="e">
        <f ca="1">_xludf.IMAGE("https://m.media-amazon.com/images/I/31sSFYGqdfL._AC_UL320_.jpg")</f>
        <v>#NAME?</v>
      </c>
      <c r="I3633" t="s">
        <v>1003</v>
      </c>
      <c r="J3633">
        <v>7.99</v>
      </c>
      <c r="K3633" s="4">
        <v>0</v>
      </c>
      <c r="L3633">
        <v>4.8</v>
      </c>
      <c r="M3633">
        <v>2497</v>
      </c>
      <c r="O3633" t="s">
        <v>25</v>
      </c>
      <c r="P3633" t="s">
        <v>7433</v>
      </c>
      <c r="Q3633" t="s">
        <v>7434</v>
      </c>
    </row>
    <row r="3634" spans="1:17" ht="15.5" x14ac:dyDescent="0.35">
      <c r="A3634"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3634" s="3" t="str">
        <f>HYPERLINK("https://edmondsonsupply.com/products/klein-tools-s10-5-16-inch-nut-driver-3-inch-hollow-shaft", "https://edmondsonsupply.com/products/klein-tools-s10-5-16-inch-nut-driver-3-inch-hollow-shaft")</f>
        <v>https://edmondsonsupply.com/products/klein-tools-s10-5-16-inch-nut-driver-3-inch-hollow-shaft</v>
      </c>
      <c r="C3634" t="s">
        <v>7432</v>
      </c>
      <c r="D3634" t="s">
        <v>4684</v>
      </c>
      <c r="E3634" s="3" t="str">
        <f>HYPERLINK("https://www.amazon.com/Klein-Tools-S106-16-Inch-Driver/dp/B000936PDO/ref=sr_1_7?keywords=Klein+Tools+S10+5%2F16-Inch+Nut+Driver+3-Inch+Hollow+Shaft&amp;qid=1695174298&amp;sr=8-7", "https://www.amazon.com/Klein-Tools-S106-16-Inch-Driver/dp/B000936PDO/ref=sr_1_7?keywords=Klein+Tools+S10+5%2F16-Inch+Nut+Driver+3-Inch+Hollow+Shaft&amp;qid=1695174298&amp;sr=8-7")</f>
        <v>https://www.amazon.com/Klein-Tools-S106-16-Inch-Driver/dp/B000936PDO/ref=sr_1_7?keywords=Klein+Tools+S10+5%2F16-Inch+Nut+Driver+3-Inch+Hollow+Shaft&amp;qid=1695174298&amp;sr=8-7</v>
      </c>
      <c r="F3634" t="s">
        <v>4685</v>
      </c>
      <c r="G3634" t="e">
        <f ca="1">_xludf.IMAGE("https://edmondsonsupply.com/cdn/shop/products/s10_38acacb8-6c8e-49ef-8ed3-7160ab53875a.jpg?v=1633030893")</f>
        <v>#NAME?</v>
      </c>
      <c r="H3634" t="e">
        <f ca="1">_xludf.IMAGE("https://m.media-amazon.com/images/I/41MR57vMQTL._AC_UL320_.jpg")</f>
        <v>#NAME?</v>
      </c>
      <c r="I3634" t="s">
        <v>1003</v>
      </c>
      <c r="J3634">
        <v>7.99</v>
      </c>
      <c r="K3634" s="4">
        <v>0</v>
      </c>
      <c r="L3634">
        <v>4.5</v>
      </c>
      <c r="M3634">
        <v>151</v>
      </c>
      <c r="O3634" t="s">
        <v>25</v>
      </c>
      <c r="P3634" t="s">
        <v>7433</v>
      </c>
      <c r="Q3634" t="s">
        <v>7434</v>
      </c>
    </row>
    <row r="3635" spans="1:17" ht="15.5" x14ac:dyDescent="0.35">
      <c r="A3635" s="3" t="str">
        <f>HYPERLINK("https://edmondsonsupply.com/collections/electricians-tools/products/klein-tools-et310trans-replacement-transmitter-for-et310", "https://edmondsonsupply.com/collections/electricians-tools/products/klein-tools-et310trans-replacement-transmitter-for-et310")</f>
        <v>https://edmondsonsupply.com/collections/electricians-tools/products/klein-tools-et310trans-replacement-transmitter-for-et310</v>
      </c>
      <c r="B3635" s="3" t="str">
        <f>HYPERLINK("https://edmondsonsupply.com/products/klein-tools-et310trans-replacement-transmitter-for-et310", "https://edmondsonsupply.com/products/klein-tools-et310trans-replacement-transmitter-for-et310")</f>
        <v>https://edmondsonsupply.com/products/klein-tools-et310trans-replacement-transmitter-for-et310</v>
      </c>
      <c r="C3635" t="s">
        <v>7960</v>
      </c>
      <c r="D3635" t="s">
        <v>7961</v>
      </c>
      <c r="E3635" s="3" t="str">
        <f>HYPERLINK("https://www.amazon.com/Klein-Tools-ET310TRANS-Replacement-Transmitter/dp/B0B6PZ31KW/ref=sr_1_1?keywords=Klein+Tools+ET310TRANS+Replacement+Transmitter+for+ET310&amp;qid=1695174153&amp;sr=8-1", "https://www.amazon.com/Klein-Tools-ET310TRANS-Replacement-Transmitter/dp/B0B6PZ31KW/ref=sr_1_1?keywords=Klein+Tools+ET310TRANS+Replacement+Transmitter+for+ET310&amp;qid=1695174153&amp;sr=8-1")</f>
        <v>https://www.amazon.com/Klein-Tools-ET310TRANS-Replacement-Transmitter/dp/B0B6PZ31KW/ref=sr_1_1?keywords=Klein+Tools+ET310TRANS+Replacement+Transmitter+for+ET310&amp;qid=1695174153&amp;sr=8-1</v>
      </c>
      <c r="F3635" t="s">
        <v>7962</v>
      </c>
      <c r="G3635" t="e">
        <f ca="1">_xludf.IMAGE("https://edmondsonsupply.com/cdn/shop/products/et310trans.jpg?v=1663678062")</f>
        <v>#NAME?</v>
      </c>
      <c r="H3635" t="e">
        <f ca="1">_xludf.IMAGE("https://m.media-amazon.com/images/I/41ZLBVj0ZYL._AC_UL320_.jpg")</f>
        <v>#NAME?</v>
      </c>
      <c r="I3635" t="s">
        <v>834</v>
      </c>
      <c r="J3635">
        <v>12.99</v>
      </c>
      <c r="K3635" s="4">
        <v>0</v>
      </c>
      <c r="L3635">
        <v>4.8</v>
      </c>
      <c r="M3635">
        <v>30</v>
      </c>
      <c r="O3635" t="s">
        <v>25</v>
      </c>
      <c r="P3635" t="s">
        <v>7963</v>
      </c>
      <c r="Q3635" t="s">
        <v>7964</v>
      </c>
    </row>
    <row r="3636" spans="1:17" ht="15.5" x14ac:dyDescent="0.35">
      <c r="A3636" s="3" t="str">
        <f>HYPERLINK("https://edmondsonsupply.com/collections/electricians-tools/products/klein-tools-ti250-rechargeable-thermal-imager", "https://edmondsonsupply.com/collections/electricians-tools/products/klein-tools-ti250-rechargeable-thermal-imager")</f>
        <v>https://edmondsonsupply.com/collections/electricians-tools/products/klein-tools-ti250-rechargeable-thermal-imager</v>
      </c>
      <c r="B3636" s="3" t="str">
        <f>HYPERLINK("https://edmondsonsupply.com/products/klein-tools-ti250-rechargeable-thermal-imager", "https://edmondsonsupply.com/products/klein-tools-ti250-rechargeable-thermal-imager")</f>
        <v>https://edmondsonsupply.com/products/klein-tools-ti250-rechargeable-thermal-imager</v>
      </c>
      <c r="C3636" t="s">
        <v>7965</v>
      </c>
      <c r="D3636" t="s">
        <v>7966</v>
      </c>
      <c r="E3636" s="3" t="str">
        <f>HYPERLINK("https://www.amazon.com/Klein-Tools-TI250-Rechargeable-Temperature/dp/B089QW8R9S/ref=sr_1_1?keywords=Klein+Tools+TI250+Rechargeable+Thermal+Imager&amp;qid=1695174297&amp;sr=8-1", "https://www.amazon.com/Klein-Tools-TI250-Rechargeable-Temperature/dp/B089QW8R9S/ref=sr_1_1?keywords=Klein+Tools+TI250+Rechargeable+Thermal+Imager&amp;qid=1695174297&amp;sr=8-1")</f>
        <v>https://www.amazon.com/Klein-Tools-TI250-Rechargeable-Temperature/dp/B089QW8R9S/ref=sr_1_1?keywords=Klein+Tools+TI250+Rechargeable+Thermal+Imager&amp;qid=1695174297&amp;sr=8-1</v>
      </c>
      <c r="F3636" t="s">
        <v>7967</v>
      </c>
      <c r="G3636" t="e">
        <f ca="1">_xludf.IMAGE("https://edmondsonsupply.com/cdn/shop/products/ti250_b.jpg?v=1633030829")</f>
        <v>#NAME?</v>
      </c>
      <c r="H3636" t="e">
        <f ca="1">_xludf.IMAGE("https://m.media-amazon.com/images/I/61p-y0mTosL._AC_UY218_.jpg")</f>
        <v>#NAME?</v>
      </c>
      <c r="I3636" t="s">
        <v>533</v>
      </c>
      <c r="J3636">
        <v>299.99</v>
      </c>
      <c r="K3636" s="4">
        <v>0</v>
      </c>
      <c r="L3636">
        <v>4.5</v>
      </c>
      <c r="M3636">
        <v>778</v>
      </c>
      <c r="O3636" t="s">
        <v>25</v>
      </c>
      <c r="P3636" t="s">
        <v>7968</v>
      </c>
      <c r="Q3636" t="s">
        <v>7969</v>
      </c>
    </row>
    <row r="3637" spans="1:17" ht="15.5" x14ac:dyDescent="0.35">
      <c r="A3637"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3637"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3637" t="s">
        <v>6957</v>
      </c>
      <c r="D3637" t="s">
        <v>3678</v>
      </c>
      <c r="E3637" s="3" t="str">
        <f>HYPERLINK("https://www.amazon.com/Keystone-Screwdriver-Klein-Tools-602-6/dp/B0000302WW/ref=sr_1_1?keywords=Klein+Tools+602-6+5%2F16-Inch+Keystone+Tip+Screwdriver%2C+Cushion+Grip%2C+6-Inch&amp;qid=1695174298&amp;sr=8-1", "https://www.amazon.com/Keystone-Screwdriver-Klein-Tools-602-6/dp/B0000302WW/ref=sr_1_1?keywords=Klein+Tools+602-6+5%2F16-Inch+Keystone+Tip+Screwdriver%2C+Cushion+Grip%2C+6-Inch&amp;qid=1695174298&amp;sr=8-1")</f>
        <v>https://www.amazon.com/Keystone-Screwdriver-Klein-Tools-602-6/dp/B0000302WW/ref=sr_1_1?keywords=Klein+Tools+602-6+5%2F16-Inch+Keystone+Tip+Screwdriver%2C+Cushion+Grip%2C+6-Inch&amp;qid=1695174298&amp;sr=8-1</v>
      </c>
      <c r="F3637" t="s">
        <v>3679</v>
      </c>
      <c r="G3637" t="e">
        <f ca="1">_xludf.IMAGE("https://edmondsonsupply.com/cdn/shop/products/602-6_162e3283-acea-47de-aecf-2a25f009fdcb.jpg?v=1633030880")</f>
        <v>#NAME?</v>
      </c>
      <c r="H3637" t="e">
        <f ca="1">_xludf.IMAGE("https://m.media-amazon.com/images/I/51yw04G5ZvL._AC_UL320_.jpg")</f>
        <v>#NAME?</v>
      </c>
      <c r="I3637" t="s">
        <v>2337</v>
      </c>
      <c r="J3637">
        <v>11.99</v>
      </c>
      <c r="K3637" s="4">
        <v>0</v>
      </c>
      <c r="L3637">
        <v>4.8</v>
      </c>
      <c r="M3637">
        <v>879</v>
      </c>
      <c r="O3637" t="s">
        <v>25</v>
      </c>
      <c r="P3637" t="s">
        <v>1212</v>
      </c>
      <c r="Q3637" t="s">
        <v>6958</v>
      </c>
    </row>
    <row r="3638" spans="1:17" ht="15.5" x14ac:dyDescent="0.35">
      <c r="A3638"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3638" s="3" t="str">
        <f>HYPERLINK("https://edmondsonsupply.com/products/klein-tools-et45-ac-dc-voltage-tester", "https://edmondsonsupply.com/products/klein-tools-et45-ac-dc-voltage-tester")</f>
        <v>https://edmondsonsupply.com/products/klein-tools-et45-ac-dc-voltage-tester</v>
      </c>
      <c r="C3638" t="s">
        <v>6080</v>
      </c>
      <c r="D3638" t="s">
        <v>7970</v>
      </c>
      <c r="E3638" s="3" t="str">
        <f>HYPERLINK("https://www.amazon.com/Klein-Tools-ET45-Voltage-Batteries/dp/B07NZS6DGS/ref=sr_1_1?keywords=Klein+Tools+ET45+AC%2FDC+Voltage+Tester&amp;qid=1695174290&amp;sr=8-1", "https://www.amazon.com/Klein-Tools-ET45-Voltage-Batteries/dp/B07NZS6DGS/ref=sr_1_1?keywords=Klein+Tools+ET45+AC%2FDC+Voltage+Tester&amp;qid=1695174290&amp;sr=8-1")</f>
        <v>https://www.amazon.com/Klein-Tools-ET45-Voltage-Batteries/dp/B07NZS6DGS/ref=sr_1_1?keywords=Klein+Tools+ET45+AC%2FDC+Voltage+Tester&amp;qid=1695174290&amp;sr=8-1</v>
      </c>
      <c r="F3638" t="s">
        <v>7971</v>
      </c>
      <c r="G3638" t="e">
        <f ca="1">_xludf.IMAGE("https://edmondsonsupply.com/cdn/shop/products/et45.jpg?v=1647786270")</f>
        <v>#NAME?</v>
      </c>
      <c r="H3638" t="e">
        <f ca="1">_xludf.IMAGE("https://m.media-amazon.com/images/I/41msIkks06L._AC_UL320_.jpg")</f>
        <v>#NAME?</v>
      </c>
      <c r="I3638" t="s">
        <v>2337</v>
      </c>
      <c r="J3638">
        <v>11.99</v>
      </c>
      <c r="K3638" s="4">
        <v>0</v>
      </c>
      <c r="L3638">
        <v>4.5</v>
      </c>
      <c r="M3638">
        <v>1284</v>
      </c>
      <c r="O3638" t="s">
        <v>25</v>
      </c>
      <c r="P3638" t="s">
        <v>6083</v>
      </c>
      <c r="Q3638" t="s">
        <v>6084</v>
      </c>
    </row>
    <row r="3639" spans="1:17" ht="15.5" x14ac:dyDescent="0.35">
      <c r="A3639"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3639" s="3" t="str">
        <f>HYPERLINK("https://edmondsonsupply.com/products/klein-tools-630-5-8-nut-driver-5-8-inch-4-inch-hollow-shaft", "https://edmondsonsupply.com/products/klein-tools-630-5-8-nut-driver-5-8-inch-4-inch-hollow-shaft")</f>
        <v>https://edmondsonsupply.com/products/klein-tools-630-5-8-nut-driver-5-8-inch-4-inch-hollow-shaft</v>
      </c>
      <c r="C3639" t="s">
        <v>6629</v>
      </c>
      <c r="D3639" t="s">
        <v>7972</v>
      </c>
      <c r="E3639" s="3" t="str">
        <f>HYPERLINK("https://www.amazon.com/Driver-Cushion-Klein-Tools-630-5/dp/B000219OBI/ref=sr_1_1?keywords=Klein+Tools+630-5%2F8+Nut+Driver%2C+5%2F8-Inch%2C+4-Inch+Hollow+Shaft&amp;qid=1695174302&amp;sr=8-1", "https://www.amazon.com/Driver-Cushion-Klein-Tools-630-5/dp/B000219OBI/ref=sr_1_1?keywords=Klein+Tools+630-5%2F8+Nut+Driver%2C+5%2F8-Inch%2C+4-Inch+Hollow+Shaft&amp;qid=1695174302&amp;sr=8-1")</f>
        <v>https://www.amazon.com/Driver-Cushion-Klein-Tools-630-5/dp/B000219OBI/ref=sr_1_1?keywords=Klein+Tools+630-5%2F8+Nut+Driver%2C+5%2F8-Inch%2C+4-Inch+Hollow+Shaft&amp;qid=1695174302&amp;sr=8-1</v>
      </c>
      <c r="F3639" t="s">
        <v>7973</v>
      </c>
      <c r="G3639" t="e">
        <f ca="1">_xludf.IMAGE("https://edmondsonsupply.com/cdn/shop/products/630-1-2_df0ca74a-79e7-41f4-ad94-60312e01e692.jpg?v=1633031052")</f>
        <v>#NAME?</v>
      </c>
      <c r="H3639" t="e">
        <f ca="1">_xludf.IMAGE("https://m.media-amazon.com/images/I/41Cj8-Y8KnL._AC_UL320_.jpg")</f>
        <v>#NAME?</v>
      </c>
      <c r="I3639" t="s">
        <v>6632</v>
      </c>
      <c r="J3639">
        <v>12.49</v>
      </c>
      <c r="K3639" s="4">
        <v>0</v>
      </c>
      <c r="L3639">
        <v>4.8</v>
      </c>
      <c r="M3639">
        <v>2075</v>
      </c>
      <c r="O3639" t="s">
        <v>25</v>
      </c>
      <c r="P3639" t="s">
        <v>2328</v>
      </c>
      <c r="Q3639" t="s">
        <v>6633</v>
      </c>
    </row>
    <row r="3640" spans="1:17" ht="15.5" x14ac:dyDescent="0.35">
      <c r="A3640" s="3" t="str">
        <f>HYPERLINK("https://edmondsonsupply.com/collections/electricians-tools/products/klein-tools-60173-pro-safety-glasses-semi-frame-combo-pack", "https://edmondsonsupply.com/collections/electricians-tools/products/klein-tools-60173-pro-safety-glasses-semi-frame-combo-pack")</f>
        <v>https://edmondsonsupply.com/collections/electricians-tools/products/klein-tools-60173-pro-safety-glasses-semi-frame-combo-pack</v>
      </c>
      <c r="B3640" s="3" t="str">
        <f>HYPERLINK("https://edmondsonsupply.com/products/klein-tools-60173-pro-safety-glasses-semi-frame-combo-pack", "https://edmondsonsupply.com/products/klein-tools-60173-pro-safety-glasses-semi-frame-combo-pack")</f>
        <v>https://edmondsonsupply.com/products/klein-tools-60173-pro-safety-glasses-semi-frame-combo-pack</v>
      </c>
      <c r="C3640" t="s">
        <v>1155</v>
      </c>
      <c r="D3640" t="s">
        <v>1156</v>
      </c>
      <c r="E3640" s="3" t="str">
        <f>HYPERLINK("https://www.amazon.com/Klein-Tools-60173-Protective-Resistant/dp/B08B7BCQSX/ref=sr_1_1?keywords=Klein+Tools+60173+PRO+Safety+Glasses+Semi-Frame%2C+Combo+Pack&amp;qid=1695174302&amp;sr=8-1", "https://www.amazon.com/Klein-Tools-60173-Protective-Resistant/dp/B08B7BCQSX/ref=sr_1_1?keywords=Klein+Tools+60173+PRO+Safety+Glasses+Semi-Frame%2C+Combo+Pack&amp;qid=1695174302&amp;sr=8-1")</f>
        <v>https://www.amazon.com/Klein-Tools-60173-Protective-Resistant/dp/B08B7BCQSX/ref=sr_1_1?keywords=Klein+Tools+60173+PRO+Safety+Glasses+Semi-Frame%2C+Combo+Pack&amp;qid=1695174302&amp;sr=8-1</v>
      </c>
      <c r="F3640" t="s">
        <v>1157</v>
      </c>
      <c r="G3640" t="e">
        <f ca="1">_xludf.IMAGE("https://edmondsonsupply.com/cdn/shop/products/60173.jpg?v=1633030855")</f>
        <v>#NAME?</v>
      </c>
      <c r="H3640" t="e">
        <f ca="1">_xludf.IMAGE("https://m.media-amazon.com/images/I/51A3qkx5B2L._AC_UL320_.jpg")</f>
        <v>#NAME?</v>
      </c>
      <c r="I3640" t="s">
        <v>1158</v>
      </c>
      <c r="J3640">
        <v>21.99</v>
      </c>
      <c r="K3640" s="4">
        <v>0</v>
      </c>
      <c r="L3640">
        <v>4.4000000000000004</v>
      </c>
      <c r="M3640">
        <v>374</v>
      </c>
      <c r="O3640" t="s">
        <v>25</v>
      </c>
      <c r="P3640" t="s">
        <v>1159</v>
      </c>
      <c r="Q3640" t="s">
        <v>1160</v>
      </c>
    </row>
    <row r="3641" spans="1:17" ht="15.5" x14ac:dyDescent="0.35">
      <c r="A3641" s="3" t="str">
        <f>HYPERLINK("https://edmondsonsupply.com/collections/electricians-tools/products/klein-tools-66040-2-in-1-impact-socket-set-12-point-5-piece", "https://edmondsonsupply.com/collections/electricians-tools/products/klein-tools-66040-2-in-1-impact-socket-set-12-point-5-piece")</f>
        <v>https://edmondsonsupply.com/collections/electricians-tools/products/klein-tools-66040-2-in-1-impact-socket-set-12-point-5-piece</v>
      </c>
      <c r="B3641" s="3" t="str">
        <f>HYPERLINK("https://edmondsonsupply.com/products/klein-tools-66040-2-in-1-impact-socket-set-12-point-5-piece", "https://edmondsonsupply.com/products/klein-tools-66040-2-in-1-impact-socket-set-12-point-5-piece")</f>
        <v>https://edmondsonsupply.com/products/klein-tools-66040-2-in-1-impact-socket-set-12-point-5-piece</v>
      </c>
      <c r="C3641" t="s">
        <v>7021</v>
      </c>
      <c r="D3641" t="s">
        <v>7974</v>
      </c>
      <c r="E3641" s="3" t="str">
        <f>HYPERLINK("https://www.amazon.com/Klein-Tools-5-Piece-6-Point-Sockets/dp/B08363H71P/ref=sr_1_1?keywords=Klein+Tools+66040+2-in-1+Impact+Socket+Set%2C+12-Point%2C+5-Piece&amp;qid=1695173922&amp;sr=8-1", "https://www.amazon.com/Klein-Tools-5-Piece-6-Point-Sockets/dp/B08363H71P/ref=sr_1_1?keywords=Klein+Tools+66040+2-in-1+Impact+Socket+Set%2C+12-Point%2C+5-Piece&amp;qid=1695173922&amp;sr=8-1")</f>
        <v>https://www.amazon.com/Klein-Tools-5-Piece-6-Point-Sockets/dp/B08363H71P/ref=sr_1_1?keywords=Klein+Tools+66040+2-in-1+Impact+Socket+Set%2C+12-Point%2C+5-Piece&amp;qid=1695173922&amp;sr=8-1</v>
      </c>
      <c r="F3641" t="s">
        <v>7975</v>
      </c>
      <c r="G3641" t="e">
        <f ca="1">_xludf.IMAGE("https://edmondsonsupply.com/cdn/shop/products/66040.jpg?v=1659120255")</f>
        <v>#NAME?</v>
      </c>
      <c r="H3641" t="e">
        <f ca="1">_xludf.IMAGE("https://m.media-amazon.com/images/I/618QcMhYqSL._AC_UL320_.jpg")</f>
        <v>#NAME?</v>
      </c>
      <c r="I3641" t="s">
        <v>7024</v>
      </c>
      <c r="J3641">
        <v>124.79</v>
      </c>
      <c r="K3641" s="4">
        <v>0</v>
      </c>
      <c r="L3641">
        <v>4.8</v>
      </c>
      <c r="M3641">
        <v>1158</v>
      </c>
      <c r="O3641" t="s">
        <v>25</v>
      </c>
      <c r="P3641" t="s">
        <v>7025</v>
      </c>
      <c r="Q3641" t="s">
        <v>7026</v>
      </c>
    </row>
    <row r="3642" spans="1:17" ht="15.5" x14ac:dyDescent="0.35">
      <c r="A3642"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3642" s="3" t="str">
        <f>HYPERLINK("https://edmondsonsupply.com/products/klein-tools-32500mag-11-in-1-magnetic-screwdriver-nut-driver", "https://edmondsonsupply.com/products/klein-tools-32500mag-11-in-1-magnetic-screwdriver-nut-driver")</f>
        <v>https://edmondsonsupply.com/products/klein-tools-32500mag-11-in-1-magnetic-screwdriver-nut-driver</v>
      </c>
      <c r="C3642" t="s">
        <v>6522</v>
      </c>
      <c r="D3642" t="s">
        <v>7976</v>
      </c>
      <c r="E3642" s="3" t="str">
        <f>HYPERLINK("https://www.amazon.com/Klein-Tools-32500MAG-Multi-Bit-Screwdriver/dp/B089LTTZWT/ref=sr_1_1?keywords=Klein+Tools+32500MAG+11-in-1+Magnetic+Screwdriver+%2F+Nut+Driver&amp;qid=1695174303&amp;sr=8-1", "https://www.amazon.com/Klein-Tools-32500MAG-Multi-Bit-Screwdriver/dp/B089LTTZWT/ref=sr_1_1?keywords=Klein+Tools+32500MAG+11-in-1+Magnetic+Screwdriver+%2F+Nut+Driver&amp;qid=1695174303&amp;sr=8-1")</f>
        <v>https://www.amazon.com/Klein-Tools-32500MAG-Multi-Bit-Screwdriver/dp/B089LTTZWT/ref=sr_1_1?keywords=Klein+Tools+32500MAG+11-in-1+Magnetic+Screwdriver+%2F+Nut+Driver&amp;qid=1695174303&amp;sr=8-1</v>
      </c>
      <c r="F3642" t="s">
        <v>7977</v>
      </c>
      <c r="G3642" t="e">
        <f ca="1">_xludf.IMAGE("https://edmondsonsupply.com/cdn/shop/products/32500mag.jpg?v=1633030832")</f>
        <v>#NAME?</v>
      </c>
      <c r="H3642" t="e">
        <f ca="1">_xludf.IMAGE("https://m.media-amazon.com/images/I/61WjOoy7J0L._AC_UL320_.jpg")</f>
        <v>#NAME?</v>
      </c>
      <c r="I3642" t="s">
        <v>2288</v>
      </c>
      <c r="J3642">
        <v>20.97</v>
      </c>
      <c r="K3642" s="4">
        <v>0</v>
      </c>
      <c r="L3642">
        <v>4.8</v>
      </c>
      <c r="M3642">
        <v>3923</v>
      </c>
      <c r="O3642" t="s">
        <v>25</v>
      </c>
      <c r="P3642" t="s">
        <v>6525</v>
      </c>
      <c r="Q3642" t="s">
        <v>6526</v>
      </c>
    </row>
    <row r="3643" spans="1:17" ht="15.5" x14ac:dyDescent="0.35">
      <c r="A3643"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3643" s="3" t="str">
        <f>HYPERLINK("https://edmondsonsupply.com/products/klein-tools-60162-professional-safety-glasses-gray-lens", "https://edmondsonsupply.com/products/klein-tools-60162-professional-safety-glasses-gray-lens")</f>
        <v>https://edmondsonsupply.com/products/klein-tools-60162-professional-safety-glasses-gray-lens</v>
      </c>
      <c r="C3643" t="s">
        <v>833</v>
      </c>
      <c r="D3643" t="s">
        <v>1204</v>
      </c>
      <c r="E3643" s="3" t="str">
        <f>HYPERLINK("https://www.amazon.com/Klein-60162-Professional-Protective-Resistant/dp/B08B47MGR6/ref=sr_1_1?keywords=Klein+Tools+60162+Professional+Safety+Glasses%2C+Gray+Lens&amp;qid=1695174302&amp;sr=8-1", "https://www.amazon.com/Klein-60162-Professional-Protective-Resistant/dp/B08B47MGR6/ref=sr_1_1?keywords=Klein+Tools+60162+Professional+Safety+Glasses%2C+Gray+Lens&amp;qid=1695174302&amp;sr=8-1")</f>
        <v>https://www.amazon.com/Klein-60162-Professional-Protective-Resistant/dp/B08B47MGR6/ref=sr_1_1?keywords=Klein+Tools+60162+Professional+Safety+Glasses%2C+Gray+Lens&amp;qid=1695174302&amp;sr=8-1</v>
      </c>
      <c r="F3643" t="s">
        <v>1205</v>
      </c>
      <c r="G3643" t="e">
        <f ca="1">_xludf.IMAGE("https://edmondsonsupply.com/cdn/shop/products/60162.jpg?v=1633030847")</f>
        <v>#NAME?</v>
      </c>
      <c r="H3643" t="e">
        <f ca="1">_xludf.IMAGE("https://m.media-amazon.com/images/I/51MQyUmXnZL._AC_UL320_.jpg")</f>
        <v>#NAME?</v>
      </c>
      <c r="I3643" t="s">
        <v>834</v>
      </c>
      <c r="J3643">
        <v>12.99</v>
      </c>
      <c r="K3643" s="4">
        <v>0</v>
      </c>
      <c r="L3643">
        <v>4.4000000000000004</v>
      </c>
      <c r="M3643">
        <v>374</v>
      </c>
      <c r="O3643" t="s">
        <v>25</v>
      </c>
      <c r="P3643" t="s">
        <v>835</v>
      </c>
      <c r="Q3643" t="s">
        <v>836</v>
      </c>
    </row>
    <row r="3644" spans="1:17" ht="15.5" x14ac:dyDescent="0.35">
      <c r="A3644" s="3" t="str">
        <f>HYPERLINK("https://edmondsonsupply.com/collections/electricians-tools/products/klein-tools-mm325-digital-multimeter-manual-ranging-600v", "https://edmondsonsupply.com/collections/electricians-tools/products/klein-tools-mm325-digital-multimeter-manual-ranging-600v")</f>
        <v>https://edmondsonsupply.com/collections/electricians-tools/products/klein-tools-mm325-digital-multimeter-manual-ranging-600v</v>
      </c>
      <c r="B3644" s="3" t="str">
        <f>HYPERLINK("https://edmondsonsupply.com/products/klein-tools-mm325-digital-multimeter-manual-ranging-600v", "https://edmondsonsupply.com/products/klein-tools-mm325-digital-multimeter-manual-ranging-600v")</f>
        <v>https://edmondsonsupply.com/products/klein-tools-mm325-digital-multimeter-manual-ranging-600v</v>
      </c>
      <c r="C3644" t="s">
        <v>7789</v>
      </c>
      <c r="D3644" t="s">
        <v>7978</v>
      </c>
      <c r="E3644" s="3" t="str">
        <f>HYPERLINK("https://www.amazon.com/Klein-Tools-MM325-Multimeter-Manual-Ranging/dp/B0B57L9FNL/ref=sr_1_1?keywords=Klein+Tools+MM325+Digital+Multimeter%2C+Manual-Ranging%2C+600V&amp;qid=1695174152&amp;sr=8-1", "https://www.amazon.com/Klein-Tools-MM325-Multimeter-Manual-Ranging/dp/B0B57L9FNL/ref=sr_1_1?keywords=Klein+Tools+MM325+Digital+Multimeter%2C+Manual-Ranging%2C+600V&amp;qid=1695174152&amp;sr=8-1")</f>
        <v>https://www.amazon.com/Klein-Tools-MM325-Multimeter-Manual-Ranging/dp/B0B57L9FNL/ref=sr_1_1?keywords=Klein+Tools+MM325+Digital+Multimeter%2C+Manual-Ranging%2C+600V&amp;qid=1695174152&amp;sr=8-1</v>
      </c>
      <c r="F3644" t="s">
        <v>7979</v>
      </c>
      <c r="G3644" t="e">
        <f ca="1">_xludf.IMAGE("https://edmondsonsupply.com/cdn/shop/products/mm325.jpg?v=1663612847")</f>
        <v>#NAME?</v>
      </c>
      <c r="H3644" t="e">
        <f ca="1">_xludf.IMAGE("https://m.media-amazon.com/images/I/51ZJJXbc34L._AC_UL320_.jpg")</f>
        <v>#NAME?</v>
      </c>
      <c r="I3644" t="s">
        <v>340</v>
      </c>
      <c r="J3644">
        <v>34.97</v>
      </c>
      <c r="K3644" s="4">
        <v>0</v>
      </c>
      <c r="L3644">
        <v>4.7</v>
      </c>
      <c r="M3644">
        <v>104</v>
      </c>
      <c r="O3644" t="s">
        <v>25</v>
      </c>
      <c r="P3644" t="s">
        <v>7792</v>
      </c>
      <c r="Q3644" t="s">
        <v>7793</v>
      </c>
    </row>
    <row r="3645" spans="1:17" ht="15.5" x14ac:dyDescent="0.35">
      <c r="A3645" s="3" t="str">
        <f>HYPERLINK("https://edmondsonsupply.com/collections/electricians-tools/products/diablo-tools-dou200rbd-2-universal-fit-bi-metal-oscillating-blade-for-drywall", "https://edmondsonsupply.com/collections/electricians-tools/products/diablo-tools-dou200rbd-2-universal-fit-bi-metal-oscillating-blade-for-drywall")</f>
        <v>https://edmondsonsupply.com/collections/electricians-tools/products/diablo-tools-dou200rbd-2-universal-fit-bi-metal-oscillating-blade-for-drywall</v>
      </c>
      <c r="B3645" s="3" t="str">
        <f>HYPERLINK("https://edmondsonsupply.com/products/diablo-tools-dou200rbd-2-universal-fit-bi-metal-oscillating-blade-for-drywall", "https://edmondsonsupply.com/products/diablo-tools-dou200rbd-2-universal-fit-bi-metal-oscillating-blade-for-drywall")</f>
        <v>https://edmondsonsupply.com/products/diablo-tools-dou200rbd-2-universal-fit-bi-metal-oscillating-blade-for-drywall</v>
      </c>
      <c r="C3645" t="s">
        <v>7980</v>
      </c>
      <c r="D3645" t="s">
        <v>7981</v>
      </c>
      <c r="E3645" s="3" t="str">
        <f>HYPERLINK("https://www.amazon.com/Diablo-Freud-DOU200RBD-Universal-Oscillating/dp/B089KXBGLH/ref=sr_1_1?keywords=Diablo+Tools+DOU200RBD+2%22+Universal+Fit+Bi-Metal+Oscillating+Blade+for+Drywall&amp;qid=1695174252&amp;sr=8-1", "https://www.amazon.com/Diablo-Freud-DOU200RBD-Universal-Oscillating/dp/B089KXBGLH/ref=sr_1_1?keywords=Diablo+Tools+DOU200RBD+2%22+Universal+Fit+Bi-Metal+Oscillating+Blade+for+Drywall&amp;qid=1695174252&amp;sr=8-1")</f>
        <v>https://www.amazon.com/Diablo-Freud-DOU200RBD-Universal-Oscillating/dp/B089KXBGLH/ref=sr_1_1?keywords=Diablo+Tools+DOU200RBD+2%22+Universal+Fit+Bi-Metal+Oscillating+Blade+for+Drywall&amp;qid=1695174252&amp;sr=8-1</v>
      </c>
      <c r="F3645" t="s">
        <v>7982</v>
      </c>
      <c r="G3645" t="e">
        <f ca="1">_xludf.IMAGE("https://edmondsonsupply.com/cdn/shop/files/h7z7383jucpsecoclphm.webp?v=1686149036")</f>
        <v>#NAME?</v>
      </c>
      <c r="H3645" t="e">
        <f ca="1">_xludf.IMAGE("https://m.media-amazon.com/images/I/71qOVIpQSCL._AC_UL320_.jpg")</f>
        <v>#NAME?</v>
      </c>
      <c r="I3645" t="s">
        <v>6164</v>
      </c>
      <c r="J3645">
        <v>18.97</v>
      </c>
      <c r="K3645" s="4">
        <v>0</v>
      </c>
      <c r="L3645">
        <v>4.5</v>
      </c>
      <c r="M3645">
        <v>53</v>
      </c>
      <c r="O3645" t="s">
        <v>25</v>
      </c>
      <c r="P3645" t="s">
        <v>7983</v>
      </c>
      <c r="Q3645" t="s">
        <v>7984</v>
      </c>
    </row>
    <row r="3646" spans="1:17" ht="15.5" x14ac:dyDescent="0.35">
      <c r="A3646"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3646"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646" t="s">
        <v>919</v>
      </c>
      <c r="D3646" t="s">
        <v>930</v>
      </c>
      <c r="E3646" s="3" t="str">
        <f>HYPERLINK("https://www.amazon.com/Klein-60471-Protection-Anti-Fog-Resistant/dp/B0B69LNT2Y/ref=sr_1_3?keywords=Klein+Tools+60470+Professional+Full-Frame+Gasket+Safety+Glasses%2C+Clear+Lens&amp;qid=1695174156&amp;sr=8-3", "https://www.amazon.com/Klein-60471-Protection-Anti-Fog-Resistant/dp/B0B69LNT2Y/ref=sr_1_3?keywords=Klein+Tools+60470+Professional+Full-Frame+Gasket+Safety+Glasses%2C+Clear+Lens&amp;qid=1695174156&amp;sr=8-3")</f>
        <v>https://www.amazon.com/Klein-60471-Protection-Anti-Fog-Resistant/dp/B0B69LNT2Y/ref=sr_1_3?keywords=Klein+Tools+60470+Professional+Full-Frame+Gasket+Safety+Glasses%2C+Clear+Lens&amp;qid=1695174156&amp;sr=8-3</v>
      </c>
      <c r="F3646" t="s">
        <v>931</v>
      </c>
      <c r="G3646" t="e">
        <f ca="1">_xludf.IMAGE("https://edmondsonsupply.com/cdn/shop/products/60470.jpg?v=1663260659")</f>
        <v>#NAME?</v>
      </c>
      <c r="H3646" t="e">
        <f ca="1">_xludf.IMAGE("https://m.media-amazon.com/images/I/51z-a2tdJlL._AC_UL320_.jpg")</f>
        <v>#NAME?</v>
      </c>
      <c r="I3646" t="s">
        <v>252</v>
      </c>
      <c r="J3646">
        <v>15.99</v>
      </c>
      <c r="K3646" s="4">
        <v>0</v>
      </c>
      <c r="L3646">
        <v>4.3</v>
      </c>
      <c r="M3646">
        <v>56</v>
      </c>
      <c r="O3646" t="s">
        <v>25</v>
      </c>
      <c r="P3646" t="s">
        <v>854</v>
      </c>
      <c r="Q3646" t="s">
        <v>920</v>
      </c>
    </row>
    <row r="3647" spans="1:17" ht="15.5" x14ac:dyDescent="0.35">
      <c r="A3647" s="3" t="str">
        <f>HYPERLINK("https://edmondsonsupply.com/collections/electricians-tools/products/klein-tools-rt390", "https://edmondsonsupply.com/collections/electricians-tools/products/klein-tools-rt390")</f>
        <v>https://edmondsonsupply.com/collections/electricians-tools/products/klein-tools-rt390</v>
      </c>
      <c r="B3647" s="3" t="str">
        <f>HYPERLINK("https://edmondsonsupply.com/products/klein-tools-rt390", "https://edmondsonsupply.com/products/klein-tools-rt390")</f>
        <v>https://edmondsonsupply.com/products/klein-tools-rt390</v>
      </c>
      <c r="C3647" t="s">
        <v>6454</v>
      </c>
      <c r="D3647" t="s">
        <v>7985</v>
      </c>
      <c r="E3647" s="3" t="str">
        <f>HYPERLINK("https://www.amazon.com/Klein-Tools-RT390-Analyzer-Identifies/dp/B0BT87LJRL/ref=sr_1_1?keywords=Klein+Tools+RT390+Circuit+Analyzer&amp;qid=1695173904&amp;sr=8-1", "https://www.amazon.com/Klein-Tools-RT390-Analyzer-Identifies/dp/B0BT87LJRL/ref=sr_1_1?keywords=Klein+Tools+RT390+Circuit+Analyzer&amp;qid=1695173904&amp;sr=8-1")</f>
        <v>https://www.amazon.com/Klein-Tools-RT390-Analyzer-Identifies/dp/B0BT87LJRL/ref=sr_1_1?keywords=Klein+Tools+RT390+Circuit+Analyzer&amp;qid=1695173904&amp;sr=8-1</v>
      </c>
      <c r="F3647" t="s">
        <v>7986</v>
      </c>
      <c r="G3647" t="e">
        <f ca="1">_xludf.IMAGE("https://edmondsonsupply.com/cdn/shop/products/rt390.jpg?v=1677683463")</f>
        <v>#NAME?</v>
      </c>
      <c r="H3647" t="e">
        <f ca="1">_xludf.IMAGE("https://m.media-amazon.com/images/I/71FxkqNd7pL._AC_UL320_.jpg")</f>
        <v>#NAME?</v>
      </c>
      <c r="I3647" t="s">
        <v>4155</v>
      </c>
      <c r="J3647">
        <v>149.99</v>
      </c>
      <c r="K3647" s="4">
        <v>0</v>
      </c>
      <c r="L3647">
        <v>4.7</v>
      </c>
      <c r="M3647">
        <v>1607</v>
      </c>
      <c r="O3647" t="s">
        <v>25</v>
      </c>
      <c r="P3647" t="s">
        <v>6457</v>
      </c>
      <c r="Q3647" t="s">
        <v>6458</v>
      </c>
    </row>
    <row r="3648" spans="1:17" ht="15.5" x14ac:dyDescent="0.35">
      <c r="A3648"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3648" s="3" t="str">
        <f>HYPERLINK("https://edmondsonsupply.com/products/klein-tools-51609-3-4-inch-iron-conduit-bender-head", "https://edmondsonsupply.com/products/klein-tools-51609-3-4-inch-iron-conduit-bender-head")</f>
        <v>https://edmondsonsupply.com/products/klein-tools-51609-3-4-inch-iron-conduit-bender-head</v>
      </c>
      <c r="C3648" t="s">
        <v>6966</v>
      </c>
      <c r="D3648" t="s">
        <v>6101</v>
      </c>
      <c r="E3648" s="3" t="str">
        <f>HYPERLINK("https://www.amazon.com/Klein-Tools-51603-Conduit-Features/dp/B08W6GJTHW/ref=sr_1_9?keywords=Klein+Tools+51609+3%2F4-Inch+Iron+Conduit+Bender+Head&amp;qid=1695174173&amp;sr=8-9", "https://www.amazon.com/Klein-Tools-51603-Conduit-Features/dp/B08W6GJTHW/ref=sr_1_9?keywords=Klein+Tools+51609+3%2F4-Inch+Iron+Conduit+Bender+Head&amp;qid=1695174173&amp;sr=8-9")</f>
        <v>https://www.amazon.com/Klein-Tools-51603-Conduit-Features/dp/B08W6GJTHW/ref=sr_1_9?keywords=Klein+Tools+51609+3%2F4-Inch+Iron+Conduit+Bender+Head&amp;qid=1695174173&amp;sr=8-9</v>
      </c>
      <c r="F3648" t="s">
        <v>6102</v>
      </c>
      <c r="G3648" t="e">
        <f ca="1">_xludf.IMAGE("https://edmondsonsupply.com/cdn/shop/products/51609.jpg?v=1661867147")</f>
        <v>#NAME?</v>
      </c>
      <c r="H3648" t="e">
        <f ca="1">_xludf.IMAGE("https://m.media-amazon.com/images/I/31lf3y-9bSL._AC_UL320_.jpg")</f>
        <v>#NAME?</v>
      </c>
      <c r="I3648" t="s">
        <v>905</v>
      </c>
      <c r="J3648">
        <v>59.99</v>
      </c>
      <c r="K3648" s="4">
        <v>0</v>
      </c>
      <c r="L3648">
        <v>4.9000000000000004</v>
      </c>
      <c r="M3648">
        <v>31</v>
      </c>
      <c r="O3648" t="s">
        <v>25</v>
      </c>
      <c r="P3648" t="s">
        <v>6967</v>
      </c>
      <c r="Q3648" t="s">
        <v>6968</v>
      </c>
    </row>
    <row r="3649" spans="1:17" ht="15.5" x14ac:dyDescent="0.35">
      <c r="A3649"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3649" s="3" t="str">
        <f>HYPERLINK("https://edmondsonsupply.com/products/klein-tools-51611-1-2-inch-angle-setter%e2%84%a2", "https://edmondsonsupply.com/products/klein-tools-51611-1-2-inch-angle-setter%e2%84%a2")</f>
        <v>https://edmondsonsupply.com/products/klein-tools-51611-1-2-inch-angle-setter%e2%84%a2</v>
      </c>
      <c r="C3649" t="s">
        <v>6100</v>
      </c>
      <c r="D3649" t="s">
        <v>7987</v>
      </c>
      <c r="E3649" s="3" t="str">
        <f>HYPERLINK("https://www.amazon.com/Klein-Tools-51611-Conduit-Benders/dp/B08L5J5TRQ/ref=sr_1_1?keywords=Klein+Tools+51611+1%2F2-Inch+Angle+Setter%E2%84%A2&amp;qid=1695174192&amp;sr=8-1", "https://www.amazon.com/Klein-Tools-51611-Conduit-Benders/dp/B08L5J5TRQ/ref=sr_1_1?keywords=Klein+Tools+51611+1%2F2-Inch+Angle+Setter%E2%84%A2&amp;qid=1695174192&amp;sr=8-1")</f>
        <v>https://www.amazon.com/Klein-Tools-51611-Conduit-Benders/dp/B08L5J5TRQ/ref=sr_1_1?keywords=Klein+Tools+51611+1%2F2-Inch+Angle+Setter%E2%84%A2&amp;qid=1695174192&amp;sr=8-1</v>
      </c>
      <c r="F3649" t="s">
        <v>7988</v>
      </c>
      <c r="G3649" t="e">
        <f ca="1">_xludf.IMAGE("https://edmondsonsupply.com/cdn/shop/products/51611.jpg?v=1661976456")</f>
        <v>#NAME?</v>
      </c>
      <c r="H3649" t="e">
        <f ca="1">_xludf.IMAGE("https://m.media-amazon.com/images/I/51VnnTm4FKL._AC_UL320_.jpg")</f>
        <v>#NAME?</v>
      </c>
      <c r="I3649" t="s">
        <v>1427</v>
      </c>
      <c r="J3649">
        <v>9.9700000000000006</v>
      </c>
      <c r="K3649" s="4">
        <v>0</v>
      </c>
      <c r="L3649">
        <v>4.4000000000000004</v>
      </c>
      <c r="M3649">
        <v>68</v>
      </c>
      <c r="O3649" t="s">
        <v>25</v>
      </c>
      <c r="P3649" t="s">
        <v>6045</v>
      </c>
      <c r="Q3649" t="s">
        <v>6103</v>
      </c>
    </row>
    <row r="3650" spans="1:17" ht="15.5" x14ac:dyDescent="0.35">
      <c r="A3650"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3650"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3650" t="s">
        <v>2391</v>
      </c>
      <c r="D3650" t="s">
        <v>4554</v>
      </c>
      <c r="E3650" s="3" t="str">
        <f>HYPERLINK("https://www.amazon.com/Journeyman-T-Handle-Klein-Tools-JTH6E11/dp/B004N5WF56/ref=sr_1_1?keywords=Klein+Tools+JTH6E11+3%2F16-Inch+Hex+Key%2C+Journeyman+T-Handle%2C+6-Inch&amp;qid=1695173898&amp;sr=8-1", "https://www.amazon.com/Journeyman-T-Handle-Klein-Tools-JTH6E11/dp/B004N5WF56/ref=sr_1_1?keywords=Klein+Tools+JTH6E11+3%2F16-Inch+Hex+Key%2C+Journeyman+T-Handle%2C+6-Inch&amp;qid=1695173898&amp;sr=8-1")</f>
        <v>https://www.amazon.com/Journeyman-T-Handle-Klein-Tools-JTH6E11/dp/B004N5WF56/ref=sr_1_1?keywords=Klein+Tools+JTH6E11+3%2F16-Inch+Hex+Key%2C+Journeyman+T-Handle%2C+6-Inch&amp;qid=1695173898&amp;sr=8-1</v>
      </c>
      <c r="F3650" t="s">
        <v>4555</v>
      </c>
      <c r="G3650" t="e">
        <f ca="1">_xludf.IMAGE("https://edmondsonsupply.com/cdn/shop/products/jth6e15_0266106d-0a3b-44ba-997b-66db7749d83f.jpg?v=1587144829")</f>
        <v>#NAME?</v>
      </c>
      <c r="H3650" t="e">
        <f ca="1">_xludf.IMAGE("https://m.media-amazon.com/images/I/51Yb8h41vLL._AC_UL320_.jpg")</f>
        <v>#NAME?</v>
      </c>
      <c r="I3650" t="s">
        <v>2388</v>
      </c>
      <c r="J3650">
        <v>4.99</v>
      </c>
      <c r="K3650" s="4">
        <v>0</v>
      </c>
      <c r="L3650">
        <v>4.8</v>
      </c>
      <c r="M3650">
        <v>2479</v>
      </c>
      <c r="O3650" t="s">
        <v>25</v>
      </c>
      <c r="P3650" t="s">
        <v>2392</v>
      </c>
      <c r="Q3650" t="s">
        <v>2393</v>
      </c>
    </row>
    <row r="3651" spans="1:17" ht="15.5" x14ac:dyDescent="0.35">
      <c r="A3651" s="3" t="str">
        <f>HYPERLINK("https://edmondsonsupply.com/collections/electricians-tools/products/rack-a-tiers-40001-apprentice-wire-vortex-wire-pulling-guide", "https://edmondsonsupply.com/collections/electricians-tools/products/rack-a-tiers-40001-apprentice-wire-vortex-wire-pulling-guide")</f>
        <v>https://edmondsonsupply.com/collections/electricians-tools/products/rack-a-tiers-40001-apprentice-wire-vortex-wire-pulling-guide</v>
      </c>
      <c r="B3651" s="3" t="str">
        <f>HYPERLINK("https://edmondsonsupply.com/products/rack-a-tiers-40001-apprentice-wire-vortex-wire-pulling-guide", "https://edmondsonsupply.com/products/rack-a-tiers-40001-apprentice-wire-vortex-wire-pulling-guide")</f>
        <v>https://edmondsonsupply.com/products/rack-a-tiers-40001-apprentice-wire-vortex-wire-pulling-guide</v>
      </c>
      <c r="C3651" t="s">
        <v>7702</v>
      </c>
      <c r="D3651" t="s">
        <v>7989</v>
      </c>
      <c r="E3651" s="3" t="str">
        <f>HYPERLINK("https://www.amazon.com/Rack-Tiers-42000-Multi-Pack-Buddy/dp/B0087TBOWY/ref=sr_1_2?keywords=Rack-A-Tiers+40001+Wire+Vortex+-+Wire+Pulling+Guide&amp;qid=1695173898&amp;sr=8-2", "https://www.amazon.com/Rack-Tiers-42000-Multi-Pack-Buddy/dp/B0087TBOWY/ref=sr_1_2?keywords=Rack-A-Tiers+40001+Wire+Vortex+-+Wire+Pulling+Guide&amp;qid=1695173898&amp;sr=8-2")</f>
        <v>https://www.amazon.com/Rack-Tiers-42000-Multi-Pack-Buddy/dp/B0087TBOWY/ref=sr_1_2?keywords=Rack-A-Tiers+40001+Wire+Vortex+-+Wire+Pulling+Guide&amp;qid=1695173898&amp;sr=8-2</v>
      </c>
      <c r="F3651" t="s">
        <v>7990</v>
      </c>
      <c r="G3651" t="e">
        <f ca="1">_xludf.IMAGE("https://edmondsonsupply.com/cdn/shop/products/40001-Wire-Vortex-1-1-1.png?v=1587149010")</f>
        <v>#NAME?</v>
      </c>
      <c r="H3651" t="e">
        <f ca="1">_xludf.IMAGE("https://m.media-amazon.com/images/I/41f9XtBUJRL._AC_UL320_.jpg")</f>
        <v>#NAME?</v>
      </c>
      <c r="I3651" t="s">
        <v>577</v>
      </c>
      <c r="J3651">
        <v>19.989999999999998</v>
      </c>
      <c r="K3651" s="4">
        <v>0</v>
      </c>
      <c r="L3651">
        <v>4.5</v>
      </c>
      <c r="M3651">
        <v>143</v>
      </c>
      <c r="O3651" t="s">
        <v>25</v>
      </c>
      <c r="P3651" t="s">
        <v>7705</v>
      </c>
      <c r="Q3651" t="s">
        <v>7706</v>
      </c>
    </row>
    <row r="3652" spans="1:17" ht="15.5" x14ac:dyDescent="0.35">
      <c r="A3652" s="3" t="str">
        <f>HYPERLINK("https://edmondsonsupply.com/collections/electricians-tools/products/tajima-cnv-100lt-convoy%C2%AE-lite-ultra-lightweight-caulk-gun", "https://edmondsonsupply.com/collections/electricians-tools/products/tajima-cnv-100lt-convoy%C2%AE-lite-ultra-lightweight-caulk-gun")</f>
        <v>https://edmondsonsupply.com/collections/electricians-tools/products/tajima-cnv-100lt-convoy%C2%AE-lite-ultra-lightweight-caulk-gun</v>
      </c>
      <c r="B3652" s="3" t="str">
        <f>HYPERLINK("https://edmondsonsupply.com/products/tajima-cnv-100lt-convoy%c2%ae-lite-ultra-lightweight-caulk-gun", "https://edmondsonsupply.com/products/tajima-cnv-100lt-convoy%c2%ae-lite-ultra-lightweight-caulk-gun")</f>
        <v>https://edmondsonsupply.com/products/tajima-cnv-100lt-convoy%c2%ae-lite-ultra-lightweight-caulk-gun</v>
      </c>
      <c r="C3652" t="s">
        <v>7991</v>
      </c>
      <c r="D3652" t="s">
        <v>7992</v>
      </c>
      <c r="E3652" s="3" t="str">
        <f>HYPERLINK("https://www.amazon.com/TAJIMA-Caulk-Gun-Lightweight-Construction/dp/B001S2QO18/ref=sr_1_1?keywords=Tajima+CNV-100LT+Convoy%C2%AE+Lite%2C+Ultra-lightweight+Caulk+Gun&amp;qid=1695174191&amp;sr=8-1", "https://www.amazon.com/TAJIMA-Caulk-Gun-Lightweight-Construction/dp/B001S2QO18/ref=sr_1_1?keywords=Tajima+CNV-100LT+Convoy%C2%AE+Lite%2C+Ultra-lightweight+Caulk+Gun&amp;qid=1695174191&amp;sr=8-1")</f>
        <v>https://www.amazon.com/TAJIMA-Caulk-Gun-Lightweight-Construction/dp/B001S2QO18/ref=sr_1_1?keywords=Tajima+CNV-100LT+Convoy%C2%AE+Lite%2C+Ultra-lightweight+Caulk+Gun&amp;qid=1695174191&amp;sr=8-1</v>
      </c>
      <c r="F3652" t="s">
        <v>7993</v>
      </c>
      <c r="G3652" t="e">
        <f ca="1">_xludf.IMAGE("https://edmondsonsupply.com/cdn/shop/products/CNV-100LT_s-e1512090930712.jpg?v=1655301110")</f>
        <v>#NAME?</v>
      </c>
      <c r="H3652" t="e">
        <f ca="1">_xludf.IMAGE("https://m.media-amazon.com/images/I/61bzaT9pDwL._AC_UL320_.jpg")</f>
        <v>#NAME?</v>
      </c>
      <c r="I3652" t="s">
        <v>7043</v>
      </c>
      <c r="J3652">
        <v>20.8</v>
      </c>
      <c r="K3652" s="4">
        <v>0</v>
      </c>
      <c r="L3652">
        <v>4.4000000000000004</v>
      </c>
      <c r="M3652">
        <v>149</v>
      </c>
      <c r="O3652" t="s">
        <v>25</v>
      </c>
      <c r="P3652" t="s">
        <v>7994</v>
      </c>
      <c r="Q3652" t="s">
        <v>7995</v>
      </c>
    </row>
    <row r="3653" spans="1:17" ht="15.5" x14ac:dyDescent="0.35">
      <c r="A3653" s="3" t="str">
        <f>HYPERLINK("https://edmondsonsupply.com/collections/electricians-tools/products/klein-tools-70572-grip-it%C2%AE-ball-end-hex-set-5-key-metric-sizes", "https://edmondsonsupply.com/collections/electricians-tools/products/klein-tools-70572-grip-it%C2%AE-ball-end-hex-set-5-key-metric-sizes")</f>
        <v>https://edmondsonsupply.com/collections/electricians-tools/products/klein-tools-70572-grip-it%C2%AE-ball-end-hex-set-5-key-metric-sizes</v>
      </c>
      <c r="B3653" s="3" t="str">
        <f>HYPERLINK("https://edmondsonsupply.com/products/klein-tools-70572-grip-it%c2%ae-ball-end-hex-set-5-key-metric-sizes", "https://edmondsonsupply.com/products/klein-tools-70572-grip-it%c2%ae-ball-end-hex-set-5-key-metric-sizes")</f>
        <v>https://edmondsonsupply.com/products/klein-tools-70572-grip-it%c2%ae-ball-end-hex-set-5-key-metric-sizes</v>
      </c>
      <c r="C3653" t="s">
        <v>7794</v>
      </c>
      <c r="D3653" t="s">
        <v>7996</v>
      </c>
      <c r="E3653" s="3" t="str">
        <f>HYPERLINK("https://www.amazon.com/Grip-Five-Key-Ball-Hex/dp/B000936R78/ref=sr_1_1?keywords=Klein+Tools+70572+Grip-It%C2%AE+Ball+End+Hex+Set%2C+5-Key%2C+Metric+Sizes&amp;qid=1695174191&amp;sr=8-1", "https://www.amazon.com/Grip-Five-Key-Ball-Hex/dp/B000936R78/ref=sr_1_1?keywords=Klein+Tools+70572+Grip-It%C2%AE+Ball+End+Hex+Set%2C+5-Key%2C+Metric+Sizes&amp;qid=1695174191&amp;sr=8-1")</f>
        <v>https://www.amazon.com/Grip-Five-Key-Ball-Hex/dp/B000936R78/ref=sr_1_1?keywords=Klein+Tools+70572+Grip-It%C2%AE+Ball+End+Hex+Set%2C+5-Key%2C+Metric+Sizes&amp;qid=1695174191&amp;sr=8-1</v>
      </c>
      <c r="F3653" t="s">
        <v>7997</v>
      </c>
      <c r="G3653" t="e">
        <f ca="1">_xludf.IMAGE("https://edmondsonsupply.com/cdn/shop/products/70572.jpg?v=1661198448")</f>
        <v>#NAME?</v>
      </c>
      <c r="H3653" t="e">
        <f ca="1">_xludf.IMAGE("https://m.media-amazon.com/images/I/51dn84Vs5NL._AC_UL320_.jpg")</f>
        <v>#NAME?</v>
      </c>
      <c r="I3653" t="s">
        <v>3454</v>
      </c>
      <c r="J3653">
        <v>13.49</v>
      </c>
      <c r="K3653" s="4">
        <v>0</v>
      </c>
      <c r="L3653">
        <v>4.9000000000000004</v>
      </c>
      <c r="M3653">
        <v>15</v>
      </c>
      <c r="O3653" t="s">
        <v>25</v>
      </c>
      <c r="P3653" t="s">
        <v>7797</v>
      </c>
      <c r="Q3653" t="s">
        <v>7798</v>
      </c>
    </row>
    <row r="3654" spans="1:17" ht="15.5" x14ac:dyDescent="0.35">
      <c r="A3654" s="3" t="str">
        <f>HYPERLINK("https://edmondsonsupply.com/collections/electricians-tools/products/tajima-gp-30bw-g-plus%E2%84%A2-standard-scale-30-ft-x-1-in-steel-blade-tape-measure", "https://edmondsonsupply.com/collections/electricians-tools/products/tajima-gp-30bw-g-plus%E2%84%A2-standard-scale-30-ft-x-1-in-steel-blade-tape-measure")</f>
        <v>https://edmondsonsupply.com/collections/electricians-tools/products/tajima-gp-30bw-g-plus%E2%84%A2-standard-scale-30-ft-x-1-in-steel-blade-tape-measure</v>
      </c>
      <c r="B3654" s="3" t="str">
        <f>HYPERLINK("https://edmondsonsupply.com/products/tajima-gp-30bw-g-plus%e2%84%a2-standard-scale-30-ft-x-1-in-steel-blade-tape-measure", "https://edmondsonsupply.com/products/tajima-gp-30bw-g-plus%e2%84%a2-standard-scale-30-ft-x-1-in-steel-blade-tape-measure")</f>
        <v>https://edmondsonsupply.com/products/tajima-gp-30bw-g-plus%e2%84%a2-standard-scale-30-ft-x-1-in-steel-blade-tape-measure</v>
      </c>
      <c r="C3654" t="s">
        <v>7998</v>
      </c>
      <c r="D3654" t="s">
        <v>7999</v>
      </c>
      <c r="E3654" s="3" t="str">
        <f>HYPERLINK("https://www.amazon.com/TAJIMA-Tape-Measure-Measuring-Armored/dp/B001S2QNOQ/ref=sr_1_1?keywords=Tajima+GP-30BW+G-PLUS%E2%84%A2+Standard+Scale%2C+30+ft+x+1+in.+Steel+Blade+Tape+Measure&amp;qid=1695174189&amp;sr=8-1", "https://www.amazon.com/TAJIMA-Tape-Measure-Measuring-Armored/dp/B001S2QNOQ/ref=sr_1_1?keywords=Tajima+GP-30BW+G-PLUS%E2%84%A2+Standard+Scale%2C+30+ft+x+1+in.+Steel+Blade+Tape+Measure&amp;qid=1695174189&amp;sr=8-1")</f>
        <v>https://www.amazon.com/TAJIMA-Tape-Measure-Measuring-Armored/dp/B001S2QNOQ/ref=sr_1_1?keywords=Tajima+GP-30BW+G-PLUS%E2%84%A2+Standard+Scale%2C+30+ft+x+1+in.+Steel+Blade+Tape+Measure&amp;qid=1695174189&amp;sr=8-1</v>
      </c>
      <c r="F3654" t="s">
        <v>8000</v>
      </c>
      <c r="G3654" t="e">
        <f ca="1">_xludf.IMAGE("https://edmondsonsupply.com/cdn/shop/products/GP-30BW.jpg?v=1655821822")</f>
        <v>#NAME?</v>
      </c>
      <c r="H3654" t="e">
        <f ca="1">_xludf.IMAGE("https://m.media-amazon.com/images/I/61NWT8g7txL._AC_UL320_.jpg")</f>
        <v>#NAME?</v>
      </c>
      <c r="I3654" t="s">
        <v>8001</v>
      </c>
      <c r="J3654">
        <v>38.93</v>
      </c>
      <c r="K3654" s="4">
        <v>0</v>
      </c>
      <c r="L3654">
        <v>4.0999999999999996</v>
      </c>
      <c r="M3654">
        <v>112</v>
      </c>
      <c r="O3654" t="s">
        <v>25</v>
      </c>
      <c r="P3654" t="s">
        <v>8002</v>
      </c>
      <c r="Q3654" t="s">
        <v>8003</v>
      </c>
    </row>
    <row r="3655" spans="1:17" ht="15.5" x14ac:dyDescent="0.35">
      <c r="A3655" s="3" t="str">
        <f>HYPERLINK("https://edmondsonsupply.com/collections/electricians-tools/products/tajima-vr-102b-one-piece-retractable-utility-knife", "https://edmondsonsupply.com/collections/electricians-tools/products/tajima-vr-102b-one-piece-retractable-utility-knife")</f>
        <v>https://edmondsonsupply.com/collections/electricians-tools/products/tajima-vr-102b-one-piece-retractable-utility-knife</v>
      </c>
      <c r="B3655" s="3" t="str">
        <f>HYPERLINK("https://edmondsonsupply.com/products/tajima-vr-102b-one-piece-retractable-utility-knife", "https://edmondsonsupply.com/products/tajima-vr-102b-one-piece-retractable-utility-knife")</f>
        <v>https://edmondsonsupply.com/products/tajima-vr-102b-one-piece-retractable-utility-knife</v>
      </c>
      <c r="C3655" t="s">
        <v>8004</v>
      </c>
      <c r="D3655" t="s">
        <v>8005</v>
      </c>
      <c r="E3655" s="3" t="str">
        <f>HYPERLINK("https://www.amazon.com/Tajima-VR102-Retractable-Premium-Utility/dp/B003O684PU/ref=sr_1_1?keywords=Tajima+VR-102B+One-Piece+Retractable+Utility+Knife&amp;qid=1695174192&amp;sr=8-1", "https://www.amazon.com/Tajima-VR102-Retractable-Premium-Utility/dp/B003O684PU/ref=sr_1_1?keywords=Tajima+VR-102B+One-Piece+Retractable+Utility+Knife&amp;qid=1695174192&amp;sr=8-1")</f>
        <v>https://www.amazon.com/Tajima-VR102-Retractable-Premium-Utility/dp/B003O684PU/ref=sr_1_1?keywords=Tajima+VR-102B+One-Piece+Retractable+Utility+Knife&amp;qid=1695174192&amp;sr=8-1</v>
      </c>
      <c r="F3655" t="s">
        <v>8006</v>
      </c>
      <c r="G3655" t="e">
        <f ca="1">_xludf.IMAGE("https://edmondsonsupply.com/cdn/shop/products/VR-102B.jpg?v=1657746954")</f>
        <v>#NAME?</v>
      </c>
      <c r="H3655" t="e">
        <f ca="1">_xludf.IMAGE("https://m.media-amazon.com/images/I/71HCO5YquHL._AC_UL320_.jpg")</f>
        <v>#NAME?</v>
      </c>
      <c r="I3655" t="s">
        <v>8007</v>
      </c>
      <c r="J3655">
        <v>25.27</v>
      </c>
      <c r="K3655" s="4">
        <v>0</v>
      </c>
      <c r="L3655">
        <v>3.9</v>
      </c>
      <c r="M3655">
        <v>207</v>
      </c>
      <c r="O3655" t="s">
        <v>25</v>
      </c>
      <c r="P3655" t="s">
        <v>8008</v>
      </c>
      <c r="Q3655" t="s">
        <v>8009</v>
      </c>
    </row>
    <row r="3656" spans="1:17" ht="15.5" x14ac:dyDescent="0.35">
      <c r="A3656"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3656"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3656" t="s">
        <v>6076</v>
      </c>
      <c r="D3656" t="s">
        <v>7098</v>
      </c>
      <c r="E3656" s="3" t="str">
        <f>HYPERLINK("https://www.amazon.com/Klein-Tools-6926INS-Screwdriver-Cushion-Grip/dp/B09GL1X5SZ/ref=sr_1_1?keywords=Klein+Tools+6926INS+Slim-Tip+1000V+Insulated+Screwdriver%2C+1%2F4-Inch+Cabinet%2C+6-Inch&amp;qid=1695174185&amp;sr=8-1", "https://www.amazon.com/Klein-Tools-6926INS-Screwdriver-Cushion-Grip/dp/B09GL1X5SZ/ref=sr_1_1?keywords=Klein+Tools+6926INS+Slim-Tip+1000V+Insulated+Screwdriver%2C+1%2F4-Inch+Cabinet%2C+6-Inch&amp;qid=1695174185&amp;sr=8-1")</f>
        <v>https://www.amazon.com/Klein-Tools-6926INS-Screwdriver-Cushion-Grip/dp/B09GL1X5SZ/ref=sr_1_1?keywords=Klein+Tools+6926INS+Slim-Tip+1000V+Insulated+Screwdriver%2C+1%2F4-Inch+Cabinet%2C+6-Inch&amp;qid=1695174185&amp;sr=8-1</v>
      </c>
      <c r="F3656" t="s">
        <v>7099</v>
      </c>
      <c r="G3656" t="e">
        <f ca="1">_xludf.IMAGE("https://edmondsonsupply.com/cdn/shop/products/6926ins.jpg?v=1664803626")</f>
        <v>#NAME?</v>
      </c>
      <c r="H3656" t="e">
        <f ca="1">_xludf.IMAGE("https://m.media-amazon.com/images/I/41JbepP5oGL._AC_UL320_.jpg")</f>
        <v>#NAME?</v>
      </c>
      <c r="I3656" t="s">
        <v>276</v>
      </c>
      <c r="J3656">
        <v>14.99</v>
      </c>
      <c r="K3656" s="4">
        <v>0</v>
      </c>
      <c r="L3656">
        <v>4.8</v>
      </c>
      <c r="M3656">
        <v>85</v>
      </c>
      <c r="O3656" t="s">
        <v>25</v>
      </c>
      <c r="P3656" t="s">
        <v>277</v>
      </c>
      <c r="Q3656" t="s">
        <v>6079</v>
      </c>
    </row>
    <row r="3657" spans="1:17" ht="15.5" x14ac:dyDescent="0.35">
      <c r="A3657"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3657"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3657" t="s">
        <v>6076</v>
      </c>
      <c r="D3657" t="s">
        <v>7418</v>
      </c>
      <c r="E3657" s="3" t="str">
        <f>HYPERLINK("https://www.amazon.com/Klein-Tools-6936INS-Screwdriver-Cushion-Grip/dp/B09GPZMQ1R/ref=sr_1_4?keywords=Klein+Tools+6926INS+Slim-Tip+1000V+Insulated+Screwdriver%2C+1%2F4-Inch+Cabinet%2C+6-Inch&amp;qid=1695174185&amp;sr=8-4", "https://www.amazon.com/Klein-Tools-6936INS-Screwdriver-Cushion-Grip/dp/B09GPZMQ1R/ref=sr_1_4?keywords=Klein+Tools+6926INS+Slim-Tip+1000V+Insulated+Screwdriver%2C+1%2F4-Inch+Cabinet%2C+6-Inch&amp;qid=1695174185&amp;sr=8-4")</f>
        <v>https://www.amazon.com/Klein-Tools-6936INS-Screwdriver-Cushion-Grip/dp/B09GPZMQ1R/ref=sr_1_4?keywords=Klein+Tools+6926INS+Slim-Tip+1000V+Insulated+Screwdriver%2C+1%2F4-Inch+Cabinet%2C+6-Inch&amp;qid=1695174185&amp;sr=8-4</v>
      </c>
      <c r="F3657" t="s">
        <v>7419</v>
      </c>
      <c r="G3657" t="e">
        <f ca="1">_xludf.IMAGE("https://edmondsonsupply.com/cdn/shop/products/6926ins.jpg?v=1664803626")</f>
        <v>#NAME?</v>
      </c>
      <c r="H3657" t="e">
        <f ca="1">_xludf.IMAGE("https://m.media-amazon.com/images/I/414OB6kFvkL._AC_UL320_.jpg")</f>
        <v>#NAME?</v>
      </c>
      <c r="I3657" t="s">
        <v>276</v>
      </c>
      <c r="J3657">
        <v>14.99</v>
      </c>
      <c r="K3657" s="4">
        <v>0</v>
      </c>
      <c r="L3657">
        <v>4.9000000000000004</v>
      </c>
      <c r="M3657">
        <v>71</v>
      </c>
      <c r="O3657" t="s">
        <v>25</v>
      </c>
      <c r="P3657" t="s">
        <v>277</v>
      </c>
      <c r="Q3657" t="s">
        <v>6079</v>
      </c>
    </row>
    <row r="3658" spans="1:17" ht="15.5" x14ac:dyDescent="0.35">
      <c r="A3658"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3658"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3658" t="s">
        <v>6797</v>
      </c>
      <c r="D3658" t="s">
        <v>5015</v>
      </c>
      <c r="E3658" s="3" t="str">
        <f>HYPERLINK("https://www.amazon.com/Diagonal-Linemans-Klein-Tools-D2000-48/dp/B0000302WZ/ref=sr_1_1?keywords=Klein+Tools+D2000-48+Diagonal+Cutting+Pliers%2C+Angled+Head%2C+8-Inch&amp;qid=1695174171&amp;sr=8-1", "https://www.amazon.com/Diagonal-Linemans-Klein-Tools-D2000-48/dp/B0000302WZ/ref=sr_1_1?keywords=Klein+Tools+D2000-48+Diagonal+Cutting+Pliers%2C+Angled+Head%2C+8-Inch&amp;qid=1695174171&amp;sr=8-1")</f>
        <v>https://www.amazon.com/Diagonal-Linemans-Klein-Tools-D2000-48/dp/B0000302WZ/ref=sr_1_1?keywords=Klein+Tools+D2000-48+Diagonal+Cutting+Pliers%2C+Angled+Head%2C+8-Inch&amp;qid=1695174171&amp;sr=8-1</v>
      </c>
      <c r="F3658" t="s">
        <v>5016</v>
      </c>
      <c r="G3658" t="e">
        <f ca="1">_xludf.IMAGE("https://edmondsonsupply.com/cdn/shop/products/d200048.jpg?v=1660920588")</f>
        <v>#NAME?</v>
      </c>
      <c r="H3658" t="e">
        <f ca="1">_xludf.IMAGE("https://m.media-amazon.com/images/I/41Y+q+BsIsL._AC_UL320_.jpg")</f>
        <v>#NAME?</v>
      </c>
      <c r="I3658" t="s">
        <v>340</v>
      </c>
      <c r="J3658">
        <v>34.97</v>
      </c>
      <c r="K3658" s="4">
        <v>0</v>
      </c>
      <c r="L3658">
        <v>4.7</v>
      </c>
      <c r="M3658">
        <v>530</v>
      </c>
      <c r="O3658" t="s">
        <v>25</v>
      </c>
      <c r="P3658" t="s">
        <v>6800</v>
      </c>
      <c r="Q3658" t="s">
        <v>6801</v>
      </c>
    </row>
    <row r="3659" spans="1:17" ht="15.5" x14ac:dyDescent="0.35">
      <c r="A3659"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3659"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3659" t="s">
        <v>6076</v>
      </c>
      <c r="D3659" t="s">
        <v>7095</v>
      </c>
      <c r="E3659" s="3" t="str">
        <f>HYPERLINK("https://www.amazon.com/Klein-Tools-6986INS-Screwdriver-Cushion-Grip/dp/B09GPYQ7DM/ref=sr_1_5?keywords=Klein+Tools+6926INS+Slim-Tip+1000V+Insulated+Screwdriver%2C+1%2F4-Inch+Cabinet%2C+6-Inch&amp;qid=1695174185&amp;sr=8-5", "https://www.amazon.com/Klein-Tools-6986INS-Screwdriver-Cushion-Grip/dp/B09GPYQ7DM/ref=sr_1_5?keywords=Klein+Tools+6926INS+Slim-Tip+1000V+Insulated+Screwdriver%2C+1%2F4-Inch+Cabinet%2C+6-Inch&amp;qid=1695174185&amp;sr=8-5")</f>
        <v>https://www.amazon.com/Klein-Tools-6986INS-Screwdriver-Cushion-Grip/dp/B09GPYQ7DM/ref=sr_1_5?keywords=Klein+Tools+6926INS+Slim-Tip+1000V+Insulated+Screwdriver%2C+1%2F4-Inch+Cabinet%2C+6-Inch&amp;qid=1695174185&amp;sr=8-5</v>
      </c>
      <c r="F3659" t="s">
        <v>7096</v>
      </c>
      <c r="G3659" t="e">
        <f ca="1">_xludf.IMAGE("https://edmondsonsupply.com/cdn/shop/products/6926ins.jpg?v=1664803626")</f>
        <v>#NAME?</v>
      </c>
      <c r="H3659" t="e">
        <f ca="1">_xludf.IMAGE("https://m.media-amazon.com/images/I/41d5Ic37xZL._AC_UL320_.jpg")</f>
        <v>#NAME?</v>
      </c>
      <c r="I3659" t="s">
        <v>276</v>
      </c>
      <c r="J3659">
        <v>14.99</v>
      </c>
      <c r="K3659" s="4">
        <v>0</v>
      </c>
      <c r="L3659">
        <v>4.8</v>
      </c>
      <c r="M3659">
        <v>29</v>
      </c>
      <c r="O3659" t="s">
        <v>25</v>
      </c>
      <c r="P3659" t="s">
        <v>277</v>
      </c>
      <c r="Q3659" t="s">
        <v>6079</v>
      </c>
    </row>
    <row r="3660" spans="1:17" ht="15.5" x14ac:dyDescent="0.35">
      <c r="A3660"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3660"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3660" t="s">
        <v>6076</v>
      </c>
      <c r="D3660" t="s">
        <v>8010</v>
      </c>
      <c r="E3660" s="3" t="str">
        <f>HYPERLINK("https://www.amazon.com/Klein-Tools-6956INS-Screwdriver-Cushion-Grip/dp/B09H9GV5CP/ref=sr_1_9?keywords=Klein+Tools+6926INS+Slim-Tip+1000V+Insulated+Screwdriver%2C+1%2F4-Inch+Cabinet%2C+6-Inch&amp;qid=1695174185&amp;sr=8-9", "https://www.amazon.com/Klein-Tools-6956INS-Screwdriver-Cushion-Grip/dp/B09H9GV5CP/ref=sr_1_9?keywords=Klein+Tools+6926INS+Slim-Tip+1000V+Insulated+Screwdriver%2C+1%2F4-Inch+Cabinet%2C+6-Inch&amp;qid=1695174185&amp;sr=8-9")</f>
        <v>https://www.amazon.com/Klein-Tools-6956INS-Screwdriver-Cushion-Grip/dp/B09H9GV5CP/ref=sr_1_9?keywords=Klein+Tools+6926INS+Slim-Tip+1000V+Insulated+Screwdriver%2C+1%2F4-Inch+Cabinet%2C+6-Inch&amp;qid=1695174185&amp;sr=8-9</v>
      </c>
      <c r="F3660" t="s">
        <v>8011</v>
      </c>
      <c r="G3660" t="e">
        <f ca="1">_xludf.IMAGE("https://edmondsonsupply.com/cdn/shop/products/6926ins.jpg?v=1664803626")</f>
        <v>#NAME?</v>
      </c>
      <c r="H3660" t="e">
        <f ca="1">_xludf.IMAGE("https://m.media-amazon.com/images/I/41XYb1ZhlVL._AC_UL320_.jpg")</f>
        <v>#NAME?</v>
      </c>
      <c r="I3660" t="s">
        <v>276</v>
      </c>
      <c r="J3660">
        <v>14.99</v>
      </c>
      <c r="K3660" s="4">
        <v>0</v>
      </c>
      <c r="L3660">
        <v>4.5999999999999996</v>
      </c>
      <c r="M3660">
        <v>11</v>
      </c>
      <c r="O3660" t="s">
        <v>25</v>
      </c>
      <c r="P3660" t="s">
        <v>277</v>
      </c>
      <c r="Q3660" t="s">
        <v>6079</v>
      </c>
    </row>
    <row r="3661" spans="1:17" ht="15.5" x14ac:dyDescent="0.35">
      <c r="A3661" s="3" t="str">
        <f>HYPERLINK("https://edmondsonsupply.com/collections/electricians-tools/products/tajima-gs-16-5mbw-gs-lock%E2%84%A2-standard-metric-scale-16-ft-5-m-x-1-in-25mm-steel-blade-tape-measure", "https://edmondsonsupply.com/collections/electricians-tools/products/tajima-gs-16-5mbw-gs-lock%E2%84%A2-standard-metric-scale-16-ft-5-m-x-1-in-25mm-steel-blade-tape-measure")</f>
        <v>https://edmondsonsupply.com/collections/electricians-tools/products/tajima-gs-16-5mbw-gs-lock%E2%84%A2-standard-metric-scale-16-ft-5-m-x-1-in-25mm-steel-blade-tape-measure</v>
      </c>
      <c r="B3661" s="3" t="str">
        <f>HYPERLINK("https://edmondsonsupply.com/products/tajima-gs-16-5mbw-gs-lock%e2%84%a2-standard-metric-scale-16-ft-5-m-x-1-in-25mm-steel-blade-tape-measure", "https://edmondsonsupply.com/products/tajima-gs-16-5mbw-gs-lock%e2%84%a2-standard-metric-scale-16-ft-5-m-x-1-in-25mm-steel-blade-tape-measure")</f>
        <v>https://edmondsonsupply.com/products/tajima-gs-16-5mbw-gs-lock%e2%84%a2-standard-metric-scale-16-ft-5-m-x-1-in-25mm-steel-blade-tape-measure</v>
      </c>
      <c r="C3661" t="s">
        <v>8012</v>
      </c>
      <c r="D3661" t="s">
        <v>8013</v>
      </c>
      <c r="E3661" s="3" t="str">
        <f>HYPERLINK("https://www.amazon.com/TAJIMA-GS-16-5MBW-Standard-Metric/dp/B07KK4HWTX/ref=sr_1_2?keywords=Tajima+GS-16%2F5MBW+GS+Lock%E2%84%A2+Standard+%26+Metric+Scale%2C+16+ft%2F+5+m+x+1+in.%2F25mm+Steel+Blade+Tape+Measure&amp;qid=1695174194&amp;sr=8-2", "https://www.amazon.com/TAJIMA-GS-16-5MBW-Standard-Metric/dp/B07KK4HWTX/ref=sr_1_2?keywords=Tajima+GS-16%2F5MBW+GS+Lock%E2%84%A2+Standard+%26+Metric+Scale%2C+16+ft%2F+5+m+x+1+in.%2F25mm+Steel+Blade+Tape+Measure&amp;qid=1695174194&amp;sr=8-2")</f>
        <v>https://www.amazon.com/TAJIMA-GS-16-5MBW-Standard-Metric/dp/B07KK4HWTX/ref=sr_1_2?keywords=Tajima+GS-16%2F5MBW+GS+Lock%E2%84%A2+Standard+%26+Metric+Scale%2C+16+ft%2F+5+m+x+1+in.%2F25mm+Steel+Blade+Tape+Measure&amp;qid=1695174194&amp;sr=8-2</v>
      </c>
      <c r="F3661" t="s">
        <v>8014</v>
      </c>
      <c r="G3661" t="e">
        <f ca="1">_xludf.IMAGE("https://edmondsonsupply.com/cdn/shop/products/GS16-5MBW.jpg?v=1655829307")</f>
        <v>#NAME?</v>
      </c>
      <c r="H3661" t="e">
        <f ca="1">_xludf.IMAGE("https://m.media-amazon.com/images/I/51vAY18AaEL._AC_UL320_.jpg")</f>
        <v>#NAME?</v>
      </c>
      <c r="I3661" t="s">
        <v>8015</v>
      </c>
      <c r="J3661">
        <v>27.92</v>
      </c>
      <c r="K3661" s="4">
        <v>0</v>
      </c>
      <c r="L3661">
        <v>4</v>
      </c>
      <c r="M3661">
        <v>46</v>
      </c>
      <c r="O3661" t="s">
        <v>25</v>
      </c>
      <c r="P3661" t="s">
        <v>8016</v>
      </c>
      <c r="Q3661" t="s">
        <v>8017</v>
      </c>
    </row>
    <row r="3662" spans="1:17" ht="15.5" x14ac:dyDescent="0.35">
      <c r="A3662" s="3" t="str">
        <f>HYPERLINK("https://edmondsonsupply.com/collections/electricians-tools/products/klein-tools-j63225n-journeyman%E2%84%A2-high-leverage-cable-cutter-with-stripping", "https://edmondsonsupply.com/collections/electricians-tools/products/klein-tools-j63225n-journeyman%E2%84%A2-high-leverage-cable-cutter-with-stripping")</f>
        <v>https://edmondsonsupply.com/collections/electricians-tools/products/klein-tools-j63225n-journeyman%E2%84%A2-high-leverage-cable-cutter-with-stripping</v>
      </c>
      <c r="B3662" s="3" t="str">
        <f>HYPERLINK("https://edmondsonsupply.com/products/klein-tools-j63225n-journeyman%e2%84%a2-high-leverage-cable-cutter-with-stripping", "https://edmondsonsupply.com/products/klein-tools-j63225n-journeyman%e2%84%a2-high-leverage-cable-cutter-with-stripping")</f>
        <v>https://edmondsonsupply.com/products/klein-tools-j63225n-journeyman%e2%84%a2-high-leverage-cable-cutter-with-stripping</v>
      </c>
      <c r="C3662" t="s">
        <v>8018</v>
      </c>
      <c r="D3662" t="s">
        <v>7773</v>
      </c>
      <c r="E3662" s="3" t="str">
        <f>HYPERLINK("https://www.amazon.com/High-Leverage-Communications-Klein-Tools-J63225N/dp/B08R8SNQCL/ref=sr_1_1?keywords=Klein+Tools+J63225N+Journeyman%E2%84%A2+High+Leverage+Cable+Cutter+with+Stripping&amp;qid=1695174207&amp;sr=8-1", "https://www.amazon.com/High-Leverage-Communications-Klein-Tools-J63225N/dp/B08R8SNQCL/ref=sr_1_1?keywords=Klein+Tools+J63225N+Journeyman%E2%84%A2+High+Leverage+Cable+Cutter+with+Stripping&amp;qid=1695174207&amp;sr=8-1")</f>
        <v>https://www.amazon.com/High-Leverage-Communications-Klein-Tools-J63225N/dp/B08R8SNQCL/ref=sr_1_1?keywords=Klein+Tools+J63225N+Journeyman%E2%84%A2+High+Leverage+Cable+Cutter+with+Stripping&amp;qid=1695174207&amp;sr=8-1</v>
      </c>
      <c r="F3662" t="s">
        <v>7774</v>
      </c>
      <c r="G3662" t="e">
        <f ca="1">_xludf.IMAGE("https://edmondsonsupply.com/cdn/shop/products/j63225n_b.jpg?v=1659387149")</f>
        <v>#NAME?</v>
      </c>
      <c r="H3662" t="e">
        <f ca="1">_xludf.IMAGE("https://m.media-amazon.com/images/I/61+P5wW4RkL._AC_UL320_.jpg")</f>
        <v>#NAME?</v>
      </c>
      <c r="I3662" t="s">
        <v>8019</v>
      </c>
      <c r="J3662">
        <v>41.97</v>
      </c>
      <c r="K3662" s="4">
        <v>0</v>
      </c>
      <c r="L3662">
        <v>4.7</v>
      </c>
      <c r="M3662">
        <v>428</v>
      </c>
      <c r="O3662" t="s">
        <v>25</v>
      </c>
      <c r="P3662" t="s">
        <v>8020</v>
      </c>
      <c r="Q3662" t="s">
        <v>8021</v>
      </c>
    </row>
    <row r="3663" spans="1:17" ht="15.5" x14ac:dyDescent="0.35">
      <c r="A3663"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3663" s="3" t="str">
        <f>HYPERLINK("https://edmondsonsupply.com/products/klein-tools-32535-10-in-1-10-fold-screwdriver-nut-driver", "https://edmondsonsupply.com/products/klein-tools-32535-10-in-1-10-fold-screwdriver-nut-driver")</f>
        <v>https://edmondsonsupply.com/products/klein-tools-32535-10-in-1-10-fold-screwdriver-nut-driver</v>
      </c>
      <c r="C3663" t="s">
        <v>4368</v>
      </c>
      <c r="D3663" t="s">
        <v>4368</v>
      </c>
      <c r="E3663" s="3" t="str">
        <f>HYPERLINK("https://www.amazon.com/Klein-Tools-32535-10-Fold-Screwdriver/dp/B0031BX54I/ref=sr_1_1?keywords=Klein+Tools+32535+10-in-1+10+Fold+Screwdriver+%2F+Nut+Driver&amp;qid=1695173914&amp;sr=8-1", "https://www.amazon.com/Klein-Tools-32535-10-Fold-Screwdriver/dp/B0031BX54I/ref=sr_1_1?keywords=Klein+Tools+32535+10-in-1+10+Fold+Screwdriver+%2F+Nut+Driver&amp;qid=1695173914&amp;sr=8-1")</f>
        <v>https://www.amazon.com/Klein-Tools-32535-10-Fold-Screwdriver/dp/B0031BX54I/ref=sr_1_1?keywords=Klein+Tools+32535+10-in-1+10+Fold+Screwdriver+%2F+Nut+Driver&amp;qid=1695173914&amp;sr=8-1</v>
      </c>
      <c r="F3663" t="s">
        <v>4780</v>
      </c>
      <c r="G3663" t="e">
        <f ca="1">_xludf.IMAGE("https://edmondsonsupply.com/cdn/shop/products/32535.jpg?v=1633030894")</f>
        <v>#NAME?</v>
      </c>
      <c r="H3663" t="e">
        <f ca="1">_xludf.IMAGE("https://m.media-amazon.com/images/I/51e7QvMcFLL._AC_UL320_.jpg")</f>
        <v>#NAME?</v>
      </c>
      <c r="I3663" t="s">
        <v>26</v>
      </c>
      <c r="J3663">
        <v>29.99</v>
      </c>
      <c r="K3663" s="4">
        <v>0</v>
      </c>
      <c r="L3663">
        <v>4.5999999999999996</v>
      </c>
      <c r="M3663">
        <v>872</v>
      </c>
      <c r="O3663" t="s">
        <v>25</v>
      </c>
      <c r="P3663" t="s">
        <v>4371</v>
      </c>
      <c r="Q3663" t="s">
        <v>4372</v>
      </c>
    </row>
    <row r="3664" spans="1:17" ht="15.5" x14ac:dyDescent="0.35">
      <c r="A3664"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3664"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3664" t="s">
        <v>8022</v>
      </c>
      <c r="D3664" t="s">
        <v>8023</v>
      </c>
      <c r="E3664" s="3" t="str">
        <f>HYPERLINK("https://www.amazon.com/Klein-Tools-32510-Screwdriver-Tamperproof/dp/B0018BS7GY/ref=sr_1_1?keywords=Klein+Tools+32510+Magnetic+Screwdriver+with+32+Tamperproof+Bits&amp;qid=1695174211&amp;sr=8-1", "https://www.amazon.com/Klein-Tools-32510-Screwdriver-Tamperproof/dp/B0018BS7GY/ref=sr_1_1?keywords=Klein+Tools+32510+Magnetic+Screwdriver+with+32+Tamperproof+Bits&amp;qid=1695174211&amp;sr=8-1")</f>
        <v>https://www.amazon.com/Klein-Tools-32510-Screwdriver-Tamperproof/dp/B0018BS7GY/ref=sr_1_1?keywords=Klein+Tools+32510+Magnetic+Screwdriver+with+32+Tamperproof+Bits&amp;qid=1695174211&amp;sr=8-1</v>
      </c>
      <c r="F3664" t="s">
        <v>8024</v>
      </c>
      <c r="G3664" t="e">
        <f ca="1">_xludf.IMAGE("https://edmondsonsupply.com/cdn/shop/products/32510_alt2.jpg?v=1653267434")</f>
        <v>#NAME?</v>
      </c>
      <c r="H3664" t="e">
        <f ca="1">_xludf.IMAGE("https://m.media-amazon.com/images/I/51bvmlQNvEL._AC_UL320_.jpg")</f>
        <v>#NAME?</v>
      </c>
      <c r="I3664" t="s">
        <v>824</v>
      </c>
      <c r="J3664">
        <v>29.97</v>
      </c>
      <c r="K3664" s="4">
        <v>0</v>
      </c>
      <c r="L3664">
        <v>4.8</v>
      </c>
      <c r="M3664">
        <v>1333</v>
      </c>
      <c r="O3664" t="s">
        <v>25</v>
      </c>
      <c r="P3664" t="s">
        <v>8025</v>
      </c>
      <c r="Q3664" t="s">
        <v>8026</v>
      </c>
    </row>
    <row r="3665" spans="1:17" ht="15.5" x14ac:dyDescent="0.35">
      <c r="A3665" s="3" t="str">
        <f>HYPERLINK("https://edmondsonsupply.com/collections/electricians-tools/products/klein-tools-50550-glow-in-the-dark-fish-tape-20-foot", "https://edmondsonsupply.com/collections/electricians-tools/products/klein-tools-50550-glow-in-the-dark-fish-tape-20-foot")</f>
        <v>https://edmondsonsupply.com/collections/electricians-tools/products/klein-tools-50550-glow-in-the-dark-fish-tape-20-foot</v>
      </c>
      <c r="B3665" s="3" t="str">
        <f>HYPERLINK("https://edmondsonsupply.com/products/klein-tools-50550-glow-in-the-dark-fish-tape-20-foot", "https://edmondsonsupply.com/products/klein-tools-50550-glow-in-the-dark-fish-tape-20-foot")</f>
        <v>https://edmondsonsupply.com/products/klein-tools-50550-glow-in-the-dark-fish-tape-20-foot</v>
      </c>
      <c r="C3665" t="s">
        <v>7183</v>
      </c>
      <c r="D3665" t="s">
        <v>8027</v>
      </c>
      <c r="E3665" s="3" t="str">
        <f>HYPERLINK("https://www.amazon.com/Klein-Tools-5055020-Foot-Stainless-Steel-50550/dp/B08N5FML65/ref=sr_1_1?keywords=Klein+Tools+50550+Glow+in+the+Dark+Fish+Tape%2C+20-Foot&amp;qid=1695174211&amp;sr=8-1", "https://www.amazon.com/Klein-Tools-5055020-Foot-Stainless-Steel-50550/dp/B08N5FML65/ref=sr_1_1?keywords=Klein+Tools+50550+Glow+in+the+Dark+Fish+Tape%2C+20-Foot&amp;qid=1695174211&amp;sr=8-1")</f>
        <v>https://www.amazon.com/Klein-Tools-5055020-Foot-Stainless-Steel-50550/dp/B08N5FML65/ref=sr_1_1?keywords=Klein+Tools+50550+Glow+in+the+Dark+Fish+Tape%2C+20-Foot&amp;qid=1695174211&amp;sr=8-1</v>
      </c>
      <c r="F3665" t="s">
        <v>8028</v>
      </c>
      <c r="G3665" t="e">
        <f ca="1">_xludf.IMAGE("https://edmondsonsupply.com/cdn/shop/products/50550_c.jpg?v=1650066147")</f>
        <v>#NAME?</v>
      </c>
      <c r="H3665" t="e">
        <f ca="1">_xludf.IMAGE("https://m.media-amazon.com/images/I/51r5uoGNk9L._AC_UL320_.jpg")</f>
        <v>#NAME?</v>
      </c>
      <c r="I3665" t="s">
        <v>340</v>
      </c>
      <c r="J3665">
        <v>34.97</v>
      </c>
      <c r="K3665" s="4">
        <v>0</v>
      </c>
      <c r="L3665">
        <v>4.5</v>
      </c>
      <c r="M3665">
        <v>445</v>
      </c>
      <c r="O3665" t="s">
        <v>25</v>
      </c>
      <c r="P3665" t="s">
        <v>7184</v>
      </c>
      <c r="Q3665" t="s">
        <v>7185</v>
      </c>
    </row>
    <row r="3666" spans="1:17" ht="15.5" x14ac:dyDescent="0.35">
      <c r="A3666"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3666" s="3" t="str">
        <f>HYPERLINK("https://edmondsonsupply.com/products/klein-tools-vdv500-123-probe-pro-tracing-probe", "https://edmondsonsupply.com/products/klein-tools-vdv500-123-probe-pro-tracing-probe")</f>
        <v>https://edmondsonsupply.com/products/klein-tools-vdv500-123-probe-pro-tracing-probe</v>
      </c>
      <c r="C3666" t="s">
        <v>6065</v>
      </c>
      <c r="D3666" t="s">
        <v>8029</v>
      </c>
      <c r="E3666" s="3" t="str">
        <f>HYPERLINK("https://www.amazon.com/Klein-Tools-VDV500-123-Replaceable-Non-Metallic/dp/B07ZWCM8L5/ref=sr_1_1?keywords=Klein+Tools+VDV500-123+Probe-PRO+Tracing+Probe&amp;qid=1695173898&amp;sr=8-1", "https://www.amazon.com/Klein-Tools-VDV500-123-Replaceable-Non-Metallic/dp/B07ZWCM8L5/ref=sr_1_1?keywords=Klein+Tools+VDV500-123+Probe-PRO+Tracing+Probe&amp;qid=1695173898&amp;sr=8-1")</f>
        <v>https://www.amazon.com/Klein-Tools-VDV500-123-Replaceable-Non-Metallic/dp/B07ZWCM8L5/ref=sr_1_1?keywords=Klein+Tools+VDV500-123+Probe-PRO+Tracing+Probe&amp;qid=1695173898&amp;sr=8-1</v>
      </c>
      <c r="F3666" t="s">
        <v>8030</v>
      </c>
      <c r="G3666" t="e">
        <f ca="1">_xludf.IMAGE("https://edmondsonsupply.com/cdn/shop/products/vdv500123.jpg?v=1587142783")</f>
        <v>#NAME?</v>
      </c>
      <c r="H3666" t="e">
        <f ca="1">_xludf.IMAGE("https://m.media-amazon.com/images/I/51ObUlpe-TL._AC_UY218_.jpg")</f>
        <v>#NAME?</v>
      </c>
      <c r="I3666" t="s">
        <v>946</v>
      </c>
      <c r="J3666">
        <v>44.99</v>
      </c>
      <c r="K3666" s="4">
        <v>0</v>
      </c>
      <c r="L3666">
        <v>4.7</v>
      </c>
      <c r="M3666">
        <v>695</v>
      </c>
      <c r="O3666" t="s">
        <v>25</v>
      </c>
      <c r="P3666" t="s">
        <v>6068</v>
      </c>
      <c r="Q3666" t="s">
        <v>6069</v>
      </c>
    </row>
    <row r="3667" spans="1:17" ht="15.5" x14ac:dyDescent="0.35">
      <c r="A3667" s="3" t="str">
        <f>HYPERLINK("https://edmondsonsupply.com/collections/electricians-tools/products/klein-tools-66031-3-in-1-slotted-impact-socket-12-point-3-4-and-9-16-inch", "https://edmondsonsupply.com/collections/electricians-tools/products/klein-tools-66031-3-in-1-slotted-impact-socket-12-point-3-4-and-9-16-inch")</f>
        <v>https://edmondsonsupply.com/collections/electricians-tools/products/klein-tools-66031-3-in-1-slotted-impact-socket-12-point-3-4-and-9-16-inch</v>
      </c>
      <c r="B3667" s="3" t="str">
        <f>HYPERLINK("https://edmondsonsupply.com/products/klein-tools-66031-3-in-1-slotted-impact-socket-12-point-3-4-and-9-16-inch", "https://edmondsonsupply.com/products/klein-tools-66031-3-in-1-slotted-impact-socket-12-point-3-4-and-9-16-inch")</f>
        <v>https://edmondsonsupply.com/products/klein-tools-66031-3-in-1-slotted-impact-socket-12-point-3-4-and-9-16-inch</v>
      </c>
      <c r="C3667" t="s">
        <v>8031</v>
      </c>
      <c r="D3667" t="s">
        <v>6126</v>
      </c>
      <c r="E3667" s="3" t="str">
        <f>HYPERLINK("https://www.amazon.com/Klein-Tools-66031-Slotted-12-Point/dp/B08R6FL5P8/ref=sr_1_1?keywords=Klein+Tools+66031+3-in-1+Slotted+Impact+Socket%2C+12-Point%2C+3%2F4+and+9%2F16-Inch&amp;qid=1695174174&amp;sr=8-1", "https://www.amazon.com/Klein-Tools-66031-Slotted-12-Point/dp/B08R6FL5P8/ref=sr_1_1?keywords=Klein+Tools+66031+3-in-1+Slotted+Impact+Socket%2C+12-Point%2C+3%2F4+and+9%2F16-Inch&amp;qid=1695174174&amp;sr=8-1")</f>
        <v>https://www.amazon.com/Klein-Tools-66031-Slotted-12-Point/dp/B08R6FL5P8/ref=sr_1_1?keywords=Klein+Tools+66031+3-in-1+Slotted+Impact+Socket%2C+12-Point%2C+3%2F4+and+9%2F16-Inch&amp;qid=1695174174&amp;sr=8-1</v>
      </c>
      <c r="F3667" t="s">
        <v>6127</v>
      </c>
      <c r="G3667" t="e">
        <f ca="1">_xludf.IMAGE("https://edmondsonsupply.com/cdn/shop/products/66031.jpg?v=1659389111")</f>
        <v>#NAME?</v>
      </c>
      <c r="H3667" t="e">
        <f ca="1">_xludf.IMAGE("https://m.media-amazon.com/images/I/51mIf57QKuL._AC_UL320_.jpg")</f>
        <v>#NAME?</v>
      </c>
      <c r="I3667" t="s">
        <v>1931</v>
      </c>
      <c r="J3667">
        <v>49.99</v>
      </c>
      <c r="K3667" s="4">
        <v>0</v>
      </c>
      <c r="L3667">
        <v>4.8</v>
      </c>
      <c r="M3667">
        <v>662</v>
      </c>
      <c r="O3667" t="s">
        <v>25</v>
      </c>
      <c r="P3667" t="s">
        <v>8032</v>
      </c>
      <c r="Q3667" t="s">
        <v>8033</v>
      </c>
    </row>
    <row r="3668" spans="1:17" ht="15.5" x14ac:dyDescent="0.35">
      <c r="A3668"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3668"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3668" t="s">
        <v>7089</v>
      </c>
      <c r="D3668" t="s">
        <v>3112</v>
      </c>
      <c r="E3668" s="3" t="str">
        <f>HYPERLINK("https://www.amazon.com/CHANNELLOCK-440X-12-inch-SPEEDGRIP-Straight/dp/B07R11V4X3/ref=sr_1_1?keywords=Channellock+440X+12-Inch+SPEEDGRIP%E2%84%A2+Straight+Jaw+Tongue+%26+Groove+Pliers&amp;qid=1695174216&amp;sr=8-1", "https://www.amazon.com/CHANNELLOCK-440X-12-inch-SPEEDGRIP-Straight/dp/B07R11V4X3/ref=sr_1_1?keywords=Channellock+440X+12-Inch+SPEEDGRIP%E2%84%A2+Straight+Jaw+Tongue+%26+Groove+Pliers&amp;qid=1695174216&amp;sr=8-1")</f>
        <v>https://www.amazon.com/CHANNELLOCK-440X-12-inch-SPEEDGRIP-Straight/dp/B07R11V4X3/ref=sr_1_1?keywords=Channellock+440X+12-Inch+SPEEDGRIP%E2%84%A2+Straight+Jaw+Tongue+%26+Groove+Pliers&amp;qid=1695174216&amp;sr=8-1</v>
      </c>
      <c r="F3668" t="s">
        <v>3113</v>
      </c>
      <c r="G3668" t="e">
        <f ca="1">_xludf.IMAGE("https://edmondsonsupply.com/cdn/shop/products/440X.jpg?v=1647104734")</f>
        <v>#NAME?</v>
      </c>
      <c r="H3668" t="e">
        <f ca="1">_xludf.IMAGE("https://m.media-amazon.com/images/I/61zy7hHkDbL._AC_UL320_.jpg")</f>
        <v>#NAME?</v>
      </c>
      <c r="I3668" t="s">
        <v>122</v>
      </c>
      <c r="J3668">
        <v>32.950000000000003</v>
      </c>
      <c r="K3668" s="4">
        <v>0</v>
      </c>
      <c r="L3668">
        <v>4.4000000000000004</v>
      </c>
      <c r="M3668">
        <v>578</v>
      </c>
      <c r="O3668" t="s">
        <v>25</v>
      </c>
      <c r="P3668" t="s">
        <v>7092</v>
      </c>
      <c r="Q3668" t="s">
        <v>7093</v>
      </c>
    </row>
    <row r="3669" spans="1:17" ht="15.5" x14ac:dyDescent="0.35">
      <c r="A3669" s="3" t="str">
        <f>HYPERLINK("https://edmondsonsupply.com/collections/electricians-tools/products/tajima-gs-25bw-gs-lock%E2%84%A2-standard-scale-25-ft-x-1-in-steel-blade-tape-measure", "https://edmondsonsupply.com/collections/electricians-tools/products/tajima-gs-25bw-gs-lock%E2%84%A2-standard-scale-25-ft-x-1-in-steel-blade-tape-measure")</f>
        <v>https://edmondsonsupply.com/collections/electricians-tools/products/tajima-gs-25bw-gs-lock%E2%84%A2-standard-scale-25-ft-x-1-in-steel-blade-tape-measure</v>
      </c>
      <c r="B3669" s="3" t="str">
        <f>HYPERLINK("https://edmondsonsupply.com/products/tajima-gs-25bw-gs-lock%e2%84%a2-standard-scale-25-ft-x-1-in-steel-blade-tape-measure", "https://edmondsonsupply.com/products/tajima-gs-25bw-gs-lock%e2%84%a2-standard-scale-25-ft-x-1-in-steel-blade-tape-measure")</f>
        <v>https://edmondsonsupply.com/products/tajima-gs-25bw-gs-lock%e2%84%a2-standard-scale-25-ft-x-1-in-steel-blade-tape-measure</v>
      </c>
      <c r="C3669" t="s">
        <v>7634</v>
      </c>
      <c r="D3669" t="s">
        <v>8034</v>
      </c>
      <c r="E3669" s="3" t="str">
        <f>HYPERLINK("https://www.amazon.com/TAJIMA-GS25-7-5MBW-Standard-Metric/dp/B07KJYHXG2/ref=sr_1_1?keywords=Tajima+GS-25BW+GS+Lock%E2%84%A2+Standard+Scale%2C+25+ft+x+1-1%2F16+in.+Steel+Blade+Tape+Measure&amp;qid=1695174184&amp;sr=8-1", "https://www.amazon.com/TAJIMA-GS25-7-5MBW-Standard-Metric/dp/B07KJYHXG2/ref=sr_1_1?keywords=Tajima+GS-25BW+GS+Lock%E2%84%A2+Standard+Scale%2C+25+ft+x+1-1%2F16+in.+Steel+Blade+Tape+Measure&amp;qid=1695174184&amp;sr=8-1")</f>
        <v>https://www.amazon.com/TAJIMA-GS25-7-5MBW-Standard-Metric/dp/B07KJYHXG2/ref=sr_1_1?keywords=Tajima+GS-25BW+GS+Lock%E2%84%A2+Standard+Scale%2C+25+ft+x+1-1%2F16+in.+Steel+Blade+Tape+Measure&amp;qid=1695174184&amp;sr=8-1</v>
      </c>
      <c r="F3669" t="s">
        <v>8035</v>
      </c>
      <c r="G3669" t="e">
        <f ca="1">_xludf.IMAGE("https://edmondsonsupply.com/cdn/shop/products/GS25BW.jpg?v=1655828685")</f>
        <v>#NAME?</v>
      </c>
      <c r="H3669" t="e">
        <f ca="1">_xludf.IMAGE("https://m.media-amazon.com/images/I/51PaItjwi6L._AC_UL320_.jpg")</f>
        <v>#NAME?</v>
      </c>
      <c r="I3669" t="s">
        <v>7637</v>
      </c>
      <c r="J3669">
        <v>40.08</v>
      </c>
      <c r="K3669" s="4">
        <v>0</v>
      </c>
      <c r="L3669">
        <v>4</v>
      </c>
      <c r="M3669">
        <v>46</v>
      </c>
      <c r="O3669" t="s">
        <v>25</v>
      </c>
      <c r="P3669" t="s">
        <v>7638</v>
      </c>
      <c r="Q3669" t="s">
        <v>7639</v>
      </c>
    </row>
    <row r="3670" spans="1:17" ht="15.5" x14ac:dyDescent="0.35">
      <c r="A3670"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3670" s="3" t="str">
        <f>HYPERLINK("https://edmondsonsupply.com/products/klein-tools-et600-insulation-resistance-tester", "https://edmondsonsupply.com/products/klein-tools-et600-insulation-resistance-tester")</f>
        <v>https://edmondsonsupply.com/products/klein-tools-et600-insulation-resistance-tester</v>
      </c>
      <c r="C3670" t="s">
        <v>6505</v>
      </c>
      <c r="D3670" t="s">
        <v>8036</v>
      </c>
      <c r="E3670" s="3" t="str">
        <f>HYPERLINK("https://www.amazon.com/Klein-Tools-ET600-Megohmmeter-Insulation/dp/B07ZZX5TK8/ref=sr_1_1?keywords=Klein+Tools+ET600+Insulation+Resistance+Tester&amp;qid=1695173907&amp;sr=8-1", "https://www.amazon.com/Klein-Tools-ET600-Megohmmeter-Insulation/dp/B07ZZX5TK8/ref=sr_1_1?keywords=Klein+Tools+ET600+Insulation+Resistance+Tester&amp;qid=1695173907&amp;sr=8-1")</f>
        <v>https://www.amazon.com/Klein-Tools-ET600-Megohmmeter-Insulation/dp/B07ZZX5TK8/ref=sr_1_1?keywords=Klein+Tools+ET600+Insulation+Resistance+Tester&amp;qid=1695173907&amp;sr=8-1</v>
      </c>
      <c r="F3670" t="s">
        <v>8037</v>
      </c>
      <c r="G3670" t="e">
        <f ca="1">_xludf.IMAGE("https://edmondsonsupply.com/cdn/shop/products/et600_accessories_b.jpg?v=1677685603")</f>
        <v>#NAME?</v>
      </c>
      <c r="H3670" t="e">
        <f ca="1">_xludf.IMAGE("https://m.media-amazon.com/images/I/61NxYsCuofL._AC_UY218_.jpg")</f>
        <v>#NAME?</v>
      </c>
      <c r="I3670" t="s">
        <v>6506</v>
      </c>
      <c r="J3670">
        <v>164.99</v>
      </c>
      <c r="K3670" s="4">
        <v>0</v>
      </c>
      <c r="L3670">
        <v>4.7</v>
      </c>
      <c r="M3670">
        <v>1008</v>
      </c>
      <c r="O3670" t="s">
        <v>25</v>
      </c>
      <c r="P3670" t="s">
        <v>6507</v>
      </c>
      <c r="Q3670" t="s">
        <v>6508</v>
      </c>
    </row>
    <row r="3671" spans="1:17" ht="15.5" x14ac:dyDescent="0.35">
      <c r="A3671" s="3" t="str">
        <f>HYPERLINK("https://edmondsonsupply.com/collections/electricians-tools/products/klein-tools-60442-reusable-face-mask-with-replaceable-filters", "https://edmondsonsupply.com/collections/electricians-tools/products/klein-tools-60442-reusable-face-mask-with-replaceable-filters")</f>
        <v>https://edmondsonsupply.com/collections/electricians-tools/products/klein-tools-60442-reusable-face-mask-with-replaceable-filters</v>
      </c>
      <c r="B3671" s="3" t="str">
        <f>HYPERLINK("https://edmondsonsupply.com/products/klein-tools-60442-reusable-face-mask-with-replaceable-filters", "https://edmondsonsupply.com/products/klein-tools-60442-reusable-face-mask-with-replaceable-filters")</f>
        <v>https://edmondsonsupply.com/products/klein-tools-60442-reusable-face-mask-with-replaceable-filters</v>
      </c>
      <c r="C3671" t="s">
        <v>1161</v>
      </c>
      <c r="D3671" t="s">
        <v>1162</v>
      </c>
      <c r="E3671" s="3" t="str">
        <f>HYPERLINK("https://www.amazon.com/Klein-Tools-60442-Replaceable-Adjustable/dp/B08P3TF8LJ/ref=sr_1_5?keywords=Klein+Tools+60442+Reusable+Face+Mask+with+Replaceable+Filters&amp;qid=1695174179&amp;sr=8-5", "https://www.amazon.com/Klein-Tools-60442-Replaceable-Adjustable/dp/B08P3TF8LJ/ref=sr_1_5?keywords=Klein+Tools+60442+Reusable+Face+Mask+with+Replaceable+Filters&amp;qid=1695174179&amp;sr=8-5")</f>
        <v>https://www.amazon.com/Klein-Tools-60442-Replaceable-Adjustable/dp/B08P3TF8LJ/ref=sr_1_5?keywords=Klein+Tools+60442+Reusable+Face+Mask+with+Replaceable+Filters&amp;qid=1695174179&amp;sr=8-5</v>
      </c>
      <c r="F3671" t="s">
        <v>1163</v>
      </c>
      <c r="G3671" t="e">
        <f ca="1">_xludf.IMAGE("https://edmondsonsupply.com/cdn/shop/products/60442.jpg?v=1659117463")</f>
        <v>#NAME?</v>
      </c>
      <c r="H3671" t="e">
        <f ca="1">_xludf.IMAGE("https://m.media-amazon.com/images/I/71k4fEShtZL._AC_UL320_.jpg")</f>
        <v>#NAME?</v>
      </c>
      <c r="I3671" t="s">
        <v>276</v>
      </c>
      <c r="J3671">
        <v>14.99</v>
      </c>
      <c r="K3671" s="4">
        <v>0</v>
      </c>
      <c r="L3671">
        <v>4.3</v>
      </c>
      <c r="M3671">
        <v>167</v>
      </c>
      <c r="O3671" t="s">
        <v>25</v>
      </c>
      <c r="P3671" t="s">
        <v>1164</v>
      </c>
      <c r="Q3671" t="s">
        <v>1165</v>
      </c>
    </row>
    <row r="3672" spans="1:17" ht="15.5" x14ac:dyDescent="0.35">
      <c r="A3672"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3672" s="3" t="str">
        <f>HYPERLINK("https://edmondsonsupply.com/products/klein-tools-935dagl-digital-level-with-programmable-angles", "https://edmondsonsupply.com/products/klein-tools-935dagl-digital-level-with-programmable-angles")</f>
        <v>https://edmondsonsupply.com/products/klein-tools-935dagl-digital-level-with-programmable-angles</v>
      </c>
      <c r="C3672" t="s">
        <v>7122</v>
      </c>
      <c r="D3672" t="s">
        <v>8038</v>
      </c>
      <c r="E3672" s="3" t="str">
        <f>HYPERLINK("https://www.amazon.com/935DAGL-Digital-Finder-Programmable-Measures/dp/B07L5LMYV8/ref=sr_1_1?keywords=Klein+Tools+935DAGL+Digital+Level+with+Programmable+Angles&amp;qid=1695174178&amp;sr=8-1", "https://www.amazon.com/935DAGL-Digital-Finder-Programmable-Measures/dp/B07L5LMYV8/ref=sr_1_1?keywords=Klein+Tools+935DAGL+Digital+Level+with+Programmable+Angles&amp;qid=1695174178&amp;sr=8-1")</f>
        <v>https://www.amazon.com/935DAGL-Digital-Finder-Programmable-Measures/dp/B07L5LMYV8/ref=sr_1_1?keywords=Klein+Tools+935DAGL+Digital+Level+with+Programmable+Angles&amp;qid=1695174178&amp;sr=8-1</v>
      </c>
      <c r="F3672" t="s">
        <v>8039</v>
      </c>
      <c r="G3672" t="e">
        <f ca="1">_xludf.IMAGE("https://edmondsonsupply.com/cdn/shop/products/935dagl.jpg?v=1660749694")</f>
        <v>#NAME?</v>
      </c>
      <c r="H3672" t="e">
        <f ca="1">_xludf.IMAGE("https://m.media-amazon.com/images/I/61y6O1e1-+L._AC_UL320_.jpg")</f>
        <v>#NAME?</v>
      </c>
      <c r="I3672" t="s">
        <v>5197</v>
      </c>
      <c r="J3672">
        <v>59.97</v>
      </c>
      <c r="K3672" s="4">
        <v>0</v>
      </c>
      <c r="L3672">
        <v>4.7</v>
      </c>
      <c r="M3672">
        <v>326</v>
      </c>
      <c r="O3672" t="s">
        <v>25</v>
      </c>
      <c r="P3672" t="s">
        <v>7123</v>
      </c>
      <c r="Q3672" t="s">
        <v>7124</v>
      </c>
    </row>
    <row r="3673" spans="1:17" ht="15.5" x14ac:dyDescent="0.35">
      <c r="A3673"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3673"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3673" t="s">
        <v>6254</v>
      </c>
      <c r="D3673" t="s">
        <v>8040</v>
      </c>
      <c r="E3673" s="3" t="str">
        <f>HYPERLINK("https://www.amazon.com/Klein-Tools-IR1-Thermometer-Non-Contact/dp/B0873T6SGR/ref=sr_1_1?keywords=Klein+Tools+IR1+Infrared+Digital+Thermometer+with+Targeting+Laser%2C+10%3A1&amp;qid=1695174178&amp;sr=8-1", "https://www.amazon.com/Klein-Tools-IR1-Thermometer-Non-Contact/dp/B0873T6SGR/ref=sr_1_1?keywords=Klein+Tools+IR1+Infrared+Digital+Thermometer+with+Targeting+Laser%2C+10%3A1&amp;qid=1695174178&amp;sr=8-1")</f>
        <v>https://www.amazon.com/Klein-Tools-IR1-Thermometer-Non-Contact/dp/B0873T6SGR/ref=sr_1_1?keywords=Klein+Tools+IR1+Infrared+Digital+Thermometer+with+Targeting+Laser%2C+10%3A1&amp;qid=1695174178&amp;sr=8-1</v>
      </c>
      <c r="F3673" t="s">
        <v>8041</v>
      </c>
      <c r="G3673" t="e">
        <f ca="1">_xludf.IMAGE("https://edmondsonsupply.com/cdn/shop/products/ir1.jpg?v=1659112251")</f>
        <v>#NAME?</v>
      </c>
      <c r="H3673" t="e">
        <f ca="1">_xludf.IMAGE("https://m.media-amazon.com/images/I/511oYbWbZxL._AC_UY218_.jpg")</f>
        <v>#NAME?</v>
      </c>
      <c r="I3673" t="s">
        <v>3578</v>
      </c>
      <c r="J3673">
        <v>32.99</v>
      </c>
      <c r="K3673" s="4">
        <v>0</v>
      </c>
      <c r="L3673">
        <v>4.7</v>
      </c>
      <c r="M3673">
        <v>2079</v>
      </c>
      <c r="O3673" t="s">
        <v>25</v>
      </c>
      <c r="P3673" t="s">
        <v>6255</v>
      </c>
      <c r="Q3673" t="s">
        <v>6256</v>
      </c>
    </row>
    <row r="3674" spans="1:17" ht="15.5" x14ac:dyDescent="0.35">
      <c r="A3674"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3674"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3674" t="s">
        <v>6425</v>
      </c>
      <c r="D3674" t="s">
        <v>7125</v>
      </c>
      <c r="E3674" s="3" t="str">
        <f>HYPERLINK("https://www.amazon.com/Receptacle-Electrical-Klein-Tools-ET45VP/dp/B08Y63ZG1B/ref=sr_1_1?keywords=Klein+Tools+ET45VP+AC%2FDC+Voltage+and+GFCI+Receptacle+Outlet+Test+Kit&amp;qid=1695174178&amp;sr=8-1", "https://www.amazon.com/Receptacle-Electrical-Klein-Tools-ET45VP/dp/B08Y63ZG1B/ref=sr_1_1?keywords=Klein+Tools+ET45VP+AC%2FDC+Voltage+and+GFCI+Receptacle+Outlet+Test+Kit&amp;qid=1695174178&amp;sr=8-1")</f>
        <v>https://www.amazon.com/Receptacle-Electrical-Klein-Tools-ET45VP/dp/B08Y63ZG1B/ref=sr_1_1?keywords=Klein+Tools+ET45VP+AC%2FDC+Voltage+and+GFCI+Receptacle+Outlet+Test+Kit&amp;qid=1695174178&amp;sr=8-1</v>
      </c>
      <c r="F3674" t="s">
        <v>7126</v>
      </c>
      <c r="G3674" t="e">
        <f ca="1">_xludf.IMAGE("https://edmondsonsupply.com/cdn/shop/products/et45vp.jpg?v=1660755922")</f>
        <v>#NAME?</v>
      </c>
      <c r="H3674" t="e">
        <f ca="1">_xludf.IMAGE("https://m.media-amazon.com/images/I/51g9gSN+3SL._AC_UL320_.jpg")</f>
        <v>#NAME?</v>
      </c>
      <c r="I3674" t="s">
        <v>2586</v>
      </c>
      <c r="J3674">
        <v>17.97</v>
      </c>
      <c r="K3674" s="4">
        <v>0</v>
      </c>
      <c r="L3674">
        <v>4.5999999999999996</v>
      </c>
      <c r="M3674">
        <v>241</v>
      </c>
      <c r="O3674" t="s">
        <v>25</v>
      </c>
      <c r="P3674" t="s">
        <v>6426</v>
      </c>
      <c r="Q3674" t="s">
        <v>6427</v>
      </c>
    </row>
    <row r="3675" spans="1:17" ht="15.5" x14ac:dyDescent="0.35">
      <c r="A3675"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3675" s="3" t="str">
        <f>HYPERLINK("https://edmondsonsupply.com/products/klein-tools-646-5-16-5-16-inch-nut-driver-6-inch-hollow-shaft", "https://edmondsonsupply.com/products/klein-tools-646-5-16-5-16-inch-nut-driver-6-inch-hollow-shaft")</f>
        <v>https://edmondsonsupply.com/products/klein-tools-646-5-16-5-16-inch-nut-driver-6-inch-hollow-shaft</v>
      </c>
      <c r="C3675" t="s">
        <v>1893</v>
      </c>
      <c r="D3675" t="s">
        <v>4684</v>
      </c>
      <c r="E3675" s="3" t="str">
        <f>HYPERLINK("https://www.amazon.com/Klein-Tools-S106-16-Inch-Driver/dp/B000936PDO/ref=sr_1_2?keywords=Klein+Tools+646-5%2F16+5%2F16-Inch+Nut+Driver%2C+6-Inch+Hollow+Shaft&amp;qid=1695173904&amp;sr=8-2", "https://www.amazon.com/Klein-Tools-S106-16-Inch-Driver/dp/B000936PDO/ref=sr_1_2?keywords=Klein+Tools+646-5%2F16+5%2F16-Inch+Nut+Driver%2C+6-Inch+Hollow+Shaft&amp;qid=1695173904&amp;sr=8-2")</f>
        <v>https://www.amazon.com/Klein-Tools-S106-16-Inch-Driver/dp/B000936PDO/ref=sr_1_2?keywords=Klein+Tools+646-5%2F16+5%2F16-Inch+Nut+Driver%2C+6-Inch+Hollow+Shaft&amp;qid=1695173904&amp;sr=8-2</v>
      </c>
      <c r="F3675" t="s">
        <v>4685</v>
      </c>
      <c r="G3675" t="e">
        <f ca="1">_xludf.IMAGE("https://edmondsonsupply.com/cdn/shop/products/646-1-2_e1540905-f750-4509-90c5-74ff653e4d83.jpg?v=1587145119")</f>
        <v>#NAME?</v>
      </c>
      <c r="H3675" t="e">
        <f ca="1">_xludf.IMAGE("https://m.media-amazon.com/images/I/41MR57vMQTL._AC_UL320_.jpg")</f>
        <v>#NAME?</v>
      </c>
      <c r="I3675" t="s">
        <v>1003</v>
      </c>
      <c r="J3675">
        <v>7.99</v>
      </c>
      <c r="K3675" s="4">
        <v>0</v>
      </c>
      <c r="L3675">
        <v>4.5</v>
      </c>
      <c r="M3675">
        <v>151</v>
      </c>
      <c r="O3675" t="s">
        <v>25</v>
      </c>
      <c r="P3675" t="s">
        <v>1481</v>
      </c>
      <c r="Q3675" t="s">
        <v>1896</v>
      </c>
    </row>
    <row r="3676" spans="1:17" ht="15.5" x14ac:dyDescent="0.35">
      <c r="A3676"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3676" s="3" t="str">
        <f>HYPERLINK("https://edmondsonsupply.com/products/klein-tools-646-5-16-5-16-inch-nut-driver-6-inch-hollow-shaft", "https://edmondsonsupply.com/products/klein-tools-646-5-16-5-16-inch-nut-driver-6-inch-hollow-shaft")</f>
        <v>https://edmondsonsupply.com/products/klein-tools-646-5-16-5-16-inch-nut-driver-6-inch-hollow-shaft</v>
      </c>
      <c r="C3676" t="s">
        <v>1893</v>
      </c>
      <c r="D3676" t="s">
        <v>4676</v>
      </c>
      <c r="E3676" s="3" t="str">
        <f>HYPERLINK("https://www.amazon.com/16-Inch-Driver-Cushion-Klein-Tools/dp/B000LEZVWM/ref=sr_1_1?keywords=Klein+Tools+646-5%2F16+5%2F16-Inch+Nut+Driver%2C+6-Inch+Hollow+Shaft&amp;qid=1695173904&amp;sr=8-1", "https://www.amazon.com/16-Inch-Driver-Cushion-Klein-Tools/dp/B000LEZVWM/ref=sr_1_1?keywords=Klein+Tools+646-5%2F16+5%2F16-Inch+Nut+Driver%2C+6-Inch+Hollow+Shaft&amp;qid=1695173904&amp;sr=8-1")</f>
        <v>https://www.amazon.com/16-Inch-Driver-Cushion-Klein-Tools/dp/B000LEZVWM/ref=sr_1_1?keywords=Klein+Tools+646-5%2F16+5%2F16-Inch+Nut+Driver%2C+6-Inch+Hollow+Shaft&amp;qid=1695173904&amp;sr=8-1</v>
      </c>
      <c r="F3676" t="s">
        <v>4677</v>
      </c>
      <c r="G3676" t="e">
        <f ca="1">_xludf.IMAGE("https://edmondsonsupply.com/cdn/shop/products/646-1-2_e1540905-f750-4509-90c5-74ff653e4d83.jpg?v=1587145119")</f>
        <v>#NAME?</v>
      </c>
      <c r="H3676" t="e">
        <f ca="1">_xludf.IMAGE("https://m.media-amazon.com/images/I/31sSFYGqdfL._AC_UL320_.jpg")</f>
        <v>#NAME?</v>
      </c>
      <c r="I3676" t="s">
        <v>1003</v>
      </c>
      <c r="J3676">
        <v>7.99</v>
      </c>
      <c r="K3676" s="4">
        <v>0</v>
      </c>
      <c r="L3676">
        <v>4.8</v>
      </c>
      <c r="M3676">
        <v>2497</v>
      </c>
      <c r="O3676" t="s">
        <v>25</v>
      </c>
      <c r="P3676" t="s">
        <v>1481</v>
      </c>
      <c r="Q3676" t="s">
        <v>1896</v>
      </c>
    </row>
    <row r="3677" spans="1:17" ht="15.5" x14ac:dyDescent="0.35">
      <c r="A3677" s="3" t="str">
        <f>HYPERLINK("https://edmondsonsupply.com/collections/electricians-tools/products/klein-tools-33736ins", "https://edmondsonsupply.com/collections/electricians-tools/products/klein-tools-33736ins")</f>
        <v>https://edmondsonsupply.com/collections/electricians-tools/products/klein-tools-33736ins</v>
      </c>
      <c r="B3677" s="3" t="str">
        <f>HYPERLINK("https://edmondsonsupply.com/products/klein-tools-33736ins", "https://edmondsonsupply.com/products/klein-tools-33736ins")</f>
        <v>https://edmondsonsupply.com/products/klein-tools-33736ins</v>
      </c>
      <c r="C3677" t="s">
        <v>1928</v>
      </c>
      <c r="D3677" t="s">
        <v>2245</v>
      </c>
      <c r="E3677" s="3" t="str">
        <f>HYPERLINK("https://www.amazon.com/Klein-Tools-33736INS-Screwdriver-Magnetizer/dp/B09GPZPMTD/ref=sr_1_1?keywords=Klein+Tools+33736INS+Screwdriver+Set%2C+1000V+Slim-Tip+Insulated+and+Magnetizer%2C+6-Piece&amp;qid=1695173911&amp;sr=8-1", "https://www.amazon.com/Klein-Tools-33736INS-Screwdriver-Magnetizer/dp/B09GPZPMTD/ref=sr_1_1?keywords=Klein+Tools+33736INS+Screwdriver+Set%2C+1000V+Slim-Tip+Insulated+and+Magnetizer%2C+6-Piece&amp;qid=1695173911&amp;sr=8-1")</f>
        <v>https://www.amazon.com/Klein-Tools-33736INS-Screwdriver-Magnetizer/dp/B09GPZPMTD/ref=sr_1_1?keywords=Klein+Tools+33736INS+Screwdriver+Set%2C+1000V+Slim-Tip+Insulated+and+Magnetizer%2C+6-Piece&amp;qid=1695173911&amp;sr=8-1</v>
      </c>
      <c r="F3677" t="s">
        <v>2246</v>
      </c>
      <c r="G3677" t="e">
        <f ca="1">_xludf.IMAGE("https://edmondsonsupply.com/cdn/shop/products/33736ins.jpg?v=1664807705")</f>
        <v>#NAME?</v>
      </c>
      <c r="H3677" t="e">
        <f ca="1">_xludf.IMAGE("https://m.media-amazon.com/images/I/51W2DUA3c7L._AC_UL320_.jpg")</f>
        <v>#NAME?</v>
      </c>
      <c r="I3677" t="s">
        <v>1931</v>
      </c>
      <c r="J3677">
        <v>49.99</v>
      </c>
      <c r="K3677" s="4">
        <v>0</v>
      </c>
      <c r="L3677">
        <v>4.8</v>
      </c>
      <c r="M3677">
        <v>419</v>
      </c>
      <c r="O3677" t="s">
        <v>25</v>
      </c>
      <c r="P3677" t="s">
        <v>1932</v>
      </c>
      <c r="Q3677" t="s">
        <v>1933</v>
      </c>
    </row>
    <row r="3678" spans="1:17" ht="15.5" x14ac:dyDescent="0.35">
      <c r="A3678"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3678"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3678" t="s">
        <v>7545</v>
      </c>
      <c r="D3678" t="s">
        <v>8042</v>
      </c>
      <c r="E3678" s="3" t="str">
        <f>HYPERLINK("https://www.amazon.com/Klein-Tools-CL320KIT-Non-Contact-Thermometer/dp/B08ZJSN5X3/ref=sr_1_1?keywords=Klein+Tools+CL320KIT+HVAC+Digital+Clamp+Meter+Electrical+Test+Kit&amp;qid=1695174178&amp;sr=8-1", "https://www.amazon.com/Klein-Tools-CL320KIT-Non-Contact-Thermometer/dp/B08ZJSN5X3/ref=sr_1_1?keywords=Klein+Tools+CL320KIT+HVAC+Digital+Clamp+Meter+Electrical+Test+Kit&amp;qid=1695174178&amp;sr=8-1")</f>
        <v>https://www.amazon.com/Klein-Tools-CL320KIT-Non-Contact-Thermometer/dp/B08ZJSN5X3/ref=sr_1_1?keywords=Klein+Tools+CL320KIT+HVAC+Digital+Clamp+Meter+Electrical+Test+Kit&amp;qid=1695174178&amp;sr=8-1</v>
      </c>
      <c r="F3678" t="s">
        <v>8043</v>
      </c>
      <c r="G3678" t="e">
        <f ca="1">_xludf.IMAGE("https://edmondsonsupply.com/cdn/shop/products/cl320kit_photo.jpg?v=1660753251")</f>
        <v>#NAME?</v>
      </c>
      <c r="H3678" t="e">
        <f ca="1">_xludf.IMAGE("https://m.media-amazon.com/images/I/61JFrOx-zjL._AC_UY218_.jpg")</f>
        <v>#NAME?</v>
      </c>
      <c r="I3678" t="s">
        <v>7548</v>
      </c>
      <c r="J3678">
        <v>118.99</v>
      </c>
      <c r="K3678" s="4">
        <v>0</v>
      </c>
      <c r="L3678">
        <v>4.8</v>
      </c>
      <c r="M3678">
        <v>994</v>
      </c>
      <c r="O3678" t="s">
        <v>25</v>
      </c>
      <c r="P3678" t="s">
        <v>7549</v>
      </c>
      <c r="Q3678" t="s">
        <v>7550</v>
      </c>
    </row>
    <row r="3679" spans="1:17" ht="15.5" x14ac:dyDescent="0.35">
      <c r="A3679" s="3" t="str">
        <f>HYPERLINK("https://edmondsonsupply.com/collections/electricians-tools/products/rack-a-tiers-42675-3-3-8-round-multi-tool-hole-saw", "https://edmondsonsupply.com/collections/electricians-tools/products/rack-a-tiers-42675-3-3-8-round-multi-tool-hole-saw")</f>
        <v>https://edmondsonsupply.com/collections/electricians-tools/products/rack-a-tiers-42675-3-3-8-round-multi-tool-hole-saw</v>
      </c>
      <c r="B3679" s="3" t="str">
        <f>HYPERLINK("https://edmondsonsupply.com/products/rack-a-tiers-42675-3-3-8-round-multi-tool-hole-saw", "https://edmondsonsupply.com/products/rack-a-tiers-42675-3-3-8-round-multi-tool-hole-saw")</f>
        <v>https://edmondsonsupply.com/products/rack-a-tiers-42675-3-3-8-round-multi-tool-hole-saw</v>
      </c>
      <c r="C3679" t="s">
        <v>8044</v>
      </c>
      <c r="D3679" t="s">
        <v>8045</v>
      </c>
      <c r="E3679" s="3" t="str">
        <f>HYPERLINK("https://www.amazon.com/Rack-Tiers-Multi-Tool-recessed-oscillating/dp/B0BQPCGLL8/ref=sr_1_1?keywords=Rack-A-Tiers+42675+3+3%2F8%22+Round+Multi-Tool+Hole+Saw&amp;qid=1695173910&amp;sr=8-1", "https://www.amazon.com/Rack-Tiers-Multi-Tool-recessed-oscillating/dp/B0BQPCGLL8/ref=sr_1_1?keywords=Rack-A-Tiers+42675+3+3%2F8%22+Round+Multi-Tool+Hole+Saw&amp;qid=1695173910&amp;sr=8-1")</f>
        <v>https://www.amazon.com/Rack-Tiers-Multi-Tool-recessed-oscillating/dp/B0BQPCGLL8/ref=sr_1_1?keywords=Rack-A-Tiers+42675+3+3%2F8%22+Round+Multi-Tool+Hole+Saw&amp;qid=1695173910&amp;sr=8-1</v>
      </c>
      <c r="F3679" t="s">
        <v>8046</v>
      </c>
      <c r="G3679" t="e">
        <f ca="1">_xludf.IMAGE("https://edmondsonsupply.com/cdn/shop/products/IMG_4900.webp?v=1677013846")</f>
        <v>#NAME?</v>
      </c>
      <c r="H3679" t="e">
        <f ca="1">_xludf.IMAGE("https://m.media-amazon.com/images/I/51knAuGPAUL._AC_UY218_.jpg")</f>
        <v>#NAME?</v>
      </c>
      <c r="I3679" t="s">
        <v>3207</v>
      </c>
      <c r="J3679">
        <v>27.99</v>
      </c>
      <c r="K3679" s="4">
        <v>0</v>
      </c>
      <c r="L3679">
        <v>3.6</v>
      </c>
      <c r="M3679">
        <v>11</v>
      </c>
      <c r="O3679" t="s">
        <v>25</v>
      </c>
      <c r="P3679" t="s">
        <v>138</v>
      </c>
      <c r="Q3679" t="s">
        <v>8047</v>
      </c>
    </row>
    <row r="3680" spans="1:17" ht="15.5" x14ac:dyDescent="0.35">
      <c r="A3680" s="3" t="str">
        <f>HYPERLINK("https://edmondsonsupply.com/collections/electricians-tools/products/klein-tools-9125-tape-measure-25-foot-single-hook", "https://edmondsonsupply.com/collections/electricians-tools/products/klein-tools-9125-tape-measure-25-foot-single-hook")</f>
        <v>https://edmondsonsupply.com/collections/electricians-tools/products/klein-tools-9125-tape-measure-25-foot-single-hook</v>
      </c>
      <c r="B3680" s="3" t="str">
        <f>HYPERLINK("https://edmondsonsupply.com/products/klein-tools-9125-tape-measure-25-foot-single-hook", "https://edmondsonsupply.com/products/klein-tools-9125-tape-measure-25-foot-single-hook")</f>
        <v>https://edmondsonsupply.com/products/klein-tools-9125-tape-measure-25-foot-single-hook</v>
      </c>
      <c r="C3680" t="s">
        <v>5993</v>
      </c>
      <c r="D3680" t="s">
        <v>8048</v>
      </c>
      <c r="E3680" s="3" t="str">
        <f>HYPERLINK("https://www.amazon.com/Klein-Tools-Measure-25-Foot-Single-Hook/dp/B07WHFFY72/ref=sr_1_2?keywords=Klein+Tools+9125+Tape+Measure%2C+25-Foot+Single-Hook&amp;qid=1695174185&amp;sr=8-2", "https://www.amazon.com/Klein-Tools-Measure-25-Foot-Single-Hook/dp/B07WHFFY72/ref=sr_1_2?keywords=Klein+Tools+9125+Tape+Measure%2C+25-Foot+Single-Hook&amp;qid=1695174185&amp;sr=8-2")</f>
        <v>https://www.amazon.com/Klein-Tools-Measure-25-Foot-Single-Hook/dp/B07WHFFY72/ref=sr_1_2?keywords=Klein+Tools+9125+Tape+Measure%2C+25-Foot+Single-Hook&amp;qid=1695174185&amp;sr=8-2</v>
      </c>
      <c r="F3680" t="s">
        <v>8049</v>
      </c>
      <c r="G3680" t="e">
        <f ca="1">_xludf.IMAGE("https://edmondsonsupply.com/cdn/shop/products/9125.jpg?v=1587148575")</f>
        <v>#NAME?</v>
      </c>
      <c r="H3680" t="e">
        <f ca="1">_xludf.IMAGE("https://m.media-amazon.com/images/I/511koRoby5L._AC_UL320_.jpg")</f>
        <v>#NAME?</v>
      </c>
      <c r="I3680" t="s">
        <v>577</v>
      </c>
      <c r="J3680">
        <v>19.989999999999998</v>
      </c>
      <c r="K3680" s="4">
        <v>0</v>
      </c>
      <c r="L3680">
        <v>4.4000000000000004</v>
      </c>
      <c r="M3680">
        <v>246</v>
      </c>
      <c r="O3680" t="s">
        <v>25</v>
      </c>
      <c r="P3680" t="s">
        <v>894</v>
      </c>
      <c r="Q3680" t="s">
        <v>5996</v>
      </c>
    </row>
    <row r="3681" spans="1:17" ht="15.5" x14ac:dyDescent="0.35">
      <c r="A3681" s="3" t="str">
        <f>HYPERLINK("https://edmondsonsupply.com/collections/electricians-tools/products/klein-tools-56064-klein-tools-%C2%AE-new-rechargeable-headlamp-offers-multiple-modes-to-fit-any-task", "https://edmondsonsupply.com/collections/electricians-tools/products/klein-tools-56064-klein-tools-%C2%AE-new-rechargeable-headlamp-offers-multiple-modes-to-fit-any-task")</f>
        <v>https://edmondsonsupply.com/collections/electricians-tools/products/klein-tools-56064-klein-tools-%C2%AE-new-rechargeable-headlamp-offers-multiple-modes-to-fit-any-task</v>
      </c>
      <c r="B3681" s="3" t="str">
        <f>HYPERLINK("https://edmondsonsupply.com/products/klein-tools-56064-klein-tools-%c2%ae-new-rechargeable-headlamp-offers-multiple-modes-to-fit-any-task", "https://edmondsonsupply.com/products/klein-tools-56064-klein-tools-%c2%ae-new-rechargeable-headlamp-offers-multiple-modes-to-fit-any-task")</f>
        <v>https://edmondsonsupply.com/products/klein-tools-56064-klein-tools-%c2%ae-new-rechargeable-headlamp-offers-multiple-modes-to-fit-any-task</v>
      </c>
      <c r="C3681" t="s">
        <v>1031</v>
      </c>
      <c r="D3681" t="s">
        <v>1121</v>
      </c>
      <c r="E3681" s="3" t="str">
        <f>HYPERLINK("https://www.amazon.com/Klein-Tools-56064-Rechargeable-Auto-Off/dp/B08V5KZCM6/ref=sr_1_1?keywords=Klein+Tools+56064+Rechargeable+Headlamp+with+Silicone+Strap%2C+400+Lumens%2C+All-Day+Runtime&amp;qid=1695174177&amp;sr=8-1", "https://www.amazon.com/Klein-Tools-56064-Rechargeable-Auto-Off/dp/B08V5KZCM6/ref=sr_1_1?keywords=Klein+Tools+56064+Rechargeable+Headlamp+with+Silicone+Strap%2C+400+Lumens%2C+All-Day+Runtime&amp;qid=1695174177&amp;sr=8-1")</f>
        <v>https://www.amazon.com/Klein-Tools-56064-Rechargeable-Auto-Off/dp/B08V5KZCM6/ref=sr_1_1?keywords=Klein+Tools+56064+Rechargeable+Headlamp+with+Silicone+Strap%2C+400+Lumens%2C+All-Day+Runtime&amp;qid=1695174177&amp;sr=8-1</v>
      </c>
      <c r="F3681" t="s">
        <v>1122</v>
      </c>
      <c r="G3681" t="e">
        <f ca="1">_xludf.IMAGE("https://edmondsonsupply.com/cdn/shop/products/56064.png?v=1661362879")</f>
        <v>#NAME?</v>
      </c>
      <c r="H3681" t="e">
        <f ca="1">_xludf.IMAGE("https://m.media-amazon.com/images/I/61XfkEMT74L._AC_UL320_.jpg")</f>
        <v>#NAME?</v>
      </c>
      <c r="I3681" t="s">
        <v>246</v>
      </c>
      <c r="J3681">
        <v>39.97</v>
      </c>
      <c r="K3681" s="4">
        <v>0</v>
      </c>
      <c r="L3681">
        <v>4.5</v>
      </c>
      <c r="M3681">
        <v>396</v>
      </c>
      <c r="O3681" t="s">
        <v>25</v>
      </c>
      <c r="P3681" t="s">
        <v>1032</v>
      </c>
      <c r="Q3681" t="s">
        <v>1033</v>
      </c>
    </row>
    <row r="3682" spans="1:17" ht="15.5" x14ac:dyDescent="0.35">
      <c r="A3682"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3682"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3682" t="s">
        <v>7299</v>
      </c>
      <c r="D3682" t="s">
        <v>6043</v>
      </c>
      <c r="E3682" s="3" t="str">
        <f>HYPERLINK("https://www.amazon.com/Conduit-Bender-Klein-Tools-51610/dp/B08V8J5CX4/ref=sr_1_7?keywords=Klein+Tools+51604+Iron+Conduit+Bender+Full+Assembly%2C+3%2F4-Inch+EMT+with+Angle+Setter%E2%84%A2&amp;qid=1695174174&amp;sr=8-7", "https://www.amazon.com/Conduit-Bender-Klein-Tools-51610/dp/B08V8J5CX4/ref=sr_1_7?keywords=Klein+Tools+51604+Iron+Conduit+Bender+Full+Assembly%2C+3%2F4-Inch+EMT+with+Angle+Setter%E2%84%A2&amp;qid=1695174174&amp;sr=8-7")</f>
        <v>https://www.amazon.com/Conduit-Bender-Klein-Tools-51610/dp/B08V8J5CX4/ref=sr_1_7?keywords=Klein+Tools+51604+Iron+Conduit+Bender+Full+Assembly%2C+3%2F4-Inch+EMT+with+Angle+Setter%E2%84%A2&amp;qid=1695174174&amp;sr=8-7</v>
      </c>
      <c r="F3682" t="s">
        <v>6044</v>
      </c>
      <c r="G3682" t="e">
        <f ca="1">_xludf.IMAGE("https://edmondsonsupply.com/cdn/shop/products/51603.jpg?v=1660829273")</f>
        <v>#NAME?</v>
      </c>
      <c r="H3682" t="e">
        <f ca="1">_xludf.IMAGE("https://m.media-amazon.com/images/I/61jmGqozuVL._AC_UL320_.jpg")</f>
        <v>#NAME?</v>
      </c>
      <c r="I3682" t="s">
        <v>320</v>
      </c>
      <c r="J3682">
        <v>74.989999999999995</v>
      </c>
      <c r="K3682" s="4">
        <v>0</v>
      </c>
      <c r="L3682">
        <v>4.8</v>
      </c>
      <c r="M3682">
        <v>11</v>
      </c>
      <c r="O3682" t="s">
        <v>171</v>
      </c>
      <c r="P3682" t="s">
        <v>306</v>
      </c>
      <c r="Q3682" t="s">
        <v>7300</v>
      </c>
    </row>
    <row r="3683" spans="1:17" ht="15.5" x14ac:dyDescent="0.35">
      <c r="A3683" s="3" t="str">
        <f>HYPERLINK("https://edmondsonsupply.com/collections/electricians-tools/products/klein-tools-40231-high-dexterity-touchscreen-gloves-xl", "https://edmondsonsupply.com/collections/electricians-tools/products/klein-tools-40231-high-dexterity-touchscreen-gloves-xl")</f>
        <v>https://edmondsonsupply.com/collections/electricians-tools/products/klein-tools-40231-high-dexterity-touchscreen-gloves-xl</v>
      </c>
      <c r="B3683" s="3" t="str">
        <f>HYPERLINK("https://edmondsonsupply.com/products/klein-tools-40231-high-dexterity-touchscreen-gloves-xl", "https://edmondsonsupply.com/products/klein-tools-40231-high-dexterity-touchscreen-gloves-xl")</f>
        <v>https://edmondsonsupply.com/products/klein-tools-40231-high-dexterity-touchscreen-gloves-xl</v>
      </c>
      <c r="C3683" t="s">
        <v>1186</v>
      </c>
      <c r="D3683" t="s">
        <v>1187</v>
      </c>
      <c r="E3683" s="3" t="str">
        <f>HYPERLINK("https://www.amazon.com/Dexterity-Touchscreen-Klein-Tools-40231/dp/B01M5G3WA7/ref=sr_1_1?keywords=Klein+Tools+40231+High+Dexterity+Touchscreen+Gloves%2C+XL&amp;qid=1695174185&amp;sr=8-1", "https://www.amazon.com/Dexterity-Touchscreen-Klein-Tools-40231/dp/B01M5G3WA7/ref=sr_1_1?keywords=Klein+Tools+40231+High+Dexterity+Touchscreen+Gloves%2C+XL&amp;qid=1695174185&amp;sr=8-1")</f>
        <v>https://www.amazon.com/Dexterity-Touchscreen-Klein-Tools-40231/dp/B01M5G3WA7/ref=sr_1_1?keywords=Klein+Tools+40231+High+Dexterity+Touchscreen+Gloves%2C+XL&amp;qid=1695174185&amp;sr=8-1</v>
      </c>
      <c r="F3683" t="s">
        <v>1188</v>
      </c>
      <c r="G3683" t="e">
        <f ca="1">_xludf.IMAGE("https://edmondsonsupply.com/cdn/shop/products/40229_4ec43165-0eee-409f-b3e3-e0a2ee54b953.jpg?v=1659397421")</f>
        <v>#NAME?</v>
      </c>
      <c r="H3683" t="e">
        <f ca="1">_xludf.IMAGE("https://m.media-amazon.com/images/I/61OBeXb4irL._AC_UL320_.jpg")</f>
        <v>#NAME?</v>
      </c>
      <c r="I3683" t="s">
        <v>1110</v>
      </c>
      <c r="J3683">
        <v>25.49</v>
      </c>
      <c r="K3683" s="4">
        <v>0</v>
      </c>
      <c r="L3683">
        <v>3.9</v>
      </c>
      <c r="M3683">
        <v>72</v>
      </c>
      <c r="O3683" t="s">
        <v>25</v>
      </c>
      <c r="P3683" t="s">
        <v>1111</v>
      </c>
      <c r="Q3683" t="s">
        <v>1189</v>
      </c>
    </row>
    <row r="3684" spans="1:17" ht="15.5" x14ac:dyDescent="0.35">
      <c r="A3684"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3684"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3684" t="s">
        <v>7299</v>
      </c>
      <c r="D3684" t="s">
        <v>6047</v>
      </c>
      <c r="E3684" s="3" t="str">
        <f>HYPERLINK("https://www.amazon.com/Conduit-Features-Klein-Tools-51604/dp/B08V8YVWH1/ref=sr_1_1?keywords=Klein+Tools+51604+Iron+Conduit+Bender+Full+Assembly%2C+3%2F4-Inch+EMT+with+Angle+Setter%E2%84%A2&amp;qid=1695174174&amp;sr=8-1", "https://www.amazon.com/Conduit-Features-Klein-Tools-51604/dp/B08V8YVWH1/ref=sr_1_1?keywords=Klein+Tools+51604+Iron+Conduit+Bender+Full+Assembly%2C+3%2F4-Inch+EMT+with+Angle+Setter%E2%84%A2&amp;qid=1695174174&amp;sr=8-1")</f>
        <v>https://www.amazon.com/Conduit-Features-Klein-Tools-51604/dp/B08V8YVWH1/ref=sr_1_1?keywords=Klein+Tools+51604+Iron+Conduit+Bender+Full+Assembly%2C+3%2F4-Inch+EMT+with+Angle+Setter%E2%84%A2&amp;qid=1695174174&amp;sr=8-1</v>
      </c>
      <c r="F3684" t="s">
        <v>6048</v>
      </c>
      <c r="G3684" t="e">
        <f ca="1">_xludf.IMAGE("https://edmondsonsupply.com/cdn/shop/products/51603.jpg?v=1660829273")</f>
        <v>#NAME?</v>
      </c>
      <c r="H3684" t="e">
        <f ca="1">_xludf.IMAGE("https://m.media-amazon.com/images/I/41DkDVmyczL._AC_UL320_.jpg")</f>
        <v>#NAME?</v>
      </c>
      <c r="I3684" t="s">
        <v>320</v>
      </c>
      <c r="J3684">
        <v>74.989999999999995</v>
      </c>
      <c r="K3684" s="4">
        <v>0</v>
      </c>
      <c r="L3684">
        <v>4.8</v>
      </c>
      <c r="M3684">
        <v>43</v>
      </c>
      <c r="O3684" t="s">
        <v>171</v>
      </c>
      <c r="P3684" t="s">
        <v>306</v>
      </c>
      <c r="Q3684" t="s">
        <v>7300</v>
      </c>
    </row>
    <row r="3685" spans="1:17" ht="15.5" x14ac:dyDescent="0.35">
      <c r="A3685" s="3" t="str">
        <f>HYPERLINK("https://edmondsonsupply.com/collections/electricians-tools/products/klein-tools-40231-high-dexterity-touchscreen-gloves-xl", "https://edmondsonsupply.com/collections/electricians-tools/products/klein-tools-40231-high-dexterity-touchscreen-gloves-xl")</f>
        <v>https://edmondsonsupply.com/collections/electricians-tools/products/klein-tools-40231-high-dexterity-touchscreen-gloves-xl</v>
      </c>
      <c r="B3685" s="3" t="str">
        <f>HYPERLINK("https://edmondsonsupply.com/products/klein-tools-40231-high-dexterity-touchscreen-gloves-xl", "https://edmondsonsupply.com/products/klein-tools-40231-high-dexterity-touchscreen-gloves-xl")</f>
        <v>https://edmondsonsupply.com/products/klein-tools-40231-high-dexterity-touchscreen-gloves-xl</v>
      </c>
      <c r="C3685" t="s">
        <v>1186</v>
      </c>
      <c r="D3685" t="s">
        <v>1108</v>
      </c>
      <c r="E3685" s="3" t="str">
        <f>HYPERLINK("https://www.amazon.com/Dexterity-Touchscreen-Klein-Tools-40229/dp/B01M68QAAK/ref=sr_1_2?keywords=Klein+Tools+40231+High+Dexterity+Touchscreen+Gloves%2C+XL&amp;qid=1695174185&amp;sr=8-2", "https://www.amazon.com/Dexterity-Touchscreen-Klein-Tools-40229/dp/B01M68QAAK/ref=sr_1_2?keywords=Klein+Tools+40231+High+Dexterity+Touchscreen+Gloves%2C+XL&amp;qid=1695174185&amp;sr=8-2")</f>
        <v>https://www.amazon.com/Dexterity-Touchscreen-Klein-Tools-40229/dp/B01M68QAAK/ref=sr_1_2?keywords=Klein+Tools+40231+High+Dexterity+Touchscreen+Gloves%2C+XL&amp;qid=1695174185&amp;sr=8-2</v>
      </c>
      <c r="F3685" t="s">
        <v>1109</v>
      </c>
      <c r="G3685" t="e">
        <f ca="1">_xludf.IMAGE("https://edmondsonsupply.com/cdn/shop/products/40229_4ec43165-0eee-409f-b3e3-e0a2ee54b953.jpg?v=1659397421")</f>
        <v>#NAME?</v>
      </c>
      <c r="H3685" t="e">
        <f ca="1">_xludf.IMAGE("https://m.media-amazon.com/images/I/51mom7WNCOL._AC_UL320_.jpg")</f>
        <v>#NAME?</v>
      </c>
      <c r="I3685" t="s">
        <v>1110</v>
      </c>
      <c r="J3685">
        <v>25.49</v>
      </c>
      <c r="K3685" s="4">
        <v>0</v>
      </c>
      <c r="L3685">
        <v>4.3</v>
      </c>
      <c r="M3685">
        <v>56</v>
      </c>
      <c r="O3685" t="s">
        <v>25</v>
      </c>
      <c r="P3685" t="s">
        <v>1111</v>
      </c>
      <c r="Q3685" t="s">
        <v>1189</v>
      </c>
    </row>
    <row r="3686" spans="1:17" ht="15.5" x14ac:dyDescent="0.35">
      <c r="A3686" s="3" t="str">
        <f>HYPERLINK("https://edmondsonsupply.com/collections/electricians-tools/products/klein-tools-60492-lightweight-knee-pad-sleeves-m-l", "https://edmondsonsupply.com/collections/electricians-tools/products/klein-tools-60492-lightweight-knee-pad-sleeves-m-l")</f>
        <v>https://edmondsonsupply.com/collections/electricians-tools/products/klein-tools-60492-lightweight-knee-pad-sleeves-m-l</v>
      </c>
      <c r="B3686" s="3" t="str">
        <f>HYPERLINK("https://edmondsonsupply.com/products/klein-tools-60492-lightweight-knee-pad-sleeves-m-l", "https://edmondsonsupply.com/products/klein-tools-60492-lightweight-knee-pad-sleeves-m-l")</f>
        <v>https://edmondsonsupply.com/products/klein-tools-60492-lightweight-knee-pad-sleeves-m-l</v>
      </c>
      <c r="C3686" t="s">
        <v>890</v>
      </c>
      <c r="D3686" t="s">
        <v>1142</v>
      </c>
      <c r="E3686" s="3" t="str">
        <f>HYPERLINK("https://www.amazon.com/Klein-Tools-60592-Lightweight-Slip-Resistant/dp/B0B622FRN8/ref=sr_1_2?keywords=Klein+Tools+60492+Lightweight+Knee+Pad+Sleeves%2C+M%2FL&amp;qid=1695174171&amp;sr=8-2", "https://www.amazon.com/Klein-Tools-60592-Lightweight-Slip-Resistant/dp/B0B622FRN8/ref=sr_1_2?keywords=Klein+Tools+60492+Lightweight+Knee+Pad+Sleeves%2C+M%2FL&amp;qid=1695174171&amp;sr=8-2")</f>
        <v>https://www.amazon.com/Klein-Tools-60592-Lightweight-Slip-Resistant/dp/B0B622FRN8/ref=sr_1_2?keywords=Klein+Tools+60492+Lightweight+Knee+Pad+Sleeves%2C+M%2FL&amp;qid=1695174171&amp;sr=8-2</v>
      </c>
      <c r="F3686" t="s">
        <v>1143</v>
      </c>
      <c r="G3686" t="e">
        <f ca="1">_xludf.IMAGE("https://edmondsonsupply.com/cdn/shop/products/60492_60592_photo.jpg?v=1663255234")</f>
        <v>#NAME?</v>
      </c>
      <c r="H3686" t="e">
        <f ca="1">_xludf.IMAGE("https://m.media-amazon.com/images/I/61SeDj1bXKL._AC_UL320_.jpg")</f>
        <v>#NAME?</v>
      </c>
      <c r="I3686" t="s">
        <v>893</v>
      </c>
      <c r="J3686">
        <v>19.97</v>
      </c>
      <c r="K3686" s="4">
        <v>0</v>
      </c>
      <c r="L3686">
        <v>4.0999999999999996</v>
      </c>
      <c r="M3686">
        <v>147</v>
      </c>
      <c r="O3686" t="s">
        <v>25</v>
      </c>
      <c r="P3686" t="s">
        <v>894</v>
      </c>
      <c r="Q3686" t="s">
        <v>895</v>
      </c>
    </row>
    <row r="3687" spans="1:17" ht="15.5" x14ac:dyDescent="0.35">
      <c r="A3687"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3687" s="3" t="str">
        <f>HYPERLINK("https://edmondsonsupply.com/products/klein-tools-646-1-4-1-4-inch-nut-driver-with-6-inch-hollow-shaft", "https://edmondsonsupply.com/products/klein-tools-646-1-4-1-4-inch-nut-driver-with-6-inch-hollow-shaft")</f>
        <v>https://edmondsonsupply.com/products/klein-tools-646-1-4-1-4-inch-nut-driver-with-6-inch-hollow-shaft</v>
      </c>
      <c r="C3687" t="s">
        <v>1478</v>
      </c>
      <c r="D3687" t="s">
        <v>4637</v>
      </c>
      <c r="E3687" s="3" t="str">
        <f>HYPERLINK("https://www.amazon.com/4-Inch-Comfordome-Klein-Tools-S86/dp/B00093GCWS/ref=sr_1_3?keywords=Klein+Tools+646-1%2F4+1%2F4-Inch+Nut+Driver+with+6-Inch+Hollow+Shaft&amp;qid=1695173897&amp;sr=8-3", "https://www.amazon.com/4-Inch-Comfordome-Klein-Tools-S86/dp/B00093GCWS/ref=sr_1_3?keywords=Klein+Tools+646-1%2F4+1%2F4-Inch+Nut+Driver+with+6-Inch+Hollow+Shaft&amp;qid=1695173897&amp;sr=8-3")</f>
        <v>https://www.amazon.com/4-Inch-Comfordome-Klein-Tools-S86/dp/B00093GCWS/ref=sr_1_3?keywords=Klein+Tools+646-1%2F4+1%2F4-Inch+Nut+Driver+with+6-Inch+Hollow+Shaft&amp;qid=1695173897&amp;sr=8-3</v>
      </c>
      <c r="F3687" t="s">
        <v>4638</v>
      </c>
      <c r="G3687" t="e">
        <f ca="1">_xludf.IMAGE("https://edmondsonsupply.com/cdn/shop/products/646-1-2_08d87fa9-eac4-4869-8d3b-bb680d4b1d53.jpg?v=1587150676")</f>
        <v>#NAME?</v>
      </c>
      <c r="H3687" t="e">
        <f ca="1">_xludf.IMAGE("https://m.media-amazon.com/images/I/41UucnuSAmL._AC_UL320_.jpg")</f>
        <v>#NAME?</v>
      </c>
      <c r="I3687" t="s">
        <v>1003</v>
      </c>
      <c r="J3687">
        <v>7.99</v>
      </c>
      <c r="K3687" s="4">
        <v>0</v>
      </c>
      <c r="L3687">
        <v>4.5</v>
      </c>
      <c r="M3687">
        <v>151</v>
      </c>
      <c r="O3687" t="s">
        <v>25</v>
      </c>
      <c r="P3687" t="s">
        <v>1481</v>
      </c>
      <c r="Q3687" t="s">
        <v>1482</v>
      </c>
    </row>
    <row r="3688" spans="1:17" ht="15.5" x14ac:dyDescent="0.35">
      <c r="A3688"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3688"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3688" t="s">
        <v>8050</v>
      </c>
      <c r="D3688" t="s">
        <v>3474</v>
      </c>
      <c r="E3688" s="3" t="str">
        <f>HYPERLINK("https://www.amazon.com/CHANNELLOCK-430X-10-inch-SPEEDGRIP-Straight/dp/B07P42JFMG/ref=sr_1_1?keywords=Channellock+430X+10-Inch+SPEEDGRIP%E2%84%A2+Straight+Jaw+Tongue+%26+Groove+Pliers&amp;qid=1695174216&amp;sr=8-1", "https://www.amazon.com/CHANNELLOCK-430X-10-inch-SPEEDGRIP-Straight/dp/B07P42JFMG/ref=sr_1_1?keywords=Channellock+430X+10-Inch+SPEEDGRIP%E2%84%A2+Straight+Jaw+Tongue+%26+Groove+Pliers&amp;qid=1695174216&amp;sr=8-1")</f>
        <v>https://www.amazon.com/CHANNELLOCK-430X-10-inch-SPEEDGRIP-Straight/dp/B07P42JFMG/ref=sr_1_1?keywords=Channellock+430X+10-Inch+SPEEDGRIP%E2%84%A2+Straight+Jaw+Tongue+%26+Groove+Pliers&amp;qid=1695174216&amp;sr=8-1</v>
      </c>
      <c r="F3688" t="s">
        <v>3475</v>
      </c>
      <c r="G3688" t="e">
        <f ca="1">_xludf.IMAGE("https://edmondsonsupply.com/cdn/shop/products/430X.jpg?v=1647100497")</f>
        <v>#NAME?</v>
      </c>
      <c r="H3688" t="e">
        <f ca="1">_xludf.IMAGE("https://m.media-amazon.com/images/I/71xwTtkFcHL._AC_UL320_.jpg")</f>
        <v>#NAME?</v>
      </c>
      <c r="I3688" t="s">
        <v>5375</v>
      </c>
      <c r="J3688">
        <v>26.95</v>
      </c>
      <c r="K3688" s="4">
        <v>0</v>
      </c>
      <c r="L3688">
        <v>4.4000000000000004</v>
      </c>
      <c r="M3688">
        <v>578</v>
      </c>
      <c r="O3688" t="s">
        <v>25</v>
      </c>
      <c r="P3688" t="s">
        <v>8051</v>
      </c>
      <c r="Q3688" t="s">
        <v>8052</v>
      </c>
    </row>
    <row r="3689" spans="1:17" ht="15.5" x14ac:dyDescent="0.35">
      <c r="A3689" s="3" t="str">
        <f>HYPERLINK("https://edmondsonsupply.com/collections/electricians-tools/products/klein-tools-d228-8tt-diagonal-cutting-pliers-high-leverage-tie-ring-8-inch", "https://edmondsonsupply.com/collections/electricians-tools/products/klein-tools-d228-8tt-diagonal-cutting-pliers-high-leverage-tie-ring-8-inch")</f>
        <v>https://edmondsonsupply.com/collections/electricians-tools/products/klein-tools-d228-8tt-diagonal-cutting-pliers-high-leverage-tie-ring-8-inch</v>
      </c>
      <c r="B3689" s="3" t="str">
        <f>HYPERLINK("https://edmondsonsupply.com/products/klein-tools-d228-8tt-diagonal-cutting-pliers-high-leverage-tie-ring-8-inch", "https://edmondsonsupply.com/products/klein-tools-d228-8tt-diagonal-cutting-pliers-high-leverage-tie-ring-8-inch")</f>
        <v>https://edmondsonsupply.com/products/klein-tools-d228-8tt-diagonal-cutting-pliers-high-leverage-tie-ring-8-inch</v>
      </c>
      <c r="C3689" t="s">
        <v>8053</v>
      </c>
      <c r="D3689" t="s">
        <v>8054</v>
      </c>
      <c r="E3689" s="3" t="str">
        <f>HYPERLINK("https://www.amazon.com/Leverage-Diagonal-Klein-Tools-D228-8TT/dp/B01K76W5UE/ref=sr_1_1?keywords=Klein+Tools+D228-8TT+Diagonal+Cutting+Pliers%2C+High-Leverage%2C+Tie+Ring%2C+8-Inch&amp;qid=1695174247&amp;sr=8-1", "https://www.amazon.com/Leverage-Diagonal-Klein-Tools-D228-8TT/dp/B01K76W5UE/ref=sr_1_1?keywords=Klein+Tools+D228-8TT+Diagonal+Cutting+Pliers%2C+High-Leverage%2C+Tie+Ring%2C+8-Inch&amp;qid=1695174247&amp;sr=8-1")</f>
        <v>https://www.amazon.com/Leverage-Diagonal-Klein-Tools-D228-8TT/dp/B01K76W5UE/ref=sr_1_1?keywords=Klein+Tools+D228-8TT+Diagonal+Cutting+Pliers%2C+High-Leverage%2C+Tie+Ring%2C+8-Inch&amp;qid=1695174247&amp;sr=8-1</v>
      </c>
      <c r="F3689" t="s">
        <v>8055</v>
      </c>
      <c r="G3689" t="e">
        <f ca="1">_xludf.IMAGE("https://edmondsonsupply.com/cdn/shop/products/d2288tt.jpg?v=1633031129")</f>
        <v>#NAME?</v>
      </c>
      <c r="H3689" t="e">
        <f ca="1">_xludf.IMAGE("https://m.media-amazon.com/images/I/41Jkh6uEiRL._AC_UL320_.jpg")</f>
        <v>#NAME?</v>
      </c>
      <c r="I3689" t="s">
        <v>3578</v>
      </c>
      <c r="J3689">
        <v>32.99</v>
      </c>
      <c r="K3689" s="4">
        <v>0</v>
      </c>
      <c r="L3689">
        <v>5</v>
      </c>
      <c r="M3689">
        <v>16</v>
      </c>
      <c r="O3689" t="s">
        <v>25</v>
      </c>
      <c r="P3689" t="s">
        <v>7792</v>
      </c>
      <c r="Q3689" t="s">
        <v>8056</v>
      </c>
    </row>
    <row r="3690" spans="1:17" ht="15.5" x14ac:dyDescent="0.35">
      <c r="A3690"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3690" s="3" t="str">
        <f>HYPERLINK("https://edmondsonsupply.com/products/klein-tools-pnd-12-5-1-2-inch-power-nut-driver-5-inch-length", "https://edmondsonsupply.com/products/klein-tools-pnd-12-5-1-2-inch-power-nut-driver-5-inch-length")</f>
        <v>https://edmondsonsupply.com/products/klein-tools-pnd-12-5-1-2-inch-power-nut-driver-5-inch-length</v>
      </c>
      <c r="C3690" t="s">
        <v>1684</v>
      </c>
      <c r="D3690" t="s">
        <v>4662</v>
      </c>
      <c r="E3690" s="3" t="str">
        <f>HYPERLINK("https://www.amazon.com/2-Inch-Driver-Klein-Tools-PND125/dp/B00ELGQJT0/ref=sr_1_1?keywords=Klein+Tools+PND-12-5+1%2F2-Inch+Power+Nut+Driver+5-Inch+Length&amp;qid=1695173880&amp;sr=8-1", "https://www.amazon.com/2-Inch-Driver-Klein-Tools-PND125/dp/B00ELGQJT0/ref=sr_1_1?keywords=Klein+Tools+PND-12-5+1%2F2-Inch+Power+Nut+Driver+5-Inch+Length&amp;qid=1695173880&amp;sr=8-1")</f>
        <v>https://www.amazon.com/2-Inch-Driver-Klein-Tools-PND125/dp/B00ELGQJT0/ref=sr_1_1?keywords=Klein+Tools+PND-12-5+1%2F2-Inch+Power+Nut+Driver+5-Inch+Length&amp;qid=1695173880&amp;sr=8-1</v>
      </c>
      <c r="F3690" t="s">
        <v>4663</v>
      </c>
      <c r="G3690" t="e">
        <f ca="1">_xludf.IMAGE("https://edmondsonsupply.com/cdn/shop/products/pnd125.jpg?v=1633031028")</f>
        <v>#NAME?</v>
      </c>
      <c r="H3690" t="e">
        <f ca="1">_xludf.IMAGE("https://m.media-amazon.com/images/I/41vRVkuMIDL._AC_UL320_.jpg")</f>
        <v>#NAME?</v>
      </c>
      <c r="I3690" t="s">
        <v>1687</v>
      </c>
      <c r="J3690">
        <v>18.989999999999998</v>
      </c>
      <c r="K3690" s="4">
        <v>0</v>
      </c>
      <c r="L3690">
        <v>4.5999999999999996</v>
      </c>
      <c r="M3690">
        <v>1108</v>
      </c>
      <c r="O3690" t="s">
        <v>25</v>
      </c>
      <c r="P3690" t="s">
        <v>1688</v>
      </c>
      <c r="Q3690" t="s">
        <v>1689</v>
      </c>
    </row>
    <row r="3691" spans="1:17" ht="15.5" x14ac:dyDescent="0.35">
      <c r="A3691" s="3" t="str">
        <f>HYPERLINK("https://edmondsonsupply.com/collections/electricians-tools/products/klein-tools-56251-wire-marker-book-120-240v-3-phase-1-48", "https://edmondsonsupply.com/collections/electricians-tools/products/klein-tools-56251-wire-marker-book-120-240v-3-phase-1-48")</f>
        <v>https://edmondsonsupply.com/collections/electricians-tools/products/klein-tools-56251-wire-marker-book-120-240v-3-phase-1-48</v>
      </c>
      <c r="B3691" s="3" t="str">
        <f>HYPERLINK("https://edmondsonsupply.com/products/klein-tools-56251-wire-marker-book-120-240v-3-phase-1-48", "https://edmondsonsupply.com/products/klein-tools-56251-wire-marker-book-120-240v-3-phase-1-48")</f>
        <v>https://edmondsonsupply.com/products/klein-tools-56251-wire-marker-book-120-240v-3-phase-1-48</v>
      </c>
      <c r="C3691" t="s">
        <v>8057</v>
      </c>
      <c r="D3691" t="s">
        <v>8058</v>
      </c>
      <c r="E3691" s="3" t="str">
        <f>HYPERLINK("https://www.amazon.com/Marker-Phase-Klein-Tools-56251/dp/B073YYNDLS/ref=sr_1_1?keywords=Klein+Tools+56251+Wire+Marker+Book%2C+120%2F240V+3+Phase+1-48&amp;qid=1695174230&amp;sr=8-1", "https://www.amazon.com/Marker-Phase-Klein-Tools-56251/dp/B073YYNDLS/ref=sr_1_1?keywords=Klein+Tools+56251+Wire+Marker+Book%2C+120%2F240V+3+Phase+1-48&amp;qid=1695174230&amp;sr=8-1")</f>
        <v>https://www.amazon.com/Marker-Phase-Klein-Tools-56251/dp/B073YYNDLS/ref=sr_1_1?keywords=Klein+Tools+56251+Wire+Marker+Book%2C+120%2F240V+3+Phase+1-48&amp;qid=1695174230&amp;sr=8-1</v>
      </c>
      <c r="F3691" t="s">
        <v>8059</v>
      </c>
      <c r="G3691" t="e">
        <f ca="1">_xludf.IMAGE("https://edmondsonsupply.com/cdn/shop/products/56251.jpg?v=1639847162")</f>
        <v>#NAME?</v>
      </c>
      <c r="H3691" t="e">
        <f ca="1">_xludf.IMAGE("https://m.media-amazon.com/images/I/61kdgic4ssL._AC_UL320_.jpg")</f>
        <v>#NAME?</v>
      </c>
      <c r="I3691" t="s">
        <v>2337</v>
      </c>
      <c r="J3691">
        <v>11.99</v>
      </c>
      <c r="K3691" s="4">
        <v>0</v>
      </c>
      <c r="L3691">
        <v>4.7</v>
      </c>
      <c r="M3691">
        <v>1057</v>
      </c>
      <c r="O3691" t="s">
        <v>25</v>
      </c>
      <c r="P3691" t="s">
        <v>8060</v>
      </c>
      <c r="Q3691" t="s">
        <v>8061</v>
      </c>
    </row>
    <row r="3692" spans="1:17" ht="15.5" x14ac:dyDescent="0.35">
      <c r="A3692" s="3" t="str">
        <f>HYPERLINK("https://edmondsonsupply.com/collections/electricians-tools/products/klein-tools-50350-13-inch-flexible-fish-tape-leader", "https://edmondsonsupply.com/collections/electricians-tools/products/klein-tools-50350-13-inch-flexible-fish-tape-leader")</f>
        <v>https://edmondsonsupply.com/collections/electricians-tools/products/klein-tools-50350-13-inch-flexible-fish-tape-leader</v>
      </c>
      <c r="B3692" s="3" t="str">
        <f>HYPERLINK("https://edmondsonsupply.com/products/klein-tools-50350-13-inch-flexible-fish-tape-leader", "https://edmondsonsupply.com/products/klein-tools-50350-13-inch-flexible-fish-tape-leader")</f>
        <v>https://edmondsonsupply.com/products/klein-tools-50350-13-inch-flexible-fish-tape-leader</v>
      </c>
      <c r="C3692" t="s">
        <v>8062</v>
      </c>
      <c r="D3692" t="s">
        <v>8063</v>
      </c>
      <c r="E3692" s="3" t="str">
        <f>HYPERLINK("https://www.amazon.com/13-Inch-Flexible-Klein-Tools-50350/dp/B000WMS9KY/ref=sr_1_1?keywords=Klein+Tools+50350+13-Inch+Flexible+Fish+Tape+Leader&amp;qid=1695174233&amp;sr=8-1", "https://www.amazon.com/13-Inch-Flexible-Klein-Tools-50350/dp/B000WMS9KY/ref=sr_1_1?keywords=Klein+Tools+50350+13-Inch+Flexible+Fish+Tape+Leader&amp;qid=1695174233&amp;sr=8-1")</f>
        <v>https://www.amazon.com/13-Inch-Flexible-Klein-Tools-50350/dp/B000WMS9KY/ref=sr_1_1?keywords=Klein+Tools+50350+13-Inch+Flexible+Fish+Tape+Leader&amp;qid=1695174233&amp;sr=8-1</v>
      </c>
      <c r="F3692" t="s">
        <v>8064</v>
      </c>
      <c r="G3692" t="e">
        <f ca="1">_xludf.IMAGE("https://edmondsonsupply.com/cdn/shop/files/50350.jpg?v=1685458150")</f>
        <v>#NAME?</v>
      </c>
      <c r="H3692" t="e">
        <f ca="1">_xludf.IMAGE("https://m.media-amazon.com/images/I/311RIlnDdfL._AC_UL320_.jpg")</f>
        <v>#NAME?</v>
      </c>
      <c r="I3692" t="s">
        <v>893</v>
      </c>
      <c r="J3692">
        <v>19.97</v>
      </c>
      <c r="K3692" s="4">
        <v>0</v>
      </c>
      <c r="L3692">
        <v>4.5</v>
      </c>
      <c r="M3692">
        <v>113</v>
      </c>
      <c r="O3692" t="s">
        <v>25</v>
      </c>
      <c r="P3692" t="s">
        <v>8065</v>
      </c>
      <c r="Q3692" t="s">
        <v>8066</v>
      </c>
    </row>
    <row r="3693" spans="1:17" ht="15.5" x14ac:dyDescent="0.35">
      <c r="A3693" s="3" t="str">
        <f>HYPERLINK("https://edmondsonsupply.com/collections/electricians-tools/products/klein-tools-63225-high-leverage-cable-cutter", "https://edmondsonsupply.com/collections/electricians-tools/products/klein-tools-63225-high-leverage-cable-cutter")</f>
        <v>https://edmondsonsupply.com/collections/electricians-tools/products/klein-tools-63225-high-leverage-cable-cutter</v>
      </c>
      <c r="B3693" s="3" t="str">
        <f>HYPERLINK("https://edmondsonsupply.com/products/klein-tools-63225-high-leverage-cable-cutter", "https://edmondsonsupply.com/products/klein-tools-63225-high-leverage-cable-cutter")</f>
        <v>https://edmondsonsupply.com/products/klein-tools-63225-high-leverage-cable-cutter</v>
      </c>
      <c r="C3693" t="s">
        <v>8067</v>
      </c>
      <c r="D3693" t="s">
        <v>8068</v>
      </c>
      <c r="E3693" s="3" t="str">
        <f>HYPERLINK("https://www.amazon.com/9-Inch-Leverage-Aluminum-Communication-63225/dp/B08HC6N4J9/ref=sr_1_1?keywords=Klein+Tools+63225+High-Leverage+Cable+Cutter&amp;qid=1695174237&amp;sr=8-1", "https://www.amazon.com/9-Inch-Leverage-Aluminum-Communication-63225/dp/B08HC6N4J9/ref=sr_1_1?keywords=Klein+Tools+63225+High-Leverage+Cable+Cutter&amp;qid=1695174237&amp;sr=8-1")</f>
        <v>https://www.amazon.com/9-Inch-Leverage-Aluminum-Communication-63225/dp/B08HC6N4J9/ref=sr_1_1?keywords=Klein+Tools+63225+High-Leverage+Cable+Cutter&amp;qid=1695174237&amp;sr=8-1</v>
      </c>
      <c r="F3693" t="s">
        <v>8069</v>
      </c>
      <c r="G3693" t="e">
        <f ca="1">_xludf.IMAGE("https://edmondsonsupply.com/cdn/shop/products/63225_b.jpg?v=1633031163")</f>
        <v>#NAME?</v>
      </c>
      <c r="H3693" t="e">
        <f ca="1">_xludf.IMAGE("https://m.media-amazon.com/images/I/61tIrGUcq0L._AC_UL320_.jpg")</f>
        <v>#NAME?</v>
      </c>
      <c r="I3693" t="s">
        <v>8070</v>
      </c>
      <c r="J3693">
        <v>35.97</v>
      </c>
      <c r="K3693" s="4">
        <v>0</v>
      </c>
      <c r="L3693">
        <v>4.7</v>
      </c>
      <c r="M3693">
        <v>428</v>
      </c>
      <c r="O3693" t="s">
        <v>25</v>
      </c>
      <c r="P3693" t="s">
        <v>8071</v>
      </c>
      <c r="Q3693" t="s">
        <v>8072</v>
      </c>
    </row>
    <row r="3694" spans="1:17" ht="15.5" x14ac:dyDescent="0.35">
      <c r="A3694" s="3" t="str">
        <f>HYPERLINK("https://edmondsonsupply.com/collections/electricians-tools/products/rack-a-tiers-77455-bend-all-cable-bender", "https://edmondsonsupply.com/collections/electricians-tools/products/rack-a-tiers-77455-bend-all-cable-bender")</f>
        <v>https://edmondsonsupply.com/collections/electricians-tools/products/rack-a-tiers-77455-bend-all-cable-bender</v>
      </c>
      <c r="B3694" s="3" t="str">
        <f>HYPERLINK("https://edmondsonsupply.com/products/rack-a-tiers-77455-bend-all-cable-bender", "https://edmondsonsupply.com/products/rack-a-tiers-77455-bend-all-cable-bender")</f>
        <v>https://edmondsonsupply.com/products/rack-a-tiers-77455-bend-all-cable-bender</v>
      </c>
      <c r="C3694" t="s">
        <v>8073</v>
      </c>
      <c r="D3694" t="s">
        <v>8074</v>
      </c>
      <c r="E3694" s="3" t="str">
        <f>HYPERLINK("https://www.amazon.com/77455-Bend-All-Knuckle-Enclosures-3AWG-500-Centimeter/dp/B00QW2AZ9G/ref=sr_1_1?keywords=Rack-A-Tiers+77455+Bend-All+Cable+Bender&amp;qid=1695173874&amp;sr=8-1", "https://www.amazon.com/77455-Bend-All-Knuckle-Enclosures-3AWG-500-Centimeter/dp/B00QW2AZ9G/ref=sr_1_1?keywords=Rack-A-Tiers+77455+Bend-All+Cable+Bender&amp;qid=1695173874&amp;sr=8-1")</f>
        <v>https://www.amazon.com/77455-Bend-All-Knuckle-Enclosures-3AWG-500-Centimeter/dp/B00QW2AZ9G/ref=sr_1_1?keywords=Rack-A-Tiers+77455+Bend-All+Cable+Bender&amp;qid=1695173874&amp;sr=8-1</v>
      </c>
      <c r="F3694" t="s">
        <v>8075</v>
      </c>
      <c r="G3694" t="e">
        <f ca="1">_xludf.IMAGE("https://edmondsonsupply.com/cdn/shop/products/rack-a-tiers-wire-strippers-77455-64_1000.jpg?v=1587150308")</f>
        <v>#NAME?</v>
      </c>
      <c r="H3694" t="e">
        <f ca="1">_xludf.IMAGE("https://m.media-amazon.com/images/I/51YVlmUS7HL._AC_UL320_.jpg")</f>
        <v>#NAME?</v>
      </c>
      <c r="I3694" t="s">
        <v>3930</v>
      </c>
      <c r="J3694">
        <v>38.99</v>
      </c>
      <c r="K3694" s="4">
        <v>0</v>
      </c>
      <c r="L3694">
        <v>4.4000000000000004</v>
      </c>
      <c r="M3694">
        <v>688</v>
      </c>
      <c r="O3694" t="s">
        <v>25</v>
      </c>
      <c r="P3694" t="s">
        <v>5535</v>
      </c>
      <c r="Q3694" t="s">
        <v>8076</v>
      </c>
    </row>
    <row r="3695" spans="1:17" ht="15.5" x14ac:dyDescent="0.35">
      <c r="A3695"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3695"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3695" t="s">
        <v>7296</v>
      </c>
      <c r="D3695" t="s">
        <v>8077</v>
      </c>
      <c r="E3695" s="3" t="str">
        <f>HYPERLINK("https://www.amazon.com/Driver-3-Inch-Klein-Tools-631/dp/B0000BYEPS/ref=sr_1_4?keywords=Klein+Tools+631+Nut+Driver+Set%2C+3-Inch+Shafts%2C+Cushion+Grip%2C+7-Piece&amp;qid=1695174239&amp;sr=8-4", "https://www.amazon.com/Driver-3-Inch-Klein-Tools-631/dp/B0000BYEPS/ref=sr_1_4?keywords=Klein+Tools+631+Nut+Driver+Set%2C+3-Inch+Shafts%2C+Cushion+Grip%2C+7-Piece&amp;qid=1695174239&amp;sr=8-4")</f>
        <v>https://www.amazon.com/Driver-3-Inch-Klein-Tools-631/dp/B0000BYEPS/ref=sr_1_4?keywords=Klein+Tools+631+Nut+Driver+Set%2C+3-Inch+Shafts%2C+Cushion+Grip%2C+7-Piece&amp;qid=1695174239&amp;sr=8-4</v>
      </c>
      <c r="F3695" t="s">
        <v>8078</v>
      </c>
      <c r="G3695" t="e">
        <f ca="1">_xludf.IMAGE("https://edmondsonsupply.com/cdn/shop/products/631.jpg?v=1632441079")</f>
        <v>#NAME?</v>
      </c>
      <c r="H3695" t="e">
        <f ca="1">_xludf.IMAGE("https://m.media-amazon.com/images/I/61TOWXMg3oL._AC_UL320_.jpg")</f>
        <v>#NAME?</v>
      </c>
      <c r="I3695" t="s">
        <v>905</v>
      </c>
      <c r="J3695">
        <v>59.99</v>
      </c>
      <c r="K3695" s="4">
        <v>0</v>
      </c>
      <c r="L3695">
        <v>4.8</v>
      </c>
      <c r="M3695">
        <v>1147</v>
      </c>
      <c r="O3695" t="s">
        <v>25</v>
      </c>
      <c r="P3695" t="s">
        <v>7297</v>
      </c>
      <c r="Q3695" t="s">
        <v>7298</v>
      </c>
    </row>
    <row r="3696" spans="1:17" ht="15.5" x14ac:dyDescent="0.35">
      <c r="A3696" s="3" t="str">
        <f>HYPERLINK("https://edmondsonsupply.com/collections/electricians-tools/products/klein-tools-832-26-linemans-claw-milled-hammer", "https://edmondsonsupply.com/collections/electricians-tools/products/klein-tools-832-26-linemans-claw-milled-hammer")</f>
        <v>https://edmondsonsupply.com/collections/electricians-tools/products/klein-tools-832-26-linemans-claw-milled-hammer</v>
      </c>
      <c r="B3696" s="3" t="str">
        <f>HYPERLINK("https://edmondsonsupply.com/products/klein-tools-832-26-linemans-claw-milled-hammer", "https://edmondsonsupply.com/products/klein-tools-832-26-linemans-claw-milled-hammer")</f>
        <v>https://edmondsonsupply.com/products/klein-tools-832-26-linemans-claw-milled-hammer</v>
      </c>
      <c r="C3696" t="s">
        <v>7480</v>
      </c>
      <c r="D3696" t="s">
        <v>8079</v>
      </c>
      <c r="E3696" s="3" t="str">
        <f>HYPERLINK("https://www.amazon.com/Klein-Tools-832-26-Linemans-Fiberglass/dp/B08LPYBCR9/ref=sr_1_1?keywords=Klein+Tools+832-26+Lineman%27s+Claw+Milled+Hammer&amp;qid=1695174242&amp;sr=8-1", "https://www.amazon.com/Klein-Tools-832-26-Linemans-Fiberglass/dp/B08LPYBCR9/ref=sr_1_1?keywords=Klein+Tools+832-26+Lineman%27s+Claw+Milled+Hammer&amp;qid=1695174242&amp;sr=8-1")</f>
        <v>https://www.amazon.com/Klein-Tools-832-26-Linemans-Fiberglass/dp/B08LPYBCR9/ref=sr_1_1?keywords=Klein+Tools+832-26+Lineman%27s+Claw+Milled+Hammer&amp;qid=1695174242&amp;sr=8-1</v>
      </c>
      <c r="F3696" t="s">
        <v>8080</v>
      </c>
      <c r="G3696" t="e">
        <f ca="1">_xludf.IMAGE("https://edmondsonsupply.com/cdn/shop/products/83226_b.jpg?v=1648164275")</f>
        <v>#NAME?</v>
      </c>
      <c r="H3696" t="e">
        <f ca="1">_xludf.IMAGE("https://m.media-amazon.com/images/I/51Mm300N+bL._AC_UL320_.jpg")</f>
        <v>#NAME?</v>
      </c>
      <c r="I3696" t="s">
        <v>7483</v>
      </c>
      <c r="J3696">
        <v>46.21</v>
      </c>
      <c r="K3696" s="4">
        <v>0</v>
      </c>
      <c r="L3696">
        <v>4.7</v>
      </c>
      <c r="M3696">
        <v>351</v>
      </c>
      <c r="O3696" t="s">
        <v>25</v>
      </c>
      <c r="P3696" t="s">
        <v>7484</v>
      </c>
      <c r="Q3696" t="s">
        <v>7485</v>
      </c>
    </row>
    <row r="3697" spans="1:17" ht="15.5" x14ac:dyDescent="0.35">
      <c r="A3697"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3697"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3697" t="s">
        <v>6963</v>
      </c>
      <c r="D3697" t="s">
        <v>6101</v>
      </c>
      <c r="E3697" s="3" t="str">
        <f>HYPERLINK("https://www.amazon.com/Klein-Tools-51603-Conduit-Features/dp/B08W6GJTHW/ref=sr_1_1?keywords=Klein+Tools+51603+Iron+Conduit+Bender+Full+Assembly%2C+1%2F2-Inch+EMT+with+Angle+Setter%E2%84%A2&amp;qid=1695173919&amp;sr=8-1", "https://www.amazon.com/Klein-Tools-51603-Conduit-Features/dp/B08W6GJTHW/ref=sr_1_1?keywords=Klein+Tools+51603+Iron+Conduit+Bender+Full+Assembly%2C+1%2F2-Inch+EMT+with+Angle+Setter%E2%84%A2&amp;qid=1695173919&amp;sr=8-1")</f>
        <v>https://www.amazon.com/Klein-Tools-51603-Conduit-Features/dp/B08W6GJTHW/ref=sr_1_1?keywords=Klein+Tools+51603+Iron+Conduit+Bender+Full+Assembly%2C+1%2F2-Inch+EMT+with+Angle+Setter%E2%84%A2&amp;qid=1695173919&amp;sr=8-1</v>
      </c>
      <c r="F3697" t="s">
        <v>6102</v>
      </c>
      <c r="G3697" t="e">
        <f ca="1">_xludf.IMAGE("https://edmondsonsupply.com/cdn/shop/products/51604.jpg?v=1663940749")</f>
        <v>#NAME?</v>
      </c>
      <c r="H3697" t="e">
        <f ca="1">_xludf.IMAGE("https://m.media-amazon.com/images/I/31lf3y-9bSL._AC_UL320_.jpg")</f>
        <v>#NAME?</v>
      </c>
      <c r="I3697" t="s">
        <v>905</v>
      </c>
      <c r="J3697">
        <v>59.99</v>
      </c>
      <c r="K3697" s="4">
        <v>0</v>
      </c>
      <c r="L3697">
        <v>4.9000000000000004</v>
      </c>
      <c r="M3697">
        <v>31</v>
      </c>
      <c r="O3697" t="s">
        <v>25</v>
      </c>
      <c r="P3697" t="s">
        <v>6964</v>
      </c>
      <c r="Q3697" t="s">
        <v>6965</v>
      </c>
    </row>
    <row r="3698" spans="1:17" ht="15.5" x14ac:dyDescent="0.35">
      <c r="A3698" s="3" t="str">
        <f>HYPERLINK("https://edmondsonsupply.com/collections/electricians-tools/products/klein-tools-32717-all-in-1-precision-screwdriver-set-with-case", "https://edmondsonsupply.com/collections/electricians-tools/products/klein-tools-32717-all-in-1-precision-screwdriver-set-with-case")</f>
        <v>https://edmondsonsupply.com/collections/electricians-tools/products/klein-tools-32717-all-in-1-precision-screwdriver-set-with-case</v>
      </c>
      <c r="B3698" s="3" t="str">
        <f>HYPERLINK("https://edmondsonsupply.com/products/klein-tools-32717-all-in-1-precision-screwdriver-set-with-case", "https://edmondsonsupply.com/products/klein-tools-32717-all-in-1-precision-screwdriver-set-with-case")</f>
        <v>https://edmondsonsupply.com/products/klein-tools-32717-all-in-1-precision-screwdriver-set-with-case</v>
      </c>
      <c r="C3698" t="s">
        <v>6701</v>
      </c>
      <c r="D3698" t="s">
        <v>8081</v>
      </c>
      <c r="E3698" s="3" t="str">
        <f>HYPERLINK("https://www.amazon.com/Klein-Tools-32717-Screwdriver-Multi-Function/dp/B08DRVM38X/ref=sr_1_1?keywords=Klein+Tools+32717+All-in-1+Precision+Screwdriver+Set+with+Case&amp;qid=1695174242&amp;sr=8-1", "https://www.amazon.com/Klein-Tools-32717-Screwdriver-Multi-Function/dp/B08DRVM38X/ref=sr_1_1?keywords=Klein+Tools+32717+All-in-1+Precision+Screwdriver+Set+with+Case&amp;qid=1695174242&amp;sr=8-1")</f>
        <v>https://www.amazon.com/Klein-Tools-32717-Screwdriver-Multi-Function/dp/B08DRVM38X/ref=sr_1_1?keywords=Klein+Tools+32717+All-in-1+Precision+Screwdriver+Set+with+Case&amp;qid=1695174242&amp;sr=8-1</v>
      </c>
      <c r="F3698" t="s">
        <v>8082</v>
      </c>
      <c r="G3698" t="e">
        <f ca="1">_xludf.IMAGE("https://edmondsonsupply.com/cdn/shop/products/32717.jpg?v=1633031161")</f>
        <v>#NAME?</v>
      </c>
      <c r="H3698" t="e">
        <f ca="1">_xludf.IMAGE("https://m.media-amazon.com/images/I/61tO1q+ldhL._AC_UL320_.jpg")</f>
        <v>#NAME?</v>
      </c>
      <c r="I3698" t="s">
        <v>824</v>
      </c>
      <c r="J3698">
        <v>29.97</v>
      </c>
      <c r="K3698" s="4">
        <v>0</v>
      </c>
      <c r="L3698">
        <v>4.9000000000000004</v>
      </c>
      <c r="M3698">
        <v>2770</v>
      </c>
      <c r="O3698" t="s">
        <v>25</v>
      </c>
      <c r="P3698" t="s">
        <v>562</v>
      </c>
      <c r="Q3698" t="s">
        <v>6704</v>
      </c>
    </row>
    <row r="3699" spans="1:17" ht="15.5" x14ac:dyDescent="0.35">
      <c r="A3699" s="3" t="str">
        <f>HYPERLINK("https://edmondsonsupply.com/collections/electricians-tools/products/klein-tools-et180-digital-differential-manometer", "https://edmondsonsupply.com/collections/electricians-tools/products/klein-tools-et180-digital-differential-manometer")</f>
        <v>https://edmondsonsupply.com/collections/electricians-tools/products/klein-tools-et180-digital-differential-manometer</v>
      </c>
      <c r="B3699" s="3" t="str">
        <f>HYPERLINK("https://edmondsonsupply.com/products/klein-tools-et180-digital-differential-manometer", "https://edmondsonsupply.com/products/klein-tools-et180-digital-differential-manometer")</f>
        <v>https://edmondsonsupply.com/products/klein-tools-et180-digital-differential-manometer</v>
      </c>
      <c r="C3699" t="s">
        <v>7509</v>
      </c>
      <c r="D3699" t="s">
        <v>8083</v>
      </c>
      <c r="E3699" s="3" t="str">
        <f>HYPERLINK("https://www.amazon.com/Manometer-Differential-Klein-Tools-ET180/dp/B099ZYCV1L/ref=sr_1_1?keywords=Klein+Tools+ET180+Digital+Differential+Manometer&amp;qid=1695173879&amp;sr=8-1", "https://www.amazon.com/Manometer-Differential-Klein-Tools-ET180/dp/B099ZYCV1L/ref=sr_1_1?keywords=Klein+Tools+ET180+Digital+Differential+Manometer&amp;qid=1695173879&amp;sr=8-1")</f>
        <v>https://www.amazon.com/Manometer-Differential-Klein-Tools-ET180/dp/B099ZYCV1L/ref=sr_1_1?keywords=Klein+Tools+ET180+Digital+Differential+Manometer&amp;qid=1695173879&amp;sr=8-1</v>
      </c>
      <c r="F3699" t="s">
        <v>8084</v>
      </c>
      <c r="G3699" t="e">
        <f ca="1">_xludf.IMAGE("https://edmondsonsupply.com/cdn/shop/products/et180.jpg?v=1664390112")</f>
        <v>#NAME?</v>
      </c>
      <c r="H3699" t="e">
        <f ca="1">_xludf.IMAGE("https://m.media-amazon.com/images/I/61Hi-kuZ5tL._AC_UY218_.jpg")</f>
        <v>#NAME?</v>
      </c>
      <c r="I3699" t="s">
        <v>7512</v>
      </c>
      <c r="J3699">
        <v>109.99</v>
      </c>
      <c r="K3699" s="4">
        <v>0</v>
      </c>
      <c r="L3699">
        <v>4.5999999999999996</v>
      </c>
      <c r="M3699">
        <v>286</v>
      </c>
      <c r="O3699" t="s">
        <v>25</v>
      </c>
      <c r="P3699" t="s">
        <v>7513</v>
      </c>
      <c r="Q3699" t="s">
        <v>7514</v>
      </c>
    </row>
    <row r="3700" spans="1:17" ht="15.5" x14ac:dyDescent="0.35">
      <c r="A3700" s="3" t="str">
        <f>HYPERLINK("https://edmondsonsupply.com/collections/electricians-tools/products/klein-tools-93ldm100c-compact-laser-distance-measure", "https://edmondsonsupply.com/collections/electricians-tools/products/klein-tools-93ldm100c-compact-laser-distance-measure")</f>
        <v>https://edmondsonsupply.com/collections/electricians-tools/products/klein-tools-93ldm100c-compact-laser-distance-measure</v>
      </c>
      <c r="B3700" s="3" t="str">
        <f>HYPERLINK("https://edmondsonsupply.com/products/klein-tools-93ldm100c-compact-laser-distance-measure", "https://edmondsonsupply.com/products/klein-tools-93ldm100c-compact-laser-distance-measure")</f>
        <v>https://edmondsonsupply.com/products/klein-tools-93ldm100c-compact-laser-distance-measure</v>
      </c>
      <c r="C3700" t="s">
        <v>4590</v>
      </c>
      <c r="D3700" t="s">
        <v>4591</v>
      </c>
      <c r="E3700" s="3" t="str">
        <f>HYPERLINK("https://www.amazon.com/Klein-Tools-93LDM100C-Compact-Distance/dp/B09VJS94G3/ref=sr_1_1?keywords=Klein+Tools+93LDM100C+Compact+Laser+Distance+Measure&amp;qid=1695173876&amp;sr=8-1", "https://www.amazon.com/Klein-Tools-93LDM100C-Compact-Distance/dp/B09VJS94G3/ref=sr_1_1?keywords=Klein+Tools+93LDM100C+Compact+Laser+Distance+Measure&amp;qid=1695173876&amp;sr=8-1")</f>
        <v>https://www.amazon.com/Klein-Tools-93LDM100C-Compact-Distance/dp/B09VJS94G3/ref=sr_1_1?keywords=Klein+Tools+93LDM100C+Compact+Laser+Distance+Measure&amp;qid=1695173876&amp;sr=8-1</v>
      </c>
      <c r="F3700" t="s">
        <v>4592</v>
      </c>
      <c r="G3700" t="e">
        <f ca="1">_xludf.IMAGE("https://edmondsonsupply.com/cdn/shop/products/93ldm100c.jpg?v=1666806501")</f>
        <v>#NAME?</v>
      </c>
      <c r="H3700" t="e">
        <f ca="1">_xludf.IMAGE("https://m.media-amazon.com/images/I/41mpZjYwkfL._AC_UL320_.jpg")</f>
        <v>#NAME?</v>
      </c>
      <c r="I3700" t="s">
        <v>340</v>
      </c>
      <c r="J3700">
        <v>34.97</v>
      </c>
      <c r="K3700" s="4">
        <v>0</v>
      </c>
      <c r="L3700">
        <v>4.5</v>
      </c>
      <c r="M3700">
        <v>259</v>
      </c>
      <c r="O3700" t="s">
        <v>25</v>
      </c>
      <c r="P3700" t="s">
        <v>4593</v>
      </c>
      <c r="Q3700" t="s">
        <v>4594</v>
      </c>
    </row>
    <row r="3701" spans="1:17" ht="15.5" x14ac:dyDescent="0.35">
      <c r="A3701"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3701" s="3" t="str">
        <f>HYPERLINK("https://edmondsonsupply.com/products/klein-tools-60511-heavy-duty-knee-pad-sleeves-m-l", "https://edmondsonsupply.com/products/klein-tools-60511-heavy-duty-knee-pad-sleeves-m-l")</f>
        <v>https://edmondsonsupply.com/products/klein-tools-60511-heavy-duty-knee-pad-sleeves-m-l</v>
      </c>
      <c r="C3701" t="s">
        <v>1024</v>
      </c>
      <c r="D3701" t="s">
        <v>1123</v>
      </c>
      <c r="E3701" s="3" t="str">
        <f>HYPERLINK("https://www.amazon.com/Klein-Tools-60511-Breathable-Slip-Resistant/dp/B0B7Z7YH75/ref=sr_1_1?keywords=Klein+Tools+60511+Heavy+Duty+Knee+Pad+Sleeves%2C+M%2FL&amp;qid=1695174162&amp;sr=8-1", "https://www.amazon.com/Klein-Tools-60511-Breathable-Slip-Resistant/dp/B0B7Z7YH75/ref=sr_1_1?keywords=Klein+Tools+60511+Heavy+Duty+Knee+Pad+Sleeves%2C+M%2FL&amp;qid=1695174162&amp;sr=8-1")</f>
        <v>https://www.amazon.com/Klein-Tools-60511-Breathable-Slip-Resistant/dp/B0B7Z7YH75/ref=sr_1_1?keywords=Klein+Tools+60511+Heavy+Duty+Knee+Pad+Sleeves%2C+M%2FL&amp;qid=1695174162&amp;sr=8-1</v>
      </c>
      <c r="F3701" t="s">
        <v>1124</v>
      </c>
      <c r="G3701" t="e">
        <f ca="1">_xludf.IMAGE("https://edmondsonsupply.com/cdn/shop/products/60511_60611_b.jpg?v=1663253024")</f>
        <v>#NAME?</v>
      </c>
      <c r="H3701" t="e">
        <f ca="1">_xludf.IMAGE("https://m.media-amazon.com/images/I/61GkRqPok+L._AC_UL320_.jpg")</f>
        <v>#NAME?</v>
      </c>
      <c r="I3701" t="s">
        <v>198</v>
      </c>
      <c r="J3701">
        <v>39.99</v>
      </c>
      <c r="K3701" s="4">
        <v>0</v>
      </c>
      <c r="L3701">
        <v>4.2</v>
      </c>
      <c r="M3701">
        <v>322</v>
      </c>
      <c r="O3701" t="s">
        <v>25</v>
      </c>
      <c r="P3701" t="s">
        <v>1027</v>
      </c>
      <c r="Q3701" t="s">
        <v>1028</v>
      </c>
    </row>
    <row r="3702" spans="1:17" ht="15.5" x14ac:dyDescent="0.35">
      <c r="A3702" s="3" t="str">
        <f>HYPERLINK("https://edmondsonsupply.com/collections/electricians-tools/products/klein-tools-60486-cooling-pva-towel-high-visibility-yellow-2-pack", "https://edmondsonsupply.com/collections/electricians-tools/products/klein-tools-60486-cooling-pva-towel-high-visibility-yellow-2-pack")</f>
        <v>https://edmondsonsupply.com/collections/electricians-tools/products/klein-tools-60486-cooling-pva-towel-high-visibility-yellow-2-pack</v>
      </c>
      <c r="B3702" s="3" t="str">
        <f>HYPERLINK("https://edmondsonsupply.com/products/klein-tools-60486-cooling-pva-towel-high-visibility-yellow-2-pack", "https://edmondsonsupply.com/products/klein-tools-60486-cooling-pva-towel-high-visibility-yellow-2-pack")</f>
        <v>https://edmondsonsupply.com/products/klein-tools-60486-cooling-pva-towel-high-visibility-yellow-2-pack</v>
      </c>
      <c r="C3702" t="s">
        <v>8085</v>
      </c>
      <c r="D3702" t="s">
        <v>8086</v>
      </c>
      <c r="E3702" s="3" t="str">
        <f>HYPERLINK("https://www.amazon.com/Klein-Tools-60486-Evaporative-Technology/dp/B092XBY412/ref=sr_1_1?keywords=Klein+Tools+60486+Cooling+PVA+Towel%2C+High-Visibility+Yellow%2C+2-Pack&amp;qid=1695174163&amp;sr=8-1", "https://www.amazon.com/Klein-Tools-60486-Evaporative-Technology/dp/B092XBY412/ref=sr_1_1?keywords=Klein+Tools+60486+Cooling+PVA+Towel%2C+High-Visibility+Yellow%2C+2-Pack&amp;qid=1695174163&amp;sr=8-1")</f>
        <v>https://www.amazon.com/Klein-Tools-60486-Evaporative-Technology/dp/B092XBY412/ref=sr_1_1?keywords=Klein+Tools+60486+Cooling+PVA+Towel%2C+High-Visibility+Yellow%2C+2-Pack&amp;qid=1695174163&amp;sr=8-1</v>
      </c>
      <c r="F3702" t="s">
        <v>8087</v>
      </c>
      <c r="G3702" t="e">
        <f ca="1">_xludf.IMAGE("https://edmondsonsupply.com/cdn/shop/products/60486_b.jpg?v=1663690931")</f>
        <v>#NAME?</v>
      </c>
      <c r="H3702" t="e">
        <f ca="1">_xludf.IMAGE("https://m.media-amazon.com/images/I/51IdxJPDWlL._AC_UL320_.jpg")</f>
        <v>#NAME?</v>
      </c>
      <c r="I3702" t="s">
        <v>2577</v>
      </c>
      <c r="J3702">
        <v>9.99</v>
      </c>
      <c r="K3702" s="4">
        <v>0</v>
      </c>
      <c r="L3702">
        <v>4.8</v>
      </c>
      <c r="M3702">
        <v>13</v>
      </c>
      <c r="O3702" t="s">
        <v>25</v>
      </c>
      <c r="P3702" t="s">
        <v>1271</v>
      </c>
      <c r="Q3702" t="s">
        <v>8088</v>
      </c>
    </row>
    <row r="3703" spans="1:17" ht="15.5" x14ac:dyDescent="0.35">
      <c r="A3703" s="3" t="str">
        <f>HYPERLINK("https://edmondsonsupply.com/collections/electricians-tools/products/tajima-vrb2-100b-v-rex%E2%84%A2-ii-premium-tempered-steel-utility-knife-blades-100-blade-safety-dispenser", "https://edmondsonsupply.com/collections/electricians-tools/products/tajima-vrb2-100b-v-rex%E2%84%A2-ii-premium-tempered-steel-utility-knife-blades-100-blade-safety-dispenser")</f>
        <v>https://edmondsonsupply.com/collections/electricians-tools/products/tajima-vrb2-100b-v-rex%E2%84%A2-ii-premium-tempered-steel-utility-knife-blades-100-blade-safety-dispenser</v>
      </c>
      <c r="B3703" s="3" t="str">
        <f>HYPERLINK("https://edmondsonsupply.com/products/tajima-vrb2-100b-v-rex%e2%84%a2-ii-premium-tempered-steel-utility-knife-blades-100-blade-safety-dispenser", "https://edmondsonsupply.com/products/tajima-vrb2-100b-v-rex%e2%84%a2-ii-premium-tempered-steel-utility-knife-blades-100-blade-safety-dispenser")</f>
        <v>https://edmondsonsupply.com/products/tajima-vrb2-100b-v-rex%e2%84%a2-ii-premium-tempered-steel-utility-knife-blades-100-blade-safety-dispenser</v>
      </c>
      <c r="C3703" t="s">
        <v>4947</v>
      </c>
      <c r="D3703" t="s">
        <v>4948</v>
      </c>
      <c r="E3703" s="3" t="str">
        <f>HYPERLINK("https://www.amazon.com/Tajima-VRB2-100B-Premium-Tempered-100-Pack/dp/B00NY8R9OU/ref=sr_1_1?keywords=Tajima+VRB2-100B+V-REX%E2%84%A2+II%2C+Premium+Tempered+Steel+Utility+Knife+Blades%2C+100-Blade+Safety+Dispenser&amp;qid=1695173876&amp;sr=8-1", "https://www.amazon.com/Tajima-VRB2-100B-Premium-Tempered-100-Pack/dp/B00NY8R9OU/ref=sr_1_1?keywords=Tajima+VRB2-100B+V-REX%E2%84%A2+II%2C+Premium+Tempered+Steel+Utility+Knife+Blades%2C+100-Blade+Safety+Dispenser&amp;qid=1695173876&amp;sr=8-1")</f>
        <v>https://www.amazon.com/Tajima-VRB2-100B-Premium-Tempered-100-Pack/dp/B00NY8R9OU/ref=sr_1_1?keywords=Tajima+VRB2-100B+V-REX%E2%84%A2+II%2C+Premium+Tempered+Steel+Utility+Knife+Blades%2C+100-Blade+Safety+Dispenser&amp;qid=1695173876&amp;sr=8-1</v>
      </c>
      <c r="F3703" t="s">
        <v>4949</v>
      </c>
      <c r="G3703" t="e">
        <f ca="1">_xludf.IMAGE("https://edmondsonsupply.com/cdn/shop/products/VRB2-100B.jpg?v=1633031166")</f>
        <v>#NAME?</v>
      </c>
      <c r="H3703" t="e">
        <f ca="1">_xludf.IMAGE("https://m.media-amazon.com/images/I/818qmSUapWL._AC_UL320_.jpg")</f>
        <v>#NAME?</v>
      </c>
      <c r="I3703" t="s">
        <v>8089</v>
      </c>
      <c r="J3703">
        <v>32.869999999999997</v>
      </c>
      <c r="K3703" s="4">
        <v>0</v>
      </c>
      <c r="L3703">
        <v>4.8</v>
      </c>
      <c r="M3703">
        <v>236</v>
      </c>
      <c r="O3703" t="s">
        <v>25</v>
      </c>
      <c r="P3703" t="s">
        <v>4950</v>
      </c>
      <c r="Q3703" t="s">
        <v>4951</v>
      </c>
    </row>
    <row r="3704" spans="1:17" ht="15.5" x14ac:dyDescent="0.35">
      <c r="A3704" s="3" t="str">
        <f>HYPERLINK("https://edmondsonsupply.com/collections/electricians-tools/products/klein-tools-j215-8cr-hybrid-pliers", "https://edmondsonsupply.com/collections/electricians-tools/products/klein-tools-j215-8cr-hybrid-pliers")</f>
        <v>https://edmondsonsupply.com/collections/electricians-tools/products/klein-tools-j215-8cr-hybrid-pliers</v>
      </c>
      <c r="B3704" s="3" t="str">
        <f>HYPERLINK("https://edmondsonsupply.com/products/klein-tools-j215-8cr-hybrid-pliers", "https://edmondsonsupply.com/products/klein-tools-j215-8cr-hybrid-pliers")</f>
        <v>https://edmondsonsupply.com/products/klein-tools-j215-8cr-hybrid-pliers</v>
      </c>
      <c r="C3704" t="s">
        <v>8090</v>
      </c>
      <c r="D3704" t="s">
        <v>8091</v>
      </c>
      <c r="E3704" s="3" t="str">
        <f>HYPERLINK("https://www.amazon.com/Shearing-Stripper-Klein-Tools-J215-8CR/dp/B07BX7QJYH/ref=sr_1_1?keywords=Klein+Tools+J215-8CR+Hybrid+Pliers&amp;qid=1695174248&amp;sr=8-1", "https://www.amazon.com/Shearing-Stripper-Klein-Tools-J215-8CR/dp/B07BX7QJYH/ref=sr_1_1?keywords=Klein+Tools+J215-8CR+Hybrid+Pliers&amp;qid=1695174248&amp;sr=8-1")</f>
        <v>https://www.amazon.com/Shearing-Stripper-Klein-Tools-J215-8CR/dp/B07BX7QJYH/ref=sr_1_1?keywords=Klein+Tools+J215-8CR+Hybrid+Pliers&amp;qid=1695174248&amp;sr=8-1</v>
      </c>
      <c r="F3704" t="s">
        <v>8092</v>
      </c>
      <c r="G3704" t="e">
        <f ca="1">_xludf.IMAGE("https://edmondsonsupply.com/cdn/shop/products/j2158cr.jpg?v=1633031183")</f>
        <v>#NAME?</v>
      </c>
      <c r="H3704" t="e">
        <f ca="1">_xludf.IMAGE("https://m.media-amazon.com/images/I/51MjjHHAeHL._AC_UL320_.jpg")</f>
        <v>#NAME?</v>
      </c>
      <c r="I3704" t="s">
        <v>246</v>
      </c>
      <c r="J3704">
        <v>39.97</v>
      </c>
      <c r="K3704" s="4">
        <v>0</v>
      </c>
      <c r="L3704">
        <v>4.7</v>
      </c>
      <c r="M3704">
        <v>2958</v>
      </c>
      <c r="O3704" t="s">
        <v>25</v>
      </c>
      <c r="P3704" t="s">
        <v>1027</v>
      </c>
      <c r="Q3704" t="s">
        <v>8093</v>
      </c>
    </row>
    <row r="3705" spans="1:17" ht="15.5" x14ac:dyDescent="0.35">
      <c r="A3705" s="3" t="str">
        <f>HYPERLINK("https://edmondsonsupply.com/collections/electricians-tools/products/klein-tools-55421bp-14-tradesman-pro%E2%84%A2-tool-bag-backpack-39-pockets-black-14-inch", "https://edmondsonsupply.com/collections/electricians-tools/products/klein-tools-55421bp-14-tradesman-pro%E2%84%A2-tool-bag-backpack-39-pockets-black-14-inch")</f>
        <v>https://edmondsonsupply.com/collections/electricians-tools/products/klein-tools-55421bp-14-tradesman-pro%E2%84%A2-tool-bag-backpack-39-pockets-black-14-inch</v>
      </c>
      <c r="B3705"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3705" t="s">
        <v>542</v>
      </c>
      <c r="D3705" t="s">
        <v>543</v>
      </c>
      <c r="E3705" s="3" t="str">
        <f>HYPERLINK("https://www.amazon.com/Electrician-Tradesman-Klein-Tools-55421BP-14/dp/B00MK9UY0A/ref=sr_1_1?keywords=Klein+Tools+55421BP-14+Tradesman+Pro%E2%84%A2+Tool+Bag+Backpack%2C+39+Pockets%2C+Black%2C+14-Inch&amp;qid=1695173876&amp;sr=8-1", "https://www.amazon.com/Electrician-Tradesman-Klein-Tools-55421BP-14/dp/B00MK9UY0A/ref=sr_1_1?keywords=Klein+Tools+55421BP-14+Tradesman+Pro%E2%84%A2+Tool+Bag+Backpack%2C+39+Pockets%2C+Black%2C+14-Inch&amp;qid=1695173876&amp;sr=8-1")</f>
        <v>https://www.amazon.com/Electrician-Tradesman-Klein-Tools-55421BP-14/dp/B00MK9UY0A/ref=sr_1_1?keywords=Klein+Tools+55421BP-14+Tradesman+Pro%E2%84%A2+Tool+Bag+Backpack%2C+39+Pockets%2C+Black%2C+14-Inch&amp;qid=1695173876&amp;sr=8-1</v>
      </c>
      <c r="F3705" t="s">
        <v>544</v>
      </c>
      <c r="G3705" t="e">
        <f ca="1">_xludf.IMAGE("https://edmondsonsupply.com/cdn/shop/products/55421bp-14_photo.jpg?v=1660827337")</f>
        <v>#NAME?</v>
      </c>
      <c r="H3705" t="e">
        <f ca="1">_xludf.IMAGE("https://m.media-amazon.com/images/I/611s5jIgqGL._AC_UL320_.jpg")</f>
        <v>#NAME?</v>
      </c>
      <c r="I3705" t="s">
        <v>545</v>
      </c>
      <c r="J3705">
        <v>99.97</v>
      </c>
      <c r="K3705" s="4">
        <v>0</v>
      </c>
      <c r="L3705">
        <v>4.7</v>
      </c>
      <c r="M3705">
        <v>4986</v>
      </c>
      <c r="O3705" t="s">
        <v>25</v>
      </c>
      <c r="P3705" t="s">
        <v>546</v>
      </c>
      <c r="Q3705" t="s">
        <v>547</v>
      </c>
    </row>
    <row r="3706" spans="1:17" ht="15.5" x14ac:dyDescent="0.35">
      <c r="A3706"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3706"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3706" t="s">
        <v>7104</v>
      </c>
      <c r="D3706" t="s">
        <v>3732</v>
      </c>
      <c r="E3706" s="3" t="str">
        <f>HYPERLINK("https://www.amazon.com/Driver-6-Inch-Klein-Tools-65129/dp/B0716VDFTD/ref=sr_1_1?keywords=Klein+Tools+65129+2-in-1+Nut+Driver%2C+Hex+Head+Slide+Drive%E2%84%A2%2C+6-Inch&amp;qid=1695174155&amp;sr=8-1", "https://www.amazon.com/Driver-6-Inch-Klein-Tools-65129/dp/B0716VDFTD/ref=sr_1_1?keywords=Klein+Tools+65129+2-in-1+Nut+Driver%2C+Hex+Head+Slide+Drive%E2%84%A2%2C+6-Inch&amp;qid=1695174155&amp;sr=8-1")</f>
        <v>https://www.amazon.com/Driver-6-Inch-Klein-Tools-65129/dp/B0716VDFTD/ref=sr_1_1?keywords=Klein+Tools+65129+2-in-1+Nut+Driver%2C+Hex+Head+Slide+Drive%E2%84%A2%2C+6-Inch&amp;qid=1695174155&amp;sr=8-1</v>
      </c>
      <c r="F3706" t="s">
        <v>3733</v>
      </c>
      <c r="G3706" t="e">
        <f ca="1">_xludf.IMAGE("https://edmondsonsupply.com/cdn/shop/products/65129.jpg?v=1664459800")</f>
        <v>#NAME?</v>
      </c>
      <c r="H3706" t="e">
        <f ca="1">_xludf.IMAGE("https://m.media-amazon.com/images/I/31G5opAPxjL._AC_UL320_.jpg")</f>
        <v>#NAME?</v>
      </c>
      <c r="I3706" t="s">
        <v>893</v>
      </c>
      <c r="J3706">
        <v>19.97</v>
      </c>
      <c r="K3706" s="4">
        <v>0</v>
      </c>
      <c r="L3706">
        <v>4.8</v>
      </c>
      <c r="M3706">
        <v>688</v>
      </c>
      <c r="O3706" t="s">
        <v>25</v>
      </c>
      <c r="P3706" t="s">
        <v>7105</v>
      </c>
      <c r="Q3706" t="s">
        <v>7106</v>
      </c>
    </row>
    <row r="3707" spans="1:17" ht="15.5" x14ac:dyDescent="0.35">
      <c r="A3707"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3707"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707" t="s">
        <v>919</v>
      </c>
      <c r="D3707" t="s">
        <v>922</v>
      </c>
      <c r="E3707" s="3" t="str">
        <f>HYPERLINK("https://www.amazon.com/Klein-60161-Professional-Protective-Resistant/dp/B08B496F57/ref=sr_1_10?keywords=Klein+Tools+60470+Professional+Full-Frame+Gasket+Safety+Glasses%2C+Clear+Lens&amp;qid=1695174156&amp;sr=8-10", "https://www.amazon.com/Klein-60161-Professional-Protective-Resistant/dp/B08B496F57/ref=sr_1_10?keywords=Klein+Tools+60470+Professional+Full-Frame+Gasket+Safety+Glasses%2C+Clear+Lens&amp;qid=1695174156&amp;sr=8-10")</f>
        <v>https://www.amazon.com/Klein-60161-Professional-Protective-Resistant/dp/B08B496F57/ref=sr_1_10?keywords=Klein+Tools+60470+Professional+Full-Frame+Gasket+Safety+Glasses%2C+Clear+Lens&amp;qid=1695174156&amp;sr=8-10</v>
      </c>
      <c r="F3707" t="s">
        <v>923</v>
      </c>
      <c r="G3707" t="e">
        <f ca="1">_xludf.IMAGE("https://edmondsonsupply.com/cdn/shop/products/60470.jpg?v=1663260659")</f>
        <v>#NAME?</v>
      </c>
      <c r="H3707" t="e">
        <f ca="1">_xludf.IMAGE("https://m.media-amazon.com/images/I/515pVZPvJ0L._AC_UL320_.jpg")</f>
        <v>#NAME?</v>
      </c>
      <c r="I3707" t="s">
        <v>252</v>
      </c>
      <c r="J3707">
        <v>15.99</v>
      </c>
      <c r="K3707" s="4">
        <v>0</v>
      </c>
      <c r="L3707">
        <v>4.4000000000000004</v>
      </c>
      <c r="M3707">
        <v>374</v>
      </c>
      <c r="O3707" t="s">
        <v>25</v>
      </c>
      <c r="P3707" t="s">
        <v>854</v>
      </c>
      <c r="Q3707" t="s">
        <v>920</v>
      </c>
    </row>
    <row r="3708" spans="1:17" ht="15.5" x14ac:dyDescent="0.35">
      <c r="A3708"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3708" s="3" t="str">
        <f>HYPERLINK("https://edmondsonsupply.com/products/klein-tools-88910-mini-tube-cutter", "https://edmondsonsupply.com/products/klein-tools-88910-mini-tube-cutter")</f>
        <v>https://edmondsonsupply.com/products/klein-tools-88910-mini-tube-cutter</v>
      </c>
      <c r="C3708" t="s">
        <v>6372</v>
      </c>
      <c r="D3708" t="s">
        <v>6372</v>
      </c>
      <c r="E3708" s="3" t="str">
        <f>HYPERLINK("https://www.amazon.com/Mini-Cutter-Klein-Tools-88910/dp/B0778PB1QQ/ref=sr_1_1?keywords=Klein+Tools+88910+Mini+Tube+Cutter&amp;qid=1695174232&amp;sr=8-1", "https://www.amazon.com/Mini-Cutter-Klein-Tools-88910/dp/B0778PB1QQ/ref=sr_1_1?keywords=Klein+Tools+88910+Mini+Tube+Cutter&amp;qid=1695174232&amp;sr=8-1")</f>
        <v>https://www.amazon.com/Mini-Cutter-Klein-Tools-88910/dp/B0778PB1QQ/ref=sr_1_1?keywords=Klein+Tools+88910+Mini+Tube+Cutter&amp;qid=1695174232&amp;sr=8-1</v>
      </c>
      <c r="F3708" t="s">
        <v>8094</v>
      </c>
      <c r="G3708" t="e">
        <f ca="1">_xludf.IMAGE("https://edmondsonsupply.com/cdn/shop/products/88910.jpg?v=1638577903")</f>
        <v>#NAME?</v>
      </c>
      <c r="H3708" t="e">
        <f ca="1">_xludf.IMAGE("https://m.media-amazon.com/images/I/51CIEV+sSFL._AC_UL320_.jpg")</f>
        <v>#NAME?</v>
      </c>
      <c r="I3708" t="s">
        <v>577</v>
      </c>
      <c r="J3708">
        <v>19.989999999999998</v>
      </c>
      <c r="K3708" s="4">
        <v>0</v>
      </c>
      <c r="L3708">
        <v>4.4000000000000004</v>
      </c>
      <c r="M3708">
        <v>226</v>
      </c>
      <c r="O3708" t="s">
        <v>25</v>
      </c>
      <c r="P3708" t="s">
        <v>6375</v>
      </c>
      <c r="Q3708" t="s">
        <v>6376</v>
      </c>
    </row>
    <row r="3709" spans="1:17" ht="15.5" x14ac:dyDescent="0.35">
      <c r="A3709"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3709"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3709" t="s">
        <v>6236</v>
      </c>
      <c r="D3709" t="s">
        <v>8095</v>
      </c>
      <c r="E3709" s="3" t="str">
        <f>HYPERLINK("https://www.amazon.com/Klein-Tools-Evaporative-Performance-Protection/dp/B08KFNDBRW/ref=sr_1_1?keywords=Klein+Tools+32308+8-in-1+Multi-Bit+Adjustable+Length+Stubby+Screwdriver&amp;qid=1695174224&amp;sr=8-1", "https://www.amazon.com/Klein-Tools-Evaporative-Performance-Protection/dp/B08KFNDBRW/ref=sr_1_1?keywords=Klein+Tools+32308+8-in-1+Multi-Bit+Adjustable+Length+Stubby+Screwdriver&amp;qid=1695174224&amp;sr=8-1")</f>
        <v>https://www.amazon.com/Klein-Tools-Evaporative-Performance-Protection/dp/B08KFNDBRW/ref=sr_1_1?keywords=Klein+Tools+32308+8-in-1+Multi-Bit+Adjustable+Length+Stubby+Screwdriver&amp;qid=1695174224&amp;sr=8-1</v>
      </c>
      <c r="F3709" t="s">
        <v>8096</v>
      </c>
      <c r="G3709" t="e">
        <f ca="1">_xludf.IMAGE("https://edmondsonsupply.com/cdn/shop/products/32308_b.jpg?v=1647348209")</f>
        <v>#NAME?</v>
      </c>
      <c r="H3709" t="e">
        <f ca="1">_xludf.IMAGE("https://m.media-amazon.com/images/I/61qTHFhrhZL._AC_UL320_.jpg")</f>
        <v>#NAME?</v>
      </c>
      <c r="I3709" t="s">
        <v>4985</v>
      </c>
      <c r="J3709">
        <v>16.97</v>
      </c>
      <c r="K3709" s="4">
        <v>0</v>
      </c>
      <c r="L3709">
        <v>4.7</v>
      </c>
      <c r="M3709">
        <v>5243</v>
      </c>
      <c r="O3709" t="s">
        <v>25</v>
      </c>
      <c r="P3709" t="s">
        <v>996</v>
      </c>
      <c r="Q3709" t="s">
        <v>6239</v>
      </c>
    </row>
    <row r="3710" spans="1:17" ht="15.5" x14ac:dyDescent="0.35">
      <c r="A3710" s="3" t="str">
        <f>HYPERLINK("https://edmondsonsupply.com/collections/electricians-tools/products/klein-tools-pjsfm2-rechargeable-clamping-fan", "https://edmondsonsupply.com/collections/electricians-tools/products/klein-tools-pjsfm2-rechargeable-clamping-fan")</f>
        <v>https://edmondsonsupply.com/collections/electricians-tools/products/klein-tools-pjsfm2-rechargeable-clamping-fan</v>
      </c>
      <c r="B3710" s="3" t="str">
        <f>HYPERLINK("https://edmondsonsupply.com/products/klein-tools-pjsfm2-rechargeable-clamping-fan", "https://edmondsonsupply.com/products/klein-tools-pjsfm2-rechargeable-clamping-fan")</f>
        <v>https://edmondsonsupply.com/products/klein-tools-pjsfm2-rechargeable-clamping-fan</v>
      </c>
      <c r="C3710" t="s">
        <v>4586</v>
      </c>
      <c r="D3710" t="s">
        <v>4587</v>
      </c>
      <c r="E3710" s="3" t="str">
        <f>HYPERLINK("https://www.amazon.com/Klein-Tools-PJSFM2-Operated-Rechargeable/dp/B0BWGQVPSC/ref=sr_1_1?keywords=Klein+Tools+PJSFM2+Rechargeable+Clamping+Fan&amp;qid=1695173905&amp;sr=8-1", "https://www.amazon.com/Klein-Tools-PJSFM2-Operated-Rechargeable/dp/B0BWGQVPSC/ref=sr_1_1?keywords=Klein+Tools+PJSFM2+Rechargeable+Clamping+Fan&amp;qid=1695173905&amp;sr=8-1")</f>
        <v>https://www.amazon.com/Klein-Tools-PJSFM2-Operated-Rechargeable/dp/B0BWGQVPSC/ref=sr_1_1?keywords=Klein+Tools+PJSFM2+Rechargeable+Clamping+Fan&amp;qid=1695173905&amp;sr=8-1</v>
      </c>
      <c r="F3710" t="s">
        <v>4588</v>
      </c>
      <c r="G3710" t="e">
        <f ca="1">_xludf.IMAGE("https://edmondsonsupply.com/cdn/shop/products/pjsfm2.jpg?v=1681741049")</f>
        <v>#NAME?</v>
      </c>
      <c r="H3710" t="e">
        <f ca="1">_xludf.IMAGE("https://m.media-amazon.com/images/I/61s9r8X1JSL._AC_UL320_.jpg")</f>
        <v>#NAME?</v>
      </c>
      <c r="I3710" t="s">
        <v>2224</v>
      </c>
      <c r="J3710">
        <v>99.99</v>
      </c>
      <c r="K3710" s="4">
        <v>0</v>
      </c>
      <c r="L3710">
        <v>4.9000000000000004</v>
      </c>
      <c r="M3710">
        <v>15</v>
      </c>
      <c r="O3710" t="s">
        <v>25</v>
      </c>
      <c r="P3710" t="s">
        <v>2225</v>
      </c>
      <c r="Q3710" t="s">
        <v>4589</v>
      </c>
    </row>
    <row r="3711" spans="1:17" ht="15.5" x14ac:dyDescent="0.35">
      <c r="A3711"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3711" s="3" t="str">
        <f>HYPERLINK("https://edmondsonsupply.com/products/klein-tools-j20017ne-heavy-duty-linemans-pliers-7-inch", "https://edmondsonsupply.com/products/klein-tools-j20017ne-heavy-duty-linemans-pliers-7-inch")</f>
        <v>https://edmondsonsupply.com/products/klein-tools-j20017ne-heavy-duty-linemans-pliers-7-inch</v>
      </c>
      <c r="C3711" t="s">
        <v>8097</v>
      </c>
      <c r="D3711" t="s">
        <v>8098</v>
      </c>
      <c r="E3711" s="3" t="str">
        <f>HYPERLINK("https://www.amazon.com/Klein-Tools-J20017NE-Heavy-Duty-Linemans/dp/B002LPWQFO/ref=sr_1_1?keywords=Klein+Tools+J20017NE+Heavy-Duty+Lineman%27s+Pliers%2C+7-Inch&amp;qid=1695174165&amp;sr=8-1", "https://www.amazon.com/Klein-Tools-J20017NE-Heavy-Duty-Linemans/dp/B002LPWQFO/ref=sr_1_1?keywords=Klein+Tools+J20017NE+Heavy-Duty+Lineman%27s+Pliers%2C+7-Inch&amp;qid=1695174165&amp;sr=8-1")</f>
        <v>https://www.amazon.com/Klein-Tools-J20017NE-Heavy-Duty-Linemans/dp/B002LPWQFO/ref=sr_1_1?keywords=Klein+Tools+J20017NE+Heavy-Duty+Lineman%27s+Pliers%2C+7-Inch&amp;qid=1695174165&amp;sr=8-1</v>
      </c>
      <c r="F3711" t="s">
        <v>8099</v>
      </c>
      <c r="G3711" t="e">
        <f ca="1">_xludf.IMAGE("https://edmondsonsupply.com/cdn/shop/products/j20017ne.jpg?v=1662669673")</f>
        <v>#NAME?</v>
      </c>
      <c r="H3711" t="e">
        <f ca="1">_xludf.IMAGE("https://m.media-amazon.com/images/I/513Qfm1M5dL._AC_UL320_.jpg")</f>
        <v>#NAME?</v>
      </c>
      <c r="I3711" t="s">
        <v>269</v>
      </c>
      <c r="J3711">
        <v>54.99</v>
      </c>
      <c r="K3711" s="4">
        <v>0</v>
      </c>
      <c r="L3711">
        <v>4.2</v>
      </c>
      <c r="M3711">
        <v>22</v>
      </c>
      <c r="O3711" t="s">
        <v>25</v>
      </c>
      <c r="P3711" t="s">
        <v>8100</v>
      </c>
      <c r="Q3711" t="s">
        <v>8101</v>
      </c>
    </row>
    <row r="3712" spans="1:17" ht="15.5" x14ac:dyDescent="0.35">
      <c r="A3712"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3712" s="3" t="str">
        <f>HYPERLINK("https://edmondsonsupply.com/products/klein-tools-60100-hard-hat-non-vented-cap-style-white", "https://edmondsonsupply.com/products/klein-tools-60100-hard-hat-non-vented-cap-style-white")</f>
        <v>https://edmondsonsupply.com/products/klein-tools-60100-hard-hat-non-vented-cap-style-white</v>
      </c>
      <c r="C3712" t="s">
        <v>970</v>
      </c>
      <c r="D3712" t="s">
        <v>1116</v>
      </c>
      <c r="E3712" s="3" t="str">
        <f>HYPERLINK("https://www.amazon.com/Klein-Tools-Hard-Non-vented-Style/dp/B07TMHWDG5/ref=sr_1_1?keywords=Klein+Tools+60100+Hard+Hat%2C+Non-Vented%2C+Cap+Style%2C+White&amp;qid=1695174219&amp;sr=8-1", "https://www.amazon.com/Klein-Tools-Hard-Non-vented-Style/dp/B07TMHWDG5/ref=sr_1_1?keywords=Klein+Tools+60100+Hard+Hat%2C+Non-Vented%2C+Cap+Style%2C+White&amp;qid=1695174219&amp;sr=8-1")</f>
        <v>https://www.amazon.com/Klein-Tools-Hard-Non-vented-Style/dp/B07TMHWDG5/ref=sr_1_1?keywords=Klein+Tools+60100+Hard+Hat%2C+Non-Vented%2C+Cap+Style%2C+White&amp;qid=1695174219&amp;sr=8-1</v>
      </c>
      <c r="F3712" t="s">
        <v>1117</v>
      </c>
      <c r="G3712" t="e">
        <f ca="1">_xludf.IMAGE("https://edmondsonsupply.com/cdn/shop/products/60100_c.jpg?v=1648166061")</f>
        <v>#NAME?</v>
      </c>
      <c r="H3712" t="e">
        <f ca="1">_xludf.IMAGE("https://m.media-amazon.com/images/I/51o+x2QNZ-L._AC_UL320_.jpg")</f>
        <v>#NAME?</v>
      </c>
      <c r="I3712" t="s">
        <v>198</v>
      </c>
      <c r="J3712">
        <v>39.99</v>
      </c>
      <c r="K3712" s="4">
        <v>0</v>
      </c>
      <c r="L3712">
        <v>4.5</v>
      </c>
      <c r="M3712">
        <v>35</v>
      </c>
      <c r="O3712" t="s">
        <v>171</v>
      </c>
      <c r="P3712" t="s">
        <v>971</v>
      </c>
      <c r="Q3712" t="s">
        <v>972</v>
      </c>
    </row>
    <row r="3713" spans="1:17" ht="15.5" x14ac:dyDescent="0.35">
      <c r="A3713"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3713"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3713" t="s">
        <v>6802</v>
      </c>
      <c r="D3713" t="s">
        <v>5678</v>
      </c>
      <c r="E3713" s="3" t="str">
        <f>HYPERLINK("https://www.amazon.com/Journeyman-T-Handle-Klein-Tools-JTH6M4/dp/B005G394YO/ref=sr_1_4?keywords=Klein+Tools+JTH4E10+5%2F32-Inch+Hex+Key%2C+Journeyman+T-Handle%2C+4-Inch&amp;qid=1695174219&amp;sr=8-4", "https://www.amazon.com/Journeyman-T-Handle-Klein-Tools-JTH6M4/dp/B005G394YO/ref=sr_1_4?keywords=Klein+Tools+JTH4E10+5%2F32-Inch+Hex+Key%2C+Journeyman+T-Handle%2C+4-Inch&amp;qid=1695174219&amp;sr=8-4")</f>
        <v>https://www.amazon.com/Journeyman-T-Handle-Klein-Tools-JTH6M4/dp/B005G394YO/ref=sr_1_4?keywords=Klein+Tools+JTH4E10+5%2F32-Inch+Hex+Key%2C+Journeyman+T-Handle%2C+4-Inch&amp;qid=1695174219&amp;sr=8-4</v>
      </c>
      <c r="F3713" t="s">
        <v>5679</v>
      </c>
      <c r="G3713" t="e">
        <f ca="1">_xludf.IMAGE("https://edmondsonsupply.com/cdn/shop/products/jth4e17_ce261606-f524-49c5-9cd5-8c9f52dd1e03.jpg?v=1645565342")</f>
        <v>#NAME?</v>
      </c>
      <c r="H3713" t="e">
        <f ca="1">_xludf.IMAGE("https://m.media-amazon.com/images/I/51+1x0vz9XL._AC_UL320_.jpg")</f>
        <v>#NAME?</v>
      </c>
      <c r="I3713" t="s">
        <v>6444</v>
      </c>
      <c r="J3713">
        <v>3.99</v>
      </c>
      <c r="K3713" s="4">
        <v>0</v>
      </c>
      <c r="L3713">
        <v>4.8</v>
      </c>
      <c r="M3713">
        <v>1532</v>
      </c>
      <c r="O3713" t="s">
        <v>25</v>
      </c>
      <c r="P3713" t="s">
        <v>2044</v>
      </c>
      <c r="Q3713" t="s">
        <v>6803</v>
      </c>
    </row>
    <row r="3714" spans="1:17" ht="15.5" x14ac:dyDescent="0.35">
      <c r="A3714" s="3" t="str">
        <f>HYPERLINK("https://edmondsonsupply.com/collections/electricians-tools/products/klein-tools-86600-1-4-inch-magnetic-hex-drivers-3-pack", "https://edmondsonsupply.com/collections/electricians-tools/products/klein-tools-86600-1-4-inch-magnetic-hex-drivers-3-pack")</f>
        <v>https://edmondsonsupply.com/collections/electricians-tools/products/klein-tools-86600-1-4-inch-magnetic-hex-drivers-3-pack</v>
      </c>
      <c r="B3714" s="3" t="str">
        <f>HYPERLINK("https://edmondsonsupply.com/products/klein-tools-86600-1-4-inch-magnetic-hex-drivers-3-pack", "https://edmondsonsupply.com/products/klein-tools-86600-1-4-inch-magnetic-hex-drivers-3-pack")</f>
        <v>https://edmondsonsupply.com/products/klein-tools-86600-1-4-inch-magnetic-hex-drivers-3-pack</v>
      </c>
      <c r="C3714" t="s">
        <v>5334</v>
      </c>
      <c r="D3714" t="s">
        <v>5334</v>
      </c>
      <c r="E3714" s="3" t="str">
        <f>HYPERLINK("https://www.amazon.com/Magnetic-Drivers-Klein-Tools-86600/dp/B0043GVDX0/ref=sr_1_1?keywords=Klein+Tools+86600+1%2F4-Inch+Magnetic+Hex+Drivers%2C+3-Pack&amp;qid=1695174220&amp;sr=8-1", "https://www.amazon.com/Magnetic-Drivers-Klein-Tools-86600/dp/B0043GVDX0/ref=sr_1_1?keywords=Klein+Tools+86600+1%2F4-Inch+Magnetic+Hex+Drivers%2C+3-Pack&amp;qid=1695174220&amp;sr=8-1")</f>
        <v>https://www.amazon.com/Magnetic-Drivers-Klein-Tools-86600/dp/B0043GVDX0/ref=sr_1_1?keywords=Klein+Tools+86600+1%2F4-Inch+Magnetic+Hex+Drivers%2C+3-Pack&amp;qid=1695174220&amp;sr=8-1</v>
      </c>
      <c r="F3714" t="s">
        <v>5335</v>
      </c>
      <c r="G3714" t="e">
        <f ca="1">_xludf.IMAGE("https://edmondsonsupply.com/cdn/shop/products/86600.png?v=1645569632")</f>
        <v>#NAME?</v>
      </c>
      <c r="H3714" t="e">
        <f ca="1">_xludf.IMAGE("https://m.media-amazon.com/images/I/6147J4xgyLL._AC_UL320_.jpg")</f>
        <v>#NAME?</v>
      </c>
      <c r="I3714" t="s">
        <v>2347</v>
      </c>
      <c r="J3714">
        <v>6.99</v>
      </c>
      <c r="K3714" s="4">
        <v>0</v>
      </c>
      <c r="L3714">
        <v>4.7</v>
      </c>
      <c r="M3714">
        <v>1164</v>
      </c>
      <c r="O3714" t="s">
        <v>25</v>
      </c>
      <c r="P3714" t="s">
        <v>6193</v>
      </c>
      <c r="Q3714" t="s">
        <v>6636</v>
      </c>
    </row>
    <row r="3715" spans="1:17" ht="15.5" x14ac:dyDescent="0.35">
      <c r="A3715" s="3" t="str">
        <f>HYPERLINK("https://edmondsonsupply.com/collections/electricians-tools/products/klein-tools-60113rl-hard-hat-vented-cap-style-with-rechargeable-headlamp-white", "https://edmondsonsupply.com/collections/electricians-tools/products/klein-tools-60113rl-hard-hat-vented-cap-style-with-rechargeable-headlamp-white")</f>
        <v>https://edmondsonsupply.com/collections/electricians-tools/products/klein-tools-60113rl-hard-hat-vented-cap-style-with-rechargeable-headlamp-white</v>
      </c>
      <c r="B3715"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3715" t="s">
        <v>1044</v>
      </c>
      <c r="D3715" t="s">
        <v>900</v>
      </c>
      <c r="E3715" s="3" t="str">
        <f>HYPERLINK("https://www.amazon.com/Klein-Tools-60407RL-Rechargeable-Odor-Resistant/dp/B08DDTV9M3/ref=sr_1_3?keywords=Klein+Tools+60113RL+Hard+Hat%2C+Vented%2C+Cap+Style+with+Rechargeable+Headlamp%2C+White&amp;qid=1695174220&amp;sr=8-3", "https://www.amazon.com/Klein-Tools-60407RL-Rechargeable-Odor-Resistant/dp/B08DDTV9M3/ref=sr_1_3?keywords=Klein+Tools+60113RL+Hard+Hat%2C+Vented%2C+Cap+Style+with+Rechargeable+Headlamp%2C+White&amp;qid=1695174220&amp;sr=8-3")</f>
        <v>https://www.amazon.com/Klein-Tools-60407RL-Rechargeable-Odor-Resistant/dp/B08DDTV9M3/ref=sr_1_3?keywords=Klein+Tools+60113RL+Hard+Hat%2C+Vented%2C+Cap+Style+with+Rechargeable+Headlamp%2C+White&amp;qid=1695174220&amp;sr=8-3</v>
      </c>
      <c r="F3715" t="s">
        <v>901</v>
      </c>
      <c r="G3715" t="e">
        <f ca="1">_xludf.IMAGE("https://edmondsonsupply.com/cdn/shop/products/60113rl_c.jpg?v=1647891186")</f>
        <v>#NAME?</v>
      </c>
      <c r="H3715" t="e">
        <f ca="1">_xludf.IMAGE("https://m.media-amazon.com/images/I/61w2MM+yDgL._AC_UL320_.jpg")</f>
        <v>#NAME?</v>
      </c>
      <c r="I3715" t="s">
        <v>905</v>
      </c>
      <c r="J3715">
        <v>59.99</v>
      </c>
      <c r="K3715" s="4">
        <v>0</v>
      </c>
      <c r="L3715">
        <v>4.7</v>
      </c>
      <c r="M3715">
        <v>1577</v>
      </c>
      <c r="O3715" t="s">
        <v>25</v>
      </c>
      <c r="P3715" t="s">
        <v>1047</v>
      </c>
      <c r="Q3715" t="s">
        <v>1048</v>
      </c>
    </row>
    <row r="3716" spans="1:17" ht="15.5" x14ac:dyDescent="0.35">
      <c r="A3716"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3716" s="3" t="str">
        <f>HYPERLINK("https://edmondsonsupply.com/products/klein-tools-935dag-digital-angle-gauge-and-level", "https://edmondsonsupply.com/products/klein-tools-935dag-digital-angle-gauge-and-level")</f>
        <v>https://edmondsonsupply.com/products/klein-tools-935dag-digital-angle-gauge-and-level</v>
      </c>
      <c r="C3716" t="s">
        <v>1924</v>
      </c>
      <c r="D3716" t="s">
        <v>4548</v>
      </c>
      <c r="E3716" s="3" t="str">
        <f>HYPERLINK("https://www.amazon.com/Klein-Tools-935DAG-Electronic-Measures/dp/B07ZWW3BW5/ref=sr_1_5?keywords=Klein+Tools+935DAG+Digital+Angle+Gauge+and+Level&amp;qid=1695173893&amp;sr=8-5", "https://www.amazon.com/Klein-Tools-935DAG-Electronic-Measures/dp/B07ZWW3BW5/ref=sr_1_5?keywords=Klein+Tools+935DAG+Digital+Angle+Gauge+and+Level&amp;qid=1695173893&amp;sr=8-5")</f>
        <v>https://www.amazon.com/Klein-Tools-935DAG-Electronic-Measures/dp/B07ZWW3BW5/ref=sr_1_5?keywords=Klein+Tools+935DAG+Digital+Angle+Gauge+and+Level&amp;qid=1695173893&amp;sr=8-5</v>
      </c>
      <c r="F3716" t="s">
        <v>4549</v>
      </c>
      <c r="G3716" t="e">
        <f ca="1">_xludf.IMAGE("https://edmondsonsupply.com/cdn/shop/products/935dag.jpg?v=1587145032")</f>
        <v>#NAME?</v>
      </c>
      <c r="H3716" t="e">
        <f ca="1">_xludf.IMAGE("https://m.media-amazon.com/images/I/61Dwz1IuUgL._AC_UL320_.jpg")</f>
        <v>#NAME?</v>
      </c>
      <c r="I3716" t="s">
        <v>824</v>
      </c>
      <c r="J3716">
        <v>29.97</v>
      </c>
      <c r="K3716" s="4">
        <v>0</v>
      </c>
      <c r="L3716">
        <v>4.8</v>
      </c>
      <c r="M3716">
        <v>13054</v>
      </c>
      <c r="O3716" t="s">
        <v>25</v>
      </c>
      <c r="P3716" t="s">
        <v>73</v>
      </c>
      <c r="Q3716" t="s">
        <v>1927</v>
      </c>
    </row>
    <row r="3717" spans="1:17" ht="15.5" x14ac:dyDescent="0.35">
      <c r="A3717"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3717" s="3" t="str">
        <f>HYPERLINK("https://edmondsonsupply.com/products/klein-tools-51610-1-iron-conduit-bender-head", "https://edmondsonsupply.com/products/klein-tools-51610-1-iron-conduit-bender-head")</f>
        <v>https://edmondsonsupply.com/products/klein-tools-51610-1-iron-conduit-bender-head</v>
      </c>
      <c r="C3717" t="s">
        <v>6220</v>
      </c>
      <c r="D3717" t="s">
        <v>6043</v>
      </c>
      <c r="E3717" s="3" t="str">
        <f>HYPERLINK("https://www.amazon.com/Conduit-Bender-Klein-Tools-51610/dp/B08V8J5CX4/ref=sr_1_1?keywords=Klein+Tools+51610+1%22+Iron+Conduit+Bender+Head&amp;qid=1695174168&amp;sr=8-1", "https://www.amazon.com/Conduit-Bender-Klein-Tools-51610/dp/B08V8J5CX4/ref=sr_1_1?keywords=Klein+Tools+51610+1%22+Iron+Conduit+Bender+Head&amp;qid=1695174168&amp;sr=8-1")</f>
        <v>https://www.amazon.com/Conduit-Bender-Klein-Tools-51610/dp/B08V8J5CX4/ref=sr_1_1?keywords=Klein+Tools+51610+1%22+Iron+Conduit+Bender+Head&amp;qid=1695174168&amp;sr=8-1</v>
      </c>
      <c r="F3717" t="s">
        <v>6044</v>
      </c>
      <c r="G3717" t="e">
        <f ca="1">_xludf.IMAGE("https://edmondsonsupply.com/cdn/shop/products/51610.jpg?v=1661975879")</f>
        <v>#NAME?</v>
      </c>
      <c r="H3717" t="e">
        <f ca="1">_xludf.IMAGE("https://m.media-amazon.com/images/I/61jmGqozuVL._AC_UL320_.jpg")</f>
        <v>#NAME?</v>
      </c>
      <c r="I3717" t="s">
        <v>320</v>
      </c>
      <c r="J3717">
        <v>74.989999999999995</v>
      </c>
      <c r="K3717" s="4">
        <v>0</v>
      </c>
      <c r="L3717">
        <v>4.8</v>
      </c>
      <c r="M3717">
        <v>11</v>
      </c>
      <c r="O3717" t="s">
        <v>25</v>
      </c>
      <c r="P3717" t="s">
        <v>6223</v>
      </c>
      <c r="Q3717" t="s">
        <v>6224</v>
      </c>
    </row>
    <row r="3718" spans="1:17" ht="15.5" x14ac:dyDescent="0.35">
      <c r="A3718"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3718" s="3" t="str">
        <f>HYPERLINK("https://edmondsonsupply.com/products/klein-tools-32305-15-in-1-multi-bit-ratcheting-screwdriver", "https://edmondsonsupply.com/products/klein-tools-32305-15-in-1-multi-bit-ratcheting-screwdriver")</f>
        <v>https://edmondsonsupply.com/products/klein-tools-32305-15-in-1-multi-bit-ratcheting-screwdriver</v>
      </c>
      <c r="C3718" t="s">
        <v>6262</v>
      </c>
      <c r="D3718" t="s">
        <v>8102</v>
      </c>
      <c r="E3718" s="3" t="str">
        <f>HYPERLINK("https://www.amazon.com/Klein-Tools-32305-Ratcheting-Screwdriver/dp/B08KFMHQCP/ref=sr_1_1?keywords=Klein+Tools+32305+15-in-1+Multi-Bit+Ratcheting+Screwdriver&amp;qid=1695174215&amp;sr=8-1", "https://www.amazon.com/Klein-Tools-32305-Ratcheting-Screwdriver/dp/B08KFMHQCP/ref=sr_1_1?keywords=Klein+Tools+32305+15-in-1+Multi-Bit+Ratcheting+Screwdriver&amp;qid=1695174215&amp;sr=8-1")</f>
        <v>https://www.amazon.com/Klein-Tools-32305-Ratcheting-Screwdriver/dp/B08KFMHQCP/ref=sr_1_1?keywords=Klein+Tools+32305+15-in-1+Multi-Bit+Ratcheting+Screwdriver&amp;qid=1695174215&amp;sr=8-1</v>
      </c>
      <c r="F3718" t="s">
        <v>8103</v>
      </c>
      <c r="G3718" t="e">
        <f ca="1">_xludf.IMAGE("https://edmondsonsupply.com/cdn/shop/products/32305.jpg?v=1646965475")</f>
        <v>#NAME?</v>
      </c>
      <c r="H3718" t="e">
        <f ca="1">_xludf.IMAGE("https://m.media-amazon.com/images/I/51jA6YSPgmL._AC_UL320_.jpg")</f>
        <v>#NAME?</v>
      </c>
      <c r="I3718" t="s">
        <v>2247</v>
      </c>
      <c r="J3718">
        <v>21.97</v>
      </c>
      <c r="K3718" s="4">
        <v>0</v>
      </c>
      <c r="L3718">
        <v>4.7</v>
      </c>
      <c r="M3718">
        <v>6069</v>
      </c>
      <c r="O3718" t="s">
        <v>25</v>
      </c>
      <c r="P3718" t="s">
        <v>6200</v>
      </c>
      <c r="Q3718" t="s">
        <v>6265</v>
      </c>
    </row>
    <row r="3719" spans="1:17" ht="15.5" x14ac:dyDescent="0.35">
      <c r="A3719" s="3" t="str">
        <f>HYPERLINK("https://edmondsonsupply.com/collections/electricians-tools/products/klein-tools-44131-folding-utility-knife", "https://edmondsonsupply.com/collections/electricians-tools/products/klein-tools-44131-folding-utility-knife")</f>
        <v>https://edmondsonsupply.com/collections/electricians-tools/products/klein-tools-44131-folding-utility-knife</v>
      </c>
      <c r="B3719" s="3" t="str">
        <f>HYPERLINK("https://edmondsonsupply.com/products/klein-tools-44131-folding-utility-knife", "https://edmondsonsupply.com/products/klein-tools-44131-folding-utility-knife")</f>
        <v>https://edmondsonsupply.com/products/klein-tools-44131-folding-utility-knife</v>
      </c>
      <c r="C3719" t="s">
        <v>4138</v>
      </c>
      <c r="D3719" t="s">
        <v>4690</v>
      </c>
      <c r="E3719" s="3" t="str">
        <f>HYPERLINK("https://www.amazon.com/Folding-Utility-Klein-Tools-44131/dp/B00A9GGGYY/ref=sr_1_1?keywords=Klein+Tools+44131+Folding+Utility+Knife&amp;qid=1695173893&amp;sr=8-1", "https://www.amazon.com/Folding-Utility-Klein-Tools-44131/dp/B00A9GGGYY/ref=sr_1_1?keywords=Klein+Tools+44131+Folding+Utility+Knife&amp;qid=1695173893&amp;sr=8-1")</f>
        <v>https://www.amazon.com/Folding-Utility-Klein-Tools-44131/dp/B00A9GGGYY/ref=sr_1_1?keywords=Klein+Tools+44131+Folding+Utility+Knife&amp;qid=1695173893&amp;sr=8-1</v>
      </c>
      <c r="F3719" t="s">
        <v>4691</v>
      </c>
      <c r="G3719" t="e">
        <f ca="1">_xludf.IMAGE("https://edmondsonsupply.com/cdn/shop/files/44131.jpg?v=1685458449")</f>
        <v>#NAME?</v>
      </c>
      <c r="H3719" t="e">
        <f ca="1">_xludf.IMAGE("https://m.media-amazon.com/images/I/51bXPE+KhIL._AC_UL320_.jpg")</f>
        <v>#NAME?</v>
      </c>
      <c r="I3719" t="s">
        <v>893</v>
      </c>
      <c r="J3719">
        <v>19.97</v>
      </c>
      <c r="K3719" s="4">
        <v>0</v>
      </c>
      <c r="L3719">
        <v>4.5999999999999996</v>
      </c>
      <c r="M3719">
        <v>3083</v>
      </c>
      <c r="O3719" t="s">
        <v>25</v>
      </c>
      <c r="P3719" t="s">
        <v>4141</v>
      </c>
      <c r="Q3719" t="s">
        <v>4142</v>
      </c>
    </row>
    <row r="3720" spans="1:17" ht="15.5" x14ac:dyDescent="0.35">
      <c r="A3720" s="3" t="str">
        <f>HYPERLINK("https://edmondsonsupply.com/collections/electricians-tools/products/klein-tools-51607-aluminum-conduit-bender-full-assembly-3-4-inch-emt-with-angle-setter%E2%84%A2", "https://edmondsonsupply.com/collections/electricians-tools/products/klein-tools-51607-aluminum-conduit-bender-full-assembly-3-4-inch-emt-with-angle-setter%E2%84%A2")</f>
        <v>https://edmondsonsupply.com/collections/electricians-tools/products/klein-tools-51607-aluminum-conduit-bender-full-assembly-3-4-inch-emt-with-angle-setter%E2%84%A2</v>
      </c>
      <c r="B3720" s="3" t="str">
        <f>HYPERLINK("https://edmondsonsupply.com/products/klein-tools-51607-aluminum-conduit-bender-full-assembly-3-4-inch-emt-with-angle-setter%e2%84%a2", "https://edmondsonsupply.com/products/klein-tools-51607-aluminum-conduit-bender-full-assembly-3-4-inch-emt-with-angle-setter%e2%84%a2")</f>
        <v>https://edmondsonsupply.com/products/klein-tools-51607-aluminum-conduit-bender-full-assembly-3-4-inch-emt-with-angle-setter%e2%84%a2</v>
      </c>
      <c r="C3720" t="s">
        <v>6601</v>
      </c>
      <c r="D3720" t="s">
        <v>6176</v>
      </c>
      <c r="E3720" s="3" t="str">
        <f>HYPERLINK("https://www.amazon.com/Aluminum-Benchmark-Technology-Klein-Tools/dp/B08L41G5G5/ref=sr_1_1?keywords=Klein+Tools+51607+Aluminum+Conduit+Bender+Full+Assembly%2C+3%2F4-Inch+EMT+with+Angle+Setter%E2%84%A2&amp;qid=1695174169&amp;sr=8-1", "https://www.amazon.com/Aluminum-Benchmark-Technology-Klein-Tools/dp/B08L41G5G5/ref=sr_1_1?keywords=Klein+Tools+51607+Aluminum+Conduit+Bender+Full+Assembly%2C+3%2F4-Inch+EMT+with+Angle+Setter%E2%84%A2&amp;qid=1695174169&amp;sr=8-1")</f>
        <v>https://www.amazon.com/Aluminum-Benchmark-Technology-Klein-Tools/dp/B08L41G5G5/ref=sr_1_1?keywords=Klein+Tools+51607+Aluminum+Conduit+Bender+Full+Assembly%2C+3%2F4-Inch+EMT+with+Angle+Setter%E2%84%A2&amp;qid=1695174169&amp;sr=8-1</v>
      </c>
      <c r="F3720" t="s">
        <v>6177</v>
      </c>
      <c r="G3720" t="e">
        <f ca="1">_xludf.IMAGE("https://edmondsonsupply.com/cdn/shop/products/51607.jpg?v=1663942654")</f>
        <v>#NAME?</v>
      </c>
      <c r="H3720" t="e">
        <f ca="1">_xludf.IMAGE("https://m.media-amazon.com/images/I/419ZjlOD69L._AC_UL320_.jpg")</f>
        <v>#NAME?</v>
      </c>
      <c r="I3720" t="s">
        <v>946</v>
      </c>
      <c r="J3720">
        <v>44.99</v>
      </c>
      <c r="K3720" s="4">
        <v>0</v>
      </c>
      <c r="L3720">
        <v>4.7</v>
      </c>
      <c r="M3720">
        <v>343</v>
      </c>
      <c r="O3720" t="s">
        <v>25</v>
      </c>
      <c r="P3720" t="s">
        <v>6068</v>
      </c>
      <c r="Q3720" t="s">
        <v>6604</v>
      </c>
    </row>
    <row r="3721" spans="1:17" ht="15.5" x14ac:dyDescent="0.35">
      <c r="A3721" s="3" t="str">
        <f>HYPERLINK("https://edmondsonsupply.com/collections/electricians-tools/products/klein-tools-40234-journeyman-wire-pulling-gloves-xl", "https://edmondsonsupply.com/collections/electricians-tools/products/klein-tools-40234-journeyman-wire-pulling-gloves-xl")</f>
        <v>https://edmondsonsupply.com/collections/electricians-tools/products/klein-tools-40234-journeyman-wire-pulling-gloves-xl</v>
      </c>
      <c r="B3721" s="3" t="str">
        <f>HYPERLINK("https://edmondsonsupply.com/products/klein-tools-40234-journeyman-wire-pulling-gloves-xl", "https://edmondsonsupply.com/products/klein-tools-40234-journeyman-wire-pulling-gloves-xl")</f>
        <v>https://edmondsonsupply.com/products/klein-tools-40234-journeyman-wire-pulling-gloves-xl</v>
      </c>
      <c r="C3721" t="s">
        <v>1176</v>
      </c>
      <c r="D3721" t="s">
        <v>1177</v>
      </c>
      <c r="E3721" s="3" t="str">
        <f>HYPERLINK("https://www.amazon.com/Journeyman-Pulling-Klein-Tools-40234/dp/B01MQCC9IZ/ref=sr_1_1?keywords=Klein+Tools+40234+Journeyman+Wire+Pulling+Gloves%2C+XL&amp;qid=1695174161&amp;sr=8-1", "https://www.amazon.com/Journeyman-Pulling-Klein-Tools-40234/dp/B01MQCC9IZ/ref=sr_1_1?keywords=Klein+Tools+40234+Journeyman+Wire+Pulling+Gloves%2C+XL&amp;qid=1695174161&amp;sr=8-1")</f>
        <v>https://www.amazon.com/Journeyman-Pulling-Klein-Tools-40234/dp/B01MQCC9IZ/ref=sr_1_1?keywords=Klein+Tools+40234+Journeyman+Wire+Pulling+Gloves%2C+XL&amp;qid=1695174161&amp;sr=8-1</v>
      </c>
      <c r="F3721" t="s">
        <v>1178</v>
      </c>
      <c r="G3721" t="e">
        <f ca="1">_xludf.IMAGE("https://edmondsonsupply.com/cdn/shop/products/40234.jpg?v=1664126527")</f>
        <v>#NAME?</v>
      </c>
      <c r="H3721" t="e">
        <f ca="1">_xludf.IMAGE("https://m.media-amazon.com/images/I/61KtxlVqHIL._AC_UL320_.jpg")</f>
        <v>#NAME?</v>
      </c>
      <c r="I3721" t="s">
        <v>893</v>
      </c>
      <c r="J3721">
        <v>19.97</v>
      </c>
      <c r="K3721" s="4">
        <v>0</v>
      </c>
      <c r="L3721">
        <v>4.5</v>
      </c>
      <c r="M3721">
        <v>317</v>
      </c>
      <c r="O3721" t="s">
        <v>25</v>
      </c>
      <c r="P3721" t="s">
        <v>1105</v>
      </c>
      <c r="Q3721" t="s">
        <v>1179</v>
      </c>
    </row>
    <row r="3722" spans="1:17" ht="15.5" x14ac:dyDescent="0.35">
      <c r="A3722" s="3" t="str">
        <f>HYPERLINK("https://edmondsonsupply.com/collections/electricians-tools/products/klein-tools-ti220-thermal-imager-for-android%C2%AE-devices", "https://edmondsonsupply.com/collections/electricians-tools/products/klein-tools-ti220-thermal-imager-for-android%C2%AE-devices")</f>
        <v>https://edmondsonsupply.com/collections/electricians-tools/products/klein-tools-ti220-thermal-imager-for-android%C2%AE-devices</v>
      </c>
      <c r="B3722" s="3" t="str">
        <f>HYPERLINK("https://edmondsonsupply.com/products/klein-tools-ti220-thermal-imager-for-android%c2%ae-devices", "https://edmondsonsupply.com/products/klein-tools-ti220-thermal-imager-for-android%c2%ae-devices")</f>
        <v>https://edmondsonsupply.com/products/klein-tools-ti220-thermal-imager-for-android%c2%ae-devices</v>
      </c>
      <c r="C3722" t="s">
        <v>4622</v>
      </c>
      <c r="D3722" t="s">
        <v>4623</v>
      </c>
      <c r="E3722" s="3" t="str">
        <f>HYPERLINK("https://www.amazon.com/Klein-Tools-TI220-Thermal-Imager-Temperatures/dp/B0B356X9ZD/ref=sr_1_1?keywords=Klein+Tools+TI220+Thermal+Imager+for+Android%C2%AE+Devices&amp;qid=1695173890&amp;sr=8-1", "https://www.amazon.com/Klein-Tools-TI220-Thermal-Imager-Temperatures/dp/B0B356X9ZD/ref=sr_1_1?keywords=Klein+Tools+TI220+Thermal+Imager+for+Android%C2%AE+Devices&amp;qid=1695173890&amp;sr=8-1")</f>
        <v>https://www.amazon.com/Klein-Tools-TI220-Thermal-Imager-Temperatures/dp/B0B356X9ZD/ref=sr_1_1?keywords=Klein+Tools+TI220+Thermal+Imager+for+Android%C2%AE+Devices&amp;qid=1695173890&amp;sr=8-1</v>
      </c>
      <c r="F3722" t="s">
        <v>4624</v>
      </c>
      <c r="G3722" t="e">
        <f ca="1">_xludf.IMAGE("https://edmondsonsupply.com/cdn/shop/products/ti220.jpg?v=1663594817")</f>
        <v>#NAME?</v>
      </c>
      <c r="H3722" t="e">
        <f ca="1">_xludf.IMAGE("https://m.media-amazon.com/images/I/71DqBIDjgfL._AC_UY218_.jpg")</f>
        <v>#NAME?</v>
      </c>
      <c r="I3722" t="s">
        <v>4625</v>
      </c>
      <c r="J3722">
        <v>249.99</v>
      </c>
      <c r="K3722" s="4">
        <v>0</v>
      </c>
      <c r="L3722">
        <v>4.5</v>
      </c>
      <c r="M3722">
        <v>91</v>
      </c>
      <c r="O3722" t="s">
        <v>25</v>
      </c>
      <c r="P3722" t="s">
        <v>4626</v>
      </c>
      <c r="Q3722" t="s">
        <v>4627</v>
      </c>
    </row>
    <row r="3723" spans="1:17" ht="15.5" x14ac:dyDescent="0.35">
      <c r="A3723" s="3" t="str">
        <f>HYPERLINK("https://edmondsonsupply.com/collections/electricians-tools/products/klein-tools-56409-polymer-fish-rod-set-glow-in-the-dark", "https://edmondsonsupply.com/collections/electricians-tools/products/klein-tools-56409-polymer-fish-rod-set-glow-in-the-dark")</f>
        <v>https://edmondsonsupply.com/collections/electricians-tools/products/klein-tools-56409-polymer-fish-rod-set-glow-in-the-dark</v>
      </c>
      <c r="B3723" s="3" t="str">
        <f>HYPERLINK("https://edmondsonsupply.com/products/klein-tools-56409-polymer-fish-rod-set-glow-in-the-dark", "https://edmondsonsupply.com/products/klein-tools-56409-polymer-fish-rod-set-glow-in-the-dark")</f>
        <v>https://edmondsonsupply.com/products/klein-tools-56409-polymer-fish-rod-set-glow-in-the-dark</v>
      </c>
      <c r="C3723" t="s">
        <v>8104</v>
      </c>
      <c r="D3723" t="s">
        <v>8105</v>
      </c>
      <c r="E3723" s="3" t="str">
        <f>HYPERLINK("https://www.amazon.com/Mid-Flex-9-Foot-Klein-Tools-56409/dp/B00CQM3TZ8/ref=sr_1_1?keywords=Klein+Tools+56409+Mid-Flex+Glow+Rod+Set%2C+9-Foot&amp;qid=1695174228&amp;sr=8-1", "https://www.amazon.com/Mid-Flex-9-Foot-Klein-Tools-56409/dp/B00CQM3TZ8/ref=sr_1_1?keywords=Klein+Tools+56409+Mid-Flex+Glow+Rod+Set%2C+9-Foot&amp;qid=1695174228&amp;sr=8-1")</f>
        <v>https://www.amazon.com/Mid-Flex-9-Foot-Klein-Tools-56409/dp/B00CQM3TZ8/ref=sr_1_1?keywords=Klein+Tools+56409+Mid-Flex+Glow+Rod+Set%2C+9-Foot&amp;qid=1695174228&amp;sr=8-1</v>
      </c>
      <c r="F3723" t="s">
        <v>8106</v>
      </c>
      <c r="G3723" t="e">
        <f ca="1">_xludf.IMAGE("https://edmondsonsupply.com/cdn/shop/products/56409.jpg?v=1641777660")</f>
        <v>#NAME?</v>
      </c>
      <c r="H3723" t="e">
        <f ca="1">_xludf.IMAGE("https://m.media-amazon.com/images/I/41RinMCr4EL._AC_UL320_.jpg")</f>
        <v>#NAME?</v>
      </c>
      <c r="I3723" t="s">
        <v>246</v>
      </c>
      <c r="J3723">
        <v>39.97</v>
      </c>
      <c r="K3723" s="4">
        <v>0</v>
      </c>
      <c r="L3723">
        <v>4.5999999999999996</v>
      </c>
      <c r="M3723">
        <v>545</v>
      </c>
      <c r="O3723" t="s">
        <v>25</v>
      </c>
      <c r="P3723" t="s">
        <v>247</v>
      </c>
      <c r="Q3723" t="s">
        <v>8107</v>
      </c>
    </row>
    <row r="3724" spans="1:17" ht="15.5" x14ac:dyDescent="0.35">
      <c r="A3724"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3724" s="3" t="str">
        <f>HYPERLINK("https://edmondsonsupply.com/products/klein-tools-32800-6-in-1-multi-nut-driver-heavy-duty", "https://edmondsonsupply.com/products/klein-tools-32800-6-in-1-multi-nut-driver-heavy-duty")</f>
        <v>https://edmondsonsupply.com/products/klein-tools-32800-6-in-1-multi-nut-driver-heavy-duty</v>
      </c>
      <c r="C3724" t="s">
        <v>8108</v>
      </c>
      <c r="D3724" t="s">
        <v>8109</v>
      </c>
      <c r="E3724" s="3" t="str">
        <f>HYPERLINK("https://www.amazon.com/Driver-NutDriver-Klein-Tools-32800/dp/B01I0QVP18/ref=sr_1_1?keywords=Klein+Tools+32800+6-in-1+6-in-1+Multi-Bit+Nut+Driver%2C+Heavy+Duty&amp;qid=1695174226&amp;sr=8-1", "https://www.amazon.com/Driver-NutDriver-Klein-Tools-32800/dp/B01I0QVP18/ref=sr_1_1?keywords=Klein+Tools+32800+6-in-1+6-in-1+Multi-Bit+Nut+Driver%2C+Heavy+Duty&amp;qid=1695174226&amp;sr=8-1")</f>
        <v>https://www.amazon.com/Driver-NutDriver-Klein-Tools-32800/dp/B01I0QVP18/ref=sr_1_1?keywords=Klein+Tools+32800+6-in-1+6-in-1+Multi-Bit+Nut+Driver%2C+Heavy+Duty&amp;qid=1695174226&amp;sr=8-1</v>
      </c>
      <c r="F3724" t="s">
        <v>8110</v>
      </c>
      <c r="G3724" t="e">
        <f ca="1">_xludf.IMAGE("https://edmondsonsupply.com/cdn/shop/products/32800_alt2.jpg?v=1646595019")</f>
        <v>#NAME?</v>
      </c>
      <c r="H3724" t="e">
        <f ca="1">_xludf.IMAGE("https://m.media-amazon.com/images/I/51LJIaQJvaL._AC_UL320_.jpg")</f>
        <v>#NAME?</v>
      </c>
      <c r="I3724" t="s">
        <v>26</v>
      </c>
      <c r="J3724">
        <v>29.99</v>
      </c>
      <c r="K3724" s="4">
        <v>0</v>
      </c>
      <c r="L3724">
        <v>4.7</v>
      </c>
      <c r="M3724">
        <v>1822</v>
      </c>
      <c r="O3724" t="s">
        <v>25</v>
      </c>
      <c r="P3724" t="s">
        <v>8111</v>
      </c>
      <c r="Q3724" t="s">
        <v>8112</v>
      </c>
    </row>
    <row r="3725" spans="1:17" ht="15.5" x14ac:dyDescent="0.35">
      <c r="A3725" s="3" t="str">
        <f>HYPERLINK("https://edmondsonsupply.com/collections/electricians-tools/products/klein-tools-jth9e06-3-32-inch-hex-key-journeyman%E2%84%A2-t-handle-9-inch", "https://edmondsonsupply.com/collections/electricians-tools/products/klein-tools-jth9e06-3-32-inch-hex-key-journeyman%E2%84%A2-t-handle-9-inch")</f>
        <v>https://edmondsonsupply.com/collections/electricians-tools/products/klein-tools-jth9e06-3-32-inch-hex-key-journeyman%E2%84%A2-t-handle-9-inch</v>
      </c>
      <c r="B3725" s="3" t="str">
        <f>HYPERLINK("https://edmondsonsupply.com/products/klein-tools-jth9e06-3-32-inch-hex-key-journeyman%e2%84%a2-t-handle-9-inch", "https://edmondsonsupply.com/products/klein-tools-jth9e06-3-32-inch-hex-key-journeyman%e2%84%a2-t-handle-9-inch")</f>
        <v>https://edmondsonsupply.com/products/klein-tools-jth9e06-3-32-inch-hex-key-journeyman%e2%84%a2-t-handle-9-inch</v>
      </c>
      <c r="C3725" t="s">
        <v>7332</v>
      </c>
      <c r="D3725" t="s">
        <v>5118</v>
      </c>
      <c r="E3725" s="3" t="str">
        <f>HYPERLINK("https://www.amazon.com/Journeyman-T-Handle-Klein-Tools-JTH9E10/dp/B004QV8H90/ref=sr_1_8?keywords=Klein+Tools+JTH9E06+3%2F32-Inch+Hex+Key%2C+Journeyman%E2%84%A2+T-Handle%2C+9-Inch&amp;qid=1695174164&amp;sr=8-8", "https://www.amazon.com/Journeyman-T-Handle-Klein-Tools-JTH9E10/dp/B004QV8H90/ref=sr_1_8?keywords=Klein+Tools+JTH9E06+3%2F32-Inch+Hex+Key%2C+Journeyman%E2%84%A2+T-Handle%2C+9-Inch&amp;qid=1695174164&amp;sr=8-8")</f>
        <v>https://www.amazon.com/Journeyman-T-Handle-Klein-Tools-JTH9E10/dp/B004QV8H90/ref=sr_1_8?keywords=Klein+Tools+JTH9E06+3%2F32-Inch+Hex+Key%2C+Journeyman%E2%84%A2+T-Handle%2C+9-Inch&amp;qid=1695174164&amp;sr=8-8</v>
      </c>
      <c r="F3725" t="s">
        <v>5119</v>
      </c>
      <c r="G3725" t="e">
        <f ca="1">_xludf.IMAGE("https://edmondsonsupply.com/cdn/shop/products/jth6e15_2136116f-dcd1-4a81-ab1c-471762cb8f3e.jpg?v=1662657547")</f>
        <v>#NAME?</v>
      </c>
      <c r="H3725" t="e">
        <f ca="1">_xludf.IMAGE("https://m.media-amazon.com/images/I/51Yb8h41vLL._AC_UL320_.jpg")</f>
        <v>#NAME?</v>
      </c>
      <c r="I3725" t="s">
        <v>6122</v>
      </c>
      <c r="J3725">
        <v>4.49</v>
      </c>
      <c r="K3725" s="4">
        <v>0</v>
      </c>
      <c r="L3725">
        <v>4.8</v>
      </c>
      <c r="M3725">
        <v>294</v>
      </c>
      <c r="O3725" t="s">
        <v>25</v>
      </c>
      <c r="P3725" t="s">
        <v>6098</v>
      </c>
      <c r="Q3725" t="s">
        <v>7333</v>
      </c>
    </row>
    <row r="3726" spans="1:17" ht="15.5" x14ac:dyDescent="0.35">
      <c r="A3726" s="3" t="str">
        <f>HYPERLINK("https://edmondsonsupply.com/collections/electricians-tools/products/klein-tools-60439-neck-and-face-cooling-band", "https://edmondsonsupply.com/collections/electricians-tools/products/klein-tools-60439-neck-and-face-cooling-band")</f>
        <v>https://edmondsonsupply.com/collections/electricians-tools/products/klein-tools-60439-neck-and-face-cooling-band</v>
      </c>
      <c r="B3726" s="3" t="str">
        <f>HYPERLINK("https://edmondsonsupply.com/products/klein-tools-60439-neck-and-face-cooling-band", "https://edmondsonsupply.com/products/klein-tools-60439-neck-and-face-cooling-band")</f>
        <v>https://edmondsonsupply.com/products/klein-tools-60439-neck-and-face-cooling-band</v>
      </c>
      <c r="C3726" t="s">
        <v>3346</v>
      </c>
      <c r="D3726" t="s">
        <v>4686</v>
      </c>
      <c r="E3726" s="3" t="str">
        <f>HYPERLINK("https://www.amazon.com/Klein-60465-Evaporative-Performance-Protection/dp/B08L5LWPH3/ref=sr_1_2?keywords=Klein+Tools+60439+Neck+and+Face+Cooling+Band&amp;qid=1695173890&amp;sr=8-2", "https://www.amazon.com/Klein-60465-Evaporative-Performance-Protection/dp/B08L5LWPH3/ref=sr_1_2?keywords=Klein+Tools+60439+Neck+and+Face+Cooling+Band&amp;qid=1695173890&amp;sr=8-2")</f>
        <v>https://www.amazon.com/Klein-60465-Evaporative-Performance-Protection/dp/B08L5LWPH3/ref=sr_1_2?keywords=Klein+Tools+60439+Neck+and+Face+Cooling+Band&amp;qid=1695173890&amp;sr=8-2</v>
      </c>
      <c r="F3726" t="s">
        <v>4687</v>
      </c>
      <c r="G3726" t="e">
        <f ca="1">_xludf.IMAGE("https://edmondsonsupply.com/cdn/shop/products/60439.jpg?v=1633030400")</f>
        <v>#NAME?</v>
      </c>
      <c r="H3726" t="e">
        <f ca="1">_xludf.IMAGE("https://m.media-amazon.com/images/I/61XfIfPNM0L._AC_UL320_.jpg")</f>
        <v>#NAME?</v>
      </c>
      <c r="I3726" t="s">
        <v>2577</v>
      </c>
      <c r="J3726">
        <v>9.99</v>
      </c>
      <c r="K3726" s="4">
        <v>0</v>
      </c>
      <c r="L3726">
        <v>4.4000000000000004</v>
      </c>
      <c r="M3726">
        <v>67</v>
      </c>
      <c r="O3726" t="s">
        <v>25</v>
      </c>
      <c r="P3726" t="s">
        <v>1271</v>
      </c>
      <c r="Q3726" t="s">
        <v>3349</v>
      </c>
    </row>
    <row r="3727" spans="1:17" ht="15.5" x14ac:dyDescent="0.35">
      <c r="A3727" s="3" t="str">
        <f>HYPERLINK("https://edmondsonsupply.com/collections/electricians-tools/products/klein-tools-63711-open-jaw-ratcheting-cable-cutter", "https://edmondsonsupply.com/collections/electricians-tools/products/klein-tools-63711-open-jaw-ratcheting-cable-cutter")</f>
        <v>https://edmondsonsupply.com/collections/electricians-tools/products/klein-tools-63711-open-jaw-ratcheting-cable-cutter</v>
      </c>
      <c r="B3727" s="3" t="str">
        <f>HYPERLINK("https://edmondsonsupply.com/products/klein-tools-63711-open-jaw-ratcheting-cable-cutter", "https://edmondsonsupply.com/products/klein-tools-63711-open-jaw-ratcheting-cable-cutter")</f>
        <v>https://edmondsonsupply.com/products/klein-tools-63711-open-jaw-ratcheting-cable-cutter</v>
      </c>
      <c r="C3727" t="s">
        <v>8113</v>
      </c>
      <c r="D3727" t="s">
        <v>8114</v>
      </c>
      <c r="E3727" s="3" t="str">
        <f>HYPERLINK("https://www.amazon.com/Cutter-Loading-Aluminum-Klein-Tools/dp/B00GI5GZ8M/ref=sr_1_1?keywords=Klein+Tools+63711+Open+Jaw+Ratcheting+Cable+Cutter&amp;qid=1695174167&amp;sr=8-1", "https://www.amazon.com/Cutter-Loading-Aluminum-Klein-Tools/dp/B00GI5GZ8M/ref=sr_1_1?keywords=Klein+Tools+63711+Open+Jaw+Ratcheting+Cable+Cutter&amp;qid=1695174167&amp;sr=8-1")</f>
        <v>https://www.amazon.com/Cutter-Loading-Aluminum-Klein-Tools/dp/B00GI5GZ8M/ref=sr_1_1?keywords=Klein+Tools+63711+Open+Jaw+Ratcheting+Cable+Cutter&amp;qid=1695174167&amp;sr=8-1</v>
      </c>
      <c r="F3727" t="s">
        <v>8115</v>
      </c>
      <c r="G3727" t="e">
        <f ca="1">_xludf.IMAGE("https://edmondsonsupply.com/cdn/shop/products/63711.jpg?v=1664130144")</f>
        <v>#NAME?</v>
      </c>
      <c r="H3727" t="e">
        <f ca="1">_xludf.IMAGE("https://m.media-amazon.com/images/I/51wteTWu6NL._AC_UL320_.jpg")</f>
        <v>#NAME?</v>
      </c>
      <c r="I3727" t="s">
        <v>8116</v>
      </c>
      <c r="J3727">
        <v>272.69</v>
      </c>
      <c r="K3727" s="4">
        <v>0</v>
      </c>
      <c r="L3727">
        <v>4.7</v>
      </c>
      <c r="M3727">
        <v>344</v>
      </c>
      <c r="O3727" t="s">
        <v>25</v>
      </c>
      <c r="P3727" t="s">
        <v>8117</v>
      </c>
      <c r="Q3727" t="s">
        <v>8118</v>
      </c>
    </row>
    <row r="3728" spans="1:17" ht="15.5" x14ac:dyDescent="0.35">
      <c r="A3728" s="3" t="str">
        <f>HYPERLINK("https://edmondsonsupply.com/collections/electricians-tools/products/klein-tools-31868-carbide-hole-cutter-2-inch", "https://edmondsonsupply.com/collections/electricians-tools/products/klein-tools-31868-carbide-hole-cutter-2-inch")</f>
        <v>https://edmondsonsupply.com/collections/electricians-tools/products/klein-tools-31868-carbide-hole-cutter-2-inch</v>
      </c>
      <c r="B3728" s="3" t="str">
        <f>HYPERLINK("https://edmondsonsupply.com/products/klein-tools-31868-carbide-hole-cutter-2-inch", "https://edmondsonsupply.com/products/klein-tools-31868-carbide-hole-cutter-2-inch")</f>
        <v>https://edmondsonsupply.com/products/klein-tools-31868-carbide-hole-cutter-2-inch</v>
      </c>
      <c r="C3728" t="s">
        <v>8119</v>
      </c>
      <c r="D3728" t="s">
        <v>8120</v>
      </c>
      <c r="E3728" s="3" t="str">
        <f>HYPERLINK("https://www.amazon.com/Carbide-Cutter-Klein-Tools-31868/dp/B00776T3D0/ref=sr_1_1?keywords=Klein+Tools+31868+Carbide+Hole+Cutter%2C+2-Inch&amp;qid=1695174229&amp;sr=8-1", "https://www.amazon.com/Carbide-Cutter-Klein-Tools-31868/dp/B00776T3D0/ref=sr_1_1?keywords=Klein+Tools+31868+Carbide+Hole+Cutter%2C+2-Inch&amp;qid=1695174229&amp;sr=8-1")</f>
        <v>https://www.amazon.com/Carbide-Cutter-Klein-Tools-31868/dp/B00776T3D0/ref=sr_1_1?keywords=Klein+Tools+31868+Carbide+Hole+Cutter%2C+2-Inch&amp;qid=1695174229&amp;sr=8-1</v>
      </c>
      <c r="F3728" t="s">
        <v>8121</v>
      </c>
      <c r="G3728" t="e">
        <f ca="1">_xludf.IMAGE("https://edmondsonsupply.com/cdn/shop/products/31868.jpg?v=1635112576")</f>
        <v>#NAME?</v>
      </c>
      <c r="H3728" t="e">
        <f ca="1">_xludf.IMAGE("https://m.media-amazon.com/images/I/41W7PbNCmTL._AC_UL320_.jpg")</f>
        <v>#NAME?</v>
      </c>
      <c r="I3728" t="s">
        <v>905</v>
      </c>
      <c r="J3728">
        <v>59.99</v>
      </c>
      <c r="K3728" s="4">
        <v>0</v>
      </c>
      <c r="L3728">
        <v>4.5</v>
      </c>
      <c r="M3728">
        <v>473</v>
      </c>
      <c r="O3728" t="s">
        <v>25</v>
      </c>
      <c r="P3728" t="s">
        <v>8122</v>
      </c>
      <c r="Q3728" t="s">
        <v>8123</v>
      </c>
    </row>
    <row r="3729" spans="1:17" ht="15.5" x14ac:dyDescent="0.35">
      <c r="A3729" s="3" t="str">
        <f>HYPERLINK("https://edmondsonsupply.com/collections/electricians-tools/products/klein-tools-s18hb", "https://edmondsonsupply.com/collections/electricians-tools/products/klein-tools-s18hb")</f>
        <v>https://edmondsonsupply.com/collections/electricians-tools/products/klein-tools-s18hb</v>
      </c>
      <c r="B3729" s="3" t="str">
        <f>HYPERLINK("https://edmondsonsupply.com/products/klein-tools-s18hb", "https://edmondsonsupply.com/products/klein-tools-s18hb")</f>
        <v>https://edmondsonsupply.com/products/klein-tools-s18hb</v>
      </c>
      <c r="C3729" t="s">
        <v>4724</v>
      </c>
      <c r="D3729" t="s">
        <v>4725</v>
      </c>
      <c r="E3729" s="3" t="str">
        <f>HYPERLINK("https://www.amazon.com/Klein-Tools-S18HB-Adjustable-Adjusts/dp/B0BN4LGV19/ref=sr_1_1?keywords=Klein+Tools+S18HB+Grip-It%E2%84%A2+Strap+Wrench%2C+1-1%2F8+to+8-Inch%2C+18-Inch+Handle&amp;qid=1695173985&amp;sr=8-1", "https://www.amazon.com/Klein-Tools-S18HB-Adjustable-Adjusts/dp/B0BN4LGV19/ref=sr_1_1?keywords=Klein+Tools+S18HB+Grip-It%E2%84%A2+Strap+Wrench%2C+1-1%2F8+to+8-Inch%2C+18-Inch+Handle&amp;qid=1695173985&amp;sr=8-1")</f>
        <v>https://www.amazon.com/Klein-Tools-S18HB-Adjustable-Adjusts/dp/B0BN4LGV19/ref=sr_1_1?keywords=Klein+Tools+S18HB+Grip-It%E2%84%A2+Strap+Wrench%2C+1-1%2F8+to+8-Inch%2C+18-Inch+Handle&amp;qid=1695173985&amp;sr=8-1</v>
      </c>
      <c r="F3729" t="s">
        <v>4726</v>
      </c>
      <c r="G3729" t="e">
        <f ca="1">_xludf.IMAGE("https://edmondsonsupply.com/cdn/shop/files/s18hb_b.jpg?v=1689785962")</f>
        <v>#NAME?</v>
      </c>
      <c r="H3729" t="e">
        <f ca="1">_xludf.IMAGE("https://m.media-amazon.com/images/I/51WZHZOQNPL._AC_UL320_.jpg")</f>
        <v>#NAME?</v>
      </c>
      <c r="I3729" t="s">
        <v>905</v>
      </c>
      <c r="J3729">
        <v>59.99</v>
      </c>
      <c r="K3729" s="4">
        <v>0</v>
      </c>
      <c r="L3729">
        <v>4.2</v>
      </c>
      <c r="M3729">
        <v>9</v>
      </c>
      <c r="O3729" t="s">
        <v>25</v>
      </c>
      <c r="P3729" t="s">
        <v>4727</v>
      </c>
      <c r="Q3729" t="s">
        <v>4728</v>
      </c>
    </row>
    <row r="3730" spans="1:17" ht="15.5" x14ac:dyDescent="0.35">
      <c r="A3730"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3730" s="3" t="str">
        <f>HYPERLINK("https://edmondsonsupply.com/products/klein-tools-66070-flip-impact-socket-set-7-piece", "https://edmondsonsupply.com/products/klein-tools-66070-flip-impact-socket-set-7-piece")</f>
        <v>https://edmondsonsupply.com/products/klein-tools-66070-flip-impact-socket-set-7-piece</v>
      </c>
      <c r="C3730" t="s">
        <v>6659</v>
      </c>
      <c r="D3730" t="s">
        <v>1834</v>
      </c>
      <c r="E3730" s="3" t="str">
        <f>HYPERLINK("https://www.amazon.com/Klein-Tools-66070-Sockets-Adapters/dp/B0B33XLXD1/ref=sr_1_1?keywords=Klein+Tools+66070+Flip+Impact+Socket+Set%2C+7-Piece&amp;qid=1695173845&amp;sr=8-1", "https://www.amazon.com/Klein-Tools-66070-Sockets-Adapters/dp/B0B33XLXD1/ref=sr_1_1?keywords=Klein+Tools+66070+Flip+Impact+Socket+Set%2C+7-Piece&amp;qid=1695173845&amp;sr=8-1")</f>
        <v>https://www.amazon.com/Klein-Tools-66070-Sockets-Adapters/dp/B0B33XLXD1/ref=sr_1_1?keywords=Klein+Tools+66070+Flip+Impact+Socket+Set%2C+7-Piece&amp;qid=1695173845&amp;sr=8-1</v>
      </c>
      <c r="F3730" t="s">
        <v>2106</v>
      </c>
      <c r="G3730" t="e">
        <f ca="1">_xludf.IMAGE("https://edmondsonsupply.com/cdn/shop/products/66070_b.jpg?v=1663251434")</f>
        <v>#NAME?</v>
      </c>
      <c r="H3730" t="e">
        <f ca="1">_xludf.IMAGE("https://m.media-amazon.com/images/I/71D23SffznL._AC_UL320_.jpg")</f>
        <v>#NAME?</v>
      </c>
      <c r="I3730" t="s">
        <v>380</v>
      </c>
      <c r="J3730">
        <v>49.97</v>
      </c>
      <c r="K3730" s="4">
        <v>0</v>
      </c>
      <c r="L3730">
        <v>4.8</v>
      </c>
      <c r="M3730">
        <v>1158</v>
      </c>
      <c r="O3730" t="s">
        <v>25</v>
      </c>
      <c r="P3730" t="s">
        <v>1114</v>
      </c>
      <c r="Q3730" t="s">
        <v>6662</v>
      </c>
    </row>
    <row r="3731" spans="1:17" ht="15.5" x14ac:dyDescent="0.35">
      <c r="A3731"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3731"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3731" t="s">
        <v>2659</v>
      </c>
      <c r="D3731" t="s">
        <v>4499</v>
      </c>
      <c r="E3731" s="3" t="str">
        <f>HYPERLINK("https://www.amazon.com/Klein-Tools-70550-Folding-Wrench/dp/B07SR11TC4/ref=sr_1_1?keywords=Klein+Tools+70550+Pro+Folding+Hex+Key+Set%2C+11-Key%2C+SAE+Sizes&amp;qid=1695173950&amp;sr=8-1", "https://www.amazon.com/Klein-Tools-70550-Folding-Wrench/dp/B07SR11TC4/ref=sr_1_1?keywords=Klein+Tools+70550+Pro+Folding+Hex+Key+Set%2C+11-Key%2C+SAE+Sizes&amp;qid=1695173950&amp;sr=8-1")</f>
        <v>https://www.amazon.com/Klein-Tools-70550-Folding-Wrench/dp/B07SR11TC4/ref=sr_1_1?keywords=Klein+Tools+70550+Pro+Folding+Hex+Key+Set%2C+11-Key%2C+SAE+Sizes&amp;qid=1695173950&amp;sr=8-1</v>
      </c>
      <c r="F3731" t="s">
        <v>4500</v>
      </c>
      <c r="G3731" t="e">
        <f ca="1">_xludf.IMAGE("https://edmondsonsupply.com/cdn/shop/products/70550.jpg?v=1587145237")</f>
        <v>#NAME?</v>
      </c>
      <c r="H3731" t="e">
        <f ca="1">_xludf.IMAGE("https://m.media-amazon.com/images/I/51WajHtjW+L._AC_UL320_.jpg")</f>
        <v>#NAME?</v>
      </c>
      <c r="I3731" t="s">
        <v>893</v>
      </c>
      <c r="J3731">
        <v>19.97</v>
      </c>
      <c r="K3731" s="4">
        <v>0</v>
      </c>
      <c r="L3731">
        <v>4.8</v>
      </c>
      <c r="M3731">
        <v>5755</v>
      </c>
      <c r="O3731" t="s">
        <v>25</v>
      </c>
      <c r="P3731" t="s">
        <v>2662</v>
      </c>
      <c r="Q3731" t="s">
        <v>2663</v>
      </c>
    </row>
    <row r="3732" spans="1:17" ht="15.5" x14ac:dyDescent="0.35">
      <c r="A3732" s="3" t="str">
        <f>HYPERLINK("https://edmondsonsupply.com/collections/electricians-tools/products/channellock-431", "https://edmondsonsupply.com/collections/electricians-tools/products/channellock-431")</f>
        <v>https://edmondsonsupply.com/collections/electricians-tools/products/channellock-431</v>
      </c>
      <c r="B3732" s="3" t="str">
        <f>HYPERLINK("https://edmondsonsupply.com/products/channellock-431", "https://edmondsonsupply.com/products/channellock-431")</f>
        <v>https://edmondsonsupply.com/products/channellock-431</v>
      </c>
      <c r="C3732" t="s">
        <v>3341</v>
      </c>
      <c r="D3732" t="s">
        <v>4459</v>
      </c>
      <c r="E3732" s="3" t="str">
        <f>HYPERLINK("https://www.amazon.com/Channellock-432-2-Inch-Capacity-10-Inch/dp/B000189GRY/ref=sr_1_3?keywords=Channellock+432+10-Inch+V-Jaw+Tongue&amp;qid=1695173959&amp;sr=8-3", "https://www.amazon.com/Channellock-432-2-Inch-Capacity-10-Inch/dp/B000189GRY/ref=sr_1_3?keywords=Channellock+432+10-Inch+V-Jaw+Tongue&amp;qid=1695173959&amp;sr=8-3")</f>
        <v>https://www.amazon.com/Channellock-432-2-Inch-Capacity-10-Inch/dp/B000189GRY/ref=sr_1_3?keywords=Channellock+432+10-Inch+V-Jaw+Tongue&amp;qid=1695173959&amp;sr=8-3</v>
      </c>
      <c r="F3732" t="s">
        <v>4460</v>
      </c>
      <c r="G3732" t="e">
        <f ca="1">_xludf.IMAGE("https://edmondsonsupply.com/cdn/shop/products/432-683x1024.jpg?v=1587147134")</f>
        <v>#NAME?</v>
      </c>
      <c r="H3732" t="e">
        <f ca="1">_xludf.IMAGE("https://m.media-amazon.com/images/I/71ZFfDuDhxL._AC_UL320_.jpg")</f>
        <v>#NAME?</v>
      </c>
      <c r="I3732" t="s">
        <v>488</v>
      </c>
      <c r="J3732">
        <v>19.95</v>
      </c>
      <c r="K3732" s="4">
        <v>0</v>
      </c>
      <c r="L3732">
        <v>4.7</v>
      </c>
      <c r="M3732">
        <v>2314</v>
      </c>
      <c r="O3732" t="s">
        <v>25</v>
      </c>
      <c r="P3732" t="s">
        <v>3344</v>
      </c>
      <c r="Q3732" t="s">
        <v>3345</v>
      </c>
    </row>
    <row r="3733" spans="1:17" ht="15.5" x14ac:dyDescent="0.35">
      <c r="A3733"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3733" s="3" t="str">
        <f>HYPERLINK("https://edmondsonsupply.com/products/klein-tools-66060-2-in-1-impact-socket-set-6-point-6-piece", "https://edmondsonsupply.com/products/klein-tools-66060-2-in-1-impact-socket-set-6-point-6-piece")</f>
        <v>https://edmondsonsupply.com/products/klein-tools-66060-2-in-1-impact-socket-set-6-point-6-piece</v>
      </c>
      <c r="C3733" t="s">
        <v>8124</v>
      </c>
      <c r="D3733" t="s">
        <v>7022</v>
      </c>
      <c r="E3733" s="3" t="str">
        <f>HYPERLINK("https://www.amazon.com/Klein-Tools-66010-High-Torque-12-Point/dp/B07NZS6998/ref=sr_1_2?keywords=Klein+Tools+66060+2-in-1+Impact+Socket+Set%2C+6-Point%2C+6-Piece&amp;qid=1695174139&amp;sr=8-2", "https://www.amazon.com/Klein-Tools-66010-High-Torque-12-Point/dp/B07NZS6998/ref=sr_1_2?keywords=Klein+Tools+66060+2-in-1+Impact+Socket+Set%2C+6-Point%2C+6-Piece&amp;qid=1695174139&amp;sr=8-2")</f>
        <v>https://www.amazon.com/Klein-Tools-66010-High-Torque-12-Point/dp/B07NZS6998/ref=sr_1_2?keywords=Klein+Tools+66060+2-in-1+Impact+Socket+Set%2C+6-Point%2C+6-Piece&amp;qid=1695174139&amp;sr=8-2</v>
      </c>
      <c r="F3733" t="s">
        <v>7023</v>
      </c>
      <c r="G3733" t="e">
        <f ca="1">_xludf.IMAGE("https://edmondsonsupply.com/cdn/shop/products/66060.jpg?v=1665592747")</f>
        <v>#NAME?</v>
      </c>
      <c r="H3733" t="e">
        <f ca="1">_xludf.IMAGE("https://m.media-amazon.com/images/I/51QnKGm7EiL._AC_UL320_.jpg")</f>
        <v>#NAME?</v>
      </c>
      <c r="I3733" t="s">
        <v>400</v>
      </c>
      <c r="J3733">
        <v>199.99</v>
      </c>
      <c r="K3733" s="4">
        <v>0</v>
      </c>
      <c r="L3733">
        <v>4.8</v>
      </c>
      <c r="M3733">
        <v>380</v>
      </c>
      <c r="O3733" t="s">
        <v>25</v>
      </c>
      <c r="P3733" t="s">
        <v>8125</v>
      </c>
      <c r="Q3733" t="s">
        <v>8126</v>
      </c>
    </row>
    <row r="3734" spans="1:17" ht="15.5" x14ac:dyDescent="0.35">
      <c r="A3734"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3734" s="3" t="str">
        <f>HYPERLINK("https://edmondsonsupply.com/products/klein-tools-66060-2-in-1-impact-socket-set-6-point-6-piece", "https://edmondsonsupply.com/products/klein-tools-66060-2-in-1-impact-socket-set-6-point-6-piece")</f>
        <v>https://edmondsonsupply.com/products/klein-tools-66060-2-in-1-impact-socket-set-6-point-6-piece</v>
      </c>
      <c r="C3734" t="s">
        <v>8124</v>
      </c>
      <c r="D3734" t="s">
        <v>8127</v>
      </c>
      <c r="E3734" s="3" t="str">
        <f>HYPERLINK("https://www.amazon.com/6-Piece-6-Point-Klein-Tools-66060/dp/B09NDQC58N/ref=sr_1_1?keywords=Klein+Tools+66060+2-in-1+Impact+Socket+Set%2C+6-Point%2C+6-Piece&amp;qid=1695174139&amp;sr=8-1", "https://www.amazon.com/6-Piece-6-Point-Klein-Tools-66060/dp/B09NDQC58N/ref=sr_1_1?keywords=Klein+Tools+66060+2-in-1+Impact+Socket+Set%2C+6-Point%2C+6-Piece&amp;qid=1695174139&amp;sr=8-1")</f>
        <v>https://www.amazon.com/6-Piece-6-Point-Klein-Tools-66060/dp/B09NDQC58N/ref=sr_1_1?keywords=Klein+Tools+66060+2-in-1+Impact+Socket+Set%2C+6-Point%2C+6-Piece&amp;qid=1695174139&amp;sr=8-1</v>
      </c>
      <c r="F3734" t="s">
        <v>8128</v>
      </c>
      <c r="G3734" t="e">
        <f ca="1">_xludf.IMAGE("https://edmondsonsupply.com/cdn/shop/products/66060.jpg?v=1665592747")</f>
        <v>#NAME?</v>
      </c>
      <c r="H3734" t="e">
        <f ca="1">_xludf.IMAGE("https://m.media-amazon.com/images/I/61eqgi0t5cL._AC_UL320_.jpg")</f>
        <v>#NAME?</v>
      </c>
      <c r="I3734" t="s">
        <v>400</v>
      </c>
      <c r="J3734">
        <v>199.99</v>
      </c>
      <c r="K3734" s="4">
        <v>0</v>
      </c>
      <c r="L3734">
        <v>4.5</v>
      </c>
      <c r="M3734">
        <v>11</v>
      </c>
      <c r="O3734" t="s">
        <v>25</v>
      </c>
      <c r="P3734" t="s">
        <v>8125</v>
      </c>
      <c r="Q3734" t="s">
        <v>8126</v>
      </c>
    </row>
    <row r="3735" spans="1:17" ht="15.5" x14ac:dyDescent="0.35">
      <c r="A3735" s="3" t="str">
        <f>HYPERLINK("https://edmondsonsupply.com/collections/electricians-tools/products/klein-tools-5183-tradesman-pro%E2%84%A2-drill-pouch", "https://edmondsonsupply.com/collections/electricians-tools/products/klein-tools-5183-tradesman-pro%E2%84%A2-drill-pouch")</f>
        <v>https://edmondsonsupply.com/collections/electricians-tools/products/klein-tools-5183-tradesman-pro%E2%84%A2-drill-pouch</v>
      </c>
      <c r="B3735" s="3" t="str">
        <f>HYPERLINK("https://edmondsonsupply.com/products/klein-tools-5183-tradesman-pro%e2%84%a2-drill-pouch", "https://edmondsonsupply.com/products/klein-tools-5183-tradesman-pro%e2%84%a2-drill-pouch")</f>
        <v>https://edmondsonsupply.com/products/klein-tools-5183-tradesman-pro%e2%84%a2-drill-pouch</v>
      </c>
      <c r="C3735" t="s">
        <v>359</v>
      </c>
      <c r="D3735" t="s">
        <v>597</v>
      </c>
      <c r="E3735" s="3" t="str">
        <f>HYPERLINK("https://www.amazon.com/Tradesman-Drill-Klein-Tools-5183/dp/B00MJNFYRU/ref=sr_1_1?keywords=Klein+Tools+5183+Tool+Bag%2C+Tradesman+Pro%E2%84%A2+Drill+Pouch&amp;qid=1695173941&amp;sr=8-1", "https://www.amazon.com/Tradesman-Drill-Klein-Tools-5183/dp/B00MJNFYRU/ref=sr_1_1?keywords=Klein+Tools+5183+Tool+Bag%2C+Tradesman+Pro%E2%84%A2+Drill+Pouch&amp;qid=1695173941&amp;sr=8-1")</f>
        <v>https://www.amazon.com/Tradesman-Drill-Klein-Tools-5183/dp/B00MJNFYRU/ref=sr_1_1?keywords=Klein+Tools+5183+Tool+Bag%2C+Tradesman+Pro%E2%84%A2+Drill+Pouch&amp;qid=1695173941&amp;sr=8-1</v>
      </c>
      <c r="F3735" t="s">
        <v>598</v>
      </c>
      <c r="G3735" t="e">
        <f ca="1">_xludf.IMAGE("https://edmondsonsupply.com/cdn/shop/products/5183.jpg?v=1587145505")</f>
        <v>#NAME?</v>
      </c>
      <c r="H3735" t="e">
        <f ca="1">_xludf.IMAGE("https://m.media-amazon.com/images/I/519CZFYpgDL._AC_UL320_.jpg")</f>
        <v>#NAME?</v>
      </c>
      <c r="I3735" t="s">
        <v>362</v>
      </c>
      <c r="J3735">
        <v>25.99</v>
      </c>
      <c r="K3735" s="4">
        <v>0</v>
      </c>
      <c r="L3735">
        <v>4.5999999999999996</v>
      </c>
      <c r="M3735">
        <v>831</v>
      </c>
      <c r="O3735" t="s">
        <v>25</v>
      </c>
      <c r="P3735" t="s">
        <v>363</v>
      </c>
      <c r="Q3735" t="s">
        <v>364</v>
      </c>
    </row>
    <row r="3736" spans="1:17" ht="15.5" x14ac:dyDescent="0.35">
      <c r="A3736" s="3" t="str">
        <f>HYPERLINK("https://edmondsonsupply.com/collections/electricians-tools/products/klein-tools-55663-welding-helmet-replacement-pocket", "https://edmondsonsupply.com/collections/electricians-tools/products/klein-tools-55663-welding-helmet-replacement-pocket")</f>
        <v>https://edmondsonsupply.com/collections/electricians-tools/products/klein-tools-55663-welding-helmet-replacement-pocket</v>
      </c>
      <c r="B3736" s="3" t="str">
        <f>HYPERLINK("https://edmondsonsupply.com/products/klein-tools-55663-welding-helmet-replacement-pocket", "https://edmondsonsupply.com/products/klein-tools-55663-welding-helmet-replacement-pocket")</f>
        <v>https://edmondsonsupply.com/products/klein-tools-55663-welding-helmet-replacement-pocket</v>
      </c>
      <c r="C3736" t="s">
        <v>599</v>
      </c>
      <c r="D3736" t="s">
        <v>600</v>
      </c>
      <c r="E3736" s="3" t="str">
        <f>HYPERLINK("https://www.amazon.com/Klein-Tools-55663-Replacement-Ironworker/dp/B0BN4K6F2J/ref=sr_1_1?keywords=Klein+Tools+55663+Welding+Helmet+Replacement+Pocket&amp;qid=1695174084&amp;sr=8-1", "https://www.amazon.com/Klein-Tools-55663-Replacement-Ironworker/dp/B0BN4K6F2J/ref=sr_1_1?keywords=Klein+Tools+55663+Welding+Helmet+Replacement+Pocket&amp;qid=1695174084&amp;sr=8-1")</f>
        <v>https://www.amazon.com/Klein-Tools-55663-Replacement-Ironworker/dp/B0BN4K6F2J/ref=sr_1_1?keywords=Klein+Tools+55663+Welding+Helmet+Replacement+Pocket&amp;qid=1695174084&amp;sr=8-1</v>
      </c>
      <c r="F3736" t="s">
        <v>601</v>
      </c>
      <c r="G3736" t="e">
        <f ca="1">_xludf.IMAGE("https://edmondsonsupply.com/cdn/shop/products/55663.jpg?v=1674484517")</f>
        <v>#NAME?</v>
      </c>
      <c r="H3736" t="e">
        <f ca="1">_xludf.IMAGE("https://m.media-amazon.com/images/I/71C2gpYNAIL._AC_UL320_.jpg")</f>
        <v>#NAME?</v>
      </c>
      <c r="I3736" t="s">
        <v>471</v>
      </c>
      <c r="J3736">
        <v>24.99</v>
      </c>
      <c r="K3736" s="4">
        <v>0</v>
      </c>
      <c r="L3736">
        <v>5</v>
      </c>
      <c r="M3736">
        <v>1</v>
      </c>
      <c r="O3736" t="s">
        <v>25</v>
      </c>
      <c r="P3736" t="s">
        <v>602</v>
      </c>
      <c r="Q3736" t="s">
        <v>603</v>
      </c>
    </row>
    <row r="3737" spans="1:17" ht="15.5" x14ac:dyDescent="0.35">
      <c r="A3737" s="3" t="str">
        <f>HYPERLINK("https://edmondsonsupply.com/collections/electricians-tools/products/channellock-431", "https://edmondsonsupply.com/collections/electricians-tools/products/channellock-431")</f>
        <v>https://edmondsonsupply.com/collections/electricians-tools/products/channellock-431</v>
      </c>
      <c r="B3737" s="3" t="str">
        <f>HYPERLINK("https://edmondsonsupply.com/products/channellock-431", "https://edmondsonsupply.com/products/channellock-431")</f>
        <v>https://edmondsonsupply.com/products/channellock-431</v>
      </c>
      <c r="C3737" t="s">
        <v>3341</v>
      </c>
      <c r="D3737" t="s">
        <v>3909</v>
      </c>
      <c r="E3737" s="3" t="str">
        <f>HYPERLINK("https://www.amazon.com/Channellock-430-Straight-Heat-Treated-Reinforcing/dp/B00002N5JF/ref=sr_1_4?keywords=Channellock+432+10-Inch+V-Jaw+Tongue&amp;qid=1695173959&amp;sr=8-4", "https://www.amazon.com/Channellock-430-Straight-Heat-Treated-Reinforcing/dp/B00002N5JF/ref=sr_1_4?keywords=Channellock+432+10-Inch+V-Jaw+Tongue&amp;qid=1695173959&amp;sr=8-4")</f>
        <v>https://www.amazon.com/Channellock-430-Straight-Heat-Treated-Reinforcing/dp/B00002N5JF/ref=sr_1_4?keywords=Channellock+432+10-Inch+V-Jaw+Tongue&amp;qid=1695173959&amp;sr=8-4</v>
      </c>
      <c r="F3737" t="s">
        <v>3910</v>
      </c>
      <c r="G3737" t="e">
        <f ca="1">_xludf.IMAGE("https://edmondsonsupply.com/cdn/shop/products/432-683x1024.jpg?v=1587147134")</f>
        <v>#NAME?</v>
      </c>
      <c r="H3737" t="e">
        <f ca="1">_xludf.IMAGE("https://m.media-amazon.com/images/I/71JqgqffnnL._AC_UL320_.jpg")</f>
        <v>#NAME?</v>
      </c>
      <c r="I3737" t="s">
        <v>488</v>
      </c>
      <c r="J3737">
        <v>19.95</v>
      </c>
      <c r="K3737" s="4">
        <v>0</v>
      </c>
      <c r="L3737">
        <v>4.8</v>
      </c>
      <c r="M3737">
        <v>2191</v>
      </c>
      <c r="O3737" t="s">
        <v>25</v>
      </c>
      <c r="P3737" t="s">
        <v>3344</v>
      </c>
      <c r="Q3737" t="s">
        <v>3345</v>
      </c>
    </row>
    <row r="3738" spans="1:17" ht="15.5" x14ac:dyDescent="0.35">
      <c r="A3738" s="3" t="str">
        <f>HYPERLINK("https://edmondsonsupply.com/collections/electricians-tools/products/klein-tools-jth6e07-7-64-inch-hex-key-journeyman%E2%84%A2-t-handle-6-inch", "https://edmondsonsupply.com/collections/electricians-tools/products/klein-tools-jth6e07-7-64-inch-hex-key-journeyman%E2%84%A2-t-handle-6-inch")</f>
        <v>https://edmondsonsupply.com/collections/electricians-tools/products/klein-tools-jth6e07-7-64-inch-hex-key-journeyman%E2%84%A2-t-handle-6-inch</v>
      </c>
      <c r="B3738" s="3" t="str">
        <f>HYPERLINK("https://edmondsonsupply.com/products/klein-tools-jth6e07-7-64-inch-hex-key-journeyman%e2%84%a2-t-handle-6-inch", "https://edmondsonsupply.com/products/klein-tools-jth6e07-7-64-inch-hex-key-journeyman%e2%84%a2-t-handle-6-inch")</f>
        <v>https://edmondsonsupply.com/products/klein-tools-jth6e07-7-64-inch-hex-key-journeyman%e2%84%a2-t-handle-6-inch</v>
      </c>
      <c r="C3738" t="s">
        <v>7736</v>
      </c>
      <c r="D3738" t="s">
        <v>8129</v>
      </c>
      <c r="E3738" s="3" t="str">
        <f>HYPERLINK("https://www.amazon.com/Klein-Tools-JTH6E07-64-Inch-Journeyman/dp/B004LS11IM/ref=sr_1_1?keywords=Klein+Tools+JTH6E07+7%2F64-Inch+Hex+Key%2C+Journeyman%E2%84%A2+T-Handle%2C+6-Inch&amp;qid=1695174136&amp;sr=8-1", "https://www.amazon.com/Klein-Tools-JTH6E07-64-Inch-Journeyman/dp/B004LS11IM/ref=sr_1_1?keywords=Klein+Tools+JTH6E07+7%2F64-Inch+Hex+Key%2C+Journeyman%E2%84%A2+T-Handle%2C+6-Inch&amp;qid=1695174136&amp;sr=8-1")</f>
        <v>https://www.amazon.com/Klein-Tools-JTH6E07-64-Inch-Journeyman/dp/B004LS11IM/ref=sr_1_1?keywords=Klein+Tools+JTH6E07+7%2F64-Inch+Hex+Key%2C+Journeyman%E2%84%A2+T-Handle%2C+6-Inch&amp;qid=1695174136&amp;sr=8-1</v>
      </c>
      <c r="F3738" t="s">
        <v>8130</v>
      </c>
      <c r="G3738" t="e">
        <f ca="1">_xludf.IMAGE("https://edmondsonsupply.com/cdn/shop/products/jth6e15_1.jpg?v=1666369631")</f>
        <v>#NAME?</v>
      </c>
      <c r="H3738" t="e">
        <f ca="1">_xludf.IMAGE("https://m.media-amazon.com/images/I/51Yb8h41vLL._AC_UL320_.jpg")</f>
        <v>#NAME?</v>
      </c>
      <c r="I3738" t="s">
        <v>6444</v>
      </c>
      <c r="J3738">
        <v>3.99</v>
      </c>
      <c r="K3738" s="4">
        <v>0</v>
      </c>
      <c r="L3738">
        <v>4.8</v>
      </c>
      <c r="M3738">
        <v>2479</v>
      </c>
      <c r="O3738" t="s">
        <v>25</v>
      </c>
      <c r="P3738" t="s">
        <v>2044</v>
      </c>
      <c r="Q3738" t="s">
        <v>7739</v>
      </c>
    </row>
    <row r="3739" spans="1:17" ht="15.5" x14ac:dyDescent="0.35">
      <c r="A3739" s="3" t="str">
        <f>HYPERLINK("https://edmondsonsupply.com/collections/electricians-tools/products/copy-of-klein-tools-55918-tradesman-pro%E2%84%A2-modular-tool-belt", "https://edmondsonsupply.com/collections/electricians-tools/products/copy-of-klein-tools-55918-tradesman-pro%E2%84%A2-modular-tool-belt")</f>
        <v>https://edmondsonsupply.com/collections/electricians-tools/products/copy-of-klein-tools-55918-tradesman-pro%E2%84%A2-modular-tool-belt</v>
      </c>
      <c r="B3739"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3739" t="s">
        <v>1873</v>
      </c>
      <c r="D3739" t="s">
        <v>4522</v>
      </c>
      <c r="E3739" s="3" t="str">
        <f>HYPERLINK("https://www.amazon.com/Klein-Tools-55919-Electrician-Modular/dp/B085LPTTKL/ref=sr_1_1?keywords=Klein+Tools+55919+Tradesman+Pro%E2%84%A2+Modular+Tool+Belt+-+L&amp;qid=1695173932&amp;sr=8-1", "https://www.amazon.com/Klein-Tools-55919-Electrician-Modular/dp/B085LPTTKL/ref=sr_1_1?keywords=Klein+Tools+55919+Tradesman+Pro%E2%84%A2+Modular+Tool+Belt+-+L&amp;qid=1695173932&amp;sr=8-1")</f>
        <v>https://www.amazon.com/Klein-Tools-55919-Electrician-Modular/dp/B085LPTTKL/ref=sr_1_1?keywords=Klein+Tools+55919+Tradesman+Pro%E2%84%A2+Modular+Tool+Belt+-+L&amp;qid=1695173932&amp;sr=8-1</v>
      </c>
      <c r="F3739" t="s">
        <v>4523</v>
      </c>
      <c r="G3739" t="e">
        <f ca="1">_xludf.IMAGE("https://edmondsonsupply.com/cdn/shop/products/55919_6b1c1646-91d8-4915-b7bf-b52c8c6994c7.jpg?v=1587143413")</f>
        <v>#NAME?</v>
      </c>
      <c r="H3739" t="e">
        <f ca="1">_xludf.IMAGE("https://m.media-amazon.com/images/I/71Bym1tjK6L._AC_UL320_.jpg")</f>
        <v>#NAME?</v>
      </c>
      <c r="I3739" t="s">
        <v>261</v>
      </c>
      <c r="J3739">
        <v>35.99</v>
      </c>
      <c r="K3739" s="4">
        <v>0</v>
      </c>
      <c r="L3739">
        <v>4.4000000000000004</v>
      </c>
      <c r="M3739">
        <v>636</v>
      </c>
      <c r="O3739" t="s">
        <v>25</v>
      </c>
      <c r="P3739" t="s">
        <v>1876</v>
      </c>
      <c r="Q3739" t="s">
        <v>1877</v>
      </c>
    </row>
    <row r="3740" spans="1:17" ht="15.5" x14ac:dyDescent="0.35">
      <c r="A3740" s="3" t="str">
        <f>HYPERLINK("https://edmondsonsupply.com/collections/electricians-tools/products/klein-tools-602-4dd-4-demolition-driver-1-4-keystone", "https://edmondsonsupply.com/collections/electricians-tools/products/klein-tools-602-4dd-4-demolition-driver-1-4-keystone")</f>
        <v>https://edmondsonsupply.com/collections/electricians-tools/products/klein-tools-602-4dd-4-demolition-driver-1-4-keystone</v>
      </c>
      <c r="B3740" s="3" t="str">
        <f>HYPERLINK("https://edmondsonsupply.com/products/klein-tools-602-4dd-4-demolition-driver-1-4-keystone", "https://edmondsonsupply.com/products/klein-tools-602-4dd-4-demolition-driver-1-4-keystone")</f>
        <v>https://edmondsonsupply.com/products/klein-tools-602-4dd-4-demolition-driver-1-4-keystone</v>
      </c>
      <c r="C3740" t="s">
        <v>3736</v>
      </c>
      <c r="D3740" t="s">
        <v>4533</v>
      </c>
      <c r="E3740" s="3" t="str">
        <f>HYPERLINK("https://www.amazon.com/Keystone-Demolition-Klein-Tools-602-4DD/dp/B00B9HIC12/ref=sr_1_1?keywords=Klein+Tools+602-4DD+1%2F4-Inch+Keystone+Demolition+Driver%2C+4-Inch+Shank&amp;qid=1695173941&amp;sr=8-1", "https://www.amazon.com/Keystone-Demolition-Klein-Tools-602-4DD/dp/B00B9HIC12/ref=sr_1_1?keywords=Klein+Tools+602-4DD+1%2F4-Inch+Keystone+Demolition+Driver%2C+4-Inch+Shank&amp;qid=1695173941&amp;sr=8-1")</f>
        <v>https://www.amazon.com/Keystone-Demolition-Klein-Tools-602-4DD/dp/B00B9HIC12/ref=sr_1_1?keywords=Klein+Tools+602-4DD+1%2F4-Inch+Keystone+Demolition+Driver%2C+4-Inch+Shank&amp;qid=1695173941&amp;sr=8-1</v>
      </c>
      <c r="F3740" t="s">
        <v>4534</v>
      </c>
      <c r="G3740" t="e">
        <f ca="1">_xludf.IMAGE("https://edmondsonsupply.com/cdn/shop/products/602-4dd.jpg?v=1587143287")</f>
        <v>#NAME?</v>
      </c>
      <c r="H3740" t="e">
        <f ca="1">_xludf.IMAGE("https://m.media-amazon.com/images/I/41LGnPo9m-L._AC_UL320_.jpg")</f>
        <v>#NAME?</v>
      </c>
      <c r="I3740" t="s">
        <v>252</v>
      </c>
      <c r="J3740">
        <v>15.99</v>
      </c>
      <c r="K3740" s="4">
        <v>0</v>
      </c>
      <c r="L3740">
        <v>4.8</v>
      </c>
      <c r="M3740">
        <v>996</v>
      </c>
      <c r="O3740" t="s">
        <v>25</v>
      </c>
      <c r="P3740" t="s">
        <v>3739</v>
      </c>
      <c r="Q3740" t="s">
        <v>3740</v>
      </c>
    </row>
    <row r="3741" spans="1:17" ht="15.5" x14ac:dyDescent="0.35">
      <c r="A3741" s="3" t="str">
        <f>HYPERLINK("https://edmondsonsupply.com/collections/electricians-tools/products/klein-tools-6884ins-insulated-screwdriver-1-square-tip-4-inch-shank", "https://edmondsonsupply.com/collections/electricians-tools/products/klein-tools-6884ins-insulated-screwdriver-1-square-tip-4-inch-shank")</f>
        <v>https://edmondsonsupply.com/collections/electricians-tools/products/klein-tools-6884ins-insulated-screwdriver-1-square-tip-4-inch-shank</v>
      </c>
      <c r="B3741" s="3" t="str">
        <f>HYPERLINK("https://edmondsonsupply.com/products/klein-tools-6884ins-insulated-screwdriver-1-square-tip-4-inch-shank", "https://edmondsonsupply.com/products/klein-tools-6884ins-insulated-screwdriver-1-square-tip-4-inch-shank")</f>
        <v>https://edmondsonsupply.com/products/klein-tools-6884ins-insulated-screwdriver-1-square-tip-4-inch-shank</v>
      </c>
      <c r="C3741" t="s">
        <v>7094</v>
      </c>
      <c r="D3741" t="s">
        <v>8131</v>
      </c>
      <c r="E3741" s="3" t="str">
        <f>HYPERLINK("https://www.amazon.com/Klein-Tools-6884INS-Screwdriver-Cushion-Grip/dp/B0BF7K2YSW/ref=sr_1_1?keywords=Klein+Tools+6884INS+Insulated+Screwdriver%2C&amp;qid=1695174141&amp;sr=8-1", "https://www.amazon.com/Klein-Tools-6884INS-Screwdriver-Cushion-Grip/dp/B0BF7K2YSW/ref=sr_1_1?keywords=Klein+Tools+6884INS+Insulated+Screwdriver%2C&amp;qid=1695174141&amp;sr=8-1")</f>
        <v>https://www.amazon.com/Klein-Tools-6884INS-Screwdriver-Cushion-Grip/dp/B0BF7K2YSW/ref=sr_1_1?keywords=Klein+Tools+6884INS+Insulated+Screwdriver%2C&amp;qid=1695174141&amp;sr=8-1</v>
      </c>
      <c r="F3741" t="s">
        <v>8132</v>
      </c>
      <c r="G3741" t="e">
        <f ca="1">_xludf.IMAGE("https://edmondsonsupply.com/cdn/shop/products/6884ins.jpg?v=1664889244")</f>
        <v>#NAME?</v>
      </c>
      <c r="H3741" t="e">
        <f ca="1">_xludf.IMAGE("https://m.media-amazon.com/images/I/41avq0kPXJL._AC_UL320_.jpg")</f>
        <v>#NAME?</v>
      </c>
      <c r="I3741" t="s">
        <v>1427</v>
      </c>
      <c r="J3741">
        <v>9.9700000000000006</v>
      </c>
      <c r="K3741" s="4">
        <v>0</v>
      </c>
      <c r="L3741">
        <v>4.8</v>
      </c>
      <c r="M3741">
        <v>419</v>
      </c>
      <c r="O3741" t="s">
        <v>25</v>
      </c>
      <c r="P3741" t="s">
        <v>6735</v>
      </c>
      <c r="Q3741" t="s">
        <v>7097</v>
      </c>
    </row>
    <row r="3742" spans="1:17" ht="15.5" x14ac:dyDescent="0.35">
      <c r="A3742" s="3" t="str">
        <f>HYPERLINK("https://edmondsonsupply.com/collections/electricians-tools/products/klein-tools-510212blk-tool-bag-black-canvas-12-inch", "https://edmondsonsupply.com/collections/electricians-tools/products/klein-tools-510212blk-tool-bag-black-canvas-12-inch")</f>
        <v>https://edmondsonsupply.com/collections/electricians-tools/products/klein-tools-510212blk-tool-bag-black-canvas-12-inch</v>
      </c>
      <c r="B3742" s="3" t="str">
        <f>HYPERLINK("https://edmondsonsupply.com/products/klein-tools-510212blk-tool-bag-black-canvas-12-inch", "https://edmondsonsupply.com/products/klein-tools-510212blk-tool-bag-black-canvas-12-inch")</f>
        <v>https://edmondsonsupply.com/products/klein-tools-510212blk-tool-bag-black-canvas-12-inch</v>
      </c>
      <c r="C3742" t="s">
        <v>585</v>
      </c>
      <c r="D3742" t="s">
        <v>586</v>
      </c>
      <c r="E3742" s="3" t="str">
        <f>HYPERLINK("https://www.amazon.com/Klein-Tools-5102-12-Natural-Multi-Purpose/dp/B09Q72FFBP/ref=sr_1_1?keywords=Klein+Tools+510212BLK+Tool+Bag%2C+Black+Canvas%2C+12-Inch&amp;qid=1695174136&amp;sr=8-1", "https://www.amazon.com/Klein-Tools-5102-12-Natural-Multi-Purpose/dp/B09Q72FFBP/ref=sr_1_1?keywords=Klein+Tools+510212BLK+Tool+Bag%2C+Black+Canvas%2C+12-Inch&amp;qid=1695174136&amp;sr=8-1")</f>
        <v>https://www.amazon.com/Klein-Tools-5102-12-Natural-Multi-Purpose/dp/B09Q72FFBP/ref=sr_1_1?keywords=Klein+Tools+510212BLK+Tool+Bag%2C+Black+Canvas%2C+12-Inch&amp;qid=1695174136&amp;sr=8-1</v>
      </c>
      <c r="F3742" t="s">
        <v>587</v>
      </c>
      <c r="G3742" t="e">
        <f ca="1">_xludf.IMAGE("https://edmondsonsupply.com/cdn/shop/products/510212blk.jpg?v=1666026613")</f>
        <v>#NAME?</v>
      </c>
      <c r="H3742" t="e">
        <f ca="1">_xludf.IMAGE("https://m.media-amazon.com/images/I/61UTjwgtB-L._AC_UL320_.jpg")</f>
        <v>#NAME?</v>
      </c>
      <c r="I3742" t="s">
        <v>588</v>
      </c>
      <c r="J3742">
        <v>69.989999999999995</v>
      </c>
      <c r="K3742" s="4">
        <v>0</v>
      </c>
      <c r="L3742">
        <v>4.8</v>
      </c>
      <c r="M3742">
        <v>29</v>
      </c>
      <c r="O3742" t="s">
        <v>25</v>
      </c>
      <c r="P3742" t="s">
        <v>589</v>
      </c>
      <c r="Q3742" t="s">
        <v>590</v>
      </c>
    </row>
    <row r="3743" spans="1:17" ht="15.5" x14ac:dyDescent="0.35">
      <c r="A3743" s="3" t="str">
        <f>HYPERLINK("https://edmondsonsupply.com/collections/electricians-tools/products/klein-tools-60538-professional-full-frame-gasket-safety-glasses-indoor-outdoor-lens", "https://edmondsonsupply.com/collections/electricians-tools/products/klein-tools-60538-professional-full-frame-gasket-safety-glasses-indoor-outdoor-lens")</f>
        <v>https://edmondsonsupply.com/collections/electricians-tools/products/klein-tools-60538-professional-full-frame-gasket-safety-glasses-indoor-outdoor-lens</v>
      </c>
      <c r="B3743" s="3" t="str">
        <f>HYPERLINK("https://edmondsonsupply.com/products/klein-tools-60538-professional-full-frame-gasket-safety-glasses-indoor-outdoor-lens", "https://edmondsonsupply.com/products/klein-tools-60538-professional-full-frame-gasket-safety-glasses-indoor-outdoor-lens")</f>
        <v>https://edmondsonsupply.com/products/klein-tools-60538-professional-full-frame-gasket-safety-glasses-indoor-outdoor-lens</v>
      </c>
      <c r="C3743" t="s">
        <v>1012</v>
      </c>
      <c r="D3743" t="s">
        <v>1214</v>
      </c>
      <c r="E3743" s="3" t="str">
        <f>HYPERLINK("https://www.amazon.com/Klein-Tools-60538-Professional-Protective/dp/B0BLQ55RMQ/ref=sr_1_1?keywords=Klein+Tools+60538+Professional+Full-Frame+Gasket+Safety+Glasses%2C+Indoor%2FOutdoor+Lens&amp;qid=1695174094&amp;sr=8-1", "https://www.amazon.com/Klein-Tools-60538-Professional-Protective/dp/B0BLQ55RMQ/ref=sr_1_1?keywords=Klein+Tools+60538+Professional+Full-Frame+Gasket+Safety+Glasses%2C+Indoor%2FOutdoor+Lens&amp;qid=1695174094&amp;sr=8-1")</f>
        <v>https://www.amazon.com/Klein-Tools-60538-Professional-Protective/dp/B0BLQ55RMQ/ref=sr_1_1?keywords=Klein+Tools+60538+Professional+Full-Frame+Gasket+Safety+Glasses%2C+Indoor%2FOutdoor+Lens&amp;qid=1695174094&amp;sr=8-1</v>
      </c>
      <c r="F3743" t="s">
        <v>1215</v>
      </c>
      <c r="G3743" t="e">
        <f ca="1">_xludf.IMAGE("https://edmondsonsupply.com/cdn/shop/products/60470_1.jpg?v=1670947470")</f>
        <v>#NAME?</v>
      </c>
      <c r="H3743" t="e">
        <f ca="1">_xludf.IMAGE("https://m.media-amazon.com/images/I/51TkfiRMYgL._AC_UL320_.jpg")</f>
        <v>#NAME?</v>
      </c>
      <c r="I3743" t="s">
        <v>252</v>
      </c>
      <c r="J3743">
        <v>15.99</v>
      </c>
      <c r="K3743" s="4">
        <v>0</v>
      </c>
      <c r="L3743">
        <v>4.2</v>
      </c>
      <c r="M3743">
        <v>56</v>
      </c>
      <c r="O3743" t="s">
        <v>25</v>
      </c>
      <c r="P3743" t="s">
        <v>854</v>
      </c>
      <c r="Q3743" t="s">
        <v>1013</v>
      </c>
    </row>
    <row r="3744" spans="1:17" ht="15.5" x14ac:dyDescent="0.35">
      <c r="A3744" s="3" t="str">
        <f>HYPERLINK("https://edmondsonsupply.com/collections/electricians-tools/products/klein-tools-55604-rolling-tool-backpack", "https://edmondsonsupply.com/collections/electricians-tools/products/klein-tools-55604-rolling-tool-backpack")</f>
        <v>https://edmondsonsupply.com/collections/electricians-tools/products/klein-tools-55604-rolling-tool-backpack</v>
      </c>
      <c r="B3744" s="3" t="str">
        <f>HYPERLINK("https://edmondsonsupply.com/products/klein-tools-55604-rolling-tool-backpack", "https://edmondsonsupply.com/products/klein-tools-55604-rolling-tool-backpack")</f>
        <v>https://edmondsonsupply.com/products/klein-tools-55604-rolling-tool-backpack</v>
      </c>
      <c r="C3744" t="s">
        <v>580</v>
      </c>
      <c r="D3744" t="s">
        <v>581</v>
      </c>
      <c r="E3744" s="3" t="str">
        <f>HYPERLINK("https://www.amazon.com/Klein-Tools-55604-Backpack-Retractable/dp/B0BL1QZ9ZC/ref=sr_1_1?keywords=Klein+Tools+55604+Rolling+Tool+Backpack&amp;qid=1695174095&amp;sr=8-1", "https://www.amazon.com/Klein-Tools-55604-Backpack-Retractable/dp/B0BL1QZ9ZC/ref=sr_1_1?keywords=Klein+Tools+55604+Rolling+Tool+Backpack&amp;qid=1695174095&amp;sr=8-1")</f>
        <v>https://www.amazon.com/Klein-Tools-55604-Backpack-Retractable/dp/B0BL1QZ9ZC/ref=sr_1_1?keywords=Klein+Tools+55604+Rolling+Tool+Backpack&amp;qid=1695174095&amp;sr=8-1</v>
      </c>
      <c r="F3744" t="s">
        <v>582</v>
      </c>
      <c r="G3744" t="e">
        <f ca="1">_xludf.IMAGE("https://edmondsonsupply.com/cdn/shop/products/55604.jpg?v=1670945315")</f>
        <v>#NAME?</v>
      </c>
      <c r="H3744" t="e">
        <f ca="1">_xludf.IMAGE("https://m.media-amazon.com/images/I/716S-Ncj30L._AC_UL320_.jpg")</f>
        <v>#NAME?</v>
      </c>
      <c r="I3744" t="s">
        <v>400</v>
      </c>
      <c r="J3744">
        <v>199.99</v>
      </c>
      <c r="K3744" s="4">
        <v>0</v>
      </c>
      <c r="L3744">
        <v>4.5999999999999996</v>
      </c>
      <c r="M3744">
        <v>46</v>
      </c>
      <c r="O3744" t="s">
        <v>25</v>
      </c>
      <c r="P3744" t="s">
        <v>583</v>
      </c>
      <c r="Q3744" t="s">
        <v>584</v>
      </c>
    </row>
    <row r="3745" spans="1:17" ht="15.5" x14ac:dyDescent="0.35">
      <c r="A3745" s="3" t="str">
        <f>HYPERLINK("https://edmondsonsupply.com/collections/electricians-tools/products/tajima-azs-rop-safety-rope%E2%84%A2", "https://edmondsonsupply.com/collections/electricians-tools/products/tajima-azs-rop-safety-rope%E2%84%A2")</f>
        <v>https://edmondsonsupply.com/collections/electricians-tools/products/tajima-azs-rop-safety-rope%E2%84%A2</v>
      </c>
      <c r="B3745" s="3" t="str">
        <f>HYPERLINK("https://edmondsonsupply.com/products/tajima-azs-rop-safety-rope%e2%84%a2", "https://edmondsonsupply.com/products/tajima-azs-rop-safety-rope%e2%84%a2")</f>
        <v>https://edmondsonsupply.com/products/tajima-azs-rop-safety-rope%e2%84%a2</v>
      </c>
      <c r="C3745" t="s">
        <v>1150</v>
      </c>
      <c r="D3745" t="s">
        <v>1151</v>
      </c>
      <c r="E3745" s="3" t="str">
        <f>HYPERLINK("https://www.amazon.com/TAJIMA-AZS-ROP-Safety-Rope-Measuring/dp/B07JZNFX1D/ref=sr_1_1?keywords=Tajima+AZS-ROP+SAFETY+ROPE%E2%84%A2+for+Tape+Measure&amp;qid=1695173966&amp;sr=8-1", "https://www.amazon.com/TAJIMA-AZS-ROP-Safety-Rope-Measuring/dp/B07JZNFX1D/ref=sr_1_1?keywords=Tajima+AZS-ROP+SAFETY+ROPE%E2%84%A2+for+Tape+Measure&amp;qid=1695173966&amp;sr=8-1")</f>
        <v>https://www.amazon.com/TAJIMA-AZS-ROP-Safety-Rope-Measuring/dp/B07JZNFX1D/ref=sr_1_1?keywords=Tajima+AZS-ROP+SAFETY+ROPE%E2%84%A2+for+Tape+Measure&amp;qid=1695173966&amp;sr=8-1</v>
      </c>
      <c r="F3745" t="s">
        <v>1152</v>
      </c>
      <c r="G3745" t="e">
        <f ca="1">_xludf.IMAGE("https://edmondsonsupply.com/cdn/shop/files/AZS-ROP.jpg?v=1693506139")</f>
        <v>#NAME?</v>
      </c>
      <c r="H3745" t="e">
        <f ca="1">_xludf.IMAGE("https://m.media-amazon.com/images/I/31lq7AazHdL._AC_UL320_.jpg")</f>
        <v>#NAME?</v>
      </c>
      <c r="I3745" t="s">
        <v>1153</v>
      </c>
      <c r="J3745">
        <v>16.43</v>
      </c>
      <c r="K3745" s="4">
        <v>0</v>
      </c>
      <c r="L3745">
        <v>4.9000000000000004</v>
      </c>
      <c r="M3745">
        <v>9</v>
      </c>
      <c r="O3745" t="s">
        <v>25</v>
      </c>
      <c r="P3745" t="s">
        <v>138</v>
      </c>
      <c r="Q3745" t="s">
        <v>1154</v>
      </c>
    </row>
    <row r="3746" spans="1:17" ht="15.5" x14ac:dyDescent="0.35">
      <c r="A3746" s="3" t="str">
        <f>HYPERLINK("https://edmondsonsupply.com/collections/electricians-tools/products/channellock-8wcb", "https://edmondsonsupply.com/collections/electricians-tools/products/channellock-8wcb")</f>
        <v>https://edmondsonsupply.com/collections/electricians-tools/products/channellock-8wcb</v>
      </c>
      <c r="B3746" s="3" t="str">
        <f>HYPERLINK("https://edmondsonsupply.com/products/channellock-8wcb", "https://edmondsonsupply.com/products/channellock-8wcb")</f>
        <v>https://edmondsonsupply.com/products/channellock-8wcb</v>
      </c>
      <c r="C3746" t="s">
        <v>3038</v>
      </c>
      <c r="D3746" t="s">
        <v>4518</v>
      </c>
      <c r="E3746" s="3" t="str">
        <f>HYPERLINK("https://www.amazon.com/Channellock-8WCB-WideAzz-Adjustable-Opening/dp/B001I70C34/ref=sr_1_1?keywords=Channellock+8WCB+8%22+Code+Blue+WIDEAZZ+Adjustable+Wrench&amp;qid=1695173930&amp;sr=8-1", "https://www.amazon.com/Channellock-8WCB-WideAzz-Adjustable-Opening/dp/B001I70C34/ref=sr_1_1?keywords=Channellock+8WCB+8%22+Code+Blue+WIDEAZZ+Adjustable+Wrench&amp;qid=1695173930&amp;sr=8-1")</f>
        <v>https://www.amazon.com/Channellock-8WCB-WideAzz-Adjustable-Opening/dp/B001I70C34/ref=sr_1_1?keywords=Channellock+8WCB+8%22+Code+Blue+WIDEAZZ+Adjustable+Wrench&amp;qid=1695173930&amp;sr=8-1</v>
      </c>
      <c r="F3746" t="s">
        <v>4519</v>
      </c>
      <c r="G3746" t="e">
        <f ca="1">_xludf.IMAGE("https://edmondsonsupply.com/cdn/shop/products/8WCB-683x1024.jpg?v=1633030324")</f>
        <v>#NAME?</v>
      </c>
      <c r="H3746" t="e">
        <f ca="1">_xludf.IMAGE("https://m.media-amazon.com/images/I/71nT0F6xLwL._AC_UL320_.jpg")</f>
        <v>#NAME?</v>
      </c>
      <c r="I3746" t="s">
        <v>3041</v>
      </c>
      <c r="J3746">
        <v>31.95</v>
      </c>
      <c r="K3746" s="4">
        <v>0</v>
      </c>
      <c r="L3746">
        <v>4.8</v>
      </c>
      <c r="M3746">
        <v>4417</v>
      </c>
      <c r="O3746" t="s">
        <v>25</v>
      </c>
      <c r="P3746" t="s">
        <v>3042</v>
      </c>
      <c r="Q3746" t="s">
        <v>3043</v>
      </c>
    </row>
    <row r="3747" spans="1:17" ht="15.5" x14ac:dyDescent="0.35">
      <c r="A3747"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3747"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747" t="s">
        <v>896</v>
      </c>
      <c r="D3747" t="s">
        <v>956</v>
      </c>
      <c r="E3747" s="3" t="str">
        <f>HYPERLINK("https://www.amazon.com/Klein-60163-Professional-Protective-Resistant/dp/B08B48CZ5V/ref=sr_1_8?keywords=Klein+Tools+60537+Professional+Safety+Glasses%2C+Full-Frame%2C+Indoor%2FOutdoor+Lens&amp;qid=1695174097&amp;sr=8-8", "https://www.amazon.com/Klein-60163-Professional-Protective-Resistant/dp/B08B48CZ5V/ref=sr_1_8?keywords=Klein+Tools+60537+Professional+Safety+Glasses%2C+Full-Frame%2C+Indoor%2FOutdoor+Lens&amp;qid=1695174097&amp;sr=8-8")</f>
        <v>https://www.amazon.com/Klein-60163-Professional-Protective-Resistant/dp/B08B48CZ5V/ref=sr_1_8?keywords=Klein+Tools+60537+Professional+Safety+Glasses%2C+Full-Frame%2C+Indoor%2FOutdoor+Lens&amp;qid=1695174097&amp;sr=8-8</v>
      </c>
      <c r="F3747" t="s">
        <v>957</v>
      </c>
      <c r="G3747" t="e">
        <f ca="1">_xludf.IMAGE("https://edmondsonsupply.com/cdn/shop/products/60537.jpg?v=1670947087")</f>
        <v>#NAME?</v>
      </c>
      <c r="H3747" t="e">
        <f ca="1">_xludf.IMAGE("https://m.media-amazon.com/images/I/41IY8K6EFLL._AC_UL320_.jpg")</f>
        <v>#NAME?</v>
      </c>
      <c r="I3747" t="s">
        <v>276</v>
      </c>
      <c r="J3747">
        <v>14.99</v>
      </c>
      <c r="K3747" s="4">
        <v>0</v>
      </c>
      <c r="L3747">
        <v>4.4000000000000004</v>
      </c>
      <c r="M3747">
        <v>198</v>
      </c>
      <c r="O3747" t="s">
        <v>25</v>
      </c>
      <c r="P3747" t="s">
        <v>277</v>
      </c>
      <c r="Q3747" t="s">
        <v>897</v>
      </c>
    </row>
    <row r="3748" spans="1:17" ht="15.5" x14ac:dyDescent="0.35">
      <c r="A3748" s="3" t="str">
        <f>HYPERLINK("https://edmondsonsupply.com/collections/electricians-tools/products/milwaukee-48-22-8488-packout%E2%84%A2-customizable-work-top", "https://edmondsonsupply.com/collections/electricians-tools/products/milwaukee-48-22-8488-packout%E2%84%A2-customizable-work-top")</f>
        <v>https://edmondsonsupply.com/collections/electricians-tools/products/milwaukee-48-22-8488-packout%E2%84%A2-customizable-work-top</v>
      </c>
      <c r="B3748" s="3" t="str">
        <f>HYPERLINK("https://edmondsonsupply.com/products/milwaukee-48-22-8488-packout%e2%84%a2-customizable-work-top", "https://edmondsonsupply.com/products/milwaukee-48-22-8488-packout%e2%84%a2-customizable-work-top")</f>
        <v>https://edmondsonsupply.com/products/milwaukee-48-22-8488-packout%e2%84%a2-customizable-work-top</v>
      </c>
      <c r="C3748" t="s">
        <v>8133</v>
      </c>
      <c r="D3748" t="s">
        <v>8134</v>
      </c>
      <c r="E3748" s="3" t="str">
        <f>HYPERLINK("https://www.amazon.com/Milwaukee-48-22-8488-Packout-Customizable-Work/dp/B09RYBXY2R/ref=sr_1_3?keywords=Milwaukee+48-22-8488+PACKOUT%E2%84%A2+Customizable+Work+Top&amp;qid=1695174136&amp;sr=8-3", "https://www.amazon.com/Milwaukee-48-22-8488-Packout-Customizable-Work/dp/B09RYBXY2R/ref=sr_1_3?keywords=Milwaukee+48-22-8488+PACKOUT%E2%84%A2+Customizable+Work+Top&amp;qid=1695174136&amp;sr=8-3")</f>
        <v>https://www.amazon.com/Milwaukee-48-22-8488-Packout-Customizable-Work/dp/B09RYBXY2R/ref=sr_1_3?keywords=Milwaukee+48-22-8488+PACKOUT%E2%84%A2+Customizable+Work+Top&amp;qid=1695174136&amp;sr=8-3</v>
      </c>
      <c r="F3748" t="s">
        <v>8135</v>
      </c>
      <c r="G3748" t="e">
        <f ca="1">_xludf.IMAGE("https://edmondsonsupply.com/cdn/shop/products/48-22-8488_2.webp?v=1668438301")</f>
        <v>#NAME?</v>
      </c>
      <c r="H3748" t="e">
        <f ca="1">_xludf.IMAGE("https://m.media-amazon.com/images/I/719fmGPT0SL._AC_UL320_.jpg")</f>
        <v>#NAME?</v>
      </c>
      <c r="I3748" t="s">
        <v>3359</v>
      </c>
      <c r="J3748">
        <v>54.97</v>
      </c>
      <c r="K3748" s="4">
        <v>0</v>
      </c>
      <c r="L3748">
        <v>4.4000000000000004</v>
      </c>
      <c r="M3748">
        <v>56</v>
      </c>
      <c r="O3748" t="s">
        <v>25</v>
      </c>
      <c r="P3748" t="s">
        <v>4696</v>
      </c>
      <c r="Q3748" t="s">
        <v>8136</v>
      </c>
    </row>
    <row r="3749" spans="1:17" ht="15.5" x14ac:dyDescent="0.35">
      <c r="A3749" s="3" t="str">
        <f>HYPERLINK("https://edmondsonsupply.com/collections/electricians-tools/products/channellock-432", "https://edmondsonsupply.com/collections/electricians-tools/products/channellock-432")</f>
        <v>https://edmondsonsupply.com/collections/electricians-tools/products/channellock-432</v>
      </c>
      <c r="B3749" s="3" t="str">
        <f>HYPERLINK("https://edmondsonsupply.com/products/channellock-432", "https://edmondsonsupply.com/products/channellock-432")</f>
        <v>https://edmondsonsupply.com/products/channellock-432</v>
      </c>
      <c r="C3749" t="s">
        <v>2472</v>
      </c>
      <c r="D3749" t="s">
        <v>3573</v>
      </c>
      <c r="E3749" s="3" t="str">
        <f>HYPERLINK("https://www.amazon.com/Channellock-440-12-Inch-Tongue-Groove/dp/B00004SBCU/ref=sr_1_1?keywords=Channellock+440+12%22+Straight+Jaw+Tongue+%26+Groove+Pliers&amp;qid=1695173955&amp;sr=8-1", "https://www.amazon.com/Channellock-440-12-Inch-Tongue-Groove/dp/B00004SBCU/ref=sr_1_1?keywords=Channellock+440+12%22+Straight+Jaw+Tongue+%26+Groove+Pliers&amp;qid=1695173955&amp;sr=8-1")</f>
        <v>https://www.amazon.com/Channellock-440-12-Inch-Tongue-Groove/dp/B00004SBCU/ref=sr_1_1?keywords=Channellock+440+12%22+Straight+Jaw+Tongue+%26+Groove+Pliers&amp;qid=1695173955&amp;sr=8-1</v>
      </c>
      <c r="F3749" t="s">
        <v>3574</v>
      </c>
      <c r="G3749" t="e">
        <f ca="1">_xludf.IMAGE("https://edmondsonsupply.com/cdn/shop/products/440-546x1024.jpg?v=1587148892")</f>
        <v>#NAME?</v>
      </c>
      <c r="H3749" t="e">
        <f ca="1">_xludf.IMAGE("https://m.media-amazon.com/images/I/71FM1bkavsL._AC_UL320_.jpg")</f>
        <v>#NAME?</v>
      </c>
      <c r="I3749" t="s">
        <v>2475</v>
      </c>
      <c r="J3749">
        <v>21.95</v>
      </c>
      <c r="K3749" s="4">
        <v>0</v>
      </c>
      <c r="L3749">
        <v>4.8</v>
      </c>
      <c r="M3749">
        <v>3565</v>
      </c>
      <c r="O3749" t="s">
        <v>25</v>
      </c>
      <c r="P3749" t="s">
        <v>2476</v>
      </c>
      <c r="Q3749" t="s">
        <v>2477</v>
      </c>
    </row>
    <row r="3750" spans="1:17" ht="15.5" x14ac:dyDescent="0.35">
      <c r="A3750" s="3" t="str">
        <f>HYPERLINK("https://edmondsonsupply.com/collections/electricians-tools/products/klein-tools-5539lcblu-canvas-bag-with-zipper-large-blue", "https://edmondsonsupply.com/collections/electricians-tools/products/klein-tools-5539lcblu-canvas-bag-with-zipper-large-blue")</f>
        <v>https://edmondsonsupply.com/collections/electricians-tools/products/klein-tools-5539lcblu-canvas-bag-with-zipper-large-blue</v>
      </c>
      <c r="B3750" s="3" t="str">
        <f>HYPERLINK("https://edmondsonsupply.com/products/klein-tools-5539lcblu-canvas-bag-with-zipper-large-blue", "https://edmondsonsupply.com/products/klein-tools-5539lcblu-canvas-bag-with-zipper-large-blue")</f>
        <v>https://edmondsonsupply.com/products/klein-tools-5539lcblu-canvas-bag-with-zipper-large-blue</v>
      </c>
      <c r="C3750" t="s">
        <v>593</v>
      </c>
      <c r="D3750" t="s">
        <v>594</v>
      </c>
      <c r="E3750" s="3" t="str">
        <f>HYPERLINK("https://www.amazon.com/Klein-Tools-5539LBLU-16-Inch-Organizer/dp/B07R95F119/ref=sr_1_1?keywords=Klein+Tools+5539LBLU+Zipper+Bag%2C+Large+Canvas+Tool+Pouch%2C+18-Inch%2C+Blue&amp;qid=1695173967&amp;sr=8-1", "https://www.amazon.com/Klein-Tools-5539LBLU-16-Inch-Organizer/dp/B07R95F119/ref=sr_1_1?keywords=Klein+Tools+5539LBLU+Zipper+Bag%2C+Large+Canvas+Tool+Pouch%2C+18-Inch%2C+Blue&amp;qid=1695173967&amp;sr=8-1")</f>
        <v>https://www.amazon.com/Klein-Tools-5539LBLU-16-Inch-Organizer/dp/B07R95F119/ref=sr_1_1?keywords=Klein+Tools+5539LBLU+Zipper+Bag%2C+Large+Canvas+Tool+Pouch%2C+18-Inch%2C+Blue&amp;qid=1695173967&amp;sr=8-1</v>
      </c>
      <c r="F3750" t="s">
        <v>595</v>
      </c>
      <c r="G3750" t="e">
        <f ca="1">_xludf.IMAGE("https://edmondsonsupply.com/cdn/shop/products/5539lblu.jpg?v=1587150873")</f>
        <v>#NAME?</v>
      </c>
      <c r="H3750" t="e">
        <f ca="1">_xludf.IMAGE("https://m.media-amazon.com/images/I/51VTqMM6V5L._AC_UL320_.jpg")</f>
        <v>#NAME?</v>
      </c>
      <c r="I3750" t="s">
        <v>577</v>
      </c>
      <c r="J3750">
        <v>19.989999999999998</v>
      </c>
      <c r="K3750" s="4">
        <v>0</v>
      </c>
      <c r="L3750">
        <v>4.7</v>
      </c>
      <c r="M3750">
        <v>597</v>
      </c>
      <c r="O3750" t="s">
        <v>25</v>
      </c>
      <c r="P3750" t="s">
        <v>578</v>
      </c>
      <c r="Q3750" t="s">
        <v>596</v>
      </c>
    </row>
    <row r="3751" spans="1:17" ht="15.5" x14ac:dyDescent="0.35">
      <c r="A3751"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3751" s="3" t="str">
        <f>HYPERLINK("https://edmondsonsupply.com/products/klein-tools-60401-hard-hat-vented-full-brim-style", "https://edmondsonsupply.com/products/klein-tools-60401-hard-hat-vented-full-brim-style")</f>
        <v>https://edmondsonsupply.com/products/klein-tools-60401-hard-hat-vented-full-brim-style</v>
      </c>
      <c r="C3751" t="s">
        <v>943</v>
      </c>
      <c r="D3751" t="s">
        <v>991</v>
      </c>
      <c r="E3751" s="3" t="str">
        <f>HYPERLINK("https://www.amazon.com/Klein-Tools-Hard-Non-vented-Style/dp/B07TQNTCKL/ref=sr_1_2?keywords=Klein+Tools+60401+Hard+Hat%2C+Vented%2C+Full+Brim+Style&amp;qid=1695173946&amp;sr=8-2", "https://www.amazon.com/Klein-Tools-Hard-Non-vented-Style/dp/B07TQNTCKL/ref=sr_1_2?keywords=Klein+Tools+60401+Hard+Hat%2C+Vented%2C+Full+Brim+Style&amp;qid=1695173946&amp;sr=8-2")</f>
        <v>https://www.amazon.com/Klein-Tools-Hard-Non-vented-Style/dp/B07TQNTCKL/ref=sr_1_2?keywords=Klein+Tools+60401+Hard+Hat%2C+Vented%2C+Full+Brim+Style&amp;qid=1695173946&amp;sr=8-2</v>
      </c>
      <c r="F3751" t="s">
        <v>992</v>
      </c>
      <c r="G3751" t="e">
        <f ca="1">_xludf.IMAGE("https://edmondsonsupply.com/cdn/shop/products/60401.jpg?v=1587143271")</f>
        <v>#NAME?</v>
      </c>
      <c r="H3751" t="e">
        <f ca="1">_xludf.IMAGE("https://m.media-amazon.com/images/I/61IcdM8MBnL._AC_UL320_.jpg")</f>
        <v>#NAME?</v>
      </c>
      <c r="I3751" t="s">
        <v>946</v>
      </c>
      <c r="J3751">
        <v>44.99</v>
      </c>
      <c r="K3751" s="4">
        <v>0</v>
      </c>
      <c r="L3751">
        <v>4.7</v>
      </c>
      <c r="M3751">
        <v>358</v>
      </c>
      <c r="O3751" t="s">
        <v>25</v>
      </c>
      <c r="P3751" t="s">
        <v>947</v>
      </c>
      <c r="Q3751" t="s">
        <v>948</v>
      </c>
    </row>
    <row r="3752" spans="1:17" ht="15.5" x14ac:dyDescent="0.35">
      <c r="A3752"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3752"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3752" t="s">
        <v>7204</v>
      </c>
      <c r="D3752" t="s">
        <v>8137</v>
      </c>
      <c r="E3752" s="3" t="str">
        <f>HYPERLINK("https://www.amazon.com/Klein-Tools-6816INS-Screwdriver-Cushion-Grip/dp/B0BF7JHR5X/ref=sr_1_2?keywords=Klein+Tools+6816INS+Insulated+Screwdriver%2C+3%2F16-Inch+Cabinet+Tip%2C+6-Inch+Round+Shank&amp;qid=1695174141&amp;sr=8-2", "https://www.amazon.com/Klein-Tools-6816INS-Screwdriver-Cushion-Grip/dp/B0BF7JHR5X/ref=sr_1_2?keywords=Klein+Tools+6816INS+Insulated+Screwdriver%2C+3%2F16-Inch+Cabinet+Tip%2C+6-Inch+Round+Shank&amp;qid=1695174141&amp;sr=8-2")</f>
        <v>https://www.amazon.com/Klein-Tools-6816INS-Screwdriver-Cushion-Grip/dp/B0BF7JHR5X/ref=sr_1_2?keywords=Klein+Tools+6816INS+Insulated+Screwdriver%2C+3%2F16-Inch+Cabinet+Tip%2C+6-Inch+Round+Shank&amp;qid=1695174141&amp;sr=8-2</v>
      </c>
      <c r="F3752" t="s">
        <v>8138</v>
      </c>
      <c r="G3752" t="e">
        <f ca="1">_xludf.IMAGE("https://edmondsonsupply.com/cdn/shop/products/6816ins.jpg?v=1664812840")</f>
        <v>#NAME?</v>
      </c>
      <c r="H3752" t="e">
        <f ca="1">_xludf.IMAGE("https://m.media-amazon.com/images/I/31ngLMMA6xL._AC_UL320_.jpg")</f>
        <v>#NAME?</v>
      </c>
      <c r="I3752" t="s">
        <v>6073</v>
      </c>
      <c r="J3752">
        <v>11.97</v>
      </c>
      <c r="K3752" s="4">
        <v>0</v>
      </c>
      <c r="L3752">
        <v>4</v>
      </c>
      <c r="M3752">
        <v>6</v>
      </c>
      <c r="O3752" t="s">
        <v>25</v>
      </c>
      <c r="P3752" t="s">
        <v>6728</v>
      </c>
      <c r="Q3752" t="s">
        <v>7205</v>
      </c>
    </row>
    <row r="3753" spans="1:17" ht="15.5" x14ac:dyDescent="0.35">
      <c r="A3753" s="3" t="str">
        <f>HYPERLINK("https://edmondsonsupply.com/collections/electricians-tools/products/klein-tools-60406rl-hard-hat-non-vented-full-brim-with-rechargeable-headlamp-white", "https://edmondsonsupply.com/collections/electricians-tools/products/klein-tools-60406rl-hard-hat-non-vented-full-brim-with-rechargeable-headlamp-white")</f>
        <v>https://edmondsonsupply.com/collections/electricians-tools/products/klein-tools-60406rl-hard-hat-non-vented-full-brim-with-rechargeable-headlamp-white</v>
      </c>
      <c r="B3753" s="3" t="str">
        <f>HYPERLINK("https://edmondsonsupply.com/products/klein-tools-60406rl-hard-hat-non-vented-full-brim-with-rechargeable-headlamp-white", "https://edmondsonsupply.com/products/klein-tools-60406rl-hard-hat-non-vented-full-brim-with-rechargeable-headlamp-white")</f>
        <v>https://edmondsonsupply.com/products/klein-tools-60406rl-hard-hat-non-vented-full-brim-with-rechargeable-headlamp-white</v>
      </c>
      <c r="C3753" t="s">
        <v>1134</v>
      </c>
      <c r="D3753" t="s">
        <v>1045</v>
      </c>
      <c r="E3753" s="3" t="str">
        <f>HYPERLINK("https://www.amazon.com/Klein-Tools-60406RL-Rechargeable-Odor-Resistant/dp/B08FBZT3BW/ref=sr_1_1?keywords=Klein+Tools+60406RL+Hard+Hat%2C+Non-Vented%2C+Full+Brim+with+Rechargeable+Headlamp%2C+White&amp;qid=1695174144&amp;sr=8-1", "https://www.amazon.com/Klein-Tools-60406RL-Rechargeable-Odor-Resistant/dp/B08FBZT3BW/ref=sr_1_1?keywords=Klein+Tools+60406RL+Hard+Hat%2C+Non-Vented%2C+Full+Brim+with+Rechargeable+Headlamp%2C+White&amp;qid=1695174144&amp;sr=8-1")</f>
        <v>https://www.amazon.com/Klein-Tools-60406RL-Rechargeable-Odor-Resistant/dp/B08FBZT3BW/ref=sr_1_1?keywords=Klein+Tools+60406RL+Hard+Hat%2C+Non-Vented%2C+Full+Brim+with+Rechargeable+Headlamp%2C+White&amp;qid=1695174144&amp;sr=8-1</v>
      </c>
      <c r="F3753" t="s">
        <v>1046</v>
      </c>
      <c r="G3753" t="e">
        <f ca="1">_xludf.IMAGE("https://edmondsonsupply.com/cdn/shop/products/60406rl_c.jpg?v=1665606616")</f>
        <v>#NAME?</v>
      </c>
      <c r="H3753" t="e">
        <f ca="1">_xludf.IMAGE("https://m.media-amazon.com/images/I/61cNP5T1keL._AC_UL320_.jpg")</f>
        <v>#NAME?</v>
      </c>
      <c r="I3753" t="s">
        <v>588</v>
      </c>
      <c r="J3753">
        <v>69.989999999999995</v>
      </c>
      <c r="K3753" s="4">
        <v>0</v>
      </c>
      <c r="L3753">
        <v>4.7</v>
      </c>
      <c r="M3753">
        <v>358</v>
      </c>
      <c r="O3753" t="s">
        <v>25</v>
      </c>
      <c r="P3753" t="s">
        <v>1135</v>
      </c>
      <c r="Q3753" t="s">
        <v>1136</v>
      </c>
    </row>
    <row r="3754" spans="1:17" ht="15.5" x14ac:dyDescent="0.35">
      <c r="A3754" s="3" t="str">
        <f>HYPERLINK("https://edmondsonsupply.com/collections/electricians-tools/products/klein-tools-55914-tradesman-pro%E2%84%A2-modular-trimming-pouch-with-belt-clip", "https://edmondsonsupply.com/collections/electricians-tools/products/klein-tools-55914-tradesman-pro%E2%84%A2-modular-trimming-pouch-with-belt-clip")</f>
        <v>https://edmondsonsupply.com/collections/electricians-tools/products/klein-tools-55914-tradesman-pro%E2%84%A2-modular-trimming-pouch-with-belt-clip</v>
      </c>
      <c r="B3754" s="3" t="str">
        <f>HYPERLINK("https://edmondsonsupply.com/products/klein-tools-55914-tradesman-pro%e2%84%a2-modular-trimming-pouch-with-belt-clip", "https://edmondsonsupply.com/products/klein-tools-55914-tradesman-pro%e2%84%a2-modular-trimming-pouch-with-belt-clip")</f>
        <v>https://edmondsonsupply.com/products/klein-tools-55914-tradesman-pro%e2%84%a2-modular-trimming-pouch-with-belt-clip</v>
      </c>
      <c r="C3754" t="s">
        <v>559</v>
      </c>
      <c r="D3754" t="s">
        <v>560</v>
      </c>
      <c r="E3754" s="3" t="str">
        <f>HYPERLINK("https://www.amazon.com/Klein-Tools-55914-Tradesman-Trimming/dp/B084WXF7WF/ref=sr_1_1?keywords=Klein+Tools+55914+Tradesman+Pro%E2%84%A2+Modular+Trimming+Pouch+with+Belt+Clip&amp;qid=1695173940&amp;sr=8-1", "https://www.amazon.com/Klein-Tools-55914-Tradesman-Trimming/dp/B084WXF7WF/ref=sr_1_1?keywords=Klein+Tools+55914+Tradesman+Pro%E2%84%A2+Modular+Trimming+Pouch+with+Belt+Clip&amp;qid=1695173940&amp;sr=8-1")</f>
        <v>https://www.amazon.com/Klein-Tools-55914-Tradesman-Trimming/dp/B084WXF7WF/ref=sr_1_1?keywords=Klein+Tools+55914+Tradesman+Pro%E2%84%A2+Modular+Trimming+Pouch+with+Belt+Clip&amp;qid=1695173940&amp;sr=8-1</v>
      </c>
      <c r="F3754" t="s">
        <v>561</v>
      </c>
      <c r="G3754" t="e">
        <f ca="1">_xludf.IMAGE("https://edmondsonsupply.com/cdn/shop/products/55914.jpg?v=1587145266")</f>
        <v>#NAME?</v>
      </c>
      <c r="H3754" t="e">
        <f ca="1">_xludf.IMAGE("https://m.media-amazon.com/images/I/61gt9rhfciL._AC_UL320_.jpg")</f>
        <v>#NAME?</v>
      </c>
      <c r="I3754" t="s">
        <v>26</v>
      </c>
      <c r="J3754">
        <v>29.99</v>
      </c>
      <c r="K3754" s="4">
        <v>0</v>
      </c>
      <c r="L3754">
        <v>4.4000000000000004</v>
      </c>
      <c r="M3754">
        <v>636</v>
      </c>
      <c r="O3754" t="s">
        <v>25</v>
      </c>
      <c r="P3754" t="s">
        <v>562</v>
      </c>
      <c r="Q3754" t="s">
        <v>563</v>
      </c>
    </row>
    <row r="3755" spans="1:17" ht="15.5" x14ac:dyDescent="0.35">
      <c r="A3755" s="3" t="str">
        <f>HYPERLINK("https://edmondsonsupply.com/collections/electricians-tools/products/klein-tools-aeseb1-bluetooth%C2%AE-jobsite-earbuds", "https://edmondsonsupply.com/collections/electricians-tools/products/klein-tools-aeseb1-bluetooth%C2%AE-jobsite-earbuds")</f>
        <v>https://edmondsonsupply.com/collections/electricians-tools/products/klein-tools-aeseb1-bluetooth%C2%AE-jobsite-earbuds</v>
      </c>
      <c r="B3755" s="3" t="str">
        <f>HYPERLINK("https://edmondsonsupply.com/products/klein-tools-aeseb1-bluetooth%c2%ae-jobsite-earbuds", "https://edmondsonsupply.com/products/klein-tools-aeseb1-bluetooth%c2%ae-jobsite-earbuds")</f>
        <v>https://edmondsonsupply.com/products/klein-tools-aeseb1-bluetooth%c2%ae-jobsite-earbuds</v>
      </c>
      <c r="C3755" t="s">
        <v>8139</v>
      </c>
      <c r="D3755" t="s">
        <v>8140</v>
      </c>
      <c r="E3755" s="3" t="str">
        <f>HYPERLINK("https://www.amazon.com/Klein-Tools-AESEB1-Bluetooth-Protection/dp/B09NCK1VM2/ref=sr_1_1?keywords=Klein+Tools+AESEB1+Bluetooth%C2%AE+Jobsite+Earbuds&amp;qid=1695174144&amp;sr=8-1", "https://www.amazon.com/Klein-Tools-AESEB1-Bluetooth-Protection/dp/B09NCK1VM2/ref=sr_1_1?keywords=Klein+Tools+AESEB1+Bluetooth%C2%AE+Jobsite+Earbuds&amp;qid=1695174144&amp;sr=8-1")</f>
        <v>https://www.amazon.com/Klein-Tools-AESEB1-Bluetooth-Protection/dp/B09NCK1VM2/ref=sr_1_1?keywords=Klein+Tools+AESEB1+Bluetooth%C2%AE+Jobsite+Earbuds&amp;qid=1695174144&amp;sr=8-1</v>
      </c>
      <c r="F3755" t="s">
        <v>8141</v>
      </c>
      <c r="G3755" t="e">
        <f ca="1">_xludf.IMAGE("https://edmondsonsupply.com/cdn/shop/products/aeseb1.jpg?v=1666014599")</f>
        <v>#NAME?</v>
      </c>
      <c r="H3755" t="e">
        <f ca="1">_xludf.IMAGE("https://m.media-amazon.com/images/I/51yf0kAECQL._AC_UY218_.jpg")</f>
        <v>#NAME?</v>
      </c>
      <c r="I3755" t="s">
        <v>356</v>
      </c>
      <c r="J3755">
        <v>69.97</v>
      </c>
      <c r="K3755" s="4">
        <v>0</v>
      </c>
      <c r="L3755">
        <v>3.6</v>
      </c>
      <c r="M3755">
        <v>239</v>
      </c>
      <c r="O3755" t="s">
        <v>25</v>
      </c>
      <c r="P3755" t="s">
        <v>8142</v>
      </c>
      <c r="Q3755" t="s">
        <v>8143</v>
      </c>
    </row>
    <row r="3756" spans="1:17" ht="15.5" x14ac:dyDescent="0.35">
      <c r="A3756"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3756" s="3" t="str">
        <f>HYPERLINK("https://edmondsonsupply.com/products/klein-tools-rt310-afci-gfci-outlet-tester", "https://edmondsonsupply.com/products/klein-tools-rt310-afci-gfci-outlet-tester")</f>
        <v>https://edmondsonsupply.com/products/klein-tools-rt310-afci-gfci-outlet-tester</v>
      </c>
      <c r="C3756" t="s">
        <v>6210</v>
      </c>
      <c r="D3756" t="s">
        <v>6206</v>
      </c>
      <c r="E3756" s="3" t="str">
        <f>HYPERLINK("https://www.amazon.com/Klein-Tools-RT310-Electrical-Receptacles/dp/B07PMDRHXB/ref=sr_1_1?keywords=Klein+Tools+RT310+AFCI+%2F+GFCI+Outlet+Tester&amp;qid=1695173970&amp;sr=8-1", "https://www.amazon.com/Klein-Tools-RT310-Electrical-Receptacles/dp/B07PMDRHXB/ref=sr_1_1?keywords=Klein+Tools+RT310+AFCI+%2F+GFCI+Outlet+Tester&amp;qid=1695173970&amp;sr=8-1")</f>
        <v>https://www.amazon.com/Klein-Tools-RT310-Electrical-Receptacles/dp/B07PMDRHXB/ref=sr_1_1?keywords=Klein+Tools+RT310+AFCI+%2F+GFCI+Outlet+Tester&amp;qid=1695173970&amp;sr=8-1</v>
      </c>
      <c r="F3756" t="s">
        <v>6207</v>
      </c>
      <c r="G3756" t="e">
        <f ca="1">_xludf.IMAGE("https://edmondsonsupply.com/cdn/shop/products/rt310.jpg?v=1587148552")</f>
        <v>#NAME?</v>
      </c>
      <c r="H3756" t="e">
        <f ca="1">_xludf.IMAGE("https://m.media-amazon.com/images/I/51C46-kDFFL._AC_UL320_.jpg")</f>
        <v>#NAME?</v>
      </c>
      <c r="I3756" t="s">
        <v>246</v>
      </c>
      <c r="J3756">
        <v>39.97</v>
      </c>
      <c r="K3756" s="4">
        <v>0</v>
      </c>
      <c r="L3756">
        <v>4.7</v>
      </c>
      <c r="M3756">
        <v>1607</v>
      </c>
      <c r="O3756" t="s">
        <v>25</v>
      </c>
      <c r="P3756" t="s">
        <v>6213</v>
      </c>
      <c r="Q3756" t="s">
        <v>6214</v>
      </c>
    </row>
    <row r="3757" spans="1:17" ht="15.5" x14ac:dyDescent="0.35">
      <c r="A3757" s="3" t="str">
        <f>HYPERLINK("https://edmondsonsupply.com/collections/electricians-tools/products/klein-tools-60620-winter-thermal-gloves-l", "https://edmondsonsupply.com/collections/electricians-tools/products/klein-tools-60620-winter-thermal-gloves-l")</f>
        <v>https://edmondsonsupply.com/collections/electricians-tools/products/klein-tools-60620-winter-thermal-gloves-l</v>
      </c>
      <c r="B3757" s="3" t="str">
        <f>HYPERLINK("https://edmondsonsupply.com/products/klein-tools-60620-winter-thermal-gloves-l", "https://edmondsonsupply.com/products/klein-tools-60620-winter-thermal-gloves-l")</f>
        <v>https://edmondsonsupply.com/products/klein-tools-60620-winter-thermal-gloves-l</v>
      </c>
      <c r="C3757" t="s">
        <v>1190</v>
      </c>
      <c r="D3757" t="s">
        <v>1191</v>
      </c>
      <c r="E3757" s="3" t="str">
        <f>HYPERLINK("https://www.amazon.com/Klein-Tools-60620-Thinsulate-Thermal/dp/B0BPDVBNYF/ref=sr_1_1?keywords=Klein+Tools+60620+Winter+Thermal+Gloves%2C+L&amp;qid=1695174077&amp;sr=8-1", "https://www.amazon.com/Klein-Tools-60620-Thinsulate-Thermal/dp/B0BPDVBNYF/ref=sr_1_1?keywords=Klein+Tools+60620+Winter+Thermal+Gloves%2C+L&amp;qid=1695174077&amp;sr=8-1")</f>
        <v>https://www.amazon.com/Klein-Tools-60620-Thinsulate-Thermal/dp/B0BPDVBNYF/ref=sr_1_1?keywords=Klein+Tools+60620+Winter+Thermal+Gloves%2C+L&amp;qid=1695174077&amp;sr=8-1</v>
      </c>
      <c r="F3757" t="s">
        <v>1192</v>
      </c>
      <c r="G3757" t="e">
        <f ca="1">_xludf.IMAGE("https://edmondsonsupply.com/cdn/shop/products/60619_d9a5b77e-323d-40d8-9bbc-c2b115e41e47.jpg?v=1674498060")</f>
        <v>#NAME?</v>
      </c>
      <c r="H3757" t="e">
        <f ca="1">_xludf.IMAGE("https://m.media-amazon.com/images/I/71yZfwKNZWL._AC_UL320_.jpg")</f>
        <v>#NAME?</v>
      </c>
      <c r="I3757" t="s">
        <v>471</v>
      </c>
      <c r="J3757">
        <v>24.99</v>
      </c>
      <c r="K3757" s="4">
        <v>0</v>
      </c>
      <c r="L3757">
        <v>4</v>
      </c>
      <c r="M3757">
        <v>2</v>
      </c>
      <c r="O3757" t="s">
        <v>25</v>
      </c>
      <c r="P3757" t="s">
        <v>602</v>
      </c>
      <c r="Q3757" t="s">
        <v>1193</v>
      </c>
    </row>
    <row r="3758" spans="1:17" ht="15.5" x14ac:dyDescent="0.35">
      <c r="A3758" s="3" t="str">
        <f>HYPERLINK("https://edmondsonsupply.com/collections/electricians-tools/products/klein-tools-60532-hard-hat-earmuffs-for-cap-style-and-safety-helmets", "https://edmondsonsupply.com/collections/electricians-tools/products/klein-tools-60532-hard-hat-earmuffs-for-cap-style-and-safety-helmets")</f>
        <v>https://edmondsonsupply.com/collections/electricians-tools/products/klein-tools-60532-hard-hat-earmuffs-for-cap-style-and-safety-helmets</v>
      </c>
      <c r="B3758" s="3" t="str">
        <f>HYPERLINK("https://edmondsonsupply.com/products/klein-tools-60532-hard-hat-earmuffs-for-cap-style-and-safety-helmets", "https://edmondsonsupply.com/products/klein-tools-60532-hard-hat-earmuffs-for-cap-style-and-safety-helmets")</f>
        <v>https://edmondsonsupply.com/products/klein-tools-60532-hard-hat-earmuffs-for-cap-style-and-safety-helmets</v>
      </c>
      <c r="C3758" t="s">
        <v>1200</v>
      </c>
      <c r="D3758" t="s">
        <v>1201</v>
      </c>
      <c r="E3758" s="3" t="str">
        <f>HYPERLINK("https://www.amazon.com/Klein-Tools-60532-Attachment-Protection/dp/B0BMW81MN6/ref=sr_1_1?keywords=Klein+Tools+60532+Hard+Hat+Earmuffs+for+Cap+Style+and+Safety+Helmets&amp;qid=1695174078&amp;sr=8-1", "https://www.amazon.com/Klein-Tools-60532-Attachment-Protection/dp/B0BMW81MN6/ref=sr_1_1?keywords=Klein+Tools+60532+Hard+Hat+Earmuffs+for+Cap+Style+and+Safety+Helmets&amp;qid=1695174078&amp;sr=8-1")</f>
        <v>https://www.amazon.com/Klein-Tools-60532-Attachment-Protection/dp/B0BMW81MN6/ref=sr_1_1?keywords=Klein+Tools+60532+Hard+Hat+Earmuffs+for+Cap+Style+and+Safety+Helmets&amp;qid=1695174078&amp;sr=8-1</v>
      </c>
      <c r="F3758" t="s">
        <v>1202</v>
      </c>
      <c r="G3758" t="e">
        <f ca="1">_xludf.IMAGE("https://edmondsonsupply.com/cdn/shop/products/60532.jpg?v=1674488078")</f>
        <v>#NAME?</v>
      </c>
      <c r="H3758" t="e">
        <f ca="1">_xludf.IMAGE("https://m.media-amazon.com/images/I/611HffL6OGL._AC_UL320_.jpg")</f>
        <v>#NAME?</v>
      </c>
      <c r="I3758" t="s">
        <v>26</v>
      </c>
      <c r="J3758">
        <v>29.99</v>
      </c>
      <c r="K3758" s="4">
        <v>0</v>
      </c>
      <c r="L3758">
        <v>3.9</v>
      </c>
      <c r="M3758">
        <v>6</v>
      </c>
      <c r="O3758" t="s">
        <v>25</v>
      </c>
      <c r="P3758" t="s">
        <v>562</v>
      </c>
      <c r="Q3758" t="s">
        <v>1203</v>
      </c>
    </row>
    <row r="3759" spans="1:17" ht="15.5" x14ac:dyDescent="0.35">
      <c r="A3759"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3759"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3759" t="s">
        <v>7204</v>
      </c>
      <c r="D3759" t="s">
        <v>3682</v>
      </c>
      <c r="E3759" s="3" t="str">
        <f>HYPERLINK("https://www.amazon.com/Klein-Tools-6866INS-Screwdriver-Cushion-Grip/dp/B0BF73PSWC/ref=sr_1_4?keywords=Klein+Tools+6816INS+Insulated+Screwdriver%2C+3%2F16-Inch+Cabinet+Tip%2C+6-Inch+Round+Shank&amp;qid=1695174141&amp;sr=8-4", "https://www.amazon.com/Klein-Tools-6866INS-Screwdriver-Cushion-Grip/dp/B0BF73PSWC/ref=sr_1_4?keywords=Klein+Tools+6816INS+Insulated+Screwdriver%2C+3%2F16-Inch+Cabinet+Tip%2C+6-Inch+Round+Shank&amp;qid=1695174141&amp;sr=8-4")</f>
        <v>https://www.amazon.com/Klein-Tools-6866INS-Screwdriver-Cushion-Grip/dp/B0BF73PSWC/ref=sr_1_4?keywords=Klein+Tools+6816INS+Insulated+Screwdriver%2C+3%2F16-Inch+Cabinet+Tip%2C+6-Inch+Round+Shank&amp;qid=1695174141&amp;sr=8-4</v>
      </c>
      <c r="F3759" t="s">
        <v>3683</v>
      </c>
      <c r="G3759" t="e">
        <f ca="1">_xludf.IMAGE("https://edmondsonsupply.com/cdn/shop/products/6816ins.jpg?v=1664812840")</f>
        <v>#NAME?</v>
      </c>
      <c r="H3759" t="e">
        <f ca="1">_xludf.IMAGE("https://m.media-amazon.com/images/I/41Sx5h6xG-L._AC_UL320_.jpg")</f>
        <v>#NAME?</v>
      </c>
      <c r="I3759" t="s">
        <v>6073</v>
      </c>
      <c r="J3759">
        <v>11.97</v>
      </c>
      <c r="K3759" s="4">
        <v>0</v>
      </c>
      <c r="L3759">
        <v>4.9000000000000004</v>
      </c>
      <c r="M3759">
        <v>205</v>
      </c>
      <c r="O3759" t="s">
        <v>25</v>
      </c>
      <c r="P3759" t="s">
        <v>6728</v>
      </c>
      <c r="Q3759" t="s">
        <v>7205</v>
      </c>
    </row>
    <row r="3760" spans="1:17" ht="15.5" x14ac:dyDescent="0.35">
      <c r="A3760" s="3" t="str">
        <f>HYPERLINK("https://edmondsonsupply.com/collections/electricians-tools/products/klein-tools-60619-winter-thermal-gloves-m", "https://edmondsonsupply.com/collections/electricians-tools/products/klein-tools-60619-winter-thermal-gloves-m")</f>
        <v>https://edmondsonsupply.com/collections/electricians-tools/products/klein-tools-60619-winter-thermal-gloves-m</v>
      </c>
      <c r="B3760" s="3" t="str">
        <f>HYPERLINK("https://edmondsonsupply.com/products/klein-tools-60619-winter-thermal-gloves-m", "https://edmondsonsupply.com/products/klein-tools-60619-winter-thermal-gloves-m")</f>
        <v>https://edmondsonsupply.com/products/klein-tools-60619-winter-thermal-gloves-m</v>
      </c>
      <c r="C3760" t="s">
        <v>1130</v>
      </c>
      <c r="D3760" t="s">
        <v>1131</v>
      </c>
      <c r="E3760" s="3" t="str">
        <f>HYPERLINK("https://www.amazon.com/Klein-Tools-60619-Thinsulate-Thermal/dp/B0BPF4V69H/ref=sr_1_1?keywords=Klein+Tools+60619+Winter+Thermal+Gloves%2C+M&amp;qid=1695174079&amp;sr=8-1", "https://www.amazon.com/Klein-Tools-60619-Thinsulate-Thermal/dp/B0BPF4V69H/ref=sr_1_1?keywords=Klein+Tools+60619+Winter+Thermal+Gloves%2C+M&amp;qid=1695174079&amp;sr=8-1")</f>
        <v>https://www.amazon.com/Klein-Tools-60619-Thinsulate-Thermal/dp/B0BPF4V69H/ref=sr_1_1?keywords=Klein+Tools+60619+Winter+Thermal+Gloves%2C+M&amp;qid=1695174079&amp;sr=8-1</v>
      </c>
      <c r="F3760" t="s">
        <v>1132</v>
      </c>
      <c r="G3760" t="e">
        <f ca="1">_xludf.IMAGE("https://edmondsonsupply.com/cdn/shop/products/60619.jpg?v=1674497643")</f>
        <v>#NAME?</v>
      </c>
      <c r="H3760" t="e">
        <f ca="1">_xludf.IMAGE("https://m.media-amazon.com/images/I/71yZfwKNZWL._AC_UL320_.jpg")</f>
        <v>#NAME?</v>
      </c>
      <c r="I3760" t="s">
        <v>471</v>
      </c>
      <c r="J3760">
        <v>24.99</v>
      </c>
      <c r="K3760" s="4">
        <v>0</v>
      </c>
      <c r="L3760">
        <v>4</v>
      </c>
      <c r="M3760">
        <v>2</v>
      </c>
      <c r="O3760" t="s">
        <v>25</v>
      </c>
      <c r="P3760" t="s">
        <v>602</v>
      </c>
      <c r="Q3760" t="s">
        <v>1133</v>
      </c>
    </row>
    <row r="3761" spans="1:17" ht="15.5" x14ac:dyDescent="0.35">
      <c r="A3761" s="3" t="str">
        <f>HYPERLINK("https://edmondsonsupply.com/collections/electricians-tools/products/klein-tools-demolition-scratch-awl", "https://edmondsonsupply.com/collections/electricians-tools/products/klein-tools-demolition-scratch-awl")</f>
        <v>https://edmondsonsupply.com/collections/electricians-tools/products/klein-tools-demolition-scratch-awl</v>
      </c>
      <c r="B3761" s="3" t="str">
        <f>HYPERLINK("https://edmondsonsupply.com/products/klein-tools-demolition-scratch-awl", "https://edmondsonsupply.com/products/klein-tools-demolition-scratch-awl")</f>
        <v>https://edmondsonsupply.com/products/klein-tools-demolition-scratch-awl</v>
      </c>
      <c r="C3761" t="s">
        <v>4477</v>
      </c>
      <c r="D3761" t="s">
        <v>4477</v>
      </c>
      <c r="E3761" s="3" t="str">
        <f>HYPERLINK("https://www.amazon.com/Demolition-Scratch-Klein-Tools-650DD/dp/B00LUBVL9C/ref=sr_1_1?keywords=Klein+Tools+650DD+Demolition+Scratch+Awl&amp;qid=1695173942&amp;sr=8-1", "https://www.amazon.com/Demolition-Scratch-Klein-Tools-650DD/dp/B00LUBVL9C/ref=sr_1_1?keywords=Klein+Tools+650DD+Demolition+Scratch+Awl&amp;qid=1695173942&amp;sr=8-1")</f>
        <v>https://www.amazon.com/Demolition-Scratch-Klein-Tools-650DD/dp/B00LUBVL9C/ref=sr_1_1?keywords=Klein+Tools+650DD+Demolition+Scratch+Awl&amp;qid=1695173942&amp;sr=8-1</v>
      </c>
      <c r="F3761" t="s">
        <v>4478</v>
      </c>
      <c r="G3761" t="e">
        <f ca="1">_xludf.IMAGE("https://edmondsonsupply.com/cdn/shop/products/650-dd.jpg?v=1587150658")</f>
        <v>#NAME?</v>
      </c>
      <c r="H3761" t="e">
        <f ca="1">_xludf.IMAGE("https://m.media-amazon.com/images/I/41Rko-I--ML._AC_UL320_.jpg")</f>
        <v>#NAME?</v>
      </c>
      <c r="I3761" t="s">
        <v>79</v>
      </c>
      <c r="J3761">
        <v>17.989999999999998</v>
      </c>
      <c r="K3761" s="4">
        <v>0</v>
      </c>
      <c r="L3761">
        <v>4.7</v>
      </c>
      <c r="M3761">
        <v>362</v>
      </c>
      <c r="O3761" t="s">
        <v>25</v>
      </c>
      <c r="P3761" t="s">
        <v>4479</v>
      </c>
      <c r="Q3761" t="s">
        <v>4480</v>
      </c>
    </row>
    <row r="3762" spans="1:17" ht="15.5" x14ac:dyDescent="0.35">
      <c r="A3762" s="3" t="str">
        <f>HYPERLINK("https://edmondsonsupply.com/collections/electricians-tools/products/milwaukee-2120-20-m18%E2%84%A2-rocket%E2%84%A2-dual-pack-tower-light-w-one-key%E2%84%A2", "https://edmondsonsupply.com/collections/electricians-tools/products/milwaukee-2120-20-m18%E2%84%A2-rocket%E2%84%A2-dual-pack-tower-light-w-one-key%E2%84%A2")</f>
        <v>https://edmondsonsupply.com/collections/electricians-tools/products/milwaukee-2120-20-m18%E2%84%A2-rocket%E2%84%A2-dual-pack-tower-light-w-one-key%E2%84%A2</v>
      </c>
      <c r="B3762" s="3" t="str">
        <f>HYPERLINK("https://edmondsonsupply.com/products/milwaukee-2120-20-m18%e2%84%a2-rocket%e2%84%a2-dual-pack-tower-light-w-one-key%e2%84%a2", "https://edmondsonsupply.com/products/milwaukee-2120-20-m18%e2%84%a2-rocket%e2%84%a2-dual-pack-tower-light-w-one-key%e2%84%a2")</f>
        <v>https://edmondsonsupply.com/products/milwaukee-2120-20-m18%e2%84%a2-rocket%e2%84%a2-dual-pack-tower-light-w-one-key%e2%84%a2</v>
      </c>
      <c r="C3762" t="s">
        <v>8144</v>
      </c>
      <c r="D3762" t="s">
        <v>8145</v>
      </c>
      <c r="E3762" s="3" t="str">
        <f>HYPERLINK("https://www.amazon.com/Milwaukee-212020-Rocket-Tower-Light/dp/B076RYD3WW/ref=sr_1_1?keywords=Milwaukee+2120-20+M18%E2%84%A2+ROCKET%E2%84%A2+Dual+Pack+Tower+Light+w%2F+ONE-KEY%E2%84%A2&amp;qid=1695174081&amp;sr=8-1", "https://www.amazon.com/Milwaukee-212020-Rocket-Tower-Light/dp/B076RYD3WW/ref=sr_1_1?keywords=Milwaukee+2120-20+M18%E2%84%A2+ROCKET%E2%84%A2+Dual+Pack+Tower+Light+w%2F+ONE-KEY%E2%84%A2&amp;qid=1695174081&amp;sr=8-1")</f>
        <v>https://www.amazon.com/Milwaukee-212020-Rocket-Tower-Light/dp/B076RYD3WW/ref=sr_1_1?keywords=Milwaukee+2120-20+M18%E2%84%A2+ROCKET%E2%84%A2+Dual+Pack+Tower+Light+w%2F+ONE-KEY%E2%84%A2&amp;qid=1695174081&amp;sr=8-1</v>
      </c>
      <c r="F3762" t="s">
        <v>8146</v>
      </c>
      <c r="G3762" t="e">
        <f ca="1">_xludf.IMAGE("https://edmondsonsupply.com/cdn/shop/products/2120-20_5.webp?v=1674152585")</f>
        <v>#NAME?</v>
      </c>
      <c r="H3762" t="e">
        <f ca="1">_xludf.IMAGE("https://m.media-amazon.com/images/I/41x9MXoYV+L._AC_UL320_.jpg")</f>
        <v>#NAME?</v>
      </c>
      <c r="I3762" t="s">
        <v>8147</v>
      </c>
      <c r="J3762">
        <v>699</v>
      </c>
      <c r="K3762" s="4">
        <v>0</v>
      </c>
      <c r="L3762">
        <v>4.5999999999999996</v>
      </c>
      <c r="M3762">
        <v>3</v>
      </c>
      <c r="O3762" t="s">
        <v>25</v>
      </c>
      <c r="P3762" t="s">
        <v>8148</v>
      </c>
      <c r="Q3762" t="s">
        <v>8149</v>
      </c>
    </row>
    <row r="3763" spans="1:17" ht="15.5" x14ac:dyDescent="0.35">
      <c r="A3763"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3763"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3763" t="s">
        <v>6781</v>
      </c>
      <c r="D3763" t="s">
        <v>3682</v>
      </c>
      <c r="E3763" s="3" t="str">
        <f>HYPERLINK("https://www.amazon.com/Klein-Tools-6866INS-Screwdriver-Cushion-Grip/dp/B0BF73PSWC/ref=sr_1_1?keywords=Klein+Tools+6866INS+Insulated+Screwdriver%2C+5%2F16-Inch+Cabinet+Tip%2C+6-Inch+Shank&amp;qid=1695174142&amp;sr=8-1", "https://www.amazon.com/Klein-Tools-6866INS-Screwdriver-Cushion-Grip/dp/B0BF73PSWC/ref=sr_1_1?keywords=Klein+Tools+6866INS+Insulated+Screwdriver%2C+5%2F16-Inch+Cabinet+Tip%2C+6-Inch+Shank&amp;qid=1695174142&amp;sr=8-1")</f>
        <v>https://www.amazon.com/Klein-Tools-6866INS-Screwdriver-Cushion-Grip/dp/B0BF73PSWC/ref=sr_1_1?keywords=Klein+Tools+6866INS+Insulated+Screwdriver%2C+5%2F16-Inch+Cabinet+Tip%2C+6-Inch+Shank&amp;qid=1695174142&amp;sr=8-1</v>
      </c>
      <c r="F3763" t="s">
        <v>3683</v>
      </c>
      <c r="G3763" t="e">
        <f ca="1">_xludf.IMAGE("https://edmondsonsupply.com/cdn/shop/products/6866ins.jpg?v=1664818689")</f>
        <v>#NAME?</v>
      </c>
      <c r="H3763" t="e">
        <f ca="1">_xludf.IMAGE("https://m.media-amazon.com/images/I/41Sx5h6xG-L._AC_UL320_.jpg")</f>
        <v>#NAME?</v>
      </c>
      <c r="I3763" t="s">
        <v>6073</v>
      </c>
      <c r="J3763">
        <v>11.97</v>
      </c>
      <c r="K3763" s="4">
        <v>0</v>
      </c>
      <c r="L3763">
        <v>4.9000000000000004</v>
      </c>
      <c r="M3763">
        <v>205</v>
      </c>
      <c r="O3763" t="s">
        <v>25</v>
      </c>
      <c r="P3763" t="s">
        <v>6728</v>
      </c>
      <c r="Q3763" t="s">
        <v>6784</v>
      </c>
    </row>
    <row r="3764" spans="1:17" ht="15.5" x14ac:dyDescent="0.35">
      <c r="A3764" s="3" t="str">
        <f>HYPERLINK("https://edmondsonsupply.com/collections/electricians-tools/products/klein-tools-605036-corded-earplugs-6-pair-pack", "https://edmondsonsupply.com/collections/electricians-tools/products/klein-tools-605036-corded-earplugs-6-pair-pack")</f>
        <v>https://edmondsonsupply.com/collections/electricians-tools/products/klein-tools-605036-corded-earplugs-6-pair-pack</v>
      </c>
      <c r="B3764" s="3" t="str">
        <f>HYPERLINK("https://edmondsonsupply.com/products/klein-tools-605036-corded-earplugs-6-pair-pack", "https://edmondsonsupply.com/products/klein-tools-605036-corded-earplugs-6-pair-pack")</f>
        <v>https://edmondsonsupply.com/products/klein-tools-605036-corded-earplugs-6-pair-pack</v>
      </c>
      <c r="C3764" t="s">
        <v>1180</v>
      </c>
      <c r="D3764" t="s">
        <v>1181</v>
      </c>
      <c r="E3764" s="3" t="str">
        <f>HYPERLINK("https://www.amazon.com/Klein-Tools-605036-Construction-Industrial/dp/B0BSZH7YDX/ref=sr_1_5?keywords=Klein+Tools+605036+Corded+Earplugs%2C+6-Pair+Pack&amp;qid=1695174079&amp;sr=8-5", "https://www.amazon.com/Klein-Tools-605036-Construction-Industrial/dp/B0BSZH7YDX/ref=sr_1_5?keywords=Klein+Tools+605036+Corded+Earplugs%2C+6-Pair+Pack&amp;qid=1695174079&amp;sr=8-5")</f>
        <v>https://www.amazon.com/Klein-Tools-605036-Construction-Industrial/dp/B0BSZH7YDX/ref=sr_1_5?keywords=Klein+Tools+605036+Corded+Earplugs%2C+6-Pair+Pack&amp;qid=1695174079&amp;sr=8-5</v>
      </c>
      <c r="F3764" t="s">
        <v>1182</v>
      </c>
      <c r="G3764" t="e">
        <f ca="1">_xludf.IMAGE("https://edmondsonsupply.com/cdn/shop/products/605036.jpg?v=1677684007")</f>
        <v>#NAME?</v>
      </c>
      <c r="H3764" t="e">
        <f ca="1">_xludf.IMAGE("https://m.media-amazon.com/images/I/61FbxYoqEnL._AC_UL320_.jpg")</f>
        <v>#NAME?</v>
      </c>
      <c r="I3764" t="s">
        <v>1183</v>
      </c>
      <c r="J3764">
        <v>5.97</v>
      </c>
      <c r="K3764" s="4">
        <v>0</v>
      </c>
      <c r="L3764">
        <v>4.3</v>
      </c>
      <c r="M3764">
        <v>15</v>
      </c>
      <c r="O3764" t="s">
        <v>25</v>
      </c>
      <c r="P3764" t="s">
        <v>1184</v>
      </c>
      <c r="Q3764" t="s">
        <v>1185</v>
      </c>
    </row>
    <row r="3765" spans="1:17" ht="15.5" x14ac:dyDescent="0.35">
      <c r="A3765"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3765" s="3" t="str">
        <f>HYPERLINK("https://edmondsonsupply.com/products/klein-tools-60345-hard-hat-earmuffs-full-brim-style", "https://edmondsonsupply.com/products/klein-tools-60345-hard-hat-earmuffs-full-brim-style")</f>
        <v>https://edmondsonsupply.com/products/klein-tools-60345-hard-hat-earmuffs-full-brim-style</v>
      </c>
      <c r="C3765" t="s">
        <v>868</v>
      </c>
      <c r="D3765" t="s">
        <v>1206</v>
      </c>
      <c r="E3765" s="3" t="str">
        <f>HYPERLINK("https://www.amazon.com/Klein-Tools-60502-Attachment-Protection/dp/B0BMW8YRD8/ref=sr_1_1?keywords=Klein+Tools+60502+Hard+Hat+Earmuffs%2C+Full+Brim+Style&amp;qid=1695174082&amp;sr=8-1", "https://www.amazon.com/Klein-Tools-60502-Attachment-Protection/dp/B0BMW8YRD8/ref=sr_1_1?keywords=Klein+Tools+60502+Hard+Hat+Earmuffs%2C+Full+Brim+Style&amp;qid=1695174082&amp;sr=8-1")</f>
        <v>https://www.amazon.com/Klein-Tools-60502-Attachment-Protection/dp/B0BMW8YRD8/ref=sr_1_1?keywords=Klein+Tools+60502+Hard+Hat+Earmuffs%2C+Full+Brim+Style&amp;qid=1695174082&amp;sr=8-1</v>
      </c>
      <c r="F3765" t="s">
        <v>1207</v>
      </c>
      <c r="G3765" t="e">
        <f ca="1">_xludf.IMAGE("https://edmondsonsupply.com/cdn/shop/products/60502.jpg?v=1674486730")</f>
        <v>#NAME?</v>
      </c>
      <c r="H3765" t="e">
        <f ca="1">_xludf.IMAGE("https://m.media-amazon.com/images/I/61DVNl0vmFL._AC_UL320_.jpg")</f>
        <v>#NAME?</v>
      </c>
      <c r="I3765" t="s">
        <v>26</v>
      </c>
      <c r="J3765">
        <v>29.99</v>
      </c>
      <c r="K3765" s="4">
        <v>0</v>
      </c>
      <c r="L3765">
        <v>4.3</v>
      </c>
      <c r="M3765">
        <v>41</v>
      </c>
      <c r="O3765" t="s">
        <v>25</v>
      </c>
      <c r="P3765" t="s">
        <v>562</v>
      </c>
      <c r="Q3765" t="s">
        <v>871</v>
      </c>
    </row>
    <row r="3766" spans="1:17" ht="15.5" x14ac:dyDescent="0.35">
      <c r="A3766" s="3" t="str">
        <f>HYPERLINK("https://edmondsonsupply.com/collections/electricians-tools/products/milwaukee-2744-21", "https://edmondsonsupply.com/collections/electricians-tools/products/milwaukee-2744-21")</f>
        <v>https://edmondsonsupply.com/collections/electricians-tools/products/milwaukee-2744-21</v>
      </c>
      <c r="B3766" s="3" t="str">
        <f>HYPERLINK("https://edmondsonsupply.com/products/milwaukee-2744-21", "https://edmondsonsupply.com/products/milwaukee-2744-21")</f>
        <v>https://edmondsonsupply.com/products/milwaukee-2744-21</v>
      </c>
      <c r="C3766" t="s">
        <v>8150</v>
      </c>
      <c r="D3766" t="s">
        <v>8151</v>
      </c>
      <c r="E3766" s="3"/>
      <c r="F3766" t="s">
        <v>8152</v>
      </c>
      <c r="G3766" t="e">
        <f ca="1">_xludf.IMAGE("https://edmondsonsupply.com/cdn/shop/products/2744-21_1.webp?v=1664901456")</f>
        <v>#NAME?</v>
      </c>
      <c r="H3766" t="e">
        <f ca="1">_xludf.IMAGE("https://m.media-amazon.com/images/I/61LiBCBn5dL._AC_UL320_.jpg")</f>
        <v>#NAME?</v>
      </c>
      <c r="I3766" t="s">
        <v>8153</v>
      </c>
      <c r="J3766">
        <v>479</v>
      </c>
      <c r="K3766" s="4">
        <v>0</v>
      </c>
      <c r="L3766">
        <v>5</v>
      </c>
      <c r="M3766">
        <v>5</v>
      </c>
      <c r="O3766" t="s">
        <v>171</v>
      </c>
      <c r="P3766" t="s">
        <v>8154</v>
      </c>
      <c r="Q3766" t="s">
        <v>8155</v>
      </c>
    </row>
    <row r="3767" spans="1:17" ht="15.5" x14ac:dyDescent="0.35">
      <c r="A3767" s="3" t="str">
        <f>HYPERLINK("https://edmondsonsupply.com/collections/electricians-tools/products/klein-tools-bat20ubl1-cordless-utility-led-light-kit", "https://edmondsonsupply.com/collections/electricians-tools/products/klein-tools-bat20ubl1-cordless-utility-led-light-kit")</f>
        <v>https://edmondsonsupply.com/collections/electricians-tools/products/klein-tools-bat20ubl1-cordless-utility-led-light-kit</v>
      </c>
      <c r="B3767" s="3" t="str">
        <f>HYPERLINK("https://edmondsonsupply.com/products/klein-tools-bat20ubl1-cordless-utility-led-light-kit", "https://edmondsonsupply.com/products/klein-tools-bat20ubl1-cordless-utility-led-light-kit")</f>
        <v>https://edmondsonsupply.com/products/klein-tools-bat20ubl1-cordless-utility-led-light-kit</v>
      </c>
      <c r="C3767" t="s">
        <v>8156</v>
      </c>
      <c r="D3767" t="s">
        <v>8157</v>
      </c>
      <c r="E3767" s="3" t="str">
        <f>HYPERLINK("https://www.amazon.com/Klein-Tools-BAT20UBL1-Lithium-Ion-Batteries/dp/B09HW8BM5R/ref=sr_1_1?keywords=Klein+Tools+BAT20UBL1+Cordless+Utility+LED+Light+Kit&amp;qid=1695174138&amp;sr=8-1", "https://www.amazon.com/Klein-Tools-BAT20UBL1-Lithium-Ion-Batteries/dp/B09HW8BM5R/ref=sr_1_1?keywords=Klein+Tools+BAT20UBL1+Cordless+Utility+LED+Light+Kit&amp;qid=1695174138&amp;sr=8-1")</f>
        <v>https://www.amazon.com/Klein-Tools-BAT20UBL1-Lithium-Ion-Batteries/dp/B09HW8BM5R/ref=sr_1_1?keywords=Klein+Tools+BAT20UBL1+Cordless+Utility+LED+Light+Kit&amp;qid=1695174138&amp;sr=8-1</v>
      </c>
      <c r="F3767" t="s">
        <v>8158</v>
      </c>
      <c r="G3767" t="e">
        <f ca="1">_xludf.IMAGE("https://edmondsonsupply.com/cdn/shop/products/bat20ubl1.jpg?v=1666017304")</f>
        <v>#NAME?</v>
      </c>
      <c r="H3767" t="e">
        <f ca="1">_xludf.IMAGE("https://m.media-amazon.com/images/I/51QMrm33mfL._AC_UL320_.jpg")</f>
        <v>#NAME?</v>
      </c>
      <c r="I3767" t="s">
        <v>8159</v>
      </c>
      <c r="J3767">
        <v>492.69</v>
      </c>
      <c r="K3767" s="4">
        <v>0</v>
      </c>
      <c r="L3767">
        <v>5</v>
      </c>
      <c r="M3767">
        <v>2</v>
      </c>
      <c r="O3767" t="s">
        <v>25</v>
      </c>
      <c r="P3767" t="s">
        <v>8160</v>
      </c>
      <c r="Q3767" t="s">
        <v>8161</v>
      </c>
    </row>
    <row r="3768" spans="1:17" ht="15.5" x14ac:dyDescent="0.35">
      <c r="A3768" s="3" t="str">
        <f>HYPERLINK("https://edmondsonsupply.com/collections/electricians-tools/products/klein-tools-6886ins-insulated-screwdriver-1-square-tip-6-inch-shank", "https://edmondsonsupply.com/collections/electricians-tools/products/klein-tools-6886ins-insulated-screwdriver-1-square-tip-6-inch-shank")</f>
        <v>https://edmondsonsupply.com/collections/electricians-tools/products/klein-tools-6886ins-insulated-screwdriver-1-square-tip-6-inch-shank</v>
      </c>
      <c r="B3768" s="3" t="str">
        <f>HYPERLINK("https://edmondsonsupply.com/products/klein-tools-6886ins-insulated-screwdriver-1-square-tip-6-inch-shank", "https://edmondsonsupply.com/products/klein-tools-6886ins-insulated-screwdriver-1-square-tip-6-inch-shank")</f>
        <v>https://edmondsonsupply.com/products/klein-tools-6886ins-insulated-screwdriver-1-square-tip-6-inch-shank</v>
      </c>
      <c r="C3768" t="s">
        <v>7417</v>
      </c>
      <c r="D3768" t="s">
        <v>8162</v>
      </c>
      <c r="E3768" s="3" t="str">
        <f>HYPERLINK("https://www.amazon.com/Klein-Tools-6886INS-Screwdriver-Cushion-Grip/dp/B0BF755ZL3/ref=sr_1_1?keywords=Klein+Tools+6886INS+Insulated+Screwdriver%2C&amp;qid=1695174139&amp;sr=8-1", "https://www.amazon.com/Klein-Tools-6886INS-Screwdriver-Cushion-Grip/dp/B0BF755ZL3/ref=sr_1_1?keywords=Klein+Tools+6886INS+Insulated+Screwdriver%2C&amp;qid=1695174139&amp;sr=8-1")</f>
        <v>https://www.amazon.com/Klein-Tools-6886INS-Screwdriver-Cushion-Grip/dp/B0BF755ZL3/ref=sr_1_1?keywords=Klein+Tools+6886INS+Insulated+Screwdriver%2C&amp;qid=1695174139&amp;sr=8-1</v>
      </c>
      <c r="F3768" t="s">
        <v>8163</v>
      </c>
      <c r="G3768" t="e">
        <f ca="1">_xludf.IMAGE("https://edmondsonsupply.com/cdn/shop/products/6886ins.jpg?v=1664889697")</f>
        <v>#NAME?</v>
      </c>
      <c r="H3768" t="e">
        <f ca="1">_xludf.IMAGE("https://m.media-amazon.com/images/I/41+5F4EQBeL._AC_UL320_.jpg")</f>
        <v>#NAME?</v>
      </c>
      <c r="I3768" t="s">
        <v>6073</v>
      </c>
      <c r="J3768">
        <v>11.97</v>
      </c>
      <c r="K3768" s="4">
        <v>0</v>
      </c>
      <c r="L3768">
        <v>4.8</v>
      </c>
      <c r="M3768">
        <v>419</v>
      </c>
      <c r="O3768" t="s">
        <v>25</v>
      </c>
      <c r="P3768" t="s">
        <v>6728</v>
      </c>
      <c r="Q3768" t="s">
        <v>7420</v>
      </c>
    </row>
    <row r="3769" spans="1:17" ht="15.5" x14ac:dyDescent="0.35">
      <c r="A3769"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3769"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3769" t="s">
        <v>7055</v>
      </c>
      <c r="D3769" t="s">
        <v>3269</v>
      </c>
      <c r="E3769" s="3" t="str">
        <f>HYPERLINK("https://www.amazon.com/Cutter-Stripper-Klein-Tools-K1412/dp/B000F9HIEC/ref=sr_1_9?keywords=Klein+Tools+11055RINS+Insulated+Klein-Kurve%C2%AE+Wire+Stripper+and+Cutter&amp;qid=1695174134&amp;sr=8-9", "https://www.amazon.com/Cutter-Stripper-Klein-Tools-K1412/dp/B000F9HIEC/ref=sr_1_9?keywords=Klein+Tools+11055RINS+Insulated+Klein-Kurve%C2%AE+Wire+Stripper+and+Cutter&amp;qid=1695174134&amp;sr=8-9")</f>
        <v>https://www.amazon.com/Cutter-Stripper-Klein-Tools-K1412/dp/B000F9HIEC/ref=sr_1_9?keywords=Klein+Tools+11055RINS+Insulated+Klein-Kurve%C2%AE+Wire+Stripper+and+Cutter&amp;qid=1695174134&amp;sr=8-9</v>
      </c>
      <c r="F3769" t="s">
        <v>3270</v>
      </c>
      <c r="G3769" t="e">
        <f ca="1">_xludf.IMAGE("https://edmondsonsupply.com/cdn/shop/products/11055rins.jpg?v=1667236979")</f>
        <v>#NAME?</v>
      </c>
      <c r="H3769" t="e">
        <f ca="1">_xludf.IMAGE("https://m.media-amazon.com/images/I/41sdPMsHXcL._AC_UL320_.jpg")</f>
        <v>#NAME?</v>
      </c>
      <c r="I3769" t="s">
        <v>824</v>
      </c>
      <c r="J3769">
        <v>29.97</v>
      </c>
      <c r="K3769" s="4">
        <v>0</v>
      </c>
      <c r="L3769">
        <v>4.8</v>
      </c>
      <c r="M3769">
        <v>1850</v>
      </c>
      <c r="O3769" t="s">
        <v>25</v>
      </c>
      <c r="P3769" t="s">
        <v>562</v>
      </c>
      <c r="Q3769" t="s">
        <v>7056</v>
      </c>
    </row>
    <row r="3770" spans="1:17" ht="15.5" x14ac:dyDescent="0.35">
      <c r="A3770" s="3" t="str">
        <f>HYPERLINK("https://edmondsonsupply.com/collections/electricians-tools/products/crescent-tools-atwj2610vs-2-pc-wide-jaw-adjustable-wrench-set-6-10", "https://edmondsonsupply.com/collections/electricians-tools/products/crescent-tools-atwj2610vs-2-pc-wide-jaw-adjustable-wrench-set-6-10")</f>
        <v>https://edmondsonsupply.com/collections/electricians-tools/products/crescent-tools-atwj2610vs-2-pc-wide-jaw-adjustable-wrench-set-6-10</v>
      </c>
      <c r="B3770" s="3" t="str">
        <f>HYPERLINK("https://edmondsonsupply.com/products/crescent-tools-atwj2610vs-2-pc-wide-jaw-adjustable-wrench-set-6-10", "https://edmondsonsupply.com/products/crescent-tools-atwj2610vs-2-pc-wide-jaw-adjustable-wrench-set-6-10")</f>
        <v>https://edmondsonsupply.com/products/crescent-tools-atwj2610vs-2-pc-wide-jaw-adjustable-wrench-set-6-10</v>
      </c>
      <c r="C3770" t="s">
        <v>8164</v>
      </c>
      <c r="D3770" t="s">
        <v>8165</v>
      </c>
      <c r="E3770" s="3" t="str">
        <f>HYPERLINK("https://www.amazon.com/Crescent-ATWJ2610VS-10-Adjustable-Wrench/dp/B07NVHYKF1/ref=sr_1_1?keywords=Crescent+Tools+ATWJ2610VS+2+Pc.+Wide+Jaw+Adjustable+Wrench+Set+6%22+%26+10%22&amp;qid=1695174031&amp;sr=8-1", "https://www.amazon.com/Crescent-ATWJ2610VS-10-Adjustable-Wrench/dp/B07NVHYKF1/ref=sr_1_1?keywords=Crescent+Tools+ATWJ2610VS+2+Pc.+Wide+Jaw+Adjustable+Wrench+Set+6%22+%26+10%22&amp;qid=1695174031&amp;sr=8-1")</f>
        <v>https://www.amazon.com/Crescent-ATWJ2610VS-10-Adjustable-Wrench/dp/B07NVHYKF1/ref=sr_1_1?keywords=Crescent+Tools+ATWJ2610VS+2+Pc.+Wide+Jaw+Adjustable+Wrench+Set+6%22+%26+10%22&amp;qid=1695174031&amp;sr=8-1</v>
      </c>
      <c r="F3770" t="s">
        <v>8166</v>
      </c>
      <c r="G3770" t="e">
        <f ca="1">_xludf.IMAGE("https://edmondsonsupply.com/cdn/shop/products/CRS_ATWJ2610VS_MAIN.jpg?v=1680013457")</f>
        <v>#NAME?</v>
      </c>
      <c r="H3770" t="e">
        <f ca="1">_xludf.IMAGE("https://m.media-amazon.com/images/I/61hbSdqZptL._AC_UL320_.jpg")</f>
        <v>#NAME?</v>
      </c>
      <c r="I3770" t="s">
        <v>571</v>
      </c>
      <c r="J3770">
        <v>34.99</v>
      </c>
      <c r="K3770" s="4">
        <v>0</v>
      </c>
      <c r="L3770">
        <v>4.8</v>
      </c>
      <c r="M3770">
        <v>831</v>
      </c>
      <c r="O3770" t="s">
        <v>25</v>
      </c>
      <c r="P3770" t="s">
        <v>2529</v>
      </c>
      <c r="Q3770" t="s">
        <v>8167</v>
      </c>
    </row>
    <row r="3771" spans="1:17" ht="15.5" x14ac:dyDescent="0.35">
      <c r="A3771"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3771"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3771" t="s">
        <v>896</v>
      </c>
      <c r="D3771" t="s">
        <v>958</v>
      </c>
      <c r="E3771" s="3" t="str">
        <f>HYPERLINK("https://www.amazon.com/Klein-60164-Professional-Protective-Resistant/dp/B08B4BNSHM/ref=sr_1_9?keywords=Klein+Tools+60537+Professional+Safety+Glasses%2C+Full-Frame%2C+Indoor%2FOutdoor+Lens&amp;qid=1695174097&amp;sr=8-9", "https://www.amazon.com/Klein-60164-Professional-Protective-Resistant/dp/B08B4BNSHM/ref=sr_1_9?keywords=Klein+Tools+60537+Professional+Safety+Glasses%2C+Full-Frame%2C+Indoor%2FOutdoor+Lens&amp;qid=1695174097&amp;sr=8-9")</f>
        <v>https://www.amazon.com/Klein-60164-Professional-Protective-Resistant/dp/B08B4BNSHM/ref=sr_1_9?keywords=Klein+Tools+60537+Professional+Safety+Glasses%2C+Full-Frame%2C+Indoor%2FOutdoor+Lens&amp;qid=1695174097&amp;sr=8-9</v>
      </c>
      <c r="F3771" t="s">
        <v>959</v>
      </c>
      <c r="G3771" t="e">
        <f ca="1">_xludf.IMAGE("https://edmondsonsupply.com/cdn/shop/products/60537.jpg?v=1670947087")</f>
        <v>#NAME?</v>
      </c>
      <c r="H3771" t="e">
        <f ca="1">_xludf.IMAGE("https://m.media-amazon.com/images/I/41bNrH9NnFL._AC_UL320_.jpg")</f>
        <v>#NAME?</v>
      </c>
      <c r="I3771" t="s">
        <v>276</v>
      </c>
      <c r="J3771">
        <v>14.99</v>
      </c>
      <c r="K3771" s="4">
        <v>0</v>
      </c>
      <c r="L3771">
        <v>4.4000000000000004</v>
      </c>
      <c r="M3771">
        <v>463</v>
      </c>
      <c r="O3771" t="s">
        <v>25</v>
      </c>
      <c r="P3771" t="s">
        <v>277</v>
      </c>
      <c r="Q3771" t="s">
        <v>897</v>
      </c>
    </row>
    <row r="3772" spans="1:17" ht="15.5" x14ac:dyDescent="0.35">
      <c r="A3772" s="3" t="str">
        <f>HYPERLINK("https://edmondsonsupply.com/collections/electricians-tools/products/klein-5416tfr", "https://edmondsonsupply.com/collections/electricians-tools/products/klein-5416tfr")</f>
        <v>https://edmondsonsupply.com/collections/electricians-tools/products/klein-5416tfr</v>
      </c>
      <c r="B3772" s="3" t="str">
        <f>HYPERLINK("https://edmondsonsupply.com/products/klein-5416tfr", "https://edmondsonsupply.com/products/klein-5416tfr")</f>
        <v>https://edmondsonsupply.com/products/klein-5416tfr</v>
      </c>
      <c r="C3772" t="s">
        <v>5986</v>
      </c>
      <c r="D3772" t="s">
        <v>686</v>
      </c>
      <c r="E3772" s="3" t="str">
        <f>HYPERLINK("https://www.amazon.com/Resistant-Canvas-Klein-Tools-5416TFR/dp/B0116IFD6A/ref=sr_1_1?keywords=Klein+Tools+5416TFR+Tool+Bag%2C+Flame+Resistant+Bolt+Bag%2C+No.+4+Canvas%2C+5+x+10+x+9-Inch&amp;qid=1695173952&amp;sr=8-1", "https://www.amazon.com/Resistant-Canvas-Klein-Tools-5416TFR/dp/B0116IFD6A/ref=sr_1_1?keywords=Klein+Tools+5416TFR+Tool+Bag%2C+Flame+Resistant+Bolt+Bag%2C+No.+4+Canvas%2C+5+x+10+x+9-Inch&amp;qid=1695173952&amp;sr=8-1")</f>
        <v>https://www.amazon.com/Resistant-Canvas-Klein-Tools-5416TFR/dp/B0116IFD6A/ref=sr_1_1?keywords=Klein+Tools+5416TFR+Tool+Bag%2C+Flame+Resistant+Bolt+Bag%2C+No.+4+Canvas%2C+5+x+10+x+9-Inch&amp;qid=1695173952&amp;sr=8-1</v>
      </c>
      <c r="F3772" t="s">
        <v>687</v>
      </c>
      <c r="G3772" t="e">
        <f ca="1">_xludf.IMAGE("https://edmondsonsupply.com/cdn/shop/products/5416tfr.jpg?v=1587149359")</f>
        <v>#NAME?</v>
      </c>
      <c r="H3772" t="e">
        <f ca="1">_xludf.IMAGE("https://m.media-amazon.com/images/I/71-H03ahZOL._AC_UL320_.jpg")</f>
        <v>#NAME?</v>
      </c>
      <c r="I3772" t="s">
        <v>577</v>
      </c>
      <c r="J3772">
        <v>19.989999999999998</v>
      </c>
      <c r="K3772" s="4">
        <v>0</v>
      </c>
      <c r="L3772">
        <v>4.8</v>
      </c>
      <c r="M3772">
        <v>7387</v>
      </c>
      <c r="O3772" t="s">
        <v>25</v>
      </c>
      <c r="P3772" t="s">
        <v>5989</v>
      </c>
      <c r="Q3772" t="s">
        <v>5990</v>
      </c>
    </row>
    <row r="3773" spans="1:17" ht="15.5" x14ac:dyDescent="0.35">
      <c r="A3773" s="3" t="str">
        <f>HYPERLINK("https://edmondsonsupply.com/collections/electricians-tools/products/testo-0590-7501-750-1-digital-voltage-tester", "https://edmondsonsupply.com/collections/electricians-tools/products/testo-0590-7501-750-1-digital-voltage-tester")</f>
        <v>https://edmondsonsupply.com/collections/electricians-tools/products/testo-0590-7501-750-1-digital-voltage-tester</v>
      </c>
      <c r="B3773" s="3" t="str">
        <f>HYPERLINK("https://edmondsonsupply.com/products/testo-0590-7501-750-1-digital-voltage-tester", "https://edmondsonsupply.com/products/testo-0590-7501-750-1-digital-voltage-tester")</f>
        <v>https://edmondsonsupply.com/products/testo-0590-7501-750-1-digital-voltage-tester</v>
      </c>
      <c r="C3773" t="s">
        <v>4652</v>
      </c>
      <c r="D3773" t="s">
        <v>4653</v>
      </c>
      <c r="E3773" s="3" t="str">
        <f>HYPERLINK("https://www.amazon.com/Testo-750-1-Digital-Voltage-Rotation/dp/B01F3MPHKM/ref=sr_1_4?keywords=Testo+0590+7501+750-1+-+Digital+Voltage+Tester&amp;qid=1695173990&amp;sr=8-4", "https://www.amazon.com/Testo-750-1-Digital-Voltage-Rotation/dp/B01F3MPHKM/ref=sr_1_4?keywords=Testo+0590+7501+750-1+-+Digital+Voltage+Tester&amp;qid=1695173990&amp;sr=8-4")</f>
        <v>https://www.amazon.com/Testo-750-1-Digital-Voltage-Rotation/dp/B01F3MPHKM/ref=sr_1_4?keywords=Testo+0590+7501+750-1+-+Digital+Voltage+Tester&amp;qid=1695173990&amp;sr=8-4</v>
      </c>
      <c r="F3773" t="s">
        <v>4654</v>
      </c>
      <c r="G3773" t="e">
        <f ca="1">_xludf.IMAGE("https://edmondsonsupply.com/cdn/shop/files/testo-750-1-voltage-tester-free-front_master.jpg?v=1688221652")</f>
        <v>#NAME?</v>
      </c>
      <c r="H3773" t="e">
        <f ca="1">_xludf.IMAGE("https://m.media-amazon.com/images/I/81QThICNtIL._AC_UY218_.jpg")</f>
        <v>#NAME?</v>
      </c>
      <c r="I3773" t="s">
        <v>4655</v>
      </c>
      <c r="J3773">
        <v>62.05</v>
      </c>
      <c r="K3773" s="4">
        <v>0</v>
      </c>
      <c r="L3773">
        <v>4.8</v>
      </c>
      <c r="M3773">
        <v>50</v>
      </c>
      <c r="O3773" t="s">
        <v>25</v>
      </c>
      <c r="P3773" t="s">
        <v>4656</v>
      </c>
      <c r="Q3773" t="s">
        <v>4657</v>
      </c>
    </row>
    <row r="3774" spans="1:17" ht="15.5" x14ac:dyDescent="0.35">
      <c r="A3774" s="3" t="str">
        <f>HYPERLINK("https://edmondsonsupply.com/collections/electricians-tools/products/klein-tools-25950-step-bit-kit-spiral-double-fluted-vaco-4-piece", "https://edmondsonsupply.com/collections/electricians-tools/products/klein-tools-25950-step-bit-kit-spiral-double-fluted-vaco-4-piece")</f>
        <v>https://edmondsonsupply.com/collections/electricians-tools/products/klein-tools-25950-step-bit-kit-spiral-double-fluted-vaco-4-piece</v>
      </c>
      <c r="B3774" s="3" t="str">
        <f>HYPERLINK("https://edmondsonsupply.com/products/klein-tools-25950-step-bit-kit-spiral-double-fluted-vaco-4-piece", "https://edmondsonsupply.com/products/klein-tools-25950-step-bit-kit-spiral-double-fluted-vaco-4-piece")</f>
        <v>https://edmondsonsupply.com/products/klein-tools-25950-step-bit-kit-spiral-double-fluted-vaco-4-piece</v>
      </c>
      <c r="C3774" t="s">
        <v>8168</v>
      </c>
      <c r="D3774" t="s">
        <v>1979</v>
      </c>
      <c r="E3774" s="3" t="str">
        <f>HYPERLINK("https://www.amazon.com/Klein-Tools-25951-Electricians-Titanium/dp/B0BLFRJLDX/ref=sr_1_1?keywords=Klein+Tools+25950+Step+Bit+Kit%2C+Spiral+Double-Fluted%2C+VACO%2C+4-Piece&amp;qid=1695174107&amp;sr=8-1", "https://www.amazon.com/Klein-Tools-25951-Electricians-Titanium/dp/B0BLFRJLDX/ref=sr_1_1?keywords=Klein+Tools+25950+Step+Bit+Kit%2C+Spiral+Double-Fluted%2C+VACO%2C+4-Piece&amp;qid=1695174107&amp;sr=8-1")</f>
        <v>https://www.amazon.com/Klein-Tools-25951-Electricians-Titanium/dp/B0BLFRJLDX/ref=sr_1_1?keywords=Klein+Tools+25950+Step+Bit+Kit%2C+Spiral+Double-Fluted%2C+VACO%2C+4-Piece&amp;qid=1695174107&amp;sr=8-1</v>
      </c>
      <c r="F3774" t="s">
        <v>1980</v>
      </c>
      <c r="G3774" t="e">
        <f ca="1">_xludf.IMAGE("https://edmondsonsupply.com/cdn/shop/products/25950_b.jpg?v=1670518985")</f>
        <v>#NAME?</v>
      </c>
      <c r="H3774" t="e">
        <f ca="1">_xludf.IMAGE("https://m.media-amazon.com/images/I/61dZd3WvlgL._AC_UY218_.jpg")</f>
        <v>#NAME?</v>
      </c>
      <c r="I3774" t="s">
        <v>2224</v>
      </c>
      <c r="J3774">
        <v>99.99</v>
      </c>
      <c r="K3774" s="4">
        <v>0</v>
      </c>
      <c r="L3774">
        <v>3.8</v>
      </c>
      <c r="M3774">
        <v>6</v>
      </c>
      <c r="O3774" t="s">
        <v>25</v>
      </c>
      <c r="P3774" t="s">
        <v>2225</v>
      </c>
      <c r="Q3774" t="s">
        <v>8169</v>
      </c>
    </row>
    <row r="3775" spans="1:17" ht="15.5" x14ac:dyDescent="0.35">
      <c r="A3775" s="3" t="str">
        <f>HYPERLINK("https://edmondsonsupply.com/collections/electricians-tools/products/channellock-428", "https://edmondsonsupply.com/collections/electricians-tools/products/channellock-428")</f>
        <v>https://edmondsonsupply.com/collections/electricians-tools/products/channellock-428</v>
      </c>
      <c r="B3775" s="3" t="str">
        <f>HYPERLINK("https://edmondsonsupply.com/products/channellock-428", "https://edmondsonsupply.com/products/channellock-428")</f>
        <v>https://edmondsonsupply.com/products/channellock-428</v>
      </c>
      <c r="C3775" t="s">
        <v>1791</v>
      </c>
      <c r="D3775" t="s">
        <v>4465</v>
      </c>
      <c r="E3775" s="3" t="str">
        <f>HYPERLINK("https://www.amazon.com/CHANNELLOCK-428-Adjustments-SAFE-T-STOP-High-Carbon/dp/B00004SBCT/ref=sr_1_1?keywords=Channellock+428+8-Inch+Straight+Jaw+Tongue+%26+Groove+Pliers&amp;qid=1695173963&amp;sr=8-1", "https://www.amazon.com/CHANNELLOCK-428-Adjustments-SAFE-T-STOP-High-Carbon/dp/B00004SBCT/ref=sr_1_1?keywords=Channellock+428+8-Inch+Straight+Jaw+Tongue+%26+Groove+Pliers&amp;qid=1695173963&amp;sr=8-1")</f>
        <v>https://www.amazon.com/CHANNELLOCK-428-Adjustments-SAFE-T-STOP-High-Carbon/dp/B00004SBCT/ref=sr_1_1?keywords=Channellock+428+8-Inch+Straight+Jaw+Tongue+%26+Groove+Pliers&amp;qid=1695173963&amp;sr=8-1</v>
      </c>
      <c r="F3775" t="s">
        <v>4466</v>
      </c>
      <c r="G3775" t="e">
        <f ca="1">_xludf.IMAGE("https://edmondsonsupply.com/cdn/shop/products/428-683x1024.jpg?v=1587145854")</f>
        <v>#NAME?</v>
      </c>
      <c r="H3775" t="e">
        <f ca="1">_xludf.IMAGE("https://m.media-amazon.com/images/I/71PJMchXHJL._AC_UL320_.jpg")</f>
        <v>#NAME?</v>
      </c>
      <c r="I3775" t="s">
        <v>1554</v>
      </c>
      <c r="J3775">
        <v>16.95</v>
      </c>
      <c r="K3775" s="4">
        <v>0</v>
      </c>
      <c r="L3775">
        <v>4.7</v>
      </c>
      <c r="M3775">
        <v>239</v>
      </c>
      <c r="O3775" t="s">
        <v>25</v>
      </c>
      <c r="P3775" t="s">
        <v>1794</v>
      </c>
      <c r="Q3775" t="s">
        <v>1795</v>
      </c>
    </row>
    <row r="3776" spans="1:17" ht="15.5" x14ac:dyDescent="0.35">
      <c r="A3776" s="3" t="str">
        <f>HYPERLINK("https://edmondsonsupply.com/collections/electricians-tools/products/tajima-dfc670n-r1-rock-hard-fin%E2%84%A2-utility-knife-auto-lock", "https://edmondsonsupply.com/collections/electricians-tools/products/tajima-dfc670n-r1-rock-hard-fin%E2%84%A2-utility-knife-auto-lock")</f>
        <v>https://edmondsonsupply.com/collections/electricians-tools/products/tajima-dfc670n-r1-rock-hard-fin%E2%84%A2-utility-knife-auto-lock</v>
      </c>
      <c r="B3776" s="3" t="str">
        <f>HYPERLINK("https://edmondsonsupply.com/products/tajima-dfc670n-r1-rock-hard-fin%e2%84%a2-utility-knife-auto-lock", "https://edmondsonsupply.com/products/tajima-dfc670n-r1-rock-hard-fin%e2%84%a2-utility-knife-auto-lock")</f>
        <v>https://edmondsonsupply.com/products/tajima-dfc670n-r1-rock-hard-fin%e2%84%a2-utility-knife-auto-lock</v>
      </c>
      <c r="C3776" t="s">
        <v>4461</v>
      </c>
      <c r="D3776" t="s">
        <v>4462</v>
      </c>
      <c r="E3776" s="3" t="str">
        <f>HYPERLINK("https://www.amazon.com/TAJIMA-Utility-Knife-DFC670N-R1-Auto-Lock/dp/B07W8SQ6NW/ref=sr_1_1?keywords=Tajima+DFC670N-R1+Rock+Hard+FIN%E2%84%A2+Utility+Knife%2C+Auto+Lock&amp;qid=1695173962&amp;sr=8-1", "https://www.amazon.com/TAJIMA-Utility-Knife-DFC670N-R1-Auto-Lock/dp/B07W8SQ6NW/ref=sr_1_1?keywords=Tajima+DFC670N-R1+Rock+Hard+FIN%E2%84%A2+Utility+Knife%2C+Auto+Lock&amp;qid=1695173962&amp;sr=8-1")</f>
        <v>https://www.amazon.com/TAJIMA-Utility-Knife-DFC670N-R1-Auto-Lock/dp/B07W8SQ6NW/ref=sr_1_1?keywords=Tajima+DFC670N-R1+Rock+Hard+FIN%E2%84%A2+Utility+Knife%2C+Auto+Lock&amp;qid=1695173962&amp;sr=8-1</v>
      </c>
      <c r="F3776" t="s">
        <v>4463</v>
      </c>
      <c r="G3776" t="e">
        <f ca="1">_xludf.IMAGE("https://edmondsonsupply.com/cdn/shop/files/DFC670N-R1-2.jpg?v=1693509419")</f>
        <v>#NAME?</v>
      </c>
      <c r="H3776" t="e">
        <f ca="1">_xludf.IMAGE("https://m.media-amazon.com/images/I/51udy51xLdL._AC_UL320_.jpg")</f>
        <v>#NAME?</v>
      </c>
      <c r="I3776" t="s">
        <v>3591</v>
      </c>
      <c r="J3776">
        <v>15.28</v>
      </c>
      <c r="K3776" s="4">
        <v>0</v>
      </c>
      <c r="L3776">
        <v>4.5999999999999996</v>
      </c>
      <c r="M3776">
        <v>29</v>
      </c>
      <c r="O3776" t="s">
        <v>25</v>
      </c>
      <c r="P3776" t="s">
        <v>138</v>
      </c>
      <c r="Q3776" t="s">
        <v>4464</v>
      </c>
    </row>
    <row r="3777" spans="1:17" ht="15.5" x14ac:dyDescent="0.35">
      <c r="A3777" s="3" t="str">
        <f>HYPERLINK("https://edmondsonsupply.com/collections/electricians-tools/products/klein-tools-60491-heavy-duty-hinged-knee-pads", "https://edmondsonsupply.com/collections/electricians-tools/products/klein-tools-60491-heavy-duty-hinged-knee-pads")</f>
        <v>https://edmondsonsupply.com/collections/electricians-tools/products/klein-tools-60491-heavy-duty-hinged-knee-pads</v>
      </c>
      <c r="B3777" s="3" t="str">
        <f>HYPERLINK("https://edmondsonsupply.com/products/klein-tools-60491-heavy-duty-hinged-knee-pads", "https://edmondsonsupply.com/products/klein-tools-60491-heavy-duty-hinged-knee-pads")</f>
        <v>https://edmondsonsupply.com/products/klein-tools-60491-heavy-duty-hinged-knee-pads</v>
      </c>
      <c r="C3777" t="s">
        <v>1113</v>
      </c>
      <c r="D3777" t="s">
        <v>909</v>
      </c>
      <c r="E3777" s="3" t="str">
        <f>HYPERLINK("https://www.amazon.com/Klein-Tools-60491-Protective-Quick-Fasten/dp/B0BHXBMBHP/ref=sr_1_1?keywords=Klein+Tools+60491+Heavy+Duty+Hinged+Knee+Pads&amp;qid=1695174128&amp;sr=8-1", "https://www.amazon.com/Klein-Tools-60491-Protective-Quick-Fasten/dp/B0BHXBMBHP/ref=sr_1_1?keywords=Klein+Tools+60491+Heavy+Duty+Hinged+Knee+Pads&amp;qid=1695174128&amp;sr=8-1")</f>
        <v>https://www.amazon.com/Klein-Tools-60491-Protective-Quick-Fasten/dp/B0BHXBMBHP/ref=sr_1_1?keywords=Klein+Tools+60491+Heavy+Duty+Hinged+Knee+Pads&amp;qid=1695174128&amp;sr=8-1</v>
      </c>
      <c r="F3777" t="s">
        <v>910</v>
      </c>
      <c r="G3777" t="e">
        <f ca="1">_xludf.IMAGE("https://edmondsonsupply.com/cdn/shop/products/60491.jpg?v=1667324200")</f>
        <v>#NAME?</v>
      </c>
      <c r="H3777" t="e">
        <f ca="1">_xludf.IMAGE("https://m.media-amazon.com/images/I/718i4PDcjnL._AC_UL320_.jpg")</f>
        <v>#NAME?</v>
      </c>
      <c r="I3777" t="s">
        <v>380</v>
      </c>
      <c r="J3777">
        <v>49.97</v>
      </c>
      <c r="K3777" s="4">
        <v>0</v>
      </c>
      <c r="L3777">
        <v>4.4000000000000004</v>
      </c>
      <c r="M3777">
        <v>289</v>
      </c>
      <c r="O3777" t="s">
        <v>25</v>
      </c>
      <c r="P3777" t="s">
        <v>1114</v>
      </c>
      <c r="Q3777" t="s">
        <v>1115</v>
      </c>
    </row>
    <row r="3778" spans="1:17" ht="15.5" x14ac:dyDescent="0.35">
      <c r="A3778" s="3" t="str">
        <f>HYPERLINK("https://edmondsonsupply.com/collections/electricians-tools/products/klein-tools-5539lyel-canvas-bag-with-zipper-large-yellow", "https://edmondsonsupply.com/collections/electricians-tools/products/klein-tools-5539lyel-canvas-bag-with-zipper-large-yellow")</f>
        <v>https://edmondsonsupply.com/collections/electricians-tools/products/klein-tools-5539lyel-canvas-bag-with-zipper-large-yellow</v>
      </c>
      <c r="B3778" s="3" t="str">
        <f>HYPERLINK("https://edmondsonsupply.com/products/klein-tools-5539lyel-canvas-bag-with-zipper-large-yellow", "https://edmondsonsupply.com/products/klein-tools-5539lyel-canvas-bag-with-zipper-large-yellow")</f>
        <v>https://edmondsonsupply.com/products/klein-tools-5539lyel-canvas-bag-with-zipper-large-yellow</v>
      </c>
      <c r="C3778" t="s">
        <v>574</v>
      </c>
      <c r="D3778" t="s">
        <v>575</v>
      </c>
      <c r="E3778" s="3" t="str">
        <f>HYPERLINK("https://www.amazon.com/Klein-Tools-5539LYEL-16-Inch-Organizer/dp/B07RDSFV7H/ref=sr_1_1?keywords=Klein+Tools+5539LYEL+Zipper+Bag%2C+Large+Canvas+Tool+Pouch%2C+18-Inch%2C+Yellow&amp;qid=1695173959&amp;sr=8-1", "https://www.amazon.com/Klein-Tools-5539LYEL-16-Inch-Organizer/dp/B07RDSFV7H/ref=sr_1_1?keywords=Klein+Tools+5539LYEL+Zipper+Bag%2C+Large+Canvas+Tool+Pouch%2C+18-Inch%2C+Yellow&amp;qid=1695173959&amp;sr=8-1")</f>
        <v>https://www.amazon.com/Klein-Tools-5539LYEL-16-Inch-Organizer/dp/B07RDSFV7H/ref=sr_1_1?keywords=Klein+Tools+5539LYEL+Zipper+Bag%2C+Large+Canvas+Tool+Pouch%2C+18-Inch%2C+Yellow&amp;qid=1695173959&amp;sr=8-1</v>
      </c>
      <c r="F3778" t="s">
        <v>576</v>
      </c>
      <c r="G3778" t="e">
        <f ca="1">_xludf.IMAGE("https://edmondsonsupply.com/cdn/shop/products/5539lyel.jpg?v=1587143705")</f>
        <v>#NAME?</v>
      </c>
      <c r="H3778" t="e">
        <f ca="1">_xludf.IMAGE("https://m.media-amazon.com/images/I/51WhSCLJ4EL._AC_UL320_.jpg")</f>
        <v>#NAME?</v>
      </c>
      <c r="I3778" t="s">
        <v>577</v>
      </c>
      <c r="J3778">
        <v>19.989999999999998</v>
      </c>
      <c r="K3778" s="4">
        <v>0</v>
      </c>
      <c r="L3778">
        <v>4.7</v>
      </c>
      <c r="M3778">
        <v>597</v>
      </c>
      <c r="O3778" t="s">
        <v>25</v>
      </c>
      <c r="P3778" t="s">
        <v>578</v>
      </c>
      <c r="Q3778" t="s">
        <v>579</v>
      </c>
    </row>
    <row r="3779" spans="1:17" ht="15.5" x14ac:dyDescent="0.35">
      <c r="A3779"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3779"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3779" t="s">
        <v>8170</v>
      </c>
      <c r="D3779" t="s">
        <v>4244</v>
      </c>
      <c r="E3779" s="3" t="str">
        <f>HYPERLINK("https://www.amazon.com/Klein-Tools-J248-8-Diagonal-Cutters-Angled/dp/B000CRY52A/ref=sr_1_2?keywords=Klein+Tools+2288RINS+Diagonal+Cutting+Pliers%2C+Insulated%2C+High+Leverage%2C+8-Inch&amp;qid=1695174127&amp;sr=8-2", "https://www.amazon.com/Klein-Tools-J248-8-Diagonal-Cutters-Angled/dp/B000CRY52A/ref=sr_1_2?keywords=Klein+Tools+2288RINS+Diagonal+Cutting+Pliers%2C+Insulated%2C+High+Leverage%2C+8-Inch&amp;qid=1695174127&amp;sr=8-2")</f>
        <v>https://www.amazon.com/Klein-Tools-J248-8-Diagonal-Cutters-Angled/dp/B000CRY52A/ref=sr_1_2?keywords=Klein+Tools+2288RINS+Diagonal+Cutting+Pliers%2C+Insulated%2C+High+Leverage%2C+8-Inch&amp;qid=1695174127&amp;sr=8-2</v>
      </c>
      <c r="F3779" t="s">
        <v>4245</v>
      </c>
      <c r="G3779" t="e">
        <f ca="1">_xludf.IMAGE("https://edmondsonsupply.com/cdn/shop/products/2288rins.jpg?v=1667238570")</f>
        <v>#NAME?</v>
      </c>
      <c r="H3779" t="e">
        <f ca="1">_xludf.IMAGE("https://m.media-amazon.com/images/I/51AWyzskD+L._AC_UL320_.jpg")</f>
        <v>#NAME?</v>
      </c>
      <c r="I3779" t="s">
        <v>246</v>
      </c>
      <c r="J3779">
        <v>39.97</v>
      </c>
      <c r="K3779" s="4">
        <v>0</v>
      </c>
      <c r="L3779">
        <v>4.9000000000000004</v>
      </c>
      <c r="M3779">
        <v>490</v>
      </c>
      <c r="O3779" t="s">
        <v>25</v>
      </c>
      <c r="P3779" t="s">
        <v>1027</v>
      </c>
      <c r="Q3779" t="s">
        <v>8171</v>
      </c>
    </row>
    <row r="3780" spans="1:17" ht="15.5" x14ac:dyDescent="0.35">
      <c r="A3780" s="3" t="str">
        <f>HYPERLINK("https://edmondsonsupply.com/collections/electricians-tools/products/wiha-tools-70486-6-piece-color-coded-magnetic-nut-setter-sae-set", "https://edmondsonsupply.com/collections/electricians-tools/products/wiha-tools-70486-6-piece-color-coded-magnetic-nut-setter-sae-set")</f>
        <v>https://edmondsonsupply.com/collections/electricians-tools/products/wiha-tools-70486-6-piece-color-coded-magnetic-nut-setter-sae-set</v>
      </c>
      <c r="B3780"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3780" t="s">
        <v>1625</v>
      </c>
      <c r="D3780" t="s">
        <v>4552</v>
      </c>
      <c r="E3780" s="3" t="str">
        <f>HYPERLINK("https://www.amazon.com/Wiha-70487-Magnetic-Setter-Metric/dp/B0BJYV5CKN/ref=sr_1_3?keywords=Wiha+Tools+70486+6+Piece+Color+Coded+Magnetic+Nut+Setter+SAE+Set&amp;qid=1695173976&amp;sr=8-3", "https://www.amazon.com/Wiha-70487-Magnetic-Setter-Metric/dp/B0BJYV5CKN/ref=sr_1_3?keywords=Wiha+Tools+70486+6+Piece+Color+Coded+Magnetic+Nut+Setter+SAE+Set&amp;qid=1695173976&amp;sr=8-3")</f>
        <v>https://www.amazon.com/Wiha-70487-Magnetic-Setter-Metric/dp/B0BJYV5CKN/ref=sr_1_3?keywords=Wiha+Tools+70486+6+Piece+Color+Coded+Magnetic+Nut+Setter+SAE+Set&amp;qid=1695173976&amp;sr=8-3</v>
      </c>
      <c r="F3780" t="s">
        <v>4553</v>
      </c>
      <c r="G3780" t="e">
        <f ca="1">_xludf.IMAGE("https://edmondsonsupply.com/cdn/shop/files/yd5nbnqyuwli1mnwhztl_1000x_327efac2-5e06-44b8-a018-f96fc21e85ad.webp?v=1690908507")</f>
        <v>#NAME?</v>
      </c>
      <c r="H3780" t="e">
        <f ca="1">_xludf.IMAGE("https://m.media-amazon.com/images/I/71ukMY3HPtL._AC_UL320_.jpg")</f>
        <v>#NAME?</v>
      </c>
      <c r="I3780" t="s">
        <v>1628</v>
      </c>
      <c r="J3780">
        <v>39.979999999999997</v>
      </c>
      <c r="K3780" s="4">
        <v>0</v>
      </c>
      <c r="L3780">
        <v>4.5999999999999996</v>
      </c>
      <c r="M3780">
        <v>143</v>
      </c>
      <c r="O3780" t="s">
        <v>25</v>
      </c>
      <c r="P3780" t="s">
        <v>1629</v>
      </c>
      <c r="Q3780" t="s">
        <v>1630</v>
      </c>
    </row>
    <row r="3781" spans="1:17" ht="15.5" x14ac:dyDescent="0.35">
      <c r="A3781"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3781" s="3" t="str">
        <f>HYPERLINK("https://edmondsonsupply.com/products/klein-tools-60615-heavy-duty-knee-pad-sleeves-s-m", "https://edmondsonsupply.com/products/klein-tools-60615-heavy-duty-knee-pad-sleeves-s-m")</f>
        <v>https://edmondsonsupply.com/products/klein-tools-60615-heavy-duty-knee-pad-sleeves-s-m</v>
      </c>
      <c r="C3781" t="s">
        <v>1029</v>
      </c>
      <c r="D3781" t="s">
        <v>891</v>
      </c>
      <c r="E3781" s="3" t="str">
        <f>HYPERLINK("https://www.amazon.com/Klein-Tools-60615-Breathable-Slip-Resistant/dp/B0BWB8VW7J/ref=sr_1_1?keywords=Klein+Tools+60615+Heavy+Duty+Knee+Pad+Sleeves%2C+S%2FM&amp;qid=1695174031&amp;sr=8-1", "https://www.amazon.com/Klein-Tools-60615-Breathable-Slip-Resistant/dp/B0BWB8VW7J/ref=sr_1_1?keywords=Klein+Tools+60615+Heavy+Duty+Knee+Pad+Sleeves%2C+S%2FM&amp;qid=1695174031&amp;sr=8-1")</f>
        <v>https://www.amazon.com/Klein-Tools-60615-Breathable-Slip-Resistant/dp/B0BWB8VW7J/ref=sr_1_1?keywords=Klein+Tools+60615+Heavy+Duty+Knee+Pad+Sleeves%2C+S%2FM&amp;qid=1695174031&amp;sr=8-1</v>
      </c>
      <c r="F3781" t="s">
        <v>892</v>
      </c>
      <c r="G3781" t="e">
        <f ca="1">_xludf.IMAGE("https://edmondsonsupply.com/cdn/shop/products/60511_60611_b_f68c12ff-69e9-4ee5-9cc0-02cf7484e091.jpg?v=1681743847")</f>
        <v>#NAME?</v>
      </c>
      <c r="H3781" t="e">
        <f ca="1">_xludf.IMAGE("https://m.media-amazon.com/images/I/61FKkSJ3xeL._AC_UL320_.jpg")</f>
        <v>#NAME?</v>
      </c>
      <c r="I3781" t="s">
        <v>198</v>
      </c>
      <c r="J3781">
        <v>39.99</v>
      </c>
      <c r="K3781" s="4">
        <v>0</v>
      </c>
      <c r="L3781">
        <v>4</v>
      </c>
      <c r="M3781">
        <v>18</v>
      </c>
      <c r="O3781" t="s">
        <v>25</v>
      </c>
      <c r="P3781" t="s">
        <v>1027</v>
      </c>
      <c r="Q3781" t="s">
        <v>1030</v>
      </c>
    </row>
    <row r="3782" spans="1:17" ht="15.5" x14ac:dyDescent="0.35">
      <c r="A3782"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3782"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3782" t="s">
        <v>6231</v>
      </c>
      <c r="D3782" t="s">
        <v>4791</v>
      </c>
      <c r="E3782" s="3" t="str">
        <f>HYPERLINK("https://www.amazon.com/Klein-Tools-NCVT1PKIT-Electrical-Non-Contact/dp/B0BS5SCNJ1/ref=sr_1_1?keywords=Klein+Tools+NCVT1PKIT+Non-Contact+Voltage+and+GFCI+Receptacle+Test+Kit&amp;qid=1695174067&amp;sr=8-1", "https://www.amazon.com/Klein-Tools-NCVT1PKIT-Electrical-Non-Contact/dp/B0BS5SCNJ1/ref=sr_1_1?keywords=Klein+Tools+NCVT1PKIT+Non-Contact+Voltage+and+GFCI+Receptacle+Test+Kit&amp;qid=1695174067&amp;sr=8-1")</f>
        <v>https://www.amazon.com/Klein-Tools-NCVT1PKIT-Electrical-Non-Contact/dp/B0BS5SCNJ1/ref=sr_1_1?keywords=Klein+Tools+NCVT1PKIT+Non-Contact+Voltage+and+GFCI+Receptacle+Test+Kit&amp;qid=1695174067&amp;sr=8-1</v>
      </c>
      <c r="F3782" t="s">
        <v>4792</v>
      </c>
      <c r="G3782" t="e">
        <f ca="1">_xludf.IMAGE("https://edmondsonsupply.com/cdn/shop/products/ncvt1pkit.jpg?v=1677682920")</f>
        <v>#NAME?</v>
      </c>
      <c r="H3782" t="e">
        <f ca="1">_xludf.IMAGE("https://m.media-amazon.com/images/I/51CD2DGal7L._AC_UL320_.jpg")</f>
        <v>#NAME?</v>
      </c>
      <c r="I3782" t="s">
        <v>859</v>
      </c>
      <c r="J3782">
        <v>24.97</v>
      </c>
      <c r="K3782" s="4">
        <v>0</v>
      </c>
      <c r="L3782">
        <v>4.5</v>
      </c>
      <c r="M3782">
        <v>33</v>
      </c>
      <c r="O3782" t="s">
        <v>25</v>
      </c>
      <c r="P3782" t="s">
        <v>6234</v>
      </c>
      <c r="Q3782" t="s">
        <v>6235</v>
      </c>
    </row>
    <row r="3783" spans="1:17" ht="15.5" x14ac:dyDescent="0.35">
      <c r="A3783" s="3" t="str">
        <f>HYPERLINK("https://edmondsonsupply.com/collections/electricians-tools/products/klein-tools-29610-powerhub-1", "https://edmondsonsupply.com/collections/electricians-tools/products/klein-tools-29610-powerhub-1")</f>
        <v>https://edmondsonsupply.com/collections/electricians-tools/products/klein-tools-29610-powerhub-1</v>
      </c>
      <c r="B3783" s="3" t="str">
        <f>HYPERLINK("https://edmondsonsupply.com/products/klein-tools-29610-powerhub-1", "https://edmondsonsupply.com/products/klein-tools-29610-powerhub-1")</f>
        <v>https://edmondsonsupply.com/products/klein-tools-29610-powerhub-1</v>
      </c>
      <c r="C3783" t="s">
        <v>8172</v>
      </c>
      <c r="D3783" t="s">
        <v>8173</v>
      </c>
      <c r="E3783" s="3" t="str">
        <f>HYPERLINK("https://www.amazon.com/Klein-Tools-29610-Overcurrent-Protection/dp/B0BHTLTWCN/ref=sr_1_1?keywords=Klein+Tools+29610+PowerHub+1&amp;qid=1695174127&amp;sr=8-1", "https://www.amazon.com/Klein-Tools-29610-Overcurrent-Protection/dp/B0BHTLTWCN/ref=sr_1_1?keywords=Klein+Tools+29610+PowerHub+1&amp;qid=1695174127&amp;sr=8-1")</f>
        <v>https://www.amazon.com/Klein-Tools-29610-Overcurrent-Protection/dp/B0BHTLTWCN/ref=sr_1_1?keywords=Klein+Tools+29610+PowerHub+1&amp;qid=1695174127&amp;sr=8-1</v>
      </c>
      <c r="F3783" t="s">
        <v>8174</v>
      </c>
      <c r="G3783" t="e">
        <f ca="1">_xludf.IMAGE("https://edmondsonsupply.com/cdn/shop/products/29610.jpg?v=1667309582")</f>
        <v>#NAME?</v>
      </c>
      <c r="H3783" t="e">
        <f ca="1">_xludf.IMAGE("https://m.media-amazon.com/images/I/514lsNwaPNL._AC_UL320_.jpg")</f>
        <v>#NAME?</v>
      </c>
      <c r="I3783" t="s">
        <v>4625</v>
      </c>
      <c r="J3783">
        <v>249.99</v>
      </c>
      <c r="K3783" s="4">
        <v>0</v>
      </c>
      <c r="L3783">
        <v>4.9000000000000004</v>
      </c>
      <c r="M3783">
        <v>751</v>
      </c>
      <c r="O3783" t="s">
        <v>25</v>
      </c>
      <c r="P3783" t="s">
        <v>8175</v>
      </c>
      <c r="Q3783" t="s">
        <v>8176</v>
      </c>
    </row>
    <row r="3784" spans="1:17" ht="15.5" x14ac:dyDescent="0.35">
      <c r="A3784" s="3" t="str">
        <f>HYPERLINK("https://edmondsonsupply.com/collections/electricians-tools/products/wiha-tools-70486-6-piece-color-coded-magnetic-nut-setter-sae-set", "https://edmondsonsupply.com/collections/electricians-tools/products/wiha-tools-70486-6-piece-color-coded-magnetic-nut-setter-sae-set")</f>
        <v>https://edmondsonsupply.com/collections/electricians-tools/products/wiha-tools-70486-6-piece-color-coded-magnetic-nut-setter-sae-set</v>
      </c>
      <c r="B3784"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3784" t="s">
        <v>1625</v>
      </c>
      <c r="D3784" t="s">
        <v>4556</v>
      </c>
      <c r="E3784" s="3" t="str">
        <f>HYPERLINK("https://www.amazon.com/Wiha-70486-Color-Coded-Setter/dp/B07MPK4Z4X/ref=sr_1_1?keywords=Wiha+Tools+70486+6+Piece+Color+Coded+Magnetic+Nut+Setter+SAE+Set&amp;qid=1695173976&amp;sr=8-1", "https://www.amazon.com/Wiha-70486-Color-Coded-Setter/dp/B07MPK4Z4X/ref=sr_1_1?keywords=Wiha+Tools+70486+6+Piece+Color+Coded+Magnetic+Nut+Setter+SAE+Set&amp;qid=1695173976&amp;sr=8-1")</f>
        <v>https://www.amazon.com/Wiha-70486-Color-Coded-Setter/dp/B07MPK4Z4X/ref=sr_1_1?keywords=Wiha+Tools+70486+6+Piece+Color+Coded+Magnetic+Nut+Setter+SAE+Set&amp;qid=1695173976&amp;sr=8-1</v>
      </c>
      <c r="F3784" t="s">
        <v>4557</v>
      </c>
      <c r="G3784" t="e">
        <f ca="1">_xludf.IMAGE("https://edmondsonsupply.com/cdn/shop/files/yd5nbnqyuwli1mnwhztl_1000x_327efac2-5e06-44b8-a018-f96fc21e85ad.webp?v=1690908507")</f>
        <v>#NAME?</v>
      </c>
      <c r="H3784" t="e">
        <f ca="1">_xludf.IMAGE("https://m.media-amazon.com/images/I/61s54c6bMYL._AC_UL320_.jpg")</f>
        <v>#NAME?</v>
      </c>
      <c r="I3784" t="s">
        <v>1628</v>
      </c>
      <c r="J3784">
        <v>39.979999999999997</v>
      </c>
      <c r="K3784" s="4">
        <v>0</v>
      </c>
      <c r="L3784">
        <v>4.7</v>
      </c>
      <c r="M3784">
        <v>2073</v>
      </c>
      <c r="O3784" t="s">
        <v>25</v>
      </c>
      <c r="P3784" t="s">
        <v>1629</v>
      </c>
      <c r="Q3784" t="s">
        <v>1630</v>
      </c>
    </row>
    <row r="3785" spans="1:17" ht="15.5" x14ac:dyDescent="0.35">
      <c r="A3785" s="3" t="str">
        <f>HYPERLINK("https://edmondsonsupply.com/collections/electricians-tools/products/klein-tools-85616-precision-screwdriver-set-torx%C2%AE-4-piece", "https://edmondsonsupply.com/collections/electricians-tools/products/klein-tools-85616-precision-screwdriver-set-torx%C2%AE-4-piece")</f>
        <v>https://edmondsonsupply.com/collections/electricians-tools/products/klein-tools-85616-precision-screwdriver-set-torx%C2%AE-4-piece</v>
      </c>
      <c r="B3785" s="3" t="str">
        <f>HYPERLINK("https://edmondsonsupply.com/products/klein-tools-85616-precision-screwdriver-set-torx%c2%ae-4-piece", "https://edmondsonsupply.com/products/klein-tools-85616-precision-screwdriver-set-torx%c2%ae-4-piece")</f>
        <v>https://edmondsonsupply.com/products/klein-tools-85616-precision-screwdriver-set-torx%c2%ae-4-piece</v>
      </c>
      <c r="C3785" t="s">
        <v>2012</v>
      </c>
      <c r="D3785" t="s">
        <v>4698</v>
      </c>
      <c r="E3785" s="3" t="str">
        <f>HYPERLINK("https://www.amazon.com/Klein-Tools-85615-Screwdriver-Electronics/dp/B0C1QBJGVD/ref=sr_1_2?keywords=Klein+Tools+85616+Precision+Screwdriver+Set%2C+TORX%C2%AE+4-Piece&amp;qid=1695173993&amp;sr=8-2", "https://www.amazon.com/Klein-Tools-85615-Screwdriver-Electronics/dp/B0C1QBJGVD/ref=sr_1_2?keywords=Klein+Tools+85616+Precision+Screwdriver+Set%2C+TORX%C2%AE+4-Piece&amp;qid=1695173993&amp;sr=8-2")</f>
        <v>https://www.amazon.com/Klein-Tools-85615-Screwdriver-Electronics/dp/B0C1QBJGVD/ref=sr_1_2?keywords=Klein+Tools+85616+Precision+Screwdriver+Set%2C+TORX%C2%AE+4-Piece&amp;qid=1695173993&amp;sr=8-2</v>
      </c>
      <c r="F3785" t="s">
        <v>4699</v>
      </c>
      <c r="G3785" t="e">
        <f ca="1">_xludf.IMAGE("https://edmondsonsupply.com/cdn/shop/files/85616_kit.jpg?v=1689873488")</f>
        <v>#NAME?</v>
      </c>
      <c r="H3785" t="e">
        <f ca="1">_xludf.IMAGE("https://m.media-amazon.com/images/I/51YOOIPbR9L._AC_UL320_.jpg")</f>
        <v>#NAME?</v>
      </c>
      <c r="I3785" t="s">
        <v>893</v>
      </c>
      <c r="J3785">
        <v>19.97</v>
      </c>
      <c r="K3785" s="4">
        <v>0</v>
      </c>
      <c r="L3785">
        <v>4.5999999999999996</v>
      </c>
      <c r="M3785">
        <v>13</v>
      </c>
      <c r="O3785" t="s">
        <v>25</v>
      </c>
      <c r="P3785" t="s">
        <v>894</v>
      </c>
      <c r="Q3785" t="s">
        <v>2015</v>
      </c>
    </row>
    <row r="3786" spans="1:17" ht="15.5" x14ac:dyDescent="0.35">
      <c r="A3786"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3786"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3786" t="s">
        <v>1848</v>
      </c>
      <c r="D3786" t="s">
        <v>956</v>
      </c>
      <c r="E3786" s="3" t="str">
        <f>HYPERLINK("https://www.amazon.com/Klein-60163-Professional-Protective-Resistant/dp/B08B48CZ5V/ref=sr_1_5?keywords=Klein+Tools+60164+Professional+Safety+Glasses%2C+Full+Frame%2C+Gray+Lens&amp;qid=1695173933&amp;sr=8-5", "https://www.amazon.com/Klein-60163-Professional-Protective-Resistant/dp/B08B48CZ5V/ref=sr_1_5?keywords=Klein+Tools+60164+Professional+Safety+Glasses%2C+Full+Frame%2C+Gray+Lens&amp;qid=1695173933&amp;sr=8-5")</f>
        <v>https://www.amazon.com/Klein-60163-Professional-Protective-Resistant/dp/B08B48CZ5V/ref=sr_1_5?keywords=Klein+Tools+60164+Professional+Safety+Glasses%2C+Full+Frame%2C+Gray+Lens&amp;qid=1695173933&amp;sr=8-5</v>
      </c>
      <c r="F3786" t="s">
        <v>957</v>
      </c>
      <c r="G3786" t="e">
        <f ca="1">_xludf.IMAGE("https://edmondsonsupply.com/cdn/shop/products/60164.jpg?v=1633030851")</f>
        <v>#NAME?</v>
      </c>
      <c r="H3786" t="e">
        <f ca="1">_xludf.IMAGE("https://m.media-amazon.com/images/I/41IY8K6EFLL._AC_UL320_.jpg")</f>
        <v>#NAME?</v>
      </c>
      <c r="I3786" t="s">
        <v>276</v>
      </c>
      <c r="J3786">
        <v>14.99</v>
      </c>
      <c r="K3786" s="4">
        <v>0</v>
      </c>
      <c r="L3786">
        <v>4.4000000000000004</v>
      </c>
      <c r="M3786">
        <v>198</v>
      </c>
      <c r="O3786" t="s">
        <v>25</v>
      </c>
      <c r="P3786" t="s">
        <v>277</v>
      </c>
      <c r="Q3786" t="s">
        <v>1849</v>
      </c>
    </row>
    <row r="3787" spans="1:17" ht="15.5" x14ac:dyDescent="0.35">
      <c r="A3787" s="3" t="str">
        <f>HYPERLINK("https://edmondsonsupply.com/collections/electricians-tools/products/klein-tools-ti270-rechargeable-thermal-imager-with-wi-fi", "https://edmondsonsupply.com/collections/electricians-tools/products/klein-tools-ti270-rechargeable-thermal-imager-with-wi-fi")</f>
        <v>https://edmondsonsupply.com/collections/electricians-tools/products/klein-tools-ti270-rechargeable-thermal-imager-with-wi-fi</v>
      </c>
      <c r="B3787" s="3" t="str">
        <f>HYPERLINK("https://edmondsonsupply.com/products/klein-tools-ti270-rechargeable-thermal-imager-with-wi-fi", "https://edmondsonsupply.com/products/klein-tools-ti270-rechargeable-thermal-imager-with-wi-fi")</f>
        <v>https://edmondsonsupply.com/products/klein-tools-ti270-rechargeable-thermal-imager-with-wi-fi</v>
      </c>
      <c r="C3787" t="s">
        <v>4632</v>
      </c>
      <c r="D3787" t="s">
        <v>4633</v>
      </c>
      <c r="E3787" s="3" t="str">
        <f>HYPERLINK("https://www.amazon.com/Klein-Tools-Rechargeable-Transfer-Temperature/dp/B0C6J4B145/ref=sr_1_1?keywords=Klein+Tools+TI270+Rechargeable+Thermal+Imager+with+Wi-Fi&amp;qid=1695173994&amp;sr=8-1", "https://www.amazon.com/Klein-Tools-Rechargeable-Transfer-Temperature/dp/B0C6J4B145/ref=sr_1_1?keywords=Klein+Tools+TI270+Rechargeable+Thermal+Imager+with+Wi-Fi&amp;qid=1695173994&amp;sr=8-1")</f>
        <v>https://www.amazon.com/Klein-Tools-Rechargeable-Transfer-Temperature/dp/B0C6J4B145/ref=sr_1_1?keywords=Klein+Tools+TI270+Rechargeable+Thermal+Imager+with+Wi-Fi&amp;qid=1695173994&amp;sr=8-1</v>
      </c>
      <c r="F3787" t="s">
        <v>4634</v>
      </c>
      <c r="G3787" t="e">
        <f ca="1">_xludf.IMAGE("https://edmondsonsupply.com/cdn/shop/files/ti270.jpg?v=1689789798")</f>
        <v>#NAME?</v>
      </c>
      <c r="H3787" t="e">
        <f ca="1">_xludf.IMAGE("https://m.media-amazon.com/images/I/61Pcwgb0gDL._AC_UY218_.jpg")</f>
        <v>#NAME?</v>
      </c>
      <c r="I3787" t="s">
        <v>42</v>
      </c>
      <c r="J3787">
        <v>399.99</v>
      </c>
      <c r="K3787" s="4">
        <v>0</v>
      </c>
      <c r="L3787">
        <v>4.5</v>
      </c>
      <c r="M3787">
        <v>778</v>
      </c>
      <c r="O3787" t="s">
        <v>25</v>
      </c>
      <c r="P3787" t="s">
        <v>4635</v>
      </c>
      <c r="Q3787" t="s">
        <v>4636</v>
      </c>
    </row>
    <row r="3788" spans="1:17" ht="15.5" x14ac:dyDescent="0.35">
      <c r="A3788"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3788"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3788" t="s">
        <v>1848</v>
      </c>
      <c r="D3788" t="s">
        <v>958</v>
      </c>
      <c r="E3788" s="3" t="str">
        <f>HYPERLINK("https://www.amazon.com/Klein-60164-Professional-Protective-Resistant/dp/B08B4BNSHM/ref=sr_1_1?keywords=Klein+Tools+60164+Professional+Safety+Glasses%2C+Full+Frame%2C+Gray+Lens&amp;qid=1695173933&amp;sr=8-1", "https://www.amazon.com/Klein-60164-Professional-Protective-Resistant/dp/B08B4BNSHM/ref=sr_1_1?keywords=Klein+Tools+60164+Professional+Safety+Glasses%2C+Full+Frame%2C+Gray+Lens&amp;qid=1695173933&amp;sr=8-1")</f>
        <v>https://www.amazon.com/Klein-60164-Professional-Protective-Resistant/dp/B08B4BNSHM/ref=sr_1_1?keywords=Klein+Tools+60164+Professional+Safety+Glasses%2C+Full+Frame%2C+Gray+Lens&amp;qid=1695173933&amp;sr=8-1</v>
      </c>
      <c r="F3788" t="s">
        <v>959</v>
      </c>
      <c r="G3788" t="e">
        <f ca="1">_xludf.IMAGE("https://edmondsonsupply.com/cdn/shop/products/60164.jpg?v=1633030851")</f>
        <v>#NAME?</v>
      </c>
      <c r="H3788" t="e">
        <f ca="1">_xludf.IMAGE("https://m.media-amazon.com/images/I/41bNrH9NnFL._AC_UL320_.jpg")</f>
        <v>#NAME?</v>
      </c>
      <c r="I3788" t="s">
        <v>276</v>
      </c>
      <c r="J3788">
        <v>14.99</v>
      </c>
      <c r="K3788" s="4">
        <v>0</v>
      </c>
      <c r="L3788">
        <v>4.4000000000000004</v>
      </c>
      <c r="M3788">
        <v>463</v>
      </c>
      <c r="O3788" t="s">
        <v>25</v>
      </c>
      <c r="P3788" t="s">
        <v>277</v>
      </c>
      <c r="Q3788" t="s">
        <v>1849</v>
      </c>
    </row>
    <row r="3789" spans="1:17" ht="15.5" x14ac:dyDescent="0.35">
      <c r="A3789" s="3" t="str">
        <f>HYPERLINK("https://edmondsonsupply.com/collections/electricians-tools/products/klein-tools-et20-wifi-borescope-inspection-camera", "https://edmondsonsupply.com/collections/electricians-tools/products/klein-tools-et20-wifi-borescope-inspection-camera")</f>
        <v>https://edmondsonsupply.com/collections/electricians-tools/products/klein-tools-et20-wifi-borescope-inspection-camera</v>
      </c>
      <c r="B3789" s="3" t="str">
        <f>HYPERLINK("https://edmondsonsupply.com/products/klein-tools-et20-wifi-borescope-inspection-camera", "https://edmondsonsupply.com/products/klein-tools-et20-wifi-borescope-inspection-camera")</f>
        <v>https://edmondsonsupply.com/products/klein-tools-et20-wifi-borescope-inspection-camera</v>
      </c>
      <c r="C3789" t="s">
        <v>3049</v>
      </c>
      <c r="D3789" t="s">
        <v>4524</v>
      </c>
      <c r="E3789" s="3" t="str">
        <f>HYPERLINK("https://www.amazon.com/Klein-Tools-ET20-Rechargeable-Lithium-Ion/dp/B07Q78WXFP/ref=sr_1_1?keywords=Klein+Tools+ET20+WiFi+Borescope+Inspection+Camera&amp;qid=1695173958&amp;sr=8-1", "https://www.amazon.com/Klein-Tools-ET20-Rechargeable-Lithium-Ion/dp/B07Q78WXFP/ref=sr_1_1?keywords=Klein+Tools+ET20+WiFi+Borescope+Inspection+Camera&amp;qid=1695173958&amp;sr=8-1")</f>
        <v>https://www.amazon.com/Klein-Tools-ET20-Rechargeable-Lithium-Ion/dp/B07Q78WXFP/ref=sr_1_1?keywords=Klein+Tools+ET20+WiFi+Borescope+Inspection+Camera&amp;qid=1695173958&amp;sr=8-1</v>
      </c>
      <c r="F3789" t="s">
        <v>4525</v>
      </c>
      <c r="G3789" t="e">
        <f ca="1">_xludf.IMAGE("https://edmondsonsupply.com/cdn/shop/products/et20.jpg?v=1587143169")</f>
        <v>#NAME?</v>
      </c>
      <c r="H3789" t="e">
        <f ca="1">_xludf.IMAGE("https://m.media-amazon.com/images/I/61o+L41lX0L._AC_UY218_.jpg")</f>
        <v>#NAME?</v>
      </c>
      <c r="I3789" t="s">
        <v>2224</v>
      </c>
      <c r="J3789">
        <v>99.99</v>
      </c>
      <c r="K3789" s="4">
        <v>0</v>
      </c>
      <c r="L3789">
        <v>4.3</v>
      </c>
      <c r="M3789">
        <v>365</v>
      </c>
      <c r="O3789" t="s">
        <v>25</v>
      </c>
      <c r="P3789" t="s">
        <v>3052</v>
      </c>
      <c r="Q3789" t="s">
        <v>3053</v>
      </c>
    </row>
    <row r="3790" spans="1:17" ht="15.5" x14ac:dyDescent="0.35">
      <c r="A3790"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3790" s="3" t="str">
        <f>HYPERLINK("https://edmondsonsupply.com/products/klein-tools-11046-wire-stripper-cutter-16-26-awg-stranded", "https://edmondsonsupply.com/products/klein-tools-11046-wire-stripper-cutter-16-26-awg-stranded")</f>
        <v>https://edmondsonsupply.com/products/klein-tools-11046-wire-stripper-cutter-16-26-awg-stranded</v>
      </c>
      <c r="C3790" t="s">
        <v>2278</v>
      </c>
      <c r="D3790" t="s">
        <v>4487</v>
      </c>
      <c r="E3790" s="3" t="str">
        <f>HYPERLINK("https://www.amazon.com/Stripper-Stranded-Klein-Tools-11046/dp/B0000302WS/ref=sr_1_1?keywords=Klein+Tools+11046+Wire+Stripper%2FCutter+16-26+AWG+Stranded&amp;qid=1695173951&amp;sr=8-1", "https://www.amazon.com/Stripper-Stranded-Klein-Tools-11046/dp/B0000302WS/ref=sr_1_1?keywords=Klein+Tools+11046+Wire+Stripper%2FCutter+16-26+AWG+Stranded&amp;qid=1695173951&amp;sr=8-1")</f>
        <v>https://www.amazon.com/Stripper-Stranded-Klein-Tools-11046/dp/B0000302WS/ref=sr_1_1?keywords=Klein+Tools+11046+Wire+Stripper%2FCutter+16-26+AWG+Stranded&amp;qid=1695173951&amp;sr=8-1</v>
      </c>
      <c r="F3790" t="s">
        <v>4488</v>
      </c>
      <c r="G3790" t="e">
        <f ca="1">_xludf.IMAGE("https://edmondsonsupply.com/cdn/shop/products/11046.jpg?v=1587147965")</f>
        <v>#NAME?</v>
      </c>
      <c r="H3790" t="e">
        <f ca="1">_xludf.IMAGE("https://m.media-amazon.com/images/I/510IQiIFnZL._AC_UL320_.jpg")</f>
        <v>#NAME?</v>
      </c>
      <c r="I3790" t="s">
        <v>143</v>
      </c>
      <c r="J3790">
        <v>15.97</v>
      </c>
      <c r="K3790" s="4">
        <v>0</v>
      </c>
      <c r="L3790">
        <v>4.7</v>
      </c>
      <c r="M3790">
        <v>3111</v>
      </c>
      <c r="O3790" t="s">
        <v>25</v>
      </c>
      <c r="P3790" t="s">
        <v>2281</v>
      </c>
      <c r="Q3790" t="s">
        <v>2282</v>
      </c>
    </row>
    <row r="3791" spans="1:17" ht="15.5" x14ac:dyDescent="0.35">
      <c r="A3791" s="3" t="str">
        <f>HYPERLINK("https://edmondsonsupply.com/collections/electricians-tools/products/klein-tools-shbkit-grip-it%E2%84%A2-strap-wrench-kit-6-inch-and-12-inch-handles-2-piece", "https://edmondsonsupply.com/collections/electricians-tools/products/klein-tools-shbkit-grip-it%E2%84%A2-strap-wrench-kit-6-inch-and-12-inch-handles-2-piece")</f>
        <v>https://edmondsonsupply.com/collections/electricians-tools/products/klein-tools-shbkit-grip-it%E2%84%A2-strap-wrench-kit-6-inch-and-12-inch-handles-2-piece</v>
      </c>
      <c r="B3791" s="3" t="str">
        <f>HYPERLINK("https://edmondsonsupply.com/products/klein-tools-shbkit-grip-it%e2%84%a2-strap-wrench-kit-6-inch-and-12-inch-handles-2-piece", "https://edmondsonsupply.com/products/klein-tools-shbkit-grip-it%e2%84%a2-strap-wrench-kit-6-inch-and-12-inch-handles-2-piece")</f>
        <v>https://edmondsonsupply.com/products/klein-tools-shbkit-grip-it%e2%84%a2-strap-wrench-kit-6-inch-and-12-inch-handles-2-piece</v>
      </c>
      <c r="C3791" t="s">
        <v>4647</v>
      </c>
      <c r="D3791" t="s">
        <v>4648</v>
      </c>
      <c r="E3791" s="3" t="str">
        <f>HYPERLINK("https://www.amazon.com/Klein-Tools-SHBKIT-Adjustable-Wrenches/dp/B0C1ZXXMN5/ref=sr_1_1?keywords=Klein+Tools+SHBKIT+Grip-It%E2%84%A2+Strap+Wrench+Kit%2C+6-Inch+and+12-Inch+Handles%2C+2-Piece&amp;qid=1695173990&amp;sr=8-1", "https://www.amazon.com/Klein-Tools-SHBKIT-Adjustable-Wrenches/dp/B0C1ZXXMN5/ref=sr_1_1?keywords=Klein+Tools+SHBKIT+Grip-It%E2%84%A2+Strap+Wrench+Kit%2C+6-Inch+and+12-Inch+Handles%2C+2-Piece&amp;qid=1695173990&amp;sr=8-1")</f>
        <v>https://www.amazon.com/Klein-Tools-SHBKIT-Adjustable-Wrenches/dp/B0C1ZXXMN5/ref=sr_1_1?keywords=Klein+Tools+SHBKIT+Grip-It%E2%84%A2+Strap+Wrench+Kit%2C+6-Inch+and+12-Inch+Handles%2C+2-Piece&amp;qid=1695173990&amp;sr=8-1</v>
      </c>
      <c r="F3791" t="s">
        <v>4649</v>
      </c>
      <c r="G3791" t="e">
        <f ca="1">_xludf.IMAGE("https://edmondsonsupply.com/cdn/shop/files/shbkit_b.jpg?v=1689782457")</f>
        <v>#NAME?</v>
      </c>
      <c r="H3791" t="e">
        <f ca="1">_xludf.IMAGE("https://m.media-amazon.com/images/I/51j2kkzuqAL._AC_UL320_.jpg")</f>
        <v>#NAME?</v>
      </c>
      <c r="I3791" t="s">
        <v>26</v>
      </c>
      <c r="J3791">
        <v>29.99</v>
      </c>
      <c r="K3791" s="4">
        <v>0</v>
      </c>
      <c r="L3791">
        <v>4.2</v>
      </c>
      <c r="M3791">
        <v>9</v>
      </c>
      <c r="O3791" t="s">
        <v>25</v>
      </c>
      <c r="P3791" t="s">
        <v>4650</v>
      </c>
      <c r="Q3791" t="s">
        <v>4651</v>
      </c>
    </row>
    <row r="3792" spans="1:17" ht="15.5" x14ac:dyDescent="0.35">
      <c r="A3792"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3792" s="3" t="str">
        <f>HYPERLINK("https://edmondsonsupply.com/products/diablo-tools-d0824x-8-1-4-in-x-24-tooth-framing-saw-blade", "https://edmondsonsupply.com/products/diablo-tools-d0824x-8-1-4-in-x-24-tooth-framing-saw-blade")</f>
        <v>https://edmondsonsupply.com/products/diablo-tools-d0824x-8-1-4-in-x-24-tooth-framing-saw-blade</v>
      </c>
      <c r="C3792" t="s">
        <v>6161</v>
      </c>
      <c r="D3792" t="s">
        <v>8177</v>
      </c>
      <c r="E3792" s="3" t="str">
        <f>HYPERLINK("https://www.amazon.com/Freud-D0824X-Diablo-4-Inch-Framing/dp/B00008WQ2K/ref=sr_1_2?keywords=Diablo+Tools+D0824X+8-1%2F4+in.+x+24+Tooth+Framing+Saw+Blade&amp;qid=1695174053&amp;sr=8-2", "https://www.amazon.com/Freud-D0824X-Diablo-4-Inch-Framing/dp/B00008WQ2K/ref=sr_1_2?keywords=Diablo+Tools+D0824X+8-1%2F4+in.+x+24+Tooth+Framing+Saw+Blade&amp;qid=1695174053&amp;sr=8-2")</f>
        <v>https://www.amazon.com/Freud-D0824X-Diablo-4-Inch-Framing/dp/B00008WQ2K/ref=sr_1_2?keywords=Diablo+Tools+D0824X+8-1%2F4+in.+x+24+Tooth+Framing+Saw+Blade&amp;qid=1695174053&amp;sr=8-2</v>
      </c>
      <c r="F3792" t="s">
        <v>8178</v>
      </c>
      <c r="G3792" t="e">
        <f ca="1">_xludf.IMAGE("https://edmondsonsupply.com/cdn/shop/products/waqxzlwfclzed6nt6ziy.webp?v=1678979454")</f>
        <v>#NAME?</v>
      </c>
      <c r="H3792" t="e">
        <f ca="1">_xludf.IMAGE("https://m.media-amazon.com/images/I/61+RISIzdHL._AC_UL320_.jpg")</f>
        <v>#NAME?</v>
      </c>
      <c r="I3792" t="s">
        <v>6164</v>
      </c>
      <c r="J3792">
        <v>18.97</v>
      </c>
      <c r="K3792" s="4">
        <v>0</v>
      </c>
      <c r="L3792">
        <v>4.7</v>
      </c>
      <c r="M3792">
        <v>134</v>
      </c>
      <c r="O3792" t="s">
        <v>25</v>
      </c>
      <c r="P3792" t="s">
        <v>6165</v>
      </c>
      <c r="Q3792" t="s">
        <v>6166</v>
      </c>
    </row>
    <row r="3793" spans="1:17" ht="15.5" x14ac:dyDescent="0.35">
      <c r="A3793"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3793"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3793" t="s">
        <v>7055</v>
      </c>
      <c r="D3793" t="s">
        <v>3271</v>
      </c>
      <c r="E3793" s="3" t="str">
        <f>HYPERLINK("https://www.amazon.com/Klein-Tools-11055RINS-Insulated-Stripper/dp/B0BFZBQ9XF/ref=sr_1_1?keywords=Klein+Tools+11055RINS+Insulated+Klein-Kurve%C2%AE+Wire+Stripper+and+Cutter&amp;qid=1695174134&amp;sr=8-1", "https://www.amazon.com/Klein-Tools-11055RINS-Insulated-Stripper/dp/B0BFZBQ9XF/ref=sr_1_1?keywords=Klein+Tools+11055RINS+Insulated+Klein-Kurve%C2%AE+Wire+Stripper+and+Cutter&amp;qid=1695174134&amp;sr=8-1")</f>
        <v>https://www.amazon.com/Klein-Tools-11055RINS-Insulated-Stripper/dp/B0BFZBQ9XF/ref=sr_1_1?keywords=Klein+Tools+11055RINS+Insulated+Klein-Kurve%C2%AE+Wire+Stripper+and+Cutter&amp;qid=1695174134&amp;sr=8-1</v>
      </c>
      <c r="F3793" t="s">
        <v>3272</v>
      </c>
      <c r="G3793" t="e">
        <f ca="1">_xludf.IMAGE("https://edmondsonsupply.com/cdn/shop/products/11055rins.jpg?v=1667236979")</f>
        <v>#NAME?</v>
      </c>
      <c r="H3793" t="e">
        <f ca="1">_xludf.IMAGE("https://m.media-amazon.com/images/I/41Pemveg6bL._AC_UL320_.jpg")</f>
        <v>#NAME?</v>
      </c>
      <c r="I3793" t="s">
        <v>824</v>
      </c>
      <c r="J3793">
        <v>29.97</v>
      </c>
      <c r="K3793" s="4">
        <v>0</v>
      </c>
      <c r="L3793">
        <v>4.5999999999999996</v>
      </c>
      <c r="M3793">
        <v>55</v>
      </c>
      <c r="O3793" t="s">
        <v>25</v>
      </c>
      <c r="P3793" t="s">
        <v>562</v>
      </c>
      <c r="Q3793" t="s">
        <v>7056</v>
      </c>
    </row>
    <row r="3794" spans="1:17" ht="15.5" x14ac:dyDescent="0.35">
      <c r="A3794" s="3" t="str">
        <f>HYPERLINK("https://edmondsonsupply.com/collections/electricians-tools/products/klein-tools-31906-hole-saw-arbor-with-pins-7-16-inch", "https://edmondsonsupply.com/collections/electricians-tools/products/klein-tools-31906-hole-saw-arbor-with-pins-7-16-inch")</f>
        <v>https://edmondsonsupply.com/collections/electricians-tools/products/klein-tools-31906-hole-saw-arbor-with-pins-7-16-inch</v>
      </c>
      <c r="B3794" s="3" t="str">
        <f>HYPERLINK("https://edmondsonsupply.com/products/klein-tools-31906-hole-saw-arbor-with-pins-7-16-inch", "https://edmondsonsupply.com/products/klein-tools-31906-hole-saw-arbor-with-pins-7-16-inch")</f>
        <v>https://edmondsonsupply.com/products/klein-tools-31906-hole-saw-arbor-with-pins-7-16-inch</v>
      </c>
      <c r="C3794" t="s">
        <v>6792</v>
      </c>
      <c r="D3794" t="s">
        <v>6792</v>
      </c>
      <c r="E3794" s="3" t="str">
        <f>HYPERLINK("https://www.amazon.com/Arbor-16-Inch-Klein-Tools-31906/dp/B0198751UO/ref=sr_1_1?keywords=Klein+Tools+31906+Hole+Saw+Arbor+With+Pins%2C+7%2F16-Inch&amp;qid=1695174136&amp;sr=8-1", "https://www.amazon.com/Arbor-16-Inch-Klein-Tools-31906/dp/B0198751UO/ref=sr_1_1?keywords=Klein+Tools+31906+Hole+Saw+Arbor+With+Pins%2C+7%2F16-Inch&amp;qid=1695174136&amp;sr=8-1")</f>
        <v>https://www.amazon.com/Arbor-16-Inch-Klein-Tools-31906/dp/B0198751UO/ref=sr_1_1?keywords=Klein+Tools+31906+Hole+Saw+Arbor+With+Pins%2C+7%2F16-Inch&amp;qid=1695174136&amp;sr=8-1</v>
      </c>
      <c r="F3794" t="s">
        <v>6867</v>
      </c>
      <c r="G3794" t="e">
        <f ca="1">_xludf.IMAGE("https://edmondsonsupply.com/cdn/shop/products/31906.jpg?v=1665670390")</f>
        <v>#NAME?</v>
      </c>
      <c r="H3794" t="e">
        <f ca="1">_xludf.IMAGE("https://m.media-amazon.com/images/I/51WjO5DQ0bL._AC_UL320_.jpg")</f>
        <v>#NAME?</v>
      </c>
      <c r="I3794" t="s">
        <v>252</v>
      </c>
      <c r="J3794">
        <v>15.99</v>
      </c>
      <c r="K3794" s="4">
        <v>0</v>
      </c>
      <c r="L3794">
        <v>4.5</v>
      </c>
      <c r="M3794">
        <v>233</v>
      </c>
      <c r="O3794" t="s">
        <v>25</v>
      </c>
      <c r="P3794" t="s">
        <v>6795</v>
      </c>
      <c r="Q3794" t="s">
        <v>6796</v>
      </c>
    </row>
    <row r="3795" spans="1:17" ht="15.5" x14ac:dyDescent="0.35">
      <c r="A3795" s="3" t="str">
        <f>HYPERLINK("https://edmondsonsupply.com/collections/electricians-tools/products/klein-tools-s12hb-grip-it%E2%84%A2-strap-wrench-1-1-2-to-5-inch-12-inch-handle", "https://edmondsonsupply.com/collections/electricians-tools/products/klein-tools-s12hb-grip-it%E2%84%A2-strap-wrench-1-1-2-to-5-inch-12-inch-handle")</f>
        <v>https://edmondsonsupply.com/collections/electricians-tools/products/klein-tools-s12hb-grip-it%E2%84%A2-strap-wrench-1-1-2-to-5-inch-12-inch-handle</v>
      </c>
      <c r="B3795" s="3" t="str">
        <f>HYPERLINK("https://edmondsonsupply.com/products/klein-tools-s12hb-grip-it%e2%84%a2-strap-wrench-1-1-2-to-5-inch-12-inch-handle", "https://edmondsonsupply.com/products/klein-tools-s12hb-grip-it%e2%84%a2-strap-wrench-1-1-2-to-5-inch-12-inch-handle")</f>
        <v>https://edmondsonsupply.com/products/klein-tools-s12hb-grip-it%e2%84%a2-strap-wrench-1-1-2-to-5-inch-12-inch-handle</v>
      </c>
      <c r="C3795" t="s">
        <v>3065</v>
      </c>
      <c r="D3795" t="s">
        <v>4688</v>
      </c>
      <c r="E3795" s="3" t="str">
        <f>HYPERLINK("https://www.amazon.com/Klein-Tools-S12HB-Adjustable-Adjusts/dp/B0BN4LK3NS/ref=sr_1_1?keywords=Klein+Tools+S12HB+Grip-It%E2%84%A2+Strap+Wrench%2C+1-1%2F2+to+5-Inch%2C+12-Inch+Handle&amp;qid=1695173989&amp;sr=8-1", "https://www.amazon.com/Klein-Tools-S12HB-Adjustable-Adjusts/dp/B0BN4LK3NS/ref=sr_1_1?keywords=Klein+Tools+S12HB+Grip-It%E2%84%A2+Strap+Wrench%2C+1-1%2F2+to+5-Inch%2C+12-Inch+Handle&amp;qid=1695173989&amp;sr=8-1")</f>
        <v>https://www.amazon.com/Klein-Tools-S12HB-Adjustable-Adjusts/dp/B0BN4LK3NS/ref=sr_1_1?keywords=Klein+Tools+S12HB+Grip-It%E2%84%A2+Strap+Wrench%2C+1-1%2F2+to+5-Inch%2C+12-Inch+Handle&amp;qid=1695173989&amp;sr=8-1</v>
      </c>
      <c r="F3795" t="s">
        <v>4689</v>
      </c>
      <c r="G3795" t="e">
        <f ca="1">_xludf.IMAGE("https://edmondsonsupply.com/cdn/shop/files/s12hb_b.jpg?v=1689783564")</f>
        <v>#NAME?</v>
      </c>
      <c r="H3795" t="e">
        <f ca="1">_xludf.IMAGE("https://m.media-amazon.com/images/I/51-eUuVyB-L._AC_UL320_.jpg")</f>
        <v>#NAME?</v>
      </c>
      <c r="I3795" t="s">
        <v>577</v>
      </c>
      <c r="J3795">
        <v>19.989999999999998</v>
      </c>
      <c r="K3795" s="4">
        <v>0</v>
      </c>
      <c r="L3795">
        <v>4.2</v>
      </c>
      <c r="M3795">
        <v>9</v>
      </c>
      <c r="O3795" t="s">
        <v>25</v>
      </c>
      <c r="P3795" t="s">
        <v>3068</v>
      </c>
      <c r="Q3795" t="s">
        <v>3069</v>
      </c>
    </row>
    <row r="3796" spans="1:17" ht="15.5" x14ac:dyDescent="0.35">
      <c r="A3796" s="3" t="str">
        <f>HYPERLINK("https://edmondsonsupply.com/collections/electricians-tools/products/klein-tools-69359-lead-adapters-red-and-black-3-foot", "https://edmondsonsupply.com/collections/electricians-tools/products/klein-tools-69359-lead-adapters-red-and-black-3-foot")</f>
        <v>https://edmondsonsupply.com/collections/electricians-tools/products/klein-tools-69359-lead-adapters-red-and-black-3-foot</v>
      </c>
      <c r="B3796" s="3" t="str">
        <f>HYPERLINK("https://edmondsonsupply.com/products/klein-tools-69359-lead-adapters-red-and-black-3-foot", "https://edmondsonsupply.com/products/klein-tools-69359-lead-adapters-red-and-black-3-foot")</f>
        <v>https://edmondsonsupply.com/products/klein-tools-69359-lead-adapters-red-and-black-3-foot</v>
      </c>
      <c r="C3796" t="s">
        <v>8179</v>
      </c>
      <c r="D3796" t="s">
        <v>8180</v>
      </c>
      <c r="E3796" s="3" t="str">
        <f>HYPERLINK("https://www.amazon.com/Klein-Tools-69359-Banana-Type-Connectors/dp/B0BN2HNCLV/ref=sr_1_1?keywords=Klein+Tools+69359+Lead+Adapters%2C+Red+and+Black%2C+3-Foot&amp;qid=1695174097&amp;sr=8-1", "https://www.amazon.com/Klein-Tools-69359-Banana-Type-Connectors/dp/B0BN2HNCLV/ref=sr_1_1?keywords=Klein+Tools+69359+Lead+Adapters%2C+Red+and+Black%2C+3-Foot&amp;qid=1695174097&amp;sr=8-1")</f>
        <v>https://www.amazon.com/Klein-Tools-69359-Banana-Type-Connectors/dp/B0BN2HNCLV/ref=sr_1_1?keywords=Klein+Tools+69359+Lead+Adapters%2C+Red+and+Black%2C+3-Foot&amp;qid=1695174097&amp;sr=8-1</v>
      </c>
      <c r="F3796" t="s">
        <v>8181</v>
      </c>
      <c r="G3796" t="e">
        <f ca="1">_xludf.IMAGE("https://edmondsonsupply.com/cdn/shop/products/69359.jpg?v=1674490100")</f>
        <v>#NAME?</v>
      </c>
      <c r="H3796" t="e">
        <f ca="1">_xludf.IMAGE("https://m.media-amazon.com/images/I/51TpShexYpL._AC_UL320_.jpg")</f>
        <v>#NAME?</v>
      </c>
      <c r="I3796" t="s">
        <v>577</v>
      </c>
      <c r="J3796">
        <v>19.989999999999998</v>
      </c>
      <c r="K3796" s="4">
        <v>0</v>
      </c>
      <c r="L3796">
        <v>5</v>
      </c>
      <c r="M3796">
        <v>1</v>
      </c>
      <c r="O3796" t="s">
        <v>25</v>
      </c>
      <c r="P3796" t="s">
        <v>8182</v>
      </c>
      <c r="Q3796" t="s">
        <v>8183</v>
      </c>
    </row>
    <row r="3797" spans="1:17" ht="15.5" x14ac:dyDescent="0.35">
      <c r="A3797" s="3" t="str">
        <f>HYPERLINK("https://edmondsonsupply.com/collections/electricians-tools/products/klein-tools-55917-tradesman-pro%E2%84%A2-modular-drill-pouch-with-belt-clip", "https://edmondsonsupply.com/collections/electricians-tools/products/klein-tools-55917-tradesman-pro%E2%84%A2-modular-drill-pouch-with-belt-clip")</f>
        <v>https://edmondsonsupply.com/collections/electricians-tools/products/klein-tools-55917-tradesman-pro%E2%84%A2-modular-drill-pouch-with-belt-clip</v>
      </c>
      <c r="B3797" s="3" t="str">
        <f>HYPERLINK("https://edmondsonsupply.com/products/klein-tools-55917-tradesman-pro%e2%84%a2-modular-drill-pouch-with-belt-clip", "https://edmondsonsupply.com/products/klein-tools-55917-tradesman-pro%e2%84%a2-modular-drill-pouch-with-belt-clip")</f>
        <v>https://edmondsonsupply.com/products/klein-tools-55917-tradesman-pro%e2%84%a2-modular-drill-pouch-with-belt-clip</v>
      </c>
      <c r="C3797" t="s">
        <v>568</v>
      </c>
      <c r="D3797" t="s">
        <v>569</v>
      </c>
      <c r="E3797" s="3" t="str">
        <f>HYPERLINK("https://www.amazon.com/Klein-Tools-55917-Tradesman-Modular/dp/B084X5633G/ref=sr_1_1?keywords=Klein+Tools+55917+Tradesman+Pro%E2%84%A2+Modular+Drill+Pouch+with+Belt+Clip&amp;qid=1695173936&amp;sr=8-1", "https://www.amazon.com/Klein-Tools-55917-Tradesman-Modular/dp/B084X5633G/ref=sr_1_1?keywords=Klein+Tools+55917+Tradesman+Pro%E2%84%A2+Modular+Drill+Pouch+with+Belt+Clip&amp;qid=1695173936&amp;sr=8-1")</f>
        <v>https://www.amazon.com/Klein-Tools-55917-Tradesman-Modular/dp/B084X5633G/ref=sr_1_1?keywords=Klein+Tools+55917+Tradesman+Pro%E2%84%A2+Modular+Drill+Pouch+with+Belt+Clip&amp;qid=1695173936&amp;sr=8-1</v>
      </c>
      <c r="F3797" t="s">
        <v>570</v>
      </c>
      <c r="G3797" t="e">
        <f ca="1">_xludf.IMAGE("https://edmondsonsupply.com/cdn/shop/products/55917.jpg?v=1587143420")</f>
        <v>#NAME?</v>
      </c>
      <c r="H3797" t="e">
        <f ca="1">_xludf.IMAGE("https://m.media-amazon.com/images/I/61kAia47weL._AC_UL320_.jpg")</f>
        <v>#NAME?</v>
      </c>
      <c r="I3797" t="s">
        <v>571</v>
      </c>
      <c r="J3797">
        <v>34.99</v>
      </c>
      <c r="K3797" s="4">
        <v>0</v>
      </c>
      <c r="L3797">
        <v>4.4000000000000004</v>
      </c>
      <c r="M3797">
        <v>636</v>
      </c>
      <c r="O3797" t="s">
        <v>25</v>
      </c>
      <c r="P3797" t="s">
        <v>572</v>
      </c>
      <c r="Q3797" t="s">
        <v>573</v>
      </c>
    </row>
    <row r="3798" spans="1:17" ht="15.5" x14ac:dyDescent="0.35">
      <c r="A3798" s="3" t="str">
        <f>HYPERLINK("https://edmondsonsupply.com/collections/electricians-tools/products/wiha-tools-66981-13-piece-ball-end-color-coded-hex-l-key-set-inch", "https://edmondsonsupply.com/collections/electricians-tools/products/wiha-tools-66981-13-piece-ball-end-color-coded-hex-l-key-set-inch")</f>
        <v>https://edmondsonsupply.com/collections/electricians-tools/products/wiha-tools-66981-13-piece-ball-end-color-coded-hex-l-key-set-inch</v>
      </c>
      <c r="B3798"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3798" t="s">
        <v>4747</v>
      </c>
      <c r="D3798" t="s">
        <v>4748</v>
      </c>
      <c r="E3798" s="3" t="str">
        <f>HYPERLINK("https://www.amazon.com/Wiha-66981-Color-Coded-Pieces/dp/B085G4FPTW/ref=sr_1_1?keywords=Wiha+Tools+66981+13+Piece+Ball+End+Color+Coded+Hex+L-Key+Set+-+Inch&amp;qid=1695173978&amp;sr=8-1", "https://www.amazon.com/Wiha-66981-Color-Coded-Pieces/dp/B085G4FPTW/ref=sr_1_1?keywords=Wiha+Tools+66981+13+Piece+Ball+End+Color+Coded+Hex+L-Key+Set+-+Inch&amp;qid=1695173978&amp;sr=8-1")</f>
        <v>https://www.amazon.com/Wiha-66981-Color-Coded-Pieces/dp/B085G4FPTW/ref=sr_1_1?keywords=Wiha+Tools+66981+13+Piece+Ball+End+Color+Coded+Hex+L-Key+Set+-+Inch&amp;qid=1695173978&amp;sr=8-1</v>
      </c>
      <c r="F3798" t="s">
        <v>4749</v>
      </c>
      <c r="G3798" t="e">
        <f ca="1">_xludf.IMAGE("https://edmondsonsupply.com/cdn/shop/files/d46e6f2ecefba25ae78922fd12be8f1dc56b6ee6_1000x_1d9d5bc7-c590-4e82-817a-f70a00b88949.webp?v=1690834995")</f>
        <v>#NAME?</v>
      </c>
      <c r="H3798" t="e">
        <f ca="1">_xludf.IMAGE("https://m.media-amazon.com/images/I/71+g9-ZpGVL._AC_UL320_.jpg")</f>
        <v>#NAME?</v>
      </c>
      <c r="I3798" t="s">
        <v>4750</v>
      </c>
      <c r="J3798">
        <v>53.42</v>
      </c>
      <c r="K3798" s="4">
        <v>0</v>
      </c>
      <c r="L3798">
        <v>4.8</v>
      </c>
      <c r="M3798">
        <v>346</v>
      </c>
      <c r="O3798" t="s">
        <v>25</v>
      </c>
      <c r="P3798" t="s">
        <v>4751</v>
      </c>
      <c r="Q3798" t="s">
        <v>4752</v>
      </c>
    </row>
    <row r="3799" spans="1:17" ht="15.5" x14ac:dyDescent="0.35">
      <c r="A3799" s="3" t="str">
        <f>HYPERLINK("https://edmondsonsupply.com/collections/electricians-tools/products/klein-tools-32217-drill-tap-tool-kit-8-piece", "https://edmondsonsupply.com/collections/electricians-tools/products/klein-tools-32217-drill-tap-tool-kit-8-piece")</f>
        <v>https://edmondsonsupply.com/collections/electricians-tools/products/klein-tools-32217-drill-tap-tool-kit-8-piece</v>
      </c>
      <c r="B3799" s="3" t="str">
        <f>HYPERLINK("https://edmondsonsupply.com/products/klein-tools-32217-drill-tap-tool-kit-8-piece", "https://edmondsonsupply.com/products/klein-tools-32217-drill-tap-tool-kit-8-piece")</f>
        <v>https://edmondsonsupply.com/products/klein-tools-32217-drill-tap-tool-kit-8-piece</v>
      </c>
      <c r="C3799" t="s">
        <v>4506</v>
      </c>
      <c r="D3799" t="s">
        <v>4507</v>
      </c>
      <c r="E3799" s="3" t="str">
        <f>HYPERLINK("https://www.amazon.com/Tapping-Connect-Tools-Klein-32217/dp/B00SGMHU7U/ref=sr_1_1?keywords=Klein+Tools+32217+Drill+Tap+Tool+Kit%2C+8-Piece&amp;qid=1695173936&amp;sr=8-1", "https://www.amazon.com/Tapping-Connect-Tools-Klein-32217/dp/B00SGMHU7U/ref=sr_1_1?keywords=Klein+Tools+32217+Drill+Tap+Tool+Kit%2C+8-Piece&amp;qid=1695173936&amp;sr=8-1")</f>
        <v>https://www.amazon.com/Tapping-Connect-Tools-Klein-32217/dp/B00SGMHU7U/ref=sr_1_1?keywords=Klein+Tools+32217+Drill+Tap+Tool+Kit%2C+8-Piece&amp;qid=1695173936&amp;sr=8-1</v>
      </c>
      <c r="F3799" t="s">
        <v>4508</v>
      </c>
      <c r="G3799" t="e">
        <f ca="1">_xludf.IMAGE("https://edmondsonsupply.com/cdn/shop/products/32217.jpg?v=1587150239")</f>
        <v>#NAME?</v>
      </c>
      <c r="H3799" t="e">
        <f ca="1">_xludf.IMAGE("https://m.media-amazon.com/images/I/51y50+-mANL._AC_UL320_.jpg")</f>
        <v>#NAME?</v>
      </c>
      <c r="I3799" t="s">
        <v>1931</v>
      </c>
      <c r="J3799">
        <v>49.99</v>
      </c>
      <c r="K3799" s="4">
        <v>0</v>
      </c>
      <c r="L3799">
        <v>4.5999999999999996</v>
      </c>
      <c r="M3799">
        <v>321</v>
      </c>
      <c r="O3799" t="s">
        <v>25</v>
      </c>
      <c r="P3799" t="s">
        <v>4509</v>
      </c>
      <c r="Q3799" t="s">
        <v>4510</v>
      </c>
    </row>
    <row r="3800" spans="1:17" ht="15.5" x14ac:dyDescent="0.35">
      <c r="A3800" s="3" t="str">
        <f>HYPERLINK("https://edmondsonsupply.com/collections/electricians-tools/products/klein-tools-25951-step-bit-kit-spiral-double-fluted-vaco-3-piece", "https://edmondsonsupply.com/collections/electricians-tools/products/klein-tools-25951-step-bit-kit-spiral-double-fluted-vaco-3-piece")</f>
        <v>https://edmondsonsupply.com/collections/electricians-tools/products/klein-tools-25951-step-bit-kit-spiral-double-fluted-vaco-3-piece</v>
      </c>
      <c r="B3800" s="3" t="str">
        <f>HYPERLINK("https://edmondsonsupply.com/products/klein-tools-25951-step-bit-kit-spiral-double-fluted-vaco-3-piece", "https://edmondsonsupply.com/products/klein-tools-25951-step-bit-kit-spiral-double-fluted-vaco-3-piece")</f>
        <v>https://edmondsonsupply.com/products/klein-tools-25951-step-bit-kit-spiral-double-fluted-vaco-3-piece</v>
      </c>
      <c r="C3800" t="s">
        <v>8184</v>
      </c>
      <c r="D3800" t="s">
        <v>1979</v>
      </c>
      <c r="E3800" s="3" t="str">
        <f>HYPERLINK("https://www.amazon.com/Klein-Tools-25951-Electricians-Titanium/dp/B0BLFRJLDX/ref=sr_1_1?keywords=Klein+Tools+25951+Step+Bit+Kit%2C+Spiral+Double-Fluted%2C+VACO%2C+3-Piece&amp;qid=1695174103&amp;sr=8-1", "https://www.amazon.com/Klein-Tools-25951-Electricians-Titanium/dp/B0BLFRJLDX/ref=sr_1_1?keywords=Klein+Tools+25951+Step+Bit+Kit%2C+Spiral+Double-Fluted%2C+VACO%2C+3-Piece&amp;qid=1695174103&amp;sr=8-1")</f>
        <v>https://www.amazon.com/Klein-Tools-25951-Electricians-Titanium/dp/B0BLFRJLDX/ref=sr_1_1?keywords=Klein+Tools+25951+Step+Bit+Kit%2C+Spiral+Double-Fluted%2C+VACO%2C+3-Piece&amp;qid=1695174103&amp;sr=8-1</v>
      </c>
      <c r="F3800" t="s">
        <v>1980</v>
      </c>
      <c r="G3800" t="e">
        <f ca="1">_xludf.IMAGE("https://edmondsonsupply.com/cdn/shop/products/25951_b.jpg?v=1670520155")</f>
        <v>#NAME?</v>
      </c>
      <c r="H3800" t="e">
        <f ca="1">_xludf.IMAGE("https://m.media-amazon.com/images/I/61dZd3WvlgL._AC_UY218_.jpg")</f>
        <v>#NAME?</v>
      </c>
      <c r="I3800" t="s">
        <v>2224</v>
      </c>
      <c r="J3800">
        <v>99.99</v>
      </c>
      <c r="K3800" s="4">
        <v>0</v>
      </c>
      <c r="L3800">
        <v>3.8</v>
      </c>
      <c r="M3800">
        <v>6</v>
      </c>
      <c r="O3800" t="s">
        <v>25</v>
      </c>
      <c r="P3800" t="s">
        <v>2225</v>
      </c>
      <c r="Q3800" t="s">
        <v>8185</v>
      </c>
    </row>
    <row r="3801" spans="1:17" ht="15.5" x14ac:dyDescent="0.35">
      <c r="A3801"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3801"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3801" t="s">
        <v>960</v>
      </c>
      <c r="D3801" t="s">
        <v>882</v>
      </c>
      <c r="E3801" s="3" t="str">
        <f>HYPERLINK("https://www.amazon.com/Klein-Tools-60539-Professional-Protective/dp/B0BLQ6F4MQ/ref=sr_1_1?keywords=Klein+Tools+60539+Professional+Safety+Glasses%2C+Full+Frame%2C+Polarized+Lens&amp;qid=1695174102&amp;sr=8-1", "https://www.amazon.com/Klein-Tools-60539-Professional-Protective/dp/B0BLQ6F4MQ/ref=sr_1_1?keywords=Klein+Tools+60539+Professional+Safety+Glasses%2C+Full+Frame%2C+Polarized+Lens&amp;qid=1695174102&amp;sr=8-1")</f>
        <v>https://www.amazon.com/Klein-Tools-60539-Professional-Protective/dp/B0BLQ6F4MQ/ref=sr_1_1?keywords=Klein+Tools+60539+Professional+Safety+Glasses%2C+Full+Frame%2C+Polarized+Lens&amp;qid=1695174102&amp;sr=8-1</v>
      </c>
      <c r="F3801" t="s">
        <v>883</v>
      </c>
      <c r="G3801" t="e">
        <f ca="1">_xludf.IMAGE("https://edmondsonsupply.com/cdn/shop/products/60539.jpg?v=1670948006")</f>
        <v>#NAME?</v>
      </c>
      <c r="H3801" t="e">
        <f ca="1">_xludf.IMAGE("https://m.media-amazon.com/images/I/41z93jotzdL._AC_UL320_.jpg")</f>
        <v>#NAME?</v>
      </c>
      <c r="I3801" t="s">
        <v>26</v>
      </c>
      <c r="J3801">
        <v>29.99</v>
      </c>
      <c r="K3801" s="4">
        <v>0</v>
      </c>
      <c r="L3801">
        <v>4.4000000000000004</v>
      </c>
      <c r="M3801">
        <v>11</v>
      </c>
      <c r="O3801" t="s">
        <v>25</v>
      </c>
      <c r="P3801" t="s">
        <v>562</v>
      </c>
      <c r="Q3801" t="s">
        <v>961</v>
      </c>
    </row>
    <row r="3802" spans="1:17" ht="15.5" x14ac:dyDescent="0.35">
      <c r="A3802"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3802" s="3" t="str">
        <f>HYPERLINK("https://edmondsonsupply.com/products/klein-tools-31902-bi-metal-hole-saw-kit-8-piece", "https://edmondsonsupply.com/products/klein-tools-31902-bi-metal-hole-saw-kit-8-piece")</f>
        <v>https://edmondsonsupply.com/products/klein-tools-31902-bi-metal-hole-saw-kit-8-piece</v>
      </c>
      <c r="C3802" t="s">
        <v>6259</v>
      </c>
      <c r="D3802" t="s">
        <v>6002</v>
      </c>
      <c r="E3802" s="3" t="str">
        <f>HYPERLINK("https://www.amazon.com/Bi-Metal-8-Piece-Klein-Tools-31902/dp/B014WEBAO4/ref=sr_1_1?keywords=Klein+Tools+31902+Bi-Metal+Hole+Saw+Kit%2C+8-Piece&amp;qid=1695174040&amp;sr=8-1", "https://www.amazon.com/Bi-Metal-8-Piece-Klein-Tools-31902/dp/B014WEBAO4/ref=sr_1_1?keywords=Klein+Tools+31902+Bi-Metal+Hole+Saw+Kit%2C+8-Piece&amp;qid=1695174040&amp;sr=8-1")</f>
        <v>https://www.amazon.com/Bi-Metal-8-Piece-Klein-Tools-31902/dp/B014WEBAO4/ref=sr_1_1?keywords=Klein+Tools+31902+Bi-Metal+Hole+Saw+Kit%2C+8-Piece&amp;qid=1695174040&amp;sr=8-1</v>
      </c>
      <c r="F3802" t="s">
        <v>6003</v>
      </c>
      <c r="G3802" t="e">
        <f ca="1">_xludf.IMAGE("https://edmondsonsupply.com/cdn/shop/products/31902.jpg?v=1679665390")</f>
        <v>#NAME?</v>
      </c>
      <c r="H3802" t="e">
        <f ca="1">_xludf.IMAGE("https://m.media-amazon.com/images/I/51JZIdZrBtL._AC_UL320_.jpg")</f>
        <v>#NAME?</v>
      </c>
      <c r="I3802" t="s">
        <v>320</v>
      </c>
      <c r="J3802">
        <v>74.989999999999995</v>
      </c>
      <c r="K3802" s="4">
        <v>0</v>
      </c>
      <c r="L3802">
        <v>4.2</v>
      </c>
      <c r="M3802">
        <v>124</v>
      </c>
      <c r="O3802" t="s">
        <v>25</v>
      </c>
      <c r="P3802" t="s">
        <v>6260</v>
      </c>
      <c r="Q3802" t="s">
        <v>6261</v>
      </c>
    </row>
    <row r="3803" spans="1:17" ht="15.5" x14ac:dyDescent="0.35">
      <c r="A3803"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3803" s="3" t="str">
        <f>HYPERLINK("https://edmondsonsupply.com/products/klein-tools-56341-stainless-steel-fish-tape-1-8-inch-x-240-foot", "https://edmondsonsupply.com/products/klein-tools-56341-stainless-steel-fish-tape-1-8-inch-x-240-foot")</f>
        <v>https://edmondsonsupply.com/products/klein-tools-56341-stainless-steel-fish-tape-1-8-inch-x-240-foot</v>
      </c>
      <c r="C3803" t="s">
        <v>7829</v>
      </c>
      <c r="D3803" t="s">
        <v>8186</v>
      </c>
      <c r="E3803" s="3" t="str">
        <f>HYPERLINK("https://www.amazon.com/Klein-Tools-56341-Stainless-Optimized/dp/B081ZTN3MT/ref=sr_1_1?keywords=Klein+Tools+56341+Stainless+Steel+Fish+Tape%2C+1%2F8-Inch+x+240-Foot&amp;qid=1695174134&amp;sr=8-1", "https://www.amazon.com/Klein-Tools-56341-Stainless-Optimized/dp/B081ZTN3MT/ref=sr_1_1?keywords=Klein+Tools+56341+Stainless+Steel+Fish+Tape%2C+1%2F8-Inch+x+240-Foot&amp;qid=1695174134&amp;sr=8-1")</f>
        <v>https://www.amazon.com/Klein-Tools-56341-Stainless-Optimized/dp/B081ZTN3MT/ref=sr_1_1?keywords=Klein+Tools+56341+Stainless+Steel+Fish+Tape%2C+1%2F8-Inch+x+240-Foot&amp;qid=1695174134&amp;sr=8-1</v>
      </c>
      <c r="F3803" t="s">
        <v>8187</v>
      </c>
      <c r="G3803" t="e">
        <f ca="1">_xludf.IMAGE("https://edmondsonsupply.com/cdn/shop/products/56341.jpg?v=1666901345")</f>
        <v>#NAME?</v>
      </c>
      <c r="H3803" t="e">
        <f ca="1">_xludf.IMAGE("https://m.media-amazon.com/images/I/51rJNR9x1ML._AC_UL320_.jpg")</f>
        <v>#NAME?</v>
      </c>
      <c r="I3803" t="s">
        <v>7832</v>
      </c>
      <c r="J3803">
        <v>114.99</v>
      </c>
      <c r="K3803" s="4">
        <v>0</v>
      </c>
      <c r="L3803">
        <v>4.7</v>
      </c>
      <c r="M3803">
        <v>239</v>
      </c>
      <c r="O3803" t="s">
        <v>25</v>
      </c>
      <c r="P3803" t="s">
        <v>7833</v>
      </c>
      <c r="Q3803" t="s">
        <v>7834</v>
      </c>
    </row>
    <row r="3804" spans="1:17" ht="15.5" x14ac:dyDescent="0.35">
      <c r="A3804" s="3" t="str">
        <f>HYPERLINK("https://edmondsonsupply.com/collections/electricians-tools/products/klein-tools-5416tcp-tool-bag-extra-tall-top-closing-bolt-bag-5-x-12-x-9-inch", "https://edmondsonsupply.com/collections/electricians-tools/products/klein-tools-5416tcp-tool-bag-extra-tall-top-closing-bolt-bag-5-x-12-x-9-inch")</f>
        <v>https://edmondsonsupply.com/collections/electricians-tools/products/klein-tools-5416tcp-tool-bag-extra-tall-top-closing-bolt-bag-5-x-12-x-9-inch</v>
      </c>
      <c r="B3804" s="3" t="str">
        <f>HYPERLINK("https://edmondsonsupply.com/products/klein-tools-5416tcp-tool-bag-extra-tall-top-closing-bolt-bag-5-x-12-x-9-inch", "https://edmondsonsupply.com/products/klein-tools-5416tcp-tool-bag-extra-tall-top-closing-bolt-bag-5-x-12-x-9-inch")</f>
        <v>https://edmondsonsupply.com/products/klein-tools-5416tcp-tool-bag-extra-tall-top-closing-bolt-bag-5-x-12-x-9-inch</v>
      </c>
      <c r="C3804" t="s">
        <v>8188</v>
      </c>
      <c r="D3804" t="s">
        <v>8189</v>
      </c>
      <c r="E3804" s="3" t="str">
        <f>HYPERLINK("https://www.amazon.com/Extra-Closing-Klein-Tools-5416TCP/dp/B008IRAM1O/ref=sr_1_1?keywords=Klein+Tools+5416TCP+Tool+Bag%2C+Extra+Tall+Top+Closing+Bolt+Bag%2C+5+x+12+x+9-Inch&amp;qid=1695173934&amp;sr=8-1", "https://www.amazon.com/Extra-Closing-Klein-Tools-5416TCP/dp/B008IRAM1O/ref=sr_1_1?keywords=Klein+Tools+5416TCP+Tool+Bag%2C+Extra+Tall+Top+Closing+Bolt+Bag%2C+5+x+12+x+9-Inch&amp;qid=1695173934&amp;sr=8-1")</f>
        <v>https://www.amazon.com/Extra-Closing-Klein-Tools-5416TCP/dp/B008IRAM1O/ref=sr_1_1?keywords=Klein+Tools+5416TCP+Tool+Bag%2C+Extra+Tall+Top+Closing+Bolt+Bag%2C+5+x+12+x+9-Inch&amp;qid=1695173934&amp;sr=8-1</v>
      </c>
      <c r="F3804" t="s">
        <v>8190</v>
      </c>
      <c r="G3804" t="e">
        <f ca="1">_xludf.IMAGE("https://edmondsonsupply.com/cdn/shop/products/5416tcp.jpg?v=1633031024")</f>
        <v>#NAME?</v>
      </c>
      <c r="H3804" t="e">
        <f ca="1">_xludf.IMAGE("https://m.media-amazon.com/images/I/61zwtJ6VufL._AC_UL320_.jpg")</f>
        <v>#NAME?</v>
      </c>
      <c r="I3804" t="s">
        <v>8191</v>
      </c>
      <c r="J3804">
        <v>26.22</v>
      </c>
      <c r="K3804" s="4">
        <v>0</v>
      </c>
      <c r="L3804">
        <v>4.7</v>
      </c>
      <c r="M3804">
        <v>325</v>
      </c>
      <c r="O3804" t="s">
        <v>25</v>
      </c>
      <c r="P3804" t="s">
        <v>8192</v>
      </c>
      <c r="Q3804" t="s">
        <v>8193</v>
      </c>
    </row>
    <row r="3805" spans="1:17" ht="15.5" x14ac:dyDescent="0.35">
      <c r="A3805"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3805" s="3" t="str">
        <f>HYPERLINK("https://edmondsonsupply.com/products/klein-tools-55559-stand-up-zipper-bags-7-inch-and-14-inch-2-pack", "https://edmondsonsupply.com/products/klein-tools-55559-stand-up-zipper-bags-7-inch-and-14-inch-2-pack")</f>
        <v>https://edmondsonsupply.com/products/klein-tools-55559-stand-up-zipper-bags-7-inch-and-14-inch-2-pack</v>
      </c>
      <c r="C3805" t="s">
        <v>273</v>
      </c>
      <c r="D3805" t="s">
        <v>566</v>
      </c>
      <c r="E3805" s="3" t="str">
        <f>HYPERLINK("https://www.amazon.com/Utility-12-5-Inch-Klein-Tools-55470/dp/B075ZYW694/ref=sr_1_9?keywords=Klein+Tools+55559+Stand-up+Zipper+Bags%2C+7-Inch+and+14-Inch%2C+2-Pack&amp;qid=1695174132&amp;sr=8-9", "https://www.amazon.com/Utility-12-5-Inch-Klein-Tools-55470/dp/B075ZYW694/ref=sr_1_9?keywords=Klein+Tools+55559+Stand-up+Zipper+Bags%2C+7-Inch+and+14-Inch%2C+2-Pack&amp;qid=1695174132&amp;sr=8-9")</f>
        <v>https://www.amazon.com/Utility-12-5-Inch-Klein-Tools-55470/dp/B075ZYW694/ref=sr_1_9?keywords=Klein+Tools+55559+Stand-up+Zipper+Bags%2C+7-Inch+and+14-Inch%2C+2-Pack&amp;qid=1695174132&amp;sr=8-9</v>
      </c>
      <c r="F3805" t="s">
        <v>567</v>
      </c>
      <c r="G3805" t="e">
        <f ca="1">_xludf.IMAGE("https://edmondsonsupply.com/cdn/shop/products/55559.jpg?v=1666900727")</f>
        <v>#NAME?</v>
      </c>
      <c r="H3805" t="e">
        <f ca="1">_xludf.IMAGE("https://m.media-amazon.com/images/I/81mbAy3U-rL._AC_UL320_.jpg")</f>
        <v>#NAME?</v>
      </c>
      <c r="I3805" t="s">
        <v>276</v>
      </c>
      <c r="J3805">
        <v>14.99</v>
      </c>
      <c r="K3805" s="4">
        <v>0</v>
      </c>
      <c r="L3805">
        <v>4.7</v>
      </c>
      <c r="M3805">
        <v>3482</v>
      </c>
      <c r="O3805" t="s">
        <v>25</v>
      </c>
      <c r="P3805" t="s">
        <v>277</v>
      </c>
      <c r="Q3805" t="s">
        <v>278</v>
      </c>
    </row>
    <row r="3806" spans="1:17" ht="15.5" x14ac:dyDescent="0.35">
      <c r="A3806" s="3" t="str">
        <f>HYPERLINK("https://edmondsonsupply.com/collections/electricians-tools/products/klein-tools-56380-multi-groove-fiberglass-fish-tape-with-spiral-steel-leader-100-foot", "https://edmondsonsupply.com/collections/electricians-tools/products/klein-tools-56380-multi-groove-fiberglass-fish-tape-with-spiral-steel-leader-100-foot")</f>
        <v>https://edmondsonsupply.com/collections/electricians-tools/products/klein-tools-56380-multi-groove-fiberglass-fish-tape-with-spiral-steel-leader-100-foot</v>
      </c>
      <c r="B3806"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3806" t="s">
        <v>3273</v>
      </c>
      <c r="D3806" t="s">
        <v>4511</v>
      </c>
      <c r="E3806" s="3" t="str">
        <f>HYPERLINK("https://www.amazon.com/Klein-Tools-56380-Multi-Groove-Fiberglass/dp/B0822229DW/ref=sr_1_4?keywords=Klein+Tools+56380+Multi-Groove+Fiberglass+Fish+Tape+with+Spiral+Steel+Leader%2C+100-Foot&amp;qid=1695173932&amp;sr=8-4", "https://www.amazon.com/Klein-Tools-56380-Multi-Groove-Fiberglass/dp/B0822229DW/ref=sr_1_4?keywords=Klein+Tools+56380+Multi-Groove+Fiberglass+Fish+Tape+with+Spiral+Steel+Leader%2C+100-Foot&amp;qid=1695173932&amp;sr=8-4")</f>
        <v>https://www.amazon.com/Klein-Tools-56380-Multi-Groove-Fiberglass/dp/B0822229DW/ref=sr_1_4?keywords=Klein+Tools+56380+Multi-Groove+Fiberglass+Fish+Tape+with+Spiral+Steel+Leader%2C+100-Foot&amp;qid=1695173932&amp;sr=8-4</v>
      </c>
      <c r="F3806" t="s">
        <v>4512</v>
      </c>
      <c r="G3806" t="e">
        <f ca="1">_xludf.IMAGE("https://edmondsonsupply.com/cdn/shop/products/56380.jpg?v=1587147762")</f>
        <v>#NAME?</v>
      </c>
      <c r="H3806" t="e">
        <f ca="1">_xludf.IMAGE("https://m.media-amazon.com/images/I/51m05Po5U+L._AC_UL320_.jpg")</f>
        <v>#NAME?</v>
      </c>
      <c r="I3806" t="s">
        <v>3276</v>
      </c>
      <c r="J3806">
        <v>139.99</v>
      </c>
      <c r="K3806" s="4">
        <v>0</v>
      </c>
      <c r="L3806">
        <v>4.7</v>
      </c>
      <c r="M3806">
        <v>87</v>
      </c>
      <c r="O3806" t="s">
        <v>25</v>
      </c>
      <c r="P3806" t="s">
        <v>3277</v>
      </c>
      <c r="Q3806" t="s">
        <v>3278</v>
      </c>
    </row>
    <row r="3807" spans="1:17" ht="15.5" x14ac:dyDescent="0.35">
      <c r="A3807"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3807" s="3" t="str">
        <f>HYPERLINK("https://edmondsonsupply.com/products/klein-tools-55559-stand-up-zipper-bags-7-inch-and-14-inch-2-pack", "https://edmondsonsupply.com/products/klein-tools-55559-stand-up-zipper-bags-7-inch-and-14-inch-2-pack")</f>
        <v>https://edmondsonsupply.com/products/klein-tools-55559-stand-up-zipper-bags-7-inch-and-14-inch-2-pack</v>
      </c>
      <c r="C3807" t="s">
        <v>273</v>
      </c>
      <c r="D3807" t="s">
        <v>557</v>
      </c>
      <c r="E3807" s="3" t="str">
        <f>HYPERLINK("https://www.amazon.com/Klein-Tools-55559-Carabiners-Reinforced/dp/B0B11LN6SM/ref=sr_1_1?keywords=Klein+Tools+55559+Stand-up+Zipper+Bags%2C+7-Inch+and+14-Inch%2C+2-Pack&amp;qid=1695174132&amp;sr=8-1", "https://www.amazon.com/Klein-Tools-55559-Carabiners-Reinforced/dp/B0B11LN6SM/ref=sr_1_1?keywords=Klein+Tools+55559+Stand-up+Zipper+Bags%2C+7-Inch+and+14-Inch%2C+2-Pack&amp;qid=1695174132&amp;sr=8-1")</f>
        <v>https://www.amazon.com/Klein-Tools-55559-Carabiners-Reinforced/dp/B0B11LN6SM/ref=sr_1_1?keywords=Klein+Tools+55559+Stand-up+Zipper+Bags%2C+7-Inch+and+14-Inch%2C+2-Pack&amp;qid=1695174132&amp;sr=8-1</v>
      </c>
      <c r="F3807" t="s">
        <v>558</v>
      </c>
      <c r="G3807" t="e">
        <f ca="1">_xludf.IMAGE("https://edmondsonsupply.com/cdn/shop/products/55559.jpg?v=1666900727")</f>
        <v>#NAME?</v>
      </c>
      <c r="H3807" t="e">
        <f ca="1">_xludf.IMAGE("https://m.media-amazon.com/images/I/51wgn+HFuyL._AC_UL320_.jpg")</f>
        <v>#NAME?</v>
      </c>
      <c r="I3807" t="s">
        <v>276</v>
      </c>
      <c r="J3807">
        <v>14.99</v>
      </c>
      <c r="K3807" s="4">
        <v>0</v>
      </c>
      <c r="L3807">
        <v>4.8</v>
      </c>
      <c r="M3807">
        <v>632</v>
      </c>
      <c r="O3807" t="s">
        <v>25</v>
      </c>
      <c r="P3807" t="s">
        <v>277</v>
      </c>
      <c r="Q3807" t="s">
        <v>278</v>
      </c>
    </row>
    <row r="3808" spans="1:17" ht="15.5" x14ac:dyDescent="0.35">
      <c r="A3808" s="3" t="str">
        <f>HYPERLINK("https://edmondsonsupply.com/collections/electricians-tools/products/channellock-804", "https://edmondsonsupply.com/collections/electricians-tools/products/channellock-804")</f>
        <v>https://edmondsonsupply.com/collections/electricians-tools/products/channellock-804</v>
      </c>
      <c r="B3808" s="3" t="str">
        <f>HYPERLINK("https://edmondsonsupply.com/products/channellock-804", "https://edmondsonsupply.com/products/channellock-804")</f>
        <v>https://edmondsonsupply.com/products/channellock-804</v>
      </c>
      <c r="C3808" t="s">
        <v>1551</v>
      </c>
      <c r="D3808" t="s">
        <v>4700</v>
      </c>
      <c r="E3808" s="3" t="str">
        <f>HYPERLINK("https://www.amazon.com/Channellock-804-4-5-Inch-Adjustable-Wrench/dp/B00004SBDK/ref=sr_1_3?keywords=Channellock+804+4-Inch+Chrome+Adjustable+Wrench&amp;qid=1695173945&amp;sr=8-3", "https://www.amazon.com/Channellock-804-4-5-Inch-Adjustable-Wrench/dp/B00004SBDK/ref=sr_1_3?keywords=Channellock+804+4-Inch+Chrome+Adjustable+Wrench&amp;qid=1695173945&amp;sr=8-3")</f>
        <v>https://www.amazon.com/Channellock-804-4-5-Inch-Adjustable-Wrench/dp/B00004SBDK/ref=sr_1_3?keywords=Channellock+804+4-Inch+Chrome+Adjustable+Wrench&amp;qid=1695173945&amp;sr=8-3</v>
      </c>
      <c r="F3808" t="s">
        <v>4701</v>
      </c>
      <c r="G3808" t="e">
        <f ca="1">_xludf.IMAGE("https://edmondsonsupply.com/cdn/shop/products/804-683x1024.jpg?v=1587145853")</f>
        <v>#NAME?</v>
      </c>
      <c r="H3808" t="e">
        <f ca="1">_xludf.IMAGE("https://m.media-amazon.com/images/I/71DERbexqEL._AC_UL320_.jpg")</f>
        <v>#NAME?</v>
      </c>
      <c r="I3808" t="s">
        <v>1554</v>
      </c>
      <c r="J3808">
        <v>16.95</v>
      </c>
      <c r="K3808" s="4">
        <v>0</v>
      </c>
      <c r="L3808">
        <v>4.7</v>
      </c>
      <c r="M3808">
        <v>571</v>
      </c>
      <c r="O3808" t="s">
        <v>25</v>
      </c>
      <c r="P3808" t="s">
        <v>1555</v>
      </c>
      <c r="Q3808" t="s">
        <v>1556</v>
      </c>
    </row>
    <row r="3809" spans="1:17" ht="15.5" x14ac:dyDescent="0.35">
      <c r="A3809" s="3" t="str">
        <f>HYPERLINK("https://edmondsonsupply.com/collections/electricians-tools/products/klein-tools-60614-lightweight-knee-pad-sleeves-s-m", "https://edmondsonsupply.com/collections/electricians-tools/products/klein-tools-60614-lightweight-knee-pad-sleeves-s-m")</f>
        <v>https://edmondsonsupply.com/collections/electricians-tools/products/klein-tools-60614-lightweight-knee-pad-sleeves-s-m</v>
      </c>
      <c r="B3809" s="3" t="str">
        <f>HYPERLINK("https://edmondsonsupply.com/products/klein-tools-60614-lightweight-knee-pad-sleeves-s-m", "https://edmondsonsupply.com/products/klein-tools-60614-lightweight-knee-pad-sleeves-s-m")</f>
        <v>https://edmondsonsupply.com/products/klein-tools-60614-lightweight-knee-pad-sleeves-s-m</v>
      </c>
      <c r="C3809" t="s">
        <v>898</v>
      </c>
      <c r="D3809" t="s">
        <v>1166</v>
      </c>
      <c r="E3809" s="3" t="str">
        <f>HYPERLINK("https://www.amazon.com/Klein-Tools-60614-Lightweight-Slip-Resistant/dp/B0BW9WHCRJ/ref=sr_1_1?keywords=Klein+Tools+60614+Lightweight+Knee+Pad+Sleeves%2C+S%2FM&amp;qid=1695174023&amp;sr=8-1", "https://www.amazon.com/Klein-Tools-60614-Lightweight-Slip-Resistant/dp/B0BW9WHCRJ/ref=sr_1_1?keywords=Klein+Tools+60614+Lightweight+Knee+Pad+Sleeves%2C+S%2FM&amp;qid=1695174023&amp;sr=8-1")</f>
        <v>https://www.amazon.com/Klein-Tools-60614-Lightweight-Slip-Resistant/dp/B0BW9WHCRJ/ref=sr_1_1?keywords=Klein+Tools+60614+Lightweight+Knee+Pad+Sleeves%2C+S%2FM&amp;qid=1695174023&amp;sr=8-1</v>
      </c>
      <c r="F3809" t="s">
        <v>1167</v>
      </c>
      <c r="G3809" t="e">
        <f ca="1">_xludf.IMAGE("https://edmondsonsupply.com/cdn/shop/products/60492_60592_photo_4859ff57-33ad-45f9-87df-8dc6b9372281.jpg?v=1681742927")</f>
        <v>#NAME?</v>
      </c>
      <c r="H3809" t="e">
        <f ca="1">_xludf.IMAGE("https://m.media-amazon.com/images/I/61pjcWSwQcL._AC_UL320_.jpg")</f>
        <v>#NAME?</v>
      </c>
      <c r="I3809" t="s">
        <v>577</v>
      </c>
      <c r="J3809">
        <v>19.989999999999998</v>
      </c>
      <c r="K3809" s="4">
        <v>0</v>
      </c>
      <c r="L3809">
        <v>4.5</v>
      </c>
      <c r="M3809">
        <v>192</v>
      </c>
      <c r="O3809" t="s">
        <v>25</v>
      </c>
      <c r="P3809" t="s">
        <v>894</v>
      </c>
      <c r="Q3809" t="s">
        <v>899</v>
      </c>
    </row>
    <row r="3810" spans="1:17" ht="15.5" x14ac:dyDescent="0.35">
      <c r="A3810" s="3" t="str">
        <f>HYPERLINK("https://edmondsonsupply.com/collections/electricians-tools/products/klein-tools-60618-winter-thermal-gloves-s", "https://edmondsonsupply.com/collections/electricians-tools/products/klein-tools-60618-winter-thermal-gloves-s")</f>
        <v>https://edmondsonsupply.com/collections/electricians-tools/products/klein-tools-60618-winter-thermal-gloves-s</v>
      </c>
      <c r="B3810" s="3" t="str">
        <f>HYPERLINK("https://edmondsonsupply.com/products/klein-tools-60618-winter-thermal-gloves-s", "https://edmondsonsupply.com/products/klein-tools-60618-winter-thermal-gloves-s")</f>
        <v>https://edmondsonsupply.com/products/klein-tools-60618-winter-thermal-gloves-s</v>
      </c>
      <c r="C3810" t="s">
        <v>1172</v>
      </c>
      <c r="D3810" t="s">
        <v>1173</v>
      </c>
      <c r="E3810" s="3" t="str">
        <f>HYPERLINK("https://www.amazon.com/Klein-Tools-60618-Thinsulate-Thermal/dp/B0BPDVYGPY/ref=sr_1_1?keywords=Klein+Tools+60618+Winter+Thermal+Gloves%2C+S&amp;qid=1695174061&amp;sr=8-1", "https://www.amazon.com/Klein-Tools-60618-Thinsulate-Thermal/dp/B0BPDVYGPY/ref=sr_1_1?keywords=Klein+Tools+60618+Winter+Thermal+Gloves%2C+S&amp;qid=1695174061&amp;sr=8-1")</f>
        <v>https://www.amazon.com/Klein-Tools-60618-Thinsulate-Thermal/dp/B0BPDVYGPY/ref=sr_1_1?keywords=Klein+Tools+60618+Winter+Thermal+Gloves%2C+S&amp;qid=1695174061&amp;sr=8-1</v>
      </c>
      <c r="F3810" t="s">
        <v>1174</v>
      </c>
      <c r="G3810" t="e">
        <f ca="1">_xludf.IMAGE("https://edmondsonsupply.com/cdn/shop/products/60619_62a83fea-23b4-4533-9ced-7a430ce0c8cd.jpg?v=1678462690")</f>
        <v>#NAME?</v>
      </c>
      <c r="H3810" t="e">
        <f ca="1">_xludf.IMAGE("https://m.media-amazon.com/images/I/71yZfwKNZWL._AC_UL320_.jpg")</f>
        <v>#NAME?</v>
      </c>
      <c r="I3810" t="s">
        <v>471</v>
      </c>
      <c r="J3810">
        <v>24.99</v>
      </c>
      <c r="K3810" s="4">
        <v>0</v>
      </c>
      <c r="L3810">
        <v>4</v>
      </c>
      <c r="M3810">
        <v>2</v>
      </c>
      <c r="O3810" t="s">
        <v>25</v>
      </c>
      <c r="P3810" t="s">
        <v>602</v>
      </c>
      <c r="Q3810" t="s">
        <v>1175</v>
      </c>
    </row>
    <row r="3811" spans="1:17" ht="15.5" x14ac:dyDescent="0.35">
      <c r="A3811"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3811" s="3" t="str">
        <f>HYPERLINK("https://edmondsonsupply.com/products/klein-tools-57032-screwdriver-set-torque-6-piece", "https://edmondsonsupply.com/products/klein-tools-57032-screwdriver-set-torque-6-piece")</f>
        <v>https://edmondsonsupply.com/products/klein-tools-57032-screwdriver-set-torque-6-piece</v>
      </c>
      <c r="C3811" t="s">
        <v>8194</v>
      </c>
      <c r="D3811" t="s">
        <v>8195</v>
      </c>
      <c r="E3811" s="3" t="str">
        <f>HYPERLINK("https://www.amazon.com/Torque-Screwdriver-Klein-Tools-57032/dp/B00N0V93OK/ref=sr_1_1?keywords=Klein+Tools+57032+Screwdriver+Set%2C+Torque%2C+6-Piece&amp;qid=1695174073&amp;sr=8-1", "https://www.amazon.com/Torque-Screwdriver-Klein-Tools-57032/dp/B00N0V93OK/ref=sr_1_1?keywords=Klein+Tools+57032+Screwdriver+Set%2C+Torque%2C+6-Piece&amp;qid=1695174073&amp;sr=8-1")</f>
        <v>https://www.amazon.com/Torque-Screwdriver-Klein-Tools-57032/dp/B00N0V93OK/ref=sr_1_1?keywords=Klein+Tools+57032+Screwdriver+Set%2C+Torque%2C+6-Piece&amp;qid=1695174073&amp;sr=8-1</v>
      </c>
      <c r="F3811" t="s">
        <v>8196</v>
      </c>
      <c r="G3811" t="e">
        <f ca="1">_xludf.IMAGE("https://edmondsonsupply.com/cdn/shop/products/57032set.jpg?v=1675348782")</f>
        <v>#NAME?</v>
      </c>
      <c r="H3811" t="e">
        <f ca="1">_xludf.IMAGE("https://m.media-amazon.com/images/I/71o9zv+qoQL._AC_UL320_.jpg")</f>
        <v>#NAME?</v>
      </c>
      <c r="I3811" t="s">
        <v>533</v>
      </c>
      <c r="J3811">
        <v>299.99</v>
      </c>
      <c r="K3811" s="4">
        <v>0</v>
      </c>
      <c r="L3811">
        <v>4.3</v>
      </c>
      <c r="M3811">
        <v>36</v>
      </c>
      <c r="O3811" t="s">
        <v>25</v>
      </c>
      <c r="P3811" t="s">
        <v>8197</v>
      </c>
      <c r="Q3811" t="s">
        <v>8198</v>
      </c>
    </row>
    <row r="3812" spans="1:17" ht="15.5" x14ac:dyDescent="0.35">
      <c r="A3812" s="3" t="str">
        <f>HYPERLINK("https://edmondsonsupply.com/collections/electricians-tools/products/klein-tools-60156-intrinsically-safe-led-headlamp", "https://edmondsonsupply.com/collections/electricians-tools/products/klein-tools-60156-intrinsically-safe-led-headlamp")</f>
        <v>https://edmondsonsupply.com/collections/electricians-tools/products/klein-tools-60156-intrinsically-safe-led-headlamp</v>
      </c>
      <c r="B3812" s="3" t="str">
        <f>HYPERLINK("https://edmondsonsupply.com/products/klein-tools-60156-intrinsically-safe-led-headlamp", "https://edmondsonsupply.com/products/klein-tools-60156-intrinsically-safe-led-headlamp")</f>
        <v>https://edmondsonsupply.com/products/klein-tools-60156-intrinsically-safe-led-headlamp</v>
      </c>
      <c r="C3812" t="s">
        <v>8199</v>
      </c>
      <c r="D3812" t="s">
        <v>8200</v>
      </c>
      <c r="E3812" s="3" t="str">
        <f>HYPERLINK("https://www.amazon.com/Intrinsically-Hazardous-Klein-Tools-60156/dp/B095XLB3XW/ref=sr_1_1?keywords=Klein+Tools+60156+Intrinsically+Safe+LED+Headlamp&amp;qid=1695174148&amp;sr=8-1", "https://www.amazon.com/Intrinsically-Hazardous-Klein-Tools-60156/dp/B095XLB3XW/ref=sr_1_1?keywords=Klein+Tools+60156+Intrinsically+Safe+LED+Headlamp&amp;qid=1695174148&amp;sr=8-1")</f>
        <v>https://www.amazon.com/Intrinsically-Hazardous-Klein-Tools-60156/dp/B095XLB3XW/ref=sr_1_1?keywords=Klein+Tools+60156+Intrinsically+Safe+LED+Headlamp&amp;qid=1695174148&amp;sr=8-1</v>
      </c>
      <c r="F3812" t="s">
        <v>8201</v>
      </c>
      <c r="G3812" t="e">
        <f ca="1">_xludf.IMAGE("https://edmondsonsupply.com/cdn/shop/products/60156.jpg?v=1664380433")</f>
        <v>#NAME?</v>
      </c>
      <c r="H3812" t="e">
        <f ca="1">_xludf.IMAGE("https://m.media-amazon.com/images/I/61fqqNW9DLS._AC_UL320_.jpg")</f>
        <v>#NAME?</v>
      </c>
      <c r="I3812" t="s">
        <v>7918</v>
      </c>
      <c r="J3812">
        <v>64.989999999999995</v>
      </c>
      <c r="K3812" s="4">
        <v>0</v>
      </c>
      <c r="L3812">
        <v>3.7</v>
      </c>
      <c r="M3812">
        <v>28</v>
      </c>
      <c r="O3812" t="s">
        <v>25</v>
      </c>
      <c r="P3812" t="s">
        <v>1766</v>
      </c>
      <c r="Q3812" t="s">
        <v>8202</v>
      </c>
    </row>
    <row r="3813" spans="1:17" ht="15.5" x14ac:dyDescent="0.35">
      <c r="A3813" s="3" t="str">
        <f>HYPERLINK("https://edmondsonsupply.com/collections/electricians-tools/products/milwaukee-48-22-0325g-25-ft-compact-wide-blade-magnetic-tape-measure-2-pack", "https://edmondsonsupply.com/collections/electricians-tools/products/milwaukee-48-22-0325g-25-ft-compact-wide-blade-magnetic-tape-measure-2-pack")</f>
        <v>https://edmondsonsupply.com/collections/electricians-tools/products/milwaukee-48-22-0325g-25-ft-compact-wide-blade-magnetic-tape-measure-2-pack</v>
      </c>
      <c r="B3813" s="3" t="str">
        <f>HYPERLINK("https://edmondsonsupply.com/products/milwaukee-48-22-0325g-25-ft-compact-wide-blade-magnetic-tape-measure-2-pack", "https://edmondsonsupply.com/products/milwaukee-48-22-0325g-25-ft-compact-wide-blade-magnetic-tape-measure-2-pack")</f>
        <v>https://edmondsonsupply.com/products/milwaukee-48-22-0325g-25-ft-compact-wide-blade-magnetic-tape-measure-2-pack</v>
      </c>
      <c r="C3813" t="s">
        <v>8203</v>
      </c>
      <c r="D3813" t="s">
        <v>5438</v>
      </c>
      <c r="E3813" s="3" t="str">
        <f>HYPERLINK("https://www.amazon.com/Milwaukee-48-22-0325-Compact-Magnetic-Measures/dp/B082L6Q7WV/ref=sr_1_1?keywords=Milwaukee+48-22-0325G+25+ft+Compact+Wide+Blade+Magnetic+Tape+Measure+%282+pack%29&amp;qid=1695174070&amp;sr=8-1", "https://www.amazon.com/Milwaukee-48-22-0325-Compact-Magnetic-Measures/dp/B082L6Q7WV/ref=sr_1_1?keywords=Milwaukee+48-22-0325G+25+ft+Compact+Wide+Blade+Magnetic+Tape+Measure+%282+pack%29&amp;qid=1695174070&amp;sr=8-1")</f>
        <v>https://www.amazon.com/Milwaukee-48-22-0325-Compact-Magnetic-Measures/dp/B082L6Q7WV/ref=sr_1_1?keywords=Milwaukee+48-22-0325G+25+ft+Compact+Wide+Blade+Magnetic+Tape+Measure+%282+pack%29&amp;qid=1695174070&amp;sr=8-1</v>
      </c>
      <c r="F3813" t="s">
        <v>5439</v>
      </c>
      <c r="G3813" t="e">
        <f ca="1">_xludf.IMAGE("https://edmondsonsupply.com/cdn/shop/products/39408948-2072-4D7D-ACDB-CAB014657D2F_7.jpg?v=1675703415")</f>
        <v>#NAME?</v>
      </c>
      <c r="H3813" t="e">
        <f ca="1">_xludf.IMAGE("https://m.media-amazon.com/images/I/41gSokc+0RL._AC_UL320_.jpg")</f>
        <v>#NAME?</v>
      </c>
      <c r="I3813" t="s">
        <v>1716</v>
      </c>
      <c r="J3813">
        <v>22.97</v>
      </c>
      <c r="K3813" s="4">
        <v>0</v>
      </c>
      <c r="L3813">
        <v>4.5</v>
      </c>
      <c r="M3813">
        <v>206</v>
      </c>
      <c r="O3813" t="s">
        <v>171</v>
      </c>
      <c r="P3813" t="s">
        <v>138</v>
      </c>
      <c r="Q3813" t="s">
        <v>8204</v>
      </c>
    </row>
    <row r="3814" spans="1:17" ht="15.5" x14ac:dyDescent="0.35">
      <c r="A3814" s="3" t="str">
        <f>HYPERLINK("https://edmondsonsupply.com/collections/electricians-tools/products/klein-tools-56026-inspection-penlight-with-laser-led-flashlight", "https://edmondsonsupply.com/collections/electricians-tools/products/klein-tools-56026-inspection-penlight-with-laser-led-flashlight")</f>
        <v>https://edmondsonsupply.com/collections/electricians-tools/products/klein-tools-56026-inspection-penlight-with-laser-led-flashlight</v>
      </c>
      <c r="B3814" s="3" t="str">
        <f>HYPERLINK("https://edmondsonsupply.com/products/klein-tools-56026-inspection-penlight-with-laser-led-flashlight", "https://edmondsonsupply.com/products/klein-tools-56026-inspection-penlight-with-laser-led-flashlight")</f>
        <v>https://edmondsonsupply.com/products/klein-tools-56026-inspection-penlight-with-laser-led-flashlight</v>
      </c>
      <c r="C3814" t="s">
        <v>4472</v>
      </c>
      <c r="D3814" t="s">
        <v>4473</v>
      </c>
      <c r="E3814" s="3" t="str">
        <f>HYPERLINK("https://www.amazon.com/Klein-Tools-56026-Inspection-Penlight/dp/B01N9RGQQP/ref=sr_1_1?keywords=Klein+Tools+56026+Inspection+Penlight+with+Class+3R+Red+Laser+Pointer&amp;qid=1695173952&amp;sr=8-1", "https://www.amazon.com/Klein-Tools-56026-Inspection-Penlight/dp/B01N9RGQQP/ref=sr_1_1?keywords=Klein+Tools+56026+Inspection+Penlight+with+Class+3R+Red+Laser+Pointer&amp;qid=1695173952&amp;sr=8-1")</f>
        <v>https://www.amazon.com/Klein-Tools-56026-Inspection-Penlight/dp/B01N9RGQQP/ref=sr_1_1?keywords=Klein+Tools+56026+Inspection+Penlight+with+Class+3R+Red+Laser+Pointer&amp;qid=1695173952&amp;sr=8-1</v>
      </c>
      <c r="F3814" t="s">
        <v>4474</v>
      </c>
      <c r="G3814" t="e">
        <f ca="1">_xludf.IMAGE("https://edmondsonsupply.com/cdn/shop/products/56026_c.jpg?v=1664897604")</f>
        <v>#NAME?</v>
      </c>
      <c r="H3814" t="e">
        <f ca="1">_xludf.IMAGE("https://m.media-amazon.com/images/I/51ZiHpGyQNL._AC_UL320_.jpg")</f>
        <v>#NAME?</v>
      </c>
      <c r="I3814" t="s">
        <v>893</v>
      </c>
      <c r="J3814">
        <v>19.97</v>
      </c>
      <c r="K3814" s="4">
        <v>0</v>
      </c>
      <c r="L3814">
        <v>4.4000000000000004</v>
      </c>
      <c r="M3814">
        <v>2929</v>
      </c>
      <c r="O3814" t="s">
        <v>25</v>
      </c>
      <c r="P3814" t="s">
        <v>4475</v>
      </c>
      <c r="Q3814" t="s">
        <v>4476</v>
      </c>
    </row>
    <row r="3815" spans="1:17" ht="15.5" x14ac:dyDescent="0.35">
      <c r="A3815" s="3" t="str">
        <f>HYPERLINK("https://edmondsonsupply.com/collections/electricians-tools/products/klein-tools-50660-glow-in-the-dark-fish-tape-40-foot", "https://edmondsonsupply.com/collections/electricians-tools/products/klein-tools-50660-glow-in-the-dark-fish-tape-40-foot")</f>
        <v>https://edmondsonsupply.com/collections/electricians-tools/products/klein-tools-50660-glow-in-the-dark-fish-tape-40-foot</v>
      </c>
      <c r="B3815" s="3" t="str">
        <f>HYPERLINK("https://edmondsonsupply.com/products/klein-tools-50660-glow-in-the-dark-fish-tape-40-foot", "https://edmondsonsupply.com/products/klein-tools-50660-glow-in-the-dark-fish-tape-40-foot")</f>
        <v>https://edmondsonsupply.com/products/klein-tools-50660-glow-in-the-dark-fish-tape-40-foot</v>
      </c>
      <c r="C3815" t="s">
        <v>8205</v>
      </c>
      <c r="D3815" t="s">
        <v>2468</v>
      </c>
      <c r="E3815" s="3" t="str">
        <f>HYPERLINK("https://www.amazon.com/Klein-Tools-50660-Stainless-Steel-Attachments/dp/B0BVJXRH9J/ref=sr_1_1?keywords=Klein+Tools+50660+Glow+in+the+Dark+Fish+Tape%2C+40-Foot&amp;qid=1695174067&amp;sr=8-1", "https://www.amazon.com/Klein-Tools-50660-Stainless-Steel-Attachments/dp/B0BVJXRH9J/ref=sr_1_1?keywords=Klein+Tools+50660+Glow+in+the+Dark+Fish+Tape%2C+40-Foot&amp;qid=1695174067&amp;sr=8-1")</f>
        <v>https://www.amazon.com/Klein-Tools-50660-Stainless-Steel-Attachments/dp/B0BVJXRH9J/ref=sr_1_1?keywords=Klein+Tools+50660+Glow+in+the+Dark+Fish+Tape%2C+40-Foot&amp;qid=1695174067&amp;sr=8-1</v>
      </c>
      <c r="F3815" t="s">
        <v>2469</v>
      </c>
      <c r="G3815" t="e">
        <f ca="1">_xludf.IMAGE("https://edmondsonsupply.com/cdn/shop/products/50660.jpg?v=1677685297")</f>
        <v>#NAME?</v>
      </c>
      <c r="H3815" t="e">
        <f ca="1">_xludf.IMAGE("https://m.media-amazon.com/images/I/61TfZQjceGL._AC_UL320_.jpg")</f>
        <v>#NAME?</v>
      </c>
      <c r="I3815" t="s">
        <v>5197</v>
      </c>
      <c r="J3815">
        <v>59.97</v>
      </c>
      <c r="K3815" s="4">
        <v>0</v>
      </c>
      <c r="L3815">
        <v>4.0999999999999996</v>
      </c>
      <c r="M3815">
        <v>6</v>
      </c>
      <c r="O3815" t="s">
        <v>25</v>
      </c>
      <c r="P3815" t="s">
        <v>8206</v>
      </c>
      <c r="Q3815" t="s">
        <v>8207</v>
      </c>
    </row>
    <row r="3816" spans="1:17" ht="15.5" x14ac:dyDescent="0.35">
      <c r="A3816" s="3" t="str">
        <f>HYPERLINK("https://edmondsonsupply.com/collections/electricians-tools/products/klein-tools-32527-11-in-1-screwdriver-nut-driver-with-schrader%C2%AE-bit", "https://edmondsonsupply.com/collections/electricians-tools/products/klein-tools-32527-11-in-1-screwdriver-nut-driver-with-schrader%C2%AE-bit")</f>
        <v>https://edmondsonsupply.com/collections/electricians-tools/products/klein-tools-32527-11-in-1-screwdriver-nut-driver-with-schrader%C2%AE-bit</v>
      </c>
      <c r="B3816" s="3" t="str">
        <f>HYPERLINK("https://edmondsonsupply.com/products/klein-tools-32527-11-in-1-screwdriver-nut-driver-with-schrader%c2%ae-bit", "https://edmondsonsupply.com/products/klein-tools-32527-11-in-1-screwdriver-nut-driver-with-schrader%c2%ae-bit")</f>
        <v>https://edmondsonsupply.com/products/klein-tools-32527-11-in-1-screwdriver-nut-driver-with-schrader%c2%ae-bit</v>
      </c>
      <c r="C3816" t="s">
        <v>4714</v>
      </c>
      <c r="D3816" t="s">
        <v>4715</v>
      </c>
      <c r="E3816" s="3" t="str">
        <f>HYPERLINK("https://www.amazon.com/Screwdriver-Phillips-Klein-Tools-32527/dp/B004RIDKHQ/ref=sr_1_1?keywords=Klein+Tools+32527+Multi-Bit+Screwdriver+%2F+Nut+Driver%2C+11-in-1%2C+Ph%2C+Sl%2C+Sq%2C+Schrader+Bits&amp;qid=1695173951&amp;sr=8-1", "https://www.amazon.com/Screwdriver-Phillips-Klein-Tools-32527/dp/B004RIDKHQ/ref=sr_1_1?keywords=Klein+Tools+32527+Multi-Bit+Screwdriver+%2F+Nut+Driver%2C+11-in-1%2C+Ph%2C+Sl%2C+Sq%2C+Schrader+Bits&amp;qid=1695173951&amp;sr=8-1")</f>
        <v>https://www.amazon.com/Screwdriver-Phillips-Klein-Tools-32527/dp/B004RIDKHQ/ref=sr_1_1?keywords=Klein+Tools+32527+Multi-Bit+Screwdriver+%2F+Nut+Driver%2C+11-in-1%2C+Ph%2C+Sl%2C+Sq%2C+Schrader+Bits&amp;qid=1695173951&amp;sr=8-1</v>
      </c>
      <c r="F3816" t="s">
        <v>4716</v>
      </c>
      <c r="G3816" t="e">
        <f ca="1">_xludf.IMAGE("https://edmondsonsupply.com/cdn/shop/products/32527.jpg?v=1587146830")</f>
        <v>#NAME?</v>
      </c>
      <c r="H3816" t="e">
        <f ca="1">_xludf.IMAGE("https://m.media-amazon.com/images/I/41cLxI0Af5L._AC_UL320_.jpg")</f>
        <v>#NAME?</v>
      </c>
      <c r="I3816" t="s">
        <v>143</v>
      </c>
      <c r="J3816">
        <v>15.97</v>
      </c>
      <c r="K3816" s="4">
        <v>0</v>
      </c>
      <c r="L3816">
        <v>4.8</v>
      </c>
      <c r="M3816">
        <v>4204</v>
      </c>
      <c r="O3816" t="s">
        <v>25</v>
      </c>
      <c r="P3816" t="s">
        <v>4717</v>
      </c>
      <c r="Q3816" t="s">
        <v>4718</v>
      </c>
    </row>
    <row r="3817" spans="1:17" ht="15.5" x14ac:dyDescent="0.35">
      <c r="A3817"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3817"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3817" t="s">
        <v>7732</v>
      </c>
      <c r="D3817" t="s">
        <v>7215</v>
      </c>
      <c r="E3817" s="3" t="str">
        <f>HYPERLINK("https://www.amazon.com/Klein-Tools-6944INS-Screwdriver-Cushion-Grip/dp/B09GPYTZV3/ref=sr_1_6?keywords=Klein+Tools+6984INS+Slim-Tip+1000V+Insulated+Screwdriver%2C+%231+Square%2C+4-Inch+Round+Shank&amp;qid=1695174144&amp;sr=8-6", "https://www.amazon.com/Klein-Tools-6944INS-Screwdriver-Cushion-Grip/dp/B09GPYTZV3/ref=sr_1_6?keywords=Klein+Tools+6984INS+Slim-Tip+1000V+Insulated+Screwdriver%2C+%231+Square%2C+4-Inch+Round+Shank&amp;qid=1695174144&amp;sr=8-6")</f>
        <v>https://www.amazon.com/Klein-Tools-6944INS-Screwdriver-Cushion-Grip/dp/B09GPYTZV3/ref=sr_1_6?keywords=Klein+Tools+6984INS+Slim-Tip+1000V+Insulated+Screwdriver%2C+%231+Square%2C+4-Inch+Round+Shank&amp;qid=1695174144&amp;sr=8-6</v>
      </c>
      <c r="F3817" t="s">
        <v>7216</v>
      </c>
      <c r="G3817" t="e">
        <f ca="1">_xludf.IMAGE("https://edmondsonsupply.com/cdn/shop/products/6984ins.jpg?v=1664806448")</f>
        <v>#NAME?</v>
      </c>
      <c r="H3817" t="e">
        <f ca="1">_xludf.IMAGE("https://m.media-amazon.com/images/I/41PzygwLx+L._AC_UL320_.jpg")</f>
        <v>#NAME?</v>
      </c>
      <c r="I3817" t="s">
        <v>288</v>
      </c>
      <c r="J3817">
        <v>13.99</v>
      </c>
      <c r="K3817" s="4">
        <v>0</v>
      </c>
      <c r="L3817">
        <v>4.7</v>
      </c>
      <c r="M3817">
        <v>95</v>
      </c>
      <c r="O3817" t="s">
        <v>25</v>
      </c>
      <c r="P3817" t="s">
        <v>7730</v>
      </c>
      <c r="Q3817" t="s">
        <v>7733</v>
      </c>
    </row>
    <row r="3818" spans="1:17" ht="15.5" x14ac:dyDescent="0.35">
      <c r="A3818" s="3" t="str">
        <f>HYPERLINK("https://edmondsonsupply.com/collections/electricians-tools/products/klein-tools-62811-reusable-cooler-ice-packs-2-pack", "https://edmondsonsupply.com/collections/electricians-tools/products/klein-tools-62811-reusable-cooler-ice-packs-2-pack")</f>
        <v>https://edmondsonsupply.com/collections/electricians-tools/products/klein-tools-62811-reusable-cooler-ice-packs-2-pack</v>
      </c>
      <c r="B3818" s="3" t="str">
        <f>HYPERLINK("https://edmondsonsupply.com/products/klein-tools-62811-reusable-cooler-ice-packs-2-pack", "https://edmondsonsupply.com/products/klein-tools-62811-reusable-cooler-ice-packs-2-pack")</f>
        <v>https://edmondsonsupply.com/products/klein-tools-62811-reusable-cooler-ice-packs-2-pack</v>
      </c>
      <c r="C3818" t="s">
        <v>4643</v>
      </c>
      <c r="D3818" t="s">
        <v>4644</v>
      </c>
      <c r="E3818" s="3" t="str">
        <f>HYPERLINK("https://www.amazon.com/Klein-Tools-62811-Reusable-Interlocking/dp/B0C4RK78PC/ref=sr_1_1?keywords=Klein+Tools+62811+Reusable+Cooler+Ice+Packs%2C+2-Pack&amp;qid=1695173986&amp;sr=8-1", "https://www.amazon.com/Klein-Tools-62811-Reusable-Interlocking/dp/B0C4RK78PC/ref=sr_1_1?keywords=Klein+Tools+62811+Reusable+Cooler+Ice+Packs%2C+2-Pack&amp;qid=1695173986&amp;sr=8-1")</f>
        <v>https://www.amazon.com/Klein-Tools-62811-Reusable-Interlocking/dp/B0C4RK78PC/ref=sr_1_1?keywords=Klein+Tools+62811+Reusable+Cooler+Ice+Packs%2C+2-Pack&amp;qid=1695173986&amp;sr=8-1</v>
      </c>
      <c r="F3818" t="s">
        <v>4645</v>
      </c>
      <c r="G3818" t="e">
        <f ca="1">_xludf.IMAGE("https://edmondsonsupply.com/cdn/shop/files/62811.jpg?v=1689856974")</f>
        <v>#NAME?</v>
      </c>
      <c r="H3818" t="e">
        <f ca="1">_xludf.IMAGE("https://m.media-amazon.com/images/I/618hzjOT44L._AC_UL320_.jpg")</f>
        <v>#NAME?</v>
      </c>
      <c r="I3818" t="s">
        <v>577</v>
      </c>
      <c r="J3818">
        <v>19.989999999999998</v>
      </c>
      <c r="K3818" s="4">
        <v>0</v>
      </c>
      <c r="L3818">
        <v>4.5999999999999996</v>
      </c>
      <c r="M3818">
        <v>10</v>
      </c>
      <c r="O3818" t="s">
        <v>25</v>
      </c>
      <c r="P3818" t="s">
        <v>894</v>
      </c>
      <c r="Q3818" t="s">
        <v>4646</v>
      </c>
    </row>
    <row r="3819" spans="1:17" ht="15.5" x14ac:dyDescent="0.35">
      <c r="A3819"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3819" s="3" t="str">
        <f>HYPERLINK("https://edmondsonsupply.com/products/klein-tools-630m-magnetic-nut-driver-set-3-inch-shafts-2-piece", "https://edmondsonsupply.com/products/klein-tools-630m-magnetic-nut-driver-set-3-inch-shafts-2-piece")</f>
        <v>https://edmondsonsupply.com/products/klein-tools-630m-magnetic-nut-driver-set-3-inch-shafts-2-piece</v>
      </c>
      <c r="C3819" t="s">
        <v>1690</v>
      </c>
      <c r="D3819" t="s">
        <v>4520</v>
      </c>
      <c r="E3819" s="3" t="str">
        <f>HYPERLINK("https://www.amazon.com/Klein-Tools-Hollow-Magnetic-Driver/dp/B00080FO5I/ref=sr_1_1?keywords=Klein+Tools+630M+Magnetic+Nut+Driver+Set%2C+3-Inch+Shafts%2C+2-Piece&amp;qid=1695173928&amp;sr=8-1", "https://www.amazon.com/Klein-Tools-Hollow-Magnetic-Driver/dp/B00080FO5I/ref=sr_1_1?keywords=Klein+Tools+630M+Magnetic+Nut+Driver+Set%2C+3-Inch+Shafts%2C+2-Piece&amp;qid=1695173928&amp;sr=8-1")</f>
        <v>https://www.amazon.com/Klein-Tools-Hollow-Magnetic-Driver/dp/B00080FO5I/ref=sr_1_1?keywords=Klein+Tools+630M+Magnetic+Nut+Driver+Set%2C+3-Inch+Shafts%2C+2-Piece&amp;qid=1695173928&amp;sr=8-1</v>
      </c>
      <c r="F3819" t="s">
        <v>4521</v>
      </c>
      <c r="G3819" t="e">
        <f ca="1">_xludf.IMAGE("https://edmondsonsupply.com/cdn/shop/products/630m.jpg?v=1587143237")</f>
        <v>#NAME?</v>
      </c>
      <c r="H3819" t="e">
        <f ca="1">_xludf.IMAGE("https://m.media-amazon.com/images/I/41lx1kHoCZL._AC_UL320_.jpg")</f>
        <v>#NAME?</v>
      </c>
      <c r="I3819" t="s">
        <v>1687</v>
      </c>
      <c r="J3819">
        <v>18.989999999999998</v>
      </c>
      <c r="K3819" s="4">
        <v>0</v>
      </c>
      <c r="L3819">
        <v>4.5999999999999996</v>
      </c>
      <c r="M3819">
        <v>451</v>
      </c>
      <c r="O3819" t="s">
        <v>25</v>
      </c>
      <c r="P3819" t="s">
        <v>1693</v>
      </c>
      <c r="Q3819" t="s">
        <v>1694</v>
      </c>
    </row>
    <row r="3820" spans="1:17" ht="15.5" x14ac:dyDescent="0.35">
      <c r="A3820" s="3" t="str">
        <f>HYPERLINK("https://edmondsonsupply.com/collections/electricians-tools/products/klein-tools-6050350-corded-earplugs-50-pair-dispenser-pack", "https://edmondsonsupply.com/collections/electricians-tools/products/klein-tools-6050350-corded-earplugs-50-pair-dispenser-pack")</f>
        <v>https://edmondsonsupply.com/collections/electricians-tools/products/klein-tools-6050350-corded-earplugs-50-pair-dispenser-pack</v>
      </c>
      <c r="B3820" s="3" t="str">
        <f>HYPERLINK("https://edmondsonsupply.com/products/klein-tools-6050350-corded-earplugs-50-pair-dispenser-pack", "https://edmondsonsupply.com/products/klein-tools-6050350-corded-earplugs-50-pair-dispenser-pack")</f>
        <v>https://edmondsonsupply.com/products/klein-tools-6050350-corded-earplugs-50-pair-dispenser-pack</v>
      </c>
      <c r="C3820" t="s">
        <v>1146</v>
      </c>
      <c r="D3820" t="s">
        <v>1147</v>
      </c>
      <c r="E3820" s="3" t="str">
        <f>HYPERLINK("https://www.amazon.com/Klein-Tools-6050350-Dispenser-Construction/dp/B0BSXS7PQ4/ref=sr_1_1?keywords=Klein+Tools+6050350+Corded+Earplugs%2C+50-Pair+Dispenser+Pack&amp;qid=1695174070&amp;sr=8-1", "https://www.amazon.com/Klein-Tools-6050350-Dispenser-Construction/dp/B0BSXS7PQ4/ref=sr_1_1?keywords=Klein+Tools+6050350+Corded+Earplugs%2C+50-Pair+Dispenser+Pack&amp;qid=1695174070&amp;sr=8-1")</f>
        <v>https://www.amazon.com/Klein-Tools-6050350-Dispenser-Construction/dp/B0BSXS7PQ4/ref=sr_1_1?keywords=Klein+Tools+6050350+Corded+Earplugs%2C+50-Pair+Dispenser+Pack&amp;qid=1695174070&amp;sr=8-1</v>
      </c>
      <c r="F3820" t="s">
        <v>1148</v>
      </c>
      <c r="G3820" t="e">
        <f ca="1">_xludf.IMAGE("https://edmondsonsupply.com/cdn/shop/products/6050350.jpg?v=1677684633")</f>
        <v>#NAME?</v>
      </c>
      <c r="H3820" t="e">
        <f ca="1">_xludf.IMAGE("https://m.media-amazon.com/images/I/6196swgyHPL._AC_UL320_.jpg")</f>
        <v>#NAME?</v>
      </c>
      <c r="I3820" t="s">
        <v>26</v>
      </c>
      <c r="J3820">
        <v>29.99</v>
      </c>
      <c r="K3820" s="4">
        <v>0</v>
      </c>
      <c r="L3820">
        <v>4.3</v>
      </c>
      <c r="M3820">
        <v>15</v>
      </c>
      <c r="O3820" t="s">
        <v>25</v>
      </c>
      <c r="P3820" t="s">
        <v>562</v>
      </c>
      <c r="Q3820" t="s">
        <v>1149</v>
      </c>
    </row>
    <row r="3821" spans="1:17" ht="15.5" x14ac:dyDescent="0.35">
      <c r="A3821"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3821" s="3" t="str">
        <f>HYPERLINK("https://edmondsonsupply.com/products/klein-tools-32900-7-in-1-impact-flip-socket-with-handle", "https://edmondsonsupply.com/products/klein-tools-32900-7-in-1-impact-flip-socket-with-handle")</f>
        <v>https://edmondsonsupply.com/products/klein-tools-32900-7-in-1-impact-flip-socket-with-handle</v>
      </c>
      <c r="C3821" t="s">
        <v>6184</v>
      </c>
      <c r="D3821" t="s">
        <v>6402</v>
      </c>
      <c r="E3821" s="3" t="str">
        <f>HYPERLINK("https://www.amazon.com/Klein-Tools-32900-Impact-Driver/dp/B09PZG4F8X/ref=sr_1_1?keywords=Klein+Tools+32900+7-in-1+Impact+Flip+Socket+with+Handle&amp;qid=1695174143&amp;sr=8-1", "https://www.amazon.com/Klein-Tools-32900-Impact-Driver/dp/B09PZG4F8X/ref=sr_1_1?keywords=Klein+Tools+32900+7-in-1+Impact+Flip+Socket+with+Handle&amp;qid=1695174143&amp;sr=8-1")</f>
        <v>https://www.amazon.com/Klein-Tools-32900-Impact-Driver/dp/B09PZG4F8X/ref=sr_1_1?keywords=Klein+Tools+32900+7-in-1+Impact+Flip+Socket+with+Handle&amp;qid=1695174143&amp;sr=8-1</v>
      </c>
      <c r="F3821" t="s">
        <v>6403</v>
      </c>
      <c r="G3821" t="e">
        <f ca="1">_xludf.IMAGE("https://edmondsonsupply.com/cdn/shop/products/32900_b.jpg?v=1666024787")</f>
        <v>#NAME?</v>
      </c>
      <c r="H3821" t="e">
        <f ca="1">_xludf.IMAGE("https://m.media-amazon.com/images/I/51qL2uXqcTL._AC_UL320_.jpg")</f>
        <v>#NAME?</v>
      </c>
      <c r="I3821" t="s">
        <v>824</v>
      </c>
      <c r="J3821">
        <v>29.97</v>
      </c>
      <c r="K3821" s="4">
        <v>0</v>
      </c>
      <c r="L3821">
        <v>4.7</v>
      </c>
      <c r="M3821">
        <v>2493</v>
      </c>
      <c r="O3821" t="s">
        <v>25</v>
      </c>
      <c r="P3821" t="s">
        <v>73</v>
      </c>
      <c r="Q3821" t="s">
        <v>6187</v>
      </c>
    </row>
    <row r="3822" spans="1:17" ht="15.5" x14ac:dyDescent="0.35">
      <c r="A3822" s="3" t="str">
        <f>HYPERLINK("https://edmondsonsupply.com/collections/electricians-tools/products/jameson-tools-rd0058-ground-rod-driver-5-8-in", "https://edmondsonsupply.com/collections/electricians-tools/products/jameson-tools-rd0058-ground-rod-driver-5-8-in")</f>
        <v>https://edmondsonsupply.com/collections/electricians-tools/products/jameson-tools-rd0058-ground-rod-driver-5-8-in</v>
      </c>
      <c r="B3822" s="3" t="str">
        <f>HYPERLINK("https://edmondsonsupply.com/products/jameson-tools-rd0058-ground-rod-driver-5-8-in", "https://edmondsonsupply.com/products/jameson-tools-rd0058-ground-rod-driver-5-8-in")</f>
        <v>https://edmondsonsupply.com/products/jameson-tools-rd0058-ground-rod-driver-5-8-in</v>
      </c>
      <c r="C3822" t="s">
        <v>8208</v>
      </c>
      <c r="D3822" t="s">
        <v>8209</v>
      </c>
      <c r="E3822" s="3" t="str">
        <f>HYPERLINK("https://www.amazon.com/Jameson-RD0058-8-inch-Ground-Driver/dp/B07HJG2SZ8/ref=sr_1_1?keywords=Jameson+Tools+RD0058+Ground+Rod+Driver%2C+5%2F8+in.&amp;qid=1695173967&amp;sr=8-1", "https://www.amazon.com/Jameson-RD0058-8-inch-Ground-Driver/dp/B07HJG2SZ8/ref=sr_1_1?keywords=Jameson+Tools+RD0058+Ground+Rod+Driver%2C+5%2F8+in.&amp;qid=1695173967&amp;sr=8-1")</f>
        <v>https://www.amazon.com/Jameson-RD0058-8-inch-Ground-Driver/dp/B07HJG2SZ8/ref=sr_1_1?keywords=Jameson+Tools+RD0058+Ground+Rod+Driver%2C+5%2F8+in.&amp;qid=1695173967&amp;sr=8-1</v>
      </c>
      <c r="F3822" t="s">
        <v>8210</v>
      </c>
      <c r="G3822" t="e">
        <f ca="1">_xludf.IMAGE("https://edmondsonsupply.com/cdn/shop/files/RD0058.jpg?v=1694387232")</f>
        <v>#NAME?</v>
      </c>
      <c r="H3822" t="e">
        <f ca="1">_xludf.IMAGE("https://m.media-amazon.com/images/I/413mt6icHnL._AC_UL320_.jpg")</f>
        <v>#NAME?</v>
      </c>
      <c r="I3822" t="s">
        <v>8211</v>
      </c>
      <c r="J3822">
        <v>58.99</v>
      </c>
      <c r="K3822" s="4">
        <v>0</v>
      </c>
      <c r="L3822">
        <v>3.8</v>
      </c>
      <c r="M3822">
        <v>17</v>
      </c>
      <c r="O3822" t="s">
        <v>25</v>
      </c>
      <c r="P3822" t="s">
        <v>138</v>
      </c>
      <c r="Q3822" t="s">
        <v>8212</v>
      </c>
    </row>
    <row r="3823" spans="1:17" ht="15.5" x14ac:dyDescent="0.35">
      <c r="A3823"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3823"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3823" t="s">
        <v>8213</v>
      </c>
      <c r="D3823" t="s">
        <v>7095</v>
      </c>
      <c r="E3823" s="3" t="str">
        <f>HYPERLINK("https://www.amazon.com/Klein-Tools-6986INS-Screwdriver-Cushion-Grip/dp/B09GPYQ7DM/ref=sr_1_1?keywords=Klein+Tools+6986INS+Slim-Tip+1000V+Insulated+Screwdriver%2C&amp;qid=1695174143&amp;sr=8-1", "https://www.amazon.com/Klein-Tools-6986INS-Screwdriver-Cushion-Grip/dp/B09GPYQ7DM/ref=sr_1_1?keywords=Klein+Tools+6986INS+Slim-Tip+1000V+Insulated+Screwdriver%2C&amp;qid=1695174143&amp;sr=8-1")</f>
        <v>https://www.amazon.com/Klein-Tools-6986INS-Screwdriver-Cushion-Grip/dp/B09GPYQ7DM/ref=sr_1_1?keywords=Klein+Tools+6986INS+Slim-Tip+1000V+Insulated+Screwdriver%2C&amp;qid=1695174143&amp;sr=8-1</v>
      </c>
      <c r="F3823" t="s">
        <v>7096</v>
      </c>
      <c r="G3823" t="e">
        <f ca="1">_xludf.IMAGE("https://edmondsonsupply.com/cdn/shop/products/6986ins.jpg?v=1664806830")</f>
        <v>#NAME?</v>
      </c>
      <c r="H3823" t="e">
        <f ca="1">_xludf.IMAGE("https://m.media-amazon.com/images/I/41d5Ic37xZL._AC_UL320_.jpg")</f>
        <v>#NAME?</v>
      </c>
      <c r="I3823" t="s">
        <v>276</v>
      </c>
      <c r="J3823">
        <v>14.99</v>
      </c>
      <c r="K3823" s="4">
        <v>0</v>
      </c>
      <c r="L3823">
        <v>4.8</v>
      </c>
      <c r="M3823">
        <v>29</v>
      </c>
      <c r="O3823" t="s">
        <v>25</v>
      </c>
      <c r="P3823" t="s">
        <v>277</v>
      </c>
      <c r="Q3823" t="s">
        <v>8214</v>
      </c>
    </row>
    <row r="3824" spans="1:17" ht="15.5" x14ac:dyDescent="0.35">
      <c r="A3824"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3824"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3824" t="s">
        <v>7732</v>
      </c>
      <c r="D3824" t="s">
        <v>7219</v>
      </c>
      <c r="E3824" s="3" t="str">
        <f>HYPERLINK("https://www.amazon.com/Klein-Tools-6984INS-Screwdriver-Cushion-Grip/dp/B09GPZ5P2M/ref=sr_1_1?keywords=Klein+Tools+6984INS+Slim-Tip+1000V+Insulated+Screwdriver%2C+%231+Square%2C+4-Inch+Round+Shank&amp;qid=1695174144&amp;sr=8-1", "https://www.amazon.com/Klein-Tools-6984INS-Screwdriver-Cushion-Grip/dp/B09GPZ5P2M/ref=sr_1_1?keywords=Klein+Tools+6984INS+Slim-Tip+1000V+Insulated+Screwdriver%2C+%231+Square%2C+4-Inch+Round+Shank&amp;qid=1695174144&amp;sr=8-1")</f>
        <v>https://www.amazon.com/Klein-Tools-6984INS-Screwdriver-Cushion-Grip/dp/B09GPZ5P2M/ref=sr_1_1?keywords=Klein+Tools+6984INS+Slim-Tip+1000V+Insulated+Screwdriver%2C+%231+Square%2C+4-Inch+Round+Shank&amp;qid=1695174144&amp;sr=8-1</v>
      </c>
      <c r="F3824" t="s">
        <v>7220</v>
      </c>
      <c r="G3824" t="e">
        <f ca="1">_xludf.IMAGE("https://edmondsonsupply.com/cdn/shop/products/6984ins.jpg?v=1664806448")</f>
        <v>#NAME?</v>
      </c>
      <c r="H3824" t="e">
        <f ca="1">_xludf.IMAGE("https://m.media-amazon.com/images/I/41uj4ogsy3L._AC_UL320_.jpg")</f>
        <v>#NAME?</v>
      </c>
      <c r="I3824" t="s">
        <v>288</v>
      </c>
      <c r="J3824">
        <v>13.99</v>
      </c>
      <c r="K3824" s="4">
        <v>0</v>
      </c>
      <c r="L3824">
        <v>4.8</v>
      </c>
      <c r="M3824">
        <v>108</v>
      </c>
      <c r="O3824" t="s">
        <v>25</v>
      </c>
      <c r="P3824" t="s">
        <v>7730</v>
      </c>
      <c r="Q3824" t="s">
        <v>7733</v>
      </c>
    </row>
    <row r="3825" spans="1:17" ht="15.5" x14ac:dyDescent="0.35">
      <c r="A3825" s="3" t="str">
        <f>HYPERLINK("https://edmondsonsupply.com/collections/electricians-tools/products/klein-tools-69345-tripod", "https://edmondsonsupply.com/collections/electricians-tools/products/klein-tools-69345-tripod")</f>
        <v>https://edmondsonsupply.com/collections/electricians-tools/products/klein-tools-69345-tripod</v>
      </c>
      <c r="B3825" s="3" t="str">
        <f>HYPERLINK("https://edmondsonsupply.com/products/klein-tools-69345-tripod", "https://edmondsonsupply.com/products/klein-tools-69345-tripod")</f>
        <v>https://edmondsonsupply.com/products/klein-tools-69345-tripod</v>
      </c>
      <c r="C3825" t="s">
        <v>8215</v>
      </c>
      <c r="D3825" t="s">
        <v>8216</v>
      </c>
      <c r="E3825" s="3" t="str">
        <f>HYPERLINK("https://www.amazon.com/Klein-Tools-69345-Lightweight-Compatible/dp/B09FWG54RR/ref=sr_1_1?keywords=Klein+Tools+69345+Tripod&amp;qid=1695174147&amp;sr=8-1", "https://www.amazon.com/Klein-Tools-69345-Lightweight-Compatible/dp/B09FWG54RR/ref=sr_1_1?keywords=Klein+Tools+69345+Tripod&amp;qid=1695174147&amp;sr=8-1")</f>
        <v>https://www.amazon.com/Klein-Tools-69345-Lightweight-Compatible/dp/B09FWG54RR/ref=sr_1_1?keywords=Klein+Tools+69345+Tripod&amp;qid=1695174147&amp;sr=8-1</v>
      </c>
      <c r="F3825" t="s">
        <v>8217</v>
      </c>
      <c r="G3825" t="e">
        <f ca="1">_xludf.IMAGE("https://edmondsonsupply.com/cdn/shop/products/69345.jpg?v=1664808494")</f>
        <v>#NAME?</v>
      </c>
      <c r="H3825" t="e">
        <f ca="1">_xludf.IMAGE("https://m.media-amazon.com/images/I/41SqXbDaYJL._AC_UL320_.jpg")</f>
        <v>#NAME?</v>
      </c>
      <c r="I3825" t="s">
        <v>946</v>
      </c>
      <c r="J3825">
        <v>44.99</v>
      </c>
      <c r="K3825" s="4">
        <v>0</v>
      </c>
      <c r="L3825">
        <v>5</v>
      </c>
      <c r="M3825">
        <v>2</v>
      </c>
      <c r="O3825" t="s">
        <v>25</v>
      </c>
      <c r="P3825" t="s">
        <v>8218</v>
      </c>
      <c r="Q3825" t="s">
        <v>8219</v>
      </c>
    </row>
    <row r="3826" spans="1:17" ht="15.5" x14ac:dyDescent="0.35">
      <c r="A3826" s="3" t="str">
        <f>HYPERLINK("https://edmondsonsupply.com/collections/electricians-tools/products/klein-tools-60407rl-hard-hat-vented-full-brim-with-rechargeable-headlamp-white", "https://edmondsonsupply.com/collections/electricians-tools/products/klein-tools-60407rl-hard-hat-vented-full-brim-with-rechargeable-headlamp-white")</f>
        <v>https://edmondsonsupply.com/collections/electricians-tools/products/klein-tools-60407rl-hard-hat-vented-full-brim-with-rechargeable-headlamp-white</v>
      </c>
      <c r="B3826" s="3" t="str">
        <f>HYPERLINK("https://edmondsonsupply.com/products/klein-tools-60407rl-hard-hat-vented-full-brim-with-rechargeable-headlamp-white", "https://edmondsonsupply.com/products/klein-tools-60407rl-hard-hat-vented-full-brim-with-rechargeable-headlamp-white")</f>
        <v>https://edmondsonsupply.com/products/klein-tools-60407rl-hard-hat-vented-full-brim-with-rechargeable-headlamp-white</v>
      </c>
      <c r="C3826" t="s">
        <v>8220</v>
      </c>
      <c r="D3826" t="s">
        <v>1045</v>
      </c>
      <c r="E3826" s="3" t="str">
        <f>HYPERLINK("https://www.amazon.com/Klein-Tools-60406RL-Rechargeable-Odor-Resistant/dp/B08FBZT3BW/ref=sr_1_2?keywords=Klein+Tools+60407RL+Hard+Hat%2C+Vented%2C+Full+Brim+with+Rechargeable+Headlamp%2C+White&amp;qid=1695174144&amp;sr=8-2", "https://www.amazon.com/Klein-Tools-60406RL-Rechargeable-Odor-Resistant/dp/B08FBZT3BW/ref=sr_1_2?keywords=Klein+Tools+60407RL+Hard+Hat%2C+Vented%2C+Full+Brim+with+Rechargeable+Headlamp%2C+White&amp;qid=1695174144&amp;sr=8-2")</f>
        <v>https://www.amazon.com/Klein-Tools-60406RL-Rechargeable-Odor-Resistant/dp/B08FBZT3BW/ref=sr_1_2?keywords=Klein+Tools+60407RL+Hard+Hat%2C+Vented%2C+Full+Brim+with+Rechargeable+Headlamp%2C+White&amp;qid=1695174144&amp;sr=8-2</v>
      </c>
      <c r="F3826" t="s">
        <v>1046</v>
      </c>
      <c r="G3826" t="e">
        <f ca="1">_xludf.IMAGE("https://edmondsonsupply.com/cdn/shop/products/60407rl_d.jpg?v=1665589857")</f>
        <v>#NAME?</v>
      </c>
      <c r="H3826" t="e">
        <f ca="1">_xludf.IMAGE("https://m.media-amazon.com/images/I/61cNP5T1keL._AC_UL320_.jpg")</f>
        <v>#NAME?</v>
      </c>
      <c r="I3826" t="s">
        <v>588</v>
      </c>
      <c r="J3826">
        <v>69.989999999999995</v>
      </c>
      <c r="K3826" s="4">
        <v>0</v>
      </c>
      <c r="L3826">
        <v>4.7</v>
      </c>
      <c r="M3826">
        <v>358</v>
      </c>
      <c r="O3826" t="s">
        <v>25</v>
      </c>
      <c r="P3826" t="s">
        <v>1135</v>
      </c>
      <c r="Q3826" t="s">
        <v>8221</v>
      </c>
    </row>
    <row r="3827" spans="1:17" ht="15.5" x14ac:dyDescent="0.35">
      <c r="A3827" s="3" t="str">
        <f>HYPERLINK("https://edmondsonsupply.com/collections/electricians-tools/products/klein-tools-60185-work-gloves-cut-level-2-touchscreen-large-2-pair", "https://edmondsonsupply.com/collections/electricians-tools/products/klein-tools-60185-work-gloves-cut-level-2-touchscreen-large-2-pair")</f>
        <v>https://edmondsonsupply.com/collections/electricians-tools/products/klein-tools-60185-work-gloves-cut-level-2-touchscreen-large-2-pair</v>
      </c>
      <c r="B3827" s="3" t="str">
        <f>HYPERLINK("https://edmondsonsupply.com/products/klein-tools-60185-work-gloves-cut-level-2-touchscreen-large-2-pair", "https://edmondsonsupply.com/products/klein-tools-60185-work-gloves-cut-level-2-touchscreen-large-2-pair")</f>
        <v>https://edmondsonsupply.com/products/klein-tools-60185-work-gloves-cut-level-2-touchscreen-large-2-pair</v>
      </c>
      <c r="C3827" t="s">
        <v>1208</v>
      </c>
      <c r="D3827" t="s">
        <v>1209</v>
      </c>
      <c r="E3827" s="3" t="str">
        <f>HYPERLINK("https://www.amazon.com/Klein-Gloves-Cut-Resistant-Touchscreen-2-Pair/dp/B088NBRY3M/ref=sr_1_1?keywords=Klein+Tools+60185+Work+Gloves%2C+Cut+Level+2%2C+Touchscreen%2C+Large%2C+2-Pair&amp;qid=1695173927&amp;sr=8-1", "https://www.amazon.com/Klein-Gloves-Cut-Resistant-Touchscreen-2-Pair/dp/B088NBRY3M/ref=sr_1_1?keywords=Klein+Tools+60185+Work+Gloves%2C+Cut+Level+2%2C+Touchscreen%2C+Large%2C+2-Pair&amp;qid=1695173927&amp;sr=8-1")</f>
        <v>https://www.amazon.com/Klein-Gloves-Cut-Resistant-Touchscreen-2-Pair/dp/B088NBRY3M/ref=sr_1_1?keywords=Klein+Tools+60185+Work+Gloves%2C+Cut+Level+2%2C+Touchscreen%2C+Large%2C+2-Pair&amp;qid=1695173927&amp;sr=8-1</v>
      </c>
      <c r="F3827" t="s">
        <v>1210</v>
      </c>
      <c r="G3827" t="e">
        <f ca="1">_xludf.IMAGE("https://edmondsonsupply.com/cdn/shop/products/60185.jpg?v=1633030300")</f>
        <v>#NAME?</v>
      </c>
      <c r="H3827" t="e">
        <f ca="1">_xludf.IMAGE("https://m.media-amazon.com/images/I/71GlG2Zt5fL._AC_UL320_.jpg")</f>
        <v>#NAME?</v>
      </c>
      <c r="I3827" t="s">
        <v>1211</v>
      </c>
      <c r="J3827">
        <v>12.97</v>
      </c>
      <c r="K3827" s="4">
        <v>0</v>
      </c>
      <c r="L3827">
        <v>4.5999999999999996</v>
      </c>
      <c r="M3827">
        <v>135</v>
      </c>
      <c r="O3827" t="s">
        <v>25</v>
      </c>
      <c r="P3827" t="s">
        <v>1212</v>
      </c>
      <c r="Q3827" t="s">
        <v>1213</v>
      </c>
    </row>
    <row r="3828" spans="1:17" ht="15.5" x14ac:dyDescent="0.35">
      <c r="A3828"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3828"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3828" t="s">
        <v>8213</v>
      </c>
      <c r="D3828" t="s">
        <v>7098</v>
      </c>
      <c r="E3828" s="3" t="str">
        <f>HYPERLINK("https://www.amazon.com/Klein-Tools-6926INS-Screwdriver-Cushion-Grip/dp/B09GL1X5SZ/ref=sr_1_4?keywords=Klein+Tools+6986INS+Slim-Tip+1000V+Insulated+Screwdriver%2C&amp;qid=1695174143&amp;sr=8-4", "https://www.amazon.com/Klein-Tools-6926INS-Screwdriver-Cushion-Grip/dp/B09GL1X5SZ/ref=sr_1_4?keywords=Klein+Tools+6986INS+Slim-Tip+1000V+Insulated+Screwdriver%2C&amp;qid=1695174143&amp;sr=8-4")</f>
        <v>https://www.amazon.com/Klein-Tools-6926INS-Screwdriver-Cushion-Grip/dp/B09GL1X5SZ/ref=sr_1_4?keywords=Klein+Tools+6986INS+Slim-Tip+1000V+Insulated+Screwdriver%2C&amp;qid=1695174143&amp;sr=8-4</v>
      </c>
      <c r="F3828" t="s">
        <v>7099</v>
      </c>
      <c r="G3828" t="e">
        <f ca="1">_xludf.IMAGE("https://edmondsonsupply.com/cdn/shop/products/6986ins.jpg?v=1664806830")</f>
        <v>#NAME?</v>
      </c>
      <c r="H3828" t="e">
        <f ca="1">_xludf.IMAGE("https://m.media-amazon.com/images/I/41JbepP5oGL._AC_UL320_.jpg")</f>
        <v>#NAME?</v>
      </c>
      <c r="I3828" t="s">
        <v>276</v>
      </c>
      <c r="J3828">
        <v>14.99</v>
      </c>
      <c r="K3828" s="4">
        <v>0</v>
      </c>
      <c r="L3828">
        <v>4.8</v>
      </c>
      <c r="M3828">
        <v>85</v>
      </c>
      <c r="O3828" t="s">
        <v>25</v>
      </c>
      <c r="P3828" t="s">
        <v>277</v>
      </c>
      <c r="Q3828" t="s">
        <v>8214</v>
      </c>
    </row>
    <row r="3829" spans="1:17" ht="15.5" x14ac:dyDescent="0.35">
      <c r="A3829"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3829"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3829" t="s">
        <v>7423</v>
      </c>
      <c r="D3829" t="s">
        <v>7499</v>
      </c>
      <c r="E3829" s="3" t="str">
        <f>HYPERLINK("https://www.amazon.com/Klein-Tools-6846INS-Screwdriver-Cushion-Grip/dp/B0BF7X96QK/ref=sr_1_1?keywords=Klein+Tools+6846INS+Insulated+Screwdriver%2C+%232+Square+Tip%2C+6-Inch+Round+Shank&amp;qid=1695174148&amp;sr=8-1", "https://www.amazon.com/Klein-Tools-6846INS-Screwdriver-Cushion-Grip/dp/B0BF7X96QK/ref=sr_1_1?keywords=Klein+Tools+6846INS+Insulated+Screwdriver%2C+%232+Square+Tip%2C+6-Inch+Round+Shank&amp;qid=1695174148&amp;sr=8-1")</f>
        <v>https://www.amazon.com/Klein-Tools-6846INS-Screwdriver-Cushion-Grip/dp/B0BF7X96QK/ref=sr_1_1?keywords=Klein+Tools+6846INS+Insulated+Screwdriver%2C+%232+Square+Tip%2C+6-Inch+Round+Shank&amp;qid=1695174148&amp;sr=8-1</v>
      </c>
      <c r="F3829" t="s">
        <v>7500</v>
      </c>
      <c r="G3829" t="e">
        <f ca="1">_xludf.IMAGE("https://edmondsonsupply.com/cdn/shop/products/6846ins.jpg?v=1664817571")</f>
        <v>#NAME?</v>
      </c>
      <c r="H3829" t="e">
        <f ca="1">_xludf.IMAGE("https://m.media-amazon.com/images/I/31EOUkZ6n3L._AC_UL320_.jpg")</f>
        <v>#NAME?</v>
      </c>
      <c r="I3829" t="s">
        <v>6073</v>
      </c>
      <c r="J3829">
        <v>11.97</v>
      </c>
      <c r="K3829" s="4">
        <v>0</v>
      </c>
      <c r="L3829">
        <v>4.8</v>
      </c>
      <c r="M3829">
        <v>207</v>
      </c>
      <c r="O3829" t="s">
        <v>25</v>
      </c>
      <c r="P3829" t="s">
        <v>6728</v>
      </c>
      <c r="Q3829" t="s">
        <v>7424</v>
      </c>
    </row>
    <row r="3830" spans="1:17" ht="15.5" x14ac:dyDescent="0.35">
      <c r="A3830" s="3" t="str">
        <f>HYPERLINK("https://edmondsonsupply.com/collections/electricians-tools/products/klein-tools-ti290-rechargeable-pro-thermal-imager", "https://edmondsonsupply.com/collections/electricians-tools/products/klein-tools-ti290-rechargeable-pro-thermal-imager")</f>
        <v>https://edmondsonsupply.com/collections/electricians-tools/products/klein-tools-ti290-rechargeable-pro-thermal-imager</v>
      </c>
      <c r="B3830" s="3" t="str">
        <f>HYPERLINK("https://edmondsonsupply.com/products/klein-tools-ti290-rechargeable-pro-thermal-imager", "https://edmondsonsupply.com/products/klein-tools-ti290-rechargeable-pro-thermal-imager")</f>
        <v>https://edmondsonsupply.com/products/klein-tools-ti290-rechargeable-pro-thermal-imager</v>
      </c>
      <c r="C3830" t="s">
        <v>8222</v>
      </c>
      <c r="D3830" t="s">
        <v>8223</v>
      </c>
      <c r="E3830" s="3" t="str">
        <f>HYPERLINK("https://www.amazon.com/Klein-Tools-TI290-Rechargeable-Temperature/dp/B0BWC6NNWF/ref=sr_1_1?keywords=Klein+Tools+TI290+Rechargeable+Pro+Thermal+Imager&amp;qid=1695174066&amp;sr=8-1", "https://www.amazon.com/Klein-Tools-TI290-Rechargeable-Temperature/dp/B0BWC6NNWF/ref=sr_1_1?keywords=Klein+Tools+TI290+Rechargeable+Pro+Thermal+Imager&amp;qid=1695174066&amp;sr=8-1")</f>
        <v>https://www.amazon.com/Klein-Tools-TI290-Rechargeable-Temperature/dp/B0BWC6NNWF/ref=sr_1_1?keywords=Klein+Tools+TI290+Rechargeable+Pro+Thermal+Imager&amp;qid=1695174066&amp;sr=8-1</v>
      </c>
      <c r="F3830" t="s">
        <v>8224</v>
      </c>
      <c r="G3830" t="e">
        <f ca="1">_xludf.IMAGE("https://edmondsonsupply.com/cdn/shop/products/ti290_family.jpg?v=1677681932")</f>
        <v>#NAME?</v>
      </c>
      <c r="H3830" t="e">
        <f ca="1">_xludf.IMAGE("https://m.media-amazon.com/images/I/71xtR87DGvL._AC_UY218_.jpg")</f>
        <v>#NAME?</v>
      </c>
      <c r="I3830" t="s">
        <v>8225</v>
      </c>
      <c r="J3830">
        <v>499.99</v>
      </c>
      <c r="K3830" s="4">
        <v>0</v>
      </c>
      <c r="L3830">
        <v>4.0999999999999996</v>
      </c>
      <c r="M3830">
        <v>6</v>
      </c>
      <c r="O3830" t="s">
        <v>25</v>
      </c>
      <c r="P3830" t="s">
        <v>8226</v>
      </c>
      <c r="Q3830" t="s">
        <v>8227</v>
      </c>
    </row>
    <row r="3831" spans="1:17" ht="15.5" x14ac:dyDescent="0.35">
      <c r="A3831" s="3" t="str">
        <f>HYPERLINK("https://edmondsonsupply.com/collections/electricians-tools/products/klein-tools-56048-rechargeable-headlamp-with-strap-400-lumen-all-day-runtime-auto-off", "https://edmondsonsupply.com/collections/electricians-tools/products/klein-tools-56048-rechargeable-headlamp-with-strap-400-lumen-all-day-runtime-auto-off")</f>
        <v>https://edmondsonsupply.com/collections/electricians-tools/products/klein-tools-56048-rechargeable-headlamp-with-strap-400-lumen-all-day-runtime-auto-off</v>
      </c>
      <c r="B3831"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3831" t="s">
        <v>1034</v>
      </c>
      <c r="D3831" t="s">
        <v>1216</v>
      </c>
      <c r="E3831" s="3" t="str">
        <f>HYPERLINK("https://www.amazon.com/Klein-Tools-56048-Rechargeable-Adjustable/dp/B08J4H5LCV/ref=sr_1_1?keywords=Klein+Tools+56048+Rechargeable+Headlamp+with+Fabric+Strap%2C+400+Lumens%2C+All-Day+Runtime&amp;qid=1695173981&amp;sr=8-1", "https://www.amazon.com/Klein-Tools-56048-Rechargeable-Adjustable/dp/B08J4H5LCV/ref=sr_1_1?keywords=Klein+Tools+56048+Rechargeable+Headlamp+with+Fabric+Strap%2C+400+Lumens%2C+All-Day+Runtime&amp;qid=1695173981&amp;sr=8-1")</f>
        <v>https://www.amazon.com/Klein-Tools-56048-Rechargeable-Adjustable/dp/B08J4H5LCV/ref=sr_1_1?keywords=Klein+Tools+56048+Rechargeable+Headlamp+with+Fabric+Strap%2C+400+Lumens%2C+All-Day+Runtime&amp;qid=1695173981&amp;sr=8-1</v>
      </c>
      <c r="F3831" t="s">
        <v>1217</v>
      </c>
      <c r="G3831" t="e">
        <f ca="1">_xludf.IMAGE("https://edmondsonsupply.com/cdn/shop/products/56048.jpg?v=1633030457")</f>
        <v>#NAME?</v>
      </c>
      <c r="H3831" t="e">
        <f ca="1">_xludf.IMAGE("https://m.media-amazon.com/images/I/61MIndiWy-L._AC_UL320_.jpg")</f>
        <v>#NAME?</v>
      </c>
      <c r="I3831" t="s">
        <v>246</v>
      </c>
      <c r="J3831">
        <v>39.97</v>
      </c>
      <c r="K3831" s="4">
        <v>0</v>
      </c>
      <c r="L3831">
        <v>4.5999999999999996</v>
      </c>
      <c r="M3831">
        <v>845</v>
      </c>
      <c r="O3831" t="s">
        <v>25</v>
      </c>
      <c r="P3831" t="s">
        <v>1032</v>
      </c>
      <c r="Q3831" t="s">
        <v>1035</v>
      </c>
    </row>
    <row r="3832" spans="1:17" ht="15.5" x14ac:dyDescent="0.35">
      <c r="A3832"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3832"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3832" t="s">
        <v>8213</v>
      </c>
      <c r="D3832" t="s">
        <v>7418</v>
      </c>
      <c r="E3832" s="3" t="str">
        <f>HYPERLINK("https://www.amazon.com/Klein-Tools-6936INS-Screwdriver-Cushion-Grip/dp/B09GPZMQ1R/ref=sr_1_5?keywords=Klein+Tools+6986INS+Slim-Tip+1000V+Insulated+Screwdriver%2C&amp;qid=1695174143&amp;sr=8-5", "https://www.amazon.com/Klein-Tools-6936INS-Screwdriver-Cushion-Grip/dp/B09GPZMQ1R/ref=sr_1_5?keywords=Klein+Tools+6986INS+Slim-Tip+1000V+Insulated+Screwdriver%2C&amp;qid=1695174143&amp;sr=8-5")</f>
        <v>https://www.amazon.com/Klein-Tools-6936INS-Screwdriver-Cushion-Grip/dp/B09GPZMQ1R/ref=sr_1_5?keywords=Klein+Tools+6986INS+Slim-Tip+1000V+Insulated+Screwdriver%2C&amp;qid=1695174143&amp;sr=8-5</v>
      </c>
      <c r="F3832" t="s">
        <v>7419</v>
      </c>
      <c r="G3832" t="e">
        <f ca="1">_xludf.IMAGE("https://edmondsonsupply.com/cdn/shop/products/6986ins.jpg?v=1664806830")</f>
        <v>#NAME?</v>
      </c>
      <c r="H3832" t="e">
        <f ca="1">_xludf.IMAGE("https://m.media-amazon.com/images/I/414OB6kFvkL._AC_UL320_.jpg")</f>
        <v>#NAME?</v>
      </c>
      <c r="I3832" t="s">
        <v>276</v>
      </c>
      <c r="J3832">
        <v>14.99</v>
      </c>
      <c r="K3832" s="4">
        <v>0</v>
      </c>
      <c r="L3832">
        <v>4.9000000000000004</v>
      </c>
      <c r="M3832">
        <v>71</v>
      </c>
      <c r="O3832" t="s">
        <v>25</v>
      </c>
      <c r="P3832" t="s">
        <v>277</v>
      </c>
      <c r="Q3832" t="s">
        <v>8214</v>
      </c>
    </row>
    <row r="3833" spans="1:17" ht="15.5" x14ac:dyDescent="0.35">
      <c r="A3833"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3833" s="3" t="str">
        <f>HYPERLINK("https://edmondsonsupply.com/products/klein-tools-69417-rare-earth-magnetic-meter-hanger", "https://edmondsonsupply.com/products/klein-tools-69417-rare-earth-magnetic-meter-hanger")</f>
        <v>https://edmondsonsupply.com/products/klein-tools-69417-rare-earth-magnetic-meter-hanger</v>
      </c>
      <c r="C3833" t="s">
        <v>1413</v>
      </c>
      <c r="D3833" t="s">
        <v>4526</v>
      </c>
      <c r="E3833" s="3" t="str">
        <f>HYPERLINK("https://www.amazon.com/Magnetic-Hanger-Klein-Tools-69417/dp/B01B7RBXZ0/ref=sr_1_1?keywords=Klein+Tools+69417+Rare+Earth+Magnetic+Meter+Hanger%2C+with+Strap&amp;qid=1695173948&amp;sr=8-1", "https://www.amazon.com/Magnetic-Hanger-Klein-Tools-69417/dp/B01B7RBXZ0/ref=sr_1_1?keywords=Klein+Tools+69417+Rare+Earth+Magnetic+Meter+Hanger%2C+with+Strap&amp;qid=1695173948&amp;sr=8-1")</f>
        <v>https://www.amazon.com/Magnetic-Hanger-Klein-Tools-69417/dp/B01B7RBXZ0/ref=sr_1_1?keywords=Klein+Tools+69417+Rare+Earth+Magnetic+Meter+Hanger%2C+with+Strap&amp;qid=1695173948&amp;sr=8-1</v>
      </c>
      <c r="F3833" t="s">
        <v>4527</v>
      </c>
      <c r="G3833" t="e">
        <f ca="1">_xludf.IMAGE("https://edmondsonsupply.com/cdn/shop/products/69417.jpg?v=1587150163")</f>
        <v>#NAME?</v>
      </c>
      <c r="H3833" t="e">
        <f ca="1">_xludf.IMAGE("https://m.media-amazon.com/images/I/51yfJbP4XCL._AC_UL320_.jpg")</f>
        <v>#NAME?</v>
      </c>
      <c r="I3833" t="s">
        <v>288</v>
      </c>
      <c r="J3833">
        <v>13.99</v>
      </c>
      <c r="K3833" s="4">
        <v>0</v>
      </c>
      <c r="L3833">
        <v>4.8</v>
      </c>
      <c r="M3833">
        <v>3757</v>
      </c>
      <c r="O3833" t="s">
        <v>25</v>
      </c>
      <c r="P3833" t="s">
        <v>845</v>
      </c>
      <c r="Q3833" t="s">
        <v>1416</v>
      </c>
    </row>
    <row r="3834" spans="1:17" ht="15.5" x14ac:dyDescent="0.35">
      <c r="A3834" s="3" t="str">
        <f>HYPERLINK("https://edmondsonsupply.com/collections/electricians-tools/products/klein-tools-450-001-staples-1-4-inch-x-5-16-inch-insulated", "https://edmondsonsupply.com/collections/electricians-tools/products/klein-tools-450-001-staples-1-4-inch-x-5-16-inch-insulated")</f>
        <v>https://edmondsonsupply.com/collections/electricians-tools/products/klein-tools-450-001-staples-1-4-inch-x-5-16-inch-insulated</v>
      </c>
      <c r="B3834" s="3" t="str">
        <f>HYPERLINK("https://edmondsonsupply.com/products/klein-tools-450-001-staples-1-4-inch-x-5-16-inch-insulated", "https://edmondsonsupply.com/products/klein-tools-450-001-staples-1-4-inch-x-5-16-inch-insulated")</f>
        <v>https://edmondsonsupply.com/products/klein-tools-450-001-staples-1-4-inch-x-5-16-inch-insulated</v>
      </c>
      <c r="C3834" t="s">
        <v>6155</v>
      </c>
      <c r="D3834" t="s">
        <v>8228</v>
      </c>
      <c r="E3834" s="3" t="str">
        <f>HYPERLINK("https://www.amazon.com/Klein-Tools-450-001-Staples-Insulated/dp/B085T5GM89/ref=sr_1_1?keywords=Klein+Tools+450-001+Staples%2C+1%2F4-Inch+x+5%2F16-Inch+Insulated&amp;qid=1695173921&amp;sr=8-1", "https://www.amazon.com/Klein-Tools-450-001-Staples-Insulated/dp/B085T5GM89/ref=sr_1_1?keywords=Klein+Tools+450-001+Staples%2C+1%2F4-Inch+x+5%2F16-Inch+Insulated&amp;qid=1695173921&amp;sr=8-1")</f>
        <v>https://www.amazon.com/Klein-Tools-450-001-Staples-Insulated/dp/B085T5GM89/ref=sr_1_1?keywords=Klein+Tools+450-001+Staples%2C+1%2F4-Inch+x+5%2F16-Inch+Insulated&amp;qid=1695173921&amp;sr=8-1</v>
      </c>
      <c r="F3834" t="s">
        <v>8229</v>
      </c>
      <c r="G3834" t="e">
        <f ca="1">_xludf.IMAGE("https://edmondsonsupply.com/cdn/shop/products/450001.jpg?v=1633030470")</f>
        <v>#NAME?</v>
      </c>
      <c r="H3834" t="e">
        <f ca="1">_xludf.IMAGE("https://m.media-amazon.com/images/I/51KmfDEayiL._AC_UL320_.jpg")</f>
        <v>#NAME?</v>
      </c>
      <c r="I3834" t="s">
        <v>2577</v>
      </c>
      <c r="J3834">
        <v>9.99</v>
      </c>
      <c r="K3834" s="4">
        <v>0</v>
      </c>
      <c r="L3834">
        <v>4.0999999999999996</v>
      </c>
      <c r="M3834">
        <v>652</v>
      </c>
      <c r="O3834" t="s">
        <v>25</v>
      </c>
      <c r="P3834" t="s">
        <v>2434</v>
      </c>
      <c r="Q3834" t="s">
        <v>6158</v>
      </c>
    </row>
    <row r="3835" spans="1:17" ht="15.5" x14ac:dyDescent="0.35">
      <c r="A3835"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3835"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3835" t="s">
        <v>8213</v>
      </c>
      <c r="D3835" t="s">
        <v>8010</v>
      </c>
      <c r="E3835" s="3" t="str">
        <f>HYPERLINK("https://www.amazon.com/Klein-Tools-6956INS-Screwdriver-Cushion-Grip/dp/B09H9GV5CP/ref=sr_1_8?keywords=Klein+Tools+6986INS+Slim-Tip+1000V+Insulated+Screwdriver%2C&amp;qid=1695174143&amp;sr=8-8", "https://www.amazon.com/Klein-Tools-6956INS-Screwdriver-Cushion-Grip/dp/B09H9GV5CP/ref=sr_1_8?keywords=Klein+Tools+6986INS+Slim-Tip+1000V+Insulated+Screwdriver%2C&amp;qid=1695174143&amp;sr=8-8")</f>
        <v>https://www.amazon.com/Klein-Tools-6956INS-Screwdriver-Cushion-Grip/dp/B09H9GV5CP/ref=sr_1_8?keywords=Klein+Tools+6986INS+Slim-Tip+1000V+Insulated+Screwdriver%2C&amp;qid=1695174143&amp;sr=8-8</v>
      </c>
      <c r="F3835" t="s">
        <v>8011</v>
      </c>
      <c r="G3835" t="e">
        <f ca="1">_xludf.IMAGE("https://edmondsonsupply.com/cdn/shop/products/6986ins.jpg?v=1664806830")</f>
        <v>#NAME?</v>
      </c>
      <c r="H3835" t="e">
        <f ca="1">_xludf.IMAGE("https://m.media-amazon.com/images/I/41XYb1ZhlVL._AC_UL320_.jpg")</f>
        <v>#NAME?</v>
      </c>
      <c r="I3835" t="s">
        <v>276</v>
      </c>
      <c r="J3835">
        <v>14.99</v>
      </c>
      <c r="K3835" s="4">
        <v>0</v>
      </c>
      <c r="L3835">
        <v>4.5999999999999996</v>
      </c>
      <c r="M3835">
        <v>11</v>
      </c>
      <c r="O3835" t="s">
        <v>25</v>
      </c>
      <c r="P3835" t="s">
        <v>277</v>
      </c>
      <c r="Q3835" t="s">
        <v>8214</v>
      </c>
    </row>
    <row r="3836" spans="1:17" ht="15.5" x14ac:dyDescent="0.35">
      <c r="A3836" s="3" t="str">
        <f>HYPERLINK("https://edmondsonsupply.com/collections/electricians-tools/products/klein-tools-s6hb-grip-it%E2%84%A2-strap-wrench-1-1-2-to-4-inch-6-inch-handle", "https://edmondsonsupply.com/collections/electricians-tools/products/klein-tools-s6hb-grip-it%E2%84%A2-strap-wrench-1-1-2-to-4-inch-6-inch-handle")</f>
        <v>https://edmondsonsupply.com/collections/electricians-tools/products/klein-tools-s6hb-grip-it%E2%84%A2-strap-wrench-1-1-2-to-4-inch-6-inch-handle</v>
      </c>
      <c r="B3836" s="3" t="str">
        <f>HYPERLINK("https://edmondsonsupply.com/products/klein-tools-s6hb-grip-it%e2%84%a2-strap-wrench-1-1-2-to-4-inch-6-inch-handle", "https://edmondsonsupply.com/products/klein-tools-s6hb-grip-it%e2%84%a2-strap-wrench-1-1-2-to-4-inch-6-inch-handle")</f>
        <v>https://edmondsonsupply.com/products/klein-tools-s6hb-grip-it%e2%84%a2-strap-wrench-1-1-2-to-4-inch-6-inch-handle</v>
      </c>
      <c r="C3836" t="s">
        <v>4582</v>
      </c>
      <c r="D3836" t="s">
        <v>4583</v>
      </c>
      <c r="E3836" s="3" t="str">
        <f>HYPERLINK("https://www.amazon.com/Klein-Tools-S6HB-Adjustable-Adjusts/dp/B0BN4K6NJ3/ref=sr_1_1?keywords=Klein+Tools+S6HB+Grip-It%E2%84%A2+Strap+Wrench%2C+1-1%2F2+to+4-Inch%2C+6-Inch+Handle&amp;qid=1695173997&amp;sr=8-1", "https://www.amazon.com/Klein-Tools-S6HB-Adjustable-Adjusts/dp/B0BN4K6NJ3/ref=sr_1_1?keywords=Klein+Tools+S6HB+Grip-It%E2%84%A2+Strap+Wrench%2C+1-1%2F2+to+4-Inch%2C+6-Inch+Handle&amp;qid=1695173997&amp;sr=8-1")</f>
        <v>https://www.amazon.com/Klein-Tools-S6HB-Adjustable-Adjusts/dp/B0BN4K6NJ3/ref=sr_1_1?keywords=Klein+Tools+S6HB+Grip-It%E2%84%A2+Strap+Wrench%2C+1-1%2F2+to+4-Inch%2C+6-Inch+Handle&amp;qid=1695173997&amp;sr=8-1</v>
      </c>
      <c r="F3836" t="s">
        <v>4584</v>
      </c>
      <c r="G3836" t="e">
        <f ca="1">_xludf.IMAGE("https://edmondsonsupply.com/cdn/shop/files/s6hb_b.jpg?v=1689787234")</f>
        <v>#NAME?</v>
      </c>
      <c r="H3836" t="e">
        <f ca="1">_xludf.IMAGE("https://m.media-amazon.com/images/I/51B-bCYdl9L._AC_UL320_.jpg")</f>
        <v>#NAME?</v>
      </c>
      <c r="I3836" t="s">
        <v>276</v>
      </c>
      <c r="J3836">
        <v>14.99</v>
      </c>
      <c r="K3836" s="4">
        <v>0</v>
      </c>
      <c r="L3836">
        <v>4.2</v>
      </c>
      <c r="M3836">
        <v>9</v>
      </c>
      <c r="O3836" t="s">
        <v>25</v>
      </c>
      <c r="P3836" t="s">
        <v>277</v>
      </c>
      <c r="Q3836" t="s">
        <v>4585</v>
      </c>
    </row>
    <row r="3837" spans="1:17" ht="15.5" x14ac:dyDescent="0.35">
      <c r="A3837" s="3" t="str">
        <f>HYPERLINK("https://edmondsonsupply.com/collections/electricians-tools/products/klein-tools-70571-grip-it%C2%AE-ball-end-hex-set-5-key-sae-sizes", "https://edmondsonsupply.com/collections/electricians-tools/products/klein-tools-70571-grip-it%C2%AE-ball-end-hex-set-5-key-sae-sizes")</f>
        <v>https://edmondsonsupply.com/collections/electricians-tools/products/klein-tools-70571-grip-it%C2%AE-ball-end-hex-set-5-key-sae-sizes</v>
      </c>
      <c r="B3837" s="3" t="str">
        <f>HYPERLINK("https://edmondsonsupply.com/products/klein-tools-70571-grip-it%c2%ae-ball-end-hex-set-5-key-sae-sizes", "https://edmondsonsupply.com/products/klein-tools-70571-grip-it%c2%ae-ball-end-hex-set-5-key-sae-sizes")</f>
        <v>https://edmondsonsupply.com/products/klein-tools-70571-grip-it%c2%ae-ball-end-hex-set-5-key-sae-sizes</v>
      </c>
      <c r="C3837" t="s">
        <v>8230</v>
      </c>
      <c r="D3837" t="s">
        <v>7795</v>
      </c>
      <c r="E3837" s="3" t="str">
        <f>HYPERLINK("https://www.amazon.com/Klein-Tools-70571-Grip-Sizes/dp/B0002RI8P0/ref=sr_1_1?keywords=Klein+Tools+70571+Grip-It%C2%AE+Ball+End+Hex+Set%2C+5-Key%2C+SAE+Sizes&amp;qid=1695174146&amp;sr=8-1", "https://www.amazon.com/Klein-Tools-70571-Grip-Sizes/dp/B0002RI8P0/ref=sr_1_1?keywords=Klein+Tools+70571+Grip-It%C2%AE+Ball+End+Hex+Set%2C+5-Key%2C+SAE+Sizes&amp;qid=1695174146&amp;sr=8-1")</f>
        <v>https://www.amazon.com/Klein-Tools-70571-Grip-Sizes/dp/B0002RI8P0/ref=sr_1_1?keywords=Klein+Tools+70571+Grip-It%C2%AE+Ball+End+Hex+Set%2C+5-Key%2C+SAE+Sizes&amp;qid=1695174146&amp;sr=8-1</v>
      </c>
      <c r="F3837" t="s">
        <v>7796</v>
      </c>
      <c r="G3837" t="e">
        <f ca="1">_xludf.IMAGE("https://edmondsonsupply.com/cdn/shop/products/70571.jpg?v=1665688779")</f>
        <v>#NAME?</v>
      </c>
      <c r="H3837" t="e">
        <f ca="1">_xludf.IMAGE("https://m.media-amazon.com/images/I/51dn90ONbbL._AC_UL320_.jpg")</f>
        <v>#NAME?</v>
      </c>
      <c r="I3837" t="s">
        <v>288</v>
      </c>
      <c r="J3837">
        <v>13.99</v>
      </c>
      <c r="K3837" s="4">
        <v>0</v>
      </c>
      <c r="L3837">
        <v>4.5999999999999996</v>
      </c>
      <c r="M3837">
        <v>159</v>
      </c>
      <c r="O3837" t="s">
        <v>25</v>
      </c>
      <c r="P3837" t="s">
        <v>1722</v>
      </c>
      <c r="Q3837" t="s">
        <v>8231</v>
      </c>
    </row>
    <row r="3838" spans="1:17" ht="15.5" x14ac:dyDescent="0.35">
      <c r="A3838" s="3" t="str">
        <f>HYPERLINK("https://edmondsonsupply.com/collections/electricians-tools/products/klein-tools-6944ins", "https://edmondsonsupply.com/collections/electricians-tools/products/klein-tools-6944ins")</f>
        <v>https://edmondsonsupply.com/collections/electricians-tools/products/klein-tools-6944ins</v>
      </c>
      <c r="B3838" s="3" t="str">
        <f>HYPERLINK("https://edmondsonsupply.com/products/klein-tools-6944ins", "https://edmondsonsupply.com/products/klein-tools-6944ins")</f>
        <v>https://edmondsonsupply.com/products/klein-tools-6944ins</v>
      </c>
      <c r="C3838" t="s">
        <v>7729</v>
      </c>
      <c r="D3838" t="s">
        <v>7215</v>
      </c>
      <c r="E3838" s="3" t="str">
        <f>HYPERLINK("https://www.amazon.com/Klein-Tools-6944INS-Screwdriver-Cushion-Grip/dp/B09GPYTZV3/ref=sr_1_1?keywords=Klein+Tools+6944INS+Slim-Tip+1000V+Insulated+Screwdriver%2C&amp;qid=1695174144&amp;sr=8-1", "https://www.amazon.com/Klein-Tools-6944INS-Screwdriver-Cushion-Grip/dp/B09GPYTZV3/ref=sr_1_1?keywords=Klein+Tools+6944INS+Slim-Tip+1000V+Insulated+Screwdriver%2C&amp;qid=1695174144&amp;sr=8-1")</f>
        <v>https://www.amazon.com/Klein-Tools-6944INS-Screwdriver-Cushion-Grip/dp/B09GPYTZV3/ref=sr_1_1?keywords=Klein+Tools+6944INS+Slim-Tip+1000V+Insulated+Screwdriver%2C&amp;qid=1695174144&amp;sr=8-1</v>
      </c>
      <c r="F3838" t="s">
        <v>7216</v>
      </c>
      <c r="G3838" t="e">
        <f ca="1">_xludf.IMAGE("https://edmondsonsupply.com/cdn/shop/products/6944ins.jpg?v=1664804875")</f>
        <v>#NAME?</v>
      </c>
      <c r="H3838" t="e">
        <f ca="1">_xludf.IMAGE("https://m.media-amazon.com/images/I/41PzygwLx+L._AC_UL320_.jpg")</f>
        <v>#NAME?</v>
      </c>
      <c r="I3838" t="s">
        <v>288</v>
      </c>
      <c r="J3838">
        <v>13.99</v>
      </c>
      <c r="K3838" s="4">
        <v>0</v>
      </c>
      <c r="L3838">
        <v>4.7</v>
      </c>
      <c r="M3838">
        <v>95</v>
      </c>
      <c r="O3838" t="s">
        <v>25</v>
      </c>
      <c r="P3838" t="s">
        <v>7730</v>
      </c>
      <c r="Q3838" t="s">
        <v>7731</v>
      </c>
    </row>
    <row r="3839" spans="1:17" ht="15.5" x14ac:dyDescent="0.35">
      <c r="A3839" s="3" t="str">
        <f>HYPERLINK("https://edmondsonsupply.com/collections/electricians-tools/products/klein-tools-11055glw-high-visibility-klein-kurve%C2%AE-wire-stripper-cutter", "https://edmondsonsupply.com/collections/electricians-tools/products/klein-tools-11055glw-high-visibility-klein-kurve%C2%AE-wire-stripper-cutter")</f>
        <v>https://edmondsonsupply.com/collections/electricians-tools/products/klein-tools-11055glw-high-visibility-klein-kurve%C2%AE-wire-stripper-cutter</v>
      </c>
      <c r="B3839" s="3" t="str">
        <f>HYPERLINK("https://edmondsonsupply.com/products/klein-tools-11055glw-high-visibility-klein-kurve%c2%ae-wire-stripper-cutter", "https://edmondsonsupply.com/products/klein-tools-11055glw-high-visibility-klein-kurve%c2%ae-wire-stripper-cutter")</f>
        <v>https://edmondsonsupply.com/products/klein-tools-11055glw-high-visibility-klein-kurve%c2%ae-wire-stripper-cutter</v>
      </c>
      <c r="C3839" t="s">
        <v>8232</v>
      </c>
      <c r="D3839" t="s">
        <v>3625</v>
      </c>
      <c r="E3839" s="3" t="str">
        <f>HYPERLINK("https://www.amazon.com/Klein-Tools-11055GLW-Stripper-Klein-Kurve/dp/B09FVTWPQV/ref=sr_1_2?keywords=Klein+Tools+11055GLW+High-Visibility+Klein-Kurve%C2%AE+Wire+Stripper+%2F+Cutter&amp;qid=1695174145&amp;sr=8-2", "https://www.amazon.com/Klein-Tools-11055GLW-Stripper-Klein-Kurve/dp/B09FVTWPQV/ref=sr_1_2?keywords=Klein+Tools+11055GLW+High-Visibility+Klein-Kurve%C2%AE+Wire+Stripper+%2F+Cutter&amp;qid=1695174145&amp;sr=8-2")</f>
        <v>https://www.amazon.com/Klein-Tools-11055GLW-Stripper-Klein-Kurve/dp/B09FVTWPQV/ref=sr_1_2?keywords=Klein+Tools+11055GLW+High-Visibility+Klein-Kurve%C2%AE+Wire+Stripper+%2F+Cutter&amp;qid=1695174145&amp;sr=8-2</v>
      </c>
      <c r="F3839" t="s">
        <v>3626</v>
      </c>
      <c r="G3839" t="e">
        <f ca="1">_xludf.IMAGE("https://edmondsonsupply.com/cdn/shop/products/11055glw.jpg?v=1664801193")</f>
        <v>#NAME?</v>
      </c>
      <c r="H3839" t="e">
        <f ca="1">_xludf.IMAGE("https://m.media-amazon.com/images/I/41qRg9375VL._AC_UL320_.jpg")</f>
        <v>#NAME?</v>
      </c>
      <c r="I3839" t="s">
        <v>967</v>
      </c>
      <c r="J3839">
        <v>26.99</v>
      </c>
      <c r="K3839" s="4">
        <v>0</v>
      </c>
      <c r="L3839">
        <v>4.8</v>
      </c>
      <c r="M3839">
        <v>7596</v>
      </c>
      <c r="O3839" t="s">
        <v>25</v>
      </c>
      <c r="P3839" t="s">
        <v>8233</v>
      </c>
      <c r="Q3839" t="s">
        <v>8234</v>
      </c>
    </row>
    <row r="3840" spans="1:17" ht="15.5" x14ac:dyDescent="0.35">
      <c r="A3840" s="3" t="str">
        <f>HYPERLINK("https://edmondsonsupply.com/collections/electricians-tools/products/clc-pb1133-molded-rubber-bottom-tool-backpack", "https://edmondsonsupply.com/collections/electricians-tools/products/clc-pb1133-molded-rubber-bottom-tool-backpack")</f>
        <v>https://edmondsonsupply.com/collections/electricians-tools/products/clc-pb1133-molded-rubber-bottom-tool-backpack</v>
      </c>
      <c r="B3840" s="3" t="str">
        <f>HYPERLINK("https://edmondsonsupply.com/products/clc-pb1133-molded-rubber-bottom-tool-backpack", "https://edmondsonsupply.com/products/clc-pb1133-molded-rubber-bottom-tool-backpack")</f>
        <v>https://edmondsonsupply.com/products/clc-pb1133-molded-rubber-bottom-tool-backpack</v>
      </c>
      <c r="C3840" t="s">
        <v>507</v>
      </c>
      <c r="D3840" t="s">
        <v>606</v>
      </c>
      <c r="E3840" s="3" t="str">
        <f>HYPERLINK("https://www.amazon.com/Work-PB1133-Pocket-Molded-Backpack/dp/B099J4QQQ8/ref=sr_1_1?keywords=CLC+PB1133+Molded+Rubber+Bottom+Tool+Backpack&amp;qid=1695174264&amp;sr=8-1", "https://www.amazon.com/Work-PB1133-Pocket-Molded-Backpack/dp/B099J4QQQ8/ref=sr_1_1?keywords=CLC+PB1133+Molded+Rubber+Bottom+Tool+Backpack&amp;qid=1695174264&amp;sr=8-1")</f>
        <v>https://www.amazon.com/Work-PB1133-Pocket-Molded-Backpack/dp/B099J4QQQ8/ref=sr_1_1?keywords=CLC+PB1133+Molded+Rubber+Bottom+Tool+Backpack&amp;qid=1695174264&amp;sr=8-1</v>
      </c>
      <c r="F3840" t="s">
        <v>607</v>
      </c>
      <c r="G3840" t="e">
        <f ca="1">_xludf.IMAGE("https://edmondsonsupply.com/cdn/shop/products/PB1133.png?v=1633031051")</f>
        <v>#NAME?</v>
      </c>
      <c r="H3840" t="e">
        <f ca="1">_xludf.IMAGE("https://m.media-amazon.com/images/I/81em+t5wPbS._AC_UL320_.jpg")</f>
        <v>#NAME?</v>
      </c>
      <c r="I3840" t="s">
        <v>369</v>
      </c>
      <c r="J3840">
        <v>118.99</v>
      </c>
      <c r="K3840" s="4">
        <v>-1E-4</v>
      </c>
      <c r="L3840">
        <v>4.5999999999999996</v>
      </c>
      <c r="M3840">
        <v>312</v>
      </c>
      <c r="O3840" t="s">
        <v>25</v>
      </c>
      <c r="P3840" t="s">
        <v>282</v>
      </c>
      <c r="Q3840" t="s">
        <v>508</v>
      </c>
    </row>
    <row r="3841" spans="1:17" ht="15.5" x14ac:dyDescent="0.35">
      <c r="A3841"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3841" s="3" t="str">
        <f>HYPERLINK("https://edmondsonsupply.com/products/veto-pro-pac-tech-pac-backpack-tool-bag-1", "https://edmondsonsupply.com/products/veto-pro-pac-tech-pac-backpack-tool-bag-1")</f>
        <v>https://edmondsonsupply.com/products/veto-pro-pac-tech-pac-backpack-tool-bag-1</v>
      </c>
      <c r="C3841" t="s">
        <v>8235</v>
      </c>
      <c r="D3841" t="s">
        <v>512</v>
      </c>
      <c r="E3841" s="3" t="str">
        <f>HYPERLINK("https://www.amazon.com/VETO-PRO-PAC-Tech-Pac/dp/B00WZLTCHO/ref=sr_1_1?keywords=Veto+Pro+Pac+TECH+PAC+LT+Laptop+Backpack+Tool+Bag&amp;qid=1695174263&amp;sr=8-1", "https://www.amazon.com/VETO-PRO-PAC-Tech-Pac/dp/B00WZLTCHO/ref=sr_1_1?keywords=Veto+Pro+Pac+TECH+PAC+LT+Laptop+Backpack+Tool+Bag&amp;qid=1695174263&amp;sr=8-1")</f>
        <v>https://www.amazon.com/VETO-PRO-PAC-Tech-Pac/dp/B00WZLTCHO/ref=sr_1_1?keywords=Veto+Pro+Pac+TECH+PAC+LT+Laptop+Backpack+Tool+Bag&amp;qid=1695174263&amp;sr=8-1</v>
      </c>
      <c r="F3841" t="s">
        <v>513</v>
      </c>
      <c r="G3841" t="e">
        <f ca="1">_xludf.IMAGE("https://edmondsonsupply.com/cdn/shop/products/LT_1.jpg?v=1587146035")</f>
        <v>#NAME?</v>
      </c>
      <c r="H3841" t="e">
        <f ca="1">_xludf.IMAGE("https://m.media-amazon.com/images/I/61uz-pihn8L._AC_UL320_.jpg")</f>
        <v>#NAME?</v>
      </c>
      <c r="I3841" t="s">
        <v>8236</v>
      </c>
      <c r="J3841">
        <v>289.95</v>
      </c>
      <c r="K3841" s="4">
        <v>-1E-4</v>
      </c>
      <c r="L3841">
        <v>4.7</v>
      </c>
      <c r="M3841">
        <v>285</v>
      </c>
      <c r="O3841" t="s">
        <v>25</v>
      </c>
      <c r="P3841" t="s">
        <v>138</v>
      </c>
      <c r="Q3841" t="s">
        <v>8237</v>
      </c>
    </row>
    <row r="3842" spans="1:17" ht="15.5" x14ac:dyDescent="0.35">
      <c r="A3842" s="3" t="str">
        <f>HYPERLINK("https://edmondsonsupply.com/collections/electricians-tools/products/clc-pb1563-16-molded-plastic-bottom-bigmouth-tote-tool-bag", "https://edmondsonsupply.com/collections/electricians-tools/products/clc-pb1563-16-molded-plastic-bottom-bigmouth-tote-tool-bag")</f>
        <v>https://edmondsonsupply.com/collections/electricians-tools/products/clc-pb1563-16-molded-plastic-bottom-bigmouth-tote-tool-bag</v>
      </c>
      <c r="B3842" s="3" t="str">
        <f>HYPERLINK("https://edmondsonsupply.com/products/clc-pb1563-16-molded-plastic-bottom-bigmouth-tote-tool-bag", "https://edmondsonsupply.com/products/clc-pb1563-16-molded-plastic-bottom-bigmouth-tote-tool-bag")</f>
        <v>https://edmondsonsupply.com/products/clc-pb1563-16-molded-plastic-bottom-bigmouth-tote-tool-bag</v>
      </c>
      <c r="C3842" t="s">
        <v>615</v>
      </c>
      <c r="D3842" t="s">
        <v>616</v>
      </c>
      <c r="E3842" s="3" t="str">
        <f>HYPERLINK("https://www.amazon.com/Work-Gear-PB1563-Molded-Bigmouth/dp/B099J8XP46/ref=sr_1_1?keywords=CLC+PB1563+16%E2%80%9D+Molded+Plastic+Bottom+Bigmouth+Tote+Tool+Bag&amp;qid=1695174257&amp;sr=8-1", "https://www.amazon.com/Work-Gear-PB1563-Molded-Bigmouth/dp/B099J8XP46/ref=sr_1_1?keywords=CLC+PB1563+16%E2%80%9D+Molded+Plastic+Bottom+Bigmouth+Tote+Tool+Bag&amp;qid=1695174257&amp;sr=8-1")</f>
        <v>https://www.amazon.com/Work-Gear-PB1563-Molded-Bigmouth/dp/B099J8XP46/ref=sr_1_1?keywords=CLC+PB1563+16%E2%80%9D+Molded+Plastic+Bottom+Bigmouth+Tote+Tool+Bag&amp;qid=1695174257&amp;sr=8-1</v>
      </c>
      <c r="F3842" t="s">
        <v>617</v>
      </c>
      <c r="G3842" t="e">
        <f ca="1">_xludf.IMAGE("https://edmondsonsupply.com/cdn/shop/products/PB1563.jpg?v=1633031054")</f>
        <v>#NAME?</v>
      </c>
      <c r="H3842" t="e">
        <f ca="1">_xludf.IMAGE("https://m.media-amazon.com/images/I/81yEesBuRLS._AC_UL320_.jpg")</f>
        <v>#NAME?</v>
      </c>
      <c r="I3842" t="s">
        <v>618</v>
      </c>
      <c r="J3842">
        <v>59.94</v>
      </c>
      <c r="K3842" s="4">
        <v>-2.0000000000000001E-4</v>
      </c>
      <c r="L3842">
        <v>4.5999999999999996</v>
      </c>
      <c r="M3842">
        <v>26</v>
      </c>
      <c r="O3842" t="s">
        <v>25</v>
      </c>
      <c r="P3842" t="s">
        <v>392</v>
      </c>
      <c r="Q3842" t="s">
        <v>619</v>
      </c>
    </row>
    <row r="3843" spans="1:17" ht="15.5" x14ac:dyDescent="0.35">
      <c r="A3843"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3843" s="3" t="str">
        <f>HYPERLINK("https://edmondsonsupply.com/products/veto-pro-pac-tp-xxl-tool-pouch", "https://edmondsonsupply.com/products/veto-pro-pac-tp-xxl-tool-pouch")</f>
        <v>https://edmondsonsupply.com/products/veto-pro-pac-tp-xxl-tool-pouch</v>
      </c>
      <c r="C3843" t="s">
        <v>451</v>
      </c>
      <c r="D3843" t="s">
        <v>621</v>
      </c>
      <c r="E3843" s="3" t="str">
        <f>HYPERLINK("https://www.amazon.com/Veto-Pro-Pac-TP-XXL-Zippered/dp/B09Q4YNX94/ref=sr_1_1?keywords=Veto+Pro+Pac+TP-XXL+Tool+Pouch&amp;qid=1695173851&amp;sr=8-1", "https://www.amazon.com/Veto-Pro-Pac-TP-XXL-Zippered/dp/B09Q4YNX94/ref=sr_1_1?keywords=Veto+Pro+Pac+TP-XXL+Tool+Pouch&amp;qid=1695173851&amp;sr=8-1")</f>
        <v>https://www.amazon.com/Veto-Pro-Pac-TP-XXL-Zippered/dp/B09Q4YNX94/ref=sr_1_1?keywords=Veto+Pro+Pac+TP-XXL+Tool+Pouch&amp;qid=1695173851&amp;sr=8-1</v>
      </c>
      <c r="F3843" t="s">
        <v>622</v>
      </c>
      <c r="G3843" t="e">
        <f ca="1">_xludf.IMAGE("https://edmondsonsupply.com/cdn/shop/products/01_TP-XXL.jpg?v=1633031173")</f>
        <v>#NAME?</v>
      </c>
      <c r="H3843" t="e">
        <f ca="1">_xludf.IMAGE("https://m.media-amazon.com/images/I/61c5N3ud9xL._AC_UL320_.jpg")</f>
        <v>#NAME?</v>
      </c>
      <c r="I3843" t="s">
        <v>454</v>
      </c>
      <c r="J3843">
        <v>209.95</v>
      </c>
      <c r="K3843" s="4">
        <v>-2.0000000000000001E-4</v>
      </c>
      <c r="L3843">
        <v>4.8</v>
      </c>
      <c r="M3843">
        <v>478</v>
      </c>
      <c r="O3843" t="s">
        <v>25</v>
      </c>
      <c r="P3843" t="s">
        <v>138</v>
      </c>
      <c r="Q3843" t="s">
        <v>455</v>
      </c>
    </row>
    <row r="3844" spans="1:17" ht="15.5" x14ac:dyDescent="0.35">
      <c r="A3844" s="3" t="str">
        <f>HYPERLINK("https://edmondsonsupply.com/collections/electricians-tools/products/veto-pro-pac-tech-ot-sc-open-top-electrician-tool-bag", "https://edmondsonsupply.com/collections/electricians-tools/products/veto-pro-pac-tech-ot-sc-open-top-electrician-tool-bag")</f>
        <v>https://edmondsonsupply.com/collections/electricians-tools/products/veto-pro-pac-tech-ot-sc-open-top-electrician-tool-bag</v>
      </c>
      <c r="B3844" s="3" t="str">
        <f>HYPERLINK("https://edmondsonsupply.com/products/veto-pro-pac-tech-ot-sc-open-top-electrician-tool-bag", "https://edmondsonsupply.com/products/veto-pro-pac-tech-ot-sc-open-top-electrician-tool-bag")</f>
        <v>https://edmondsonsupply.com/products/veto-pro-pac-tech-ot-sc-open-top-electrician-tool-bag</v>
      </c>
      <c r="C3844" t="s">
        <v>482</v>
      </c>
      <c r="D3844" t="s">
        <v>509</v>
      </c>
      <c r="E3844" s="3" t="str">
        <f>HYPERLINK("https://www.amazon.com/Veto-TECH-OT-SC-Sub-Compact-Electrician/dp/B09ZC63KFK/ref=sr_1_1?keywords=Veto+Pro+Pac+Tech+OT-SC+Open+Top+Electrician+Tool+Bag&amp;qid=1695174089&amp;sr=8-1", "https://www.amazon.com/Veto-TECH-OT-SC-Sub-Compact-Electrician/dp/B09ZC63KFK/ref=sr_1_1?keywords=Veto+Pro+Pac+Tech+OT-SC+Open+Top+Electrician+Tool+Bag&amp;qid=1695174089&amp;sr=8-1")</f>
        <v>https://www.amazon.com/Veto-TECH-OT-SC-Sub-Compact-Electrician/dp/B09ZC63KFK/ref=sr_1_1?keywords=Veto+Pro+Pac+Tech+OT-SC+Open+Top+Electrician+Tool+Bag&amp;qid=1695174089&amp;sr=8-1</v>
      </c>
      <c r="F3844" t="s">
        <v>510</v>
      </c>
      <c r="G3844" t="e">
        <f ca="1">_xludf.IMAGE("https://edmondsonsupply.com/cdn/shop/products/0_707ca9f3-2e27-41c1-883d-1aec36a4e25a.jpg?v=1674835772")</f>
        <v>#NAME?</v>
      </c>
      <c r="H3844" t="e">
        <f ca="1">_xludf.IMAGE("https://m.media-amazon.com/images/I/51LTwfYG5eL._AC_UL320_.jpg")</f>
        <v>#NAME?</v>
      </c>
      <c r="I3844" t="s">
        <v>483</v>
      </c>
      <c r="J3844">
        <v>179.95</v>
      </c>
      <c r="K3844" s="4">
        <v>-2.0000000000000001E-4</v>
      </c>
      <c r="L3844">
        <v>4.7</v>
      </c>
      <c r="M3844">
        <v>21</v>
      </c>
      <c r="O3844" t="s">
        <v>25</v>
      </c>
      <c r="P3844" t="s">
        <v>138</v>
      </c>
      <c r="Q3844" t="s">
        <v>484</v>
      </c>
    </row>
    <row r="3845" spans="1:17" ht="15.5" x14ac:dyDescent="0.35">
      <c r="A3845" s="3" t="str">
        <f>HYPERLINK("https://edmondsonsupply.com/collections/electricians-tools/products/wiha-tools-28345-6-piece-insulated-slimline-pocketmax-multi-driver", "https://edmondsonsupply.com/collections/electricians-tools/products/wiha-tools-28345-6-piece-insulated-slimline-pocketmax-multi-driver")</f>
        <v>https://edmondsonsupply.com/collections/electricians-tools/products/wiha-tools-28345-6-piece-insulated-slimline-pocketmax-multi-driver</v>
      </c>
      <c r="B3845" s="3" t="str">
        <f>HYPERLINK("https://edmondsonsupply.com/products/wiha-tools-28345-6-piece-insulated-slimline-pocketmax-multi-driver", "https://edmondsonsupply.com/products/wiha-tools-28345-6-piece-insulated-slimline-pocketmax-multi-driver")</f>
        <v>https://edmondsonsupply.com/products/wiha-tools-28345-6-piece-insulated-slimline-pocketmax-multi-driver</v>
      </c>
      <c r="C3845" t="s">
        <v>4783</v>
      </c>
      <c r="D3845" t="s">
        <v>4784</v>
      </c>
      <c r="E3845" s="3" t="str">
        <f>HYPERLINK("https://www.amazon.com/Wiha-28345-Insulated-PocketMax-Multi-Driver/dp/B0C41RKZDW/ref=sr_1_1?keywords=Wiha+Tools+28345+6+Piece+Insulated+SlimLine+PocketMax+Multi-Driver&amp;qid=1695173984&amp;sr=8-1", "https://www.amazon.com/Wiha-28345-Insulated-PocketMax-Multi-Driver/dp/B0C41RKZDW/ref=sr_1_1?keywords=Wiha+Tools+28345+6+Piece+Insulated+SlimLine+PocketMax+Multi-Driver&amp;qid=1695173984&amp;sr=8-1")</f>
        <v>https://www.amazon.com/Wiha-28345-Insulated-PocketMax-Multi-Driver/dp/B0C41RKZDW/ref=sr_1_1?keywords=Wiha+Tools+28345+6+Piece+Insulated+SlimLine+PocketMax+Multi-Driver&amp;qid=1695173984&amp;sr=8-1</v>
      </c>
      <c r="F3845" t="s">
        <v>4785</v>
      </c>
      <c r="G3845" t="e">
        <f ca="1">_xludf.IMAGE("https://edmondsonsupply.com/cdn/shop/files/wjbse4q1tjopoh3gedft_1000x_df232d6d-d37e-435d-a299-d53bfa0c3016.webp?v=1690833368")</f>
        <v>#NAME?</v>
      </c>
      <c r="H3845" t="e">
        <f ca="1">_xludf.IMAGE("https://m.media-amazon.com/images/I/51xgjec5cDL._AC_UL320_.jpg")</f>
        <v>#NAME?</v>
      </c>
      <c r="I3845" t="s">
        <v>946</v>
      </c>
      <c r="J3845">
        <v>44.98</v>
      </c>
      <c r="K3845" s="4">
        <v>-2.0000000000000001E-4</v>
      </c>
      <c r="L3845">
        <v>4.8</v>
      </c>
      <c r="M3845">
        <v>48</v>
      </c>
      <c r="O3845" t="s">
        <v>25</v>
      </c>
      <c r="P3845" t="s">
        <v>199</v>
      </c>
      <c r="Q3845" t="s">
        <v>4786</v>
      </c>
    </row>
    <row r="3846" spans="1:17" ht="15.5" x14ac:dyDescent="0.35">
      <c r="A3846"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3846"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3846" t="s">
        <v>6512</v>
      </c>
      <c r="D3846" t="s">
        <v>5314</v>
      </c>
      <c r="E3846" s="3" t="str">
        <f>HYPERLINK("https://www.amazon.com/Klein-Tools-D248-8-Leverage-Diagonal/dp/B0000302W8/ref=sr_1_1?keywords=Klein+Tools+D248-8+Diagonal+Cutting+Pliers%2C+Angled+Head%2C+Short+Jaw%2C+8-Inch&amp;qid=1695174274&amp;sr=8-1", "https://www.amazon.com/Klein-Tools-D248-8-Leverage-Diagonal/dp/B0000302W8/ref=sr_1_1?keywords=Klein+Tools+D248-8+Diagonal+Cutting+Pliers%2C+Angled+Head%2C+Short+Jaw%2C+8-Inch&amp;qid=1695174274&amp;sr=8-1")</f>
        <v>https://www.amazon.com/Klein-Tools-D248-8-Leverage-Diagonal/dp/B0000302W8/ref=sr_1_1?keywords=Klein+Tools+D248-8+Diagonal+Cutting+Pliers%2C+Angled+Head%2C+Short+Jaw%2C+8-Inch&amp;qid=1695174274&amp;sr=8-1</v>
      </c>
      <c r="F3846" t="s">
        <v>5315</v>
      </c>
      <c r="G3846" t="e">
        <f ca="1">_xludf.IMAGE("https://edmondsonsupply.com/cdn/shop/products/d2488.jpg?v=1633030997")</f>
        <v>#NAME?</v>
      </c>
      <c r="H3846" t="e">
        <f ca="1">_xludf.IMAGE("https://m.media-amazon.com/images/I/41KAmcIzVBL._AC_UL320_.jpg")</f>
        <v>#NAME?</v>
      </c>
      <c r="I3846" t="s">
        <v>824</v>
      </c>
      <c r="J3846">
        <v>29.96</v>
      </c>
      <c r="K3846" s="4">
        <v>-2.9999999999999997E-4</v>
      </c>
      <c r="L3846">
        <v>4.8</v>
      </c>
      <c r="M3846">
        <v>2417</v>
      </c>
      <c r="O3846" t="s">
        <v>25</v>
      </c>
      <c r="P3846" t="s">
        <v>5277</v>
      </c>
      <c r="Q3846" t="s">
        <v>6515</v>
      </c>
    </row>
    <row r="3847" spans="1:17" ht="15.5" x14ac:dyDescent="0.35">
      <c r="A3847" s="3" t="str">
        <f>HYPERLINK("https://edmondsonsupply.com/collections/electricians-tools/products/klein-tools-aepjs3-bluetooth%C2%AE-jobsite-speaker-with-magnet-and-hook", "https://edmondsonsupply.com/collections/electricians-tools/products/klein-tools-aepjs3-bluetooth%C2%AE-jobsite-speaker-with-magnet-and-hook")</f>
        <v>https://edmondsonsupply.com/collections/electricians-tools/products/klein-tools-aepjs3-bluetooth%C2%AE-jobsite-speaker-with-magnet-and-hook</v>
      </c>
      <c r="B3847" s="3" t="str">
        <f>HYPERLINK("https://edmondsonsupply.com/products/klein-tools-aepjs3-bluetooth%c2%ae-jobsite-speaker-with-magnet-and-hook", "https://edmondsonsupply.com/products/klein-tools-aepjs3-bluetooth%c2%ae-jobsite-speaker-with-magnet-and-hook")</f>
        <v>https://edmondsonsupply.com/products/klein-tools-aepjs3-bluetooth%c2%ae-jobsite-speaker-with-magnet-and-hook</v>
      </c>
      <c r="C3847" t="s">
        <v>8238</v>
      </c>
      <c r="D3847" t="s">
        <v>8239</v>
      </c>
      <c r="E3847" s="3" t="str">
        <f>HYPERLINK("https://www.amazon.com/Klein-Tools-Bluetooth-Magnetic-Wireless/dp/B0C3BBLTF7/ref=sr_1_4?keywords=Klein+Tools+AEPJS3+Bluetooth%C2%AE+Jobsite+Speaker+with+Magnet+and+Hook&amp;qid=1695174159&amp;sr=8-4", "https://www.amazon.com/Klein-Tools-Bluetooth-Magnetic-Wireless/dp/B0C3BBLTF7/ref=sr_1_4?keywords=Klein+Tools+AEPJS3+Bluetooth%C2%AE+Jobsite+Speaker+with+Magnet+and+Hook&amp;qid=1695174159&amp;sr=8-4")</f>
        <v>https://www.amazon.com/Klein-Tools-Bluetooth-Magnetic-Wireless/dp/B0C3BBLTF7/ref=sr_1_4?keywords=Klein+Tools+AEPJS3+Bluetooth%C2%AE+Jobsite+Speaker+with+Magnet+and+Hook&amp;qid=1695174159&amp;sr=8-4</v>
      </c>
      <c r="F3847" t="s">
        <v>8240</v>
      </c>
      <c r="G3847" t="e">
        <f ca="1">_xludf.IMAGE("https://edmondsonsupply.com/cdn/shop/products/aepjs3_b.jpg?v=1663946789")</f>
        <v>#NAME?</v>
      </c>
      <c r="H3847" t="e">
        <f ca="1">_xludf.IMAGE("https://m.media-amazon.com/images/I/61ga0Dj-31L._AC_UY218_.jpg")</f>
        <v>#NAME?</v>
      </c>
      <c r="I3847" t="s">
        <v>8241</v>
      </c>
      <c r="J3847">
        <v>79.94</v>
      </c>
      <c r="K3847" s="4">
        <v>-4.0000000000000002E-4</v>
      </c>
      <c r="L3847">
        <v>5</v>
      </c>
      <c r="M3847">
        <v>1</v>
      </c>
      <c r="O3847" t="s">
        <v>25</v>
      </c>
      <c r="P3847" t="s">
        <v>8242</v>
      </c>
      <c r="Q3847" t="s">
        <v>8243</v>
      </c>
    </row>
    <row r="3848" spans="1:17" ht="15.5" x14ac:dyDescent="0.35">
      <c r="A3848"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3848" s="3" t="str">
        <f>HYPERLINK("https://edmondsonsupply.com/products/klein-tools-60100-hard-hat-non-vented-cap-style-white", "https://edmondsonsupply.com/products/klein-tools-60100-hard-hat-non-vented-cap-style-white")</f>
        <v>https://edmondsonsupply.com/products/klein-tools-60100-hard-hat-non-vented-cap-style-white</v>
      </c>
      <c r="C3848" t="s">
        <v>970</v>
      </c>
      <c r="D3848" t="s">
        <v>1218</v>
      </c>
      <c r="E3848" s="3" t="str">
        <f>HYPERLINK("https://www.amazon.com/Klein-Tools-60107-Self-Wicking-Odor-Resistant/dp/B07TLG3VQJ/ref=sr_1_2?keywords=Klein+Tools+60100+Hard+Hat%2C+Non-Vented%2C+Cap+Style%2C+White&amp;qid=1695174219&amp;sr=8-2", "https://www.amazon.com/Klein-Tools-60107-Self-Wicking-Odor-Resistant/dp/B07TLG3VQJ/ref=sr_1_2?keywords=Klein+Tools+60100+Hard+Hat%2C+Non-Vented%2C+Cap+Style%2C+White&amp;qid=1695174219&amp;sr=8-2")</f>
        <v>https://www.amazon.com/Klein-Tools-60107-Self-Wicking-Odor-Resistant/dp/B07TLG3VQJ/ref=sr_1_2?keywords=Klein+Tools+60100+Hard+Hat%2C+Non-Vented%2C+Cap+Style%2C+White&amp;qid=1695174219&amp;sr=8-2</v>
      </c>
      <c r="F3848" t="s">
        <v>1219</v>
      </c>
      <c r="G3848" t="e">
        <f ca="1">_xludf.IMAGE("https://edmondsonsupply.com/cdn/shop/products/60100_c.jpg?v=1648166061")</f>
        <v>#NAME?</v>
      </c>
      <c r="H3848" t="e">
        <f ca="1">_xludf.IMAGE("https://m.media-amazon.com/images/I/41PzDOmbcRS._AC_UL320_.jpg")</f>
        <v>#NAME?</v>
      </c>
      <c r="I3848" t="s">
        <v>198</v>
      </c>
      <c r="J3848">
        <v>39.97</v>
      </c>
      <c r="K3848" s="4">
        <v>-5.0000000000000001E-4</v>
      </c>
      <c r="L3848">
        <v>4.5999999999999996</v>
      </c>
      <c r="M3848">
        <v>147</v>
      </c>
      <c r="O3848" t="s">
        <v>171</v>
      </c>
      <c r="P3848" t="s">
        <v>971</v>
      </c>
      <c r="Q3848" t="s">
        <v>972</v>
      </c>
    </row>
    <row r="3849" spans="1:17" ht="15.5" x14ac:dyDescent="0.35">
      <c r="A3849"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3849" s="3" t="str">
        <f>HYPERLINK("https://edmondsonsupply.com/products/klein-tools-60100-hard-hat-non-vented-cap-style-white", "https://edmondsonsupply.com/products/klein-tools-60100-hard-hat-non-vented-cap-style-white")</f>
        <v>https://edmondsonsupply.com/products/klein-tools-60100-hard-hat-non-vented-cap-style-white</v>
      </c>
      <c r="C3849" t="s">
        <v>970</v>
      </c>
      <c r="D3849" t="s">
        <v>1220</v>
      </c>
      <c r="E3849" s="3" t="str">
        <f>HYPERLINK("https://www.amazon.com/Klein-Tools-60248-Self-Wicking-Odor-Resistant/dp/B08FBZMLC7/ref=sr_1_3?keywords=Klein+Tools+60100+Hard+Hat%2C+Non-Vented%2C+Cap+Style%2C+White&amp;qid=1695174219&amp;sr=8-3", "https://www.amazon.com/Klein-Tools-60248-Self-Wicking-Odor-Resistant/dp/B08FBZMLC7/ref=sr_1_3?keywords=Klein+Tools+60100+Hard+Hat%2C+Non-Vented%2C+Cap+Style%2C+White&amp;qid=1695174219&amp;sr=8-3")</f>
        <v>https://www.amazon.com/Klein-Tools-60248-Self-Wicking-Odor-Resistant/dp/B08FBZMLC7/ref=sr_1_3?keywords=Klein+Tools+60100+Hard+Hat%2C+Non-Vented%2C+Cap+Style%2C+White&amp;qid=1695174219&amp;sr=8-3</v>
      </c>
      <c r="F3849" t="s">
        <v>1221</v>
      </c>
      <c r="G3849" t="e">
        <f ca="1">_xludf.IMAGE("https://edmondsonsupply.com/cdn/shop/products/60100_c.jpg?v=1648166061")</f>
        <v>#NAME?</v>
      </c>
      <c r="H3849" t="e">
        <f ca="1">_xludf.IMAGE("https://m.media-amazon.com/images/I/51E5C0oSy6L._AC_UL320_.jpg")</f>
        <v>#NAME?</v>
      </c>
      <c r="I3849" t="s">
        <v>198</v>
      </c>
      <c r="J3849">
        <v>39.97</v>
      </c>
      <c r="K3849" s="4">
        <v>-5.0000000000000001E-4</v>
      </c>
      <c r="L3849">
        <v>4.4000000000000004</v>
      </c>
      <c r="M3849">
        <v>34</v>
      </c>
      <c r="O3849" t="s">
        <v>171</v>
      </c>
      <c r="P3849" t="s">
        <v>971</v>
      </c>
      <c r="Q3849" t="s">
        <v>972</v>
      </c>
    </row>
    <row r="3850" spans="1:17" ht="15.5" x14ac:dyDescent="0.35">
      <c r="A3850"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3850" s="3" t="str">
        <f>HYPERLINK("https://edmondsonsupply.com/products/klein-tools-51608-1-2-inch-iron-conduit-bender-head", "https://edmondsonsupply.com/products/klein-tools-51608-1-2-inch-iron-conduit-bender-head")</f>
        <v>https://edmondsonsupply.com/products/klein-tools-51608-1-2-inch-iron-conduit-bender-head</v>
      </c>
      <c r="C3850" t="s">
        <v>6789</v>
      </c>
      <c r="D3850" t="s">
        <v>6208</v>
      </c>
      <c r="E3850" s="3" t="str">
        <f>HYPERLINK("https://www.amazon.com/Aluminum-Benchmark-Technology-Klein-Tools/dp/B08L41DC9N/ref=sr_1_8?keywords=Klein+Tools+51608+1%2F2-inch+Iron+Conduit+Bender+Head&amp;qid=1695174222&amp;sr=8-8", "https://www.amazon.com/Aluminum-Benchmark-Technology-Klein-Tools/dp/B08L41DC9N/ref=sr_1_8?keywords=Klein+Tools+51608+1%2F2-inch+Iron+Conduit+Bender+Head&amp;qid=1695174222&amp;sr=8-8")</f>
        <v>https://www.amazon.com/Aluminum-Benchmark-Technology-Klein-Tools/dp/B08L41DC9N/ref=sr_1_8?keywords=Klein+Tools+51608+1%2F2-inch+Iron+Conduit+Bender+Head&amp;qid=1695174222&amp;sr=8-8</v>
      </c>
      <c r="F3850" t="s">
        <v>6209</v>
      </c>
      <c r="G3850" t="e">
        <f ca="1">_xludf.IMAGE("https://edmondsonsupply.com/cdn/shop/products/51608.jpg?v=1643679335")</f>
        <v>#NAME?</v>
      </c>
      <c r="H3850" t="e">
        <f ca="1">_xludf.IMAGE("https://m.media-amazon.com/images/I/41JBDxEE8NL._AC_UL320_.jpg")</f>
        <v>#NAME?</v>
      </c>
      <c r="I3850" t="s">
        <v>198</v>
      </c>
      <c r="J3850">
        <v>39.97</v>
      </c>
      <c r="K3850" s="4">
        <v>-5.0000000000000001E-4</v>
      </c>
      <c r="L3850">
        <v>4.8</v>
      </c>
      <c r="M3850">
        <v>258</v>
      </c>
      <c r="O3850" t="s">
        <v>25</v>
      </c>
      <c r="P3850" t="s">
        <v>6790</v>
      </c>
      <c r="Q3850" t="s">
        <v>6791</v>
      </c>
    </row>
    <row r="3851" spans="1:17" ht="15.5" x14ac:dyDescent="0.35">
      <c r="A3851" s="3" t="str">
        <f>HYPERLINK("https://edmondsonsupply.com/collections/electricians-tools/products/klein-tools-32286-2-in-1-insulated-flip-blade-screwdriver-1-ph-3-16-inch-sl", "https://edmondsonsupply.com/collections/electricians-tools/products/klein-tools-32286-2-in-1-insulated-flip-blade-screwdriver-1-ph-3-16-inch-sl")</f>
        <v>https://edmondsonsupply.com/collections/electricians-tools/products/klein-tools-32286-2-in-1-insulated-flip-blade-screwdriver-1-ph-3-16-inch-sl</v>
      </c>
      <c r="B3851" s="3" t="str">
        <f>HYPERLINK("https://edmondsonsupply.com/products/klein-tools-32286-2-in-1-insulated-flip-blade-screwdriver-1-ph-3-16-inch-sl", "https://edmondsonsupply.com/products/klein-tools-32286-2-in-1-insulated-flip-blade-screwdriver-1-ph-3-16-inch-sl")</f>
        <v>https://edmondsonsupply.com/products/klein-tools-32286-2-in-1-insulated-flip-blade-screwdriver-1-ph-3-16-inch-sl</v>
      </c>
      <c r="C3851" t="s">
        <v>4787</v>
      </c>
      <c r="D3851" t="s">
        <v>4788</v>
      </c>
      <c r="E3851" s="3" t="str">
        <f>HYPERLINK("https://www.amazon.com/Klein-Tools-32286-Screwdriver-Double-Ended/dp/B07XQBZXL2/ref=sr_1_1?keywords=Klein+Tools+32286+Flip-Blade+Insulated+Screwdriver%2C+2-in1%2C+Ph+Bit+%231%2C+Sl+Bit+3%2F16-Inch&amp;qid=1695173957&amp;sr=8-1", "https://www.amazon.com/Klein-Tools-32286-Screwdriver-Double-Ended/dp/B07XQBZXL2/ref=sr_1_1?keywords=Klein+Tools+32286+Flip-Blade+Insulated+Screwdriver%2C+2-in1%2C+Ph+Bit+%231%2C+Sl+Bit+3%2F16-Inch&amp;qid=1695173957&amp;sr=8-1")</f>
        <v>https://www.amazon.com/Klein-Tools-32286-Screwdriver-Double-Ended/dp/B07XQBZXL2/ref=sr_1_1?keywords=Klein+Tools+32286+Flip-Blade+Insulated+Screwdriver%2C+2-in1%2C+Ph+Bit+%231%2C+Sl+Bit+3%2F16-Inch&amp;qid=1695173957&amp;sr=8-1</v>
      </c>
      <c r="F3851" t="s">
        <v>4789</v>
      </c>
      <c r="G3851" t="e">
        <f ca="1">_xludf.IMAGE("https://edmondsonsupply.com/cdn/shop/products/32286.jpg?v=1587145513")</f>
        <v>#NAME?</v>
      </c>
      <c r="H3851" t="e">
        <f ca="1">_xludf.IMAGE("https://m.media-amazon.com/images/I/41ujHk4Dg2L._AC_UL320_.jpg")</f>
        <v>#NAME?</v>
      </c>
      <c r="I3851" t="s">
        <v>577</v>
      </c>
      <c r="J3851">
        <v>19.98</v>
      </c>
      <c r="K3851" s="4">
        <v>-5.0000000000000001E-4</v>
      </c>
      <c r="L3851">
        <v>4.7</v>
      </c>
      <c r="M3851">
        <v>622</v>
      </c>
      <c r="O3851" t="s">
        <v>25</v>
      </c>
      <c r="P3851" t="s">
        <v>894</v>
      </c>
      <c r="Q3851" t="s">
        <v>4790</v>
      </c>
    </row>
    <row r="3852" spans="1:17" ht="15.5" x14ac:dyDescent="0.35">
      <c r="A3852"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3852" s="3" t="str">
        <f>HYPERLINK("https://edmondsonsupply.com/products/klein-tools-65200-electricians-mini-ratchet-set-5-piece", "https://edmondsonsupply.com/products/klein-tools-65200-electricians-mini-ratchet-set-5-piece")</f>
        <v>https://edmondsonsupply.com/products/klein-tools-65200-electricians-mini-ratchet-set-5-piece</v>
      </c>
      <c r="C3852" t="s">
        <v>140</v>
      </c>
      <c r="D3852" t="s">
        <v>221</v>
      </c>
      <c r="E3852" s="3" t="str">
        <f>HYPERLINK("https://www.amazon.com/Klein-Tools-65200-Ratchet-Phillips/dp/B08D6YDQNH/ref=sr_1_1?keywords=Klein+Tools+65200+Slim-Profile+Mini+Ratchet+Set%2C+5-Piece&amp;qid=1695173845&amp;sr=8-1", "https://www.amazon.com/Klein-Tools-65200-Ratchet-Phillips/dp/B08D6YDQNH/ref=sr_1_1?keywords=Klein+Tools+65200+Slim-Profile+Mini+Ratchet+Set%2C+5-Piece&amp;qid=1695173845&amp;sr=8-1")</f>
        <v>https://www.amazon.com/Klein-Tools-65200-Ratchet-Phillips/dp/B08D6YDQNH/ref=sr_1_1?keywords=Klein+Tools+65200+Slim-Profile+Mini+Ratchet+Set%2C+5-Piece&amp;qid=1695173845&amp;sr=8-1</v>
      </c>
      <c r="F3852" t="s">
        <v>222</v>
      </c>
      <c r="G3852" t="e">
        <f ca="1">_xludf.IMAGE("https://edmondsonsupply.com/cdn/shop/products/65200.jpg?v=1633030630")</f>
        <v>#NAME?</v>
      </c>
      <c r="H3852" t="e">
        <f ca="1">_xludf.IMAGE("https://m.media-amazon.com/images/I/61p7iM+Yn8L._AC_UL320_.jpg")</f>
        <v>#NAME?</v>
      </c>
      <c r="I3852" t="s">
        <v>143</v>
      </c>
      <c r="J3852">
        <v>15.96</v>
      </c>
      <c r="K3852" s="4">
        <v>-5.9999999999999995E-4</v>
      </c>
      <c r="L3852">
        <v>4.7</v>
      </c>
      <c r="M3852">
        <v>3970</v>
      </c>
      <c r="O3852" t="s">
        <v>25</v>
      </c>
      <c r="P3852" t="s">
        <v>144</v>
      </c>
      <c r="Q3852" t="s">
        <v>145</v>
      </c>
    </row>
    <row r="3853" spans="1:17" ht="15.5" x14ac:dyDescent="0.35">
      <c r="A3853" s="3" t="str">
        <f>HYPERLINK("https://edmondsonsupply.com/collections/electricians-tools/products/milwaukee-48-11-2425-m12%E2%84%A2-redlithium%E2%84%A2-high-output%E2%84%A2-cp2-5-battery-pack", "https://edmondsonsupply.com/collections/electricians-tools/products/milwaukee-48-11-2425-m12%E2%84%A2-redlithium%E2%84%A2-high-output%E2%84%A2-cp2-5-battery-pack")</f>
        <v>https://edmondsonsupply.com/collections/electricians-tools/products/milwaukee-48-11-2425-m12%E2%84%A2-redlithium%E2%84%A2-high-output%E2%84%A2-cp2-5-battery-pack</v>
      </c>
      <c r="B3853" s="3" t="str">
        <f>HYPERLINK("https://edmondsonsupply.com/products/milwaukee-48-11-2425-m12%e2%84%a2-redlithium%e2%84%a2-high-output%e2%84%a2-cp2-5-battery-pack", "https://edmondsonsupply.com/products/milwaukee-48-11-2425-m12%e2%84%a2-redlithium%e2%84%a2-high-output%e2%84%a2-cp2-5-battery-pack")</f>
        <v>https://edmondsonsupply.com/products/milwaukee-48-11-2425-m12%e2%84%a2-redlithium%e2%84%a2-high-output%e2%84%a2-cp2-5-battery-pack</v>
      </c>
      <c r="C3853" t="s">
        <v>8244</v>
      </c>
      <c r="D3853" t="s">
        <v>8245</v>
      </c>
      <c r="E3853" s="3" t="str">
        <f>HYPERLINK("https://www.amazon.com/Milwaukee-48-11-2425-Lithium-Ion-CP2-5Ah-Battery/dp/B0BVC16SGQ/ref=sr_1_2?keywords=Milwaukee+48-11-2425+M12%E2%84%A2+REDLITHIUM%E2%84%A2+HIGH+OUTPUT%E2%84%A2+CP2.5+Battery+Pack&amp;qid=1695174085&amp;sr=8-2", "https://www.amazon.com/Milwaukee-48-11-2425-Lithium-Ion-CP2-5Ah-Battery/dp/B0BVC16SGQ/ref=sr_1_2?keywords=Milwaukee+48-11-2425+M12%E2%84%A2+REDLITHIUM%E2%84%A2+HIGH+OUTPUT%E2%84%A2+CP2.5+Battery+Pack&amp;qid=1695174085&amp;sr=8-2")</f>
        <v>https://www.amazon.com/Milwaukee-48-11-2425-Lithium-Ion-CP2-5Ah-Battery/dp/B0BVC16SGQ/ref=sr_1_2?keywords=Milwaukee+48-11-2425+M12%E2%84%A2+REDLITHIUM%E2%84%A2+HIGH+OUTPUT%E2%84%A2+CP2.5+Battery+Pack&amp;qid=1695174085&amp;sr=8-2</v>
      </c>
      <c r="F3853" t="s">
        <v>8246</v>
      </c>
      <c r="G3853" t="e">
        <f ca="1">_xludf.IMAGE("https://edmondsonsupply.com/cdn/shop/products/48-11-2425_101.webp?v=1674138075")</f>
        <v>#NAME?</v>
      </c>
      <c r="H3853" t="e">
        <f ca="1">_xludf.IMAGE("https://m.media-amazon.com/images/I/51uoELMu+SL._AC_UL320_.jpg")</f>
        <v>#NAME?</v>
      </c>
      <c r="I3853" t="s">
        <v>4741</v>
      </c>
      <c r="J3853">
        <v>78.95</v>
      </c>
      <c r="K3853" s="4">
        <v>-5.9999999999999995E-4</v>
      </c>
      <c r="L3853">
        <v>4</v>
      </c>
      <c r="M3853">
        <v>1</v>
      </c>
      <c r="O3853" t="s">
        <v>25</v>
      </c>
      <c r="P3853" t="s">
        <v>282</v>
      </c>
      <c r="Q3853" t="s">
        <v>8247</v>
      </c>
    </row>
    <row r="3854" spans="1:17" ht="15.5" x14ac:dyDescent="0.35">
      <c r="A3854" s="3" t="str">
        <f>HYPERLINK("https://edmondsonsupply.com/collections/electricians-tools/products/veto-pro-pac-tp4-tool-pouch", "https://edmondsonsupply.com/collections/electricians-tools/products/veto-pro-pac-tp4-tool-pouch")</f>
        <v>https://edmondsonsupply.com/collections/electricians-tools/products/veto-pro-pac-tp4-tool-pouch</v>
      </c>
      <c r="B3854" s="3" t="str">
        <f>HYPERLINK("https://edmondsonsupply.com/products/veto-pro-pac-tp4-tool-pouch", "https://edmondsonsupply.com/products/veto-pro-pac-tp4-tool-pouch")</f>
        <v>https://edmondsonsupply.com/products/veto-pro-pac-tp4-tool-pouch</v>
      </c>
      <c r="C3854" t="s">
        <v>6137</v>
      </c>
      <c r="D3854" t="s">
        <v>728</v>
      </c>
      <c r="E3854" s="3" t="str">
        <f>HYPERLINK("https://www.amazon.com/Veto-Pro-Pac-TP3-Pouch/dp/B008471T42/ref=sr_1_1?keywords=Veto+Pro+Pac+TP3+Tool+Bag&amp;qid=1695174238&amp;sr=8-1", "https://www.amazon.com/Veto-Pro-Pac-TP3-Pouch/dp/B008471T42/ref=sr_1_1?keywords=Veto+Pro+Pac+TP3+Tool+Bag&amp;qid=1695174238&amp;sr=8-1")</f>
        <v>https://www.amazon.com/Veto-Pro-Pac-TP3-Pouch/dp/B008471T42/ref=sr_1_1?keywords=Veto+Pro+Pac+TP3+Tool+Bag&amp;qid=1695174238&amp;sr=8-1</v>
      </c>
      <c r="F3854" t="s">
        <v>729</v>
      </c>
      <c r="G3854" t="e">
        <f ca="1">_xludf.IMAGE("https://edmondsonsupply.com/cdn/shop/products/TP3_1.jpg?v=1587144391")</f>
        <v>#NAME?</v>
      </c>
      <c r="H3854" t="e">
        <f ca="1">_xludf.IMAGE("https://m.media-amazon.com/images/I/911jQmUqGIL._AC_UL320_.jpg")</f>
        <v>#NAME?</v>
      </c>
      <c r="I3854" t="s">
        <v>905</v>
      </c>
      <c r="J3854">
        <v>59.95</v>
      </c>
      <c r="K3854" s="4">
        <v>-6.9999999999999999E-4</v>
      </c>
      <c r="L3854">
        <v>4.7</v>
      </c>
      <c r="M3854">
        <v>512</v>
      </c>
      <c r="O3854" t="s">
        <v>25</v>
      </c>
      <c r="P3854" t="s">
        <v>138</v>
      </c>
      <c r="Q3854" t="s">
        <v>6140</v>
      </c>
    </row>
    <row r="3855" spans="1:17" ht="15.5" x14ac:dyDescent="0.35">
      <c r="A3855"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3855"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3855" t="s">
        <v>6969</v>
      </c>
      <c r="D3855" t="s">
        <v>8248</v>
      </c>
      <c r="E3855" s="3" t="str">
        <f>HYPERLINK("https://www.amazon.com/Folding-Stainless-Klein-Tools-44213/dp/B07BXX31Y8/ref=sr_1_6?keywords=Klein+Tools+1550-2+2+Blade+Pocket+Knife%2C+Steel%2C+2-1%2F2-Inch+Blade&amp;qid=1695174176&amp;sr=8-6", "https://www.amazon.com/Folding-Stainless-Klein-Tools-44213/dp/B07BXX31Y8/ref=sr_1_6?keywords=Klein+Tools+1550-2+2+Blade+Pocket+Knife%2C+Steel%2C+2-1%2F2-Inch+Blade&amp;qid=1695174176&amp;sr=8-6")</f>
        <v>https://www.amazon.com/Folding-Stainless-Klein-Tools-44213/dp/B07BXX31Y8/ref=sr_1_6?keywords=Klein+Tools+1550-2+2+Blade+Pocket+Knife%2C+Steel%2C+2-1%2F2-Inch+Blade&amp;qid=1695174176&amp;sr=8-6</v>
      </c>
      <c r="F3855" t="s">
        <v>8249</v>
      </c>
      <c r="G3855" t="e">
        <f ca="1">_xludf.IMAGE("https://edmondsonsupply.com/cdn/shop/products/15502_b.jpg?v=1658020543")</f>
        <v>#NAME?</v>
      </c>
      <c r="H3855" t="e">
        <f ca="1">_xludf.IMAGE("https://m.media-amazon.com/images/I/51jhjHRblxL._AC_UL320_.jpg")</f>
        <v>#NAME?</v>
      </c>
      <c r="I3855" t="s">
        <v>26</v>
      </c>
      <c r="J3855">
        <v>29.97</v>
      </c>
      <c r="K3855" s="4">
        <v>-6.9999999999999999E-4</v>
      </c>
      <c r="L3855">
        <v>4.5</v>
      </c>
      <c r="M3855">
        <v>110</v>
      </c>
      <c r="O3855" t="s">
        <v>25</v>
      </c>
      <c r="P3855" t="s">
        <v>6972</v>
      </c>
      <c r="Q3855" t="s">
        <v>6973</v>
      </c>
    </row>
    <row r="3856" spans="1:17" ht="15.5" x14ac:dyDescent="0.35">
      <c r="A3856"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3856"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3856" t="s">
        <v>2155</v>
      </c>
      <c r="D3856" t="s">
        <v>4791</v>
      </c>
      <c r="E3856" s="3" t="str">
        <f>HYPERLINK("https://www.amazon.com/Klein-Tools-NCVT1PKIT-Electrical-Non-Contact/dp/B0BS5SCNJ1/ref=sr_1_3?keywords=Klein+Tools+NCVT1XTKIT+Non-Contact+Voltage+and+GFCI+Receptacle+Premium+Test+Kit&amp;qid=1695173872&amp;sr=8-3", "https://www.amazon.com/Klein-Tools-NCVT1PKIT-Electrical-Non-Contact/dp/B0BS5SCNJ1/ref=sr_1_3?keywords=Klein+Tools+NCVT1XTKIT+Non-Contact+Voltage+and+GFCI+Receptacle+Premium+Test+Kit&amp;qid=1695173872&amp;sr=8-3")</f>
        <v>https://www.amazon.com/Klein-Tools-NCVT1PKIT-Electrical-Non-Contact/dp/B0BS5SCNJ1/ref=sr_1_3?keywords=Klein+Tools+NCVT1XTKIT+Non-Contact+Voltage+and+GFCI+Receptacle+Premium+Test+Kit&amp;qid=1695173872&amp;sr=8-3</v>
      </c>
      <c r="F3856" t="s">
        <v>4792</v>
      </c>
      <c r="G3856" t="e">
        <f ca="1">_xludf.IMAGE("https://edmondsonsupply.com/cdn/shop/products/ncvt1xtkit.jpg?v=1674497102")</f>
        <v>#NAME?</v>
      </c>
      <c r="H3856" t="e">
        <f ca="1">_xludf.IMAGE("https://m.media-amazon.com/images/I/51CD2DGal7L._AC_UL320_.jpg")</f>
        <v>#NAME?</v>
      </c>
      <c r="I3856" t="s">
        <v>471</v>
      </c>
      <c r="J3856">
        <v>24.97</v>
      </c>
      <c r="K3856" s="4">
        <v>-8.0000000000000004E-4</v>
      </c>
      <c r="L3856">
        <v>4.5</v>
      </c>
      <c r="M3856">
        <v>33</v>
      </c>
      <c r="O3856" t="s">
        <v>25</v>
      </c>
      <c r="P3856" t="s">
        <v>2158</v>
      </c>
      <c r="Q3856" t="s">
        <v>2159</v>
      </c>
    </row>
    <row r="3857" spans="1:17" ht="15.5" x14ac:dyDescent="0.35">
      <c r="A3857" s="3" t="str">
        <f>HYPERLINK("https://edmondsonsupply.com/collections/electricians-tools/products/john-boy-tree-blk-face-guard", "https://edmondsonsupply.com/collections/electricians-tools/products/john-boy-tree-blk-face-guard")</f>
        <v>https://edmondsonsupply.com/collections/electricians-tools/products/john-boy-tree-blk-face-guard</v>
      </c>
      <c r="B3857" s="3" t="str">
        <f>HYPERLINK("https://edmondsonsupply.com/products/john-boy-tree-blk-face-guard", "https://edmondsonsupply.com/products/john-boy-tree-blk-face-guard")</f>
        <v>https://edmondsonsupply.com/products/john-boy-tree-blk-face-guard</v>
      </c>
      <c r="C3857" t="s">
        <v>1224</v>
      </c>
      <c r="D3857" t="s">
        <v>1225</v>
      </c>
      <c r="E3857" s="3" t="str">
        <f>HYPERLINK("https://www.amazon.com/JOHN-BOY-Construction-Face-Guard/dp/B0842Z8BRJ/ref=sr_1_5?keywords=John+Boy+TREE-BLK+Face+Guard&amp;qid=1695174288&amp;sr=8-5", "https://www.amazon.com/JOHN-BOY-Construction-Face-Guard/dp/B0842Z8BRJ/ref=sr_1_5?keywords=John+Boy+TREE-BLK+Face+Guard&amp;qid=1695174288&amp;sr=8-5")</f>
        <v>https://www.amazon.com/JOHN-BOY-Construction-Face-Guard/dp/B0842Z8BRJ/ref=sr_1_5?keywords=John+Boy+TREE-BLK+Face+Guard&amp;qid=1695174288&amp;sr=8-5</v>
      </c>
      <c r="F3857" t="s">
        <v>1226</v>
      </c>
      <c r="G3857" t="e">
        <f ca="1">_xludf.IMAGE("https://edmondsonsupply.com/cdn/shop/products/TREEBLKcopy.jpg?v=1633030899")</f>
        <v>#NAME?</v>
      </c>
      <c r="H3857" t="e">
        <f ca="1">_xludf.IMAGE("https://m.media-amazon.com/images/I/719fZ7kbhXS._AC_UL320_.jpg")</f>
        <v>#NAME?</v>
      </c>
      <c r="I3857" t="s">
        <v>1039</v>
      </c>
      <c r="J3857">
        <v>9.99</v>
      </c>
      <c r="K3857" s="4">
        <v>-1E-3</v>
      </c>
      <c r="L3857">
        <v>4.0999999999999996</v>
      </c>
      <c r="M3857">
        <v>14</v>
      </c>
      <c r="O3857" t="s">
        <v>25</v>
      </c>
      <c r="P3857" t="s">
        <v>138</v>
      </c>
      <c r="Q3857" t="s">
        <v>1227</v>
      </c>
    </row>
    <row r="3858" spans="1:17" ht="15.5" x14ac:dyDescent="0.35">
      <c r="A3858" s="3" t="str">
        <f>HYPERLINK("https://edmondsonsupply.com/collections/electricians-tools/products/john-boy-tree-face-guard", "https://edmondsonsupply.com/collections/electricians-tools/products/john-boy-tree-face-guard")</f>
        <v>https://edmondsonsupply.com/collections/electricians-tools/products/john-boy-tree-face-guard</v>
      </c>
      <c r="B3858" s="3" t="str">
        <f>HYPERLINK("https://edmondsonsupply.com/products/john-boy-tree-face-guard", "https://edmondsonsupply.com/products/john-boy-tree-face-guard")</f>
        <v>https://edmondsonsupply.com/products/john-boy-tree-face-guard</v>
      </c>
      <c r="C3858" t="s">
        <v>1228</v>
      </c>
      <c r="D3858" t="s">
        <v>1062</v>
      </c>
      <c r="E3858" s="3" t="str">
        <f>HYPERLINK("https://www.amazon.com/JOHN-BOY-Hunting-Face-Guard/dp/B0842Z7QTK/ref=sr_1_1?keywords=John+Boy+TREE+Face+Guard&amp;qid=1695174306&amp;sr=8-1", "https://www.amazon.com/JOHN-BOY-Hunting-Face-Guard/dp/B0842Z7QTK/ref=sr_1_1?keywords=John+Boy+TREE+Face+Guard&amp;qid=1695174306&amp;sr=8-1")</f>
        <v>https://www.amazon.com/JOHN-BOY-Hunting-Face-Guard/dp/B0842Z7QTK/ref=sr_1_1?keywords=John+Boy+TREE+Face+Guard&amp;qid=1695174306&amp;sr=8-1</v>
      </c>
      <c r="F3858" t="s">
        <v>1223</v>
      </c>
      <c r="G3858" t="e">
        <f ca="1">_xludf.IMAGE("https://edmondsonsupply.com/cdn/shop/products/tree-mockup.jpg?v=1633030898")</f>
        <v>#NAME?</v>
      </c>
      <c r="H3858" t="e">
        <f ca="1">_xludf.IMAGE("https://m.media-amazon.com/images/I/71k-tnE6mlL._AC_UL320_.jpg")</f>
        <v>#NAME?</v>
      </c>
      <c r="I3858" t="s">
        <v>1039</v>
      </c>
      <c r="J3858">
        <v>9.99</v>
      </c>
      <c r="K3858" s="4">
        <v>-1E-3</v>
      </c>
      <c r="L3858">
        <v>4</v>
      </c>
      <c r="M3858">
        <v>8</v>
      </c>
      <c r="O3858" t="s">
        <v>25</v>
      </c>
      <c r="P3858" t="s">
        <v>138</v>
      </c>
      <c r="Q3858" t="s">
        <v>1229</v>
      </c>
    </row>
    <row r="3859" spans="1:17" ht="15.5" x14ac:dyDescent="0.35">
      <c r="A3859" s="3" t="str">
        <f>HYPERLINK("https://edmondsonsupply.com/collections/electricians-tools/products/klein-tools-60614-lightweight-knee-pad-sleeves-s-m", "https://edmondsonsupply.com/collections/electricians-tools/products/klein-tools-60614-lightweight-knee-pad-sleeves-s-m")</f>
        <v>https://edmondsonsupply.com/collections/electricians-tools/products/klein-tools-60614-lightweight-knee-pad-sleeves-s-m</v>
      </c>
      <c r="B3859" s="3" t="str">
        <f>HYPERLINK("https://edmondsonsupply.com/products/klein-tools-60614-lightweight-knee-pad-sleeves-s-m", "https://edmondsonsupply.com/products/klein-tools-60614-lightweight-knee-pad-sleeves-s-m")</f>
        <v>https://edmondsonsupply.com/products/klein-tools-60614-lightweight-knee-pad-sleeves-s-m</v>
      </c>
      <c r="C3859" t="s">
        <v>898</v>
      </c>
      <c r="D3859" t="s">
        <v>1142</v>
      </c>
      <c r="E3859" s="3" t="str">
        <f>HYPERLINK("https://www.amazon.com/Klein-Tools-60592-Lightweight-Slip-Resistant/dp/B0B622FRN8/ref=sr_1_3?keywords=Klein+Tools+60614+Lightweight+Knee+Pad+Sleeves%2C+S%2FM&amp;qid=1695174023&amp;sr=8-3", "https://www.amazon.com/Klein-Tools-60592-Lightweight-Slip-Resistant/dp/B0B622FRN8/ref=sr_1_3?keywords=Klein+Tools+60614+Lightweight+Knee+Pad+Sleeves%2C+S%2FM&amp;qid=1695174023&amp;sr=8-3")</f>
        <v>https://www.amazon.com/Klein-Tools-60592-Lightweight-Slip-Resistant/dp/B0B622FRN8/ref=sr_1_3?keywords=Klein+Tools+60614+Lightweight+Knee+Pad+Sleeves%2C+S%2FM&amp;qid=1695174023&amp;sr=8-3</v>
      </c>
      <c r="F3859" t="s">
        <v>1143</v>
      </c>
      <c r="G3859" t="e">
        <f ca="1">_xludf.IMAGE("https://edmondsonsupply.com/cdn/shop/products/60492_60592_photo_4859ff57-33ad-45f9-87df-8dc6b9372281.jpg?v=1681742927")</f>
        <v>#NAME?</v>
      </c>
      <c r="H3859" t="e">
        <f ca="1">_xludf.IMAGE("https://m.media-amazon.com/images/I/61SeDj1bXKL._AC_UL320_.jpg")</f>
        <v>#NAME?</v>
      </c>
      <c r="I3859" t="s">
        <v>577</v>
      </c>
      <c r="J3859">
        <v>19.97</v>
      </c>
      <c r="K3859" s="4">
        <v>-1E-3</v>
      </c>
      <c r="L3859">
        <v>4.0999999999999996</v>
      </c>
      <c r="M3859">
        <v>147</v>
      </c>
      <c r="O3859" t="s">
        <v>25</v>
      </c>
      <c r="P3859" t="s">
        <v>894</v>
      </c>
      <c r="Q3859" t="s">
        <v>899</v>
      </c>
    </row>
    <row r="3860" spans="1:17" ht="15.5" x14ac:dyDescent="0.35">
      <c r="A3860" s="3" t="str">
        <f>HYPERLINK("https://edmondsonsupply.com/collections/electricians-tools/products/klein-tools-50900r-locknut-wrench-set", "https://edmondsonsupply.com/collections/electricians-tools/products/klein-tools-50900r-locknut-wrench-set")</f>
        <v>https://edmondsonsupply.com/collections/electricians-tools/products/klein-tools-50900r-locknut-wrench-set</v>
      </c>
      <c r="B3860" s="3" t="str">
        <f>HYPERLINK("https://edmondsonsupply.com/products/klein-tools-50900r-locknut-wrench-set", "https://edmondsonsupply.com/products/klein-tools-50900r-locknut-wrench-set")</f>
        <v>https://edmondsonsupply.com/products/klein-tools-50900r-locknut-wrench-set</v>
      </c>
      <c r="C3860" t="s">
        <v>6711</v>
      </c>
      <c r="D3860" t="s">
        <v>8250</v>
      </c>
      <c r="E3860" s="3" t="str">
        <f>HYPERLINK("https://www.amazon.com/Klein-Tools-Conduit-Lockout-Locknuts/dp/B0C5YSDYN1/ref=sr_1_1?keywords=Klein+Tools+50900R+Locknut+Wrench+Set&amp;qid=1695174005&amp;sr=8-1", "https://www.amazon.com/Klein-Tools-Conduit-Lockout-Locknuts/dp/B0C5YSDYN1/ref=sr_1_1?keywords=Klein+Tools+50900R+Locknut+Wrench+Set&amp;qid=1695174005&amp;sr=8-1")</f>
        <v>https://www.amazon.com/Klein-Tools-Conduit-Lockout-Locknuts/dp/B0C5YSDYN1/ref=sr_1_1?keywords=Klein+Tools+50900R+Locknut+Wrench+Set&amp;qid=1695174005&amp;sr=8-1</v>
      </c>
      <c r="F3860" t="s">
        <v>8251</v>
      </c>
      <c r="G3860" t="e">
        <f ca="1">_xludf.IMAGE("https://edmondsonsupply.com/cdn/shop/files/50900r.jpg?v=1689789107")</f>
        <v>#NAME?</v>
      </c>
      <c r="H3860" t="e">
        <f ca="1">_xludf.IMAGE("https://m.media-amazon.com/images/I/41LmUr65QhL._AC_UL320_.jpg")</f>
        <v>#NAME?</v>
      </c>
      <c r="I3860" t="s">
        <v>276</v>
      </c>
      <c r="J3860">
        <v>14.97</v>
      </c>
      <c r="K3860" s="4">
        <v>-1.2999999999999999E-3</v>
      </c>
      <c r="L3860">
        <v>4.5</v>
      </c>
      <c r="M3860">
        <v>127</v>
      </c>
      <c r="O3860" t="s">
        <v>25</v>
      </c>
      <c r="P3860" t="s">
        <v>6714</v>
      </c>
      <c r="Q3860" t="s">
        <v>6715</v>
      </c>
    </row>
    <row r="3861" spans="1:17" ht="15.5" x14ac:dyDescent="0.35">
      <c r="A3861"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3861" s="3" t="str">
        <f>HYPERLINK("https://edmondsonsupply.com/products/diablo-tools-d0740x-7-1-4-in-x-40-tooth-finish-saw-blade", "https://edmondsonsupply.com/products/diablo-tools-d0740x-7-1-4-in-x-40-tooth-finish-saw-blade")</f>
        <v>https://edmondsonsupply.com/products/diablo-tools-d0740x-7-1-4-in-x-40-tooth-finish-saw-blade</v>
      </c>
      <c r="C3861" t="s">
        <v>6112</v>
      </c>
      <c r="D3861" t="s">
        <v>8252</v>
      </c>
      <c r="E3861" s="3" t="str">
        <f>HYPERLINK("https://www.amazon.com/FREUD-D0740X-ATB-Finishing-Blade/dp/B00008WQ2H/ref=sr_1_3?keywords=Diablo+Tools+D0740X+7-1%2F4+in.+x+40+Tooth+Finish+Saw+Blade&amp;qid=1695174073&amp;sr=8-3", "https://www.amazon.com/FREUD-D0740X-ATB-Finishing-Blade/dp/B00008WQ2H/ref=sr_1_3?keywords=Diablo+Tools+D0740X+7-1%2F4+in.+x+40+Tooth+Finish+Saw+Blade&amp;qid=1695174073&amp;sr=8-3")</f>
        <v>https://www.amazon.com/FREUD-D0740X-ATB-Finishing-Blade/dp/B00008WQ2H/ref=sr_1_3?keywords=Diablo+Tools+D0740X+7-1%2F4+in.+x+40+Tooth+Finish+Saw+Blade&amp;qid=1695174073&amp;sr=8-3</v>
      </c>
      <c r="F3861" t="s">
        <v>8253</v>
      </c>
      <c r="G3861" t="e">
        <f ca="1">_xludf.IMAGE("https://edmondsonsupply.com/cdn/shop/products/kdrkrhhsfpivsggxnkhy.webp?v=1678975834")</f>
        <v>#NAME?</v>
      </c>
      <c r="H3861" t="e">
        <f ca="1">_xludf.IMAGE("https://m.media-amazon.com/images/I/81LtUAod9aL._AC_UL320_.jpg")</f>
        <v>#NAME?</v>
      </c>
      <c r="I3861" t="s">
        <v>2784</v>
      </c>
      <c r="J3861">
        <v>14.95</v>
      </c>
      <c r="K3861" s="4">
        <v>-1.2999999999999999E-3</v>
      </c>
      <c r="L3861">
        <v>4.5999999999999996</v>
      </c>
      <c r="M3861">
        <v>391</v>
      </c>
      <c r="O3861" t="s">
        <v>25</v>
      </c>
      <c r="P3861" t="s">
        <v>6115</v>
      </c>
      <c r="Q3861" t="s">
        <v>6116</v>
      </c>
    </row>
    <row r="3862" spans="1:17" ht="15.5" x14ac:dyDescent="0.35">
      <c r="A3862"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3862"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3862" t="s">
        <v>6957</v>
      </c>
      <c r="D3862" t="s">
        <v>3682</v>
      </c>
      <c r="E3862" s="3" t="str">
        <f>HYPERLINK("https://www.amazon.com/Klein-Tools-6866INS-Screwdriver-Cushion-Grip/dp/B0BF73PSWC/ref=sr_1_3?keywords=Klein+Tools+602-6+5%2F16-Inch+Keystone+Tip+Screwdriver%2C+Cushion+Grip%2C+6-Inch&amp;qid=1695174298&amp;sr=8-3", "https://www.amazon.com/Klein-Tools-6866INS-Screwdriver-Cushion-Grip/dp/B0BF73PSWC/ref=sr_1_3?keywords=Klein+Tools+602-6+5%2F16-Inch+Keystone+Tip+Screwdriver%2C+Cushion+Grip%2C+6-Inch&amp;qid=1695174298&amp;sr=8-3")</f>
        <v>https://www.amazon.com/Klein-Tools-6866INS-Screwdriver-Cushion-Grip/dp/B0BF73PSWC/ref=sr_1_3?keywords=Klein+Tools+602-6+5%2F16-Inch+Keystone+Tip+Screwdriver%2C+Cushion+Grip%2C+6-Inch&amp;qid=1695174298&amp;sr=8-3</v>
      </c>
      <c r="F3862" t="s">
        <v>3683</v>
      </c>
      <c r="G3862" t="e">
        <f ca="1">_xludf.IMAGE("https://edmondsonsupply.com/cdn/shop/products/602-6_162e3283-acea-47de-aecf-2a25f009fdcb.jpg?v=1633030880")</f>
        <v>#NAME?</v>
      </c>
      <c r="H3862" t="e">
        <f ca="1">_xludf.IMAGE("https://m.media-amazon.com/images/I/41Sx5h6xG-L._AC_UL320_.jpg")</f>
        <v>#NAME?</v>
      </c>
      <c r="I3862" t="s">
        <v>2337</v>
      </c>
      <c r="J3862">
        <v>11.97</v>
      </c>
      <c r="K3862" s="4">
        <v>-1.6999999999999999E-3</v>
      </c>
      <c r="L3862">
        <v>4.9000000000000004</v>
      </c>
      <c r="M3862">
        <v>205</v>
      </c>
      <c r="O3862" t="s">
        <v>25</v>
      </c>
      <c r="P3862" t="s">
        <v>1212</v>
      </c>
      <c r="Q3862" t="s">
        <v>6958</v>
      </c>
    </row>
    <row r="3863" spans="1:17" ht="15.5" x14ac:dyDescent="0.35">
      <c r="A3863"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3863" s="3" t="str">
        <f>HYPERLINK("https://edmondsonsupply.com/products/klein-tools-630-3-8m-3-8-magnetic-tip-nut-driver-3-hollow-shank", "https://edmondsonsupply.com/products/klein-tools-630-3-8m-3-8-magnetic-tip-nut-driver-3-hollow-shank")</f>
        <v>https://edmondsonsupply.com/products/klein-tools-630-3-8m-3-8-magnetic-tip-nut-driver-3-hollow-shank</v>
      </c>
      <c r="C3863" t="s">
        <v>6055</v>
      </c>
      <c r="D3863" t="s">
        <v>3810</v>
      </c>
      <c r="E3863" s="3" t="str">
        <f>HYPERLINK("https://www.amazon.com/Magnetic-Klein-Tools-630-3-8M/dp/B000MKH4OS/ref=sr_1_1?keywords=Klein+Tools+630-3%2F8M+3%2F8-Inch+Magnetic+Tip+Nut+Driver&amp;qid=1695174153&amp;sr=8-1", "https://www.amazon.com/Magnetic-Klein-Tools-630-3-8M/dp/B000MKH4OS/ref=sr_1_1?keywords=Klein+Tools+630-3%2F8M+3%2F8-Inch+Magnetic+Tip+Nut+Driver&amp;qid=1695174153&amp;sr=8-1")</f>
        <v>https://www.amazon.com/Magnetic-Klein-Tools-630-3-8M/dp/B000MKH4OS/ref=sr_1_1?keywords=Klein+Tools+630-3%2F8M+3%2F8-Inch+Magnetic+Tip+Nut+Driver&amp;qid=1695174153&amp;sr=8-1</v>
      </c>
      <c r="F3863" t="s">
        <v>3811</v>
      </c>
      <c r="G3863" t="e">
        <f ca="1">_xludf.IMAGE("https://edmondsonsupply.com/cdn/shop/products/630-3-8m.jpg?v=1587145139")</f>
        <v>#NAME?</v>
      </c>
      <c r="H3863" t="e">
        <f ca="1">_xludf.IMAGE("https://m.media-amazon.com/images/I/51TxY7IaTtL._AC_UL320_.jpg")</f>
        <v>#NAME?</v>
      </c>
      <c r="I3863" t="s">
        <v>6056</v>
      </c>
      <c r="J3863">
        <v>10.97</v>
      </c>
      <c r="K3863" s="4">
        <v>-1.8E-3</v>
      </c>
      <c r="L3863">
        <v>4.7</v>
      </c>
      <c r="M3863">
        <v>1574</v>
      </c>
      <c r="O3863" t="s">
        <v>25</v>
      </c>
      <c r="P3863" t="s">
        <v>6057</v>
      </c>
      <c r="Q3863" t="s">
        <v>6058</v>
      </c>
    </row>
    <row r="3864" spans="1:17" ht="15.5" x14ac:dyDescent="0.35">
      <c r="A3864" s="3" t="str">
        <f>HYPERLINK("https://edmondsonsupply.com/collections/electricians-tools/products/john-boy-grass-face-guard", "https://edmondsonsupply.com/collections/electricians-tools/products/john-boy-grass-face-guard")</f>
        <v>https://edmondsonsupply.com/collections/electricians-tools/products/john-boy-grass-face-guard</v>
      </c>
      <c r="B3864" s="3" t="str">
        <f>HYPERLINK("https://edmondsonsupply.com/products/john-boy-grass-face-guard", "https://edmondsonsupply.com/products/john-boy-grass-face-guard")</f>
        <v>https://edmondsonsupply.com/products/john-boy-grass-face-guard</v>
      </c>
      <c r="C3864" t="s">
        <v>1065</v>
      </c>
      <c r="D3864" t="s">
        <v>1236</v>
      </c>
      <c r="E3864" s="3" t="str">
        <f>HYPERLINK("https://www.amazon.com/JOHN-BOY-Construction-Face-Guard/dp/B0842ZGZCQ/ref=sr_1_4?keywords=John+Boy+GRASS+Face+Guard&amp;qid=1695174296&amp;sr=8-4", "https://www.amazon.com/JOHN-BOY-Construction-Face-Guard/dp/B0842ZGZCQ/ref=sr_1_4?keywords=John+Boy+GRASS+Face+Guard&amp;qid=1695174296&amp;sr=8-4")</f>
        <v>https://www.amazon.com/JOHN-BOY-Construction-Face-Guard/dp/B0842ZGZCQ/ref=sr_1_4?keywords=John+Boy+GRASS+Face+Guard&amp;qid=1695174296&amp;sr=8-4</v>
      </c>
      <c r="F3864" t="s">
        <v>1237</v>
      </c>
      <c r="G3864" t="e">
        <f ca="1">_xludf.IMAGE("https://edmondsonsupply.com/cdn/shop/products/grassMUcopy_900x_3dbec2e2-1ea2-46e7-b806-f05c0b3108b5.jpg?v=1633030897")</f>
        <v>#NAME?</v>
      </c>
      <c r="H3864" t="e">
        <f ca="1">_xludf.IMAGE("https://m.media-amazon.com/images/I/71Op4Hsw9PL._AC_UL320_.jpg")</f>
        <v>#NAME?</v>
      </c>
      <c r="I3864" t="s">
        <v>1039</v>
      </c>
      <c r="J3864">
        <v>9.98</v>
      </c>
      <c r="K3864" s="4">
        <v>-2E-3</v>
      </c>
      <c r="L3864">
        <v>4.7</v>
      </c>
      <c r="M3864">
        <v>5</v>
      </c>
      <c r="O3864" t="s">
        <v>25</v>
      </c>
      <c r="P3864" t="s">
        <v>138</v>
      </c>
      <c r="Q3864" t="s">
        <v>1066</v>
      </c>
    </row>
    <row r="3865" spans="1:17" ht="15.5" x14ac:dyDescent="0.35">
      <c r="A3865"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3865" s="3" t="str">
        <f>HYPERLINK("https://edmondsonsupply.com/products/klein-tools-vaco-s10m-5-16-magnetic-nut-driver-3-hollow-shaft", "https://edmondsonsupply.com/products/klein-tools-vaco-s10m-5-16-magnetic-nut-driver-3-hollow-shaft")</f>
        <v>https://edmondsonsupply.com/products/klein-tools-vaco-s10m-5-16-magnetic-nut-driver-3-hollow-shaft</v>
      </c>
      <c r="C3865" t="s">
        <v>6468</v>
      </c>
      <c r="D3865" t="s">
        <v>3747</v>
      </c>
      <c r="E3865" s="3" t="str">
        <f>HYPERLINK("https://www.amazon.com/Magnetic-Klein-Tools-630-5-16M/dp/B000LEX58E/ref=sr_1_2?keywords=Klein+Tools+S10M+5%2F16-Inch+Magnetic+Nut+Driver+3-Inch+Shaft&amp;qid=1695174019&amp;sr=8-2", "https://www.amazon.com/Magnetic-Klein-Tools-630-5-16M/dp/B000LEX58E/ref=sr_1_2?keywords=Klein+Tools+S10M+5%2F16-Inch+Magnetic+Nut+Driver+3-Inch+Shaft&amp;qid=1695174019&amp;sr=8-2")</f>
        <v>https://www.amazon.com/Magnetic-Klein-Tools-630-5-16M/dp/B000LEX58E/ref=sr_1_2?keywords=Klein+Tools+S10M+5%2F16-Inch+Magnetic+Nut+Driver+3-Inch+Shaft&amp;qid=1695174019&amp;sr=8-2</v>
      </c>
      <c r="F3865" t="s">
        <v>3748</v>
      </c>
      <c r="G3865" t="e">
        <f ca="1">_xludf.IMAGE("https://edmondsonsupply.com/cdn/shop/products/s10m_alt2.jpg?v=1587143022")</f>
        <v>#NAME?</v>
      </c>
      <c r="H3865" t="e">
        <f ca="1">_xludf.IMAGE("https://m.media-amazon.com/images/I/515W26xlnhL._AC_UL320_.jpg")</f>
        <v>#NAME?</v>
      </c>
      <c r="I3865" t="s">
        <v>2577</v>
      </c>
      <c r="J3865">
        <v>9.9700000000000006</v>
      </c>
      <c r="K3865" s="4">
        <v>-2E-3</v>
      </c>
      <c r="L3865">
        <v>4.7</v>
      </c>
      <c r="M3865">
        <v>1574</v>
      </c>
      <c r="O3865" t="s">
        <v>25</v>
      </c>
      <c r="P3865" t="s">
        <v>6469</v>
      </c>
      <c r="Q3865" t="s">
        <v>6470</v>
      </c>
    </row>
    <row r="3866" spans="1:17" ht="15.5" x14ac:dyDescent="0.35">
      <c r="A3866"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3866" s="3" t="str">
        <f>HYPERLINK("https://edmondsonsupply.com/products/klein-tools-605-4-1-4-inch-cabinet-tip-screwdriver-4-inch-shank", "https://edmondsonsupply.com/products/klein-tools-605-4-1-4-inch-cabinet-tip-screwdriver-4-inch-shank")</f>
        <v>https://edmondsonsupply.com/products/klein-tools-605-4-1-4-inch-cabinet-tip-screwdriver-4-inch-shank</v>
      </c>
      <c r="C3866" t="s">
        <v>6418</v>
      </c>
      <c r="D3866" t="s">
        <v>8254</v>
      </c>
      <c r="E3866" s="3" t="str">
        <f>HYPERLINK("https://www.amazon.com/Screwdriver-Terminal-Klein-Tools-612-4/dp/B0058I6VNE/ref=sr_1_8?keywords=Klein+Tools+605-4+1%2F4-Inch+Cabinet+Tip+Screwdriver+4-Inch+Shank&amp;qid=1695174135&amp;sr=8-8", "https://www.amazon.com/Screwdriver-Terminal-Klein-Tools-612-4/dp/B0058I6VNE/ref=sr_1_8?keywords=Klein+Tools+605-4+1%2F4-Inch+Cabinet+Tip+Screwdriver+4-Inch+Shank&amp;qid=1695174135&amp;sr=8-8")</f>
        <v>https://www.amazon.com/Screwdriver-Terminal-Klein-Tools-612-4/dp/B0058I6VNE/ref=sr_1_8?keywords=Klein+Tools+605-4+1%2F4-Inch+Cabinet+Tip+Screwdriver+4-Inch+Shank&amp;qid=1695174135&amp;sr=8-8</v>
      </c>
      <c r="F3866" t="s">
        <v>8255</v>
      </c>
      <c r="G3866" t="e">
        <f ca="1">_xludf.IMAGE("https://edmondsonsupply.com/cdn/shop/products/605-6_ac5e56ca-920d-4d55-842f-c7dc8361f892.jpg?v=1665688377")</f>
        <v>#NAME?</v>
      </c>
      <c r="H3866" t="e">
        <f ca="1">_xludf.IMAGE("https://m.media-amazon.com/images/I/51APfPlk95L._AC_UL320_.jpg")</f>
        <v>#NAME?</v>
      </c>
      <c r="I3866" t="s">
        <v>924</v>
      </c>
      <c r="J3866">
        <v>8.9700000000000006</v>
      </c>
      <c r="K3866" s="4">
        <v>-2.2000000000000001E-3</v>
      </c>
      <c r="L3866">
        <v>4.8</v>
      </c>
      <c r="M3866">
        <v>1956</v>
      </c>
      <c r="O3866" t="s">
        <v>25</v>
      </c>
      <c r="P3866" t="s">
        <v>6421</v>
      </c>
      <c r="Q3866" t="s">
        <v>6422</v>
      </c>
    </row>
    <row r="3867" spans="1:17" ht="15.5" x14ac:dyDescent="0.35">
      <c r="A3867"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3867" s="3" t="str">
        <f>HYPERLINK("https://edmondsonsupply.com/products/klein-tools-3005cr-ratcheting-crimper-10-22-awg", "https://edmondsonsupply.com/products/klein-tools-3005cr-ratcheting-crimper-10-22-awg")</f>
        <v>https://edmondsonsupply.com/products/klein-tools-3005cr-ratcheting-crimper-10-22-awg</v>
      </c>
      <c r="C3867" t="s">
        <v>1987</v>
      </c>
      <c r="D3867" t="s">
        <v>4819</v>
      </c>
      <c r="E3867" s="3" t="str">
        <f>HYPERLINK("https://www.amazon.com/Klein-Tools-1005-Connectors-Non-Insulated/dp/B0006M6Y5M/ref=sr_1_7?keywords=Klein+Tools+3005CR+Ratcheting+Crimper%2C+10-22+AWG+-+Insulated+Terminals&amp;qid=1695173864&amp;sr=8-7", "https://www.amazon.com/Klein-Tools-1005-Connectors-Non-Insulated/dp/B0006M6Y5M/ref=sr_1_7?keywords=Klein+Tools+3005CR+Ratcheting+Crimper%2C+10-22+AWG+-+Insulated+Terminals&amp;qid=1695173864&amp;sr=8-7")</f>
        <v>https://www.amazon.com/Klein-Tools-1005-Connectors-Non-Insulated/dp/B0006M6Y5M/ref=sr_1_7?keywords=Klein+Tools+3005CR+Ratcheting+Crimper%2C+10-22+AWG+-+Insulated+Terminals&amp;qid=1695173864&amp;sr=8-7</v>
      </c>
      <c r="F3867" t="s">
        <v>4820</v>
      </c>
      <c r="G3867" t="e">
        <f ca="1">_xludf.IMAGE("https://edmondsonsupply.com/cdn/shop/products/3005cr.jpg?v=1587146892")</f>
        <v>#NAME?</v>
      </c>
      <c r="H3867" t="e">
        <f ca="1">_xludf.IMAGE("https://m.media-amazon.com/images/I/41JVR3OpiRL._AC_UL320_.jpg")</f>
        <v>#NAME?</v>
      </c>
      <c r="I3867" t="s">
        <v>824</v>
      </c>
      <c r="J3867">
        <v>29.85</v>
      </c>
      <c r="K3867" s="4">
        <v>-4.0000000000000001E-3</v>
      </c>
      <c r="L3867">
        <v>4.9000000000000004</v>
      </c>
      <c r="M3867">
        <v>3908</v>
      </c>
      <c r="O3867" t="s">
        <v>25</v>
      </c>
      <c r="P3867" t="s">
        <v>1990</v>
      </c>
      <c r="Q3867" t="s">
        <v>1991</v>
      </c>
    </row>
    <row r="3868" spans="1:17" ht="15.5" x14ac:dyDescent="0.35">
      <c r="A3868"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3868" s="3" t="str">
        <f>HYPERLINK("https://edmondsonsupply.com/products/klein-tools-ncvt1xt-non-contact-voltage-tester-70-to-1000v-ac", "https://edmondsonsupply.com/products/klein-tools-ncvt1xt-non-contact-voltage-tester-70-to-1000v-ac")</f>
        <v>https://edmondsonsupply.com/products/klein-tools-ncvt1xt-non-contact-voltage-tester-70-to-1000v-ac</v>
      </c>
      <c r="C3868" t="s">
        <v>6346</v>
      </c>
      <c r="D3868" t="s">
        <v>8256</v>
      </c>
      <c r="E3868" s="3" t="str">
        <f>HYPERLINK("https://www.amazon.com/Klein-Tools-NCVT1XT-Non-Contact-Waterproof/dp/B0BHLQ5VF1/ref=sr_1_1?keywords=Klein+Tools+NCVT1XT+Non-Contact+Voltage+Tester%2C+70+to+1000V+AC&amp;qid=1695174075&amp;sr=8-1", "https://www.amazon.com/Klein-Tools-NCVT1XT-Non-Contact-Waterproof/dp/B0BHLQ5VF1/ref=sr_1_1?keywords=Klein+Tools+NCVT1XT+Non-Contact+Voltage+Tester%2C+70+to+1000V+AC&amp;qid=1695174075&amp;sr=8-1")</f>
        <v>https://www.amazon.com/Klein-Tools-NCVT1XT-Non-Contact-Waterproof/dp/B0BHLQ5VF1/ref=sr_1_1?keywords=Klein+Tools+NCVT1XT+Non-Contact+Voltage+Tester%2C+70+to+1000V+AC&amp;qid=1695174075&amp;sr=8-1</v>
      </c>
      <c r="F3868" t="s">
        <v>8257</v>
      </c>
      <c r="G3868" t="e">
        <f ca="1">_xludf.IMAGE("https://edmondsonsupply.com/cdn/shop/products/ncvt1xt.jpg?v=1674496568")</f>
        <v>#NAME?</v>
      </c>
      <c r="H3868" t="e">
        <f ca="1">_xludf.IMAGE("https://m.media-amazon.com/images/I/51e9HxxrY+L._AC_UL320_.jpg")</f>
        <v>#NAME?</v>
      </c>
      <c r="I3868" t="s">
        <v>893</v>
      </c>
      <c r="J3868">
        <v>19.88</v>
      </c>
      <c r="K3868" s="4">
        <v>-4.4999999999999997E-3</v>
      </c>
      <c r="L3868">
        <v>4.5999999999999996</v>
      </c>
      <c r="M3868">
        <v>76</v>
      </c>
      <c r="O3868" t="s">
        <v>25</v>
      </c>
      <c r="P3868" t="s">
        <v>6347</v>
      </c>
      <c r="Q3868" t="s">
        <v>6348</v>
      </c>
    </row>
    <row r="3869" spans="1:17" ht="15.5" x14ac:dyDescent="0.35">
      <c r="A3869" s="3" t="str">
        <f>HYPERLINK("https://edmondsonsupply.com/collections/electricians-tools/products/klein-tools-55452rtb-tool-bag-tradesman-pro%E2%84%A2-rolling-tool-bag-24-pockets-19-inch", "https://edmondsonsupply.com/collections/electricians-tools/products/klein-tools-55452rtb-tool-bag-tradesman-pro%E2%84%A2-rolling-tool-bag-24-pockets-19-inch")</f>
        <v>https://edmondsonsupply.com/collections/electricians-tools/products/klein-tools-55452rtb-tool-bag-tradesman-pro%E2%84%A2-rolling-tool-bag-24-pockets-19-inch</v>
      </c>
      <c r="B3869" s="3" t="str">
        <f>HYPERLINK("https://edmondsonsupply.com/products/klein-tools-55452rtb-tool-bag-tradesman-pro%e2%84%a2-rolling-tool-bag-24-pockets-19-inch", "https://edmondsonsupply.com/products/klein-tools-55452rtb-tool-bag-tradesman-pro%e2%84%a2-rolling-tool-bag-24-pockets-19-inch")</f>
        <v>https://edmondsonsupply.com/products/klein-tools-55452rtb-tool-bag-tradesman-pro%e2%84%a2-rolling-tool-bag-24-pockets-19-inch</v>
      </c>
      <c r="C3869" t="s">
        <v>630</v>
      </c>
      <c r="D3869" t="s">
        <v>631</v>
      </c>
      <c r="E3869" s="3" t="str">
        <f>HYPERLINK("https://www.amazon.com/Klein-Tools-55452RTB-Rollling-Tradesman/dp/B00BZXA35I/ref=sr_1_1?keywords=Klein+Tools+55452RTB+Tool+Bag%2C+Tradesman+Pro%E2%84%A2+Rolling+Tool+Bag%2C+24+Pockets%2C+19-Inch&amp;qid=1695174241&amp;sr=8-1", "https://www.amazon.com/Klein-Tools-55452RTB-Rollling-Tradesman/dp/B00BZXA35I/ref=sr_1_1?keywords=Klein+Tools+55452RTB+Tool+Bag%2C+Tradesman+Pro%E2%84%A2+Rolling+Tool+Bag%2C+24+Pockets%2C+19-Inch&amp;qid=1695174241&amp;sr=8-1")</f>
        <v>https://www.amazon.com/Klein-Tools-55452RTB-Rollling-Tradesman/dp/B00BZXA35I/ref=sr_1_1?keywords=Klein+Tools+55452RTB+Tool+Bag%2C+Tradesman+Pro%E2%84%A2+Rolling+Tool+Bag%2C+24+Pockets%2C+19-Inch&amp;qid=1695174241&amp;sr=8-1</v>
      </c>
      <c r="F3869" t="s">
        <v>632</v>
      </c>
      <c r="G3869" t="e">
        <f ca="1">_xludf.IMAGE("https://edmondsonsupply.com/cdn/shop/files/55452rtb.jpg?v=1685713046")</f>
        <v>#NAME?</v>
      </c>
      <c r="H3869" t="e">
        <f ca="1">_xludf.IMAGE("https://m.media-amazon.com/images/I/71VvMaXepmL._AC_UL320_.jpg")</f>
        <v>#NAME?</v>
      </c>
      <c r="I3869" t="s">
        <v>633</v>
      </c>
      <c r="J3869">
        <v>199</v>
      </c>
      <c r="K3869" s="4">
        <v>-4.8999999999999998E-3</v>
      </c>
      <c r="L3869">
        <v>4.5</v>
      </c>
      <c r="M3869">
        <v>900</v>
      </c>
      <c r="O3869" t="s">
        <v>25</v>
      </c>
      <c r="P3869" t="s">
        <v>634</v>
      </c>
      <c r="Q3869" t="s">
        <v>635</v>
      </c>
    </row>
    <row r="3870" spans="1:17" ht="15.5" x14ac:dyDescent="0.35">
      <c r="A3870" s="3" t="str">
        <f>HYPERLINK("https://edmondsonsupply.com/collections/electricians-tools/products/klein-tools-bat20ubl-cordless-utility-led-light-tool-only", "https://edmondsonsupply.com/collections/electricians-tools/products/klein-tools-bat20ubl-cordless-utility-led-light-tool-only")</f>
        <v>https://edmondsonsupply.com/collections/electricians-tools/products/klein-tools-bat20ubl-cordless-utility-led-light-tool-only</v>
      </c>
      <c r="B3870" s="3" t="str">
        <f>HYPERLINK("https://edmondsonsupply.com/products/klein-tools-bat20ubl-cordless-utility-led-light-tool-only", "https://edmondsonsupply.com/products/klein-tools-bat20ubl-cordless-utility-led-light-tool-only")</f>
        <v>https://edmondsonsupply.com/products/klein-tools-bat20ubl-cordless-utility-led-light-tool-only</v>
      </c>
      <c r="C3870" t="s">
        <v>8258</v>
      </c>
      <c r="D3870" t="s">
        <v>8259</v>
      </c>
      <c r="E3870" s="3" t="str">
        <f>HYPERLINK("https://www.amazon.com/Klein-Tools-BAT20UBL-Lithium-Ion-Cordless/dp/B09HW9XZLF/ref=sr_1_1?keywords=Klein+Tools+BAT20UBL+Cordless+Utility+LED+Light+%28Tool+Only%29&amp;qid=1695174143&amp;sr=8-1", "https://www.amazon.com/Klein-Tools-BAT20UBL-Lithium-Ion-Cordless/dp/B09HW9XZLF/ref=sr_1_1?keywords=Klein+Tools+BAT20UBL+Cordless+Utility+LED+Light+%28Tool+Only%29&amp;qid=1695174143&amp;sr=8-1")</f>
        <v>https://www.amazon.com/Klein-Tools-BAT20UBL-Lithium-Ion-Cordless/dp/B09HW9XZLF/ref=sr_1_1?keywords=Klein+Tools+BAT20UBL+Cordless+Utility+LED+Light+%28Tool+Only%29&amp;qid=1695174143&amp;sr=8-1</v>
      </c>
      <c r="F3870" t="s">
        <v>8260</v>
      </c>
      <c r="G3870" t="e">
        <f ca="1">_xludf.IMAGE("https://edmondsonsupply.com/cdn/shop/products/bat20ubl.jpg?v=1666016493")</f>
        <v>#NAME?</v>
      </c>
      <c r="H3870" t="e">
        <f ca="1">_xludf.IMAGE("https://m.media-amazon.com/images/I/51119e6RKfL._AC_UL320_.jpg")</f>
        <v>#NAME?</v>
      </c>
      <c r="I3870" t="s">
        <v>8261</v>
      </c>
      <c r="J3870">
        <v>244.16</v>
      </c>
      <c r="K3870" s="4">
        <v>-6.4000000000000003E-3</v>
      </c>
      <c r="L3870">
        <v>5</v>
      </c>
      <c r="M3870">
        <v>2</v>
      </c>
      <c r="O3870" t="s">
        <v>25</v>
      </c>
      <c r="P3870" t="s">
        <v>8262</v>
      </c>
      <c r="Q3870" t="s">
        <v>8263</v>
      </c>
    </row>
    <row r="3871" spans="1:17" ht="15.5" x14ac:dyDescent="0.35">
      <c r="A3871" s="3" t="str">
        <f>HYPERLINK("https://edmondsonsupply.com/collections/electricians-tools/products/klein-tools-56040-rechargeable-focus-flashlight-with-laser", "https://edmondsonsupply.com/collections/electricians-tools/products/klein-tools-56040-rechargeable-focus-flashlight-with-laser")</f>
        <v>https://edmondsonsupply.com/collections/electricians-tools/products/klein-tools-56040-rechargeable-focus-flashlight-with-laser</v>
      </c>
      <c r="B3871" s="3" t="str">
        <f>HYPERLINK("https://edmondsonsupply.com/products/klein-tools-56040-rechargeable-focus-flashlight-with-laser", "https://edmondsonsupply.com/products/klein-tools-56040-rechargeable-focus-flashlight-with-laser")</f>
        <v>https://edmondsonsupply.com/products/klein-tools-56040-rechargeable-focus-flashlight-with-laser</v>
      </c>
      <c r="C3871" t="s">
        <v>4835</v>
      </c>
      <c r="D3871" t="s">
        <v>4836</v>
      </c>
      <c r="E3871" s="3" t="str">
        <f>HYPERLINK("https://www.amazon.com/Klein-56040-Rechargeable-Focus-Flashlight/dp/B0828NGD4V/ref=sr_1_1?keywords=Klein+Tools+56040+Rechargeable+Focus+Flashlight+with+Laser&amp;qid=1695173940&amp;sr=8-1", "https://www.amazon.com/Klein-56040-Rechargeable-Focus-Flashlight/dp/B0828NGD4V/ref=sr_1_1?keywords=Klein+Tools+56040+Rechargeable+Focus+Flashlight+with+Laser&amp;qid=1695173940&amp;sr=8-1")</f>
        <v>https://www.amazon.com/Klein-56040-Rechargeable-Focus-Flashlight/dp/B0828NGD4V/ref=sr_1_1?keywords=Klein+Tools+56040+Rechargeable+Focus+Flashlight+with+Laser&amp;qid=1695173940&amp;sr=8-1</v>
      </c>
      <c r="F3871" t="s">
        <v>4837</v>
      </c>
      <c r="G3871" t="e">
        <f ca="1">_xludf.IMAGE("https://edmondsonsupply.com/cdn/shop/products/56040.jpg?v=1587143371")</f>
        <v>#NAME?</v>
      </c>
      <c r="H3871" t="e">
        <f ca="1">_xludf.IMAGE("https://m.media-amazon.com/images/I/51XNgm063EL._AC_UL320_.jpg")</f>
        <v>#NAME?</v>
      </c>
      <c r="I3871" t="s">
        <v>246</v>
      </c>
      <c r="J3871">
        <v>39.659999999999997</v>
      </c>
      <c r="K3871" s="4">
        <v>-7.7999999999999996E-3</v>
      </c>
      <c r="L3871">
        <v>4.5999999999999996</v>
      </c>
      <c r="M3871">
        <v>476</v>
      </c>
      <c r="O3871" t="s">
        <v>25</v>
      </c>
      <c r="P3871" t="s">
        <v>4838</v>
      </c>
      <c r="Q3871" t="s">
        <v>4839</v>
      </c>
    </row>
    <row r="3872" spans="1:17" ht="15.5" x14ac:dyDescent="0.35">
      <c r="A3872"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3872"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3872" t="s">
        <v>2115</v>
      </c>
      <c r="D3872" t="s">
        <v>4840</v>
      </c>
      <c r="E3872" s="3" t="str">
        <f>HYPERLINK("https://www.amazon.com/Screwdriver-Adjustable-Klein-Tools-32304/dp/B09Q4H5STD/ref=sr_1_1?keywords=Klein+Tools+32304+14-in-1+HVAC+Adjustable-Length+Impact+Screwdriver+with+Flip+Socket&amp;qid=1695173856&amp;sr=8-1", "https://www.amazon.com/Screwdriver-Adjustable-Klein-Tools-32304/dp/B09Q4H5STD/ref=sr_1_1?keywords=Klein+Tools+32304+14-in-1+HVAC+Adjustable-Length+Impact+Screwdriver+with+Flip+Socket&amp;qid=1695173856&amp;sr=8-1")</f>
        <v>https://www.amazon.com/Screwdriver-Adjustable-Klein-Tools-32304/dp/B09Q4H5STD/ref=sr_1_1?keywords=Klein+Tools+32304+14-in-1+HVAC+Adjustable-Length+Impact+Screwdriver+with+Flip+Socket&amp;qid=1695173856&amp;sr=8-1</v>
      </c>
      <c r="F3872" t="s">
        <v>4841</v>
      </c>
      <c r="G3872" t="e">
        <f ca="1">_xludf.IMAGE("https://edmondsonsupply.com/cdn/shop/products/32304.jpg?v=1666019479")</f>
        <v>#NAME?</v>
      </c>
      <c r="H3872" t="e">
        <f ca="1">_xludf.IMAGE("https://m.media-amazon.com/images/I/51OyfXQXJkL._AC_UL320_.jpg")</f>
        <v>#NAME?</v>
      </c>
      <c r="I3872" t="s">
        <v>859</v>
      </c>
      <c r="J3872">
        <v>24.77</v>
      </c>
      <c r="K3872" s="4">
        <v>-8.0000000000000002E-3</v>
      </c>
      <c r="L3872">
        <v>4.5999999999999996</v>
      </c>
      <c r="M3872">
        <v>2640</v>
      </c>
      <c r="O3872" t="s">
        <v>25</v>
      </c>
      <c r="P3872" t="s">
        <v>602</v>
      </c>
      <c r="Q3872" t="s">
        <v>2118</v>
      </c>
    </row>
    <row r="3873" spans="1:17" ht="15.5" x14ac:dyDescent="0.35">
      <c r="A3873"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3873" s="3" t="str">
        <f>HYPERLINK("https://edmondsonsupply.com/products/diablo-tools-dag3090-7-8-in-x-17-1-2-in-auger-bit", "https://edmondsonsupply.com/products/diablo-tools-dag3090-7-8-in-x-17-1-2-in-auger-bit")</f>
        <v>https://edmondsonsupply.com/products/diablo-tools-dag3090-7-8-in-x-17-1-2-in-auger-bit</v>
      </c>
      <c r="C3873" t="s">
        <v>7269</v>
      </c>
      <c r="D3873" t="s">
        <v>7355</v>
      </c>
      <c r="E3873" s="3" t="str">
        <f>HYPERLINK("https://www.amazon.com/Diablo-DAG3100-17-1-Auger-Bit/dp/B089KWFBPH/ref=sr_1_9?keywords=Diablo+Tools+DAG3090+7%2F8+in.+x+17-1%2F2+in.+Auger+Bit&amp;qid=1695174065&amp;sr=8-9", "https://www.amazon.com/Diablo-DAG3100-17-1-Auger-Bit/dp/B089KWFBPH/ref=sr_1_9?keywords=Diablo+Tools+DAG3090+7%2F8+in.+x+17-1%2F2+in.+Auger+Bit&amp;qid=1695174065&amp;sr=8-9")</f>
        <v>https://www.amazon.com/Diablo-DAG3100-17-1-Auger-Bit/dp/B089KWFBPH/ref=sr_1_9?keywords=Diablo+Tools+DAG3090+7%2F8+in.+x+17-1%2F2+in.+Auger+Bit&amp;qid=1695174065&amp;sr=8-9</v>
      </c>
      <c r="F3873" t="s">
        <v>7356</v>
      </c>
      <c r="G3873" t="e">
        <f ca="1">_xludf.IMAGE("https://edmondsonsupply.com/cdn/shop/products/aorgtpkivjubhtbiiau0.webp?v=1677256849")</f>
        <v>#NAME?</v>
      </c>
      <c r="H3873" t="e">
        <f ca="1">_xludf.IMAGE("https://m.media-amazon.com/images/I/61Lk5PecX2L._AC_UL320_.jpg")</f>
        <v>#NAME?</v>
      </c>
      <c r="I3873" t="s">
        <v>1589</v>
      </c>
      <c r="J3873">
        <v>22.8</v>
      </c>
      <c r="K3873" s="4">
        <v>-8.3000000000000001E-3</v>
      </c>
      <c r="L3873">
        <v>5</v>
      </c>
      <c r="M3873">
        <v>3</v>
      </c>
      <c r="O3873" t="s">
        <v>25</v>
      </c>
      <c r="P3873" t="s">
        <v>7270</v>
      </c>
      <c r="Q3873" t="s">
        <v>7271</v>
      </c>
    </row>
    <row r="3874" spans="1:17" ht="15.5" x14ac:dyDescent="0.35">
      <c r="A3874" s="3" t="str">
        <f>HYPERLINK("https://edmondsonsupply.com/collections/electricians-tools/products/klein-tools-d53010-plier-wrench-10-inch", "https://edmondsonsupply.com/collections/electricians-tools/products/klein-tools-d53010-plier-wrench-10-inch")</f>
        <v>https://edmondsonsupply.com/collections/electricians-tools/products/klein-tools-d53010-plier-wrench-10-inch</v>
      </c>
      <c r="B3874" s="3" t="str">
        <f>HYPERLINK("https://edmondsonsupply.com/products/klein-tools-d53010-plier-wrench-10-inch", "https://edmondsonsupply.com/products/klein-tools-d53010-plier-wrench-10-inch")</f>
        <v>https://edmondsonsupply.com/products/klein-tools-d53010-plier-wrench-10-inch</v>
      </c>
      <c r="C3874" t="s">
        <v>8264</v>
      </c>
      <c r="D3874" t="s">
        <v>8265</v>
      </c>
      <c r="E3874" s="3" t="str">
        <f>HYPERLINK("https://www.amazon.com/Klein-Tools-D53010-Adjustable-Parallel/dp/B0BYPJX3R2/ref=sr_1_1?keywords=Klein+Tools+D53010+Plier+Wrench%2C+10-Inch+%28D530-10%29&amp;qid=1695174022&amp;sr=8-1", "https://www.amazon.com/Klein-Tools-D53010-Adjustable-Parallel/dp/B0BYPJX3R2/ref=sr_1_1?keywords=Klein+Tools+D53010+Plier+Wrench%2C+10-Inch+%28D530-10%29&amp;qid=1695174022&amp;sr=8-1")</f>
        <v>https://www.amazon.com/Klein-Tools-D53010-Adjustable-Parallel/dp/B0BYPJX3R2/ref=sr_1_1?keywords=Klein+Tools+D53010+Plier+Wrench%2C+10-Inch+%28D530-10%29&amp;qid=1695174022&amp;sr=8-1</v>
      </c>
      <c r="F3874" t="s">
        <v>8266</v>
      </c>
      <c r="G3874" t="e">
        <f ca="1">_xludf.IMAGE("https://edmondsonsupply.com/cdn/shop/products/d53010_side_paralleljaw2.jpg?v=1681738342")</f>
        <v>#NAME?</v>
      </c>
      <c r="H3874" t="e">
        <f ca="1">_xludf.IMAGE("https://m.media-amazon.com/images/I/41lg5eXIQGL._AC_UL320_.jpg")</f>
        <v>#NAME?</v>
      </c>
      <c r="I3874" t="s">
        <v>380</v>
      </c>
      <c r="J3874">
        <v>49.55</v>
      </c>
      <c r="K3874" s="4">
        <v>-8.3999999999999995E-3</v>
      </c>
      <c r="L3874">
        <v>4.7</v>
      </c>
      <c r="M3874">
        <v>259</v>
      </c>
      <c r="O3874" t="s">
        <v>25</v>
      </c>
      <c r="P3874" t="s">
        <v>8267</v>
      </c>
      <c r="Q3874" t="s">
        <v>8268</v>
      </c>
    </row>
    <row r="3875" spans="1:17" ht="15.5" x14ac:dyDescent="0.35">
      <c r="A3875" s="3" t="str">
        <f>HYPERLINK("https://edmondsonsupply.com/collections/electricians-tools/products/klein-tools-55429-tradesman-pro%E2%84%A2-electricians-tool-belt-xl", "https://edmondsonsupply.com/collections/electricians-tools/products/klein-tools-55429-tradesman-pro%E2%84%A2-electricians-tool-belt-xl")</f>
        <v>https://edmondsonsupply.com/collections/electricians-tools/products/klein-tools-55429-tradesman-pro%E2%84%A2-electricians-tool-belt-xl</v>
      </c>
      <c r="B3875" s="3" t="str">
        <f>HYPERLINK("https://edmondsonsupply.com/products/klein-tools-55429-tradesman-pro%e2%84%a2-electricians-tool-belt-xl", "https://edmondsonsupply.com/products/klein-tools-55429-tradesman-pro%e2%84%a2-electricians-tool-belt-xl")</f>
        <v>https://edmondsonsupply.com/products/klein-tools-55429-tradesman-pro%e2%84%a2-electricians-tool-belt-xl</v>
      </c>
      <c r="C3875" t="s">
        <v>636</v>
      </c>
      <c r="D3875" t="s">
        <v>637</v>
      </c>
      <c r="E3875" s="3" t="str">
        <f>HYPERLINK("https://www.amazon.com/Tradesman-Electricians-Klein-Tools-55429/dp/B00BZXA3GC/ref=sr_1_1?keywords=Klein+Tools+55429+Tradesman+Pro%E2%84%A2+Electrician%27s+Tool+Belt%2C+XL&amp;qid=1695174254&amp;sr=8-1", "https://www.amazon.com/Tradesman-Electricians-Klein-Tools-55429/dp/B00BZXA3GC/ref=sr_1_1?keywords=Klein+Tools+55429+Tradesman+Pro%E2%84%A2+Electrician%27s+Tool+Belt%2C+XL&amp;qid=1695174254&amp;sr=8-1")</f>
        <v>https://www.amazon.com/Tradesman-Electricians-Klein-Tools-55429/dp/B00BZXA3GC/ref=sr_1_1?keywords=Klein+Tools+55429+Tradesman+Pro%E2%84%A2+Electrician%27s+Tool+Belt%2C+XL&amp;qid=1695174254&amp;sr=8-1</v>
      </c>
      <c r="F3875" t="s">
        <v>638</v>
      </c>
      <c r="G3875" t="e">
        <f ca="1">_xludf.IMAGE("https://edmondsonsupply.com/cdn/shop/products/55429_b.jpg?v=1679415357")</f>
        <v>#NAME?</v>
      </c>
      <c r="H3875" t="e">
        <f ca="1">_xludf.IMAGE("https://m.media-amazon.com/images/I/61hBX21HbTL._AC_UL320_.jpg")</f>
        <v>#NAME?</v>
      </c>
      <c r="I3875" t="s">
        <v>639</v>
      </c>
      <c r="J3875">
        <v>115</v>
      </c>
      <c r="K3875" s="4">
        <v>-8.5000000000000006E-3</v>
      </c>
      <c r="L3875">
        <v>4.3</v>
      </c>
      <c r="M3875">
        <v>529</v>
      </c>
      <c r="O3875" t="s">
        <v>25</v>
      </c>
      <c r="P3875" t="s">
        <v>640</v>
      </c>
      <c r="Q3875" t="s">
        <v>641</v>
      </c>
    </row>
    <row r="3876" spans="1:17" ht="15.5" x14ac:dyDescent="0.35">
      <c r="A3876" s="3" t="str">
        <f>HYPERLINK("https://edmondsonsupply.com/collections/electricians-tools/products/diablo-tools-doscgx-2-3-4-in-starlock-carbide-grit-oscillating-blade-for-grout-and-mortar", "https://edmondsonsupply.com/collections/electricians-tools/products/diablo-tools-doscgx-2-3-4-in-starlock-carbide-grit-oscillating-blade-for-grout-and-mortar")</f>
        <v>https://edmondsonsupply.com/collections/electricians-tools/products/diablo-tools-doscgx-2-3-4-in-starlock-carbide-grit-oscillating-blade-for-grout-and-mortar</v>
      </c>
      <c r="B3876" s="3" t="str">
        <f>HYPERLINK("https://edmondsonsupply.com/products/diablo-tools-doscgx-2-3-4-in-starlock-carbide-grit-oscillating-blade-for-grout-and-mortar", "https://edmondsonsupply.com/products/diablo-tools-doscgx-2-3-4-in-starlock-carbide-grit-oscillating-blade-for-grout-and-mortar")</f>
        <v>https://edmondsonsupply.com/products/diablo-tools-doscgx-2-3-4-in-starlock-carbide-grit-oscillating-blade-for-grout-and-mortar</v>
      </c>
      <c r="C3876" t="s">
        <v>8269</v>
      </c>
      <c r="D3876" t="s">
        <v>8270</v>
      </c>
      <c r="E3876" s="3" t="str">
        <f>HYPERLINK("https://www.amazon.com/Diablo-Freud-DOSCGX-Starlock-Oscillating/dp/B089KW7QCF/ref=sr_1_1?keywords=Diablo+Tools+DOSCGX+2-3%2F4+in.+Starlock+Carbide+Grit+Oscillating+Blade+for+Grout+and+Mortar&amp;qid=1695174246&amp;sr=8-1", "https://www.amazon.com/Diablo-Freud-DOSCGX-Starlock-Oscillating/dp/B089KW7QCF/ref=sr_1_1?keywords=Diablo+Tools+DOSCGX+2-3%2F4+in.+Starlock+Carbide+Grit+Oscillating+Blade+for+Grout+and+Mortar&amp;qid=1695174246&amp;sr=8-1")</f>
        <v>https://www.amazon.com/Diablo-Freud-DOSCGX-Starlock-Oscillating/dp/B089KW7QCF/ref=sr_1_1?keywords=Diablo+Tools+DOSCGX+2-3%2F4+in.+Starlock+Carbide+Grit+Oscillating+Blade+for+Grout+and+Mortar&amp;qid=1695174246&amp;sr=8-1</v>
      </c>
      <c r="F3876" t="s">
        <v>8271</v>
      </c>
      <c r="G3876" t="e">
        <f ca="1">_xludf.IMAGE("https://edmondsonsupply.com/cdn/shop/products/DOSCGX_Main-Image_1.png?v=1633031123")</f>
        <v>#NAME?</v>
      </c>
      <c r="H3876" t="e">
        <f ca="1">_xludf.IMAGE("https://m.media-amazon.com/images/I/61MNfQjWr0L._AC_UL320_.jpg")</f>
        <v>#NAME?</v>
      </c>
      <c r="I3876" t="s">
        <v>2510</v>
      </c>
      <c r="J3876">
        <v>23.75</v>
      </c>
      <c r="K3876" s="4">
        <v>-9.1999999999999998E-3</v>
      </c>
      <c r="L3876">
        <v>4.5999999999999996</v>
      </c>
      <c r="M3876">
        <v>8</v>
      </c>
      <c r="O3876" t="s">
        <v>25</v>
      </c>
      <c r="P3876" t="s">
        <v>8272</v>
      </c>
      <c r="Q3876" t="s">
        <v>8273</v>
      </c>
    </row>
    <row r="3877" spans="1:17" ht="15.5" x14ac:dyDescent="0.35">
      <c r="A3877"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3877"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3877" t="s">
        <v>7732</v>
      </c>
      <c r="D3877" t="s">
        <v>7239</v>
      </c>
      <c r="E3877" s="3" t="str">
        <f>HYPERLINK("https://www.amazon.com/Klein-Tools-6946INS-Insulated-Screwdriver/dp/B088NN95Q5/ref=sr_1_3?keywords=Klein+Tools+6984INS+Slim-Tip+1000V+Insulated+Screwdriver%2C+%231+Square%2C+4-Inch+Round+Shank&amp;qid=1695174144&amp;sr=8-3", "https://www.amazon.com/Klein-Tools-6946INS-Insulated-Screwdriver/dp/B088NN95Q5/ref=sr_1_3?keywords=Klein+Tools+6984INS+Slim-Tip+1000V+Insulated+Screwdriver%2C+%231+Square%2C+4-Inch+Round+Shank&amp;qid=1695174144&amp;sr=8-3")</f>
        <v>https://www.amazon.com/Klein-Tools-6946INS-Insulated-Screwdriver/dp/B088NN95Q5/ref=sr_1_3?keywords=Klein+Tools+6984INS+Slim-Tip+1000V+Insulated+Screwdriver%2C+%231+Square%2C+4-Inch+Round+Shank&amp;qid=1695174144&amp;sr=8-3</v>
      </c>
      <c r="F3877" t="s">
        <v>7240</v>
      </c>
      <c r="G3877" t="e">
        <f ca="1">_xludf.IMAGE("https://edmondsonsupply.com/cdn/shop/products/6984ins.jpg?v=1664806448")</f>
        <v>#NAME?</v>
      </c>
      <c r="H3877" t="e">
        <f ca="1">_xludf.IMAGE("https://m.media-amazon.com/images/I/414Kb+NSPsS._AC_UL320_.jpg")</f>
        <v>#NAME?</v>
      </c>
      <c r="I3877" t="s">
        <v>288</v>
      </c>
      <c r="J3877">
        <v>13.85</v>
      </c>
      <c r="K3877" s="4">
        <v>-0.01</v>
      </c>
      <c r="L3877">
        <v>4.8</v>
      </c>
      <c r="M3877">
        <v>1361</v>
      </c>
      <c r="O3877" t="s">
        <v>25</v>
      </c>
      <c r="P3877" t="s">
        <v>7730</v>
      </c>
      <c r="Q3877" t="s">
        <v>7733</v>
      </c>
    </row>
    <row r="3878" spans="1:17" ht="15.5" x14ac:dyDescent="0.35">
      <c r="A3878"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3878"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3878" t="s">
        <v>2430</v>
      </c>
      <c r="D3878" t="s">
        <v>2430</v>
      </c>
      <c r="E3878" s="3" t="str">
        <f>HYPERLINK("https://www.amazon.com/Klein-Tools-4-Inch-Cabinet-Screwdriver/dp/B000BQT6GC/ref=sr_1_1?keywords=Klein+Tools+605-6+1%2F4-Inch+Cabinet+Tip+Screwdriver%2C+Heavy+Duty%2C+6-Inch&amp;qid=1695173888&amp;sr=8-1", "https://www.amazon.com/Klein-Tools-4-Inch-Cabinet-Screwdriver/dp/B000BQT6GC/ref=sr_1_1?keywords=Klein+Tools+605-6+1%2F4-Inch+Cabinet+Tip+Screwdriver%2C+Heavy+Duty%2C+6-Inch&amp;qid=1695173888&amp;sr=8-1")</f>
        <v>https://www.amazon.com/Klein-Tools-4-Inch-Cabinet-Screwdriver/dp/B000BQT6GC/ref=sr_1_1?keywords=Klein+Tools+605-6+1%2F4-Inch+Cabinet+Tip+Screwdriver%2C+Heavy+Duty%2C+6-Inch&amp;qid=1695173888&amp;sr=8-1</v>
      </c>
      <c r="F3878" t="s">
        <v>4842</v>
      </c>
      <c r="G3878" t="e">
        <f ca="1">_xludf.IMAGE("https://edmondsonsupply.com/cdn/shop/products/605-6.jpg?v=1587149759")</f>
        <v>#NAME?</v>
      </c>
      <c r="H3878" t="e">
        <f ca="1">_xludf.IMAGE("https://m.media-amazon.com/images/I/41WLDr2SP+L._AC_UL320_.jpg")</f>
        <v>#NAME?</v>
      </c>
      <c r="I3878" t="s">
        <v>2433</v>
      </c>
      <c r="J3878">
        <v>9.39</v>
      </c>
      <c r="K3878" s="4">
        <v>-1.0500000000000001E-2</v>
      </c>
      <c r="L3878">
        <v>4.8</v>
      </c>
      <c r="M3878">
        <v>1227</v>
      </c>
      <c r="O3878" t="s">
        <v>25</v>
      </c>
      <c r="P3878" t="s">
        <v>2434</v>
      </c>
      <c r="Q3878" t="s">
        <v>2435</v>
      </c>
    </row>
    <row r="3879" spans="1:17" ht="15.5" x14ac:dyDescent="0.35">
      <c r="A3879" s="3" t="str">
        <f>HYPERLINK("https://edmondsonsupply.com/collections/electricians-tools/products/reed-mfg-r12dn-3-4-r12-segmental-dies-3-4-npt", "https://edmondsonsupply.com/collections/electricians-tools/products/reed-mfg-r12dn-3-4-r12-segmental-dies-3-4-npt")</f>
        <v>https://edmondsonsupply.com/collections/electricians-tools/products/reed-mfg-r12dn-3-4-r12-segmental-dies-3-4-npt</v>
      </c>
      <c r="B3879" s="3" t="str">
        <f>HYPERLINK("https://edmondsonsupply.com/products/reed-mfg-r12dn-3-4-r12-segmental-dies-3-4-npt", "https://edmondsonsupply.com/products/reed-mfg-r12dn-3-4-r12-segmental-dies-3-4-npt")</f>
        <v>https://edmondsonsupply.com/products/reed-mfg-r12dn-3-4-r12-segmental-dies-3-4-npt</v>
      </c>
      <c r="C3879" t="s">
        <v>8274</v>
      </c>
      <c r="D3879" t="s">
        <v>8275</v>
      </c>
      <c r="E3879" s="3" t="str">
        <f>HYPERLINK("https://www.amazon.com/Reed-Tool-R12DN-Segmental-4-Inch/dp/B000ZHAICI/ref=sr_1_1?keywords=Reed+Mfg+R12DN+3%2F4+R12%2B+Segmental+Dies%2C+3%2F4%22+NPT&amp;qid=1695174273&amp;sr=8-1", "https://www.amazon.com/Reed-Tool-R12DN-Segmental-4-Inch/dp/B000ZHAICI/ref=sr_1_1?keywords=Reed+Mfg+R12DN+3%2F4+R12%2B+Segmental+Dies%2C+3%2F4%22+NPT&amp;qid=1695174273&amp;sr=8-1")</f>
        <v>https://www.amazon.com/Reed-Tool-R12DN-Segmental-4-Inch/dp/B000ZHAICI/ref=sr_1_1?keywords=Reed+Mfg+R12DN+3%2F4+R12%2B+Segmental+Dies%2C+3%2F4%22+NPT&amp;qid=1695174273&amp;sr=8-1</v>
      </c>
      <c r="F3879" t="s">
        <v>8276</v>
      </c>
      <c r="G3879" t="e">
        <f ca="1">_xludf.IMAGE("https://edmondsonsupply.com/cdn/shop/products/05608-R12DN3-4-dies-RGB_fc669a29-0edc-4e96-801f-ef8fe585dce9.jpg?v=1633031014")</f>
        <v>#NAME?</v>
      </c>
      <c r="H3879" t="e">
        <f ca="1">_xludf.IMAGE("https://m.media-amazon.com/images/I/51A7+upQrKL._AC_UY218_.jpg")</f>
        <v>#NAME?</v>
      </c>
      <c r="I3879" t="s">
        <v>8277</v>
      </c>
      <c r="J3879">
        <v>57.14</v>
      </c>
      <c r="K3879" s="4">
        <v>-1.11E-2</v>
      </c>
      <c r="L3879">
        <v>5</v>
      </c>
      <c r="M3879">
        <v>1</v>
      </c>
      <c r="O3879" t="s">
        <v>25</v>
      </c>
      <c r="P3879" t="s">
        <v>8278</v>
      </c>
      <c r="Q3879" t="s">
        <v>8279</v>
      </c>
    </row>
    <row r="3880" spans="1:17" ht="15.5" x14ac:dyDescent="0.35">
      <c r="A3880" s="3" t="str">
        <f>HYPERLINK("https://edmondsonsupply.com/collections/electricians-tools/products/klein-tools-44002-lightweight-lockback-knife-2-3-8-inch-drop-point-blade-black-handle", "https://edmondsonsupply.com/collections/electricians-tools/products/klein-tools-44002-lightweight-lockback-knife-2-3-8-inch-drop-point-blade-black-handle")</f>
        <v>https://edmondsonsupply.com/collections/electricians-tools/products/klein-tools-44002-lightweight-lockback-knife-2-3-8-inch-drop-point-blade-black-handle</v>
      </c>
      <c r="B3880" s="3" t="str">
        <f>HYPERLINK("https://edmondsonsupply.com/products/klein-tools-44002-lightweight-lockback-knife-2-3-8-inch-drop-point-blade-black-handle", "https://edmondsonsupply.com/products/klein-tools-44002-lightweight-lockback-knife-2-3-8-inch-drop-point-blade-black-handle")</f>
        <v>https://edmondsonsupply.com/products/klein-tools-44002-lightweight-lockback-knife-2-3-8-inch-drop-point-blade-black-handle</v>
      </c>
      <c r="C3880" t="s">
        <v>8280</v>
      </c>
      <c r="D3880" t="s">
        <v>8281</v>
      </c>
      <c r="E3880" s="3" t="str">
        <f>HYPERLINK("https://www.amazon.com/Lightweight-Drop-Point-Klein-Tools-44002/dp/B00093D5VO/ref=sr_1_1?keywords=Klein+Tools+44002+Lightweight+Lockback+Knife%2C+2-3%2F8-Inch+Drop+Point+Blade%2C+Black+Handle&amp;qid=1695174232&amp;sr=8-1", "https://www.amazon.com/Lightweight-Drop-Point-Klein-Tools-44002/dp/B00093D5VO/ref=sr_1_1?keywords=Klein+Tools+44002+Lightweight+Lockback+Knife%2C+2-3%2F8-Inch+Drop+Point+Blade%2C+Black+Handle&amp;qid=1695174232&amp;sr=8-1")</f>
        <v>https://www.amazon.com/Lightweight-Drop-Point-Klein-Tools-44002/dp/B00093D5VO/ref=sr_1_1?keywords=Klein+Tools+44002+Lightweight+Lockback+Knife%2C+2-3%2F8-Inch+Drop+Point+Blade%2C+Black+Handle&amp;qid=1695174232&amp;sr=8-1</v>
      </c>
      <c r="F3880" t="s">
        <v>8282</v>
      </c>
      <c r="G3880" t="e">
        <f ca="1">_xludf.IMAGE("https://edmondsonsupply.com/cdn/shop/products/44002.jpg?v=1633900433")</f>
        <v>#NAME?</v>
      </c>
      <c r="H3880" t="e">
        <f ca="1">_xludf.IMAGE("https://m.media-amazon.com/images/I/41Nwrc8v+ZL._AC_UL320_.jpg")</f>
        <v>#NAME?</v>
      </c>
      <c r="I3880" t="s">
        <v>4310</v>
      </c>
      <c r="J3880">
        <v>33.61</v>
      </c>
      <c r="K3880" s="4">
        <v>-1.12E-2</v>
      </c>
      <c r="L3880">
        <v>4.7</v>
      </c>
      <c r="M3880">
        <v>186</v>
      </c>
      <c r="O3880" t="s">
        <v>25</v>
      </c>
      <c r="P3880" t="s">
        <v>8283</v>
      </c>
      <c r="Q3880" t="s">
        <v>8284</v>
      </c>
    </row>
    <row r="3881" spans="1:17" ht="15.5" x14ac:dyDescent="0.35">
      <c r="A3881" s="3" t="str">
        <f>HYPERLINK("https://edmondsonsupply.com/collections/electricians-tools/products/milwaukee-48-11-2440-m12%E2%84%A2-redlithium%E2%84%A2-xc-4-0-extended-capacity-battery-pack", "https://edmondsonsupply.com/collections/electricians-tools/products/milwaukee-48-11-2440-m12%E2%84%A2-redlithium%E2%84%A2-xc-4-0-extended-capacity-battery-pack")</f>
        <v>https://edmondsonsupply.com/collections/electricians-tools/products/milwaukee-48-11-2440-m12%E2%84%A2-redlithium%E2%84%A2-xc-4-0-extended-capacity-battery-pack</v>
      </c>
      <c r="B3881" s="3" t="str">
        <f>HYPERLINK("https://edmondsonsupply.com/products/milwaukee-48-11-2440-m12%e2%84%a2-redlithium%e2%84%a2-xc-4-0-extended-capacity-battery-pack", "https://edmondsonsupply.com/products/milwaukee-48-11-2440-m12%e2%84%a2-redlithium%e2%84%a2-xc-4-0-extended-capacity-battery-pack")</f>
        <v>https://edmondsonsupply.com/products/milwaukee-48-11-2440-m12%e2%84%a2-redlithium%e2%84%a2-xc-4-0-extended-capacity-battery-pack</v>
      </c>
      <c r="C3881" t="s">
        <v>8285</v>
      </c>
      <c r="D3881" t="s">
        <v>8286</v>
      </c>
      <c r="E3881" s="3" t="str">
        <f>HYPERLINK("https://www.amazon.com/Milwaukee-48-11-2460-REDLITHIUM-Extended-Lithium-Ion/dp/B07FB8N31X/ref=sr_1_10?keywords=Milwaukee+48-11-2440+M12%E2%84%A2+REDLITHIUM%E2%84%A2+XC+4.0+Extended+Capacity+Battery+Pack&amp;qid=1695174198&amp;sr=8-10", "https://www.amazon.com/Milwaukee-48-11-2460-REDLITHIUM-Extended-Lithium-Ion/dp/B07FB8N31X/ref=sr_1_10?keywords=Milwaukee+48-11-2440+M12%E2%84%A2+REDLITHIUM%E2%84%A2+XC+4.0+Extended+Capacity+Battery+Pack&amp;qid=1695174198&amp;sr=8-10")</f>
        <v>https://www.amazon.com/Milwaukee-48-11-2460-REDLITHIUM-Extended-Lithium-Ion/dp/B07FB8N31X/ref=sr_1_10?keywords=Milwaukee+48-11-2440+M12%E2%84%A2+REDLITHIUM%E2%84%A2+XC+4.0+Extended+Capacity+Battery+Pack&amp;qid=1695174198&amp;sr=8-10</v>
      </c>
      <c r="F3881" t="s">
        <v>8287</v>
      </c>
      <c r="G3881" t="e">
        <f ca="1">_xludf.IMAGE("https://edmondsonsupply.com/cdn/shop/products/64620_48-11-2440-lg.png?v=1654801817")</f>
        <v>#NAME?</v>
      </c>
      <c r="H3881" t="e">
        <f ca="1">_xludf.IMAGE("https://m.media-amazon.com/images/I/51MNQvfA+KL._AC_UL320_.jpg")</f>
        <v>#NAME?</v>
      </c>
      <c r="I3881" t="s">
        <v>3253</v>
      </c>
      <c r="J3881">
        <v>87.99</v>
      </c>
      <c r="K3881" s="4">
        <v>-1.1299999999999999E-2</v>
      </c>
      <c r="L3881">
        <v>4.5</v>
      </c>
      <c r="M3881">
        <v>492</v>
      </c>
      <c r="O3881" t="s">
        <v>171</v>
      </c>
      <c r="P3881" t="s">
        <v>692</v>
      </c>
      <c r="Q3881" t="s">
        <v>8288</v>
      </c>
    </row>
    <row r="3882" spans="1:17" ht="15.5" x14ac:dyDescent="0.35">
      <c r="A3882" s="3" t="str">
        <f>HYPERLINK("https://edmondsonsupply.com/collections/electricians-tools/products/klein-tools-d213-9nett-pliers-high-leverage-side-cutters-tether-ring", "https://edmondsonsupply.com/collections/electricians-tools/products/klein-tools-d213-9nett-pliers-high-leverage-side-cutters-tether-ring")</f>
        <v>https://edmondsonsupply.com/collections/electricians-tools/products/klein-tools-d213-9nett-pliers-high-leverage-side-cutters-tether-ring</v>
      </c>
      <c r="B3882" s="3" t="str">
        <f>HYPERLINK("https://edmondsonsupply.com/products/klein-tools-d213-9nett-pliers-high-leverage-side-cutters-tether-ring", "https://edmondsonsupply.com/products/klein-tools-d213-9nett-pliers-high-leverage-side-cutters-tether-ring")</f>
        <v>https://edmondsonsupply.com/products/klein-tools-d213-9nett-pliers-high-leverage-side-cutters-tether-ring</v>
      </c>
      <c r="C3882" t="s">
        <v>8289</v>
      </c>
      <c r="D3882" t="s">
        <v>8290</v>
      </c>
      <c r="E3882" s="3" t="str">
        <f>HYPERLINK("https://www.amazon.com/Leverage-Cutters-Klein-Tools-D213-9NETT/dp/B01K76UXR6/ref=sr_1_1?keywords=Klein+Tools+D213-9NETT+Pliers%2C+High-Leverage+Side+Cutters%2C+Tether+Ring&amp;qid=1695174214&amp;sr=8-1", "https://www.amazon.com/Leverage-Cutters-Klein-Tools-D213-9NETT/dp/B01K76UXR6/ref=sr_1_1?keywords=Klein+Tools+D213-9NETT+Pliers%2C+High-Leverage+Side+Cutters%2C+Tether+Ring&amp;qid=1695174214&amp;sr=8-1")</f>
        <v>https://www.amazon.com/Leverage-Cutters-Klein-Tools-D213-9NETT/dp/B01K76UXR6/ref=sr_1_1?keywords=Klein+Tools+D213-9NETT+Pliers%2C+High-Leverage+Side+Cutters%2C+Tether+Ring&amp;qid=1695174214&amp;sr=8-1</v>
      </c>
      <c r="F3882" t="s">
        <v>8291</v>
      </c>
      <c r="G3882" t="e">
        <f ca="1">_xludf.IMAGE("https://edmondsonsupply.com/cdn/shop/products/d2139nett.jpg?v=1647394939")</f>
        <v>#NAME?</v>
      </c>
      <c r="H3882" t="e">
        <f ca="1">_xludf.IMAGE("https://m.media-amazon.com/images/I/511+TPpHFoL._AC_UL320_.jpg")</f>
        <v>#NAME?</v>
      </c>
      <c r="I3882" t="s">
        <v>198</v>
      </c>
      <c r="J3882">
        <v>39.49</v>
      </c>
      <c r="K3882" s="4">
        <v>-1.2500000000000001E-2</v>
      </c>
      <c r="L3882">
        <v>4.5999999999999996</v>
      </c>
      <c r="M3882">
        <v>14</v>
      </c>
      <c r="O3882" t="s">
        <v>25</v>
      </c>
      <c r="P3882" t="s">
        <v>8292</v>
      </c>
      <c r="Q3882" t="s">
        <v>8293</v>
      </c>
    </row>
    <row r="3883" spans="1:17" ht="15.5" x14ac:dyDescent="0.35">
      <c r="A3883" s="3" t="str">
        <f>HYPERLINK("https://edmondsonsupply.com/collections/electricians-tools/products/klein-tools-85076ins-screwdriver-set-1000v-insulated-6-piece", "https://edmondsonsupply.com/collections/electricians-tools/products/klein-tools-85076ins-screwdriver-set-1000v-insulated-6-piece")</f>
        <v>https://edmondsonsupply.com/collections/electricians-tools/products/klein-tools-85076ins-screwdriver-set-1000v-insulated-6-piece</v>
      </c>
      <c r="B3883" s="3" t="str">
        <f>HYPERLINK("https://edmondsonsupply.com/products/klein-tools-85076ins-screwdriver-set-1000v-insulated-6-piece", "https://edmondsonsupply.com/products/klein-tools-85076ins-screwdriver-set-1000v-insulated-6-piece")</f>
        <v>https://edmondsonsupply.com/products/klein-tools-85076ins-screwdriver-set-1000v-insulated-6-piece</v>
      </c>
      <c r="C3883" t="s">
        <v>3730</v>
      </c>
      <c r="D3883" t="s">
        <v>4851</v>
      </c>
      <c r="E3883" s="3" t="str">
        <f>HYPERLINK("https://www.amazon.com/Klein-Tools-85076INS-Screwdriver-Screwdrivers/dp/B0BF76JDCC/ref=sr_1_1?keywords=Klein+Tools+85076INS+Screwdriver+Set%2C+1000V+Insulated%2C+6-Piece&amp;qid=1695173919&amp;sr=8-1", "https://www.amazon.com/Klein-Tools-85076INS-Screwdriver-Screwdrivers/dp/B0BF76JDCC/ref=sr_1_1?keywords=Klein+Tools+85076INS+Screwdriver+Set%2C+1000V+Insulated%2C+6-Piece&amp;qid=1695173919&amp;sr=8-1")</f>
        <v>https://www.amazon.com/Klein-Tools-85076INS-Screwdriver-Screwdrivers/dp/B0BF76JDCC/ref=sr_1_1?keywords=Klein+Tools+85076INS+Screwdriver+Set%2C+1000V+Insulated%2C+6-Piece&amp;qid=1695173919&amp;sr=8-1</v>
      </c>
      <c r="F3883" t="s">
        <v>4852</v>
      </c>
      <c r="G3883" t="e">
        <f ca="1">_xludf.IMAGE("https://edmondsonsupply.com/cdn/shop/products/85076ins.jpg?v=1664891110")</f>
        <v>#NAME?</v>
      </c>
      <c r="H3883" t="e">
        <f ca="1">_xludf.IMAGE("https://m.media-amazon.com/images/I/51wtKAQ0TLL._AC_UL320_.jpg")</f>
        <v>#NAME?</v>
      </c>
      <c r="I3883" t="s">
        <v>246</v>
      </c>
      <c r="J3883">
        <v>39.43</v>
      </c>
      <c r="K3883" s="4">
        <v>-1.35E-2</v>
      </c>
      <c r="L3883">
        <v>4.8</v>
      </c>
      <c r="M3883">
        <v>207</v>
      </c>
      <c r="O3883" t="s">
        <v>25</v>
      </c>
      <c r="P3883" t="s">
        <v>199</v>
      </c>
      <c r="Q3883" t="s">
        <v>3731</v>
      </c>
    </row>
    <row r="3884" spans="1:17" ht="15.5" x14ac:dyDescent="0.35">
      <c r="A3884" s="3" t="str">
        <f>HYPERLINK("https://edmondsonsupply.com/collections/electricians-tools/products/klein-tools-58886-tool-tote-polyester-7-pocket-with-drain-holes", "https://edmondsonsupply.com/collections/electricians-tools/products/klein-tools-58886-tool-tote-polyester-7-pocket-with-drain-holes")</f>
        <v>https://edmondsonsupply.com/collections/electricians-tools/products/klein-tools-58886-tool-tote-polyester-7-pocket-with-drain-holes</v>
      </c>
      <c r="B3884" s="3" t="str">
        <f>HYPERLINK("https://edmondsonsupply.com/products/klein-tools-58886-tool-tote-polyester-7-pocket-with-drain-holes", "https://edmondsonsupply.com/products/klein-tools-58886-tool-tote-polyester-7-pocket-with-drain-holes")</f>
        <v>https://edmondsonsupply.com/products/klein-tools-58886-tool-tote-polyester-7-pocket-with-drain-holes</v>
      </c>
      <c r="C3884" t="s">
        <v>642</v>
      </c>
      <c r="D3884" t="s">
        <v>643</v>
      </c>
      <c r="E3884" s="3" t="str">
        <f>HYPERLINK("https://www.amazon.com/Polyester-7-Pocket-Klein-Tools-58886/dp/B000MKKBDY/ref=sr_1_1?keywords=Klein+Tools+58886+Tool+Tote%2C+Polyester%2C+7-Pocket+with+Drain+Holes&amp;qid=1695174225&amp;sr=8-1", "https://www.amazon.com/Polyester-7-Pocket-Klein-Tools-58886/dp/B000MKKBDY/ref=sr_1_1?keywords=Klein+Tools+58886+Tool+Tote%2C+Polyester%2C+7-Pocket+with+Drain+Holes&amp;qid=1695174225&amp;sr=8-1")</f>
        <v>https://www.amazon.com/Polyester-7-Pocket-Klein-Tools-58886/dp/B000MKKBDY/ref=sr_1_1?keywords=Klein+Tools+58886+Tool+Tote%2C+Polyester%2C+7-Pocket+with+Drain+Holes&amp;qid=1695174225&amp;sr=8-1</v>
      </c>
      <c r="F3884" t="s">
        <v>644</v>
      </c>
      <c r="G3884" t="e">
        <f ca="1">_xludf.IMAGE("https://edmondsonsupply.com/cdn/shop/products/58886.jpg?v=1652145349")</f>
        <v>#NAME?</v>
      </c>
      <c r="H3884" t="e">
        <f ca="1">_xludf.IMAGE("https://m.media-amazon.com/images/I/71R79CI0igL._AC_UL320_.jpg")</f>
        <v>#NAME?</v>
      </c>
      <c r="I3884" t="s">
        <v>645</v>
      </c>
      <c r="J3884">
        <v>72</v>
      </c>
      <c r="K3884" s="4">
        <v>-1.3599999999999999E-2</v>
      </c>
      <c r="L3884">
        <v>4.5</v>
      </c>
      <c r="M3884">
        <v>64</v>
      </c>
      <c r="O3884" t="s">
        <v>25</v>
      </c>
      <c r="P3884" t="s">
        <v>646</v>
      </c>
      <c r="Q3884" t="s">
        <v>647</v>
      </c>
    </row>
    <row r="3885" spans="1:17" ht="15.5" x14ac:dyDescent="0.35">
      <c r="A3885" s="3" t="str">
        <f>HYPERLINK("https://edmondsonsupply.com/collections/electricians-tools/products/milwaukee-2744-20-m18-fuel%E2%84%A2-21-degree-framing-nailer-bare-tool", "https://edmondsonsupply.com/collections/electricians-tools/products/milwaukee-2744-20-m18-fuel%E2%84%A2-21-degree-framing-nailer-bare-tool")</f>
        <v>https://edmondsonsupply.com/collections/electricians-tools/products/milwaukee-2744-20-m18-fuel%E2%84%A2-21-degree-framing-nailer-bare-tool</v>
      </c>
      <c r="B3885" s="3" t="str">
        <f>HYPERLINK("https://edmondsonsupply.com/products/milwaukee-2744-20-m18-fuel%e2%84%a2-21-degree-framing-nailer-bare-tool", "https://edmondsonsupply.com/products/milwaukee-2744-20-m18-fuel%e2%84%a2-21-degree-framing-nailer-bare-tool")</f>
        <v>https://edmondsonsupply.com/products/milwaukee-2744-20-m18-fuel%e2%84%a2-21-degree-framing-nailer-bare-tool</v>
      </c>
      <c r="C3885" t="s">
        <v>8294</v>
      </c>
      <c r="D3885" t="s">
        <v>8295</v>
      </c>
      <c r="E3885" s="3" t="str">
        <f>HYPERLINK("https://www.amazon.com/LMParts-mMilwaukee-2744-20-21-Degree-Framing/dp/B09MC9RWK3/ref=sr_1_2?keywords=Milwaukee+2744-20+M18+FUEL%E2%84%A2+21+Degree+Framing+Nailer+%28BARE+TOOL%29&amp;qid=1695174028&amp;sr=8-2", "https://www.amazon.com/LMParts-mMilwaukee-2744-20-21-Degree-Framing/dp/B09MC9RWK3/ref=sr_1_2?keywords=Milwaukee+2744-20+M18+FUEL%E2%84%A2+21+Degree+Framing+Nailer+%28BARE+TOOL%29&amp;qid=1695174028&amp;sr=8-2")</f>
        <v>https://www.amazon.com/LMParts-mMilwaukee-2744-20-21-Degree-Framing/dp/B09MC9RWK3/ref=sr_1_2?keywords=Milwaukee+2744-20+M18+FUEL%E2%84%A2+21+Degree+Framing+Nailer+%28BARE+TOOL%29&amp;qid=1695174028&amp;sr=8-2</v>
      </c>
      <c r="F3885" t="s">
        <v>8296</v>
      </c>
      <c r="G3885" t="e">
        <f ca="1">_xludf.IMAGE("https://edmondsonsupply.com/cdn/shop/products/2744-20_1.webp?v=1680107906")</f>
        <v>#NAME?</v>
      </c>
      <c r="H3885" t="e">
        <f ca="1">_xludf.IMAGE("https://m.media-amazon.com/images/I/41B9q5GCKVL._AC_UL320_.jpg")</f>
        <v>#NAME?</v>
      </c>
      <c r="I3885" t="s">
        <v>8297</v>
      </c>
      <c r="J3885">
        <v>373.83</v>
      </c>
      <c r="K3885" s="4">
        <v>-1.3599999999999999E-2</v>
      </c>
      <c r="L3885">
        <v>4.7</v>
      </c>
      <c r="M3885">
        <v>25</v>
      </c>
      <c r="O3885" t="s">
        <v>25</v>
      </c>
      <c r="P3885" t="s">
        <v>8298</v>
      </c>
      <c r="Q3885" t="s">
        <v>8299</v>
      </c>
    </row>
    <row r="3886" spans="1:17" ht="15.5" x14ac:dyDescent="0.35">
      <c r="A3886" s="3" t="str">
        <f>HYPERLINK("https://edmondsonsupply.com/collections/electricians-tools/products/milwaukee-2745-20-m18-fuel-30-degree-framing-nailer-tool-only", "https://edmondsonsupply.com/collections/electricians-tools/products/milwaukee-2745-20-m18-fuel-30-degree-framing-nailer-tool-only")</f>
        <v>https://edmondsonsupply.com/collections/electricians-tools/products/milwaukee-2745-20-m18-fuel-30-degree-framing-nailer-tool-only</v>
      </c>
      <c r="B3886" s="3" t="str">
        <f>HYPERLINK("https://edmondsonsupply.com/products/milwaukee-2745-20-m18-fuel-30-degree-framing-nailer-tool-only", "https://edmondsonsupply.com/products/milwaukee-2745-20-m18-fuel-30-degree-framing-nailer-tool-only")</f>
        <v>https://edmondsonsupply.com/products/milwaukee-2745-20-m18-fuel-30-degree-framing-nailer-tool-only</v>
      </c>
      <c r="C3886" t="s">
        <v>8300</v>
      </c>
      <c r="D3886" t="s">
        <v>8295</v>
      </c>
      <c r="E3886" s="3" t="str">
        <f>HYPERLINK("https://www.amazon.com/LMParts-mMilwaukee-2744-20-21-Degree-Framing/dp/B09MC9RWK3/ref=sr_1_7?keywords=Milwaukee+2745-20+M18+FUEL+30+Degree+Framing+Nailer%2C+Tool+Only&amp;qid=1695174292&amp;sr=8-7", "https://www.amazon.com/LMParts-mMilwaukee-2744-20-21-Degree-Framing/dp/B09MC9RWK3/ref=sr_1_7?keywords=Milwaukee+2745-20+M18+FUEL+30+Degree+Framing+Nailer%2C+Tool+Only&amp;qid=1695174292&amp;sr=8-7")</f>
        <v>https://www.amazon.com/LMParts-mMilwaukee-2744-20-21-Degree-Framing/dp/B09MC9RWK3/ref=sr_1_7?keywords=Milwaukee+2745-20+M18+FUEL+30+Degree+Framing+Nailer%2C+Tool+Only&amp;qid=1695174292&amp;sr=8-7</v>
      </c>
      <c r="F3886" t="s">
        <v>8296</v>
      </c>
      <c r="G3886" t="e">
        <f ca="1">_xludf.IMAGE("https://edmondsonsupply.com/cdn/shop/products/nail1.png?v=1633030878")</f>
        <v>#NAME?</v>
      </c>
      <c r="H3886" t="e">
        <f ca="1">_xludf.IMAGE("https://m.media-amazon.com/images/I/41B9q5GCKVL._AC_UL320_.jpg")</f>
        <v>#NAME?</v>
      </c>
      <c r="I3886" t="s">
        <v>8297</v>
      </c>
      <c r="J3886">
        <v>373.83</v>
      </c>
      <c r="K3886" s="4">
        <v>-1.3599999999999999E-2</v>
      </c>
      <c r="L3886">
        <v>4.7</v>
      </c>
      <c r="M3886">
        <v>25</v>
      </c>
      <c r="O3886" t="s">
        <v>25</v>
      </c>
      <c r="P3886" t="s">
        <v>8298</v>
      </c>
      <c r="Q3886" t="s">
        <v>8301</v>
      </c>
    </row>
    <row r="3887" spans="1:17" ht="15.5" x14ac:dyDescent="0.35">
      <c r="A3887" s="3" t="str">
        <f>HYPERLINK("https://edmondsonsupply.com/collections/electricians-tools/products/klein-tools-55600-tradesman-pro%E2%84%A2-tough-box-17-quart-cooler", "https://edmondsonsupply.com/collections/electricians-tools/products/klein-tools-55600-tradesman-pro%E2%84%A2-tough-box-17-quart-cooler")</f>
        <v>https://edmondsonsupply.com/collections/electricians-tools/products/klein-tools-55600-tradesman-pro%E2%84%A2-tough-box-17-quart-cooler</v>
      </c>
      <c r="B3887"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3887" t="s">
        <v>3583</v>
      </c>
      <c r="D3887" t="s">
        <v>4853</v>
      </c>
      <c r="E3887" s="3" t="str">
        <f>HYPERLINK("https://www.amazon.com/17-Quart-Tradesman-Klein-Tools-55600/dp/B06XGJTTRY/ref=sr_1_1?keywords=Klein+Tools+55600+Tradesman+Pro%E2%84%A2+Tough+Box+Cooler%2C+17-Quart&amp;qid=1695173941&amp;sr=8-1", "https://www.amazon.com/17-Quart-Tradesman-Klein-Tools-55600/dp/B06XGJTTRY/ref=sr_1_1?keywords=Klein+Tools+55600+Tradesman+Pro%E2%84%A2+Tough+Box+Cooler%2C+17-Quart&amp;qid=1695173941&amp;sr=8-1")</f>
        <v>https://www.amazon.com/17-Quart-Tradesman-Klein-Tools-55600/dp/B06XGJTTRY/ref=sr_1_1?keywords=Klein+Tools+55600+Tradesman+Pro%E2%84%A2+Tough+Box+Cooler%2C+17-Quart&amp;qid=1695173941&amp;sr=8-1</v>
      </c>
      <c r="F3887" t="s">
        <v>4854</v>
      </c>
      <c r="G3887" t="e">
        <f ca="1">_xludf.IMAGE("https://edmondsonsupply.com/cdn/shop/products/55600.jpg?v=1587145287")</f>
        <v>#NAME?</v>
      </c>
      <c r="H3887" t="e">
        <f ca="1">_xludf.IMAGE("https://m.media-amazon.com/images/I/61pNFKsetIL._AC_UL320_.jpg")</f>
        <v>#NAME?</v>
      </c>
      <c r="I3887" t="s">
        <v>305</v>
      </c>
      <c r="J3887">
        <v>64</v>
      </c>
      <c r="K3887" s="4">
        <v>-1.49E-2</v>
      </c>
      <c r="L3887">
        <v>4.7</v>
      </c>
      <c r="M3887">
        <v>9939</v>
      </c>
      <c r="O3887" t="s">
        <v>25</v>
      </c>
      <c r="P3887" t="s">
        <v>3586</v>
      </c>
      <c r="Q3887" t="s">
        <v>3587</v>
      </c>
    </row>
    <row r="3888" spans="1:17" ht="15.5" x14ac:dyDescent="0.35">
      <c r="A3888"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3888" s="3" t="str">
        <f>HYPERLINK("https://edmondsonsupply.com/products/klein-tools-51611-1-2-inch-angle-setter%e2%84%a2", "https://edmondsonsupply.com/products/klein-tools-51611-1-2-inch-angle-setter%e2%84%a2")</f>
        <v>https://edmondsonsupply.com/products/klein-tools-51611-1-2-inch-angle-setter%e2%84%a2</v>
      </c>
      <c r="C3888" t="s">
        <v>6100</v>
      </c>
      <c r="D3888" t="s">
        <v>8302</v>
      </c>
      <c r="E3888" s="3" t="str">
        <f>HYPERLINK("https://www.amazon.com/Klein-Tools-51612-Conduit-Benders/dp/B08L5JZM97/ref=sr_1_5?keywords=Klein+Tools+51611+1%2F2-Inch+Angle+Setter%E2%84%A2&amp;qid=1695174192&amp;sr=8-5", "https://www.amazon.com/Klein-Tools-51612-Conduit-Benders/dp/B08L5JZM97/ref=sr_1_5?keywords=Klein+Tools+51611+1%2F2-Inch+Angle+Setter%E2%84%A2&amp;qid=1695174192&amp;sr=8-5")</f>
        <v>https://www.amazon.com/Klein-Tools-51612-Conduit-Benders/dp/B08L5JZM97/ref=sr_1_5?keywords=Klein+Tools+51611+1%2F2-Inch+Angle+Setter%E2%84%A2&amp;qid=1695174192&amp;sr=8-5</v>
      </c>
      <c r="F3888" t="s">
        <v>8303</v>
      </c>
      <c r="G3888" t="e">
        <f ca="1">_xludf.IMAGE("https://edmondsonsupply.com/cdn/shop/products/51611.jpg?v=1661976456")</f>
        <v>#NAME?</v>
      </c>
      <c r="H3888" t="e">
        <f ca="1">_xludf.IMAGE("https://m.media-amazon.com/images/I/51x8cPtPWrL._AC_UL320_.jpg")</f>
        <v>#NAME?</v>
      </c>
      <c r="I3888" t="s">
        <v>1427</v>
      </c>
      <c r="J3888">
        <v>9.82</v>
      </c>
      <c r="K3888" s="4">
        <v>-1.4999999999999999E-2</v>
      </c>
      <c r="L3888">
        <v>4.2</v>
      </c>
      <c r="M3888">
        <v>97</v>
      </c>
      <c r="O3888" t="s">
        <v>25</v>
      </c>
      <c r="P3888" t="s">
        <v>6045</v>
      </c>
      <c r="Q3888" t="s">
        <v>6103</v>
      </c>
    </row>
    <row r="3889" spans="1:17" ht="15.5" x14ac:dyDescent="0.35">
      <c r="A3889" s="3" t="str">
        <f>HYPERLINK("https://edmondsonsupply.com/collections/electricians-tools/products/klein-tools-51612-3-4-inch-angle-setter%E2%84%A2", "https://edmondsonsupply.com/collections/electricians-tools/products/klein-tools-51612-3-4-inch-angle-setter%E2%84%A2")</f>
        <v>https://edmondsonsupply.com/collections/electricians-tools/products/klein-tools-51612-3-4-inch-angle-setter%E2%84%A2</v>
      </c>
      <c r="B3889" s="3" t="str">
        <f>HYPERLINK("https://edmondsonsupply.com/products/klein-tools-51612-3-4-inch-angle-setter%e2%84%a2", "https://edmondsonsupply.com/products/klein-tools-51612-3-4-inch-angle-setter%e2%84%a2")</f>
        <v>https://edmondsonsupply.com/products/klein-tools-51612-3-4-inch-angle-setter%e2%84%a2</v>
      </c>
      <c r="C3889" t="s">
        <v>6042</v>
      </c>
      <c r="D3889" t="s">
        <v>8302</v>
      </c>
      <c r="E3889" s="3" t="str">
        <f>HYPERLINK("https://www.amazon.com/Klein-Tools-51612-Conduit-Benders/dp/B08L5JZM97/ref=sr_1_1?keywords=Klein+Tools+51612+3%2F4-Inch+Angle+Setter%E2%84%A2&amp;qid=1695174172&amp;sr=8-1", "https://www.amazon.com/Klein-Tools-51612-Conduit-Benders/dp/B08L5JZM97/ref=sr_1_1?keywords=Klein+Tools+51612+3%2F4-Inch+Angle+Setter%E2%84%A2&amp;qid=1695174172&amp;sr=8-1")</f>
        <v>https://www.amazon.com/Klein-Tools-51612-Conduit-Benders/dp/B08L5JZM97/ref=sr_1_1?keywords=Klein+Tools+51612+3%2F4-Inch+Angle+Setter%E2%84%A2&amp;qid=1695174172&amp;sr=8-1</v>
      </c>
      <c r="F3889" t="s">
        <v>8303</v>
      </c>
      <c r="G3889" t="e">
        <f ca="1">_xludf.IMAGE("https://edmondsonsupply.com/cdn/shop/products/51612.jpg?v=1661977736")</f>
        <v>#NAME?</v>
      </c>
      <c r="H3889" t="e">
        <f ca="1">_xludf.IMAGE("https://m.media-amazon.com/images/I/51x8cPtPWrL._AC_UL320_.jpg")</f>
        <v>#NAME?</v>
      </c>
      <c r="I3889" t="s">
        <v>1427</v>
      </c>
      <c r="J3889">
        <v>9.82</v>
      </c>
      <c r="K3889" s="4">
        <v>-1.4999999999999999E-2</v>
      </c>
      <c r="L3889">
        <v>4.2</v>
      </c>
      <c r="M3889">
        <v>97</v>
      </c>
      <c r="O3889" t="s">
        <v>25</v>
      </c>
      <c r="P3889" t="s">
        <v>6045</v>
      </c>
      <c r="Q3889" t="s">
        <v>6046</v>
      </c>
    </row>
    <row r="3890" spans="1:17" ht="15.5" x14ac:dyDescent="0.35">
      <c r="A3890"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3890" s="3" t="str">
        <f>HYPERLINK("https://edmondsonsupply.com/products/klein-tools-3005cr-ratcheting-crimper-10-22-awg", "https://edmondsonsupply.com/products/klein-tools-3005cr-ratcheting-crimper-10-22-awg")</f>
        <v>https://edmondsonsupply.com/products/klein-tools-3005cr-ratcheting-crimper-10-22-awg</v>
      </c>
      <c r="C3890" t="s">
        <v>1987</v>
      </c>
      <c r="D3890" t="s">
        <v>4857</v>
      </c>
      <c r="E3890" s="3" t="str">
        <f>HYPERLINK("https://www.amazon.com/Klein-Tools-Ratcheting-Crimper-10-22/dp/B07WMB61J5/ref=sr_1_1?keywords=Klein+Tools+3005CR+Ratcheting+Crimper%2C+10-22+AWG+-+Insulated+Terminals&amp;qid=1695173864&amp;sr=8-1", "https://www.amazon.com/Klein-Tools-Ratcheting-Crimper-10-22/dp/B07WMB61J5/ref=sr_1_1?keywords=Klein+Tools+3005CR+Ratcheting+Crimper%2C+10-22+AWG+-+Insulated+Terminals&amp;qid=1695173864&amp;sr=8-1")</f>
        <v>https://www.amazon.com/Klein-Tools-Ratcheting-Crimper-10-22/dp/B07WMB61J5/ref=sr_1_1?keywords=Klein+Tools+3005CR+Ratcheting+Crimper%2C+10-22+AWG+-+Insulated+Terminals&amp;qid=1695173864&amp;sr=8-1</v>
      </c>
      <c r="F3890" t="s">
        <v>4858</v>
      </c>
      <c r="G3890" t="e">
        <f ca="1">_xludf.IMAGE("https://edmondsonsupply.com/cdn/shop/products/3005cr.jpg?v=1587146892")</f>
        <v>#NAME?</v>
      </c>
      <c r="H3890" t="e">
        <f ca="1">_xludf.IMAGE("https://m.media-amazon.com/images/I/412xzN1PKSL._AC_UL320_.jpg")</f>
        <v>#NAME?</v>
      </c>
      <c r="I3890" t="s">
        <v>824</v>
      </c>
      <c r="J3890">
        <v>29.48</v>
      </c>
      <c r="K3890" s="4">
        <v>-1.6299999999999999E-2</v>
      </c>
      <c r="L3890">
        <v>4.8</v>
      </c>
      <c r="M3890">
        <v>7013</v>
      </c>
      <c r="O3890" t="s">
        <v>25</v>
      </c>
      <c r="P3890" t="s">
        <v>1990</v>
      </c>
      <c r="Q3890" t="s">
        <v>1991</v>
      </c>
    </row>
    <row r="3891" spans="1:17" ht="15.5" x14ac:dyDescent="0.35">
      <c r="A3891"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3891"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3891" t="s">
        <v>3227</v>
      </c>
      <c r="D3891" t="s">
        <v>4861</v>
      </c>
      <c r="E3891" s="3" t="str">
        <f>HYPERLINK("https://www.amazon.com/Klein-Tools-69355-Electrical-Test/dp/B09SVQQFZX/ref=sr_1_4?keywords=Klein+Tools+MM320KIT+Digital+Multimeter+Electrical+Test+Kit&amp;qid=1695173860&amp;sr=8-4", "https://www.amazon.com/Klein-Tools-69355-Electrical-Test/dp/B09SVQQFZX/ref=sr_1_4?keywords=Klein+Tools+MM320KIT+Digital+Multimeter+Electrical+Test+Kit&amp;qid=1695173860&amp;sr=8-4")</f>
        <v>https://www.amazon.com/Klein-Tools-69355-Electrical-Test/dp/B09SVQQFZX/ref=sr_1_4?keywords=Klein+Tools+MM320KIT+Digital+Multimeter+Electrical+Test+Kit&amp;qid=1695173860&amp;sr=8-4</v>
      </c>
      <c r="F3891" t="s">
        <v>4862</v>
      </c>
      <c r="G3891" t="e">
        <f ca="1">_xludf.IMAGE("https://edmondsonsupply.com/cdn/shop/products/mm320kit_photo.jpg?v=1660756496")</f>
        <v>#NAME?</v>
      </c>
      <c r="H3891" t="e">
        <f ca="1">_xludf.IMAGE("https://m.media-amazon.com/images/I/51heXSegywL._AC_UL320_.jpg")</f>
        <v>#NAME?</v>
      </c>
      <c r="I3891" t="s">
        <v>380</v>
      </c>
      <c r="J3891">
        <v>49.12</v>
      </c>
      <c r="K3891" s="4">
        <v>-1.7000000000000001E-2</v>
      </c>
      <c r="L3891">
        <v>4.7</v>
      </c>
      <c r="M3891">
        <v>406</v>
      </c>
      <c r="O3891" t="s">
        <v>25</v>
      </c>
      <c r="P3891" t="s">
        <v>3230</v>
      </c>
      <c r="Q3891" t="s">
        <v>3231</v>
      </c>
    </row>
    <row r="3892" spans="1:17" ht="15.5" x14ac:dyDescent="0.35">
      <c r="A3892" s="3" t="str">
        <f>HYPERLINK("https://edmondsonsupply.com/collections/electricians-tools/products/klein-tools-506-15-adjustable-wrench-standard-capacity-15-inch", "https://edmondsonsupply.com/collections/electricians-tools/products/klein-tools-506-15-adjustable-wrench-standard-capacity-15-inch")</f>
        <v>https://edmondsonsupply.com/collections/electricians-tools/products/klein-tools-506-15-adjustable-wrench-standard-capacity-15-inch</v>
      </c>
      <c r="B3892" s="3" t="str">
        <f>HYPERLINK("https://edmondsonsupply.com/products/klein-tools-506-15-adjustable-wrench-standard-capacity-15-inch", "https://edmondsonsupply.com/products/klein-tools-506-15-adjustable-wrench-standard-capacity-15-inch")</f>
        <v>https://edmondsonsupply.com/products/klein-tools-506-15-adjustable-wrench-standard-capacity-15-inch</v>
      </c>
      <c r="C3892" t="s">
        <v>8304</v>
      </c>
      <c r="D3892" t="s">
        <v>8305</v>
      </c>
      <c r="E3892" s="3" t="str">
        <f>HYPERLINK("https://www.amazon.com/Klein-Tools-Adjustable-Standard-Capacity/dp/B00093DZ2I/ref=sr_1_1?keywords=Klein+Tools+506-15+Adjustable+Wrench+Standard+Capacity%2C+15-Inch&amp;qid=1695174233&amp;sr=8-1", "https://www.amazon.com/Klein-Tools-Adjustable-Standard-Capacity/dp/B00093DZ2I/ref=sr_1_1?keywords=Klein+Tools+506-15+Adjustable+Wrench+Standard+Capacity%2C+15-Inch&amp;qid=1695174233&amp;sr=8-1")</f>
        <v>https://www.amazon.com/Klein-Tools-Adjustable-Standard-Capacity/dp/B00093DZ2I/ref=sr_1_1?keywords=Klein+Tools+506-15+Adjustable+Wrench+Standard+Capacity%2C+15-Inch&amp;qid=1695174233&amp;sr=8-1</v>
      </c>
      <c r="F3892" t="s">
        <v>8306</v>
      </c>
      <c r="G3892" t="e">
        <f ca="1">_xludf.IMAGE("https://edmondsonsupply.com/cdn/shop/products/50615.jpg?v=1646140297")</f>
        <v>#NAME?</v>
      </c>
      <c r="H3892" t="e">
        <f ca="1">_xludf.IMAGE("https://m.media-amazon.com/images/I/51T7pAaitgL._AC_UL320_.jpg")</f>
        <v>#NAME?</v>
      </c>
      <c r="I3892" t="s">
        <v>4100</v>
      </c>
      <c r="J3892">
        <v>74.66</v>
      </c>
      <c r="K3892" s="4">
        <v>-1.7500000000000002E-2</v>
      </c>
      <c r="L3892">
        <v>4.5</v>
      </c>
      <c r="M3892">
        <v>7</v>
      </c>
      <c r="O3892" t="s">
        <v>25</v>
      </c>
      <c r="P3892" t="s">
        <v>8307</v>
      </c>
      <c r="Q3892" t="s">
        <v>8308</v>
      </c>
    </row>
    <row r="3893" spans="1:17" ht="15.5" x14ac:dyDescent="0.35">
      <c r="A3893"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3893"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3893" t="s">
        <v>6755</v>
      </c>
      <c r="D3893" t="s">
        <v>6755</v>
      </c>
      <c r="E3893" s="3" t="str">
        <f>HYPERLINK("https://www.amazon.com/Insulated-Screwdriver-Klein-Tools-602-4-INS/dp/B0006M6Y6Q/ref=sr_1_1?keywords=Klein+Tools+602-4-INS+1%2F4-Inch+Cabinet+Tip+Insulated+Screwdriver%2C+4-Inch&amp;qid=1695174266&amp;sr=8-1", "https://www.amazon.com/Insulated-Screwdriver-Klein-Tools-602-4-INS/dp/B0006M6Y6Q/ref=sr_1_1?keywords=Klein+Tools+602-4-INS+1%2F4-Inch+Cabinet+Tip+Insulated+Screwdriver%2C+4-Inch&amp;qid=1695174266&amp;sr=8-1")</f>
        <v>https://www.amazon.com/Insulated-Screwdriver-Klein-Tools-602-4-INS/dp/B0006M6Y6Q/ref=sr_1_1?keywords=Klein+Tools+602-4-INS+1%2F4-Inch+Cabinet+Tip+Insulated+Screwdriver%2C+4-Inch&amp;qid=1695174266&amp;sr=8-1</v>
      </c>
      <c r="F3893" t="s">
        <v>8309</v>
      </c>
      <c r="G3893" t="e">
        <f ca="1">_xludf.IMAGE("https://edmondsonsupply.com/cdn/shop/products/602-4-ins-photo.jpg?v=1633031051")</f>
        <v>#NAME?</v>
      </c>
      <c r="H3893" t="e">
        <f ca="1">_xludf.IMAGE("https://m.media-amazon.com/images/I/417fQptv8KL._AC_UL320_.jpg")</f>
        <v>#NAME?</v>
      </c>
      <c r="I3893" t="s">
        <v>3185</v>
      </c>
      <c r="J3893">
        <v>20.62</v>
      </c>
      <c r="K3893" s="4">
        <v>-1.7600000000000001E-2</v>
      </c>
      <c r="L3893">
        <v>4.8</v>
      </c>
      <c r="M3893">
        <v>1064</v>
      </c>
      <c r="O3893" t="s">
        <v>25</v>
      </c>
      <c r="P3893" t="s">
        <v>6758</v>
      </c>
      <c r="Q3893" t="s">
        <v>6759</v>
      </c>
    </row>
    <row r="3894" spans="1:17" ht="15.5" x14ac:dyDescent="0.35">
      <c r="A3894" s="3" t="str">
        <f>HYPERLINK("https://edmondsonsupply.com/collections/electricians-tools/products/klein-tools-44001-blk-black-lightweight-lockback-knife-2-1-2-inch", "https://edmondsonsupply.com/collections/electricians-tools/products/klein-tools-44001-blk-black-lightweight-lockback-knife-2-1-2-inch")</f>
        <v>https://edmondsonsupply.com/collections/electricians-tools/products/klein-tools-44001-blk-black-lightweight-lockback-knife-2-1-2-inch</v>
      </c>
      <c r="B3894" s="3" t="str">
        <f>HYPERLINK("https://edmondsonsupply.com/products/klein-tools-44001-blk-black-lightweight-lockback-knife-2-1-2-inch", "https://edmondsonsupply.com/products/klein-tools-44001-blk-black-lightweight-lockback-knife-2-1-2-inch")</f>
        <v>https://edmondsonsupply.com/products/klein-tools-44001-blk-black-lightweight-lockback-knife-2-1-2-inch</v>
      </c>
      <c r="C3894" t="s">
        <v>7786</v>
      </c>
      <c r="D3894" t="s">
        <v>7053</v>
      </c>
      <c r="E3894" s="3" t="str">
        <f>HYPERLINK("https://www.amazon.com/Lightweight-Drop-Point-Klein-Tools-44001-BLK/dp/B0026T18RW/ref=sr_1_1?keywords=Klein+Tools+44001-BLK+Black+Lightweight+Lockback+Knife%2C+2-1%2F2-Inch&amp;qid=1695174306&amp;sr=8-1", "https://www.amazon.com/Lightweight-Drop-Point-Klein-Tools-44001-BLK/dp/B0026T18RW/ref=sr_1_1?keywords=Klein+Tools+44001-BLK+Black+Lightweight+Lockback+Knife%2C+2-1%2F2-Inch&amp;qid=1695174306&amp;sr=8-1")</f>
        <v>https://www.amazon.com/Lightweight-Drop-Point-Klein-Tools-44001-BLK/dp/B0026T18RW/ref=sr_1_1?keywords=Klein+Tools+44001-BLK+Black+Lightweight+Lockback+Knife%2C+2-1%2F2-Inch&amp;qid=1695174306&amp;sr=8-1</v>
      </c>
      <c r="F3894" t="s">
        <v>7054</v>
      </c>
      <c r="G3894" t="e">
        <f ca="1">_xludf.IMAGE("https://edmondsonsupply.com/cdn/shop/products/44001-blk.jpg?v=1633030819")</f>
        <v>#NAME?</v>
      </c>
      <c r="H3894" t="e">
        <f ca="1">_xludf.IMAGE("https://m.media-amazon.com/images/I/41DnZjhhmnL._AC_UL320_.jpg")</f>
        <v>#NAME?</v>
      </c>
      <c r="I3894" t="s">
        <v>3436</v>
      </c>
      <c r="J3894">
        <v>47.14</v>
      </c>
      <c r="K3894" s="4">
        <v>-1.77E-2</v>
      </c>
      <c r="L3894">
        <v>4.5</v>
      </c>
      <c r="M3894">
        <v>68</v>
      </c>
      <c r="O3894" t="s">
        <v>25</v>
      </c>
      <c r="P3894" t="s">
        <v>7787</v>
      </c>
      <c r="Q3894" t="s">
        <v>7788</v>
      </c>
    </row>
    <row r="3895" spans="1:17" ht="15.5" x14ac:dyDescent="0.35">
      <c r="A3895" s="3" t="str">
        <f>HYPERLINK("https://edmondsonsupply.com/collections/electricians-tools/products/fluke-tlk289-industrial-master-test-lead-set", "https://edmondsonsupply.com/collections/electricians-tools/products/fluke-tlk289-industrial-master-test-lead-set")</f>
        <v>https://edmondsonsupply.com/collections/electricians-tools/products/fluke-tlk289-industrial-master-test-lead-set</v>
      </c>
      <c r="B3895" s="3" t="str">
        <f>HYPERLINK("https://edmondsonsupply.com/products/fluke-tlk289-industrial-master-test-lead-set", "https://edmondsonsupply.com/products/fluke-tlk289-industrial-master-test-lead-set")</f>
        <v>https://edmondsonsupply.com/products/fluke-tlk289-industrial-master-test-lead-set</v>
      </c>
      <c r="C3895" t="s">
        <v>8310</v>
      </c>
      <c r="D3895" t="s">
        <v>8310</v>
      </c>
      <c r="E3895" s="3" t="str">
        <f>HYPERLINK("https://www.amazon.com/Fluke-TLK289-Industrial-Master-Test/dp/B002IKE1KU/ref=sr_1_1?keywords=Fluke+TLK289+Industrial+Master+Test+Lead+Set&amp;qid=1695174240&amp;sr=8-1", "https://www.amazon.com/Fluke-TLK289-Industrial-Master-Test/dp/B002IKE1KU/ref=sr_1_1?keywords=Fluke+TLK289+Industrial+Master+Test+Lead+Set&amp;qid=1695174240&amp;sr=8-1")</f>
        <v>https://www.amazon.com/Fluke-TLK289-Industrial-Master-Test/dp/B002IKE1KU/ref=sr_1_1?keywords=Fluke+TLK289+Industrial+Master+Test+Lead+Set&amp;qid=1695174240&amp;sr=8-1</v>
      </c>
      <c r="F3895" t="s">
        <v>8311</v>
      </c>
      <c r="G3895" t="e">
        <f ca="1">_xludf.IMAGE("https://edmondsonsupply.com/cdn/shop/products/TLK289_1280x841px_E_NR-23772.jpg?v=1633031191")</f>
        <v>#NAME?</v>
      </c>
      <c r="H3895" t="e">
        <f ca="1">_xludf.IMAGE("https://m.media-amazon.com/images/I/81N4PIDxA5L._AC_UY218_.jpg")</f>
        <v>#NAME?</v>
      </c>
      <c r="I3895" t="s">
        <v>8312</v>
      </c>
      <c r="J3895">
        <v>186.61</v>
      </c>
      <c r="K3895" s="4">
        <v>-1.78E-2</v>
      </c>
      <c r="L3895">
        <v>4.8</v>
      </c>
      <c r="M3895">
        <v>1640</v>
      </c>
      <c r="O3895" t="s">
        <v>25</v>
      </c>
      <c r="P3895" t="s">
        <v>454</v>
      </c>
      <c r="Q3895" t="s">
        <v>8313</v>
      </c>
    </row>
    <row r="3896" spans="1:17" ht="15.5" x14ac:dyDescent="0.35">
      <c r="A3896" s="3" t="str">
        <f>HYPERLINK("https://edmondsonsupply.com/collections/electricians-tools/products/klein-tools-jth9m6-6-mm-hex-key-journeyman%E2%84%A2-t-handle-9-inch", "https://edmondsonsupply.com/collections/electricians-tools/products/klein-tools-jth9m6-6-mm-hex-key-journeyman%E2%84%A2-t-handle-9-inch")</f>
        <v>https://edmondsonsupply.com/collections/electricians-tools/products/klein-tools-jth9m6-6-mm-hex-key-journeyman%E2%84%A2-t-handle-9-inch</v>
      </c>
      <c r="B3896" s="3" t="str">
        <f>HYPERLINK("https://edmondsonsupply.com/products/klein-tools-jth9m6-6-mm-hex-key-journeyman%e2%84%a2-t-handle-9-inch", "https://edmondsonsupply.com/products/klein-tools-jth9m6-6-mm-hex-key-journeyman%e2%84%a2-t-handle-9-inch")</f>
        <v>https://edmondsonsupply.com/products/klein-tools-jth9m6-6-mm-hex-key-journeyman%e2%84%a2-t-handle-9-inch</v>
      </c>
      <c r="C3896" t="s">
        <v>6987</v>
      </c>
      <c r="D3896" t="s">
        <v>3905</v>
      </c>
      <c r="E3896" s="3" t="str">
        <f>HYPERLINK("https://www.amazon.com/Journeyman-T-Handle-Klein-Tools-JTH9M3/dp/B005G3HJ28/ref=sr_1_7?keywords=Klein+Tools+JTH9M6+6+mm+Hex+Key%2C+Journeyman%E2%84%A2+T-Handle%2C+9-Inch&amp;qid=1695174139&amp;sr=8-7", "https://www.amazon.com/Journeyman-T-Handle-Klein-Tools-JTH9M3/dp/B005G3HJ28/ref=sr_1_7?keywords=Klein+Tools+JTH9M6+6+mm+Hex+Key%2C+Journeyman%E2%84%A2+T-Handle%2C+9-Inch&amp;qid=1695174139&amp;sr=8-7")</f>
        <v>https://www.amazon.com/Journeyman-T-Handle-Klein-Tools-JTH9M3/dp/B005G3HJ28/ref=sr_1_7?keywords=Klein+Tools+JTH9M6+6+mm+Hex+Key%2C+Journeyman%E2%84%A2+T-Handle%2C+9-Inch&amp;qid=1695174139&amp;sr=8-7</v>
      </c>
      <c r="F3896" t="s">
        <v>3906</v>
      </c>
      <c r="G3896" t="e">
        <f ca="1">_xludf.IMAGE("https://edmondsonsupply.com/cdn/shop/products/jth6m8_8e3ac188-6806-4676-8198-2058bbbd4836.jpg?v=1664891890")</f>
        <v>#NAME?</v>
      </c>
      <c r="H3896" t="e">
        <f ca="1">_xludf.IMAGE("https://m.media-amazon.com/images/I/51MZtGjDOtL._AC_UL320_.jpg")</f>
        <v>#NAME?</v>
      </c>
      <c r="I3896" t="s">
        <v>2639</v>
      </c>
      <c r="J3896">
        <v>5.88</v>
      </c>
      <c r="K3896" s="4">
        <v>-1.84E-2</v>
      </c>
      <c r="L3896">
        <v>4.5999999999999996</v>
      </c>
      <c r="M3896">
        <v>179</v>
      </c>
      <c r="O3896" t="s">
        <v>25</v>
      </c>
      <c r="P3896" t="s">
        <v>6988</v>
      </c>
      <c r="Q3896" t="s">
        <v>6989</v>
      </c>
    </row>
    <row r="3897" spans="1:17" ht="15.5" x14ac:dyDescent="0.35">
      <c r="A3897"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3897"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3897" t="s">
        <v>6225</v>
      </c>
      <c r="D3897" t="s">
        <v>8314</v>
      </c>
      <c r="E3897" s="3" t="str">
        <f>HYPERLINK("https://www.amazon.com/Journeyman-T-Handle-Klein-Tools-JTH4E09/dp/B004ITO3H0/ref=sr_1_1?keywords=Klein+Tools+JTH4E09+9%2F64-Inch+Hex+Key+Journeyman+T-Handle+4-Inch&amp;qid=1695174238&amp;sr=8-1", "https://www.amazon.com/Journeyman-T-Handle-Klein-Tools-JTH4E09/dp/B004ITO3H0/ref=sr_1_1?keywords=Klein+Tools+JTH4E09+9%2F64-Inch+Hex+Key+Journeyman+T-Handle+4-Inch&amp;qid=1695174238&amp;sr=8-1")</f>
        <v>https://www.amazon.com/Journeyman-T-Handle-Klein-Tools-JTH4E09/dp/B004ITO3H0/ref=sr_1_1?keywords=Klein+Tools+JTH4E09+9%2F64-Inch+Hex+Key+Journeyman+T-Handle+4-Inch&amp;qid=1695174238&amp;sr=8-1</v>
      </c>
      <c r="F3897" t="s">
        <v>8315</v>
      </c>
      <c r="G3897" t="e">
        <f ca="1">_xludf.IMAGE("https://edmondsonsupply.com/cdn/shop/products/jth4e06_be5118a6-2e9d-44f5-81ad-c027572dd2d3.jpg?v=1635981570")</f>
        <v>#NAME?</v>
      </c>
      <c r="H3897" t="e">
        <f ca="1">_xludf.IMAGE("https://m.media-amazon.com/images/I/413bgBCbQLL._AC_UL320_.jpg")</f>
        <v>#NAME?</v>
      </c>
      <c r="I3897" t="s">
        <v>6228</v>
      </c>
      <c r="J3897">
        <v>3.72</v>
      </c>
      <c r="K3897" s="4">
        <v>-1.8499999999999999E-2</v>
      </c>
      <c r="L3897">
        <v>4.8</v>
      </c>
      <c r="M3897">
        <v>2479</v>
      </c>
      <c r="O3897" t="s">
        <v>25</v>
      </c>
      <c r="P3897" t="s">
        <v>6229</v>
      </c>
      <c r="Q3897" t="s">
        <v>6230</v>
      </c>
    </row>
    <row r="3898" spans="1:17" ht="15.5" x14ac:dyDescent="0.35">
      <c r="A3898"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3898" s="3" t="str">
        <f>HYPERLINK("https://edmondsonsupply.com/products/diablo-tools-d0760x-7-1-4-in-x-60-tooth-ultra-finish-saw-blade", "https://edmondsonsupply.com/products/diablo-tools-d0760x-7-1-4-in-x-60-tooth-ultra-finish-saw-blade")</f>
        <v>https://edmondsonsupply.com/products/diablo-tools-d0760x-7-1-4-in-x-60-tooth-ultra-finish-saw-blade</v>
      </c>
      <c r="C3898" t="s">
        <v>6011</v>
      </c>
      <c r="D3898" t="s">
        <v>7339</v>
      </c>
      <c r="E3898" s="3" t="str">
        <f>HYPERLINK("https://www.amazon.com/Diablo-Ultra-Finish-Circular-Blade/dp/B071X5DBWR/ref=sr_1_3?keywords=Diablo+Tools+D0760X+7-1%2F4+in.+x+60+Tooth+Ultra+Finish+Saw+Blade&amp;qid=1695174054&amp;sr=8-3", "https://www.amazon.com/Diablo-Ultra-Finish-Circular-Blade/dp/B071X5DBWR/ref=sr_1_3?keywords=Diablo+Tools+D0760X+7-1%2F4+in.+x+60+Tooth+Ultra+Finish+Saw+Blade&amp;qid=1695174054&amp;sr=8-3")</f>
        <v>https://www.amazon.com/Diablo-Ultra-Finish-Circular-Blade/dp/B071X5DBWR/ref=sr_1_3?keywords=Diablo+Tools+D0760X+7-1%2F4+in.+x+60+Tooth+Ultra+Finish+Saw+Blade&amp;qid=1695174054&amp;sr=8-3</v>
      </c>
      <c r="F3898" t="s">
        <v>7340</v>
      </c>
      <c r="G3898" t="e">
        <f ca="1">_xludf.IMAGE("https://edmondsonsupply.com/cdn/shop/products/vlfiqrihhfwf5bxirasx.webp?v=1678977162")</f>
        <v>#NAME?</v>
      </c>
      <c r="H3898" t="e">
        <f ca="1">_xludf.IMAGE("https://m.media-amazon.com/images/I/61JlPZnNLWL._AC_UL320_.jpg")</f>
        <v>#NAME?</v>
      </c>
      <c r="I3898" t="s">
        <v>893</v>
      </c>
      <c r="J3898">
        <v>19.600000000000001</v>
      </c>
      <c r="K3898" s="4">
        <v>-1.8499999999999999E-2</v>
      </c>
      <c r="L3898">
        <v>4.8</v>
      </c>
      <c r="M3898">
        <v>145</v>
      </c>
      <c r="O3898" t="s">
        <v>25</v>
      </c>
      <c r="P3898" t="s">
        <v>6014</v>
      </c>
      <c r="Q3898" t="s">
        <v>6015</v>
      </c>
    </row>
    <row r="3899" spans="1:17" ht="15.5" x14ac:dyDescent="0.35">
      <c r="A3899"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3899" s="3" t="str">
        <f>HYPERLINK("https://edmondsonsupply.com/products/klein-tools-646-1-4-1-4-inch-nut-driver-with-6-inch-hollow-shaft", "https://edmondsonsupply.com/products/klein-tools-646-1-4-1-4-inch-nut-driver-with-6-inch-hollow-shaft")</f>
        <v>https://edmondsonsupply.com/products/klein-tools-646-1-4-1-4-inch-nut-driver-with-6-inch-hollow-shaft</v>
      </c>
      <c r="C3899" t="s">
        <v>1478</v>
      </c>
      <c r="D3899" t="s">
        <v>4859</v>
      </c>
      <c r="E3899" s="3" t="str">
        <f>HYPERLINK("https://www.amazon.com/4-Inch-Driver-Cushion-Klein-Tools/dp/B000LEBON2/ref=sr_1_1?keywords=Klein+Tools+646-1%2F4+1%2F4-Inch+Nut+Driver+with+6-Inch+Hollow+Shaft&amp;qid=1695173897&amp;sr=8-1", "https://www.amazon.com/4-Inch-Driver-Cushion-Klein-Tools/dp/B000LEBON2/ref=sr_1_1?keywords=Klein+Tools+646-1%2F4+1%2F4-Inch+Nut+Driver+with+6-Inch+Hollow+Shaft&amp;qid=1695173897&amp;sr=8-1")</f>
        <v>https://www.amazon.com/4-Inch-Driver-Cushion-Klein-Tools/dp/B000LEBON2/ref=sr_1_1?keywords=Klein+Tools+646-1%2F4+1%2F4-Inch+Nut+Driver+with+6-Inch+Hollow+Shaft&amp;qid=1695173897&amp;sr=8-1</v>
      </c>
      <c r="F3899" t="s">
        <v>4860</v>
      </c>
      <c r="G3899" t="e">
        <f ca="1">_xludf.IMAGE("https://edmondsonsupply.com/cdn/shop/products/646-1-2_08d87fa9-eac4-4869-8d3b-bb680d4b1d53.jpg?v=1587150676")</f>
        <v>#NAME?</v>
      </c>
      <c r="H3899" t="e">
        <f ca="1">_xludf.IMAGE("https://m.media-amazon.com/images/I/31sSFYGqdfL._AC_UL320_.jpg")</f>
        <v>#NAME?</v>
      </c>
      <c r="I3899" t="s">
        <v>1003</v>
      </c>
      <c r="J3899">
        <v>7.84</v>
      </c>
      <c r="K3899" s="4">
        <v>-1.8800000000000001E-2</v>
      </c>
      <c r="L3899">
        <v>4.8</v>
      </c>
      <c r="M3899">
        <v>2497</v>
      </c>
      <c r="O3899" t="s">
        <v>25</v>
      </c>
      <c r="P3899" t="s">
        <v>1481</v>
      </c>
      <c r="Q3899" t="s">
        <v>1482</v>
      </c>
    </row>
    <row r="3900" spans="1:17" ht="15.5" x14ac:dyDescent="0.35">
      <c r="A3900"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3900"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3900" t="s">
        <v>6432</v>
      </c>
      <c r="D3900" t="s">
        <v>732</v>
      </c>
      <c r="E3900" s="3" t="str">
        <f>HYPERLINK("https://www.amazon.com/Canvas-Storage-Klein-Tools-5416/dp/B0002RI6JS/ref=sr_1_1?keywords=Klein+Tools+5416+Tool+Bag%2C+Bull-Pin+and+Bolt+Pouch%2C+Belt+Strap+Connect%2C+5+x+10+x+9-Inch&amp;qid=1695174042&amp;sr=8-1", "https://www.amazon.com/Canvas-Storage-Klein-Tools-5416/dp/B0002RI6JS/ref=sr_1_1?keywords=Klein+Tools+5416+Tool+Bag%2C+Bull-Pin+and+Bolt+Pouch%2C+Belt+Strap+Connect%2C+5+x+10+x+9-Inch&amp;qid=1695174042&amp;sr=8-1")</f>
        <v>https://www.amazon.com/Canvas-Storage-Klein-Tools-5416/dp/B0002RI6JS/ref=sr_1_1?keywords=Klein+Tools+5416+Tool+Bag%2C+Bull-Pin+and+Bolt+Pouch%2C+Belt+Strap+Connect%2C+5+x+10+x+9-Inch&amp;qid=1695174042&amp;sr=8-1</v>
      </c>
      <c r="F3900" t="s">
        <v>733</v>
      </c>
      <c r="G3900" t="e">
        <f ca="1">_xludf.IMAGE("https://edmondsonsupply.com/cdn/shop/products/5416.jpg?v=1679664980")</f>
        <v>#NAME?</v>
      </c>
      <c r="H3900" t="e">
        <f ca="1">_xludf.IMAGE("https://m.media-amazon.com/images/I/61w6J+DVn0L._AC_UL320_.jpg")</f>
        <v>#NAME?</v>
      </c>
      <c r="I3900" t="s">
        <v>6242</v>
      </c>
      <c r="J3900">
        <v>17.440000000000001</v>
      </c>
      <c r="K3900" s="4">
        <v>-2.0199999999999999E-2</v>
      </c>
      <c r="L3900">
        <v>4.5999999999999996</v>
      </c>
      <c r="M3900">
        <v>902</v>
      </c>
      <c r="O3900" t="s">
        <v>25</v>
      </c>
      <c r="P3900" t="s">
        <v>6433</v>
      </c>
      <c r="Q3900" t="s">
        <v>6434</v>
      </c>
    </row>
    <row r="3901" spans="1:17" ht="15.5" x14ac:dyDescent="0.35">
      <c r="A3901" s="3" t="str">
        <f>HYPERLINK("https://edmondsonsupply.com/collections/electricians-tools/products/klein-tools-5481-tool-pouch-leather-pocket-tool-organizer-6-pockets-5-75x2-5x10-inch", "https://edmondsonsupply.com/collections/electricians-tools/products/klein-tools-5481-tool-pouch-leather-pocket-tool-organizer-6-pockets-5-75x2-5x10-inch")</f>
        <v>https://edmondsonsupply.com/collections/electricians-tools/products/klein-tools-5481-tool-pouch-leather-pocket-tool-organizer-6-pockets-5-75x2-5x10-inch</v>
      </c>
      <c r="B3901" s="3" t="str">
        <f>HYPERLINK("https://edmondsonsupply.com/products/klein-tools-5481-tool-pouch-leather-pocket-tool-organizer-6-pockets-5-75x2-5x10-inch", "https://edmondsonsupply.com/products/klein-tools-5481-tool-pouch-leather-pocket-tool-organizer-6-pockets-5-75x2-5x10-inch")</f>
        <v>https://edmondsonsupply.com/products/klein-tools-5481-tool-pouch-leather-pocket-tool-organizer-6-pockets-5-75x2-5x10-inch</v>
      </c>
      <c r="C3901" t="s">
        <v>8316</v>
      </c>
      <c r="D3901" t="s">
        <v>8317</v>
      </c>
      <c r="E3901" s="3" t="str">
        <f>HYPERLINK("https://www.amazon.com/Leather-Pocket-Pouch-Klein-Tools/dp/B007V8RY9O/ref=sr_1_1?keywords=Klein+Tools+5481+Tool+Pouch%2C+Leather+Pocket+Tool+Organizer%2C+6-Pockets%2C+5.75x2.5x10-Inch&amp;qid=1695174282&amp;sr=8-1", "https://www.amazon.com/Leather-Pocket-Pouch-Klein-Tools/dp/B007V8RY9O/ref=sr_1_1?keywords=Klein+Tools+5481+Tool+Pouch%2C+Leather+Pocket+Tool+Organizer%2C+6-Pockets%2C+5.75x2.5x10-Inch&amp;qid=1695174282&amp;sr=8-1")</f>
        <v>https://www.amazon.com/Leather-Pocket-Pouch-Klein-Tools/dp/B007V8RY9O/ref=sr_1_1?keywords=Klein+Tools+5481+Tool+Pouch%2C+Leather+Pocket+Tool+Organizer%2C+6-Pockets%2C+5.75x2.5x10-Inch&amp;qid=1695174282&amp;sr=8-1</v>
      </c>
      <c r="F3901" t="s">
        <v>8318</v>
      </c>
      <c r="G3901" t="e">
        <f ca="1">_xludf.IMAGE("https://edmondsonsupply.com/cdn/shop/products/5481.jpg?v=1633030957")</f>
        <v>#NAME?</v>
      </c>
      <c r="H3901" t="e">
        <f ca="1">_xludf.IMAGE("https://m.media-amazon.com/images/I/611EUnJKTbL._AC_UL320_.jpg")</f>
        <v>#NAME?</v>
      </c>
      <c r="I3901" t="s">
        <v>3436</v>
      </c>
      <c r="J3901">
        <v>47</v>
      </c>
      <c r="K3901" s="4">
        <v>-2.06E-2</v>
      </c>
      <c r="L3901">
        <v>4.2</v>
      </c>
      <c r="M3901">
        <v>155</v>
      </c>
      <c r="O3901" t="s">
        <v>25</v>
      </c>
      <c r="P3901" t="s">
        <v>8319</v>
      </c>
      <c r="Q3901" t="s">
        <v>8320</v>
      </c>
    </row>
    <row r="3902" spans="1:17" ht="15.5" x14ac:dyDescent="0.35">
      <c r="A3902"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3902"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3902" t="s">
        <v>6351</v>
      </c>
      <c r="D3902" t="s">
        <v>3163</v>
      </c>
      <c r="E3902" s="3" t="str">
        <f>HYPERLINK("https://www.amazon.com/Journeyman-T-Handle-Klein-Tools-JTH9E14/dp/B004QVAH4I/ref=sr_1_5?keywords=Klein+Tools+JTH9E10+5%2F32-Inch+Hex+Key%2C+Journeyman+T-Handle%2C+9-Inch&amp;qid=1695174218&amp;sr=8-5", "https://www.amazon.com/Journeyman-T-Handle-Klein-Tools-JTH9E14/dp/B004QVAH4I/ref=sr_1_5?keywords=Klein+Tools+JTH9E10+5%2F32-Inch+Hex+Key%2C+Journeyman+T-Handle%2C+9-Inch&amp;qid=1695174218&amp;sr=8-5")</f>
        <v>https://www.amazon.com/Journeyman-T-Handle-Klein-Tools-JTH9E14/dp/B004QVAH4I/ref=sr_1_5?keywords=Klein+Tools+JTH9E10+5%2F32-Inch+Hex+Key%2C+Journeyman+T-Handle%2C+9-Inch&amp;qid=1695174218&amp;sr=8-5</v>
      </c>
      <c r="F3902" t="s">
        <v>3164</v>
      </c>
      <c r="G3902" t="e">
        <f ca="1">_xludf.IMAGE("https://edmondsonsupply.com/cdn/shop/products/jth9e12_37b16542-2f59-465e-8bba-0a543803dfd0.jpg?v=1647892900")</f>
        <v>#NAME?</v>
      </c>
      <c r="H3902" t="e">
        <f ca="1">_xludf.IMAGE("https://m.media-amazon.com/images/I/51Yb8h41vLL._AC_UL320_.jpg")</f>
        <v>#NAME?</v>
      </c>
      <c r="I3902" t="s">
        <v>2389</v>
      </c>
      <c r="J3902">
        <v>7.44</v>
      </c>
      <c r="K3902" s="4">
        <v>-2.1100000000000001E-2</v>
      </c>
      <c r="L3902">
        <v>4.8</v>
      </c>
      <c r="M3902">
        <v>114</v>
      </c>
      <c r="O3902" t="s">
        <v>171</v>
      </c>
      <c r="P3902" t="s">
        <v>138</v>
      </c>
      <c r="Q3902" t="s">
        <v>6352</v>
      </c>
    </row>
    <row r="3903" spans="1:17" ht="15.5" x14ac:dyDescent="0.35">
      <c r="A3903"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3903" s="3" t="str">
        <f>HYPERLINK("https://edmondsonsupply.com/products/diablo-tools-dag1130-1-in-x-7-1-2-in-auger-bit", "https://edmondsonsupply.com/products/diablo-tools-dag1130-1-in-x-7-1-2-in-auger-bit")</f>
        <v>https://edmondsonsupply.com/products/diablo-tools-dag1130-1-in-x-7-1-2-in-auger-bit</v>
      </c>
      <c r="C3903" t="s">
        <v>3530</v>
      </c>
      <c r="D3903" t="s">
        <v>4870</v>
      </c>
      <c r="E3903" s="3" t="str">
        <f>HYPERLINK("https://www.amazon.com/Diablo-Freud-DAG1090-7-1-Auger/dp/B089KW4S6Y/ref=sr_1_4?keywords=Diablo+Tools+DAG1130+1+in.+x+7-1%2F2+in.+Auger+Bit&amp;qid=1695173913&amp;sr=8-4", "https://www.amazon.com/Diablo-Freud-DAG1090-7-1-Auger/dp/B089KW4S6Y/ref=sr_1_4?keywords=Diablo+Tools+DAG1130+1+in.+x+7-1%2F2+in.+Auger+Bit&amp;qid=1695173913&amp;sr=8-4")</f>
        <v>https://www.amazon.com/Diablo-Freud-DAG1090-7-1-Auger/dp/B089KW4S6Y/ref=sr_1_4?keywords=Diablo+Tools+DAG1130+1+in.+x+7-1%2F2+in.+Auger+Bit&amp;qid=1695173913&amp;sr=8-4</v>
      </c>
      <c r="F3903" t="s">
        <v>4871</v>
      </c>
      <c r="G3903" t="e">
        <f ca="1">_xludf.IMAGE("https://edmondsonsupply.com/cdn/shop/products/DAG1130_Main-Image20200712.png?v=1633031124")</f>
        <v>#NAME?</v>
      </c>
      <c r="H3903" t="e">
        <f ca="1">_xludf.IMAGE("https://m.media-amazon.com/images/I/61wiLPAG21L._AC_UL320_.jpg")</f>
        <v>#NAME?</v>
      </c>
      <c r="I3903" t="s">
        <v>3533</v>
      </c>
      <c r="J3903">
        <v>16</v>
      </c>
      <c r="K3903" s="4">
        <v>-2.2599999999999999E-2</v>
      </c>
      <c r="L3903">
        <v>4.4000000000000004</v>
      </c>
      <c r="M3903">
        <v>35</v>
      </c>
      <c r="O3903" t="s">
        <v>25</v>
      </c>
      <c r="P3903" t="s">
        <v>3534</v>
      </c>
      <c r="Q3903" t="s">
        <v>3535</v>
      </c>
    </row>
    <row r="3904" spans="1:17" ht="15.5" x14ac:dyDescent="0.35">
      <c r="A3904"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3904" s="3" t="str">
        <f>HYPERLINK("https://edmondsonsupply.com/products/klein-tools-5141-canvas-bag-4-pk-brown-black-gray-red", "https://edmondsonsupply.com/products/klein-tools-5141-canvas-bag-4-pk-brown-black-gray-red")</f>
        <v>https://edmondsonsupply.com/products/klein-tools-5141-canvas-bag-4-pk-brown-black-gray-red</v>
      </c>
      <c r="C3904" t="s">
        <v>243</v>
      </c>
      <c r="D3904" t="s">
        <v>654</v>
      </c>
      <c r="E3904" s="3" t="str">
        <f>HYPERLINK("https://www.amazon.com/Klein-Tools-Canvas-Zipper-4-25-Inch/dp/B09Z91GLFK/ref=sr_1_2?keywords=Klein+Tools+5141+Zipper+Bags%2C+Canvas+Tool+Pouches+Brown%2FBlack%2FGray%2FRed%2C+4-Pack&amp;qid=1695173934&amp;sr=8-2", "https://www.amazon.com/Klein-Tools-Canvas-Zipper-4-25-Inch/dp/B09Z91GLFK/ref=sr_1_2?keywords=Klein+Tools+5141+Zipper+Bags%2C+Canvas+Tool+Pouches+Brown%2FBlack%2FGray%2FRed%2C+4-Pack&amp;qid=1695173934&amp;sr=8-2")</f>
        <v>https://www.amazon.com/Klein-Tools-Canvas-Zipper-4-25-Inch/dp/B09Z91GLFK/ref=sr_1_2?keywords=Klein+Tools+5141+Zipper+Bags%2C+Canvas+Tool+Pouches+Brown%2FBlack%2FGray%2FRed%2C+4-Pack&amp;qid=1695173934&amp;sr=8-2</v>
      </c>
      <c r="F3904" t="s">
        <v>655</v>
      </c>
      <c r="G3904" t="e">
        <f ca="1">_xludf.IMAGE("https://edmondsonsupply.com/cdn/shop/products/5141.jpg?v=1633030517")</f>
        <v>#NAME?</v>
      </c>
      <c r="H3904" t="e">
        <f ca="1">_xludf.IMAGE("https://m.media-amazon.com/images/I/51OmVOlxWvL._AC_UL320_.jpg")</f>
        <v>#NAME?</v>
      </c>
      <c r="I3904" t="s">
        <v>246</v>
      </c>
      <c r="J3904">
        <v>39</v>
      </c>
      <c r="K3904" s="4">
        <v>-2.4299999999999999E-2</v>
      </c>
      <c r="L3904">
        <v>4.9000000000000004</v>
      </c>
      <c r="M3904">
        <v>15</v>
      </c>
      <c r="O3904" t="s">
        <v>25</v>
      </c>
      <c r="P3904" t="s">
        <v>247</v>
      </c>
      <c r="Q3904" t="s">
        <v>248</v>
      </c>
    </row>
    <row r="3905" spans="1:17" ht="15.5" x14ac:dyDescent="0.35">
      <c r="A3905"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3905" s="3" t="str">
        <f>HYPERLINK("https://edmondsonsupply.com/products/klein-tools-5141-canvas-bag-4-pk-brown-black-gray-red", "https://edmondsonsupply.com/products/klein-tools-5141-canvas-bag-4-pk-brown-black-gray-red")</f>
        <v>https://edmondsonsupply.com/products/klein-tools-5141-canvas-bag-4-pk-brown-black-gray-red</v>
      </c>
      <c r="C3905" t="s">
        <v>243</v>
      </c>
      <c r="D3905" t="s">
        <v>294</v>
      </c>
      <c r="E3905" s="3" t="str">
        <f>HYPERLINK("https://www.amazon.com/Utility-Zipper-12-5-Inch-Klein-Tools/dp/B007V8RXVI/ref=sr_1_1?keywords=Klein+Tools+5141+Zipper+Bags%2C+Canvas+Tool+Pouches+Brown%2FBlack%2FGray%2FRed%2C+4-Pack&amp;qid=1695173934&amp;sr=8-1", "https://www.amazon.com/Utility-Zipper-12-5-Inch-Klein-Tools/dp/B007V8RXVI/ref=sr_1_1?keywords=Klein+Tools+5141+Zipper+Bags%2C+Canvas+Tool+Pouches+Brown%2FBlack%2FGray%2FRed%2C+4-Pack&amp;qid=1695173934&amp;sr=8-1")</f>
        <v>https://www.amazon.com/Utility-Zipper-12-5-Inch-Klein-Tools/dp/B007V8RXVI/ref=sr_1_1?keywords=Klein+Tools+5141+Zipper+Bags%2C+Canvas+Tool+Pouches+Brown%2FBlack%2FGray%2FRed%2C+4-Pack&amp;qid=1695173934&amp;sr=8-1</v>
      </c>
      <c r="F3905" t="s">
        <v>295</v>
      </c>
      <c r="G3905" t="e">
        <f ca="1">_xludf.IMAGE("https://edmondsonsupply.com/cdn/shop/products/5141.jpg?v=1633030517")</f>
        <v>#NAME?</v>
      </c>
      <c r="H3905" t="e">
        <f ca="1">_xludf.IMAGE("https://m.media-amazon.com/images/I/61K2xaMr+oL._AC_UL320_.jpg")</f>
        <v>#NAME?</v>
      </c>
      <c r="I3905" t="s">
        <v>246</v>
      </c>
      <c r="J3905">
        <v>39</v>
      </c>
      <c r="K3905" s="4">
        <v>-2.4299999999999999E-2</v>
      </c>
      <c r="L3905">
        <v>4.8</v>
      </c>
      <c r="M3905">
        <v>4463</v>
      </c>
      <c r="O3905" t="s">
        <v>25</v>
      </c>
      <c r="P3905" t="s">
        <v>247</v>
      </c>
      <c r="Q3905" t="s">
        <v>248</v>
      </c>
    </row>
    <row r="3906" spans="1:17" ht="15.5" x14ac:dyDescent="0.35">
      <c r="A3906"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3906"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3906" t="s">
        <v>2568</v>
      </c>
      <c r="D3906" t="s">
        <v>4872</v>
      </c>
      <c r="E3906" s="3" t="str">
        <f>HYPERLINK("https://www.amazon.com/Wiha-WIHAA-32088-Insulated-Picofinish/dp/B00SZ6LZMS/ref=sr_1_1?keywords=Wiha+Tools+32088+8+Piece+Insulated+PicoFinish+Precision+Screwdriver+Set&amp;qid=1695173981&amp;sr=8-1", "https://www.amazon.com/Wiha-WIHAA-32088-Insulated-Picofinish/dp/B00SZ6LZMS/ref=sr_1_1?keywords=Wiha+Tools+32088+8+Piece+Insulated+PicoFinish+Precision+Screwdriver+Set&amp;qid=1695173981&amp;sr=8-1")</f>
        <v>https://www.amazon.com/Wiha-WIHAA-32088-Insulated-Picofinish/dp/B00SZ6LZMS/ref=sr_1_1?keywords=Wiha+Tools+32088+8+Piece+Insulated+PicoFinish+Precision+Screwdriver+Set&amp;qid=1695173981&amp;sr=8-1</v>
      </c>
      <c r="F3906" t="s">
        <v>4873</v>
      </c>
      <c r="G3906" t="e">
        <f ca="1">_xludf.IMAGE("https://edmondsonsupply.com/cdn/shop/files/ah1u5hviqxts6itxix4k_1000x_5285634c-51ad-48c4-987e-f1113aaa9ab9.webp?v=1690905519")</f>
        <v>#NAME?</v>
      </c>
      <c r="H3906" t="e">
        <f ca="1">_xludf.IMAGE("https://m.media-amazon.com/images/I/71AgXWTs5SS._AC_UL320_.jpg")</f>
        <v>#NAME?</v>
      </c>
      <c r="I3906" t="s">
        <v>2571</v>
      </c>
      <c r="J3906">
        <v>62.98</v>
      </c>
      <c r="K3906" s="4">
        <v>-2.4299999999999999E-2</v>
      </c>
      <c r="L3906">
        <v>4.8</v>
      </c>
      <c r="M3906">
        <v>174</v>
      </c>
      <c r="O3906" t="s">
        <v>25</v>
      </c>
      <c r="P3906" t="s">
        <v>2572</v>
      </c>
      <c r="Q3906" t="s">
        <v>2573</v>
      </c>
    </row>
    <row r="3907" spans="1:17" ht="15.5" x14ac:dyDescent="0.35">
      <c r="A3907"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3907" s="3" t="str">
        <f>HYPERLINK("https://edmondsonsupply.com/products/klein-tools-rt250-gfci-receptacle-tester-with-lcd", "https://edmondsonsupply.com/products/klein-tools-rt250-gfci-receptacle-tester-with-lcd")</f>
        <v>https://edmondsonsupply.com/products/klein-tools-rt250-gfci-receptacle-tester-with-lcd</v>
      </c>
      <c r="C3907" t="s">
        <v>6197</v>
      </c>
      <c r="D3907" t="s">
        <v>6643</v>
      </c>
      <c r="E3907" s="3" t="str">
        <f>HYPERLINK("https://www.amazon.com/Receptacle-Electrical-Klein-Tools-RT250/dp/B08QW7K1JJ/ref=sr_1_1?keywords=Klein+Tools+RT250+GFCI+Receptacle+Tester+with+LCD&amp;qid=1695174176&amp;sr=8-1", "https://www.amazon.com/Receptacle-Electrical-Klein-Tools-RT250/dp/B08QW7K1JJ/ref=sr_1_1?keywords=Klein+Tools+RT250+GFCI+Receptacle+Tester+with+LCD&amp;qid=1695174176&amp;sr=8-1")</f>
        <v>https://www.amazon.com/Receptacle-Electrical-Klein-Tools-RT250/dp/B08QW7K1JJ/ref=sr_1_1?keywords=Klein+Tools+RT250+GFCI+Receptacle+Tester+with+LCD&amp;qid=1695174176&amp;sr=8-1</v>
      </c>
      <c r="F3907" t="s">
        <v>6644</v>
      </c>
      <c r="G3907" t="e">
        <f ca="1">_xludf.IMAGE("https://edmondsonsupply.com/cdn/shop/products/rt250_photo_c.jpg?v=1661363824")</f>
        <v>#NAME?</v>
      </c>
      <c r="H3907" t="e">
        <f ca="1">_xludf.IMAGE("https://m.media-amazon.com/images/I/61j28ynJ7bL._AC_UL320_.jpg")</f>
        <v>#NAME?</v>
      </c>
      <c r="I3907" t="s">
        <v>2247</v>
      </c>
      <c r="J3907">
        <v>21.43</v>
      </c>
      <c r="K3907" s="4">
        <v>-2.46E-2</v>
      </c>
      <c r="L3907">
        <v>4.8</v>
      </c>
      <c r="M3907">
        <v>7966</v>
      </c>
      <c r="O3907" t="s">
        <v>25</v>
      </c>
      <c r="P3907" t="s">
        <v>6200</v>
      </c>
      <c r="Q3907" t="s">
        <v>6201</v>
      </c>
    </row>
    <row r="3908" spans="1:17" ht="15.5" x14ac:dyDescent="0.35">
      <c r="A3908"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3908" s="3" t="str">
        <f>HYPERLINK("https://edmondsonsupply.com/products/klein-tools-69445-rare-earth-magnetic-hanger-no-strap", "https://edmondsonsupply.com/products/klein-tools-69445-rare-earth-magnetic-hanger-no-strap")</f>
        <v>https://edmondsonsupply.com/products/klein-tools-69445-rare-earth-magnetic-hanger-no-strap</v>
      </c>
      <c r="C3908" t="s">
        <v>1408</v>
      </c>
      <c r="D3908" t="s">
        <v>4874</v>
      </c>
      <c r="E3908" s="3" t="str">
        <f>HYPERLINK("https://www.amazon.com/Klein-Tools-69445-Magnetic-Multimeters/dp/B08CP568HY/ref=sr_1_1?keywords=Klein+Tools+69445+Rare+Earth+Magnetic+Hanger%2C+no+Strap&amp;qid=1695173881&amp;sr=8-1", "https://www.amazon.com/Klein-Tools-69445-Magnetic-Multimeters/dp/B08CP568HY/ref=sr_1_1?keywords=Klein+Tools+69445+Rare+Earth+Magnetic+Hanger%2C+no+Strap&amp;qid=1695173881&amp;sr=8-1")</f>
        <v>https://www.amazon.com/Klein-Tools-69445-Magnetic-Multimeters/dp/B08CP568HY/ref=sr_1_1?keywords=Klein+Tools+69445+Rare+Earth+Magnetic+Hanger%2C+no+Strap&amp;qid=1695173881&amp;sr=8-1</v>
      </c>
      <c r="F3908" t="s">
        <v>4875</v>
      </c>
      <c r="G3908" t="e">
        <f ca="1">_xludf.IMAGE("https://edmondsonsupply.com/cdn/shop/products/69445.jpg?v=1633030859")</f>
        <v>#NAME?</v>
      </c>
      <c r="H3908" t="e">
        <f ca="1">_xludf.IMAGE("https://m.media-amazon.com/images/I/61xhBmfQ1SL._AC_UL320_.jpg")</f>
        <v>#NAME?</v>
      </c>
      <c r="I3908" t="s">
        <v>252</v>
      </c>
      <c r="J3908">
        <v>15.59</v>
      </c>
      <c r="K3908" s="4">
        <v>-2.5000000000000001E-2</v>
      </c>
      <c r="L3908">
        <v>4.8</v>
      </c>
      <c r="M3908">
        <v>403</v>
      </c>
      <c r="O3908" t="s">
        <v>25</v>
      </c>
      <c r="P3908" t="s">
        <v>1411</v>
      </c>
      <c r="Q3908" t="s">
        <v>1412</v>
      </c>
    </row>
    <row r="3909" spans="1:17" ht="15.5" x14ac:dyDescent="0.35">
      <c r="A3909" s="3" t="str">
        <f>HYPERLINK("https://edmondsonsupply.com/collections/electricians-tools/products/fieldpiece-sc260", "https://edmondsonsupply.com/collections/electricians-tools/products/fieldpiece-sc260")</f>
        <v>https://edmondsonsupply.com/collections/electricians-tools/products/fieldpiece-sc260</v>
      </c>
      <c r="B3909" s="3" t="str">
        <f>HYPERLINK("https://edmondsonsupply.com/products/fieldpiece-sc260", "https://edmondsonsupply.com/products/fieldpiece-sc260")</f>
        <v>https://edmondsonsupply.com/products/fieldpiece-sc260</v>
      </c>
      <c r="C3909" t="s">
        <v>3222</v>
      </c>
      <c r="D3909" t="s">
        <v>4880</v>
      </c>
      <c r="E3909" s="3" t="str">
        <f>HYPERLINK("https://www.amazon.com/Fieldpiece-SC260-Compact-Clamp-Multimeter/dp/B00KLYJG78/ref=sr_1_1?keywords=Fieldpiece+SC260+Compact+Clamp+Meter+with+True+RMS&amp;qid=1695173924&amp;sr=8-1", "https://www.amazon.com/Fieldpiece-SC260-Compact-Clamp-Multimeter/dp/B00KLYJG78/ref=sr_1_1?keywords=Fieldpiece+SC260+Compact+Clamp+Meter+with+True+RMS&amp;qid=1695173924&amp;sr=8-1")</f>
        <v>https://www.amazon.com/Fieldpiece-SC260-Compact-Clamp-Multimeter/dp/B00KLYJG78/ref=sr_1_1?keywords=Fieldpiece+SC260+Compact+Clamp+Meter+with+True+RMS&amp;qid=1695173924&amp;sr=8-1</v>
      </c>
      <c r="F3909" t="s">
        <v>4881</v>
      </c>
      <c r="G3909" t="e">
        <f ca="1">_xludf.IMAGE("https://edmondsonsupply.com/cdn/shop/products/SC260-SRC-product.jpg?v=1633030161")</f>
        <v>#NAME?</v>
      </c>
      <c r="H3909" t="e">
        <f ca="1">_xludf.IMAGE("https://m.media-amazon.com/images/I/71b7m0X1ZcL._AC_UY218_.jpg")</f>
        <v>#NAME?</v>
      </c>
      <c r="I3909" t="s">
        <v>3225</v>
      </c>
      <c r="J3909">
        <v>134.94999999999999</v>
      </c>
      <c r="K3909" s="4">
        <v>-2.5999999999999999E-2</v>
      </c>
      <c r="L3909">
        <v>4.7</v>
      </c>
      <c r="M3909">
        <v>1249</v>
      </c>
      <c r="O3909" t="s">
        <v>25</v>
      </c>
      <c r="P3909" t="s">
        <v>1508</v>
      </c>
      <c r="Q3909" t="s">
        <v>3226</v>
      </c>
    </row>
    <row r="3910" spans="1:17" ht="15.5" x14ac:dyDescent="0.35">
      <c r="A3910"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3910" s="3" t="str">
        <f>HYPERLINK("https://edmondsonsupply.com/products/klein-tools-66076-flip-impact-socket-9-16-and-1-2-inch", "https://edmondsonsupply.com/products/klein-tools-66076-flip-impact-socket-9-16-and-1-2-inch")</f>
        <v>https://edmondsonsupply.com/products/klein-tools-66076-flip-impact-socket-9-16-and-1-2-inch</v>
      </c>
      <c r="C3910" t="s">
        <v>6085</v>
      </c>
      <c r="D3910" t="s">
        <v>8321</v>
      </c>
      <c r="E3910" s="3" t="str">
        <f>HYPERLINK("https://www.amazon.com/Klein-Tools-66077-Wrenches-BAT20CW1/dp/B0B34JMDCL/ref=sr_1_2?keywords=Klein+Tools+66076+Flip+Impact+Socket%2C+9%2F16+and+1%2F2-Inch&amp;qid=1695174172&amp;sr=8-2", "https://www.amazon.com/Klein-Tools-66077-Wrenches-BAT20CW1/dp/B0B34JMDCL/ref=sr_1_2?keywords=Klein+Tools+66076+Flip+Impact+Socket%2C+9%2F16+and+1%2F2-Inch&amp;qid=1695174172&amp;sr=8-2")</f>
        <v>https://www.amazon.com/Klein-Tools-66077-Wrenches-BAT20CW1/dp/B0B34JMDCL/ref=sr_1_2?keywords=Klein+Tools+66076+Flip+Impact+Socket%2C+9%2F16+and+1%2F2-Inch&amp;qid=1695174172&amp;sr=8-2</v>
      </c>
      <c r="F3910" t="s">
        <v>8322</v>
      </c>
      <c r="G3910" t="e">
        <f ca="1">_xludf.IMAGE("https://edmondsonsupply.com/cdn/shop/products/66076.jpg?v=1663083814")</f>
        <v>#NAME?</v>
      </c>
      <c r="H3910" t="e">
        <f ca="1">_xludf.IMAGE("https://m.media-amazon.com/images/I/41vtzEP3nEL._AC_UL320_.jpg")</f>
        <v>#NAME?</v>
      </c>
      <c r="I3910" t="s">
        <v>6086</v>
      </c>
      <c r="J3910">
        <v>10.43</v>
      </c>
      <c r="K3910" s="4">
        <v>-2.6100000000000002E-2</v>
      </c>
      <c r="L3910">
        <v>4.8</v>
      </c>
      <c r="M3910">
        <v>5</v>
      </c>
      <c r="O3910" t="s">
        <v>25</v>
      </c>
      <c r="P3910" t="s">
        <v>6087</v>
      </c>
      <c r="Q3910" t="s">
        <v>6088</v>
      </c>
    </row>
    <row r="3911" spans="1:17" ht="15.5" x14ac:dyDescent="0.35">
      <c r="A3911" s="3" t="str">
        <f>HYPERLINK("https://edmondsonsupply.com/collections/electricians-tools/products/milwaukee-0970-20-m18-fuel%E2%84%A2-packout%E2%84%A2-2-5-gallon-wet-dry-vacuum", "https://edmondsonsupply.com/collections/electricians-tools/products/milwaukee-0970-20-m18-fuel%E2%84%A2-packout%E2%84%A2-2-5-gallon-wet-dry-vacuum")</f>
        <v>https://edmondsonsupply.com/collections/electricians-tools/products/milwaukee-0970-20-m18-fuel%E2%84%A2-packout%E2%84%A2-2-5-gallon-wet-dry-vacuum</v>
      </c>
      <c r="B3911"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3911" t="s">
        <v>4882</v>
      </c>
      <c r="D3911" t="s">
        <v>4883</v>
      </c>
      <c r="E3911" s="3" t="str">
        <f>HYPERLINK("https://www.amazon.com/Milwaukee-0970-20-PACKOUT-Gallon-Vacuum/dp/B09RQ6WNZ8/ref=sr_1_1?keywords=Milwaukee+0970-20+M18+FUEL%E2%84%A2+PACKOUT%E2%84%A2+2.5+Gallon+Wet%2FDry+Vacuum&amp;qid=1695173920&amp;sr=8-1", "https://www.amazon.com/Milwaukee-0970-20-PACKOUT-Gallon-Vacuum/dp/B09RQ6WNZ8/ref=sr_1_1?keywords=Milwaukee+0970-20+M18+FUEL%E2%84%A2+PACKOUT%E2%84%A2+2.5+Gallon+Wet%2FDry+Vacuum&amp;qid=1695173920&amp;sr=8-1")</f>
        <v>https://www.amazon.com/Milwaukee-0970-20-PACKOUT-Gallon-Vacuum/dp/B09RQ6WNZ8/ref=sr_1_1?keywords=Milwaukee+0970-20+M18+FUEL%E2%84%A2+PACKOUT%E2%84%A2+2.5+Gallon+Wet%2FDry+Vacuum&amp;qid=1695173920&amp;sr=8-1</v>
      </c>
      <c r="F3911" t="s">
        <v>4884</v>
      </c>
      <c r="G3911" t="e">
        <f ca="1">_xludf.IMAGE("https://edmondsonsupply.com/cdn/shop/products/0970-20_3webp.webp?v=1668442362")</f>
        <v>#NAME?</v>
      </c>
      <c r="H3911" t="e">
        <f ca="1">_xludf.IMAGE("https://m.media-amazon.com/images/I/71yMHJwu0eL._AC_UL320_.jpg")</f>
        <v>#NAME?</v>
      </c>
      <c r="I3911" t="s">
        <v>715</v>
      </c>
      <c r="J3911">
        <v>193.69</v>
      </c>
      <c r="K3911" s="4">
        <v>-2.6700000000000002E-2</v>
      </c>
      <c r="L3911">
        <v>4.5999999999999996</v>
      </c>
      <c r="M3911">
        <v>76</v>
      </c>
      <c r="O3911" t="s">
        <v>171</v>
      </c>
      <c r="P3911" t="s">
        <v>4885</v>
      </c>
      <c r="Q3911" t="s">
        <v>4886</v>
      </c>
    </row>
    <row r="3912" spans="1:17" ht="15.5" x14ac:dyDescent="0.35">
      <c r="A3912"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3912" s="3" t="str">
        <f>HYPERLINK("https://edmondsonsupply.com/products/klein-tools-56059-multi-groove-fiberglass-fish-tape-200-foot", "https://edmondsonsupply.com/products/klein-tools-56059-multi-groove-fiberglass-fish-tape-200-foot")</f>
        <v>https://edmondsonsupply.com/products/klein-tools-56059-multi-groove-fiberglass-fish-tape-200-foot</v>
      </c>
      <c r="C3912" t="s">
        <v>7681</v>
      </c>
      <c r="D3912" t="s">
        <v>8323</v>
      </c>
      <c r="E3912" s="3" t="str">
        <f>HYPERLINK("https://www.amazon.com/Klein-Tools-Non-Conductive-Fiberglass-500-Pound/dp/B00N84FXP2/ref=sr_1_1?keywords=Klein+Tools+56059+Multi-Groove+Fiberglass+Fish+Tape+200-Foot&amp;qid=1695174221&amp;sr=8-1", "https://www.amazon.com/Klein-Tools-Non-Conductive-Fiberglass-500-Pound/dp/B00N84FXP2/ref=sr_1_1?keywords=Klein+Tools+56059+Multi-Groove+Fiberglass+Fish+Tape+200-Foot&amp;qid=1695174221&amp;sr=8-1")</f>
        <v>https://www.amazon.com/Klein-Tools-Non-Conductive-Fiberglass-500-Pound/dp/B00N84FXP2/ref=sr_1_1?keywords=Klein+Tools+56059+Multi-Groove+Fiberglass+Fish+Tape+200-Foot&amp;qid=1695174221&amp;sr=8-1</v>
      </c>
      <c r="F3912" t="s">
        <v>8324</v>
      </c>
      <c r="G3912" t="e">
        <f ca="1">_xludf.IMAGE("https://edmondsonsupply.com/cdn/shop/products/56059.jpg?v=1648938340")</f>
        <v>#NAME?</v>
      </c>
      <c r="H3912" t="e">
        <f ca="1">_xludf.IMAGE("https://m.media-amazon.com/images/I/51Uut6yasyS._AC_UL320_.jpg")</f>
        <v>#NAME?</v>
      </c>
      <c r="I3912" t="s">
        <v>7682</v>
      </c>
      <c r="J3912">
        <v>179.99</v>
      </c>
      <c r="K3912" s="4">
        <v>-2.7E-2</v>
      </c>
      <c r="L3912">
        <v>4.5999999999999996</v>
      </c>
      <c r="M3912">
        <v>161</v>
      </c>
      <c r="O3912" t="s">
        <v>25</v>
      </c>
      <c r="P3912" t="s">
        <v>7683</v>
      </c>
      <c r="Q3912" t="s">
        <v>7684</v>
      </c>
    </row>
    <row r="3913" spans="1:17" ht="15.5" x14ac:dyDescent="0.35">
      <c r="A3913"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3913"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3913" t="s">
        <v>6998</v>
      </c>
      <c r="D3913" t="s">
        <v>4054</v>
      </c>
      <c r="E3913" s="3" t="str">
        <f>HYPERLINK("https://www.amazon.com/Driver-2-Inch-Klein-Tools-65131/dp/B071LCCGT1/ref=sr_1_1?keywords=Klein+Tools+65131+2-in-1+Nut+Driver%2C+Hex+Head+Slide+Drive%E2%84%A2%2C+1-1%2F2-Inch&amp;qid=1695174203&amp;sr=8-1", "https://www.amazon.com/Driver-2-Inch-Klein-Tools-65131/dp/B071LCCGT1/ref=sr_1_1?keywords=Klein+Tools+65131+2-in-1+Nut+Driver%2C+Hex+Head+Slide+Drive%E2%84%A2%2C+1-1%2F2-Inch&amp;qid=1695174203&amp;sr=8-1")</f>
        <v>https://www.amazon.com/Driver-2-Inch-Klein-Tools-65131/dp/B071LCCGT1/ref=sr_1_1?keywords=Klein+Tools+65131+2-in-1+Nut+Driver%2C+Hex+Head+Slide+Drive%E2%84%A2%2C+1-1%2F2-Inch&amp;qid=1695174203&amp;sr=8-1</v>
      </c>
      <c r="F3913" t="s">
        <v>4055</v>
      </c>
      <c r="G3913" t="e">
        <f ca="1">_xludf.IMAGE("https://edmondsonsupply.com/cdn/shop/products/65131.jpg?v=1660742745")</f>
        <v>#NAME?</v>
      </c>
      <c r="H3913" t="e">
        <f ca="1">_xludf.IMAGE("https://m.media-amazon.com/images/I/51SI9ktOe4L._AC_UL320_.jpg")</f>
        <v>#NAME?</v>
      </c>
      <c r="I3913" t="s">
        <v>2101</v>
      </c>
      <c r="J3913">
        <v>17.989999999999998</v>
      </c>
      <c r="K3913" s="4">
        <v>-2.7E-2</v>
      </c>
      <c r="L3913">
        <v>4.8</v>
      </c>
      <c r="M3913">
        <v>909</v>
      </c>
      <c r="O3913" t="s">
        <v>25</v>
      </c>
      <c r="P3913" t="s">
        <v>7001</v>
      </c>
      <c r="Q3913" t="s">
        <v>7002</v>
      </c>
    </row>
    <row r="3914" spans="1:17" ht="15.5" x14ac:dyDescent="0.35">
      <c r="A3914" s="3" t="str">
        <f>HYPERLINK("https://edmondsonsupply.com/collections/electricians-tools/products/greenlee-gsb06-1-2-step-bit-6", "https://edmondsonsupply.com/collections/electricians-tools/products/greenlee-gsb06-1-2-step-bit-6")</f>
        <v>https://edmondsonsupply.com/collections/electricians-tools/products/greenlee-gsb06-1-2-step-bit-6</v>
      </c>
      <c r="B3914" s="3" t="str">
        <f>HYPERLINK("https://edmondsonsupply.com/products/greenlee-gsb06-1-2-step-bit-6", "https://edmondsonsupply.com/products/greenlee-gsb06-1-2-step-bit-6")</f>
        <v>https://edmondsonsupply.com/products/greenlee-gsb06-1-2-step-bit-6</v>
      </c>
      <c r="C3914" t="s">
        <v>2409</v>
      </c>
      <c r="D3914" t="s">
        <v>4378</v>
      </c>
      <c r="E3914" s="3" t="str">
        <f>HYPERLINK("https://www.amazon.com/Greenlee-GSB04-Step-Bit/dp/B08TVF22W4/ref=sr_1_1?keywords=Greenlee+GSB06+1%2F2%22+Step+Bit+%28%236%29&amp;qid=1695173911&amp;sr=8-1", "https://www.amazon.com/Greenlee-GSB04-Step-Bit/dp/B08TVF22W4/ref=sr_1_1?keywords=Greenlee+GSB06+1%2F2%22+Step+Bit+%28%236%29&amp;qid=1695173911&amp;sr=8-1")</f>
        <v>https://www.amazon.com/Greenlee-GSB04-Step-Bit/dp/B08TVF22W4/ref=sr_1_1?keywords=Greenlee+GSB06+1%2F2%22+Step+Bit+%28%236%29&amp;qid=1695173911&amp;sr=8-1</v>
      </c>
      <c r="F3914" t="s">
        <v>4379</v>
      </c>
      <c r="G3914" t="e">
        <f ca="1">_xludf.IMAGE("https://edmondsonsupply.com/cdn/shop/files/GSB06_CAT1_72dpi.jpg?v=1687788659")</f>
        <v>#NAME?</v>
      </c>
      <c r="H3914" t="e">
        <f ca="1">_xludf.IMAGE("https://m.media-amazon.com/images/I/41FX4czhS0L._AC_UY218_.jpg")</f>
        <v>#NAME?</v>
      </c>
      <c r="I3914" t="s">
        <v>2410</v>
      </c>
      <c r="J3914">
        <v>32</v>
      </c>
      <c r="K3914" s="4">
        <v>-2.7099999999999999E-2</v>
      </c>
      <c r="L3914">
        <v>5</v>
      </c>
      <c r="M3914">
        <v>7</v>
      </c>
      <c r="O3914" t="s">
        <v>25</v>
      </c>
      <c r="P3914" t="s">
        <v>2411</v>
      </c>
      <c r="Q3914" t="s">
        <v>2412</v>
      </c>
    </row>
    <row r="3915" spans="1:17" ht="15.5" x14ac:dyDescent="0.35">
      <c r="A3915"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3915" s="3" t="str">
        <f>HYPERLINK("https://edmondsonsupply.com/products/klein-tools-31856-1-1-8-inch-carbide-hole-cutter", "https://edmondsonsupply.com/products/klein-tools-31856-1-1-8-inch-carbide-hole-cutter")</f>
        <v>https://edmondsonsupply.com/products/klein-tools-31856-1-1-8-inch-carbide-hole-cutter</v>
      </c>
      <c r="C3915" t="s">
        <v>6035</v>
      </c>
      <c r="D3915" t="s">
        <v>6180</v>
      </c>
      <c r="E3915" s="3" t="str">
        <f>HYPERLINK("https://www.amazon.com/8-Inch-Carbide-Klein-Tools-31856/dp/B00776T2XQ/ref=sr_1_1?keywords=Klein+Tools+31856+1-1%2F8-Inch+Carbide+Hole+Cutter&amp;qid=1695174011&amp;sr=8-1", "https://www.amazon.com/8-Inch-Carbide-Klein-Tools-31856/dp/B00776T2XQ/ref=sr_1_1?keywords=Klein+Tools+31856+1-1%2F8-Inch+Carbide+Hole+Cutter&amp;qid=1695174011&amp;sr=8-1")</f>
        <v>https://www.amazon.com/8-Inch-Carbide-Klein-Tools-31856/dp/B00776T2XQ/ref=sr_1_1?keywords=Klein+Tools+31856+1-1%2F8-Inch+Carbide+Hole+Cutter&amp;qid=1695174011&amp;sr=8-1</v>
      </c>
      <c r="F3915" t="s">
        <v>6181</v>
      </c>
      <c r="G3915" t="e">
        <f ca="1">_xludf.IMAGE("https://edmondsonsupply.com/cdn/shop/files/31856.jpg?v=1685712345")</f>
        <v>#NAME?</v>
      </c>
      <c r="H3915" t="e">
        <f ca="1">_xludf.IMAGE("https://m.media-amazon.com/images/I/41TKex1GIjL._AC_UL320_.jpg")</f>
        <v>#NAME?</v>
      </c>
      <c r="I3915" t="s">
        <v>261</v>
      </c>
      <c r="J3915">
        <v>34.99</v>
      </c>
      <c r="K3915" s="4">
        <v>-2.7799999999999998E-2</v>
      </c>
      <c r="L3915">
        <v>4.5</v>
      </c>
      <c r="M3915">
        <v>473</v>
      </c>
      <c r="O3915" t="s">
        <v>25</v>
      </c>
      <c r="P3915" t="s">
        <v>6038</v>
      </c>
      <c r="Q3915" t="s">
        <v>6039</v>
      </c>
    </row>
    <row r="3916" spans="1:17" ht="15.5" x14ac:dyDescent="0.35">
      <c r="A3916"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3916"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3916" t="s">
        <v>6797</v>
      </c>
      <c r="D3916" t="s">
        <v>5101</v>
      </c>
      <c r="E3916" s="3" t="str">
        <f>HYPERLINK("https://www.amazon.com/Diagonal-Cutting-Klein-Tools-D248-8-GLW/dp/B00LMM39TY/ref=sr_1_9?keywords=Klein+Tools+D2000-48+Diagonal+Cutting+Pliers%2C+Angled+Head%2C+8-Inch&amp;qid=1695174171&amp;sr=8-9", "https://www.amazon.com/Diagonal-Cutting-Klein-Tools-D248-8-GLW/dp/B00LMM39TY/ref=sr_1_9?keywords=Klein+Tools+D2000-48+Diagonal+Cutting+Pliers%2C+Angled+Head%2C+8-Inch&amp;qid=1695174171&amp;sr=8-9")</f>
        <v>https://www.amazon.com/Diagonal-Cutting-Klein-Tools-D248-8-GLW/dp/B00LMM39TY/ref=sr_1_9?keywords=Klein+Tools+D2000-48+Diagonal+Cutting+Pliers%2C+Angled+Head%2C+8-Inch&amp;qid=1695174171&amp;sr=8-9</v>
      </c>
      <c r="F3916" t="s">
        <v>5102</v>
      </c>
      <c r="G3916" t="e">
        <f ca="1">_xludf.IMAGE("https://edmondsonsupply.com/cdn/shop/products/d200048.jpg?v=1660920588")</f>
        <v>#NAME?</v>
      </c>
      <c r="H3916" t="e">
        <f ca="1">_xludf.IMAGE("https://m.media-amazon.com/images/I/41HSLnsbFiL._AC_UL320_.jpg")</f>
        <v>#NAME?</v>
      </c>
      <c r="I3916" t="s">
        <v>340</v>
      </c>
      <c r="J3916">
        <v>33.99</v>
      </c>
      <c r="K3916" s="4">
        <v>-2.8000000000000001E-2</v>
      </c>
      <c r="L3916">
        <v>4.9000000000000004</v>
      </c>
      <c r="M3916">
        <v>634</v>
      </c>
      <c r="O3916" t="s">
        <v>25</v>
      </c>
      <c r="P3916" t="s">
        <v>6800</v>
      </c>
      <c r="Q3916" t="s">
        <v>6801</v>
      </c>
    </row>
    <row r="3917" spans="1:17" ht="15.5" x14ac:dyDescent="0.35">
      <c r="A3917" s="3" t="str">
        <f>HYPERLINK("https://edmondsonsupply.com/collections/electricians-tools/products/klein-tools-32536-10-fold-screwdriver-nut-driver-torx%C2%AE", "https://edmondsonsupply.com/collections/electricians-tools/products/klein-tools-32536-10-fold-screwdriver-nut-driver-torx%C2%AE")</f>
        <v>https://edmondsonsupply.com/collections/electricians-tools/products/klein-tools-32536-10-fold-screwdriver-nut-driver-torx%C2%AE</v>
      </c>
      <c r="B3917" s="3" t="str">
        <f>HYPERLINK("https://edmondsonsupply.com/products/klein-tools-32536-10-fold-screwdriver-nut-driver-torx%c2%ae", "https://edmondsonsupply.com/products/klein-tools-32536-10-fold-screwdriver-nut-driver-torx%c2%ae")</f>
        <v>https://edmondsonsupply.com/products/klein-tools-32536-10-fold-screwdriver-nut-driver-torx%c2%ae</v>
      </c>
      <c r="C3917" t="s">
        <v>8325</v>
      </c>
      <c r="D3917" t="s">
        <v>8326</v>
      </c>
      <c r="E3917" s="3" t="str">
        <f>HYPERLINK("https://www.amazon.com/10-Fold-Screwdriver-Klein-Tools-32536/dp/B0031D252E/ref=sr_1_1?keywords=Klein+Tools+32536+10-Fold+Screwdriver%2FNut+Driver%2C+Torx%C2%AE&amp;qid=1695174265&amp;sr=8-1", "https://www.amazon.com/10-Fold-Screwdriver-Klein-Tools-32536/dp/B0031D252E/ref=sr_1_1?keywords=Klein+Tools+32536+10-Fold+Screwdriver%2FNut+Driver%2C+Torx%C2%AE&amp;qid=1695174265&amp;sr=8-1")</f>
        <v>https://www.amazon.com/10-Fold-Screwdriver-Klein-Tools-32536/dp/B0031D252E/ref=sr_1_1?keywords=Klein+Tools+32536+10-Fold+Screwdriver%2FNut+Driver%2C+Torx%C2%AE&amp;qid=1695174265&amp;sr=8-1</v>
      </c>
      <c r="F3917" t="s">
        <v>8327</v>
      </c>
      <c r="G3917" t="e">
        <f ca="1">_xludf.IMAGE("https://edmondsonsupply.com/cdn/shop/products/32536.jpg?v=1633031048")</f>
        <v>#NAME?</v>
      </c>
      <c r="H3917" t="e">
        <f ca="1">_xludf.IMAGE("https://m.media-amazon.com/images/I/41F6iw7pypL._AC_UL320_.jpg")</f>
        <v>#NAME?</v>
      </c>
      <c r="I3917" t="s">
        <v>26</v>
      </c>
      <c r="J3917">
        <v>29.14</v>
      </c>
      <c r="K3917" s="4">
        <v>-2.8299999999999999E-2</v>
      </c>
      <c r="L3917">
        <v>4.5999999999999996</v>
      </c>
      <c r="M3917">
        <v>872</v>
      </c>
      <c r="O3917" t="s">
        <v>25</v>
      </c>
      <c r="P3917" t="s">
        <v>4371</v>
      </c>
      <c r="Q3917" t="s">
        <v>8328</v>
      </c>
    </row>
    <row r="3918" spans="1:17" ht="15.5" x14ac:dyDescent="0.35">
      <c r="A3918" s="3" t="str">
        <f>HYPERLINK("https://edmondsonsupply.com/collections/electricians-tools/products/klein-tools-ktsb03-step-drill-bit-double-fluted-3-1-4-to-3-4-inch", "https://edmondsonsupply.com/collections/electricians-tools/products/klein-tools-ktsb03-step-drill-bit-double-fluted-3-1-4-to-3-4-inch")</f>
        <v>https://edmondsonsupply.com/collections/electricians-tools/products/klein-tools-ktsb03-step-drill-bit-double-fluted-3-1-4-to-3-4-inch</v>
      </c>
      <c r="B3918" s="3" t="str">
        <f>HYPERLINK("https://edmondsonsupply.com/products/klein-tools-ktsb03-step-drill-bit-double-fluted-3-1-4-to-3-4-inch", "https://edmondsonsupply.com/products/klein-tools-ktsb03-step-drill-bit-double-fluted-3-1-4-to-3-4-inch")</f>
        <v>https://edmondsonsupply.com/products/klein-tools-ktsb03-step-drill-bit-double-fluted-3-1-4-to-3-4-inch</v>
      </c>
      <c r="C3918" t="s">
        <v>1978</v>
      </c>
      <c r="D3918" t="s">
        <v>4887</v>
      </c>
      <c r="E3918" s="3" t="str">
        <f>HYPERLINK("https://www.amazon.com/Double-Fluted-Klein-Tools-KTSB03/dp/B0171X0MRO/ref=sr_1_1?keywords=Klein+Tools+KTSB03+Step+Drill+Bit+Double+Fluted&amp;qid=1695173948&amp;sr=8-1", "https://www.amazon.com/Double-Fluted-Klein-Tools-KTSB03/dp/B0171X0MRO/ref=sr_1_1?keywords=Klein+Tools+KTSB03+Step+Drill+Bit+Double+Fluted&amp;qid=1695173948&amp;sr=8-1")</f>
        <v>https://www.amazon.com/Double-Fluted-Klein-Tools-KTSB03/dp/B0171X0MRO/ref=sr_1_1?keywords=Klein+Tools+KTSB03+Step+Drill+Bit+Double+Fluted&amp;qid=1695173948&amp;sr=8-1</v>
      </c>
      <c r="F3918" t="s">
        <v>4888</v>
      </c>
      <c r="G3918" t="e">
        <f ca="1">_xludf.IMAGE("https://edmondsonsupply.com/cdn/shop/products/ktsb03.jpg?v=1666012212")</f>
        <v>#NAME?</v>
      </c>
      <c r="H3918" t="e">
        <f ca="1">_xludf.IMAGE("https://m.media-amazon.com/images/I/51clfGV7U4L._AC_UY218_.jpg")</f>
        <v>#NAME?</v>
      </c>
      <c r="I3918" t="s">
        <v>571</v>
      </c>
      <c r="J3918">
        <v>33.99</v>
      </c>
      <c r="K3918" s="4">
        <v>-2.86E-2</v>
      </c>
      <c r="L3918">
        <v>4.7</v>
      </c>
      <c r="M3918">
        <v>1773</v>
      </c>
      <c r="O3918" t="s">
        <v>25</v>
      </c>
      <c r="P3918" t="s">
        <v>1981</v>
      </c>
      <c r="Q3918" t="s">
        <v>1982</v>
      </c>
    </row>
    <row r="3919" spans="1:17" ht="15.5" x14ac:dyDescent="0.35">
      <c r="A3919" s="3" t="str">
        <f>HYPERLINK("https://edmondsonsupply.com/collections/electricians-tools/products/klein-tools-31852-carbide-hole-cutter-7-8-inch", "https://edmondsonsupply.com/collections/electricians-tools/products/klein-tools-31852-carbide-hole-cutter-7-8-inch")</f>
        <v>https://edmondsonsupply.com/collections/electricians-tools/products/klein-tools-31852-carbide-hole-cutter-7-8-inch</v>
      </c>
      <c r="B3919" s="3" t="str">
        <f>HYPERLINK("https://edmondsonsupply.com/products/klein-tools-31852-carbide-hole-cutter-7-8-inch", "https://edmondsonsupply.com/products/klein-tools-31852-carbide-hole-cutter-7-8-inch")</f>
        <v>https://edmondsonsupply.com/products/klein-tools-31852-carbide-hole-cutter-7-8-inch</v>
      </c>
      <c r="C3919" t="s">
        <v>8329</v>
      </c>
      <c r="D3919" t="s">
        <v>8330</v>
      </c>
      <c r="E3919" s="3" t="str">
        <f>HYPERLINK("https://www.amazon.com/8-Inch-Carbide-Klein-Tools-31852/dp/B00776T23Q/ref=sr_1_1?keywords=Klein+Tools+31852+Carbide+Hole+Cutter%2C+7%2F8-Inch&amp;qid=1695174280&amp;sr=8-1", "https://www.amazon.com/8-Inch-Carbide-Klein-Tools-31852/dp/B00776T23Q/ref=sr_1_1?keywords=Klein+Tools+31852+Carbide+Hole+Cutter%2C+7%2F8-Inch&amp;qid=1695174280&amp;sr=8-1")</f>
        <v>https://www.amazon.com/8-Inch-Carbide-Klein-Tools-31852/dp/B00776T23Q/ref=sr_1_1?keywords=Klein+Tools+31852+Carbide+Hole+Cutter%2C+7%2F8-Inch&amp;qid=1695174280&amp;sr=8-1</v>
      </c>
      <c r="F3919" t="s">
        <v>8331</v>
      </c>
      <c r="G3919" t="e">
        <f ca="1">_xludf.IMAGE("https://edmondsonsupply.com/cdn/shop/products/31852.jpg?v=1633030927")</f>
        <v>#NAME?</v>
      </c>
      <c r="H3919" t="e">
        <f ca="1">_xludf.IMAGE("https://m.media-amazon.com/images/I/41wBUpl7TfL._AC_UL320_.jpg")</f>
        <v>#NAME?</v>
      </c>
      <c r="I3919" t="s">
        <v>4310</v>
      </c>
      <c r="J3919">
        <v>32.99</v>
      </c>
      <c r="K3919" s="4">
        <v>-2.9399999999999999E-2</v>
      </c>
      <c r="L3919">
        <v>4.5</v>
      </c>
      <c r="M3919">
        <v>473</v>
      </c>
      <c r="O3919" t="s">
        <v>25</v>
      </c>
      <c r="P3919" t="s">
        <v>8332</v>
      </c>
      <c r="Q3919" t="s">
        <v>8333</v>
      </c>
    </row>
    <row r="3920" spans="1:17" ht="15.5" x14ac:dyDescent="0.35">
      <c r="A3920"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3920"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3920" t="s">
        <v>8334</v>
      </c>
      <c r="D3920" t="s">
        <v>5388</v>
      </c>
      <c r="E3920" s="3" t="str">
        <f>HYPERLINK("https://www.amazon.com/Diablo-DMAPL4310-SDS-Plus-4-Cutter-Carbide/dp/B089KX2VKR/ref=sr_1_1?keywords=Diablo+Tools+DMAPL4310+1+in.+x+16+in.+x+18+in.+Rebar+Demon%E2%84%A2+SDS-Plus+4-Cutter+Full+Carbide+Head+Hammer+Drill+Bit&amp;qid=1695174259&amp;sr=8-1", "https://www.amazon.com/Diablo-DMAPL4310-SDS-Plus-4-Cutter-Carbide/dp/B089KX2VKR/ref=sr_1_1?keywords=Diablo+Tools+DMAPL4310+1+in.+x+16+in.+x+18+in.+Rebar+Demon%E2%84%A2+SDS-Plus+4-Cutter+Full+Carbide+Head+Hammer+Drill+Bit&amp;qid=1695174259&amp;sr=8-1")</f>
        <v>https://www.amazon.com/Diablo-DMAPL4310-SDS-Plus-4-Cutter-Carbide/dp/B089KX2VKR/ref=sr_1_1?keywords=Diablo+Tools+DMAPL4310+1+in.+x+16+in.+x+18+in.+Rebar+Demon%E2%84%A2+SDS-Plus+4-Cutter+Full+Carbide+Head+Hammer+Drill+Bit&amp;qid=1695174259&amp;sr=8-1</v>
      </c>
      <c r="F3920" t="s">
        <v>5389</v>
      </c>
      <c r="G3920" t="e">
        <f ca="1">_xludf.IMAGE("https://edmondsonsupply.com/cdn/shop/products/DMAPL4310_Main-Image20200701.png?v=1633031094")</f>
        <v>#NAME?</v>
      </c>
      <c r="H3920" t="e">
        <f ca="1">_xludf.IMAGE("https://m.media-amazon.com/images/I/61iwxfqG2VL._AC_UL320_.jpg")</f>
        <v>#NAME?</v>
      </c>
      <c r="I3920" t="s">
        <v>380</v>
      </c>
      <c r="J3920">
        <v>48.49</v>
      </c>
      <c r="K3920" s="4">
        <v>-2.9600000000000001E-2</v>
      </c>
      <c r="L3920">
        <v>4.5</v>
      </c>
      <c r="M3920">
        <v>32</v>
      </c>
      <c r="O3920" t="s">
        <v>25</v>
      </c>
      <c r="P3920" t="s">
        <v>8335</v>
      </c>
      <c r="Q3920" t="s">
        <v>8336</v>
      </c>
    </row>
    <row r="3921" spans="1:17" ht="15.5" x14ac:dyDescent="0.35">
      <c r="A3921" s="3" t="str">
        <f>HYPERLINK("https://edmondsonsupply.com/collections/electricians-tools/products/klein-tools-vdv027-813-lan-installer-starter-kit-punchdown", "https://edmondsonsupply.com/collections/electricians-tools/products/klein-tools-vdv027-813-lan-installer-starter-kit-punchdown")</f>
        <v>https://edmondsonsupply.com/collections/electricians-tools/products/klein-tools-vdv027-813-lan-installer-starter-kit-punchdown</v>
      </c>
      <c r="B3921" s="3" t="str">
        <f>HYPERLINK("https://edmondsonsupply.com/products/klein-tools-vdv027-813-lan-installer-starter-kit-punchdown", "https://edmondsonsupply.com/products/klein-tools-vdv027-813-lan-installer-starter-kit-punchdown")</f>
        <v>https://edmondsonsupply.com/products/klein-tools-vdv027-813-lan-installer-starter-kit-punchdown</v>
      </c>
      <c r="C3921" t="s">
        <v>8337</v>
      </c>
      <c r="D3921" t="s">
        <v>8337</v>
      </c>
      <c r="E3921" s="3" t="str">
        <f>HYPERLINK("https://www.amazon.com/Installer-Punchdown-Klein-Tools-VDV027-813/dp/B004W7OUH6/ref=sr_1_1?keywords=Klein+Tools+VDV027-813+LAN+Installer+Starter+Kit%2C+Punchdown&amp;qid=1695174305&amp;sr=8-1", "https://www.amazon.com/Installer-Punchdown-Klein-Tools-VDV027-813/dp/B004W7OUH6/ref=sr_1_1?keywords=Klein+Tools+VDV027-813+LAN+Installer+Starter+Kit%2C+Punchdown&amp;qid=1695174305&amp;sr=8-1")</f>
        <v>https://www.amazon.com/Installer-Punchdown-Klein-Tools-VDV027-813/dp/B004W7OUH6/ref=sr_1_1?keywords=Klein+Tools+VDV027-813+LAN+Installer+Starter+Kit%2C+Punchdown&amp;qid=1695174305&amp;sr=8-1</v>
      </c>
      <c r="F3921" t="s">
        <v>8338</v>
      </c>
      <c r="G3921" t="e">
        <f ca="1">_xludf.IMAGE("https://edmondsonsupply.com/cdn/shop/products/vdv027813_c.jpg?v=1664145537")</f>
        <v>#NAME?</v>
      </c>
      <c r="H3921" t="e">
        <f ca="1">_xludf.IMAGE("https://m.media-amazon.com/images/I/71oqBCrzgBL._AC_UL320_.jpg")</f>
        <v>#NAME?</v>
      </c>
      <c r="I3921" t="s">
        <v>8339</v>
      </c>
      <c r="J3921">
        <v>99.9</v>
      </c>
      <c r="K3921" s="4">
        <v>-0.03</v>
      </c>
      <c r="L3921">
        <v>4.2</v>
      </c>
      <c r="M3921">
        <v>39</v>
      </c>
      <c r="O3921" t="s">
        <v>25</v>
      </c>
      <c r="P3921" t="s">
        <v>8340</v>
      </c>
      <c r="Q3921" t="s">
        <v>8341</v>
      </c>
    </row>
    <row r="3922" spans="1:17" ht="15.5" x14ac:dyDescent="0.35">
      <c r="A3922" s="3" t="str">
        <f>HYPERLINK("https://edmondsonsupply.com/collections/electricians-tools/products/klein-tools-et130-digital-light-meter", "https://edmondsonsupply.com/collections/electricians-tools/products/klein-tools-et130-digital-light-meter")</f>
        <v>https://edmondsonsupply.com/collections/electricians-tools/products/klein-tools-et130-digital-light-meter</v>
      </c>
      <c r="B3922" s="3" t="str">
        <f>HYPERLINK("https://edmondsonsupply.com/products/klein-tools-et130-digital-light-meter", "https://edmondsonsupply.com/products/klein-tools-et130-digital-light-meter")</f>
        <v>https://edmondsonsupply.com/products/klein-tools-et130-digital-light-meter</v>
      </c>
      <c r="C3922" t="s">
        <v>8342</v>
      </c>
      <c r="D3922" t="s">
        <v>8342</v>
      </c>
      <c r="E3922" s="3" t="str">
        <f>HYPERLINK("https://www.amazon.com/Digital-Light-Klein-Tools-ET130/dp/B071WG7PT4/ref=sr_1_1?keywords=Klein+Tools+ET130+Digital+Light+Meter&amp;qid=1695173940&amp;sr=8-1", "https://www.amazon.com/Digital-Light-Klein-Tools-ET130/dp/B071WG7PT4/ref=sr_1_1?keywords=Klein+Tools+ET130+Digital+Light+Meter&amp;qid=1695173940&amp;sr=8-1")</f>
        <v>https://www.amazon.com/Digital-Light-Klein-Tools-ET130/dp/B071WG7PT4/ref=sr_1_1?keywords=Klein+Tools+ET130+Digital+Light+Meter&amp;qid=1695173940&amp;sr=8-1</v>
      </c>
      <c r="F3922" t="s">
        <v>8343</v>
      </c>
      <c r="G3922" t="e">
        <f ca="1">_xludf.IMAGE("https://edmondsonsupply.com/cdn/shop/products/et130_alt5.jpg?v=1611263497")</f>
        <v>#NAME?</v>
      </c>
      <c r="H3922" t="e">
        <f ca="1">_xludf.IMAGE("https://m.media-amazon.com/images/I/61SlHyYVr+L._AC_UY218_.jpg")</f>
        <v>#NAME?</v>
      </c>
      <c r="I3922" t="s">
        <v>8344</v>
      </c>
      <c r="J3922">
        <v>82.42</v>
      </c>
      <c r="K3922" s="4">
        <v>-0.03</v>
      </c>
      <c r="L3922">
        <v>4.5999999999999996</v>
      </c>
      <c r="M3922">
        <v>251</v>
      </c>
      <c r="O3922" t="s">
        <v>25</v>
      </c>
      <c r="P3922" t="s">
        <v>8345</v>
      </c>
      <c r="Q3922" t="s">
        <v>8346</v>
      </c>
    </row>
    <row r="3923" spans="1:17" ht="15.5" x14ac:dyDescent="0.35">
      <c r="A3923" s="3" t="str">
        <f>HYPERLINK("https://edmondsonsupply.com/collections/electricians-tools/products/klein-tools-58889", "https://edmondsonsupply.com/collections/electricians-tools/products/klein-tools-58889")</f>
        <v>https://edmondsonsupply.com/collections/electricians-tools/products/klein-tools-58889</v>
      </c>
      <c r="B3923" s="3" t="str">
        <f>HYPERLINK("https://edmondsonsupply.com/products/klein-tools-58889", "https://edmondsonsupply.com/products/klein-tools-58889")</f>
        <v>https://edmondsonsupply.com/products/klein-tools-58889</v>
      </c>
      <c r="C3923" t="s">
        <v>249</v>
      </c>
      <c r="D3923" t="s">
        <v>656</v>
      </c>
      <c r="E3923" s="3" t="str">
        <f>HYPERLINK("https://www.amazon.com/Adjustable-Shoulder-Klein-Tools-58889/dp/B0002RI6Y8/ref=sr_1_1?keywords=Klein+Tools+58889+Padded+Adjustable+Shoulder+Strap&amp;qid=1695174137&amp;sr=8-1", "https://www.amazon.com/Adjustable-Shoulder-Klein-Tools-58889/dp/B0002RI6Y8/ref=sr_1_1?keywords=Klein+Tools+58889+Padded+Adjustable+Shoulder+Strap&amp;qid=1695174137&amp;sr=8-1")</f>
        <v>https://www.amazon.com/Adjustable-Shoulder-Klein-Tools-58889/dp/B0002RI6Y8/ref=sr_1_1?keywords=Klein+Tools+58889+Padded+Adjustable+Shoulder+Strap&amp;qid=1695174137&amp;sr=8-1</v>
      </c>
      <c r="F3923" t="s">
        <v>657</v>
      </c>
      <c r="G3923" t="e">
        <f ca="1">_xludf.IMAGE("https://edmondsonsupply.com/cdn/shop/products/58889.jpg?v=1665591140")</f>
        <v>#NAME?</v>
      </c>
      <c r="H3923" t="e">
        <f ca="1">_xludf.IMAGE("https://m.media-amazon.com/images/I/51FKcOazH2L._AC_UL320_.jpg")</f>
        <v>#NAME?</v>
      </c>
      <c r="I3923" t="s">
        <v>252</v>
      </c>
      <c r="J3923">
        <v>15.51</v>
      </c>
      <c r="K3923" s="4">
        <v>-0.03</v>
      </c>
      <c r="L3923">
        <v>4.7</v>
      </c>
      <c r="M3923">
        <v>866</v>
      </c>
      <c r="O3923" t="s">
        <v>25</v>
      </c>
      <c r="P3923" t="s">
        <v>253</v>
      </c>
      <c r="Q3923" t="s">
        <v>254</v>
      </c>
    </row>
    <row r="3924" spans="1:17" ht="15.5" x14ac:dyDescent="0.35">
      <c r="A3924"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3924"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3924" t="s">
        <v>3544</v>
      </c>
      <c r="D3924" t="s">
        <v>4896</v>
      </c>
      <c r="E3924" s="3" t="str">
        <f>HYPERLINK("https://www.amazon.com/Multi-Bit-Screwdriver-Klein-Tools-32562/dp/B007SF5DNE/ref=sr_1_1?keywords=Klein+Tools+32562+Multi-Bit+Screwdriver+%2F+Nut+Driver%2C+6-in-1%2C+Stubby%2C+Ph%2C+Sl%2C+Sq+Bits&amp;qid=1695173934&amp;sr=8-1", "https://www.amazon.com/Multi-Bit-Screwdriver-Klein-Tools-32562/dp/B007SF5DNE/ref=sr_1_1?keywords=Klein+Tools+32562+Multi-Bit+Screwdriver+%2F+Nut+Driver%2C+6-in-1%2C+Stubby%2C+Ph%2C+Sl%2C+Sq+Bits&amp;qid=1695173934&amp;sr=8-1")</f>
        <v>https://www.amazon.com/Multi-Bit-Screwdriver-Klein-Tools-32562/dp/B007SF5DNE/ref=sr_1_1?keywords=Klein+Tools+32562+Multi-Bit+Screwdriver+%2F+Nut+Driver%2C+6-in-1%2C+Stubby%2C+Ph%2C+Sl%2C+Sq+Bits&amp;qid=1695173934&amp;sr=8-1</v>
      </c>
      <c r="F3924" t="s">
        <v>4897</v>
      </c>
      <c r="G3924" t="e">
        <f ca="1">_xludf.IMAGE("https://edmondsonsupply.com/cdn/shop/products/32562.jpg?v=1587145424")</f>
        <v>#NAME?</v>
      </c>
      <c r="H3924" t="e">
        <f ca="1">_xludf.IMAGE("https://m.media-amazon.com/images/I/515fclR4vsL._AC_UL320_.jpg")</f>
        <v>#NAME?</v>
      </c>
      <c r="I3924" t="s">
        <v>834</v>
      </c>
      <c r="J3924">
        <v>12.6</v>
      </c>
      <c r="K3924" s="4">
        <v>-0.03</v>
      </c>
      <c r="L3924">
        <v>4.7</v>
      </c>
      <c r="M3924">
        <v>481</v>
      </c>
      <c r="O3924" t="s">
        <v>25</v>
      </c>
      <c r="P3924" t="s">
        <v>3547</v>
      </c>
      <c r="Q3924" t="s">
        <v>3548</v>
      </c>
    </row>
    <row r="3925" spans="1:17" ht="15.5" x14ac:dyDescent="0.35">
      <c r="A3925" s="3" t="str">
        <f>HYPERLINK("https://edmondsonsupply.com/collections/electricians-tools/products/klein-tools-d502-6-pump-pliers-6-inch", "https://edmondsonsupply.com/collections/electricians-tools/products/klein-tools-d502-6-pump-pliers-6-inch")</f>
        <v>https://edmondsonsupply.com/collections/electricians-tools/products/klein-tools-d502-6-pump-pliers-6-inch</v>
      </c>
      <c r="B3925" s="3" t="str">
        <f>HYPERLINK("https://edmondsonsupply.com/products/klein-tools-d502-6-pump-pliers-6-inch", "https://edmondsonsupply.com/products/klein-tools-d502-6-pump-pliers-6-inch")</f>
        <v>https://edmondsonsupply.com/products/klein-tools-d502-6-pump-pliers-6-inch</v>
      </c>
      <c r="C3925" t="s">
        <v>3182</v>
      </c>
      <c r="D3925" t="s">
        <v>4898</v>
      </c>
      <c r="E3925" s="3" t="str">
        <f>HYPERLINK("https://www.amazon.com/Pliers-6-Inch-Klein-Tools-D502-6/dp/B0002RI9UY/ref=sr_1_1?keywords=Klein+Tools+D502-6+Pump+Pliers%2C+6-Inch&amp;qid=1695173894&amp;sr=8-1", "https://www.amazon.com/Pliers-6-Inch-Klein-Tools-D502-6/dp/B0002RI9UY/ref=sr_1_1?keywords=Klein+Tools+D502-6+Pump+Pliers%2C+6-Inch&amp;qid=1695173894&amp;sr=8-1")</f>
        <v>https://www.amazon.com/Pliers-6-Inch-Klein-Tools-D502-6/dp/B0002RI9UY/ref=sr_1_1?keywords=Klein+Tools+D502-6+Pump+Pliers%2C+6-Inch&amp;qid=1695173894&amp;sr=8-1</v>
      </c>
      <c r="F3925" t="s">
        <v>4899</v>
      </c>
      <c r="G3925" t="e">
        <f ca="1">_xludf.IMAGE("https://edmondsonsupply.com/cdn/shop/products/d5026.jpg?v=1587150839")</f>
        <v>#NAME?</v>
      </c>
      <c r="H3925" t="e">
        <f ca="1">_xludf.IMAGE("https://m.media-amazon.com/images/I/41XntVeFqRL._AC_UL320_.jpg")</f>
        <v>#NAME?</v>
      </c>
      <c r="I3925" t="s">
        <v>3185</v>
      </c>
      <c r="J3925">
        <v>20.34</v>
      </c>
      <c r="K3925" s="4">
        <v>-3.1E-2</v>
      </c>
      <c r="L3925">
        <v>4.7</v>
      </c>
      <c r="M3925">
        <v>170</v>
      </c>
      <c r="O3925" t="s">
        <v>25</v>
      </c>
      <c r="P3925" t="s">
        <v>3186</v>
      </c>
      <c r="Q3925" t="s">
        <v>3187</v>
      </c>
    </row>
    <row r="3926" spans="1:17" ht="15.5" x14ac:dyDescent="0.35">
      <c r="A3926" s="3" t="str">
        <f>HYPERLINK("https://edmondsonsupply.com/collections/electricians-tools/products/klein-tools-44133-klein-kurve%C2%AE-retractable-utility-knife", "https://edmondsonsupply.com/collections/electricians-tools/products/klein-tools-44133-klein-kurve%C2%AE-retractable-utility-knife")</f>
        <v>https://edmondsonsupply.com/collections/electricians-tools/products/klein-tools-44133-klein-kurve%C2%AE-retractable-utility-knife</v>
      </c>
      <c r="B3926" s="3" t="str">
        <f>HYPERLINK("https://edmondsonsupply.com/products/klein-tools-44133-klein-kurve%c2%ae-retractable-utility-knife", "https://edmondsonsupply.com/products/klein-tools-44133-klein-kurve%c2%ae-retractable-utility-knife")</f>
        <v>https://edmondsonsupply.com/products/klein-tools-44133-klein-kurve%c2%ae-retractable-utility-knife</v>
      </c>
      <c r="C3926" t="s">
        <v>4905</v>
      </c>
      <c r="D3926" t="s">
        <v>4906</v>
      </c>
      <c r="E3926" s="3" t="str">
        <f>HYPERLINK("https://www.amazon.com/Retractable-Klein-Kurve-Klein-Tools-44133/dp/B00A9GGHHK/ref=sr_1_1?keywords=Klein+Tools+44133+Klein-Kurve%C2%AE+Retractable+Utility+Knife&amp;qid=1695173956&amp;sr=8-1", "https://www.amazon.com/Retractable-Klein-Kurve-Klein-Tools-44133/dp/B00A9GGHHK/ref=sr_1_1?keywords=Klein+Tools+44133+Klein-Kurve%C2%AE+Retractable+Utility+Knife&amp;qid=1695173956&amp;sr=8-1")</f>
        <v>https://www.amazon.com/Retractable-Klein-Kurve-Klein-Tools-44133/dp/B00A9GGHHK/ref=sr_1_1?keywords=Klein+Tools+44133+Klein-Kurve%C2%AE+Retractable+Utility+Knife&amp;qid=1695173956&amp;sr=8-1</v>
      </c>
      <c r="F3926" t="s">
        <v>4907</v>
      </c>
      <c r="G3926" t="e">
        <f ca="1">_xludf.IMAGE("https://edmondsonsupply.com/cdn/shop/products/44133.jpg?v=1665689658")</f>
        <v>#NAME?</v>
      </c>
      <c r="H3926" t="e">
        <f ca="1">_xludf.IMAGE("https://m.media-amazon.com/images/I/41d7hgswvEL._AC_UL320_.jpg")</f>
        <v>#NAME?</v>
      </c>
      <c r="I3926" t="s">
        <v>252</v>
      </c>
      <c r="J3926">
        <v>15.49</v>
      </c>
      <c r="K3926" s="4">
        <v>-3.1300000000000001E-2</v>
      </c>
      <c r="L3926">
        <v>4.5999999999999996</v>
      </c>
      <c r="M3926">
        <v>3083</v>
      </c>
      <c r="O3926" t="s">
        <v>25</v>
      </c>
      <c r="P3926" t="s">
        <v>4908</v>
      </c>
      <c r="Q3926" t="s">
        <v>4909</v>
      </c>
    </row>
    <row r="3927" spans="1:17" ht="15.5" x14ac:dyDescent="0.35">
      <c r="A3927"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3927" s="3" t="str">
        <f>HYPERLINK("https://edmondsonsupply.com/products/milwaukee-2912-22-m18-fuel%e2%84%a2-1-sds-plus-rotary-hammer-kit", "https://edmondsonsupply.com/products/milwaukee-2912-22-m18-fuel%e2%84%a2-1-sds-plus-rotary-hammer-kit")</f>
        <v>https://edmondsonsupply.com/products/milwaukee-2912-22-m18-fuel%e2%84%a2-1-sds-plus-rotary-hammer-kit</v>
      </c>
      <c r="C3927" t="s">
        <v>3848</v>
      </c>
      <c r="D3927" t="s">
        <v>4910</v>
      </c>
      <c r="E3927" s="3" t="str">
        <f>HYPERLINK("https://www.amazon.com/Milwaukee-2712-22-FUEL%C3%A2-Rotary-Hammer/dp/B0742N8XCD/ref=sr_1_5?keywords=Milwaukee+2912-22+M18+FUEL%E2%84%A2+1%22+SDS+Plus+Rotary+Hammer+Kit&amp;qid=1695174040&amp;sr=8-5", "https://www.amazon.com/Milwaukee-2712-22-FUEL%C3%A2-Rotary-Hammer/dp/B0742N8XCD/ref=sr_1_5?keywords=Milwaukee+2912-22+M18+FUEL%E2%84%A2+1%22+SDS+Plus+Rotary+Hammer+Kit&amp;qid=1695174040&amp;sr=8-5")</f>
        <v>https://www.amazon.com/Milwaukee-2712-22-FUEL%C3%A2-Rotary-Hammer/dp/B0742N8XCD/ref=sr_1_5?keywords=Milwaukee+2912-22+M18+FUEL%E2%84%A2+1%22+SDS+Plus+Rotary+Hammer+Kit&amp;qid=1695174040&amp;sr=8-5</v>
      </c>
      <c r="F3927" t="s">
        <v>4911</v>
      </c>
      <c r="G3927" t="e">
        <f ca="1">_xludf.IMAGE("https://edmondsonsupply.com/cdn/shop/files/2912-20_1.webp?v=1686934956")</f>
        <v>#NAME?</v>
      </c>
      <c r="H3927" t="e">
        <f ca="1">_xludf.IMAGE("https://m.media-amazon.com/images/I/51au+ZOY1OL._AC_UL320_.jpg")</f>
        <v>#NAME?</v>
      </c>
      <c r="I3927" t="s">
        <v>3851</v>
      </c>
      <c r="J3927">
        <v>579.9</v>
      </c>
      <c r="K3927" s="4">
        <v>-3.1899999999999998E-2</v>
      </c>
      <c r="L3927">
        <v>4.4000000000000004</v>
      </c>
      <c r="M3927">
        <v>8</v>
      </c>
      <c r="O3927" t="s">
        <v>25</v>
      </c>
      <c r="P3927" t="s">
        <v>3852</v>
      </c>
      <c r="Q3927" t="s">
        <v>3853</v>
      </c>
    </row>
    <row r="3928" spans="1:17" ht="15.5" x14ac:dyDescent="0.35">
      <c r="A3928" s="3" t="str">
        <f>HYPERLINK("https://edmondsonsupply.com/collections/electricians-tools/products/klein-tools-jth4e12-7-32-inch-hex-key-journeyman%E2%84%A2-t-handle-4-inch", "https://edmondsonsupply.com/collections/electricians-tools/products/klein-tools-jth4e12-7-32-inch-hex-key-journeyman%E2%84%A2-t-handle-4-inch")</f>
        <v>https://edmondsonsupply.com/collections/electricians-tools/products/klein-tools-jth4e12-7-32-inch-hex-key-journeyman%E2%84%A2-t-handle-4-inch</v>
      </c>
      <c r="B3928" s="3" t="str">
        <f>HYPERLINK("https://edmondsonsupply.com/products/klein-tools-jth4e12-7-32-inch-hex-key-journeyman%e2%84%a2-t-handle-4-inch", "https://edmondsonsupply.com/products/klein-tools-jth4e12-7-32-inch-hex-key-journeyman%e2%84%a2-t-handle-4-inch")</f>
        <v>https://edmondsonsupply.com/products/klein-tools-jth4e12-7-32-inch-hex-key-journeyman%e2%84%a2-t-handle-4-inch</v>
      </c>
      <c r="C3928" t="s">
        <v>8347</v>
      </c>
      <c r="D3928" t="s">
        <v>8348</v>
      </c>
      <c r="E3928" s="3" t="str">
        <f>HYPERLINK("https://www.amazon.com/Journeyman-T-Handle-Klein-Tools-JTH4E12/dp/B004ITSDTE/ref=sr_1_1?keywords=Klein+Tools+JTH4E12+7%2F32-Inch+Hex+Key%2C+Journeyman%E2%84%A2+T-Handle%2C+4-Inch&amp;qid=1695174172&amp;sr=8-1", "https://www.amazon.com/Journeyman-T-Handle-Klein-Tools-JTH4E12/dp/B004ITSDTE/ref=sr_1_1?keywords=Klein+Tools+JTH4E12+7%2F32-Inch+Hex+Key%2C+Journeyman%E2%84%A2+T-Handle%2C+4-Inch&amp;qid=1695174172&amp;sr=8-1")</f>
        <v>https://www.amazon.com/Journeyman-T-Handle-Klein-Tools-JTH4E12/dp/B004ITSDTE/ref=sr_1_1?keywords=Klein+Tools+JTH4E12+7%2F32-Inch+Hex+Key%2C+Journeyman%E2%84%A2+T-Handle%2C+4-Inch&amp;qid=1695174172&amp;sr=8-1</v>
      </c>
      <c r="F3928" t="s">
        <v>8349</v>
      </c>
      <c r="G3928" t="e">
        <f ca="1">_xludf.IMAGE("https://edmondsonsupply.com/cdn/shop/products/jth4e12.jpg?v=1660516887")</f>
        <v>#NAME?</v>
      </c>
      <c r="H3928" t="e">
        <f ca="1">_xludf.IMAGE("https://m.media-amazon.com/images/I/41u3rsS18AL._AC_UL320_.jpg")</f>
        <v>#NAME?</v>
      </c>
      <c r="I3928" t="s">
        <v>2388</v>
      </c>
      <c r="J3928">
        <v>4.83</v>
      </c>
      <c r="K3928" s="4">
        <v>-3.2099999999999997E-2</v>
      </c>
      <c r="L3928">
        <v>4.8</v>
      </c>
      <c r="M3928">
        <v>2479</v>
      </c>
      <c r="O3928" t="s">
        <v>25</v>
      </c>
      <c r="P3928" t="s">
        <v>2392</v>
      </c>
      <c r="Q3928" t="s">
        <v>8350</v>
      </c>
    </row>
    <row r="3929" spans="1:17" ht="15.5" x14ac:dyDescent="0.35">
      <c r="A3929"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3929" s="3" t="str">
        <f>HYPERLINK("https://edmondsonsupply.com/products/fluke-st120-gfci-socket-tester", "https://edmondsonsupply.com/products/fluke-st120-gfci-socket-tester")</f>
        <v>https://edmondsonsupply.com/products/fluke-st120-gfci-socket-tester</v>
      </c>
      <c r="C3929" t="s">
        <v>8351</v>
      </c>
      <c r="D3929" t="s">
        <v>8352</v>
      </c>
      <c r="E3929" s="3" t="str">
        <f>HYPERLINK("https://www.amazon.com/Fluke-Socket-Tester-Without-Beeper/dp/B0B3VC2W6X/ref=sr_1_2?keywords=Fluke+ST120+Socket+Tester+with+GFCI&amp;qid=1695174173&amp;sr=8-2", "https://www.amazon.com/Fluke-Socket-Tester-Without-Beeper/dp/B0B3VC2W6X/ref=sr_1_2?keywords=Fluke+ST120+Socket+Tester+with+GFCI&amp;qid=1695174173&amp;sr=8-2")</f>
        <v>https://www.amazon.com/Fluke-Socket-Tester-Without-Beeper/dp/B0B3VC2W6X/ref=sr_1_2?keywords=Fluke+ST120+Socket+Tester+with+GFCI&amp;qid=1695174173&amp;sr=8-2</v>
      </c>
      <c r="F3929" t="s">
        <v>8353</v>
      </c>
      <c r="G3929" t="e">
        <f ca="1">_xludf.IMAGE("https://edmondsonsupply.com/cdn/shop/products/F-st120_01a_w.webp?v=1662582102")</f>
        <v>#NAME?</v>
      </c>
      <c r="H3929" t="e">
        <f ca="1">_xludf.IMAGE("https://m.media-amazon.com/images/I/81hERZs6wNL._AC_UL320_.jpg")</f>
        <v>#NAME?</v>
      </c>
      <c r="I3929" t="s">
        <v>4229</v>
      </c>
      <c r="J3929">
        <v>14.98</v>
      </c>
      <c r="K3929" s="4">
        <v>-3.2899999999999999E-2</v>
      </c>
      <c r="L3929">
        <v>4.8</v>
      </c>
      <c r="M3929">
        <v>116</v>
      </c>
      <c r="O3929" t="s">
        <v>25</v>
      </c>
      <c r="P3929" t="s">
        <v>866</v>
      </c>
      <c r="Q3929" t="s">
        <v>8354</v>
      </c>
    </row>
    <row r="3930" spans="1:17" ht="15.5" x14ac:dyDescent="0.35">
      <c r="A3930"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3930" s="3" t="str">
        <f>HYPERLINK("https://edmondsonsupply.com/products/fluke-st120-gfci-socket-tester", "https://edmondsonsupply.com/products/fluke-st120-gfci-socket-tester")</f>
        <v>https://edmondsonsupply.com/products/fluke-st120-gfci-socket-tester</v>
      </c>
      <c r="C3930" t="s">
        <v>8351</v>
      </c>
      <c r="D3930" t="s">
        <v>8355</v>
      </c>
      <c r="E3930" s="3" t="str">
        <f>HYPERLINK("https://www.amazon.com/Fluke-ST120-Socket-Tester-Audible/dp/B0B3VCZ4XK/ref=sr_1_1?keywords=Fluke+ST120+Socket+Tester+with+GFCI&amp;qid=1695174173&amp;sr=8-1", "https://www.amazon.com/Fluke-ST120-Socket-Tester-Audible/dp/B0B3VCZ4XK/ref=sr_1_1?keywords=Fluke+ST120+Socket+Tester+with+GFCI&amp;qid=1695174173&amp;sr=8-1")</f>
        <v>https://www.amazon.com/Fluke-ST120-Socket-Tester-Audible/dp/B0B3VCZ4XK/ref=sr_1_1?keywords=Fluke+ST120+Socket+Tester+with+GFCI&amp;qid=1695174173&amp;sr=8-1</v>
      </c>
      <c r="F3930" t="s">
        <v>8356</v>
      </c>
      <c r="G3930" t="e">
        <f ca="1">_xludf.IMAGE("https://edmondsonsupply.com/cdn/shop/products/F-st120_01a_w.webp?v=1662582102")</f>
        <v>#NAME?</v>
      </c>
      <c r="H3930" t="e">
        <f ca="1">_xludf.IMAGE("https://m.media-amazon.com/images/I/816n049-GKL._AC_UL320_.jpg")</f>
        <v>#NAME?</v>
      </c>
      <c r="I3930" t="s">
        <v>4229</v>
      </c>
      <c r="J3930">
        <v>14.98</v>
      </c>
      <c r="K3930" s="4">
        <v>-3.2899999999999999E-2</v>
      </c>
      <c r="L3930">
        <v>4.8</v>
      </c>
      <c r="M3930">
        <v>641</v>
      </c>
      <c r="O3930" t="s">
        <v>25</v>
      </c>
      <c r="P3930" t="s">
        <v>866</v>
      </c>
      <c r="Q3930" t="s">
        <v>8354</v>
      </c>
    </row>
    <row r="3931" spans="1:17" ht="15.5" x14ac:dyDescent="0.35">
      <c r="A3931"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3931"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3931" t="s">
        <v>7296</v>
      </c>
      <c r="D3931" t="s">
        <v>1479</v>
      </c>
      <c r="E3931" s="3" t="str">
        <f>HYPERLINK("https://www.amazon.com/Driver-6-Inch-Klein-Tools-647/dp/B0014KRVXO/ref=sr_1_3?keywords=Klein+Tools+631+Nut+Driver+Set%2C+3-Inch+Shafts%2C+Cushion+Grip%2C+7-Piece&amp;qid=1695174239&amp;sr=8-3", "https://www.amazon.com/Driver-6-Inch-Klein-Tools-647/dp/B0014KRVXO/ref=sr_1_3?keywords=Klein+Tools+631+Nut+Driver+Set%2C+3-Inch+Shafts%2C+Cushion+Grip%2C+7-Piece&amp;qid=1695174239&amp;sr=8-3")</f>
        <v>https://www.amazon.com/Driver-6-Inch-Klein-Tools-647/dp/B0014KRVXO/ref=sr_1_3?keywords=Klein+Tools+631+Nut+Driver+Set%2C+3-Inch+Shafts%2C+Cushion+Grip%2C+7-Piece&amp;qid=1695174239&amp;sr=8-3</v>
      </c>
      <c r="F3931" t="s">
        <v>1480</v>
      </c>
      <c r="G3931" t="e">
        <f ca="1">_xludf.IMAGE("https://edmondsonsupply.com/cdn/shop/products/631.jpg?v=1632441079")</f>
        <v>#NAME?</v>
      </c>
      <c r="H3931" t="e">
        <f ca="1">_xludf.IMAGE("https://m.media-amazon.com/images/I/51usUk-EpGL._AC_UL320_.jpg")</f>
        <v>#NAME?</v>
      </c>
      <c r="I3931" t="s">
        <v>905</v>
      </c>
      <c r="J3931">
        <v>57.99</v>
      </c>
      <c r="K3931" s="4">
        <v>-3.3300000000000003E-2</v>
      </c>
      <c r="L3931">
        <v>4.8</v>
      </c>
      <c r="M3931">
        <v>735</v>
      </c>
      <c r="O3931" t="s">
        <v>25</v>
      </c>
      <c r="P3931" t="s">
        <v>7297</v>
      </c>
      <c r="Q3931" t="s">
        <v>7298</v>
      </c>
    </row>
    <row r="3932" spans="1:17" ht="15.5" x14ac:dyDescent="0.35">
      <c r="A3932" s="3" t="str">
        <f>HYPERLINK("https://edmondsonsupply.com/collections/electricians-tools/products/klein-tools-88912-pvc-and-multilayer-tubing-cutter", "https://edmondsonsupply.com/collections/electricians-tools/products/klein-tools-88912-pvc-and-multilayer-tubing-cutter")</f>
        <v>https://edmondsonsupply.com/collections/electricians-tools/products/klein-tools-88912-pvc-and-multilayer-tubing-cutter</v>
      </c>
      <c r="B3932" s="3" t="str">
        <f>HYPERLINK("https://edmondsonsupply.com/products/klein-tools-88912-pvc-and-multilayer-tubing-cutter", "https://edmondsonsupply.com/products/klein-tools-88912-pvc-and-multilayer-tubing-cutter")</f>
        <v>https://edmondsonsupply.com/products/klein-tools-88912-pvc-and-multilayer-tubing-cutter</v>
      </c>
      <c r="C3932" t="s">
        <v>8357</v>
      </c>
      <c r="D3932" t="s">
        <v>8357</v>
      </c>
      <c r="E3932" s="3" t="str">
        <f>HYPERLINK("https://www.amazon.com/Multilayer-Tubing-Klein-Tools-88912/dp/B0778QB69D/ref=sr_1_1?keywords=Klein+Tools+88912+PVC+and+Multilayer+Tubing+Cutter&amp;qid=1695174265&amp;sr=8-1", "https://www.amazon.com/Multilayer-Tubing-Klein-Tools-88912/dp/B0778QB69D/ref=sr_1_1?keywords=Klein+Tools+88912+PVC+and+Multilayer+Tubing+Cutter&amp;qid=1695174265&amp;sr=8-1")</f>
        <v>https://www.amazon.com/Multilayer-Tubing-Klein-Tools-88912/dp/B0778QB69D/ref=sr_1_1?keywords=Klein+Tools+88912+PVC+and+Multilayer+Tubing+Cutter&amp;qid=1695174265&amp;sr=8-1</v>
      </c>
      <c r="F3932" t="s">
        <v>8358</v>
      </c>
      <c r="G3932" t="e">
        <f ca="1">_xludf.IMAGE("https://edmondsonsupply.com/cdn/shop/products/88912.jpg?v=1633031020")</f>
        <v>#NAME?</v>
      </c>
      <c r="H3932" t="e">
        <f ca="1">_xludf.IMAGE("https://m.media-amazon.com/images/I/51pk04P2QdL._AC_UL320_.jpg")</f>
        <v>#NAME?</v>
      </c>
      <c r="I3932" t="s">
        <v>946</v>
      </c>
      <c r="J3932">
        <v>43.49</v>
      </c>
      <c r="K3932" s="4">
        <v>-3.3300000000000003E-2</v>
      </c>
      <c r="L3932">
        <v>4.2</v>
      </c>
      <c r="M3932">
        <v>39</v>
      </c>
      <c r="O3932" t="s">
        <v>25</v>
      </c>
      <c r="P3932" t="s">
        <v>8359</v>
      </c>
      <c r="Q3932" t="s">
        <v>8360</v>
      </c>
    </row>
    <row r="3933" spans="1:17" ht="15.5" x14ac:dyDescent="0.35">
      <c r="A3933"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3933"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3933" t="s">
        <v>1566</v>
      </c>
      <c r="D3933" t="s">
        <v>4912</v>
      </c>
      <c r="E3933" s="3" t="str">
        <f>HYPERLINK("https://www.amazon.com/Klein-Tools-NCVT2PKIT-Non-Contact-Application/dp/B08FPHS6HL/ref=sr_1_4?keywords=Klein+Tools+NCVT-2PKIT+Dual+Range+Non-Contact+Voltage+Tester+with+Receptacle+Tester&amp;qid=1695173953&amp;sr=8-4", "https://www.amazon.com/Klein-Tools-NCVT2PKIT-Non-Contact-Application/dp/B08FPHS6HL/ref=sr_1_4?keywords=Klein+Tools+NCVT-2PKIT+Dual+Range+Non-Contact+Voltage+Tester+with+Receptacle+Tester&amp;qid=1695173953&amp;sr=8-4")</f>
        <v>https://www.amazon.com/Klein-Tools-NCVT2PKIT-Non-Contact-Application/dp/B08FPHS6HL/ref=sr_1_4?keywords=Klein+Tools+NCVT-2PKIT+Dual+Range+Non-Contact+Voltage+Tester+with+Receptacle+Tester&amp;qid=1695173953&amp;sr=8-4</v>
      </c>
      <c r="F3933" t="s">
        <v>4913</v>
      </c>
      <c r="G3933" t="e">
        <f ca="1">_xludf.IMAGE("https://edmondsonsupply.com/cdn/shop/products/ncvt2pkit.jpg?v=1633030827")</f>
        <v>#NAME?</v>
      </c>
      <c r="H3933" t="e">
        <f ca="1">_xludf.IMAGE("https://m.media-amazon.com/images/I/511RscwJPxL._AC_UL320_.jpg")</f>
        <v>#NAME?</v>
      </c>
      <c r="I3933" t="s">
        <v>26</v>
      </c>
      <c r="J3933">
        <v>28.99</v>
      </c>
      <c r="K3933" s="4">
        <v>-3.3300000000000003E-2</v>
      </c>
      <c r="L3933">
        <v>4.8</v>
      </c>
      <c r="M3933">
        <v>3262</v>
      </c>
      <c r="O3933" t="s">
        <v>25</v>
      </c>
      <c r="P3933" t="s">
        <v>1569</v>
      </c>
      <c r="Q3933" t="s">
        <v>1570</v>
      </c>
    </row>
    <row r="3934" spans="1:17" ht="15.5" x14ac:dyDescent="0.35">
      <c r="A3934" s="3" t="str">
        <f>HYPERLINK("https://edmondsonsupply.com/collections/electricians-tools/products/milwaukee-2863-22r-m18-fuel%E2%84%A2-w-one-key%E2%84%A2-high-torque-impact-wrench-1-2-friction-ring-kit", "https://edmondsonsupply.com/collections/electricians-tools/products/milwaukee-2863-22r-m18-fuel%E2%84%A2-w-one-key%E2%84%A2-high-torque-impact-wrench-1-2-friction-ring-kit")</f>
        <v>https://edmondsonsupply.com/collections/electricians-tools/products/milwaukee-2863-22r-m18-fuel%E2%84%A2-w-one-key%E2%84%A2-high-torque-impact-wrench-1-2-friction-ring-kit</v>
      </c>
      <c r="B3934" s="3" t="str">
        <f>HYPERLINK("https://edmondsonsupply.com/products/milwaukee-2863-22r-m18-fuel%e2%84%a2-w-one-key%e2%84%a2-high-torque-impact-wrench-1-2-friction-ring-kit", "https://edmondsonsupply.com/products/milwaukee-2863-22r-m18-fuel%e2%84%a2-w-one-key%e2%84%a2-high-torque-impact-wrench-1-2-friction-ring-kit")</f>
        <v>https://edmondsonsupply.com/products/milwaukee-2863-22r-m18-fuel%e2%84%a2-w-one-key%e2%84%a2-high-torque-impact-wrench-1-2-friction-ring-kit</v>
      </c>
      <c r="C3934" t="s">
        <v>8361</v>
      </c>
      <c r="D3934" t="s">
        <v>7524</v>
      </c>
      <c r="E3934" s="3" t="str">
        <f>HYPERLINK("https://www.amazon.com/Milwaukee-ONE-KEY-Torque-Impact-Friction/dp/B08DTMV8DQ/ref=sr_1_1?keywords=Milwaukee+2863-22R+M18+FUEL%E2%84%A2+w%2F+ONE-KEY%E2%84%A2+High+Torque+Impact+Wrench+1%2F2%22+Friction+Ring+Kit&amp;qid=1695174108&amp;sr=8-1", "https://www.amazon.com/Milwaukee-ONE-KEY-Torque-Impact-Friction/dp/B08DTMV8DQ/ref=sr_1_1?keywords=Milwaukee+2863-22R+M18+FUEL%E2%84%A2+w%2F+ONE-KEY%E2%84%A2+High+Torque+Impact+Wrench+1%2F2%22+Friction+Ring+Kit&amp;qid=1695174108&amp;sr=8-1")</f>
        <v>https://www.amazon.com/Milwaukee-ONE-KEY-Torque-Impact-Friction/dp/B08DTMV8DQ/ref=sr_1_1?keywords=Milwaukee+2863-22R+M18+FUEL%E2%84%A2+w%2F+ONE-KEY%E2%84%A2+High+Torque+Impact+Wrench+1%2F2%22+Friction+Ring+Kit&amp;qid=1695174108&amp;sr=8-1</v>
      </c>
      <c r="F3934" t="s">
        <v>7525</v>
      </c>
      <c r="G3934" t="e">
        <f ca="1">_xludf.IMAGE("https://edmondsonsupply.com/cdn/shop/products/2863-22R_Kit_102.png?v=1671644124")</f>
        <v>#NAME?</v>
      </c>
      <c r="H3934" t="e">
        <f ca="1">_xludf.IMAGE("https://m.media-amazon.com/images/I/41bfbogzulL._AC_UL320_.jpg")</f>
        <v>#NAME?</v>
      </c>
      <c r="I3934" t="s">
        <v>8362</v>
      </c>
      <c r="J3934">
        <v>549.9</v>
      </c>
      <c r="K3934" s="4">
        <v>-3.3599999999999998E-2</v>
      </c>
      <c r="L3934">
        <v>3.6</v>
      </c>
      <c r="M3934">
        <v>2</v>
      </c>
      <c r="O3934" t="s">
        <v>25</v>
      </c>
      <c r="P3934" t="s">
        <v>8363</v>
      </c>
      <c r="Q3934" t="s">
        <v>8364</v>
      </c>
    </row>
    <row r="3935" spans="1:17" ht="15.5" x14ac:dyDescent="0.35">
      <c r="A3935"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3935"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3935" t="s">
        <v>7170</v>
      </c>
      <c r="D3935" t="s">
        <v>8365</v>
      </c>
      <c r="E3935" s="3" t="str">
        <f>HYPERLINK("https://www.amazon.com/Klein-Tools-Heavy-Duty-Driver-4-Piece/dp/B01D6D08UO/ref=sr_1_1?keywords=Klein+Tools+635-4+Nut+Driver+Set%2C+Magnetic+Nut+Drivers%2C+Heavy+Duty%2C+4-Piece&amp;qid=1695174225&amp;sr=8-1", "https://www.amazon.com/Klein-Tools-Heavy-Duty-Driver-4-Piece/dp/B01D6D08UO/ref=sr_1_1?keywords=Klein+Tools+635-4+Nut+Driver+Set%2C+Magnetic+Nut+Drivers%2C+Heavy+Duty%2C+4-Piece&amp;qid=1695174225&amp;sr=8-1")</f>
        <v>https://www.amazon.com/Klein-Tools-Heavy-Duty-Driver-4-Piece/dp/B01D6D08UO/ref=sr_1_1?keywords=Klein+Tools+635-4+Nut+Driver+Set%2C+Magnetic+Nut+Drivers%2C+Heavy+Duty%2C+4-Piece&amp;qid=1695174225&amp;sr=8-1</v>
      </c>
      <c r="F3935" t="s">
        <v>8366</v>
      </c>
      <c r="G3935" t="e">
        <f ca="1">_xludf.IMAGE("https://edmondsonsupply.com/cdn/shop/products/635-4.jpg?v=1640815398")</f>
        <v>#NAME?</v>
      </c>
      <c r="H3935" t="e">
        <f ca="1">_xludf.IMAGE("https://m.media-amazon.com/images/I/51svRJU945L._AC_UL320_.jpg")</f>
        <v>#NAME?</v>
      </c>
      <c r="I3935" t="s">
        <v>269</v>
      </c>
      <c r="J3935">
        <v>53.13</v>
      </c>
      <c r="K3935" s="4">
        <v>-3.3799999999999997E-2</v>
      </c>
      <c r="L3935">
        <v>4.7</v>
      </c>
      <c r="M3935">
        <v>943</v>
      </c>
      <c r="O3935" t="s">
        <v>25</v>
      </c>
      <c r="P3935" t="s">
        <v>7171</v>
      </c>
      <c r="Q3935" t="s">
        <v>7172</v>
      </c>
    </row>
    <row r="3936" spans="1:17" ht="15.5" x14ac:dyDescent="0.35">
      <c r="A3936"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3936"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3936" t="s">
        <v>1566</v>
      </c>
      <c r="D3936" t="s">
        <v>4914</v>
      </c>
      <c r="E3936" s="3" t="str">
        <f>HYPERLINK("https://www.amazon.com/Klein-Tools-NCVT-2-Standard-Protection/dp/B004FXJOQO/ref=sr_1_2?keywords=Klein+Tools+NCVT-2PKIT+Dual+Range+Non-Contact+Voltage+Tester+with+Receptacle+Tester&amp;qid=1695173953&amp;sr=8-2", "https://www.amazon.com/Klein-Tools-NCVT-2-Standard-Protection/dp/B004FXJOQO/ref=sr_1_2?keywords=Klein+Tools+NCVT-2PKIT+Dual+Range+Non-Contact+Voltage+Tester+with+Receptacle+Tester&amp;qid=1695173953&amp;sr=8-2")</f>
        <v>https://www.amazon.com/Klein-Tools-NCVT-2-Standard-Protection/dp/B004FXJOQO/ref=sr_1_2?keywords=Klein+Tools+NCVT-2PKIT+Dual+Range+Non-Contact+Voltage+Tester+with+Receptacle+Tester&amp;qid=1695173953&amp;sr=8-2</v>
      </c>
      <c r="F3936" t="s">
        <v>4915</v>
      </c>
      <c r="G3936" t="e">
        <f ca="1">_xludf.IMAGE("https://edmondsonsupply.com/cdn/shop/products/ncvt2pkit.jpg?v=1633030827")</f>
        <v>#NAME?</v>
      </c>
      <c r="H3936" t="e">
        <f ca="1">_xludf.IMAGE("https://m.media-amazon.com/images/I/514tywDAdHL._AC_UL320_.jpg")</f>
        <v>#NAME?</v>
      </c>
      <c r="I3936" t="s">
        <v>26</v>
      </c>
      <c r="J3936">
        <v>28.95</v>
      </c>
      <c r="K3936" s="4">
        <v>-3.4700000000000002E-2</v>
      </c>
      <c r="L3936">
        <v>4.5999999999999996</v>
      </c>
      <c r="M3936">
        <v>5762</v>
      </c>
      <c r="O3936" t="s">
        <v>25</v>
      </c>
      <c r="P3936" t="s">
        <v>1569</v>
      </c>
      <c r="Q3936" t="s">
        <v>1570</v>
      </c>
    </row>
    <row r="3937" spans="1:17" ht="15.5" x14ac:dyDescent="0.35">
      <c r="A3937" s="3" t="str">
        <f>HYPERLINK("https://edmondsonsupply.com/collections/electricians-tools/products/klein-tools-56250-wire-marker-book-1-48", "https://edmondsonsupply.com/collections/electricians-tools/products/klein-tools-56250-wire-marker-book-1-48")</f>
        <v>https://edmondsonsupply.com/collections/electricians-tools/products/klein-tools-56250-wire-marker-book-1-48</v>
      </c>
      <c r="B3937" s="3" t="str">
        <f>HYPERLINK("https://edmondsonsupply.com/products/klein-tools-56250-wire-marker-book-1-48", "https://edmondsonsupply.com/products/klein-tools-56250-wire-marker-book-1-48")</f>
        <v>https://edmondsonsupply.com/products/klein-tools-56250-wire-marker-book-1-48</v>
      </c>
      <c r="C3937" t="s">
        <v>8367</v>
      </c>
      <c r="D3937" t="s">
        <v>8368</v>
      </c>
      <c r="E3937" s="3" t="str">
        <f>HYPERLINK("https://www.amazon.com/Wire-Marker-Klein-Tools-56250/dp/B072SVZKQ5/ref=sr_1_1?keywords=Klein+Tools+56250+Wire+Marker+Book%2C+1-48&amp;qid=1695173926&amp;sr=8-1", "https://www.amazon.com/Wire-Marker-Klein-Tools-56250/dp/B072SVZKQ5/ref=sr_1_1?keywords=Klein+Tools+56250+Wire+Marker+Book%2C+1-48&amp;qid=1695173926&amp;sr=8-1")</f>
        <v>https://www.amazon.com/Wire-Marker-Klein-Tools-56250/dp/B072SVZKQ5/ref=sr_1_1?keywords=Klein+Tools+56250+Wire+Marker+Book%2C+1-48&amp;qid=1695173926&amp;sr=8-1</v>
      </c>
      <c r="F3937" t="s">
        <v>8369</v>
      </c>
      <c r="G3937" t="e">
        <f ca="1">_xludf.IMAGE("https://edmondsonsupply.com/cdn/shop/products/56250_b.jpg?v=1667234920")</f>
        <v>#NAME?</v>
      </c>
      <c r="H3937" t="e">
        <f ca="1">_xludf.IMAGE("https://m.media-amazon.com/images/I/61XBNJv45OL._AC_UL320_.jpg")</f>
        <v>#NAME?</v>
      </c>
      <c r="I3937" t="s">
        <v>8370</v>
      </c>
      <c r="J3937">
        <v>13.48</v>
      </c>
      <c r="K3937" s="4">
        <v>-3.5099999999999999E-2</v>
      </c>
      <c r="L3937">
        <v>4.7</v>
      </c>
      <c r="M3937">
        <v>1057</v>
      </c>
      <c r="O3937" t="s">
        <v>25</v>
      </c>
      <c r="P3937" t="s">
        <v>4772</v>
      </c>
      <c r="Q3937" t="s">
        <v>8371</v>
      </c>
    </row>
    <row r="3938" spans="1:17" ht="15.5" x14ac:dyDescent="0.35">
      <c r="A3938" s="3" t="str">
        <f>HYPERLINK("https://edmondsonsupply.com/collections/electricians-tools/products/klein-tools-70571-grip-it%C2%AE-ball-end-hex-set-5-key-sae-sizes", "https://edmondsonsupply.com/collections/electricians-tools/products/klein-tools-70571-grip-it%C2%AE-ball-end-hex-set-5-key-sae-sizes")</f>
        <v>https://edmondsonsupply.com/collections/electricians-tools/products/klein-tools-70571-grip-it%C2%AE-ball-end-hex-set-5-key-sae-sizes</v>
      </c>
      <c r="B3938" s="3" t="str">
        <f>HYPERLINK("https://edmondsonsupply.com/products/klein-tools-70571-grip-it%c2%ae-ball-end-hex-set-5-key-sae-sizes", "https://edmondsonsupply.com/products/klein-tools-70571-grip-it%c2%ae-ball-end-hex-set-5-key-sae-sizes")</f>
        <v>https://edmondsonsupply.com/products/klein-tools-70571-grip-it%c2%ae-ball-end-hex-set-5-key-sae-sizes</v>
      </c>
      <c r="C3938" t="s">
        <v>8230</v>
      </c>
      <c r="D3938" t="s">
        <v>7996</v>
      </c>
      <c r="E3938" s="3" t="str">
        <f>HYPERLINK("https://www.amazon.com/Grip-Five-Key-Ball-Hex/dp/B000936R78/ref=sr_1_2?keywords=Klein+Tools+70571+Grip-It%C2%AE+Ball+End+Hex+Set%2C+5-Key%2C+SAE+Sizes&amp;qid=1695174146&amp;sr=8-2", "https://www.amazon.com/Grip-Five-Key-Ball-Hex/dp/B000936R78/ref=sr_1_2?keywords=Klein+Tools+70571+Grip-It%C2%AE+Ball+End+Hex+Set%2C+5-Key%2C+SAE+Sizes&amp;qid=1695174146&amp;sr=8-2")</f>
        <v>https://www.amazon.com/Grip-Five-Key-Ball-Hex/dp/B000936R78/ref=sr_1_2?keywords=Klein+Tools+70571+Grip-It%C2%AE+Ball+End+Hex+Set%2C+5-Key%2C+SAE+Sizes&amp;qid=1695174146&amp;sr=8-2</v>
      </c>
      <c r="F3938" t="s">
        <v>7997</v>
      </c>
      <c r="G3938" t="e">
        <f ca="1">_xludf.IMAGE("https://edmondsonsupply.com/cdn/shop/products/70571.jpg?v=1665688779")</f>
        <v>#NAME?</v>
      </c>
      <c r="H3938" t="e">
        <f ca="1">_xludf.IMAGE("https://m.media-amazon.com/images/I/51dn84Vs5NL._AC_UL320_.jpg")</f>
        <v>#NAME?</v>
      </c>
      <c r="I3938" t="s">
        <v>288</v>
      </c>
      <c r="J3938">
        <v>13.49</v>
      </c>
      <c r="K3938" s="4">
        <v>-3.5700000000000003E-2</v>
      </c>
      <c r="L3938">
        <v>4.9000000000000004</v>
      </c>
      <c r="M3938">
        <v>15</v>
      </c>
      <c r="O3938" t="s">
        <v>25</v>
      </c>
      <c r="P3938" t="s">
        <v>1722</v>
      </c>
      <c r="Q3938" t="s">
        <v>8231</v>
      </c>
    </row>
    <row r="3939" spans="1:17" ht="15.5" x14ac:dyDescent="0.35">
      <c r="A3939" s="3" t="str">
        <f>HYPERLINK("https://edmondsonsupply.com/collections/electricians-tools/products/crescent-lufkin-l1125b-02-1-3-16-x-25-shockforce-nite-eye%E2%84%A2-g1-dual-sided-tape-measure", "https://edmondsonsupply.com/collections/electricians-tools/products/crescent-lufkin-l1125b-02-1-3-16-x-25-shockforce-nite-eye%E2%84%A2-g1-dual-sided-tape-measure")</f>
        <v>https://edmondsonsupply.com/collections/electricians-tools/products/crescent-lufkin-l1125b-02-1-3-16-x-25-shockforce-nite-eye%E2%84%A2-g1-dual-sided-tape-measure</v>
      </c>
      <c r="B3939" s="3" t="str">
        <f>HYPERLINK("https://edmondsonsupply.com/products/crescent-lufkin-l1125b-02-1-3-16-x-25-shockforce-nite-eye%e2%84%a2-g1-dual-sided-tape-measure", "https://edmondsonsupply.com/products/crescent-lufkin-l1125b-02-1-3-16-x-25-shockforce-nite-eye%e2%84%a2-g1-dual-sided-tape-measure")</f>
        <v>https://edmondsonsupply.com/products/crescent-lufkin-l1125b-02-1-3-16-x-25-shockforce-nite-eye%e2%84%a2-g1-dual-sided-tape-measure</v>
      </c>
      <c r="C3939" t="s">
        <v>8372</v>
      </c>
      <c r="D3939" t="s">
        <v>7402</v>
      </c>
      <c r="E3939" s="3" t="str">
        <f>HYPERLINK("https://www.amazon.com/CRESCENT-LUFKIN-Crescent-Lufkin-Shock/dp/B09N3VL34P/ref=sr_1_2?keywords=Crescent+Lufkin+L1125B-02+1-3%2F16%22+x+25%27+Shockforce+Nite+Eye%E2%84%A2+G1+Dual+Sided+Tape+Measure&amp;qid=1695174047&amp;sr=8-2", "https://www.amazon.com/CRESCENT-LUFKIN-Crescent-Lufkin-Shock/dp/B09N3VL34P/ref=sr_1_2?keywords=Crescent+Lufkin+L1125B-02+1-3%2F16%22+x+25%27+Shockforce+Nite+Eye%E2%84%A2+G1+Dual+Sided+Tape+Measure&amp;qid=1695174047&amp;sr=8-2")</f>
        <v>https://www.amazon.com/CRESCENT-LUFKIN-Crescent-Lufkin-Shock/dp/B09N3VL34P/ref=sr_1_2?keywords=Crescent+Lufkin+L1125B-02+1-3%2F16%22+x+25%27+Shockforce+Nite+Eye%E2%84%A2+G1+Dual+Sided+Tape+Measure&amp;qid=1695174047&amp;sr=8-2</v>
      </c>
      <c r="F3939" t="s">
        <v>7403</v>
      </c>
      <c r="G3939" t="e">
        <f ca="1">_xludf.IMAGE("https://edmondsonsupply.com/cdn/shop/products/LFK_L1125B_MAIN.jpg?v=1679579190")</f>
        <v>#NAME?</v>
      </c>
      <c r="H3939" t="e">
        <f ca="1">_xludf.IMAGE("https://m.media-amazon.com/images/I/911pAo7DD4L._AC_UL320_.jpg")</f>
        <v>#NAME?</v>
      </c>
      <c r="I3939" t="s">
        <v>8373</v>
      </c>
      <c r="J3939">
        <v>31.55</v>
      </c>
      <c r="K3939" s="4">
        <v>-3.6600000000000001E-2</v>
      </c>
      <c r="L3939">
        <v>4.4000000000000004</v>
      </c>
      <c r="M3939">
        <v>57</v>
      </c>
      <c r="O3939" t="s">
        <v>25</v>
      </c>
      <c r="P3939" t="s">
        <v>8374</v>
      </c>
      <c r="Q3939" t="s">
        <v>8375</v>
      </c>
    </row>
    <row r="3940" spans="1:17" ht="15.5" x14ac:dyDescent="0.35">
      <c r="A3940" s="3" t="str">
        <f>HYPERLINK("https://edmondsonsupply.com/collections/electricians-tools/products/klein-tools-ktsb01-step-drill-bit-double-fluted-1-1-8-to-1-2-inch", "https://edmondsonsupply.com/collections/electricians-tools/products/klein-tools-ktsb01-step-drill-bit-double-fluted-1-1-8-to-1-2-inch")</f>
        <v>https://edmondsonsupply.com/collections/electricians-tools/products/klein-tools-ktsb01-step-drill-bit-double-fluted-1-1-8-to-1-2-inch</v>
      </c>
      <c r="B3940" s="3" t="str">
        <f>HYPERLINK("https://edmondsonsupply.com/products/klein-tools-ktsb01-step-drill-bit-double-fluted-1-1-8-to-1-2-inch", "https://edmondsonsupply.com/products/klein-tools-ktsb01-step-drill-bit-double-fluted-1-1-8-to-1-2-inch")</f>
        <v>https://edmondsonsupply.com/products/klein-tools-ktsb01-step-drill-bit-double-fluted-1-1-8-to-1-2-inch</v>
      </c>
      <c r="C3940" t="s">
        <v>6266</v>
      </c>
      <c r="D3940" t="s">
        <v>8376</v>
      </c>
      <c r="E3940" s="3" t="str">
        <f>HYPERLINK("https://www.amazon.com/Klein-Tools-KTSB01-Double-Fluted-2-Inch/dp/B014XJGXOA/ref=sr_1_1?keywords=Klein+Tools+KTSB01+Step+Drill+Bit+Double-Fluted+%231%2C+1%2F8+to+1%2F2-Inch&amp;qid=1695174255&amp;sr=8-1", "https://www.amazon.com/Klein-Tools-KTSB01-Double-Fluted-2-Inch/dp/B014XJGXOA/ref=sr_1_1?keywords=Klein+Tools+KTSB01+Step+Drill+Bit+Double-Fluted+%231%2C+1%2F8+to+1%2F2-Inch&amp;qid=1695174255&amp;sr=8-1")</f>
        <v>https://www.amazon.com/Klein-Tools-KTSB01-Double-Fluted-2-Inch/dp/B014XJGXOA/ref=sr_1_1?keywords=Klein+Tools+KTSB01+Step+Drill+Bit+Double-Fluted+%231%2C+1%2F8+to+1%2F2-Inch&amp;qid=1695174255&amp;sr=8-1</v>
      </c>
      <c r="F3940" t="s">
        <v>8377</v>
      </c>
      <c r="G3940" t="e">
        <f ca="1">_xludf.IMAGE("https://edmondsonsupply.com/cdn/shop/products/ktsb01.jpg?v=1633903640")</f>
        <v>#NAME?</v>
      </c>
      <c r="H3940" t="e">
        <f ca="1">_xludf.IMAGE("https://m.media-amazon.com/images/I/417IbPKpdoL._AC_UY218_.jpg")</f>
        <v>#NAME?</v>
      </c>
      <c r="I3940" t="s">
        <v>967</v>
      </c>
      <c r="J3940">
        <v>25.99</v>
      </c>
      <c r="K3940" s="4">
        <v>-3.7100000000000001E-2</v>
      </c>
      <c r="L3940">
        <v>4.7</v>
      </c>
      <c r="M3940">
        <v>1773</v>
      </c>
      <c r="O3940" t="s">
        <v>25</v>
      </c>
      <c r="P3940" t="s">
        <v>6267</v>
      </c>
      <c r="Q3940" t="s">
        <v>6268</v>
      </c>
    </row>
    <row r="3941" spans="1:17" ht="15.5" x14ac:dyDescent="0.35">
      <c r="A3941" s="3" t="str">
        <f>HYPERLINK("https://edmondsonsupply.com/collections/electricians-tools/products/wiha-tools-66992-22-piece-magicring-ball-end-hex-l-key-set-inch-metric", "https://edmondsonsupply.com/collections/electricians-tools/products/wiha-tools-66992-22-piece-magicring-ball-end-hex-l-key-set-inch-metric")</f>
        <v>https://edmondsonsupply.com/collections/electricians-tools/products/wiha-tools-66992-22-piece-magicring-ball-end-hex-l-key-set-inch-metric</v>
      </c>
      <c r="B3941"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3941" t="s">
        <v>4919</v>
      </c>
      <c r="D3941" t="s">
        <v>4920</v>
      </c>
      <c r="E3941" s="3" t="str">
        <f>HYPERLINK("https://www.amazon.com/Wiha-66992-MagicRing-L-Key-Holders/dp/B000LF2LJM/ref=sr_1_1?keywords=Wiha+Tools+66992+22+Piece+MagicRing+Ball+End+Hex+L-Key+Set+-+Inch+-+Metric&amp;qid=1695173977&amp;sr=8-1", "https://www.amazon.com/Wiha-66992-MagicRing-L-Key-Holders/dp/B000LF2LJM/ref=sr_1_1?keywords=Wiha+Tools+66992+22+Piece+MagicRing+Ball+End+Hex+L-Key+Set+-+Inch+-+Metric&amp;qid=1695173977&amp;sr=8-1")</f>
        <v>https://www.amazon.com/Wiha-66992-MagicRing-L-Key-Holders/dp/B000LF2LJM/ref=sr_1_1?keywords=Wiha+Tools+66992+22+Piece+MagicRing+Ball+End+Hex+L-Key+Set+-+Inch+-+Metric&amp;qid=1695173977&amp;sr=8-1</v>
      </c>
      <c r="F3941" t="s">
        <v>4921</v>
      </c>
      <c r="G3941" t="e">
        <f ca="1">_xludf.IMAGE("https://edmondsonsupply.com/cdn/shop/files/29417a271125353d697d01cfdfb24cc6e99901ce_1000x_6829985f-7f40-4410-b5be-ba7bc87b2a14.webp?v=1690840271")</f>
        <v>#NAME?</v>
      </c>
      <c r="H3941" t="e">
        <f ca="1">_xludf.IMAGE("https://m.media-amazon.com/images/I/71eB60IkANL._AC_UL320_.jpg")</f>
        <v>#NAME?</v>
      </c>
      <c r="I3941" t="s">
        <v>4922</v>
      </c>
      <c r="J3941">
        <v>81.03</v>
      </c>
      <c r="K3941" s="4">
        <v>-3.7499999999999999E-2</v>
      </c>
      <c r="L3941">
        <v>4.7</v>
      </c>
      <c r="M3941">
        <v>533</v>
      </c>
      <c r="O3941" t="s">
        <v>25</v>
      </c>
      <c r="P3941" t="s">
        <v>4923</v>
      </c>
      <c r="Q3941" t="s">
        <v>4924</v>
      </c>
    </row>
    <row r="3942" spans="1:17" ht="15.5" x14ac:dyDescent="0.35">
      <c r="A3942" s="3" t="str">
        <f>HYPERLINK("https://edmondsonsupply.com/collections/electricians-tools/products/wiha-tools-32637-10-classic-auto-grip-v-jaw-tongue-and-groove-pliers", "https://edmondsonsupply.com/collections/electricians-tools/products/wiha-tools-32637-10-classic-auto-grip-v-jaw-tongue-and-groove-pliers")</f>
        <v>https://edmondsonsupply.com/collections/electricians-tools/products/wiha-tools-32637-10-classic-auto-grip-v-jaw-tongue-and-groove-pliers</v>
      </c>
      <c r="B3942" s="3" t="str">
        <f>HYPERLINK("https://edmondsonsupply.com/products/wiha-tools-32637-10-classic-auto-grip-v-jaw-tongue-and-groove-pliers", "https://edmondsonsupply.com/products/wiha-tools-32637-10-classic-auto-grip-v-jaw-tongue-and-groove-pliers")</f>
        <v>https://edmondsonsupply.com/products/wiha-tools-32637-10-classic-auto-grip-v-jaw-tongue-and-groove-pliers</v>
      </c>
      <c r="C3942" t="s">
        <v>4925</v>
      </c>
      <c r="D3942" t="s">
        <v>4926</v>
      </c>
      <c r="E3942" s="3" t="str">
        <f>HYPERLINK("https://www.amazon.com/Wiha-32637-Soft-Grip-Pliers/dp/B071RC1NQF/ref=sr_1_1?keywords=Wiha+Tools+32637+10%22+Classic+Auto+Grip+V-Jaw+Tongue+and+Groove+Pliers&amp;qid=1695173974&amp;sr=8-1", "https://www.amazon.com/Wiha-32637-Soft-Grip-Pliers/dp/B071RC1NQF/ref=sr_1_1?keywords=Wiha+Tools+32637+10%22+Classic+Auto+Grip+V-Jaw+Tongue+and+Groove+Pliers&amp;qid=1695173974&amp;sr=8-1")</f>
        <v>https://www.amazon.com/Wiha-32637-Soft-Grip-Pliers/dp/B071RC1NQF/ref=sr_1_1?keywords=Wiha+Tools+32637+10%22+Classic+Auto+Grip+V-Jaw+Tongue+and+Groove+Pliers&amp;qid=1695173974&amp;sr=8-1</v>
      </c>
      <c r="F3942" t="s">
        <v>4927</v>
      </c>
      <c r="G3942" t="e">
        <f ca="1">_xludf.IMAGE("https://edmondsonsupply.com/cdn/shop/files/krcvtyutfbaylpzaktgv_1000x_5f7ebac0-73d8-45ce-9b51-48320764c450.webp?v=1690927748")</f>
        <v>#NAME?</v>
      </c>
      <c r="H3942" t="e">
        <f ca="1">_xludf.IMAGE("https://m.media-amazon.com/images/I/51JOKeL4Q+L._AC_UL320_.jpg")</f>
        <v>#NAME?</v>
      </c>
      <c r="I3942" t="s">
        <v>4928</v>
      </c>
      <c r="J3942">
        <v>29.98</v>
      </c>
      <c r="K3942" s="4">
        <v>-3.7600000000000001E-2</v>
      </c>
      <c r="L3942">
        <v>4.4000000000000004</v>
      </c>
      <c r="M3942">
        <v>36</v>
      </c>
      <c r="O3942" t="s">
        <v>25</v>
      </c>
      <c r="P3942" t="s">
        <v>4929</v>
      </c>
      <c r="Q3942" t="s">
        <v>4930</v>
      </c>
    </row>
    <row r="3943" spans="1:17" ht="15.5" x14ac:dyDescent="0.35">
      <c r="A3943" s="3" t="str">
        <f>HYPERLINK("https://edmondsonsupply.com/collections/electricians-tools/products/klein-tools-40230-high-dexterity-touchscreen-gloves-l", "https://edmondsonsupply.com/collections/electricians-tools/products/klein-tools-40230-high-dexterity-touchscreen-gloves-l")</f>
        <v>https://edmondsonsupply.com/collections/electricians-tools/products/klein-tools-40230-high-dexterity-touchscreen-gloves-l</v>
      </c>
      <c r="B3943" s="3" t="str">
        <f>HYPERLINK("https://edmondsonsupply.com/products/klein-tools-40230-high-dexterity-touchscreen-gloves-l", "https://edmondsonsupply.com/products/klein-tools-40230-high-dexterity-touchscreen-gloves-l")</f>
        <v>https://edmondsonsupply.com/products/klein-tools-40230-high-dexterity-touchscreen-gloves-l</v>
      </c>
      <c r="C3943" t="s">
        <v>1244</v>
      </c>
      <c r="D3943" t="s">
        <v>1108</v>
      </c>
      <c r="E3943" s="3" t="str">
        <f>HYPERLINK("https://www.amazon.com/Dexterity-Touchscreen-Klein-Tools-40229/dp/B01M68QAAK/ref=sr_1_2?keywords=Klein+Tools+40230+High+Dexterity+Touchscreen+Gloves%2C+L&amp;qid=1695174306&amp;sr=8-2", "https://www.amazon.com/Dexterity-Touchscreen-Klein-Tools-40229/dp/B01M68QAAK/ref=sr_1_2?keywords=Klein+Tools+40230+High+Dexterity+Touchscreen+Gloves%2C+L&amp;qid=1695174306&amp;sr=8-2")</f>
        <v>https://www.amazon.com/Dexterity-Touchscreen-Klein-Tools-40229/dp/B01M68QAAK/ref=sr_1_2?keywords=Klein+Tools+40230+High+Dexterity+Touchscreen+Gloves%2C+L&amp;qid=1695174306&amp;sr=8-2</v>
      </c>
      <c r="F3943" t="s">
        <v>1109</v>
      </c>
      <c r="G3943" t="e">
        <f ca="1">_xludf.IMAGE("https://edmondsonsupply.com/cdn/shop/products/40229_20313513-1362-4da0-bac4-01d30a71590d.jpg?v=1604003560")</f>
        <v>#NAME?</v>
      </c>
      <c r="H3943" t="e">
        <f ca="1">_xludf.IMAGE("https://m.media-amazon.com/images/I/51mom7WNCOL._AC_UL320_.jpg")</f>
        <v>#NAME?</v>
      </c>
      <c r="I3943" t="s">
        <v>1245</v>
      </c>
      <c r="J3943">
        <v>25.49</v>
      </c>
      <c r="K3943" s="4">
        <v>-3.78E-2</v>
      </c>
      <c r="L3943">
        <v>4.3</v>
      </c>
      <c r="M3943">
        <v>56</v>
      </c>
      <c r="O3943" t="s">
        <v>25</v>
      </c>
      <c r="P3943" t="s">
        <v>1246</v>
      </c>
      <c r="Q3943" t="s">
        <v>1247</v>
      </c>
    </row>
    <row r="3944" spans="1:17" ht="15.5" x14ac:dyDescent="0.35">
      <c r="A3944" s="3" t="str">
        <f>HYPERLINK("https://edmondsonsupply.com/collections/electricians-tools/products/klein-tools-40230-high-dexterity-touchscreen-gloves-l", "https://edmondsonsupply.com/collections/electricians-tools/products/klein-tools-40230-high-dexterity-touchscreen-gloves-l")</f>
        <v>https://edmondsonsupply.com/collections/electricians-tools/products/klein-tools-40230-high-dexterity-touchscreen-gloves-l</v>
      </c>
      <c r="B3944" s="3" t="str">
        <f>HYPERLINK("https://edmondsonsupply.com/products/klein-tools-40230-high-dexterity-touchscreen-gloves-l", "https://edmondsonsupply.com/products/klein-tools-40230-high-dexterity-touchscreen-gloves-l")</f>
        <v>https://edmondsonsupply.com/products/klein-tools-40230-high-dexterity-touchscreen-gloves-l</v>
      </c>
      <c r="C3944" t="s">
        <v>1244</v>
      </c>
      <c r="D3944" t="s">
        <v>1144</v>
      </c>
      <c r="E3944" s="3" t="str">
        <f>HYPERLINK("https://www.amazon.com/Dexterity-Touchscreen-Klein-Tools-40230/dp/B01M68QBRU/ref=sr_1_1?keywords=Klein+Tools+40230+High+Dexterity+Touchscreen+Gloves%2C+L&amp;qid=1695174306&amp;sr=8-1", "https://www.amazon.com/Dexterity-Touchscreen-Klein-Tools-40230/dp/B01M68QBRU/ref=sr_1_1?keywords=Klein+Tools+40230+High+Dexterity+Touchscreen+Gloves%2C+L&amp;qid=1695174306&amp;sr=8-1")</f>
        <v>https://www.amazon.com/Dexterity-Touchscreen-Klein-Tools-40230/dp/B01M68QBRU/ref=sr_1_1?keywords=Klein+Tools+40230+High+Dexterity+Touchscreen+Gloves%2C+L&amp;qid=1695174306&amp;sr=8-1</v>
      </c>
      <c r="F3944" t="s">
        <v>1145</v>
      </c>
      <c r="G3944" t="e">
        <f ca="1">_xludf.IMAGE("https://edmondsonsupply.com/cdn/shop/products/40229_20313513-1362-4da0-bac4-01d30a71590d.jpg?v=1604003560")</f>
        <v>#NAME?</v>
      </c>
      <c r="H3944" t="e">
        <f ca="1">_xludf.IMAGE("https://m.media-amazon.com/images/I/61OBeXb4irL._AC_UL320_.jpg")</f>
        <v>#NAME?</v>
      </c>
      <c r="I3944" t="s">
        <v>1245</v>
      </c>
      <c r="J3944">
        <v>25.49</v>
      </c>
      <c r="K3944" s="4">
        <v>-3.78E-2</v>
      </c>
      <c r="L3944">
        <v>3.9</v>
      </c>
      <c r="M3944">
        <v>72</v>
      </c>
      <c r="O3944" t="s">
        <v>25</v>
      </c>
      <c r="P3944" t="s">
        <v>1246</v>
      </c>
      <c r="Q3944" t="s">
        <v>1247</v>
      </c>
    </row>
    <row r="3945" spans="1:17" ht="15.5" x14ac:dyDescent="0.35">
      <c r="A3945" s="3" t="str">
        <f>HYPERLINK("https://edmondsonsupply.com/collections/electricians-tools/products/klein-tools-56255-wire-markers-household-electric-panel-w-directory", "https://edmondsonsupply.com/collections/electricians-tools/products/klein-tools-56255-wire-markers-household-electric-panel-w-directory")</f>
        <v>https://edmondsonsupply.com/collections/electricians-tools/products/klein-tools-56255-wire-markers-household-electric-panel-w-directory</v>
      </c>
      <c r="B3945" s="3" t="str">
        <f>HYPERLINK("https://edmondsonsupply.com/products/klein-tools-56255-wire-markers-household-electric-panel-w-directory", "https://edmondsonsupply.com/products/klein-tools-56255-wire-markers-household-electric-panel-w-directory")</f>
        <v>https://edmondsonsupply.com/products/klein-tools-56255-wire-markers-household-electric-panel-w-directory</v>
      </c>
      <c r="C3945" t="s">
        <v>7685</v>
      </c>
      <c r="D3945" t="s">
        <v>7685</v>
      </c>
      <c r="E3945" s="3" t="str">
        <f>HYPERLINK("https://www.amazon.com/Markers-Household-Directory-Klein-Tools-56255/dp/B0785PYVXW/ref=sr_1_1?keywords=Klein+Tools+56255+Wire+Markers%2C+Household+Electric+Panel+w%2FDirectory&amp;qid=1695174227&amp;sr=8-1", "https://www.amazon.com/Markers-Household-Directory-Klein-Tools-56255/dp/B0785PYVXW/ref=sr_1_1?keywords=Klein+Tools+56255+Wire+Markers%2C+Household+Electric+Panel+w%2FDirectory&amp;qid=1695174227&amp;sr=8-1")</f>
        <v>https://www.amazon.com/Markers-Household-Directory-Klein-Tools-56255/dp/B0785PYVXW/ref=sr_1_1?keywords=Klein+Tools+56255+Wire+Markers%2C+Household+Electric+Panel+w%2FDirectory&amp;qid=1695174227&amp;sr=8-1</v>
      </c>
      <c r="F3945" t="s">
        <v>8378</v>
      </c>
      <c r="G3945" t="e">
        <f ca="1">_xludf.IMAGE("https://edmondsonsupply.com/cdn/shop/products/56255_b.jpg?v=1641342700")</f>
        <v>#NAME?</v>
      </c>
      <c r="H3945" t="e">
        <f ca="1">_xludf.IMAGE("https://m.media-amazon.com/images/I/61oVTocomEL._AC_UL320_.jpg")</f>
        <v>#NAME?</v>
      </c>
      <c r="I3945" t="s">
        <v>1211</v>
      </c>
      <c r="J3945">
        <v>12.48</v>
      </c>
      <c r="K3945" s="4">
        <v>-3.78E-2</v>
      </c>
      <c r="L3945">
        <v>4.4000000000000004</v>
      </c>
      <c r="M3945">
        <v>978</v>
      </c>
      <c r="O3945" t="s">
        <v>25</v>
      </c>
      <c r="P3945" t="s">
        <v>1549</v>
      </c>
      <c r="Q3945" t="s">
        <v>7688</v>
      </c>
    </row>
    <row r="3946" spans="1:17" ht="15.5" x14ac:dyDescent="0.35">
      <c r="A3946"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3946"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3946" t="s">
        <v>7470</v>
      </c>
      <c r="D3946" t="s">
        <v>8379</v>
      </c>
      <c r="E3946" s="3" t="str">
        <f>HYPERLINK("https://www.amazon.com/Crescent-Lufkin-Command-Control-Engineers/dp/B09PGYRHMW/ref=sr_1_2?keywords=Crescent+Lufkin+L1025C-02+1-3%2F16%22+x+25%27+Command+Control+Series%E2%84%A2+Yellow+Clad+Tape+Measure&amp;qid=1695174033&amp;sr=8-2", "https://www.amazon.com/Crescent-Lufkin-Command-Control-Engineers/dp/B09PGYRHMW/ref=sr_1_2?keywords=Crescent+Lufkin+L1025C-02+1-3%2F16%22+x+25%27+Command+Control+Series%E2%84%A2+Yellow+Clad+Tape+Measure&amp;qid=1695174033&amp;sr=8-2")</f>
        <v>https://www.amazon.com/Crescent-Lufkin-Command-Control-Engineers/dp/B09PGYRHMW/ref=sr_1_2?keywords=Crescent+Lufkin+L1025C-02+1-3%2F16%22+x+25%27+Command+Control+Series%E2%84%A2+Yellow+Clad+Tape+Measure&amp;qid=1695174033&amp;sr=8-2</v>
      </c>
      <c r="F3946" t="s">
        <v>8380</v>
      </c>
      <c r="G3946" t="e">
        <f ca="1">_xludf.IMAGE("https://edmondsonsupply.com/cdn/shop/products/LFK_L1025C_4-SIDES_IMG-MAIN1.jpg?v=1680013140")</f>
        <v>#NAME?</v>
      </c>
      <c r="H3946" t="e">
        <f ca="1">_xludf.IMAGE("https://m.media-amazon.com/images/I/61gZNk4qkWL._AC_UL320_.jpg")</f>
        <v>#NAME?</v>
      </c>
      <c r="I3946" t="s">
        <v>7473</v>
      </c>
      <c r="J3946">
        <v>14.99</v>
      </c>
      <c r="K3946" s="4">
        <v>-3.85E-2</v>
      </c>
      <c r="L3946">
        <v>4.0999999999999996</v>
      </c>
      <c r="M3946">
        <v>36</v>
      </c>
      <c r="O3946" t="s">
        <v>25</v>
      </c>
      <c r="P3946" t="s">
        <v>6822</v>
      </c>
      <c r="Q3946" t="s">
        <v>7474</v>
      </c>
    </row>
    <row r="3947" spans="1:17" ht="15.5" x14ac:dyDescent="0.35">
      <c r="A3947"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3947" s="3" t="str">
        <f>HYPERLINK("https://edmondsonsupply.com/products/klein-tools-60184-lightweight-gel-knee-pads", "https://edmondsonsupply.com/products/klein-tools-60184-lightweight-gel-knee-pads")</f>
        <v>https://edmondsonsupply.com/products/klein-tools-60184-lightweight-gel-knee-pads</v>
      </c>
      <c r="C3947" t="s">
        <v>908</v>
      </c>
      <c r="D3947" t="s">
        <v>1248</v>
      </c>
      <c r="E3947" s="3" t="str">
        <f>HYPERLINK("https://www.amazon.com/Klein-Tools-60184-Lightweight-Resistant/dp/B088N5Q59S/ref=sr_1_1?keywords=Klein+Tools+60184+Lightweight+Gel+Knee+Pads&amp;qid=1695173931&amp;sr=8-1", "https://www.amazon.com/Klein-Tools-60184-Lightweight-Resistant/dp/B088N5Q59S/ref=sr_1_1?keywords=Klein+Tools+60184+Lightweight+Gel+Knee+Pads&amp;qid=1695173931&amp;sr=8-1")</f>
        <v>https://www.amazon.com/Klein-Tools-60184-Lightweight-Resistant/dp/B088N5Q59S/ref=sr_1_1?keywords=Klein+Tools+60184+Lightweight+Gel+Knee+Pads&amp;qid=1695173931&amp;sr=8-1</v>
      </c>
      <c r="F3947" t="s">
        <v>1249</v>
      </c>
      <c r="G3947" t="e">
        <f ca="1">_xludf.IMAGE("https://edmondsonsupply.com/cdn/shop/products/60184.jpg?v=1633030246")</f>
        <v>#NAME?</v>
      </c>
      <c r="H3947" t="e">
        <f ca="1">_xludf.IMAGE("https://m.media-amazon.com/images/I/71vmG1tRBLL._AC_UL320_.jpg")</f>
        <v>#NAME?</v>
      </c>
      <c r="I3947" t="s">
        <v>911</v>
      </c>
      <c r="J3947">
        <v>24.97</v>
      </c>
      <c r="K3947" s="4">
        <v>-3.85E-2</v>
      </c>
      <c r="L3947">
        <v>4.2</v>
      </c>
      <c r="M3947">
        <v>156</v>
      </c>
      <c r="O3947" t="s">
        <v>25</v>
      </c>
      <c r="P3947" t="s">
        <v>912</v>
      </c>
      <c r="Q3947" t="s">
        <v>913</v>
      </c>
    </row>
    <row r="3948" spans="1:17" ht="15.5" x14ac:dyDescent="0.35">
      <c r="A3948"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3948" s="3" t="str">
        <f>HYPERLINK("https://edmondsonsupply.com/products/klein-tools-32307-27-in-1-multi-bit-tamperproof-screwdriver", "https://edmondsonsupply.com/products/klein-tools-32307-27-in-1-multi-bit-tamperproof-screwdriver")</f>
        <v>https://edmondsonsupply.com/products/klein-tools-32307-27-in-1-multi-bit-tamperproof-screwdriver</v>
      </c>
      <c r="C3948" t="s">
        <v>6847</v>
      </c>
      <c r="D3948" t="s">
        <v>8381</v>
      </c>
      <c r="E3948" s="3" t="str">
        <f>HYPERLINK("https://www.amazon.com/Klein-Tools-32307-Tamperproof-Screwdriver/dp/B08KFL4QD4/ref=sr_1_1?keywords=Klein+Tools+32307+27-in-1+Multi-Bit+Tamperproof+Screwdriver&amp;qid=1695174232&amp;sr=8-1", "https://www.amazon.com/Klein-Tools-32307-Tamperproof-Screwdriver/dp/B08KFL4QD4/ref=sr_1_1?keywords=Klein+Tools+32307+27-in-1+Multi-Bit+Tamperproof+Screwdriver&amp;qid=1695174232&amp;sr=8-1")</f>
        <v>https://www.amazon.com/Klein-Tools-32307-Tamperproof-Screwdriver/dp/B08KFL4QD4/ref=sr_1_1?keywords=Klein+Tools+32307+27-in-1+Multi-Bit+Tamperproof+Screwdriver&amp;qid=1695174232&amp;sr=8-1</v>
      </c>
      <c r="F3948" t="s">
        <v>8382</v>
      </c>
      <c r="G3948" t="e">
        <f ca="1">_xludf.IMAGE("https://edmondsonsupply.com/cdn/shop/products/32307.jpg?v=1647347524")</f>
        <v>#NAME?</v>
      </c>
      <c r="H3948" t="e">
        <f ca="1">_xludf.IMAGE("https://m.media-amazon.com/images/I/51VWsu+sN9L._AC_UL320_.jpg")</f>
        <v>#NAME?</v>
      </c>
      <c r="I3948" t="s">
        <v>911</v>
      </c>
      <c r="J3948">
        <v>24.97</v>
      </c>
      <c r="K3948" s="4">
        <v>-3.85E-2</v>
      </c>
      <c r="L3948">
        <v>4.8</v>
      </c>
      <c r="M3948">
        <v>1628</v>
      </c>
      <c r="O3948" t="s">
        <v>25</v>
      </c>
      <c r="P3948" t="s">
        <v>6850</v>
      </c>
      <c r="Q3948" t="s">
        <v>6851</v>
      </c>
    </row>
    <row r="3949" spans="1:17" ht="15.5" x14ac:dyDescent="0.35">
      <c r="A3949"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3949"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3949" t="s">
        <v>7872</v>
      </c>
      <c r="D3949" t="s">
        <v>8383</v>
      </c>
      <c r="E3949" s="3" t="str">
        <f>HYPERLINK("https://www.amazon.com/Non-Marring-12-Point-Klein-Tools-66030/dp/B09JWM5Y6N/ref=sr_1_1?keywords=Klein+Tools+66030+2-in-1+Coated+Impact+Socket%2C+12-Point%2C+3%2F4+and+9%2F16-Inch&amp;qid=1695174140&amp;sr=8-1", "https://www.amazon.com/Non-Marring-12-Point-Klein-Tools-66030/dp/B09JWM5Y6N/ref=sr_1_1?keywords=Klein+Tools+66030+2-in-1+Coated+Impact+Socket%2C+12-Point%2C+3%2F4+and+9%2F16-Inch&amp;qid=1695174140&amp;sr=8-1")</f>
        <v>https://www.amazon.com/Non-Marring-12-Point-Klein-Tools-66030/dp/B09JWM5Y6N/ref=sr_1_1?keywords=Klein+Tools+66030+2-in-1+Coated+Impact+Socket%2C+12-Point%2C+3%2F4+and+9%2F16-Inch&amp;qid=1695174140&amp;sr=8-1</v>
      </c>
      <c r="F3949" t="s">
        <v>8384</v>
      </c>
      <c r="G3949" t="e">
        <f ca="1">_xludf.IMAGE("https://edmondsonsupply.com/cdn/shop/products/66030.jpg?v=1666027133")</f>
        <v>#NAME?</v>
      </c>
      <c r="H3949" t="e">
        <f ca="1">_xludf.IMAGE("https://m.media-amazon.com/images/I/41w38OgEo3L._AC_UL320_.jpg")</f>
        <v>#NAME?</v>
      </c>
      <c r="I3949" t="s">
        <v>7792</v>
      </c>
      <c r="J3949">
        <v>48</v>
      </c>
      <c r="K3949" s="4">
        <v>-3.9600000000000003E-2</v>
      </c>
      <c r="L3949">
        <v>5</v>
      </c>
      <c r="M3949">
        <v>2</v>
      </c>
      <c r="O3949" t="s">
        <v>25</v>
      </c>
      <c r="P3949" t="s">
        <v>7873</v>
      </c>
      <c r="Q3949" t="s">
        <v>7874</v>
      </c>
    </row>
    <row r="3950" spans="1:17" ht="15.5" x14ac:dyDescent="0.35">
      <c r="A3950" s="3" t="str">
        <f>HYPERLINK("https://edmondsonsupply.com/collections/electricians-tools/products/klein-tools-66031-3-in-1-slotted-impact-socket-12-point-3-4-and-9-16-inch", "https://edmondsonsupply.com/collections/electricians-tools/products/klein-tools-66031-3-in-1-slotted-impact-socket-12-point-3-4-and-9-16-inch")</f>
        <v>https://edmondsonsupply.com/collections/electricians-tools/products/klein-tools-66031-3-in-1-slotted-impact-socket-12-point-3-4-and-9-16-inch</v>
      </c>
      <c r="B3950" s="3" t="str">
        <f>HYPERLINK("https://edmondsonsupply.com/products/klein-tools-66031-3-in-1-slotted-impact-socket-12-point-3-4-and-9-16-inch", "https://edmondsonsupply.com/products/klein-tools-66031-3-in-1-slotted-impact-socket-12-point-3-4-and-9-16-inch")</f>
        <v>https://edmondsonsupply.com/products/klein-tools-66031-3-in-1-slotted-impact-socket-12-point-3-4-and-9-16-inch</v>
      </c>
      <c r="C3950" t="s">
        <v>8031</v>
      </c>
      <c r="D3950" t="s">
        <v>8383</v>
      </c>
      <c r="E3950" s="3" t="str">
        <f>HYPERLINK("https://www.amazon.com/Non-Marring-12-Point-Klein-Tools-66030/dp/B09JWM5Y6N/ref=sr_1_5?keywords=Klein+Tools+66031+3-in-1+Slotted+Impact+Socket%2C+12-Point%2C+3%2F4+and+9%2F16-Inch&amp;qid=1695174174&amp;sr=8-5", "https://www.amazon.com/Non-Marring-12-Point-Klein-Tools-66030/dp/B09JWM5Y6N/ref=sr_1_5?keywords=Klein+Tools+66031+3-in-1+Slotted+Impact+Socket%2C+12-Point%2C+3%2F4+and+9%2F16-Inch&amp;qid=1695174174&amp;sr=8-5")</f>
        <v>https://www.amazon.com/Non-Marring-12-Point-Klein-Tools-66030/dp/B09JWM5Y6N/ref=sr_1_5?keywords=Klein+Tools+66031+3-in-1+Slotted+Impact+Socket%2C+12-Point%2C+3%2F4+and+9%2F16-Inch&amp;qid=1695174174&amp;sr=8-5</v>
      </c>
      <c r="F3950" t="s">
        <v>8384</v>
      </c>
      <c r="G3950" t="e">
        <f ca="1">_xludf.IMAGE("https://edmondsonsupply.com/cdn/shop/products/66031.jpg?v=1659389111")</f>
        <v>#NAME?</v>
      </c>
      <c r="H3950" t="e">
        <f ca="1">_xludf.IMAGE("https://m.media-amazon.com/images/I/41w38OgEo3L._AC_UL320_.jpg")</f>
        <v>#NAME?</v>
      </c>
      <c r="I3950" t="s">
        <v>1931</v>
      </c>
      <c r="J3950">
        <v>48</v>
      </c>
      <c r="K3950" s="4">
        <v>-3.9800000000000002E-2</v>
      </c>
      <c r="L3950">
        <v>5</v>
      </c>
      <c r="M3950">
        <v>2</v>
      </c>
      <c r="O3950" t="s">
        <v>25</v>
      </c>
      <c r="P3950" t="s">
        <v>8032</v>
      </c>
      <c r="Q3950" t="s">
        <v>8033</v>
      </c>
    </row>
    <row r="3951" spans="1:17" ht="15.5" x14ac:dyDescent="0.35">
      <c r="A3951"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3951" s="3" t="str">
        <f>HYPERLINK("https://edmondsonsupply.com/products/klein-tools-d502-10-pump-pliers-10-inch", "https://edmondsonsupply.com/products/klein-tools-d502-10-pump-pliers-10-inch")</f>
        <v>https://edmondsonsupply.com/products/klein-tools-d502-10-pump-pliers-10-inch</v>
      </c>
      <c r="C3951" t="s">
        <v>6607</v>
      </c>
      <c r="D3951" t="s">
        <v>5426</v>
      </c>
      <c r="E3951" s="3" t="str">
        <f>HYPERLINK("https://www.amazon.com/Pliers-10-Inch-Klein-Tools-D502-10/dp/B0000302WC/ref=sr_1_1?keywords=Klein+Tools+D502-10+Pump+Pliers%2C+10-Inch&amp;qid=1695174291&amp;sr=8-1", "https://www.amazon.com/Pliers-10-Inch-Klein-Tools-D502-10/dp/B0000302WC/ref=sr_1_1?keywords=Klein+Tools+D502-10+Pump+Pliers%2C+10-Inch&amp;qid=1695174291&amp;sr=8-1")</f>
        <v>https://www.amazon.com/Pliers-10-Inch-Klein-Tools-D502-10/dp/B0000302WC/ref=sr_1_1?keywords=Klein+Tools+D502-10+Pump+Pliers%2C+10-Inch&amp;qid=1695174291&amp;sr=8-1</v>
      </c>
      <c r="F3951" t="s">
        <v>5427</v>
      </c>
      <c r="G3951" t="e">
        <f ca="1">_xludf.IMAGE("https://edmondsonsupply.com/cdn/shop/products/d50210_alt1.jpg?v=1633030884")</f>
        <v>#NAME?</v>
      </c>
      <c r="H3951" t="e">
        <f ca="1">_xludf.IMAGE("https://m.media-amazon.com/images/I/418n0XM7PlL._AC_UL320_.jpg")</f>
        <v>#NAME?</v>
      </c>
      <c r="I3951" t="s">
        <v>471</v>
      </c>
      <c r="J3951">
        <v>23.99</v>
      </c>
      <c r="K3951" s="4">
        <v>-0.04</v>
      </c>
      <c r="L3951">
        <v>4.7</v>
      </c>
      <c r="M3951">
        <v>228</v>
      </c>
      <c r="O3951" t="s">
        <v>25</v>
      </c>
      <c r="P3951" t="s">
        <v>6610</v>
      </c>
      <c r="Q3951" t="s">
        <v>6611</v>
      </c>
    </row>
    <row r="3952" spans="1:17" ht="15.5" x14ac:dyDescent="0.35">
      <c r="A3952" s="3" t="str">
        <f>HYPERLINK("https://edmondsonsupply.com/collections/electricians-tools/products/diablo-tools-dou200rbd-2-universal-fit-bi-metal-oscillating-blade-for-drywall", "https://edmondsonsupply.com/collections/electricians-tools/products/diablo-tools-dou200rbd-2-universal-fit-bi-metal-oscillating-blade-for-drywall")</f>
        <v>https://edmondsonsupply.com/collections/electricians-tools/products/diablo-tools-dou200rbd-2-universal-fit-bi-metal-oscillating-blade-for-drywall</v>
      </c>
      <c r="B3952" s="3" t="str">
        <f>HYPERLINK("https://edmondsonsupply.com/products/diablo-tools-dou200rbd-2-universal-fit-bi-metal-oscillating-blade-for-drywall", "https://edmondsonsupply.com/products/diablo-tools-dou200rbd-2-universal-fit-bi-metal-oscillating-blade-for-drywall")</f>
        <v>https://edmondsonsupply.com/products/diablo-tools-dou200rbd-2-universal-fit-bi-metal-oscillating-blade-for-drywall</v>
      </c>
      <c r="C3952" t="s">
        <v>7980</v>
      </c>
      <c r="D3952" t="s">
        <v>7541</v>
      </c>
      <c r="E3952" s="3" t="str">
        <f>HYPERLINK("https://www.amazon.com/Diablo-DOU350RBGP-Universal-Bi-Metal-Oscillating/dp/B089LLG8ZQ/ref=sr_1_4?keywords=Diablo+Tools+DOU200RBD+2%22+Universal+Fit+Bi-Metal+Oscillating+Blade+for+Drywall&amp;qid=1695174252&amp;sr=8-4", "https://www.amazon.com/Diablo-DOU350RBGP-Universal-Bi-Metal-Oscillating/dp/B089LLG8ZQ/ref=sr_1_4?keywords=Diablo+Tools+DOU200RBD+2%22+Universal+Fit+Bi-Metal+Oscillating+Blade+for+Drywall&amp;qid=1695174252&amp;sr=8-4")</f>
        <v>https://www.amazon.com/Diablo-DOU350RBGP-Universal-Bi-Metal-Oscillating/dp/B089LLG8ZQ/ref=sr_1_4?keywords=Diablo+Tools+DOU200RBD+2%22+Universal+Fit+Bi-Metal+Oscillating+Blade+for+Drywall&amp;qid=1695174252&amp;sr=8-4</v>
      </c>
      <c r="F3952" t="s">
        <v>7542</v>
      </c>
      <c r="G3952" t="e">
        <f ca="1">_xludf.IMAGE("https://edmondsonsupply.com/cdn/shop/files/h7z7383jucpsecoclphm.webp?v=1686149036")</f>
        <v>#NAME?</v>
      </c>
      <c r="H3952" t="e">
        <f ca="1">_xludf.IMAGE("https://m.media-amazon.com/images/I/71xBW7MA1oL._AC_UL320_.jpg")</f>
        <v>#NAME?</v>
      </c>
      <c r="I3952" t="s">
        <v>6164</v>
      </c>
      <c r="J3952">
        <v>18.2</v>
      </c>
      <c r="K3952" s="4">
        <v>-4.0599999999999997E-2</v>
      </c>
      <c r="L3952">
        <v>4.4000000000000004</v>
      </c>
      <c r="M3952">
        <v>8</v>
      </c>
      <c r="O3952" t="s">
        <v>25</v>
      </c>
      <c r="P3952" t="s">
        <v>7983</v>
      </c>
      <c r="Q3952" t="s">
        <v>7984</v>
      </c>
    </row>
    <row r="3953" spans="1:17" ht="15.5" x14ac:dyDescent="0.35">
      <c r="A3953"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3953"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3953" t="s">
        <v>7150</v>
      </c>
      <c r="D3953" t="s">
        <v>7256</v>
      </c>
      <c r="E3953" s="3" t="str">
        <f>HYPERLINK("https://www.amazon.com/Klein-Tools-CL390-Electronic-Resistance/dp/B08DTDCG7T/ref=sr_1_1?keywords=Klein+Tools+CL390+AC%2FDC+Digital+Clamp+Meter%2C+Auto-Ranging+400+Amp&amp;qid=1695174165&amp;sr=8-1", "https://www.amazon.com/Klein-Tools-CL390-Electronic-Resistance/dp/B08DTDCG7T/ref=sr_1_1?keywords=Klein+Tools+CL390+AC%2FDC+Digital+Clamp+Meter%2C+Auto-Ranging+400+Amp&amp;qid=1695174165&amp;sr=8-1")</f>
        <v>https://www.amazon.com/Klein-Tools-CL390-Electronic-Resistance/dp/B08DTDCG7T/ref=sr_1_1?keywords=Klein+Tools+CL390+AC%2FDC+Digital+Clamp+Meter%2C+Auto-Ranging+400+Amp&amp;qid=1695174165&amp;sr=8-1</v>
      </c>
      <c r="F3953" t="s">
        <v>7257</v>
      </c>
      <c r="G3953" t="e">
        <f ca="1">_xludf.IMAGE("https://edmondsonsupply.com/cdn/shop/products/cl390.jpg?v=1662670722")</f>
        <v>#NAME?</v>
      </c>
      <c r="H3953" t="e">
        <f ca="1">_xludf.IMAGE("https://m.media-amazon.com/images/I/61RaYUw45bL._AC_UY218_.jpg")</f>
        <v>#NAME?</v>
      </c>
      <c r="I3953" t="s">
        <v>545</v>
      </c>
      <c r="J3953">
        <v>95.87</v>
      </c>
      <c r="K3953" s="4">
        <v>-4.1000000000000002E-2</v>
      </c>
      <c r="L3953">
        <v>4.5999999999999996</v>
      </c>
      <c r="M3953">
        <v>1097</v>
      </c>
      <c r="O3953" t="s">
        <v>25</v>
      </c>
      <c r="P3953" t="s">
        <v>7153</v>
      </c>
      <c r="Q3953" t="s">
        <v>7154</v>
      </c>
    </row>
    <row r="3954" spans="1:17" ht="15.5" x14ac:dyDescent="0.35">
      <c r="A3954" s="3" t="str">
        <f>HYPERLINK("https://edmondsonsupply.com/collections/electricians-tools/products/fluke-64-max-ir-thermometer", "https://edmondsonsupply.com/collections/electricians-tools/products/fluke-64-max-ir-thermometer")</f>
        <v>https://edmondsonsupply.com/collections/electricians-tools/products/fluke-64-max-ir-thermometer</v>
      </c>
      <c r="B3954" s="3" t="str">
        <f>HYPERLINK("https://edmondsonsupply.com/products/fluke-64-max-ir-thermometer", "https://edmondsonsupply.com/products/fluke-64-max-ir-thermometer")</f>
        <v>https://edmondsonsupply.com/products/fluke-64-max-ir-thermometer</v>
      </c>
      <c r="C3954" t="s">
        <v>8385</v>
      </c>
      <c r="D3954" t="s">
        <v>8386</v>
      </c>
      <c r="E3954" s="3" t="str">
        <f>HYPERLINK("https://www.amazon.com/Fluke-Infrared-Thermometer-Multi-Functional-Range/dp/B071W8PNJ4/ref=sr_1_1?keywords=Fluke+64+MAX+IR+Thermometer&amp;qid=1695174126&amp;sr=8-1", "https://www.amazon.com/Fluke-Infrared-Thermometer-Multi-Functional-Range/dp/B071W8PNJ4/ref=sr_1_1?keywords=Fluke+64+MAX+IR+Thermometer&amp;qid=1695174126&amp;sr=8-1")</f>
        <v>https://www.amazon.com/Fluke-Infrared-Thermometer-Multi-Functional-Range/dp/B071W8PNJ4/ref=sr_1_1?keywords=Fluke+64+MAX+IR+Thermometer&amp;qid=1695174126&amp;sr=8-1</v>
      </c>
      <c r="F3954" t="s">
        <v>8387</v>
      </c>
      <c r="G3954" t="e">
        <f ca="1">_xludf.IMAGE("https://edmondsonsupply.com/cdn/shop/products/fluke_64max_portrait_1500x1000_dcb53742-d539-4285-8994-6293320d293a.webp?v=1668107951")</f>
        <v>#NAME?</v>
      </c>
      <c r="H3954" t="e">
        <f ca="1">_xludf.IMAGE("https://m.media-amazon.com/images/I/413BsyGJEuL._AC_UY218_.jpg")</f>
        <v>#NAME?</v>
      </c>
      <c r="I3954" t="s">
        <v>8388</v>
      </c>
      <c r="J3954">
        <v>244.2</v>
      </c>
      <c r="K3954" s="4">
        <v>-4.2299999999999997E-2</v>
      </c>
      <c r="L3954">
        <v>4.5</v>
      </c>
      <c r="M3954">
        <v>109</v>
      </c>
      <c r="O3954" t="s">
        <v>171</v>
      </c>
      <c r="P3954" t="s">
        <v>8389</v>
      </c>
      <c r="Q3954" t="s">
        <v>8390</v>
      </c>
    </row>
    <row r="3955" spans="1:17" ht="15.5" x14ac:dyDescent="0.35">
      <c r="A3955" s="3" t="str">
        <f>HYPERLINK("https://edmondsonsupply.com/collections/electricians-tools/products/milwaukee-2111-21-475-lumen-usb-rechargeable-hard-hat-headlamp", "https://edmondsonsupply.com/collections/electricians-tools/products/milwaukee-2111-21-475-lumen-usb-rechargeable-hard-hat-headlamp")</f>
        <v>https://edmondsonsupply.com/collections/electricians-tools/products/milwaukee-2111-21-475-lumen-usb-rechargeable-hard-hat-headlamp</v>
      </c>
      <c r="B3955" s="3" t="str">
        <f>HYPERLINK("https://edmondsonsupply.com/products/milwaukee-2111-21-475-lumen-usb-rechargeable-hard-hat-headlamp", "https://edmondsonsupply.com/products/milwaukee-2111-21-475-lumen-usb-rechargeable-hard-hat-headlamp")</f>
        <v>https://edmondsonsupply.com/products/milwaukee-2111-21-475-lumen-usb-rechargeable-hard-hat-headlamp</v>
      </c>
      <c r="C3955" t="s">
        <v>2863</v>
      </c>
      <c r="D3955" t="s">
        <v>4933</v>
      </c>
      <c r="E3955" s="3" t="str">
        <f>HYPERLINK("https://www.amazon.com/Milwaukee-Lumens-Rechargeable-Low-Profile-Headlamp/dp/B087QKMN4H/ref=sr_1_4?keywords=Milwaukee+2111-21+475-Lumen+USB+Rechargeable+Hard+Hat+Headlamp&amp;qid=1695173940&amp;sr=8-4", "https://www.amazon.com/Milwaukee-Lumens-Rechargeable-Low-Profile-Headlamp/dp/B087QKMN4H/ref=sr_1_4?keywords=Milwaukee+2111-21+475-Lumen+USB+Rechargeable+Hard+Hat+Headlamp&amp;qid=1695173940&amp;sr=8-4")</f>
        <v>https://www.amazon.com/Milwaukee-Lumens-Rechargeable-Low-Profile-Headlamp/dp/B087QKMN4H/ref=sr_1_4?keywords=Milwaukee+2111-21+475-Lumen+USB+Rechargeable+Hard+Hat+Headlamp&amp;qid=1695173940&amp;sr=8-4</v>
      </c>
      <c r="F3955" t="s">
        <v>4934</v>
      </c>
      <c r="G3955" t="e">
        <f ca="1">_xludf.IMAGE("https://edmondsonsupply.com/cdn/shop/products/2111-21_3_Overlay_1.png?v=1587142535")</f>
        <v>#NAME?</v>
      </c>
      <c r="H3955" t="e">
        <f ca="1">_xludf.IMAGE("https://m.media-amazon.com/images/I/41GUSVLEDLL._AC_UL320_.jpg")</f>
        <v>#NAME?</v>
      </c>
      <c r="I3955" t="s">
        <v>356</v>
      </c>
      <c r="J3955">
        <v>67</v>
      </c>
      <c r="K3955" s="4">
        <v>-4.24E-2</v>
      </c>
      <c r="L3955">
        <v>4.5</v>
      </c>
      <c r="M3955">
        <v>228</v>
      </c>
      <c r="O3955" t="s">
        <v>171</v>
      </c>
      <c r="P3955" t="s">
        <v>2866</v>
      </c>
      <c r="Q3955" t="s">
        <v>2867</v>
      </c>
    </row>
    <row r="3956" spans="1:17" ht="15.5" x14ac:dyDescent="0.35">
      <c r="A3956"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3956" s="3" t="str">
        <f>HYPERLINK("https://edmondsonsupply.com/products/klein-tools-11053-klein-kurve%c2%ae-wire-stripper-cutter", "https://edmondsonsupply.com/products/klein-tools-11053-klein-kurve%c2%ae-wire-stripper-cutter")</f>
        <v>https://edmondsonsupply.com/products/klein-tools-11053-klein-kurve%c2%ae-wire-stripper-cutter</v>
      </c>
      <c r="C3956" t="s">
        <v>2285</v>
      </c>
      <c r="D3956" t="s">
        <v>4941</v>
      </c>
      <c r="E3956" s="3" t="str">
        <f>HYPERLINK("https://www.amazon.com/Klein-Tools-K11095-Klein-Kurve-Stripper/dp/B08TQ83P2C/ref=sr_1_7?keywords=Klein+Tools+11053+Klein-Kurve%C2%AE+Wire+Stripper%2FCutter&amp;qid=1695173869&amp;sr=8-7", "https://www.amazon.com/Klein-Tools-K11095-Klein-Kurve-Stripper/dp/B08TQ83P2C/ref=sr_1_7?keywords=Klein+Tools+11053+Klein-Kurve%C2%AE+Wire+Stripper%2FCutter&amp;qid=1695173869&amp;sr=8-7")</f>
        <v>https://www.amazon.com/Klein-Tools-K11095-Klein-Kurve-Stripper/dp/B08TQ83P2C/ref=sr_1_7?keywords=Klein+Tools+11053+Klein-Kurve%C2%AE+Wire+Stripper%2FCutter&amp;qid=1695173869&amp;sr=8-7</v>
      </c>
      <c r="F3956" t="s">
        <v>4942</v>
      </c>
      <c r="G3956" t="e">
        <f ca="1">_xludf.IMAGE("https://edmondsonsupply.com/cdn/shop/products/11053.jpg?v=1633030511")</f>
        <v>#NAME?</v>
      </c>
      <c r="H3956" t="e">
        <f ca="1">_xludf.IMAGE("https://m.media-amazon.com/images/I/5180XMjuiIL._AC_UL320_.jpg")</f>
        <v>#NAME?</v>
      </c>
      <c r="I3956" t="s">
        <v>2288</v>
      </c>
      <c r="J3956">
        <v>20.07</v>
      </c>
      <c r="K3956" s="4">
        <v>-4.2900000000000001E-2</v>
      </c>
      <c r="L3956">
        <v>4.8</v>
      </c>
      <c r="M3956">
        <v>439</v>
      </c>
      <c r="O3956" t="s">
        <v>25</v>
      </c>
      <c r="P3956" t="s">
        <v>2289</v>
      </c>
      <c r="Q3956" t="s">
        <v>2290</v>
      </c>
    </row>
    <row r="3957" spans="1:17" ht="15.5" x14ac:dyDescent="0.35">
      <c r="A3957"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3957"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3957" t="s">
        <v>6753</v>
      </c>
      <c r="D3957" t="s">
        <v>4941</v>
      </c>
      <c r="E3957" s="3" t="str">
        <f>HYPERLINK("https://www.amazon.com/Klein-Tools-K11095-Klein-Kurve-Stripper/dp/B08TQ83P2C/ref=sr_1_1?keywords=Klein+Tools+K11095+Klein-Kurve%C2%AE+Wire+Stripper+%2F+Cutter%2C+8-20+AWG&amp;qid=1695174173&amp;sr=8-1", "https://www.amazon.com/Klein-Tools-K11095-Klein-Kurve-Stripper/dp/B08TQ83P2C/ref=sr_1_1?keywords=Klein+Tools+K11095+Klein-Kurve%C2%AE+Wire+Stripper+%2F+Cutter%2C+8-20+AWG&amp;qid=1695174173&amp;sr=8-1")</f>
        <v>https://www.amazon.com/Klein-Tools-K11095-Klein-Kurve-Stripper/dp/B08TQ83P2C/ref=sr_1_1?keywords=Klein+Tools+K11095+Klein-Kurve%C2%AE+Wire+Stripper+%2F+Cutter%2C+8-20+AWG&amp;qid=1695174173&amp;sr=8-1</v>
      </c>
      <c r="F3957" t="s">
        <v>4942</v>
      </c>
      <c r="G3957" t="e">
        <f ca="1">_xludf.IMAGE("https://edmondsonsupply.com/cdn/shop/products/k11095_b_front_vertical.jpg?v=1661364611")</f>
        <v>#NAME?</v>
      </c>
      <c r="H3957" t="e">
        <f ca="1">_xludf.IMAGE("https://m.media-amazon.com/images/I/5180XMjuiIL._AC_UL320_.jpg")</f>
        <v>#NAME?</v>
      </c>
      <c r="I3957" t="s">
        <v>2288</v>
      </c>
      <c r="J3957">
        <v>20.07</v>
      </c>
      <c r="K3957" s="4">
        <v>-4.2900000000000001E-2</v>
      </c>
      <c r="L3957">
        <v>4.8</v>
      </c>
      <c r="M3957">
        <v>439</v>
      </c>
      <c r="O3957" t="s">
        <v>25</v>
      </c>
      <c r="P3957" t="s">
        <v>6525</v>
      </c>
      <c r="Q3957" t="s">
        <v>6754</v>
      </c>
    </row>
    <row r="3958" spans="1:17" ht="15.5" x14ac:dyDescent="0.35">
      <c r="A3958" s="3" t="str">
        <f>HYPERLINK("https://edmondsonsupply.com/collections/electricians-tools/products/klein-tools-aepjs3-bluetooth%C2%AE-jobsite-speaker-with-magnet-and-hook", "https://edmondsonsupply.com/collections/electricians-tools/products/klein-tools-aepjs3-bluetooth%C2%AE-jobsite-speaker-with-magnet-and-hook")</f>
        <v>https://edmondsonsupply.com/collections/electricians-tools/products/klein-tools-aepjs3-bluetooth%C2%AE-jobsite-speaker-with-magnet-and-hook</v>
      </c>
      <c r="B3958" s="3" t="str">
        <f>HYPERLINK("https://edmondsonsupply.com/products/klein-tools-aepjs3-bluetooth%c2%ae-jobsite-speaker-with-magnet-and-hook", "https://edmondsonsupply.com/products/klein-tools-aepjs3-bluetooth%c2%ae-jobsite-speaker-with-magnet-and-hook")</f>
        <v>https://edmondsonsupply.com/products/klein-tools-aepjs3-bluetooth%c2%ae-jobsite-speaker-with-magnet-and-hook</v>
      </c>
      <c r="C3958" t="s">
        <v>8238</v>
      </c>
      <c r="D3958" t="s">
        <v>8391</v>
      </c>
      <c r="E3958" s="3" t="str">
        <f>HYPERLINK("https://www.amazon.com/Klein-Tools-AEPJS3-Bluetooth-Wireless/dp/B0961KV8H1/ref=sr_1_1?keywords=Klein+Tools+AEPJS3+Bluetooth%C2%AE+Jobsite+Speaker+with+Magnet+and+Hook&amp;qid=1695174159&amp;sr=8-1", "https://www.amazon.com/Klein-Tools-AEPJS3-Bluetooth-Wireless/dp/B0961KV8H1/ref=sr_1_1?keywords=Klein+Tools+AEPJS3+Bluetooth%C2%AE+Jobsite+Speaker+with+Magnet+and+Hook&amp;qid=1695174159&amp;sr=8-1")</f>
        <v>https://www.amazon.com/Klein-Tools-AEPJS3-Bluetooth-Wireless/dp/B0961KV8H1/ref=sr_1_1?keywords=Klein+Tools+AEPJS3+Bluetooth%C2%AE+Jobsite+Speaker+with+Magnet+and+Hook&amp;qid=1695174159&amp;sr=8-1</v>
      </c>
      <c r="F3958" t="s">
        <v>8392</v>
      </c>
      <c r="G3958" t="e">
        <f ca="1">_xludf.IMAGE("https://edmondsonsupply.com/cdn/shop/products/aepjs3_b.jpg?v=1663946789")</f>
        <v>#NAME?</v>
      </c>
      <c r="H3958" t="e">
        <f ca="1">_xludf.IMAGE("https://m.media-amazon.com/images/I/61acIMRCM9L._AC_UY218_.jpg")</f>
        <v>#NAME?</v>
      </c>
      <c r="I3958" t="s">
        <v>8241</v>
      </c>
      <c r="J3958">
        <v>76.52</v>
      </c>
      <c r="K3958" s="4">
        <v>-4.3099999999999999E-2</v>
      </c>
      <c r="L3958">
        <v>4.5999999999999996</v>
      </c>
      <c r="M3958">
        <v>387</v>
      </c>
      <c r="O3958" t="s">
        <v>25</v>
      </c>
      <c r="P3958" t="s">
        <v>8242</v>
      </c>
      <c r="Q3958" t="s">
        <v>8243</v>
      </c>
    </row>
    <row r="3959" spans="1:17" ht="15.5" x14ac:dyDescent="0.35">
      <c r="A3959" s="3" t="str">
        <f>HYPERLINK("https://edmondsonsupply.com/collections/electricians-tools/products/klein-tools-29250-60w-portable-solar-panel", "https://edmondsonsupply.com/collections/electricians-tools/products/klein-tools-29250-60w-portable-solar-panel")</f>
        <v>https://edmondsonsupply.com/collections/electricians-tools/products/klein-tools-29250-60w-portable-solar-panel</v>
      </c>
      <c r="B3959" s="3" t="str">
        <f>HYPERLINK("https://edmondsonsupply.com/products/klein-tools-29250-60w-portable-solar-panel", "https://edmondsonsupply.com/products/klein-tools-29250-60w-portable-solar-panel")</f>
        <v>https://edmondsonsupply.com/products/klein-tools-29250-60w-portable-solar-panel</v>
      </c>
      <c r="C3959" t="s">
        <v>8393</v>
      </c>
      <c r="D3959" t="s">
        <v>8394</v>
      </c>
      <c r="E3959" s="3" t="str">
        <f>HYPERLINK("https://www.amazon.com/Batteries-Electronics-Klein-Tools-29250/dp/B096WHN6KG/ref=sr_1_1?keywords=Klein+Tools+29250+60W+Portable+Solar+Panel&amp;qid=1695174153&amp;sr=8-1", "https://www.amazon.com/Batteries-Electronics-Klein-Tools-29250/dp/B096WHN6KG/ref=sr_1_1?keywords=Klein+Tools+29250+60W+Portable+Solar+Panel&amp;qid=1695174153&amp;sr=8-1")</f>
        <v>https://www.amazon.com/Batteries-Electronics-Klein-Tools-29250/dp/B096WHN6KG/ref=sr_1_1?keywords=Klein+Tools+29250+60W+Portable+Solar+Panel&amp;qid=1695174153&amp;sr=8-1</v>
      </c>
      <c r="F3959" t="s">
        <v>8395</v>
      </c>
      <c r="G3959" t="e">
        <f ca="1">_xludf.IMAGE("https://edmondsonsupply.com/cdn/shop/products/29250.jpg?v=1664396962")</f>
        <v>#NAME?</v>
      </c>
      <c r="H3959" t="e">
        <f ca="1">_xludf.IMAGE("https://m.media-amazon.com/images/I/51pbv23WH5S._AC_UY218_.jpg")</f>
        <v>#NAME?</v>
      </c>
      <c r="I3959" t="s">
        <v>400</v>
      </c>
      <c r="J3959">
        <v>191.34</v>
      </c>
      <c r="K3959" s="4">
        <v>-4.3299999999999998E-2</v>
      </c>
      <c r="L3959">
        <v>4.0999999999999996</v>
      </c>
      <c r="M3959">
        <v>4</v>
      </c>
      <c r="O3959" t="s">
        <v>25</v>
      </c>
      <c r="P3959" t="s">
        <v>8396</v>
      </c>
      <c r="Q3959" t="s">
        <v>8397</v>
      </c>
    </row>
    <row r="3960" spans="1:17" ht="15.5" x14ac:dyDescent="0.35">
      <c r="A3960" s="3" t="str">
        <f>HYPERLINK("https://edmondsonsupply.com/collections/electricians-tools/products/klein-tools-56120-fiberglass-fish-tape-replacement-leaders-2-pack", "https://edmondsonsupply.com/collections/electricians-tools/products/klein-tools-56120-fiberglass-fish-tape-replacement-leaders-2-pack")</f>
        <v>https://edmondsonsupply.com/collections/electricians-tools/products/klein-tools-56120-fiberglass-fish-tape-replacement-leaders-2-pack</v>
      </c>
      <c r="B3960" s="3" t="str">
        <f>HYPERLINK("https://edmondsonsupply.com/products/klein-tools-56120-fiberglass-fish-tape-replacement-leaders-2-pack", "https://edmondsonsupply.com/products/klein-tools-56120-fiberglass-fish-tape-replacement-leaders-2-pack")</f>
        <v>https://edmondsonsupply.com/products/klein-tools-56120-fiberglass-fish-tape-replacement-leaders-2-pack</v>
      </c>
      <c r="C3960" t="s">
        <v>8398</v>
      </c>
      <c r="D3960" t="s">
        <v>8398</v>
      </c>
      <c r="E3960" s="3" t="str">
        <f>HYPERLINK("https://www.amazon.com/Fiberglass-Replacement-Klein-Tools-56120/dp/B007CU7UFY/ref=sr_1_1?keywords=Klein+Tools+56120+Fiberglass+Fish+Tape+Replacement+Leaders%2C+2-Pack&amp;qid=1695174134&amp;sr=8-1", "https://www.amazon.com/Fiberglass-Replacement-Klein-Tools-56120/dp/B007CU7UFY/ref=sr_1_1?keywords=Klein+Tools+56120+Fiberglass+Fish+Tape+Replacement+Leaders%2C+2-Pack&amp;qid=1695174134&amp;sr=8-1")</f>
        <v>https://www.amazon.com/Fiberglass-Replacement-Klein-Tools-56120/dp/B007CU7UFY/ref=sr_1_1?keywords=Klein+Tools+56120+Fiberglass+Fish+Tape+Replacement+Leaders%2C+2-Pack&amp;qid=1695174134&amp;sr=8-1</v>
      </c>
      <c r="F3960" t="s">
        <v>8399</v>
      </c>
      <c r="G3960" t="e">
        <f ca="1">_xludf.IMAGE("https://edmondsonsupply.com/cdn/shop/products/56120.jpg?v=1666108790")</f>
        <v>#NAME?</v>
      </c>
      <c r="H3960" t="e">
        <f ca="1">_xludf.IMAGE("https://m.media-amazon.com/images/I/61NG3guhVWL._AC_UL320_.jpg")</f>
        <v>#NAME?</v>
      </c>
      <c r="I3960" t="s">
        <v>198</v>
      </c>
      <c r="J3960">
        <v>38.24</v>
      </c>
      <c r="K3960" s="4">
        <v>-4.3799999999999999E-2</v>
      </c>
      <c r="L3960">
        <v>4.5</v>
      </c>
      <c r="M3960">
        <v>69</v>
      </c>
      <c r="O3960" t="s">
        <v>25</v>
      </c>
      <c r="P3960" t="s">
        <v>1310</v>
      </c>
      <c r="Q3960" t="s">
        <v>8400</v>
      </c>
    </row>
    <row r="3961" spans="1:17" ht="15.5" x14ac:dyDescent="0.35">
      <c r="A3961"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3961" s="3" t="str">
        <f>HYPERLINK("https://edmondsonsupply.com/products/klein-tools-65064-2-in-1-hex-head-screwdriver-1-4-5-16", "https://edmondsonsupply.com/products/klein-tools-65064-2-in-1-hex-head-screwdriver-1-4-5-16")</f>
        <v>https://edmondsonsupply.com/products/klein-tools-65064-2-in-1-hex-head-screwdriver-1-4-5-16</v>
      </c>
      <c r="C3961" t="s">
        <v>2093</v>
      </c>
      <c r="D3961" t="s">
        <v>4945</v>
      </c>
      <c r="E3961" s="3" t="str">
        <f>HYPERLINK("https://www.amazon.com/Driver-16-Inch-Klein-Tools-65064/dp/B01N2S3D09/ref=sr_1_1?keywords=Klein+Tools+65064+2-in-1+Nut+Driver%2C+Hex+Head%2C+1%2F4-Inch+and+5%2F16-Inch&amp;qid=1695173915&amp;sr=8-1", "https://www.amazon.com/Driver-16-Inch-Klein-Tools-65064/dp/B01N2S3D09/ref=sr_1_1?keywords=Klein+Tools+65064+2-in-1+Nut+Driver%2C+Hex+Head%2C+1%2F4-Inch+and+5%2F16-Inch&amp;qid=1695173915&amp;sr=8-1")</f>
        <v>https://www.amazon.com/Driver-16-Inch-Klein-Tools-65064/dp/B01N2S3D09/ref=sr_1_1?keywords=Klein+Tools+65064+2-in-1+Nut+Driver%2C+Hex+Head%2C+1%2F4-Inch+and+5%2F16-Inch&amp;qid=1695173915&amp;sr=8-1</v>
      </c>
      <c r="F3961" t="s">
        <v>4946</v>
      </c>
      <c r="G3961" t="e">
        <f ca="1">_xludf.IMAGE("https://edmondsonsupply.com/cdn/shop/products/65064.jpg?v=1587147719")</f>
        <v>#NAME?</v>
      </c>
      <c r="H3961" t="e">
        <f ca="1">_xludf.IMAGE("https://m.media-amazon.com/images/I/51WqGb8KzpL._AC_UL320_.jpg")</f>
        <v>#NAME?</v>
      </c>
      <c r="I3961" t="s">
        <v>143</v>
      </c>
      <c r="J3961">
        <v>15.27</v>
      </c>
      <c r="K3961" s="4">
        <v>-4.3799999999999999E-2</v>
      </c>
      <c r="L3961">
        <v>4.8</v>
      </c>
      <c r="M3961">
        <v>1412</v>
      </c>
      <c r="O3961" t="s">
        <v>25</v>
      </c>
      <c r="P3961" t="s">
        <v>2096</v>
      </c>
      <c r="Q3961" t="s">
        <v>2097</v>
      </c>
    </row>
    <row r="3962" spans="1:17" ht="15.5" x14ac:dyDescent="0.35">
      <c r="A3962"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3962"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3962" t="s">
        <v>5886</v>
      </c>
      <c r="D3962" t="s">
        <v>5914</v>
      </c>
      <c r="E3962" s="3" t="str">
        <f>HYPERLINK("https://www.amazon.com/Diablo-Universal-Carbide-Oscillating-General/dp/B089LHJYGQ/ref=sr_1_2?keywords=Diablo+Tools+DOU125CGP+1-1%2F4+in.+Universal+Fit+Carbide+Oscillating+Blade+for+General+Purpose+Cuts&amp;qid=1695174006&amp;sr=8-2", "https://www.amazon.com/Diablo-Universal-Carbide-Oscillating-General/dp/B089LHJYGQ/ref=sr_1_2?keywords=Diablo+Tools+DOU125CGP+1-1%2F4+in.+Universal+Fit+Carbide+Oscillating+Blade+for+General+Purpose+Cuts&amp;qid=1695174006&amp;sr=8-2")</f>
        <v>https://www.amazon.com/Diablo-Universal-Carbide-Oscillating-General/dp/B089LHJYGQ/ref=sr_1_2?keywords=Diablo+Tools+DOU125CGP+1-1%2F4+in.+Universal+Fit+Carbide+Oscillating+Blade+for+General+Purpose+Cuts&amp;qid=1695174006&amp;sr=8-2</v>
      </c>
      <c r="F3962" t="s">
        <v>5915</v>
      </c>
      <c r="G3962" t="e">
        <f ca="1">_xludf.IMAGE("https://edmondsonsupply.com/cdn/shop/files/htobgrjt150mygkkk6to_dca17485-ff4c-4cd2-9345-f1b96a9206f3.webp?v=1686146827")</f>
        <v>#NAME?</v>
      </c>
      <c r="H3962" t="e">
        <f ca="1">_xludf.IMAGE("https://m.media-amazon.com/images/I/71wZoc77rAL._AC_UL320_.jpg")</f>
        <v>#NAME?</v>
      </c>
      <c r="I3962" t="s">
        <v>1716</v>
      </c>
      <c r="J3962">
        <v>21.95</v>
      </c>
      <c r="K3962" s="4">
        <v>-4.4400000000000002E-2</v>
      </c>
      <c r="L3962">
        <v>4.5</v>
      </c>
      <c r="M3962">
        <v>30</v>
      </c>
      <c r="O3962" t="s">
        <v>25</v>
      </c>
      <c r="P3962" t="s">
        <v>5889</v>
      </c>
      <c r="Q3962" t="s">
        <v>5890</v>
      </c>
    </row>
    <row r="3963" spans="1:17" ht="15.5" x14ac:dyDescent="0.35">
      <c r="A3963"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3963" s="3" t="str">
        <f>HYPERLINK("https://edmondsonsupply.com/products/klein-tools-605-4-1-4-inch-cabinet-tip-screwdriver-4-inch-shank", "https://edmondsonsupply.com/products/klein-tools-605-4-1-4-inch-cabinet-tip-screwdriver-4-inch-shank")</f>
        <v>https://edmondsonsupply.com/products/klein-tools-605-4-1-4-inch-cabinet-tip-screwdriver-4-inch-shank</v>
      </c>
      <c r="C3963" t="s">
        <v>6418</v>
      </c>
      <c r="D3963" t="s">
        <v>8401</v>
      </c>
      <c r="E3963" s="3" t="str">
        <f>HYPERLINK("https://www.amazon.com/Cabinet-Screwdriver-Klein-Tools-605-4/dp/B000BQWOO8/ref=sr_1_1?keywords=Klein+Tools+605-4+1%2F4-Inch+Cabinet+Tip+Screwdriver+4-Inch+Shank&amp;qid=1695174135&amp;sr=8-1", "https://www.amazon.com/Cabinet-Screwdriver-Klein-Tools-605-4/dp/B000BQWOO8/ref=sr_1_1?keywords=Klein+Tools+605-4+1%2F4-Inch+Cabinet+Tip+Screwdriver+4-Inch+Shank&amp;qid=1695174135&amp;sr=8-1")</f>
        <v>https://www.amazon.com/Cabinet-Screwdriver-Klein-Tools-605-4/dp/B000BQWOO8/ref=sr_1_1?keywords=Klein+Tools+605-4+1%2F4-Inch+Cabinet+Tip+Screwdriver+4-Inch+Shank&amp;qid=1695174135&amp;sr=8-1</v>
      </c>
      <c r="F3963" t="s">
        <v>8402</v>
      </c>
      <c r="G3963" t="e">
        <f ca="1">_xludf.IMAGE("https://edmondsonsupply.com/cdn/shop/products/605-6_ac5e56ca-920d-4d55-842f-c7dc8361f892.jpg?v=1665688377")</f>
        <v>#NAME?</v>
      </c>
      <c r="H3963" t="e">
        <f ca="1">_xludf.IMAGE("https://m.media-amazon.com/images/I/41WLDr2SP+L._AC_UL320_.jpg")</f>
        <v>#NAME?</v>
      </c>
      <c r="I3963" t="s">
        <v>924</v>
      </c>
      <c r="J3963">
        <v>8.57</v>
      </c>
      <c r="K3963" s="4">
        <v>-4.6699999999999998E-2</v>
      </c>
      <c r="L3963">
        <v>4.8</v>
      </c>
      <c r="M3963">
        <v>1227</v>
      </c>
      <c r="O3963" t="s">
        <v>25</v>
      </c>
      <c r="P3963" t="s">
        <v>6421</v>
      </c>
      <c r="Q3963" t="s">
        <v>6422</v>
      </c>
    </row>
    <row r="3964" spans="1:17" ht="15.5" x14ac:dyDescent="0.35">
      <c r="A3964" s="3" t="str">
        <f>HYPERLINK("https://edmondsonsupply.com/collections/electricians-tools/products/klein-tools-554158-14-tool-bag-tradesman-pro%E2%84%A2-tool-tote-20-pockets-8-inch", "https://edmondsonsupply.com/collections/electricians-tools/products/klein-tools-554158-14-tool-bag-tradesman-pro%E2%84%A2-tool-tote-20-pockets-8-inch")</f>
        <v>https://edmondsonsupply.com/collections/electricians-tools/products/klein-tools-554158-14-tool-bag-tradesman-pro%E2%84%A2-tool-tote-20-pockets-8-inch</v>
      </c>
      <c r="B3964" s="3" t="str">
        <f>HYPERLINK("https://edmondsonsupply.com/products/klein-tools-554158-14-tool-bag-tradesman-pro%e2%84%a2-tool-tote-20-pockets-8-inch", "https://edmondsonsupply.com/products/klein-tools-554158-14-tool-bag-tradesman-pro%e2%84%a2-tool-tote-20-pockets-8-inch")</f>
        <v>https://edmondsonsupply.com/products/klein-tools-554158-14-tool-bag-tradesman-pro%e2%84%a2-tool-tote-20-pockets-8-inch</v>
      </c>
      <c r="C3964" t="s">
        <v>662</v>
      </c>
      <c r="D3964" t="s">
        <v>663</v>
      </c>
      <c r="E3964" s="3" t="str">
        <f>HYPERLINK("https://www.amazon.com/Tradesman-8-Inch-Klein-Tools-554158-14/dp/B00MVRGYC8/ref=sr_1_1?keywords=Klein+Tools+554158-14+Tool+Bag%2C+Tradesman+Pro%E2%84%A2+Tool+Tote%2C+20+Pockets%2C+8-Inch&amp;qid=1695174056&amp;sr=8-1", "https://www.amazon.com/Tradesman-8-Inch-Klein-Tools-554158-14/dp/B00MVRGYC8/ref=sr_1_1?keywords=Klein+Tools+554158-14+Tool+Bag%2C+Tradesman+Pro%E2%84%A2+Tool+Tote%2C+20+Pockets%2C+8-Inch&amp;qid=1695174056&amp;sr=8-1")</f>
        <v>https://www.amazon.com/Tradesman-8-Inch-Klein-Tools-554158-14/dp/B00MVRGYC8/ref=sr_1_1?keywords=Klein+Tools+554158-14+Tool+Bag%2C+Tradesman+Pro%E2%84%A2+Tool+Tote%2C+20+Pockets%2C+8-Inch&amp;qid=1695174056&amp;sr=8-1</v>
      </c>
      <c r="F3964" t="s">
        <v>664</v>
      </c>
      <c r="G3964" t="e">
        <f ca="1">_xludf.IMAGE("https://edmondsonsupply.com/cdn/shop/products/554158-14.jpg?v=1681746976")</f>
        <v>#NAME?</v>
      </c>
      <c r="H3964" t="e">
        <f ca="1">_xludf.IMAGE("https://m.media-amazon.com/images/I/61d4kiOTLVL._AC_UL320_.jpg")</f>
        <v>#NAME?</v>
      </c>
      <c r="I3964" t="s">
        <v>665</v>
      </c>
      <c r="J3964">
        <v>72.989999999999995</v>
      </c>
      <c r="K3964" s="4">
        <v>-4.6800000000000001E-2</v>
      </c>
      <c r="L3964">
        <v>4.8</v>
      </c>
      <c r="M3964">
        <v>441</v>
      </c>
      <c r="O3964" t="s">
        <v>25</v>
      </c>
      <c r="P3964" t="s">
        <v>666</v>
      </c>
      <c r="Q3964" t="s">
        <v>667</v>
      </c>
    </row>
    <row r="3965" spans="1:17" ht="15.5" x14ac:dyDescent="0.35">
      <c r="A3965"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3965" s="3" t="str">
        <f>HYPERLINK("https://edmondsonsupply.com/products/klein-tools-vdv427-300-impact-punchdown-tool-66-110-blade", "https://edmondsonsupply.com/products/klein-tools-vdv427-300-impact-punchdown-tool-66-110-blade")</f>
        <v>https://edmondsonsupply.com/products/klein-tools-vdv427-300-impact-punchdown-tool-66-110-blade</v>
      </c>
      <c r="C3965" t="s">
        <v>6289</v>
      </c>
      <c r="D3965" t="s">
        <v>8403</v>
      </c>
      <c r="E3965" s="3" t="str">
        <f>HYPERLINK("https://www.amazon.com/Klein-Tools-KLEBE-VDV427-300-Punchdown/dp/B08J2DN6HC/ref=sr_1_1?keywords=Klein+Tools+VDV427-300+Impact+Punchdown+Tool%2C+66%2F110+Blade&amp;qid=1695174221&amp;sr=8-1", "https://www.amazon.com/Klein-Tools-KLEBE-VDV427-300-Punchdown/dp/B08J2DN6HC/ref=sr_1_1?keywords=Klein+Tools+VDV427-300+Impact+Punchdown+Tool%2C+66%2F110+Blade&amp;qid=1695174221&amp;sr=8-1")</f>
        <v>https://www.amazon.com/Klein-Tools-KLEBE-VDV427-300-Punchdown/dp/B08J2DN6HC/ref=sr_1_1?keywords=Klein+Tools+VDV427-300+Impact+Punchdown+Tool%2C+66%2F110+Blade&amp;qid=1695174221&amp;sr=8-1</v>
      </c>
      <c r="F3965" t="s">
        <v>8404</v>
      </c>
      <c r="G3965" t="e">
        <f ca="1">_xludf.IMAGE("https://edmondsonsupply.com/cdn/shop/products/vdv427300.jpg?v=1646010568")</f>
        <v>#NAME?</v>
      </c>
      <c r="H3965" t="e">
        <f ca="1">_xludf.IMAGE("https://m.media-amazon.com/images/I/51Cdx8nwReL._AC_UL320_.jpg")</f>
        <v>#NAME?</v>
      </c>
      <c r="I3965" t="s">
        <v>246</v>
      </c>
      <c r="J3965">
        <v>38.1</v>
      </c>
      <c r="K3965" s="4">
        <v>-4.6800000000000001E-2</v>
      </c>
      <c r="L3965">
        <v>4.8</v>
      </c>
      <c r="M3965">
        <v>845</v>
      </c>
      <c r="O3965" t="s">
        <v>25</v>
      </c>
      <c r="P3965" t="s">
        <v>1027</v>
      </c>
      <c r="Q3965" t="s">
        <v>6292</v>
      </c>
    </row>
    <row r="3966" spans="1:17" ht="15.5" x14ac:dyDescent="0.35">
      <c r="A3966"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3966"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3966" t="s">
        <v>6802</v>
      </c>
      <c r="D3966" t="s">
        <v>8405</v>
      </c>
      <c r="E3966" s="3" t="str">
        <f>HYPERLINK("https://www.amazon.com/Journeyman-T-Handle-Klein-Tools-JTH4E10/dp/B004ITOH9Y/ref=sr_1_1?keywords=Klein+Tools+JTH4E10+5%2F32-Inch+Hex+Key%2C+Journeyman+T-Handle%2C+4-Inch&amp;qid=1695174219&amp;sr=8-1", "https://www.amazon.com/Journeyman-T-Handle-Klein-Tools-JTH4E10/dp/B004ITOH9Y/ref=sr_1_1?keywords=Klein+Tools+JTH4E10+5%2F32-Inch+Hex+Key%2C+Journeyman+T-Handle%2C+4-Inch&amp;qid=1695174219&amp;sr=8-1")</f>
        <v>https://www.amazon.com/Journeyman-T-Handle-Klein-Tools-JTH4E10/dp/B004ITOH9Y/ref=sr_1_1?keywords=Klein+Tools+JTH4E10+5%2F32-Inch+Hex+Key%2C+Journeyman+T-Handle%2C+4-Inch&amp;qid=1695174219&amp;sr=8-1</v>
      </c>
      <c r="F3966" t="s">
        <v>8406</v>
      </c>
      <c r="G3966" t="e">
        <f ca="1">_xludf.IMAGE("https://edmondsonsupply.com/cdn/shop/products/jth4e17_ce261606-f524-49c5-9cd5-8c9f52dd1e03.jpg?v=1645565342")</f>
        <v>#NAME?</v>
      </c>
      <c r="H3966" t="e">
        <f ca="1">_xludf.IMAGE("https://m.media-amazon.com/images/I/41nYgFaB8fL._AC_UL320_.jpg")</f>
        <v>#NAME?</v>
      </c>
      <c r="I3966" t="s">
        <v>6444</v>
      </c>
      <c r="J3966">
        <v>3.8</v>
      </c>
      <c r="K3966" s="4">
        <v>-4.7600000000000003E-2</v>
      </c>
      <c r="L3966">
        <v>4.8</v>
      </c>
      <c r="M3966">
        <v>2479</v>
      </c>
      <c r="O3966" t="s">
        <v>25</v>
      </c>
      <c r="P3966" t="s">
        <v>2044</v>
      </c>
      <c r="Q3966" t="s">
        <v>6803</v>
      </c>
    </row>
    <row r="3967" spans="1:17" ht="15.5" x14ac:dyDescent="0.35">
      <c r="A3967" s="3" t="str">
        <f>HYPERLINK("https://edmondsonsupply.com/collections/electricians-tools/products/milwaukee-2951-20-m12%E2%84%A2-radio-charger", "https://edmondsonsupply.com/collections/electricians-tools/products/milwaukee-2951-20-m12%E2%84%A2-radio-charger")</f>
        <v>https://edmondsonsupply.com/collections/electricians-tools/products/milwaukee-2951-20-m12%E2%84%A2-radio-charger</v>
      </c>
      <c r="B3967" s="3" t="str">
        <f>HYPERLINK("https://edmondsonsupply.com/products/milwaukee-2951-20-m12%e2%84%a2-radio-charger", "https://edmondsonsupply.com/products/milwaukee-2951-20-m12%e2%84%a2-radio-charger")</f>
        <v>https://edmondsonsupply.com/products/milwaukee-2951-20-m12%e2%84%a2-radio-charger</v>
      </c>
      <c r="C3967" t="s">
        <v>4992</v>
      </c>
      <c r="D3967" t="s">
        <v>4993</v>
      </c>
      <c r="E3967" s="3" t="str">
        <f>HYPERLINK("https://www.amazon.com/Milwaukee-2951-20-Lithium-Ion-Cordless-Bluetooth/dp/B08CL27W51/ref=sr_1_1?keywords=Milwaukee+2951-20+M12%E2%84%A2+Radio+%2B+Charger&amp;qid=1695173919&amp;sr=8-1", "https://www.amazon.com/Milwaukee-2951-20-Lithium-Ion-Cordless-Bluetooth/dp/B08CL27W51/ref=sr_1_1?keywords=Milwaukee+2951-20+M12%E2%84%A2+Radio+%2B+Charger&amp;qid=1695173919&amp;sr=8-1")</f>
        <v>https://www.amazon.com/Milwaukee-2951-20-Lithium-Ion-Cordless-Bluetooth/dp/B08CL27W51/ref=sr_1_1?keywords=Milwaukee+2951-20+M12%E2%84%A2+Radio+%2B+Charger&amp;qid=1695173919&amp;sr=8-1</v>
      </c>
      <c r="F3967" t="s">
        <v>4994</v>
      </c>
      <c r="G3967" t="e">
        <f ca="1">_xludf.IMAGE("https://edmondsonsupply.com/cdn/shop/products/images_2.png?v=1633030610")</f>
        <v>#NAME?</v>
      </c>
      <c r="H3967" t="e">
        <f ca="1">_xludf.IMAGE("https://m.media-amazon.com/images/I/61OrN0BXn+L._AC_UY218_.jpg")</f>
        <v>#NAME?</v>
      </c>
      <c r="I3967" t="s">
        <v>692</v>
      </c>
      <c r="J3967">
        <v>141.86000000000001</v>
      </c>
      <c r="K3967" s="4">
        <v>-4.7899999999999998E-2</v>
      </c>
      <c r="L3967">
        <v>4.7</v>
      </c>
      <c r="M3967">
        <v>913</v>
      </c>
      <c r="O3967" t="s">
        <v>25</v>
      </c>
      <c r="P3967" t="s">
        <v>710</v>
      </c>
      <c r="Q3967" t="s">
        <v>4995</v>
      </c>
    </row>
    <row r="3968" spans="1:17" ht="15.5" x14ac:dyDescent="0.35">
      <c r="A3968" s="3" t="str">
        <f>HYPERLINK("https://edmondsonsupply.com/collections/electricians-tools/products/klein-tools-jth9e06-3-32-inch-hex-key-journeyman%E2%84%A2-t-handle-9-inch", "https://edmondsonsupply.com/collections/electricians-tools/products/klein-tools-jth9e06-3-32-inch-hex-key-journeyman%E2%84%A2-t-handle-9-inch")</f>
        <v>https://edmondsonsupply.com/collections/electricians-tools/products/klein-tools-jth9e06-3-32-inch-hex-key-journeyman%E2%84%A2-t-handle-9-inch</v>
      </c>
      <c r="B3968" s="3" t="str">
        <f>HYPERLINK("https://edmondsonsupply.com/products/klein-tools-jth9e06-3-32-inch-hex-key-journeyman%e2%84%a2-t-handle-9-inch", "https://edmondsonsupply.com/products/klein-tools-jth9e06-3-32-inch-hex-key-journeyman%e2%84%a2-t-handle-9-inch")</f>
        <v>https://edmondsonsupply.com/products/klein-tools-jth9e06-3-32-inch-hex-key-journeyman%e2%84%a2-t-handle-9-inch</v>
      </c>
      <c r="C3968" t="s">
        <v>7332</v>
      </c>
      <c r="D3968" t="s">
        <v>7734</v>
      </c>
      <c r="E3968" s="3" t="str">
        <f>HYPERLINK("https://www.amazon.com/Journeyman-T-Handle-Klein-Tools-JTH9E06/dp/B004QV4A50/ref=sr_1_1?keywords=Klein+Tools+JTH9E06+3%2F32-Inch+Hex+Key%2C+Journeyman%E2%84%A2+T-Handle%2C+9-Inch&amp;qid=1695174164&amp;sr=8-1", "https://www.amazon.com/Journeyman-T-Handle-Klein-Tools-JTH9E06/dp/B004QV4A50/ref=sr_1_1?keywords=Klein+Tools+JTH9E06+3%2F32-Inch+Hex+Key%2C+Journeyman%E2%84%A2+T-Handle%2C+9-Inch&amp;qid=1695174164&amp;sr=8-1")</f>
        <v>https://www.amazon.com/Journeyman-T-Handle-Klein-Tools-JTH9E06/dp/B004QV4A50/ref=sr_1_1?keywords=Klein+Tools+JTH9E06+3%2F32-Inch+Hex+Key%2C+Journeyman%E2%84%A2+T-Handle%2C+9-Inch&amp;qid=1695174164&amp;sr=8-1</v>
      </c>
      <c r="F3968" t="s">
        <v>7735</v>
      </c>
      <c r="G3968" t="e">
        <f ca="1">_xludf.IMAGE("https://edmondsonsupply.com/cdn/shop/products/jth6e15_2136116f-dcd1-4a81-ab1c-471762cb8f3e.jpg?v=1662657547")</f>
        <v>#NAME?</v>
      </c>
      <c r="H3968" t="e">
        <f ca="1">_xludf.IMAGE("https://m.media-amazon.com/images/I/51Yb8h41vLL._AC_UL320_.jpg")</f>
        <v>#NAME?</v>
      </c>
      <c r="I3968" t="s">
        <v>6122</v>
      </c>
      <c r="J3968">
        <v>4.2699999999999996</v>
      </c>
      <c r="K3968" s="4">
        <v>-4.9000000000000002E-2</v>
      </c>
      <c r="L3968">
        <v>4.5999999999999996</v>
      </c>
      <c r="M3968">
        <v>393</v>
      </c>
      <c r="O3968" t="s">
        <v>25</v>
      </c>
      <c r="P3968" t="s">
        <v>6098</v>
      </c>
      <c r="Q3968" t="s">
        <v>7333</v>
      </c>
    </row>
    <row r="3969" spans="1:17" ht="15.5" x14ac:dyDescent="0.35">
      <c r="A3969"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3969"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3969" t="s">
        <v>6344</v>
      </c>
      <c r="D3969" t="s">
        <v>7574</v>
      </c>
      <c r="E3969" s="3" t="str">
        <f>HYPERLINK("https://www.amazon.com/Journeyman-T-Handle-Klein-Tools-JTH9E09/dp/B004QV4ORY/ref=sr_1_1?keywords=Klein+Tools+JTH9E09+9%2F64-Inch+Hex+Key%2C+Journeyman%E2%84%A2+T-Handle%2C+9-Inch&amp;qid=1695174053&amp;sr=8-1", "https://www.amazon.com/Journeyman-T-Handle-Klein-Tools-JTH9E09/dp/B004QV4ORY/ref=sr_1_1?keywords=Klein+Tools+JTH9E09+9%2F64-Inch+Hex+Key%2C+Journeyman%E2%84%A2+T-Handle%2C+9-Inch&amp;qid=1695174053&amp;sr=8-1")</f>
        <v>https://www.amazon.com/Journeyman-T-Handle-Klein-Tools-JTH9E09/dp/B004QV4ORY/ref=sr_1_1?keywords=Klein+Tools+JTH9E09+9%2F64-Inch+Hex+Key%2C+Journeyman%E2%84%A2+T-Handle%2C+9-Inch&amp;qid=1695174053&amp;sr=8-1</v>
      </c>
      <c r="F3969" t="s">
        <v>7575</v>
      </c>
      <c r="G3969" t="e">
        <f ca="1">_xludf.IMAGE("https://edmondsonsupply.com/cdn/shop/files/jth6e15_a82bd56b-ad18-4460-9ae1-33c48a111839.jpg?v=1684942468")</f>
        <v>#NAME?</v>
      </c>
      <c r="H3969" t="e">
        <f ca="1">_xludf.IMAGE("https://m.media-amazon.com/images/I/51Yb8h41vLL._AC_UL320_.jpg")</f>
        <v>#NAME?</v>
      </c>
      <c r="I3969" t="s">
        <v>6122</v>
      </c>
      <c r="J3969">
        <v>4.2699999999999996</v>
      </c>
      <c r="K3969" s="4">
        <v>-4.9000000000000002E-2</v>
      </c>
      <c r="L3969">
        <v>4.5999999999999996</v>
      </c>
      <c r="M3969">
        <v>393</v>
      </c>
      <c r="O3969" t="s">
        <v>25</v>
      </c>
      <c r="P3969" t="s">
        <v>6123</v>
      </c>
      <c r="Q3969" t="s">
        <v>6345</v>
      </c>
    </row>
    <row r="3970" spans="1:17" ht="15.5" x14ac:dyDescent="0.35">
      <c r="A3970"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3970" s="3" t="str">
        <f>HYPERLINK("https://edmondsonsupply.com/products/diablo-tools-dag3070-3-4-in-x-17-1-2-in-auger-bit", "https://edmondsonsupply.com/products/diablo-tools-dag3070-3-4-in-x-17-1-2-in-auger-bit")</f>
        <v>https://edmondsonsupply.com/products/diablo-tools-dag3070-3-4-in-x-17-1-2-in-auger-bit</v>
      </c>
      <c r="C3970" t="s">
        <v>7783</v>
      </c>
      <c r="D3970" t="s">
        <v>7355</v>
      </c>
      <c r="E3970" s="3" t="str">
        <f>HYPERLINK("https://www.amazon.com/Diablo-DAG3100-17-1-Auger-Bit/dp/B089KWFBPH/ref=sr_1_10?keywords=Diablo+Tools+DAG3070+3%2F4+in.+x+17-1%2F2+in.+Auger+Bit&amp;qid=1695174104&amp;sr=8-10", "https://www.amazon.com/Diablo-DAG3100-17-1-Auger-Bit/dp/B089KWFBPH/ref=sr_1_10?keywords=Diablo+Tools+DAG3070+3%2F4+in.+x+17-1%2F2+in.+Auger+Bit&amp;qid=1695174104&amp;sr=8-10")</f>
        <v>https://www.amazon.com/Diablo-DAG3100-17-1-Auger-Bit/dp/B089KWFBPH/ref=sr_1_10?keywords=Diablo+Tools+DAG3070+3%2F4+in.+x+17-1%2F2+in.+Auger+Bit&amp;qid=1695174104&amp;sr=8-10</v>
      </c>
      <c r="F3970" t="s">
        <v>7356</v>
      </c>
      <c r="G3970" t="e">
        <f ca="1">_xludf.IMAGE("https://edmondsonsupply.com/cdn/shop/products/ljatbudptj8xmo1m7sg7.webp?v=1669994151")</f>
        <v>#NAME?</v>
      </c>
      <c r="H3970" t="e">
        <f ca="1">_xludf.IMAGE("https://m.media-amazon.com/images/I/61Lk5PecX2L._AC_UL320_.jpg")</f>
        <v>#NAME?</v>
      </c>
      <c r="I3970" t="s">
        <v>3472</v>
      </c>
      <c r="J3970">
        <v>22.8</v>
      </c>
      <c r="K3970" s="4">
        <v>-4.9599999999999998E-2</v>
      </c>
      <c r="L3970">
        <v>5</v>
      </c>
      <c r="M3970">
        <v>3</v>
      </c>
      <c r="O3970" t="s">
        <v>25</v>
      </c>
      <c r="P3970" t="s">
        <v>7784</v>
      </c>
      <c r="Q3970" t="s">
        <v>7785</v>
      </c>
    </row>
    <row r="3971" spans="1:17" ht="15.5" x14ac:dyDescent="0.35">
      <c r="A3971" s="3" t="str">
        <f>HYPERLINK("https://edmondsonsupply.com/collections/electricians-tools/products/tajima-gp-16bw-g-plus%E2%84%A2-standard-scale-16-ft-x-1-in-steel-blade-tape-measure", "https://edmondsonsupply.com/collections/electricians-tools/products/tajima-gp-16bw-g-plus%E2%84%A2-standard-scale-16-ft-x-1-in-steel-blade-tape-measure")</f>
        <v>https://edmondsonsupply.com/collections/electricians-tools/products/tajima-gp-16bw-g-plus%E2%84%A2-standard-scale-16-ft-x-1-in-steel-blade-tape-measure</v>
      </c>
      <c r="B3971" s="3" t="str">
        <f>HYPERLINK("https://edmondsonsupply.com/products/tajima-gp-16bw-g-plus%e2%84%a2-standard-scale-16-ft-x-1-in-steel-blade-tape-measure", "https://edmondsonsupply.com/products/tajima-gp-16bw-g-plus%e2%84%a2-standard-scale-16-ft-x-1-in-steel-blade-tape-measure")</f>
        <v>https://edmondsonsupply.com/products/tajima-gp-16bw-g-plus%e2%84%a2-standard-scale-16-ft-x-1-in-steel-blade-tape-measure</v>
      </c>
      <c r="C3971" t="s">
        <v>8407</v>
      </c>
      <c r="D3971" t="s">
        <v>8408</v>
      </c>
      <c r="E3971" s="3" t="str">
        <f>HYPERLINK("https://www.amazon.com/TAJIMA-Tape-Measure-Measuring-Armored/dp/B001S2QNPA/ref=sr_1_1?keywords=Tajima+GP-16BW+G-PLUS%E2%84%A2+Standard+Scale%2C+16+ft+x+1+in.+Steel+Blade+Tape+Measure&amp;qid=1695174198&amp;sr=8-1", "https://www.amazon.com/TAJIMA-Tape-Measure-Measuring-Armored/dp/B001S2QNPA/ref=sr_1_1?keywords=Tajima+GP-16BW+G-PLUS%E2%84%A2+Standard+Scale%2C+16+ft+x+1+in.+Steel+Blade+Tape+Measure&amp;qid=1695174198&amp;sr=8-1")</f>
        <v>https://www.amazon.com/TAJIMA-Tape-Measure-Measuring-Armored/dp/B001S2QNPA/ref=sr_1_1?keywords=Tajima+GP-16BW+G-PLUS%E2%84%A2+Standard+Scale%2C+16+ft+x+1+in.+Steel+Blade+Tape+Measure&amp;qid=1695174198&amp;sr=8-1</v>
      </c>
      <c r="F3971" t="s">
        <v>8409</v>
      </c>
      <c r="G3971" t="e">
        <f ca="1">_xludf.IMAGE("https://edmondsonsupply.com/cdn/shop/products/GP-16BW_s-2.jpg?v=1655821133")</f>
        <v>#NAME?</v>
      </c>
      <c r="H3971" t="e">
        <f ca="1">_xludf.IMAGE("https://m.media-amazon.com/images/I/61KUgikKosL._AC_UL320_.jpg")</f>
        <v>#NAME?</v>
      </c>
      <c r="I3971" t="s">
        <v>8410</v>
      </c>
      <c r="J3971">
        <v>29.07</v>
      </c>
      <c r="K3971" s="4">
        <v>-4.9700000000000001E-2</v>
      </c>
      <c r="L3971">
        <v>4.0999999999999996</v>
      </c>
      <c r="M3971">
        <v>112</v>
      </c>
      <c r="O3971" t="s">
        <v>25</v>
      </c>
      <c r="P3971" t="s">
        <v>138</v>
      </c>
      <c r="Q3971" t="s">
        <v>8411</v>
      </c>
    </row>
    <row r="3972" spans="1:17" ht="15.5" x14ac:dyDescent="0.35">
      <c r="A3972" s="3" t="str">
        <f>HYPERLINK("https://edmondsonsupply.com/collections/electricians-tools/products/greenlee-gsb09-1-1-8-step-bit-9", "https://edmondsonsupply.com/collections/electricians-tools/products/greenlee-gsb09-1-1-8-step-bit-9")</f>
        <v>https://edmondsonsupply.com/collections/electricians-tools/products/greenlee-gsb09-1-1-8-step-bit-9</v>
      </c>
      <c r="B3972" s="3" t="str">
        <f>HYPERLINK("https://edmondsonsupply.com/products/greenlee-gsb09-1-1-8-step-bit-9", "https://edmondsonsupply.com/products/greenlee-gsb09-1-1-8-step-bit-9")</f>
        <v>https://edmondsonsupply.com/products/greenlee-gsb09-1-1-8-step-bit-9</v>
      </c>
      <c r="C3972" t="s">
        <v>4952</v>
      </c>
      <c r="D3972" t="s">
        <v>2320</v>
      </c>
      <c r="E3972" s="3" t="str">
        <f>HYPERLINK("https://www.amazon.com/Greenlee-Patented-Split-Step-Design-Cutting/dp/B08TVGF4MS/ref=sr_1_1?keywords=Greenlee+GSB09+1-1%2F8%22+Step+Bit+%28%239%29&amp;qid=1695173992&amp;sr=8-1", "https://www.amazon.com/Greenlee-Patented-Split-Step-Design-Cutting/dp/B08TVGF4MS/ref=sr_1_1?keywords=Greenlee+GSB09+1-1%2F8%22+Step+Bit+%28%239%29&amp;qid=1695173992&amp;sr=8-1")</f>
        <v>https://www.amazon.com/Greenlee-Patented-Split-Step-Design-Cutting/dp/B08TVGF4MS/ref=sr_1_1?keywords=Greenlee+GSB09+1-1%2F8%22+Step+Bit+%28%239%29&amp;qid=1695173992&amp;sr=8-1</v>
      </c>
      <c r="F3972" t="s">
        <v>2321</v>
      </c>
      <c r="G3972" t="e">
        <f ca="1">_xludf.IMAGE("https://edmondsonsupply.com/cdn/shop/files/GSB09_CAT1_72dpi.jpg?v=1687787938")</f>
        <v>#NAME?</v>
      </c>
      <c r="H3972" t="e">
        <f ca="1">_xludf.IMAGE("https://m.media-amazon.com/images/I/41J5YEXJLpL._AC_UY218_.jpg")</f>
        <v>#NAME?</v>
      </c>
      <c r="I3972" t="s">
        <v>4953</v>
      </c>
      <c r="J3972">
        <v>65.81</v>
      </c>
      <c r="K3972" s="4">
        <v>-4.9799999999999997E-2</v>
      </c>
      <c r="L3972">
        <v>3.8</v>
      </c>
      <c r="M3972">
        <v>5</v>
      </c>
      <c r="O3972" t="s">
        <v>25</v>
      </c>
      <c r="P3972" t="s">
        <v>4954</v>
      </c>
      <c r="Q3972" t="s">
        <v>4955</v>
      </c>
    </row>
    <row r="3973" spans="1:17" ht="15.5" x14ac:dyDescent="0.35">
      <c r="A3973"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3973"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3973" t="s">
        <v>8412</v>
      </c>
      <c r="D3973" t="s">
        <v>8034</v>
      </c>
      <c r="E3973" s="3" t="str">
        <f>HYPERLINK("https://www.amazon.com/TAJIMA-GS25-7-5MBW-Standard-Metric/dp/B07KJYHXG2/ref=sr_1_1?keywords=Tajima+GS-25%2F7.5MBW+GS+Lock%E2%84%A2+Standard+%26+Metric+Scale%2C+25+ft%2F+7.5+m+x+1-1%2F16+in.%2F27mm+Steel+Blade+Tape+Measure&amp;qid=1695174191&amp;sr=8-1", "https://www.amazon.com/TAJIMA-GS25-7-5MBW-Standard-Metric/dp/B07KJYHXG2/ref=sr_1_1?keywords=Tajima+GS-25%2F7.5MBW+GS+Lock%E2%84%A2+Standard+%26+Metric+Scale%2C+25+ft%2F+7.5+m+x+1-1%2F16+in.%2F27mm+Steel+Blade+Tape+Measure&amp;qid=1695174191&amp;sr=8-1")</f>
        <v>https://www.amazon.com/TAJIMA-GS25-7-5MBW-Standard-Metric/dp/B07KJYHXG2/ref=sr_1_1?keywords=Tajima+GS-25%2F7.5MBW+GS+Lock%E2%84%A2+Standard+%26+Metric+Scale%2C+25+ft%2F+7.5+m+x+1-1%2F16+in.%2F27mm+Steel+Blade+Tape+Measure&amp;qid=1695174191&amp;sr=8-1</v>
      </c>
      <c r="F3973" t="s">
        <v>8035</v>
      </c>
      <c r="G3973" t="e">
        <f ca="1">_xludf.IMAGE("https://edmondsonsupply.com/cdn/shop/products/GS25-7.5MBW.jpg?v=1655830265")</f>
        <v>#NAME?</v>
      </c>
      <c r="H3973" t="e">
        <f ca="1">_xludf.IMAGE("https://m.media-amazon.com/images/I/51PaItjwi6L._AC_UL320_.jpg")</f>
        <v>#NAME?</v>
      </c>
      <c r="I3973" t="s">
        <v>7638</v>
      </c>
      <c r="J3973">
        <v>40.08</v>
      </c>
      <c r="K3973" s="4">
        <v>-0.05</v>
      </c>
      <c r="L3973">
        <v>4</v>
      </c>
      <c r="M3973">
        <v>46</v>
      </c>
      <c r="O3973" t="s">
        <v>25</v>
      </c>
      <c r="P3973" t="s">
        <v>138</v>
      </c>
      <c r="Q3973" t="s">
        <v>8413</v>
      </c>
    </row>
    <row r="3974" spans="1:17" ht="15.5" x14ac:dyDescent="0.35">
      <c r="A3974" s="3" t="str">
        <f>HYPERLINK("https://edmondsonsupply.com/collections/electricians-tools/products/tajima-gp-25bw-g-plus%E2%84%A2-standard-scale-25-ft-x-1-in-steel-blade-tape-measure", "https://edmondsonsupply.com/collections/electricians-tools/products/tajima-gp-25bw-g-plus%E2%84%A2-standard-scale-25-ft-x-1-in-steel-blade-tape-measure")</f>
        <v>https://edmondsonsupply.com/collections/electricians-tools/products/tajima-gp-25bw-g-plus%E2%84%A2-standard-scale-25-ft-x-1-in-steel-blade-tape-measure</v>
      </c>
      <c r="B3974" s="3" t="str">
        <f>HYPERLINK("https://edmondsonsupply.com/products/tajima-gp-25bw-g-plus%e2%84%a2-standard-scale-25-ft-x-1-in-steel-blade-tape-measure", "https://edmondsonsupply.com/products/tajima-gp-25bw-g-plus%e2%84%a2-standard-scale-25-ft-x-1-in-steel-blade-tape-measure")</f>
        <v>https://edmondsonsupply.com/products/tajima-gp-25bw-g-plus%e2%84%a2-standard-scale-25-ft-x-1-in-steel-blade-tape-measure</v>
      </c>
      <c r="C3974" t="s">
        <v>8414</v>
      </c>
      <c r="D3974" t="s">
        <v>8415</v>
      </c>
      <c r="E3974" s="3" t="str">
        <f>HYPERLINK("https://www.amazon.com/TAJIMA-Tape-Measure-Measuring-Armored/dp/B001S2QNP0/ref=sr_1_1?keywords=Tajima+GP-25BW+G-PLUS%E2%84%A2+Standard+Scale%2C+25+ft+x+1+in.+Steel+Blade+Tape+Measure&amp;qid=1695174184&amp;sr=8-1", "https://www.amazon.com/TAJIMA-Tape-Measure-Measuring-Armored/dp/B001S2QNP0/ref=sr_1_1?keywords=Tajima+GP-25BW+G-PLUS%E2%84%A2+Standard+Scale%2C+25+ft+x+1+in.+Steel+Blade+Tape+Measure&amp;qid=1695174184&amp;sr=8-1")</f>
        <v>https://www.amazon.com/TAJIMA-Tape-Measure-Measuring-Armored/dp/B001S2QNP0/ref=sr_1_1?keywords=Tajima+GP-25BW+G-PLUS%E2%84%A2+Standard+Scale%2C+25+ft+x+1+in.+Steel+Blade+Tape+Measure&amp;qid=1695174184&amp;sr=8-1</v>
      </c>
      <c r="F3974" t="s">
        <v>8416</v>
      </c>
      <c r="G3974" t="e">
        <f ca="1">_xludf.IMAGE("https://edmondsonsupply.com/cdn/shop/products/GP-25BW.jpg?v=1655821525")</f>
        <v>#NAME?</v>
      </c>
      <c r="H3974" t="e">
        <f ca="1">_xludf.IMAGE("https://m.media-amazon.com/images/I/61KXGISx+rL._AC_UL320_.jpg")</f>
        <v>#NAME?</v>
      </c>
      <c r="I3974" t="s">
        <v>8417</v>
      </c>
      <c r="J3974">
        <v>33.43</v>
      </c>
      <c r="K3974" s="4">
        <v>-0.05</v>
      </c>
      <c r="L3974">
        <v>4.0999999999999996</v>
      </c>
      <c r="M3974">
        <v>112</v>
      </c>
      <c r="O3974" t="s">
        <v>25</v>
      </c>
      <c r="P3974" t="s">
        <v>8417</v>
      </c>
      <c r="Q3974" t="s">
        <v>8418</v>
      </c>
    </row>
    <row r="3975" spans="1:17" ht="15.5" x14ac:dyDescent="0.35">
      <c r="A3975" s="3" t="str">
        <f>HYPERLINK("https://edmondsonsupply.com/collections/electricians-tools/products/tajima-gs-16bw-gs-lock%E2%84%A2-standard-scale-16-ft-x-1-in-steel-blade-tape-measure", "https://edmondsonsupply.com/collections/electricians-tools/products/tajima-gs-16bw-gs-lock%E2%84%A2-standard-scale-16-ft-x-1-in-steel-blade-tape-measure")</f>
        <v>https://edmondsonsupply.com/collections/electricians-tools/products/tajima-gs-16bw-gs-lock%E2%84%A2-standard-scale-16-ft-x-1-in-steel-blade-tape-measure</v>
      </c>
      <c r="B3975" s="3" t="str">
        <f>HYPERLINK("https://edmondsonsupply.com/products/tajima-gs-16bw-gs-lock%e2%84%a2-standard-scale-16-ft-x-1-in-steel-blade-tape-measure", "https://edmondsonsupply.com/products/tajima-gs-16bw-gs-lock%e2%84%a2-standard-scale-16-ft-x-1-in-steel-blade-tape-measure")</f>
        <v>https://edmondsonsupply.com/products/tajima-gs-16bw-gs-lock%e2%84%a2-standard-scale-16-ft-x-1-in-steel-blade-tape-measure</v>
      </c>
      <c r="C3975" t="s">
        <v>8419</v>
      </c>
      <c r="D3975" t="s">
        <v>8013</v>
      </c>
      <c r="E3975" s="3" t="str">
        <f>HYPERLINK("https://www.amazon.com/TAJIMA-GS-16-5MBW-Standard-Metric/dp/B07KK4HWTX/ref=sr_1_3?keywords=Tajima+GS-16BW+GS+Lock%E2%84%A2+Standard+Scale%2C+16+ft+x+1+in.+Steel+Blade+Tape+Measure&amp;qid=1695174200&amp;sr=8-3", "https://www.amazon.com/TAJIMA-GS-16-5MBW-Standard-Metric/dp/B07KK4HWTX/ref=sr_1_3?keywords=Tajima+GS-16BW+GS+Lock%E2%84%A2+Standard+Scale%2C+16+ft+x+1+in.+Steel+Blade+Tape+Measure&amp;qid=1695174200&amp;sr=8-3")</f>
        <v>https://www.amazon.com/TAJIMA-GS-16-5MBW-Standard-Metric/dp/B07KK4HWTX/ref=sr_1_3?keywords=Tajima+GS-16BW+GS+Lock%E2%84%A2+Standard+Scale%2C+16+ft+x+1+in.+Steel+Blade+Tape+Measure&amp;qid=1695174200&amp;sr=8-3</v>
      </c>
      <c r="F3975" t="s">
        <v>8014</v>
      </c>
      <c r="G3975" t="e">
        <f ca="1">_xludf.IMAGE("https://edmondsonsupply.com/cdn/shop/products/GS16BW.jpg?v=1655827309")</f>
        <v>#NAME?</v>
      </c>
      <c r="H3975" t="e">
        <f ca="1">_xludf.IMAGE("https://m.media-amazon.com/images/I/51vAY18AaEL._AC_UL320_.jpg")</f>
        <v>#NAME?</v>
      </c>
      <c r="I3975" t="s">
        <v>8016</v>
      </c>
      <c r="J3975">
        <v>27.92</v>
      </c>
      <c r="K3975" s="4">
        <v>-0.05</v>
      </c>
      <c r="L3975">
        <v>4</v>
      </c>
      <c r="M3975">
        <v>46</v>
      </c>
      <c r="O3975" t="s">
        <v>25</v>
      </c>
      <c r="P3975" t="s">
        <v>138</v>
      </c>
      <c r="Q3975" t="s">
        <v>8420</v>
      </c>
    </row>
    <row r="3976" spans="1:17" ht="15.5" x14ac:dyDescent="0.35">
      <c r="A3976" s="3" t="str">
        <f>HYPERLINK("https://edmondsonsupply.com/collections/electricians-tools/products/klein-tools-56402-cap-visor-light-led", "https://edmondsonsupply.com/collections/electricians-tools/products/klein-tools-56402-cap-visor-light-led")</f>
        <v>https://edmondsonsupply.com/collections/electricians-tools/products/klein-tools-56402-cap-visor-light-led</v>
      </c>
      <c r="B3976" s="3" t="str">
        <f>HYPERLINK("https://edmondsonsupply.com/products/klein-tools-56402-cap-visor-light-led", "https://edmondsonsupply.com/products/klein-tools-56402-cap-visor-light-led")</f>
        <v>https://edmondsonsupply.com/products/klein-tools-56402-cap-visor-light-led</v>
      </c>
      <c r="C3976" t="s">
        <v>4956</v>
      </c>
      <c r="D3976" t="s">
        <v>4957</v>
      </c>
      <c r="E3976" s="3" t="str">
        <f>HYPERLINK("https://www.amazon.com/Klein-Tools-56402-Pivoting-Batteries/dp/B07PST59RV/ref=sr_1_1?keywords=Klein+Tools+56402+Cap+Visor+LED+Light&amp;qid=1695173935&amp;sr=8-1", "https://www.amazon.com/Klein-Tools-56402-Pivoting-Batteries/dp/B07PST59RV/ref=sr_1_1?keywords=Klein+Tools+56402+Cap+Visor+LED+Light&amp;qid=1695173935&amp;sr=8-1")</f>
        <v>https://www.amazon.com/Klein-Tools-56402-Pivoting-Batteries/dp/B07PST59RV/ref=sr_1_1?keywords=Klein+Tools+56402+Cap+Visor+LED+Light&amp;qid=1695173935&amp;sr=8-1</v>
      </c>
      <c r="F3976" t="s">
        <v>4958</v>
      </c>
      <c r="G3976" t="e">
        <f ca="1">_xludf.IMAGE("https://edmondsonsupply.com/cdn/shop/products/56402.jpg?v=1587143311")</f>
        <v>#NAME?</v>
      </c>
      <c r="H3976" t="e">
        <f ca="1">_xludf.IMAGE("https://m.media-amazon.com/images/I/51Wj09Yog+L._AC_UL320_.jpg")</f>
        <v>#NAME?</v>
      </c>
      <c r="I3976" t="s">
        <v>893</v>
      </c>
      <c r="J3976">
        <v>18.97</v>
      </c>
      <c r="K3976" s="4">
        <v>-5.0099999999999999E-2</v>
      </c>
      <c r="L3976">
        <v>4.4000000000000004</v>
      </c>
      <c r="M3976">
        <v>1202</v>
      </c>
      <c r="O3976" t="s">
        <v>25</v>
      </c>
      <c r="P3976" t="s">
        <v>4959</v>
      </c>
      <c r="Q3976" t="s">
        <v>4960</v>
      </c>
    </row>
    <row r="3977" spans="1:17" ht="15.5" x14ac:dyDescent="0.35">
      <c r="A3977"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3977" s="3" t="str">
        <f>HYPERLINK("https://edmondsonsupply.com/products/fluke-62-max-mini-infrared-thermometer", "https://edmondsonsupply.com/products/fluke-62-max-mini-infrared-thermometer")</f>
        <v>https://edmondsonsupply.com/products/fluke-62-max-mini-infrared-thermometer</v>
      </c>
      <c r="C3977" t="s">
        <v>2312</v>
      </c>
      <c r="D3977" t="s">
        <v>4961</v>
      </c>
      <c r="E3977" s="3" t="str">
        <f>HYPERLINK("https://www.amazon.com/Fluke-MAX-Thermometer-Contact-Degree/dp/B008EW837S/ref=sr_1_1?keywords=Fluke+62+MAX+Mini+Infrared+Thermometer&amp;qid=1695173898&amp;sr=8-1", "https://www.amazon.com/Fluke-MAX-Thermometer-Contact-Degree/dp/B008EW837S/ref=sr_1_1?keywords=Fluke+62+MAX+Mini+Infrared+Thermometer&amp;qid=1695173898&amp;sr=8-1")</f>
        <v>https://www.amazon.com/Fluke-MAX-Thermometer-Contact-Degree/dp/B008EW837S/ref=sr_1_1?keywords=Fluke+62+MAX+Mini+Infrared+Thermometer&amp;qid=1695173898&amp;sr=8-1</v>
      </c>
      <c r="F3977" t="s">
        <v>4962</v>
      </c>
      <c r="G3977" t="e">
        <f ca="1">_xludf.IMAGE("https://edmondsonsupply.com/cdn/shop/products/62max.jpg?v=1633030769")</f>
        <v>#NAME?</v>
      </c>
      <c r="H3977" t="e">
        <f ca="1">_xludf.IMAGE("https://m.media-amazon.com/images/I/51QB7aenW8L._AC_UY218_.jpg")</f>
        <v>#NAME?</v>
      </c>
      <c r="I3977" t="s">
        <v>2315</v>
      </c>
      <c r="J3977">
        <v>116.8</v>
      </c>
      <c r="K3977" s="4">
        <v>-5.0299999999999997E-2</v>
      </c>
      <c r="L3977">
        <v>4.7</v>
      </c>
      <c r="M3977">
        <v>1713</v>
      </c>
      <c r="O3977" t="s">
        <v>171</v>
      </c>
      <c r="P3977" t="s">
        <v>460</v>
      </c>
      <c r="Q3977" t="s">
        <v>2316</v>
      </c>
    </row>
    <row r="3978" spans="1:17" ht="15.5" x14ac:dyDescent="0.35">
      <c r="A3978" s="3" t="str">
        <f>HYPERLINK("https://edmondsonsupply.com/collections/electricians-tools/products/klein-tools-56221-led-clip-light", "https://edmondsonsupply.com/collections/electricians-tools/products/klein-tools-56221-led-clip-light")</f>
        <v>https://edmondsonsupply.com/collections/electricians-tools/products/klein-tools-56221-led-clip-light</v>
      </c>
      <c r="B3978" s="3" t="str">
        <f>HYPERLINK("https://edmondsonsupply.com/products/klein-tools-56221-led-clip-light", "https://edmondsonsupply.com/products/klein-tools-56221-led-clip-light")</f>
        <v>https://edmondsonsupply.com/products/klein-tools-56221-led-clip-light</v>
      </c>
      <c r="C3978" t="s">
        <v>6707</v>
      </c>
      <c r="D3978" t="s">
        <v>4957</v>
      </c>
      <c r="E3978" s="3" t="str">
        <f>HYPERLINK("https://www.amazon.com/Klein-Tools-56402-Pivoting-Batteries/dp/B07PST59RV/ref=sr_1_3?keywords=Klein+Tools+56221+LED+Clip+Light&amp;qid=1695174297&amp;sr=8-3", "https://www.amazon.com/Klein-Tools-56402-Pivoting-Batteries/dp/B07PST59RV/ref=sr_1_3?keywords=Klein+Tools+56221+LED+Clip+Light&amp;qid=1695174297&amp;sr=8-3")</f>
        <v>https://www.amazon.com/Klein-Tools-56402-Pivoting-Batteries/dp/B07PST59RV/ref=sr_1_3?keywords=Klein+Tools+56221+LED+Clip+Light&amp;qid=1695174297&amp;sr=8-3</v>
      </c>
      <c r="F3978" t="s">
        <v>4958</v>
      </c>
      <c r="G3978" t="e">
        <f ca="1">_xludf.IMAGE("https://edmondsonsupply.com/cdn/shop/products/56221.jpg?v=1633030868")</f>
        <v>#NAME?</v>
      </c>
      <c r="H3978" t="e">
        <f ca="1">_xludf.IMAGE("https://m.media-amazon.com/images/I/51Wj09Yog+L._AC_UL320_.jpg")</f>
        <v>#NAME?</v>
      </c>
      <c r="I3978" t="s">
        <v>577</v>
      </c>
      <c r="J3978">
        <v>18.97</v>
      </c>
      <c r="K3978" s="4">
        <v>-5.0999999999999997E-2</v>
      </c>
      <c r="L3978">
        <v>4.4000000000000004</v>
      </c>
      <c r="M3978">
        <v>1202</v>
      </c>
      <c r="O3978" t="s">
        <v>25</v>
      </c>
      <c r="P3978" t="s">
        <v>6144</v>
      </c>
      <c r="Q3978" t="s">
        <v>6710</v>
      </c>
    </row>
    <row r="3979" spans="1:17" ht="15.5" x14ac:dyDescent="0.35">
      <c r="A3979" s="3" t="str">
        <f>HYPERLINK("https://edmondsonsupply.com/collections/electricians-tools/products/crescent-wiss-whn1n-8-3-4-hand-notcher", "https://edmondsonsupply.com/collections/electricians-tools/products/crescent-wiss-whn1n-8-3-4-hand-notcher")</f>
        <v>https://edmondsonsupply.com/collections/electricians-tools/products/crescent-wiss-whn1n-8-3-4-hand-notcher</v>
      </c>
      <c r="B3979" s="3" t="str">
        <f>HYPERLINK("https://edmondsonsupply.com/products/crescent-wiss-whn1n-8-3-4-hand-notcher", "https://edmondsonsupply.com/products/crescent-wiss-whn1n-8-3-4-hand-notcher")</f>
        <v>https://edmondsonsupply.com/products/crescent-wiss-whn1n-8-3-4-hand-notcher</v>
      </c>
      <c r="C3979" t="s">
        <v>8421</v>
      </c>
      <c r="D3979" t="s">
        <v>8422</v>
      </c>
      <c r="E3979" s="3" t="str">
        <f>HYPERLINK("https://www.amazon.com/Wiss-WHN1N-HVAC-Duct-Notcher/dp/B06XCD4DY3/ref=sr_1_1?keywords=Crescent+Wiss+WHN1N+8-3%2F4%22+Hand+Notcher&amp;qid=1695174036&amp;sr=8-1", "https://www.amazon.com/Wiss-WHN1N-HVAC-Duct-Notcher/dp/B06XCD4DY3/ref=sr_1_1?keywords=Crescent+Wiss+WHN1N+8-3%2F4%22+Hand+Notcher&amp;qid=1695174036&amp;sr=8-1")</f>
        <v>https://www.amazon.com/Wiss-WHN1N-HVAC-Duct-Notcher/dp/B06XCD4DY3/ref=sr_1_1?keywords=Crescent+Wiss+WHN1N+8-3%2F4%22+Hand+Notcher&amp;qid=1695174036&amp;sr=8-1</v>
      </c>
      <c r="F3979" t="s">
        <v>8423</v>
      </c>
      <c r="G3979" t="e">
        <f ca="1">_xludf.IMAGE("https://edmondsonsupply.com/cdn/shop/products/WIS_WHN1N_IMG-MAIN.jpg?v=1679677764")</f>
        <v>#NAME?</v>
      </c>
      <c r="H3979" t="e">
        <f ca="1">_xludf.IMAGE("https://m.media-amazon.com/images/I/81vaWRQbZiL._AC_UL320_.jpg")</f>
        <v>#NAME?</v>
      </c>
      <c r="I3979" t="s">
        <v>8424</v>
      </c>
      <c r="J3979">
        <v>44.99</v>
      </c>
      <c r="K3979" s="4">
        <v>-5.0999999999999997E-2</v>
      </c>
      <c r="L3979">
        <v>3.9</v>
      </c>
      <c r="M3979">
        <v>33</v>
      </c>
      <c r="O3979" t="s">
        <v>25</v>
      </c>
      <c r="P3979" t="s">
        <v>8425</v>
      </c>
      <c r="Q3979" t="s">
        <v>8426</v>
      </c>
    </row>
    <row r="3980" spans="1:17" ht="15.5" x14ac:dyDescent="0.35">
      <c r="A3980" s="3" t="str">
        <f>HYPERLINK("https://edmondsonsupply.com/collections/electricians-tools/products/klein-tools-jth6e12be", "https://edmondsonsupply.com/collections/electricians-tools/products/klein-tools-jth6e12be")</f>
        <v>https://edmondsonsupply.com/collections/electricians-tools/products/klein-tools-jth6e12be</v>
      </c>
      <c r="B3980" s="3" t="str">
        <f>HYPERLINK("https://edmondsonsupply.com/products/klein-tools-jth6e12be", "https://edmondsonsupply.com/products/klein-tools-jth6e12be")</f>
        <v>https://edmondsonsupply.com/products/klein-tools-jth6e12be</v>
      </c>
      <c r="C3980" t="s">
        <v>6914</v>
      </c>
      <c r="D3980" t="s">
        <v>7444</v>
      </c>
      <c r="E3980" s="3" t="str">
        <f>HYPERLINK("https://www.amazon.com/Journeyman-T-Handle-Klein-Tools-JTH6E12BE/dp/B004QW74L6/ref=sr_1_1?keywords=Klein+Tools+JTH6E12BE+7%2F32-Inch+Ball-End+Hex+Key%2C+Journeyman%E2%84%A2+T-Handle%2C+6-Inch&amp;qid=1695174135&amp;sr=8-1", "https://www.amazon.com/Journeyman-T-Handle-Klein-Tools-JTH6E12BE/dp/B004QW74L6/ref=sr_1_1?keywords=Klein+Tools+JTH6E12BE+7%2F32-Inch+Ball-End+Hex+Key%2C+Journeyman%E2%84%A2+T-Handle%2C+6-Inch&amp;qid=1695174135&amp;sr=8-1")</f>
        <v>https://www.amazon.com/Journeyman-T-Handle-Klein-Tools-JTH6E12BE/dp/B004QW74L6/ref=sr_1_1?keywords=Klein+Tools+JTH6E12BE+7%2F32-Inch+Ball-End+Hex+Key%2C+Journeyman%E2%84%A2+T-Handle%2C+6-Inch&amp;qid=1695174135&amp;sr=8-1</v>
      </c>
      <c r="F3980" t="s">
        <v>7445</v>
      </c>
      <c r="G3980" t="e">
        <f ca="1">_xludf.IMAGE("https://edmondsonsupply.com/cdn/shop/products/jth6e13be_a85bb43d-b61b-410b-8eb2-5915b239751a.jpg?v=1666110771")</f>
        <v>#NAME?</v>
      </c>
      <c r="H3980" t="e">
        <f ca="1">_xludf.IMAGE("https://m.media-amazon.com/images/I/51f9vBFVXgL._AC_UL320_.jpg")</f>
        <v>#NAME?</v>
      </c>
      <c r="I3980" t="s">
        <v>4617</v>
      </c>
      <c r="J3980">
        <v>6.15</v>
      </c>
      <c r="K3980" s="4">
        <v>-5.2400000000000002E-2</v>
      </c>
      <c r="L3980">
        <v>4.5</v>
      </c>
      <c r="M3980">
        <v>9</v>
      </c>
      <c r="O3980" t="s">
        <v>25</v>
      </c>
      <c r="P3980" t="s">
        <v>6917</v>
      </c>
      <c r="Q3980" t="s">
        <v>6918</v>
      </c>
    </row>
    <row r="3981" spans="1:17" ht="15.5" x14ac:dyDescent="0.35">
      <c r="A3981"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3981" s="3" t="str">
        <f>HYPERLINK("https://edmondsonsupply.com/products/klein-tools-630m-magnetic-nut-driver-set-3-inch-shafts-2-piece", "https://edmondsonsupply.com/products/klein-tools-630m-magnetic-nut-driver-set-3-inch-shafts-2-piece")</f>
        <v>https://edmondsonsupply.com/products/klein-tools-630m-magnetic-nut-driver-set-3-inch-shafts-2-piece</v>
      </c>
      <c r="C3981" t="s">
        <v>1690</v>
      </c>
      <c r="D3981" t="s">
        <v>4058</v>
      </c>
      <c r="E3981" s="3" t="str">
        <f>HYPERLINK("https://www.amazon.com/Klein-Tools-610M-16-Inch-Magnetic/dp/B00093DZO6/ref=sr_1_4?keywords=Klein+Tools+630M+Magnetic+Nut+Driver+Set%2C+3-Inch+Shafts%2C+2-Piece&amp;qid=1695173928&amp;sr=8-4", "https://www.amazon.com/Klein-Tools-610M-16-Inch-Magnetic/dp/B00093DZO6/ref=sr_1_4?keywords=Klein+Tools+630M+Magnetic+Nut+Driver+Set%2C+3-Inch+Shafts%2C+2-Piece&amp;qid=1695173928&amp;sr=8-4")</f>
        <v>https://www.amazon.com/Klein-Tools-610M-16-Inch-Magnetic/dp/B00093DZO6/ref=sr_1_4?keywords=Klein+Tools+630M+Magnetic+Nut+Driver+Set%2C+3-Inch+Shafts%2C+2-Piece&amp;qid=1695173928&amp;sr=8-4</v>
      </c>
      <c r="F3981" t="s">
        <v>4059</v>
      </c>
      <c r="G3981" t="e">
        <f ca="1">_xludf.IMAGE("https://edmondsonsupply.com/cdn/shop/products/630m.jpg?v=1587143237")</f>
        <v>#NAME?</v>
      </c>
      <c r="H3981" t="e">
        <f ca="1">_xludf.IMAGE("https://m.media-amazon.com/images/I/51lgiheW64L._AC_UL320_.jpg")</f>
        <v>#NAME?</v>
      </c>
      <c r="I3981" t="s">
        <v>1687</v>
      </c>
      <c r="J3981">
        <v>17.989999999999998</v>
      </c>
      <c r="K3981" s="4">
        <v>-5.2699999999999997E-2</v>
      </c>
      <c r="L3981">
        <v>4.8</v>
      </c>
      <c r="M3981">
        <v>559</v>
      </c>
      <c r="O3981" t="s">
        <v>25</v>
      </c>
      <c r="P3981" t="s">
        <v>1693</v>
      </c>
      <c r="Q3981" t="s">
        <v>1694</v>
      </c>
    </row>
    <row r="3982" spans="1:17" ht="15.5" x14ac:dyDescent="0.35">
      <c r="A3982"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3982" s="3" t="str">
        <f>HYPERLINK("https://edmondsonsupply.com/products/diablo-tools-d0760x-7-1-4-in-x-60-tooth-ultra-finish-saw-blade", "https://edmondsonsupply.com/products/diablo-tools-d0760x-7-1-4-in-x-60-tooth-ultra-finish-saw-blade")</f>
        <v>https://edmondsonsupply.com/products/diablo-tools-d0760x-7-1-4-in-x-60-tooth-ultra-finish-saw-blade</v>
      </c>
      <c r="C3982" t="s">
        <v>6011</v>
      </c>
      <c r="D3982" t="s">
        <v>8427</v>
      </c>
      <c r="E3982" s="3" t="str">
        <f>HYPERLINK("https://www.amazon.com/Freud-D0760X-Diablo-Finish-4-Inch/dp/B001CZEU0S/ref=sr_1_2?keywords=Diablo+Tools+D0760X+7-1%2F4+in.+x+60+Tooth+Ultra+Finish+Saw+Blade&amp;qid=1695174054&amp;sr=8-2", "https://www.amazon.com/Freud-D0760X-Diablo-Finish-4-Inch/dp/B001CZEU0S/ref=sr_1_2?keywords=Diablo+Tools+D0760X+7-1%2F4+in.+x+60+Tooth+Ultra+Finish+Saw+Blade&amp;qid=1695174054&amp;sr=8-2")</f>
        <v>https://www.amazon.com/Freud-D0760X-Diablo-Finish-4-Inch/dp/B001CZEU0S/ref=sr_1_2?keywords=Diablo+Tools+D0760X+7-1%2F4+in.+x+60+Tooth+Ultra+Finish+Saw+Blade&amp;qid=1695174054&amp;sr=8-2</v>
      </c>
      <c r="F3982" t="s">
        <v>8428</v>
      </c>
      <c r="G3982" t="e">
        <f ca="1">_xludf.IMAGE("https://edmondsonsupply.com/cdn/shop/products/vlfiqrihhfwf5bxirasx.webp?v=1678977162")</f>
        <v>#NAME?</v>
      </c>
      <c r="H3982" t="e">
        <f ca="1">_xludf.IMAGE("https://m.media-amazon.com/images/I/61aig0rMpZS._AC_UL320_.jpg")</f>
        <v>#NAME?</v>
      </c>
      <c r="I3982" t="s">
        <v>893</v>
      </c>
      <c r="J3982">
        <v>18.899999999999999</v>
      </c>
      <c r="K3982" s="4">
        <v>-5.3600000000000002E-2</v>
      </c>
      <c r="L3982">
        <v>4.8</v>
      </c>
      <c r="M3982">
        <v>1393</v>
      </c>
      <c r="O3982" t="s">
        <v>25</v>
      </c>
      <c r="P3982" t="s">
        <v>6014</v>
      </c>
      <c r="Q3982" t="s">
        <v>6015</v>
      </c>
    </row>
    <row r="3983" spans="1:17" ht="15.5" x14ac:dyDescent="0.35">
      <c r="A3983" s="3" t="str">
        <f>HYPERLINK("https://edmondsonsupply.com/collections/electricians-tools/products/klein-tools-29025-modular-battery-for-klein-tools-cat-no-60155-hard-hat-cooling-fan", "https://edmondsonsupply.com/collections/electricians-tools/products/klein-tools-29025-modular-battery-for-klein-tools-cat-no-60155-hard-hat-cooling-fan")</f>
        <v>https://edmondsonsupply.com/collections/electricians-tools/products/klein-tools-29025-modular-battery-for-klein-tools-cat-no-60155-hard-hat-cooling-fan</v>
      </c>
      <c r="B3983"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3983" t="s">
        <v>827</v>
      </c>
      <c r="D3983" t="s">
        <v>1258</v>
      </c>
      <c r="E3983" s="3" t="str">
        <f>HYPERLINK("https://www.amazon.com/Klein-Tools-29025-Rechargeable-Lithium-ion/dp/B09H3MYQ95/ref=sr_1_1?keywords=Klein+Tools+29025+Modular+Battery+for+Klein+Tools+Cat.+No.+60155+Hard+Hat+Cooling+Fan&amp;qid=1695174158&amp;sr=8-1", "https://www.amazon.com/Klein-Tools-29025-Rechargeable-Lithium-ion/dp/B09H3MYQ95/ref=sr_1_1?keywords=Klein+Tools+29025+Modular+Battery+for+Klein+Tools+Cat.+No.+60155+Hard+Hat+Cooling+Fan&amp;qid=1695174158&amp;sr=8-1")</f>
        <v>https://www.amazon.com/Klein-Tools-29025-Rechargeable-Lithium-ion/dp/B09H3MYQ95/ref=sr_1_1?keywords=Klein+Tools+29025+Modular+Battery+for+Klein+Tools+Cat.+No.+60155+Hard+Hat+Cooling+Fan&amp;qid=1695174158&amp;sr=8-1</v>
      </c>
      <c r="F3983" t="s">
        <v>1259</v>
      </c>
      <c r="G3983" t="e">
        <f ca="1">_xludf.IMAGE("https://edmondsonsupply.com/cdn/shop/products/29025.jpg?v=1664802987")</f>
        <v>#NAME?</v>
      </c>
      <c r="H3983" t="e">
        <f ca="1">_xludf.IMAGE("https://m.media-amazon.com/images/I/41+jmEnDWdL._AC_UL320_.jpg")</f>
        <v>#NAME?</v>
      </c>
      <c r="I3983" t="s">
        <v>830</v>
      </c>
      <c r="J3983">
        <v>34.99</v>
      </c>
      <c r="K3983" s="4">
        <v>-5.4100000000000002E-2</v>
      </c>
      <c r="L3983">
        <v>4</v>
      </c>
      <c r="M3983">
        <v>148</v>
      </c>
      <c r="O3983" t="s">
        <v>25</v>
      </c>
      <c r="P3983" t="s">
        <v>831</v>
      </c>
      <c r="Q3983" t="s">
        <v>832</v>
      </c>
    </row>
    <row r="3984" spans="1:17" ht="15.5" x14ac:dyDescent="0.35">
      <c r="A3984"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3984"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3984" t="s">
        <v>6861</v>
      </c>
      <c r="D3984" t="s">
        <v>8429</v>
      </c>
      <c r="E3984" s="3" t="str">
        <f>HYPERLINK("https://www.amazon.com/Klein-Tools-Digital-Clamp-Meter/dp/B07G7BZTV3/ref=sr_1_8?keywords=Klein+Tools+CL220+Digital+Clamp+Meter%2C+AC+Auto-Ranging+400+Amp+with+Temp&amp;qid=1695174305&amp;sr=8-8", "https://www.amazon.com/Klein-Tools-Digital-Clamp-Meter/dp/B07G7BZTV3/ref=sr_1_8?keywords=Klein+Tools+CL220+Digital+Clamp+Meter%2C+AC+Auto-Ranging+400+Amp+with+Temp&amp;qid=1695174305&amp;sr=8-8")</f>
        <v>https://www.amazon.com/Klein-Tools-Digital-Clamp-Meter/dp/B07G7BZTV3/ref=sr_1_8?keywords=Klein+Tools+CL220+Digital+Clamp+Meter%2C+AC+Auto-Ranging+400+Amp+with+Temp&amp;qid=1695174305&amp;sr=8-8</v>
      </c>
      <c r="F3984" t="s">
        <v>8430</v>
      </c>
      <c r="G3984" t="e">
        <f ca="1">_xludf.IMAGE("https://edmondsonsupply.com/cdn/shop/products/cl220.jpg?v=1633030821")</f>
        <v>#NAME?</v>
      </c>
      <c r="H3984" t="e">
        <f ca="1">_xludf.IMAGE("https://m.media-amazon.com/images/I/51Dx4d1AI-L._AC_UY218_.jpg")</f>
        <v>#NAME?</v>
      </c>
      <c r="I3984" t="s">
        <v>356</v>
      </c>
      <c r="J3984">
        <v>66.16</v>
      </c>
      <c r="K3984" s="4">
        <v>-5.45E-2</v>
      </c>
      <c r="L3984">
        <v>4.5999999999999996</v>
      </c>
      <c r="M3984">
        <v>73</v>
      </c>
      <c r="O3984" t="s">
        <v>25</v>
      </c>
      <c r="P3984" t="s">
        <v>6864</v>
      </c>
      <c r="Q3984" t="s">
        <v>6865</v>
      </c>
    </row>
    <row r="3985" spans="1:17" ht="15.5" x14ac:dyDescent="0.35">
      <c r="A3985"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3985"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3985" t="s">
        <v>7100</v>
      </c>
      <c r="D3985" t="s">
        <v>7662</v>
      </c>
      <c r="E3985" s="3" t="str">
        <f>HYPERLINK("https://www.amazon.com/Diablo-Freud-DOU125BF3-Universal-Oscillating/dp/B089KTHL1Z/ref=sr_1_7?keywords=Diablo+Tools+DOU125JBW+1-1%2F4+in.+Universal+Fit+Bi-Metal+Oscillating+Blades+for+Clean+Wood&amp;qid=1695174246&amp;sr=8-7", "https://www.amazon.com/Diablo-Freud-DOU125BF3-Universal-Oscillating/dp/B089KTHL1Z/ref=sr_1_7?keywords=Diablo+Tools+DOU125JBW+1-1%2F4+in.+Universal+Fit+Bi-Metal+Oscillating+Blades+for+Clean+Wood&amp;qid=1695174246&amp;sr=8-7")</f>
        <v>https://www.amazon.com/Diablo-Freud-DOU125BF3-Universal-Oscillating/dp/B089KTHL1Z/ref=sr_1_7?keywords=Diablo+Tools+DOU125JBW+1-1%2F4+in.+Universal+Fit+Bi-Metal+Oscillating+Blades+for+Clean+Wood&amp;qid=1695174246&amp;sr=8-7</v>
      </c>
      <c r="F3985" t="s">
        <v>7663</v>
      </c>
      <c r="G3985" t="e">
        <f ca="1">_xludf.IMAGE("https://edmondsonsupply.com/cdn/shop/products/DOU125JBW_Main-Image.png?v=1633638363")</f>
        <v>#NAME?</v>
      </c>
      <c r="H3985" t="e">
        <f ca="1">_xludf.IMAGE("https://m.media-amazon.com/images/I/61mZfXlj-XL._AC_UL320_.jpg")</f>
        <v>#NAME?</v>
      </c>
      <c r="I3985" t="s">
        <v>2586</v>
      </c>
      <c r="J3985">
        <v>16.989999999999998</v>
      </c>
      <c r="K3985" s="4">
        <v>-5.45E-2</v>
      </c>
      <c r="L3985">
        <v>4.2</v>
      </c>
      <c r="M3985">
        <v>14</v>
      </c>
      <c r="O3985" t="s">
        <v>25</v>
      </c>
      <c r="P3985" t="s">
        <v>6943</v>
      </c>
      <c r="Q3985" t="s">
        <v>7103</v>
      </c>
    </row>
    <row r="3986" spans="1:17" ht="15.5" x14ac:dyDescent="0.35">
      <c r="A3986"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3986"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3986" t="s">
        <v>6948</v>
      </c>
      <c r="D3986" t="s">
        <v>8254</v>
      </c>
      <c r="E3986" s="3" t="str">
        <f>HYPERLINK("https://www.amazon.com/Screwdriver-Terminal-Klein-Tools-612-4/dp/B0058I6VNE/ref=sr_1_10?keywords=Klein+Tools+602-4+1%2F4-Inch+Keystone+Screwdriver%2C+4-Inch+Round+Shank&amp;qid=1695174315&amp;sr=8-10", "https://www.amazon.com/Screwdriver-Terminal-Klein-Tools-612-4/dp/B0058I6VNE/ref=sr_1_10?keywords=Klein+Tools+602-4+1%2F4-Inch+Keystone+Screwdriver%2C+4-Inch+Round+Shank&amp;qid=1695174315&amp;sr=8-10")</f>
        <v>https://www.amazon.com/Screwdriver-Terminal-Klein-Tools-612-4/dp/B0058I6VNE/ref=sr_1_10?keywords=Klein+Tools+602-4+1%2F4-Inch+Keystone+Screwdriver%2C+4-Inch+Round+Shank&amp;qid=1695174315&amp;sr=8-10</v>
      </c>
      <c r="F3986" t="s">
        <v>8255</v>
      </c>
      <c r="G3986" t="e">
        <f ca="1">_xludf.IMAGE("https://edmondsonsupply.com/cdn/shop/products/602-6.jpg?v=1633030821")</f>
        <v>#NAME?</v>
      </c>
      <c r="H3986" t="e">
        <f ca="1">_xludf.IMAGE("https://m.media-amazon.com/images/I/51APfPlk95L._AC_UL320_.jpg")</f>
        <v>#NAME?</v>
      </c>
      <c r="I3986" t="s">
        <v>2433</v>
      </c>
      <c r="J3986">
        <v>8.9700000000000006</v>
      </c>
      <c r="K3986" s="4">
        <v>-5.4800000000000001E-2</v>
      </c>
      <c r="L3986">
        <v>4.8</v>
      </c>
      <c r="M3986">
        <v>1956</v>
      </c>
      <c r="O3986" t="s">
        <v>25</v>
      </c>
      <c r="P3986" t="s">
        <v>6949</v>
      </c>
      <c r="Q3986" t="s">
        <v>6950</v>
      </c>
    </row>
    <row r="3987" spans="1:17" ht="15.5" x14ac:dyDescent="0.35">
      <c r="A3987" s="3" t="str">
        <f>HYPERLINK("https://edmondsonsupply.com/collections/electricians-tools/products/diablo-tools-dou125bw", "https://edmondsonsupply.com/collections/electricians-tools/products/diablo-tools-dou125bw")</f>
        <v>https://edmondsonsupply.com/collections/electricians-tools/products/diablo-tools-dou125bw</v>
      </c>
      <c r="B3987" s="3" t="str">
        <f>HYPERLINK("https://edmondsonsupply.com/products/diablo-tools-dou125bw", "https://edmondsonsupply.com/products/diablo-tools-dou125bw")</f>
        <v>https://edmondsonsupply.com/products/diablo-tools-dou125bw</v>
      </c>
      <c r="C3987" t="s">
        <v>6906</v>
      </c>
      <c r="D3987" t="s">
        <v>5960</v>
      </c>
      <c r="E3987" s="3" t="str">
        <f>HYPERLINK("https://www.amazon.com/Diablo-Freud-DOU250BW-Oscillating-Nail-Embedded/dp/B089KWP5Z2/ref=sr_1_3?keywords=Diablo+Tools+DOU125BW+1-1%2F4+in.+Universal+Fit+Bi-Metal+Oscillating+Blade+for+Nail-Embedded+Wood&amp;qid=1695174264&amp;sr=8-3", "https://www.amazon.com/Diablo-Freud-DOU250BW-Oscillating-Nail-Embedded/dp/B089KWP5Z2/ref=sr_1_3?keywords=Diablo+Tools+DOU125BW+1-1%2F4+in.+Universal+Fit+Bi-Metal+Oscillating+Blade+for+Nail-Embedded+Wood&amp;qid=1695174264&amp;sr=8-3")</f>
        <v>https://www.amazon.com/Diablo-Freud-DOU250BW-Oscillating-Nail-Embedded/dp/B089KWP5Z2/ref=sr_1_3?keywords=Diablo+Tools+DOU125BW+1-1%2F4+in.+Universal+Fit+Bi-Metal+Oscillating+Blade+for+Nail-Embedded+Wood&amp;qid=1695174264&amp;sr=8-3</v>
      </c>
      <c r="F3987" t="s">
        <v>5961</v>
      </c>
      <c r="G3987" t="e">
        <f ca="1">_xludf.IMAGE("https://edmondsonsupply.com/cdn/shop/products/gnn0wpqc8veb3qhldcrb.webp?v=1676040020")</f>
        <v>#NAME?</v>
      </c>
      <c r="H3987" t="e">
        <f ca="1">_xludf.IMAGE("https://m.media-amazon.com/images/I/71fhfiK3NaL._AC_UL320_.jpg")</f>
        <v>#NAME?</v>
      </c>
      <c r="I3987" t="s">
        <v>2586</v>
      </c>
      <c r="J3987">
        <v>16.98</v>
      </c>
      <c r="K3987" s="4">
        <v>-5.5100000000000003E-2</v>
      </c>
      <c r="L3987">
        <v>4.5999999999999996</v>
      </c>
      <c r="M3987">
        <v>31</v>
      </c>
      <c r="O3987" t="s">
        <v>25</v>
      </c>
      <c r="P3987" t="s">
        <v>2152</v>
      </c>
      <c r="Q3987" t="s">
        <v>6909</v>
      </c>
    </row>
    <row r="3988" spans="1:17" ht="15.5" x14ac:dyDescent="0.35">
      <c r="A3988" s="3" t="str">
        <f>HYPERLINK("https://edmondsonsupply.com/collections/electricians-tools/products/fluke-tl220-suregrip%E2%84%A2-industrial-test-lead-set", "https://edmondsonsupply.com/collections/electricians-tools/products/fluke-tl220-suregrip%E2%84%A2-industrial-test-lead-set")</f>
        <v>https://edmondsonsupply.com/collections/electricians-tools/products/fluke-tl220-suregrip%E2%84%A2-industrial-test-lead-set</v>
      </c>
      <c r="B3988" s="3" t="str">
        <f>HYPERLINK("https://edmondsonsupply.com/products/fluke-tl220-suregrip%e2%84%a2-industrial-test-lead-set", "https://edmondsonsupply.com/products/fluke-tl220-suregrip%e2%84%a2-industrial-test-lead-set")</f>
        <v>https://edmondsonsupply.com/products/fluke-tl220-suregrip%e2%84%a2-industrial-test-lead-set</v>
      </c>
      <c r="C3988" t="s">
        <v>8431</v>
      </c>
      <c r="D3988" t="s">
        <v>8432</v>
      </c>
      <c r="E3988" s="3" t="str">
        <f>HYPERLINK("https://www.amazon.com/Fluke-Corporation-TL220-Industrial-Test/dp/B000FKBZFO/ref=sr_1_1?keywords=Fluke+TL220+SureGrip%E2%84%A2+Industrial+Test+Lead+Set&amp;qid=1695174242&amp;sr=8-1", "https://www.amazon.com/Fluke-Corporation-TL220-Industrial-Test/dp/B000FKBZFO/ref=sr_1_1?keywords=Fluke+TL220+SureGrip%E2%84%A2+Industrial+Test+Lead+Set&amp;qid=1695174242&amp;sr=8-1")</f>
        <v>https://www.amazon.com/Fluke-Corporation-TL220-Industrial-Test/dp/B000FKBZFO/ref=sr_1_1?keywords=Fluke+TL220+SureGrip%E2%84%A2+Industrial+Test+Lead+Set&amp;qid=1695174242&amp;sr=8-1</v>
      </c>
      <c r="F3988" t="s">
        <v>8433</v>
      </c>
      <c r="G3988" t="e">
        <f ca="1">_xludf.IMAGE("https://edmondsonsupply.com/cdn/shop/products/220.png?v=1633540209")</f>
        <v>#NAME?</v>
      </c>
      <c r="H3988" t="e">
        <f ca="1">_xludf.IMAGE("https://m.media-amazon.com/images/I/61Xe0Xbr4JL._AC_UY218_.jpg")</f>
        <v>#NAME?</v>
      </c>
      <c r="I3988" t="s">
        <v>8434</v>
      </c>
      <c r="J3988">
        <v>88.7</v>
      </c>
      <c r="K3988" s="4">
        <v>-5.6300000000000003E-2</v>
      </c>
      <c r="L3988">
        <v>4.8</v>
      </c>
      <c r="M3988">
        <v>1640</v>
      </c>
      <c r="O3988" t="s">
        <v>25</v>
      </c>
      <c r="P3988" t="s">
        <v>8435</v>
      </c>
      <c r="Q3988" t="s">
        <v>8436</v>
      </c>
    </row>
    <row r="3989" spans="1:17" ht="15.5" x14ac:dyDescent="0.35">
      <c r="A3989" s="3" t="str">
        <f>HYPERLINK("https://edmondsonsupply.com/collections/electricians-tools/products/fluke-179-true-rms-digital-multimeter", "https://edmondsonsupply.com/collections/electricians-tools/products/fluke-179-true-rms-digital-multimeter")</f>
        <v>https://edmondsonsupply.com/collections/electricians-tools/products/fluke-179-true-rms-digital-multimeter</v>
      </c>
      <c r="B3989" s="3" t="str">
        <f>HYPERLINK("https://edmondsonsupply.com/products/fluke-179-true-rms-digital-multimeter", "https://edmondsonsupply.com/products/fluke-179-true-rms-digital-multimeter")</f>
        <v>https://edmondsonsupply.com/products/fluke-179-true-rms-digital-multimeter</v>
      </c>
      <c r="C3989" t="s">
        <v>7311</v>
      </c>
      <c r="D3989" t="s">
        <v>8437</v>
      </c>
      <c r="E3989" s="3" t="str">
        <f>HYPERLINK("https://www.amazon.com/Fluke-ESFP-True-Multimeter-Backlight/dp/B00012Z0V6/ref=sr_1_1?keywords=Fluke+179+True-RMS+Digital+Multimeter&amp;qid=1695174291&amp;sr=8-1", "https://www.amazon.com/Fluke-ESFP-True-Multimeter-Backlight/dp/B00012Z0V6/ref=sr_1_1?keywords=Fluke+179+True-RMS+Digital+Multimeter&amp;qid=1695174291&amp;sr=8-1")</f>
        <v>https://www.amazon.com/Fluke-ESFP-True-Multimeter-Backlight/dp/B00012Z0V6/ref=sr_1_1?keywords=Fluke+179+True-RMS+Digital+Multimeter&amp;qid=1695174291&amp;sr=8-1</v>
      </c>
      <c r="F3989" t="s">
        <v>8438</v>
      </c>
      <c r="G3989" t="e">
        <f ca="1">_xludf.IMAGE("https://edmondsonsupply.com/cdn/shop/products/e0021116_431x600_31fa1fdc-90ee-45e4-8560-4be681a24cfe.jpg?v=1633030926")</f>
        <v>#NAME?</v>
      </c>
      <c r="H3989" t="e">
        <f ca="1">_xludf.IMAGE("https://m.media-amazon.com/images/I/61OkwIzYjBL._AC_UL320_.jpg")</f>
        <v>#NAME?</v>
      </c>
      <c r="I3989" t="s">
        <v>7314</v>
      </c>
      <c r="J3989">
        <v>370.99</v>
      </c>
      <c r="K3989" s="4">
        <v>-5.8900000000000001E-2</v>
      </c>
      <c r="L3989">
        <v>4.7</v>
      </c>
      <c r="M3989">
        <v>390</v>
      </c>
      <c r="O3989" t="s">
        <v>171</v>
      </c>
      <c r="P3989" t="s">
        <v>7315</v>
      </c>
      <c r="Q3989" t="s">
        <v>7316</v>
      </c>
    </row>
    <row r="3990" spans="1:17" ht="15.5" x14ac:dyDescent="0.35">
      <c r="A3990" s="3" t="str">
        <f>HYPERLINK("https://edmondsonsupply.com/collections/electricians-tools/products/klein-tools-55487-tradesman-pro%E2%84%A2-shoe-covers-medium", "https://edmondsonsupply.com/collections/electricians-tools/products/klein-tools-55487-tradesman-pro%E2%84%A2-shoe-covers-medium")</f>
        <v>https://edmondsonsupply.com/collections/electricians-tools/products/klein-tools-55487-tradesman-pro%E2%84%A2-shoe-covers-medium</v>
      </c>
      <c r="B3990" s="3" t="str">
        <f>HYPERLINK("https://edmondsonsupply.com/products/klein-tools-55487-tradesman-pro%e2%84%a2-shoe-covers-medium", "https://edmondsonsupply.com/products/klein-tools-55487-tradesman-pro%e2%84%a2-shoe-covers-medium")</f>
        <v>https://edmondsonsupply.com/products/klein-tools-55487-tradesman-pro%e2%84%a2-shoe-covers-medium</v>
      </c>
      <c r="C3990" t="s">
        <v>1264</v>
      </c>
      <c r="D3990" t="s">
        <v>1265</v>
      </c>
      <c r="E3990" s="3" t="str">
        <f>HYPERLINK("https://www.amazon.com/Tradesman-Covers-Klein-Tools-55487/dp/B075ZYTQHP/ref=sr_1_1?keywords=Klein+Tools+55487+Tradesman+Pro%E2%84%A2+Shoe+Covers%2C+Medium&amp;qid=1695174265&amp;sr=8-1", "https://www.amazon.com/Tradesman-Covers-Klein-Tools-55487/dp/B075ZYTQHP/ref=sr_1_1?keywords=Klein+Tools+55487+Tradesman+Pro%E2%84%A2+Shoe+Covers%2C+Medium&amp;qid=1695174265&amp;sr=8-1")</f>
        <v>https://www.amazon.com/Tradesman-Covers-Klein-Tools-55487/dp/B075ZYTQHP/ref=sr_1_1?keywords=Klein+Tools+55487+Tradesman+Pro%E2%84%A2+Shoe+Covers%2C+Medium&amp;qid=1695174265&amp;sr=8-1</v>
      </c>
      <c r="F3990" t="s">
        <v>1266</v>
      </c>
      <c r="G3990" t="e">
        <f ca="1">_xludf.IMAGE("https://edmondsonsupply.com/cdn/shop/products/57_1_01b2e386-9864-4289-a57c-b41e4b283567.jpg?v=1633031042")</f>
        <v>#NAME?</v>
      </c>
      <c r="H3990" t="e">
        <f ca="1">_xludf.IMAGE("https://m.media-amazon.com/images/I/71Sw-BaYREL._AC_UL320_.jpg")</f>
        <v>#NAME?</v>
      </c>
      <c r="I3990" t="s">
        <v>866</v>
      </c>
      <c r="J3990">
        <v>15.99</v>
      </c>
      <c r="K3990" s="4">
        <v>-5.8900000000000001E-2</v>
      </c>
      <c r="L3990">
        <v>4.7</v>
      </c>
      <c r="M3990">
        <v>257</v>
      </c>
      <c r="O3990" t="s">
        <v>25</v>
      </c>
      <c r="P3990" t="s">
        <v>996</v>
      </c>
      <c r="Q3990" t="s">
        <v>1267</v>
      </c>
    </row>
    <row r="3991" spans="1:17" ht="15.5" x14ac:dyDescent="0.35">
      <c r="A3991" s="3" t="str">
        <f>HYPERLINK("https://edmondsonsupply.com/collections/electricians-tools/products/channellock-428", "https://edmondsonsupply.com/collections/electricians-tools/products/channellock-428")</f>
        <v>https://edmondsonsupply.com/collections/electricians-tools/products/channellock-428</v>
      </c>
      <c r="B3991" s="3" t="str">
        <f>HYPERLINK("https://edmondsonsupply.com/products/channellock-428", "https://edmondsonsupply.com/products/channellock-428")</f>
        <v>https://edmondsonsupply.com/products/channellock-428</v>
      </c>
      <c r="C3991" t="s">
        <v>1791</v>
      </c>
      <c r="D3991" t="s">
        <v>4988</v>
      </c>
      <c r="E3991" s="3" t="str">
        <f>HYPERLINK("https://www.amazon.com/Channellock-426-8-Inch-Capacity-2-Inch/dp/B00004SBCS/ref=sr_1_3?keywords=Channellock+428+8-Inch+Straight+Jaw+Tongue+%26+Groove+Pliers&amp;qid=1695173963&amp;sr=8-3", "https://www.amazon.com/Channellock-426-8-Inch-Capacity-2-Inch/dp/B00004SBCS/ref=sr_1_3?keywords=Channellock+428+8-Inch+Straight+Jaw+Tongue+%26+Groove+Pliers&amp;qid=1695173963&amp;sr=8-3")</f>
        <v>https://www.amazon.com/Channellock-426-8-Inch-Capacity-2-Inch/dp/B00004SBCS/ref=sr_1_3?keywords=Channellock+428+8-Inch+Straight+Jaw+Tongue+%26+Groove+Pliers&amp;qid=1695173963&amp;sr=8-3</v>
      </c>
      <c r="F3991" t="s">
        <v>4989</v>
      </c>
      <c r="G3991" t="e">
        <f ca="1">_xludf.IMAGE("https://edmondsonsupply.com/cdn/shop/products/428-683x1024.jpg?v=1587145854")</f>
        <v>#NAME?</v>
      </c>
      <c r="H3991" t="e">
        <f ca="1">_xludf.IMAGE("https://m.media-amazon.com/images/I/713NYKlIyoL._AC_UL320_.jpg")</f>
        <v>#NAME?</v>
      </c>
      <c r="I3991" t="s">
        <v>1554</v>
      </c>
      <c r="J3991">
        <v>15.95</v>
      </c>
      <c r="K3991" s="4">
        <v>-5.8999999999999997E-2</v>
      </c>
      <c r="L3991">
        <v>4.7</v>
      </c>
      <c r="M3991">
        <v>1999</v>
      </c>
      <c r="O3991" t="s">
        <v>25</v>
      </c>
      <c r="P3991" t="s">
        <v>1794</v>
      </c>
      <c r="Q3991" t="s">
        <v>1795</v>
      </c>
    </row>
    <row r="3992" spans="1:17" ht="15.5" x14ac:dyDescent="0.35">
      <c r="A3992" s="3" t="str">
        <f>HYPERLINK("https://edmondsonsupply.com/collections/electricians-tools/products/channellock-428", "https://edmondsonsupply.com/collections/electricians-tools/products/channellock-428")</f>
        <v>https://edmondsonsupply.com/collections/electricians-tools/products/channellock-428</v>
      </c>
      <c r="B3992" s="3" t="str">
        <f>HYPERLINK("https://edmondsonsupply.com/products/channellock-428", "https://edmondsonsupply.com/products/channellock-428")</f>
        <v>https://edmondsonsupply.com/products/channellock-428</v>
      </c>
      <c r="C3992" t="s">
        <v>1791</v>
      </c>
      <c r="D3992" t="s">
        <v>4990</v>
      </c>
      <c r="E3992" s="3" t="str">
        <f>HYPERLINK("https://www.amazon.com/CHANNELLOCK-424-Adjustments-High-Carbon-Directions/dp/B00004SBCR/ref=sr_1_4?keywords=Channellock+428+8-Inch+Straight+Jaw+Tongue+%26+Groove+Pliers&amp;qid=1695173963&amp;sr=8-4", "https://www.amazon.com/CHANNELLOCK-424-Adjustments-High-Carbon-Directions/dp/B00004SBCR/ref=sr_1_4?keywords=Channellock+428+8-Inch+Straight+Jaw+Tongue+%26+Groove+Pliers&amp;qid=1695173963&amp;sr=8-4")</f>
        <v>https://www.amazon.com/CHANNELLOCK-424-Adjustments-High-Carbon-Directions/dp/B00004SBCR/ref=sr_1_4?keywords=Channellock+428+8-Inch+Straight+Jaw+Tongue+%26+Groove+Pliers&amp;qid=1695173963&amp;sr=8-4</v>
      </c>
      <c r="F3992" t="s">
        <v>4991</v>
      </c>
      <c r="G3992" t="e">
        <f ca="1">_xludf.IMAGE("https://edmondsonsupply.com/cdn/shop/products/428-683x1024.jpg?v=1587145854")</f>
        <v>#NAME?</v>
      </c>
      <c r="H3992" t="e">
        <f ca="1">_xludf.IMAGE("https://m.media-amazon.com/images/I/71txViLKvZL._AC_UL320_.jpg")</f>
        <v>#NAME?</v>
      </c>
      <c r="I3992" t="s">
        <v>1554</v>
      </c>
      <c r="J3992">
        <v>15.95</v>
      </c>
      <c r="K3992" s="4">
        <v>-5.8999999999999997E-2</v>
      </c>
      <c r="L3992">
        <v>4.7</v>
      </c>
      <c r="M3992">
        <v>1649</v>
      </c>
      <c r="O3992" t="s">
        <v>25</v>
      </c>
      <c r="P3992" t="s">
        <v>1794</v>
      </c>
      <c r="Q3992" t="s">
        <v>1795</v>
      </c>
    </row>
    <row r="3993" spans="1:17" ht="15.5" x14ac:dyDescent="0.35">
      <c r="A3993" s="3" t="str">
        <f>HYPERLINK("https://edmondsonsupply.com/collections/electricians-tools/products/klein-tools-32527-11-in-1-screwdriver-nut-driver-with-schrader%C2%AE-bit", "https://edmondsonsupply.com/collections/electricians-tools/products/klein-tools-32527-11-in-1-screwdriver-nut-driver-with-schrader%C2%AE-bit")</f>
        <v>https://edmondsonsupply.com/collections/electricians-tools/products/klein-tools-32527-11-in-1-screwdriver-nut-driver-with-schrader%C2%AE-bit</v>
      </c>
      <c r="B3993" s="3" t="str">
        <f>HYPERLINK("https://edmondsonsupply.com/products/klein-tools-32527-11-in-1-screwdriver-nut-driver-with-schrader%c2%ae-bit", "https://edmondsonsupply.com/products/klein-tools-32527-11-in-1-screwdriver-nut-driver-with-schrader%c2%ae-bit")</f>
        <v>https://edmondsonsupply.com/products/klein-tools-32527-11-in-1-screwdriver-nut-driver-with-schrader%c2%ae-bit</v>
      </c>
      <c r="C3993" t="s">
        <v>4714</v>
      </c>
      <c r="D3993" t="s">
        <v>3976</v>
      </c>
      <c r="E3993" s="3" t="str">
        <f>HYPERLINK("https://www.amazon.com/Klein-Tools-32557-Multi-Bit-Screwdriver/dp/B005FQDH9A/ref=sr_1_3?keywords=Klein+Tools+32527+Multi-Bit+Screwdriver+%2F+Nut+Driver%2C+11-in-1%2C+Ph%2C+Sl%2C+Sq%2C+Schrader+Bits&amp;qid=1695173951&amp;sr=8-3", "https://www.amazon.com/Klein-Tools-32557-Multi-Bit-Screwdriver/dp/B005FQDH9A/ref=sr_1_3?keywords=Klein+Tools+32527+Multi-Bit+Screwdriver+%2F+Nut+Driver%2C+11-in-1%2C+Ph%2C+Sl%2C+Sq%2C+Schrader+Bits&amp;qid=1695173951&amp;sr=8-3")</f>
        <v>https://www.amazon.com/Klein-Tools-32557-Multi-Bit-Screwdriver/dp/B005FQDH9A/ref=sr_1_3?keywords=Klein+Tools+32527+Multi-Bit+Screwdriver+%2F+Nut+Driver%2C+11-in-1%2C+Ph%2C+Sl%2C+Sq%2C+Schrader+Bits&amp;qid=1695173951&amp;sr=8-3</v>
      </c>
      <c r="F3993" t="s">
        <v>3977</v>
      </c>
      <c r="G3993" t="e">
        <f ca="1">_xludf.IMAGE("https://edmondsonsupply.com/cdn/shop/products/32527.jpg?v=1587146830")</f>
        <v>#NAME?</v>
      </c>
      <c r="H3993" t="e">
        <f ca="1">_xludf.IMAGE("https://m.media-amazon.com/images/I/41vMDiO0rOL._AC_UL320_.jpg")</f>
        <v>#NAME?</v>
      </c>
      <c r="I3993" t="s">
        <v>143</v>
      </c>
      <c r="J3993">
        <v>14.98</v>
      </c>
      <c r="K3993" s="4">
        <v>-6.2E-2</v>
      </c>
      <c r="L3993">
        <v>4.8</v>
      </c>
      <c r="M3993">
        <v>921</v>
      </c>
      <c r="O3993" t="s">
        <v>25</v>
      </c>
      <c r="P3993" t="s">
        <v>4717</v>
      </c>
      <c r="Q3993" t="s">
        <v>4718</v>
      </c>
    </row>
    <row r="3994" spans="1:17" ht="15.5" x14ac:dyDescent="0.35">
      <c r="A3994" s="3" t="str">
        <f>HYPERLINK("https://edmondsonsupply.com/collections/electricians-tools/products/fluke-377-fc-non-contact-voltage-true-rms-ac-dc-clamp-meter-with-iflex", "https://edmondsonsupply.com/collections/electricians-tools/products/fluke-377-fc-non-contact-voltage-true-rms-ac-dc-clamp-meter-with-iflex")</f>
        <v>https://edmondsonsupply.com/collections/electricians-tools/products/fluke-377-fc-non-contact-voltage-true-rms-ac-dc-clamp-meter-with-iflex</v>
      </c>
      <c r="B3994" s="3" t="str">
        <f>HYPERLINK("https://edmondsonsupply.com/products/fluke-377-fc-non-contact-voltage-true-rms-ac-dc-clamp-meter-with-iflex", "https://edmondsonsupply.com/products/fluke-377-fc-non-contact-voltage-true-rms-ac-dc-clamp-meter-with-iflex")</f>
        <v>https://edmondsonsupply.com/products/fluke-377-fc-non-contact-voltage-true-rms-ac-dc-clamp-meter-with-iflex</v>
      </c>
      <c r="C3994" t="s">
        <v>7466</v>
      </c>
      <c r="D3994" t="s">
        <v>5346</v>
      </c>
      <c r="E3994" s="3" t="str">
        <f>HYPERLINK("https://www.amazon.com/Fluke-377FC-Non-Contact-Voltage-Wireless/dp/B0916LXCWW/ref=sr_1_1?keywords=Fluke+377+FC+Non-Contact+Voltage+True-RMS+AC%2FDC+Clamp+Meter+with+iFlex&amp;qid=1695174253&amp;sr=8-1", "https://www.amazon.com/Fluke-377FC-Non-Contact-Voltage-Wireless/dp/B0916LXCWW/ref=sr_1_1?keywords=Fluke+377+FC+Non-Contact+Voltage+True-RMS+AC%2FDC+Clamp+Meter+with+iFlex&amp;qid=1695174253&amp;sr=8-1")</f>
        <v>https://www.amazon.com/Fluke-377FC-Non-Contact-Voltage-Wireless/dp/B0916LXCWW/ref=sr_1_1?keywords=Fluke+377+FC+Non-Contact+Voltage+True-RMS+AC%2FDC+Clamp+Meter+with+iFlex&amp;qid=1695174253&amp;sr=8-1</v>
      </c>
      <c r="F3994" t="s">
        <v>5347</v>
      </c>
      <c r="G3994" t="e">
        <f ca="1">_xludf.IMAGE("https://edmondsonsupply.com/cdn/shop/products/377_FC_72dpi_499x1024px_E_NR-27677.jpg?v=1633031119")</f>
        <v>#NAME?</v>
      </c>
      <c r="H3994" t="e">
        <f ca="1">_xludf.IMAGE("https://m.media-amazon.com/images/I/7112bqFKTjL._AC_UL320_.jpg")</f>
        <v>#NAME?</v>
      </c>
      <c r="I3994" t="s">
        <v>7467</v>
      </c>
      <c r="J3994">
        <v>600</v>
      </c>
      <c r="K3994" s="4">
        <v>-6.2300000000000001E-2</v>
      </c>
      <c r="L3994">
        <v>4.4000000000000004</v>
      </c>
      <c r="M3994">
        <v>39</v>
      </c>
      <c r="O3994" t="s">
        <v>171</v>
      </c>
      <c r="P3994" t="s">
        <v>7468</v>
      </c>
      <c r="Q3994" t="s">
        <v>7469</v>
      </c>
    </row>
    <row r="3995" spans="1:17" ht="15.5" x14ac:dyDescent="0.35">
      <c r="A3995"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3995"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995" t="s">
        <v>919</v>
      </c>
      <c r="D3995" t="s">
        <v>956</v>
      </c>
      <c r="E3995" s="3" t="str">
        <f>HYPERLINK("https://www.amazon.com/Klein-60163-Professional-Protective-Resistant/dp/B08B48CZ5V/ref=sr_1_4?keywords=Klein+Tools+60470+Professional+Full-Frame+Gasket+Safety+Glasses%2C+Clear+Lens&amp;qid=1695174156&amp;sr=8-4", "https://www.amazon.com/Klein-60163-Professional-Protective-Resistant/dp/B08B48CZ5V/ref=sr_1_4?keywords=Klein+Tools+60470+Professional+Full-Frame+Gasket+Safety+Glasses%2C+Clear+Lens&amp;qid=1695174156&amp;sr=8-4")</f>
        <v>https://www.amazon.com/Klein-60163-Professional-Protective-Resistant/dp/B08B48CZ5V/ref=sr_1_4?keywords=Klein+Tools+60470+Professional+Full-Frame+Gasket+Safety+Glasses%2C+Clear+Lens&amp;qid=1695174156&amp;sr=8-4</v>
      </c>
      <c r="F3995" t="s">
        <v>957</v>
      </c>
      <c r="G3995" t="e">
        <f ca="1">_xludf.IMAGE("https://edmondsonsupply.com/cdn/shop/products/60470.jpg?v=1663260659")</f>
        <v>#NAME?</v>
      </c>
      <c r="H3995" t="e">
        <f ca="1">_xludf.IMAGE("https://m.media-amazon.com/images/I/41IY8K6EFLL._AC_UL320_.jpg")</f>
        <v>#NAME?</v>
      </c>
      <c r="I3995" t="s">
        <v>252</v>
      </c>
      <c r="J3995">
        <v>14.99</v>
      </c>
      <c r="K3995" s="4">
        <v>-6.25E-2</v>
      </c>
      <c r="L3995">
        <v>4.4000000000000004</v>
      </c>
      <c r="M3995">
        <v>198</v>
      </c>
      <c r="O3995" t="s">
        <v>25</v>
      </c>
      <c r="P3995" t="s">
        <v>854</v>
      </c>
      <c r="Q3995" t="s">
        <v>920</v>
      </c>
    </row>
    <row r="3996" spans="1:17" ht="15.5" x14ac:dyDescent="0.35">
      <c r="A3996"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3996"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3996" t="s">
        <v>919</v>
      </c>
      <c r="D3996" t="s">
        <v>958</v>
      </c>
      <c r="E3996" s="3" t="str">
        <f>HYPERLINK("https://www.amazon.com/Klein-60164-Professional-Protective-Resistant/dp/B08B4BNSHM/ref=sr_1_9?keywords=Klein+Tools+60470+Professional+Full-Frame+Gasket+Safety+Glasses%2C+Clear+Lens&amp;qid=1695174156&amp;sr=8-9", "https://www.amazon.com/Klein-60164-Professional-Protective-Resistant/dp/B08B4BNSHM/ref=sr_1_9?keywords=Klein+Tools+60470+Professional+Full-Frame+Gasket+Safety+Glasses%2C+Clear+Lens&amp;qid=1695174156&amp;sr=8-9")</f>
        <v>https://www.amazon.com/Klein-60164-Professional-Protective-Resistant/dp/B08B4BNSHM/ref=sr_1_9?keywords=Klein+Tools+60470+Professional+Full-Frame+Gasket+Safety+Glasses%2C+Clear+Lens&amp;qid=1695174156&amp;sr=8-9</v>
      </c>
      <c r="F3996" t="s">
        <v>959</v>
      </c>
      <c r="G3996" t="e">
        <f ca="1">_xludf.IMAGE("https://edmondsonsupply.com/cdn/shop/products/60470.jpg?v=1663260659")</f>
        <v>#NAME?</v>
      </c>
      <c r="H3996" t="e">
        <f ca="1">_xludf.IMAGE("https://m.media-amazon.com/images/I/41bNrH9NnFL._AC_UL320_.jpg")</f>
        <v>#NAME?</v>
      </c>
      <c r="I3996" t="s">
        <v>252</v>
      </c>
      <c r="J3996">
        <v>14.99</v>
      </c>
      <c r="K3996" s="4">
        <v>-6.25E-2</v>
      </c>
      <c r="L3996">
        <v>4.4000000000000004</v>
      </c>
      <c r="M3996">
        <v>463</v>
      </c>
      <c r="O3996" t="s">
        <v>25</v>
      </c>
      <c r="P3996" t="s">
        <v>854</v>
      </c>
      <c r="Q3996" t="s">
        <v>920</v>
      </c>
    </row>
    <row r="3997" spans="1:17" ht="15.5" x14ac:dyDescent="0.35">
      <c r="A3997"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3997"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997" t="s">
        <v>853</v>
      </c>
      <c r="D3997" t="s">
        <v>958</v>
      </c>
      <c r="E3997" s="3" t="str">
        <f>HYPERLINK("https://www.amazon.com/Klein-60164-Professional-Protective-Resistant/dp/B08B4BNSHM/ref=sr_1_5?keywords=Klein+Tools+60471+Professional+Full-Frame+Gasket+Safety+Glasses%2C+Gray+Lens&amp;qid=1695174157&amp;sr=8-5", "https://www.amazon.com/Klein-60164-Professional-Protective-Resistant/dp/B08B4BNSHM/ref=sr_1_5?keywords=Klein+Tools+60471+Professional+Full-Frame+Gasket+Safety+Glasses%2C+Gray+Lens&amp;qid=1695174157&amp;sr=8-5")</f>
        <v>https://www.amazon.com/Klein-60164-Professional-Protective-Resistant/dp/B08B4BNSHM/ref=sr_1_5?keywords=Klein+Tools+60471+Professional+Full-Frame+Gasket+Safety+Glasses%2C+Gray+Lens&amp;qid=1695174157&amp;sr=8-5</v>
      </c>
      <c r="F3997" t="s">
        <v>959</v>
      </c>
      <c r="G3997" t="e">
        <f ca="1">_xludf.IMAGE("https://edmondsonsupply.com/cdn/shop/products/60471.jpg?v=1663257501")</f>
        <v>#NAME?</v>
      </c>
      <c r="H3997" t="e">
        <f ca="1">_xludf.IMAGE("https://m.media-amazon.com/images/I/41bNrH9NnFL._AC_UL320_.jpg")</f>
        <v>#NAME?</v>
      </c>
      <c r="I3997" t="s">
        <v>252</v>
      </c>
      <c r="J3997">
        <v>14.99</v>
      </c>
      <c r="K3997" s="4">
        <v>-6.25E-2</v>
      </c>
      <c r="L3997">
        <v>4.4000000000000004</v>
      </c>
      <c r="M3997">
        <v>463</v>
      </c>
      <c r="O3997" t="s">
        <v>25</v>
      </c>
      <c r="P3997" t="s">
        <v>854</v>
      </c>
      <c r="Q3997" t="s">
        <v>855</v>
      </c>
    </row>
    <row r="3998" spans="1:17" ht="15.5" x14ac:dyDescent="0.35">
      <c r="A3998"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3998"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3998" t="s">
        <v>853</v>
      </c>
      <c r="D3998" t="s">
        <v>956</v>
      </c>
      <c r="E3998" s="3" t="str">
        <f>HYPERLINK("https://www.amazon.com/Klein-60163-Professional-Protective-Resistant/dp/B08B48CZ5V/ref=sr_1_6?keywords=Klein+Tools+60471+Professional+Full-Frame+Gasket+Safety+Glasses%2C+Gray+Lens&amp;qid=1695174157&amp;sr=8-6", "https://www.amazon.com/Klein-60163-Professional-Protective-Resistant/dp/B08B48CZ5V/ref=sr_1_6?keywords=Klein+Tools+60471+Professional+Full-Frame+Gasket+Safety+Glasses%2C+Gray+Lens&amp;qid=1695174157&amp;sr=8-6")</f>
        <v>https://www.amazon.com/Klein-60163-Professional-Protective-Resistant/dp/B08B48CZ5V/ref=sr_1_6?keywords=Klein+Tools+60471+Professional+Full-Frame+Gasket+Safety+Glasses%2C+Gray+Lens&amp;qid=1695174157&amp;sr=8-6</v>
      </c>
      <c r="F3998" t="s">
        <v>957</v>
      </c>
      <c r="G3998" t="e">
        <f ca="1">_xludf.IMAGE("https://edmondsonsupply.com/cdn/shop/products/60471.jpg?v=1663257501")</f>
        <v>#NAME?</v>
      </c>
      <c r="H3998" t="e">
        <f ca="1">_xludf.IMAGE("https://m.media-amazon.com/images/I/41IY8K6EFLL._AC_UL320_.jpg")</f>
        <v>#NAME?</v>
      </c>
      <c r="I3998" t="s">
        <v>252</v>
      </c>
      <c r="J3998">
        <v>14.99</v>
      </c>
      <c r="K3998" s="4">
        <v>-6.25E-2</v>
      </c>
      <c r="L3998">
        <v>4.4000000000000004</v>
      </c>
      <c r="M3998">
        <v>198</v>
      </c>
      <c r="O3998" t="s">
        <v>25</v>
      </c>
      <c r="P3998" t="s">
        <v>854</v>
      </c>
      <c r="Q3998" t="s">
        <v>855</v>
      </c>
    </row>
    <row r="3999" spans="1:17" ht="15.5" x14ac:dyDescent="0.35">
      <c r="A3999"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3999" s="3" t="str">
        <f>HYPERLINK("https://edmondsonsupply.com/products/klein-tools-32314-14-in-1-precision-screwdriver-nut-driver", "https://edmondsonsupply.com/products/klein-tools-32314-14-in-1-precision-screwdriver-nut-driver")</f>
        <v>https://edmondsonsupply.com/products/klein-tools-32314-14-in-1-precision-screwdriver-nut-driver</v>
      </c>
      <c r="C3999" t="s">
        <v>1999</v>
      </c>
      <c r="D3999" t="s">
        <v>5001</v>
      </c>
      <c r="E3999" s="3" t="str">
        <f>HYPERLINK("https://www.amazon.com/Klein-Tools-32314-Screwdriver-Tamperproof/dp/B08J8GGQBL/ref=sr_1_1?keywords=Klein+Tools+32314+14-in-1+Precision+Screwdriver%2F+Nut+Driver&amp;qid=1695173878&amp;sr=8-1", "https://www.amazon.com/Klein-Tools-32314-Screwdriver-Tamperproof/dp/B08J8GGQBL/ref=sr_1_1?keywords=Klein+Tools+32314+14-in-1+Precision+Screwdriver%2F+Nut+Driver&amp;qid=1695173878&amp;sr=8-1")</f>
        <v>https://www.amazon.com/Klein-Tools-32314-Screwdriver-Tamperproof/dp/B08J8GGQBL/ref=sr_1_1?keywords=Klein+Tools+32314+14-in-1+Precision+Screwdriver%2F+Nut+Driver&amp;qid=1695173878&amp;sr=8-1</v>
      </c>
      <c r="F3999" t="s">
        <v>5002</v>
      </c>
      <c r="G3999" t="e">
        <f ca="1">_xludf.IMAGE("https://edmondsonsupply.com/cdn/shop/products/32314.jpg?v=1646593726")</f>
        <v>#NAME?</v>
      </c>
      <c r="H3999" t="e">
        <f ca="1">_xludf.IMAGE("https://m.media-amazon.com/images/I/51r5V2PttIL._AC_UL320_.jpg")</f>
        <v>#NAME?</v>
      </c>
      <c r="I3999" t="s">
        <v>143</v>
      </c>
      <c r="J3999">
        <v>14.97</v>
      </c>
      <c r="K3999" s="4">
        <v>-6.2600000000000003E-2</v>
      </c>
      <c r="L3999">
        <v>4.7</v>
      </c>
      <c r="M3999">
        <v>2894</v>
      </c>
      <c r="O3999" t="s">
        <v>25</v>
      </c>
      <c r="P3999" t="s">
        <v>2002</v>
      </c>
      <c r="Q3999" t="s">
        <v>2003</v>
      </c>
    </row>
    <row r="4000" spans="1:17" ht="15.5" x14ac:dyDescent="0.35">
      <c r="A4000" s="3" t="str">
        <f>HYPERLINK("https://edmondsonsupply.com/collections/electricians-tools/products/klein-tools-2138neeins-insulated-pliers-slim-handle-side-cutters-8-inch", "https://edmondsonsupply.com/collections/electricians-tools/products/klein-tools-2138neeins-insulated-pliers-slim-handle-side-cutters-8-inch")</f>
        <v>https://edmondsonsupply.com/collections/electricians-tools/products/klein-tools-2138neeins-insulated-pliers-slim-handle-side-cutters-8-inch</v>
      </c>
      <c r="B4000"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4000" t="s">
        <v>5004</v>
      </c>
      <c r="D4000" t="s">
        <v>5005</v>
      </c>
      <c r="E4000" s="3" t="str">
        <f>HYPERLINK("https://www.amazon.com/Klein-Tools-2139NEEINS-Cutting-Pliers/dp/B00JGG5RNE/ref=sr_1_1?keywords=Klein+Tools+2138NEEINS+Insulated+Pliers%2C+Slim+Handle+Side+Cutters%2C+8-Inch&amp;qid=1695173956&amp;sr=8-1", "https://www.amazon.com/Klein-Tools-2139NEEINS-Cutting-Pliers/dp/B00JGG5RNE/ref=sr_1_1?keywords=Klein+Tools+2138NEEINS+Insulated+Pliers%2C+Slim+Handle+Side+Cutters%2C+8-Inch&amp;qid=1695173956&amp;sr=8-1")</f>
        <v>https://www.amazon.com/Klein-Tools-2139NEEINS-Cutting-Pliers/dp/B00JGG5RNE/ref=sr_1_1?keywords=Klein+Tools+2138NEEINS+Insulated+Pliers%2C+Slim+Handle+Side+Cutters%2C+8-Inch&amp;qid=1695173956&amp;sr=8-1</v>
      </c>
      <c r="F4000" t="s">
        <v>5006</v>
      </c>
      <c r="G4000" t="e">
        <f ca="1">_xludf.IMAGE("https://edmondsonsupply.com/cdn/shop/files/2138neeins.jpg?v=1694611719")</f>
        <v>#NAME?</v>
      </c>
      <c r="H4000" t="e">
        <f ca="1">_xludf.IMAGE("https://m.media-amazon.com/images/I/51eEwVZhacL._AC_UL320_.jpg")</f>
        <v>#NAME?</v>
      </c>
      <c r="I4000" t="s">
        <v>588</v>
      </c>
      <c r="J4000">
        <v>65.599999999999994</v>
      </c>
      <c r="K4000" s="4">
        <v>-6.2700000000000006E-2</v>
      </c>
      <c r="L4000">
        <v>4.7</v>
      </c>
      <c r="M4000">
        <v>242</v>
      </c>
      <c r="O4000" t="s">
        <v>25</v>
      </c>
      <c r="P4000" t="s">
        <v>5007</v>
      </c>
      <c r="Q4000" t="s">
        <v>5008</v>
      </c>
    </row>
    <row r="4001" spans="1:17" ht="15.5" x14ac:dyDescent="0.35">
      <c r="A4001" s="3" t="str">
        <f>HYPERLINK("https://edmondsonsupply.com/collections/electricians-tools/products/milwaukee-2746-20-m18-fuel%E2%84%A2-18-gauge-brad-nailer-tool-only", "https://edmondsonsupply.com/collections/electricians-tools/products/milwaukee-2746-20-m18-fuel%E2%84%A2-18-gauge-brad-nailer-tool-only")</f>
        <v>https://edmondsonsupply.com/collections/electricians-tools/products/milwaukee-2746-20-m18-fuel%E2%84%A2-18-gauge-brad-nailer-tool-only</v>
      </c>
      <c r="B4001" s="3" t="str">
        <f>HYPERLINK("https://edmondsonsupply.com/products/milwaukee-2746-20-m18-fuel%e2%84%a2-18-gauge-brad-nailer-tool-only", "https://edmondsonsupply.com/products/milwaukee-2746-20-m18-fuel%e2%84%a2-18-gauge-brad-nailer-tool-only")</f>
        <v>https://edmondsonsupply.com/products/milwaukee-2746-20-m18-fuel%e2%84%a2-18-gauge-brad-nailer-tool-only</v>
      </c>
      <c r="C4001" t="s">
        <v>8439</v>
      </c>
      <c r="D4001" t="s">
        <v>8440</v>
      </c>
      <c r="E4001" s="3" t="str">
        <f>HYPERLINK("https://www.amazon.com/Milwaukee-2746-20-FUEL-Gauge-Nailer/dp/B07VYJQ1KP/ref=sr_1_1?keywords=Milwaukee+2746-20+M18+FUEL%E2%84%A2+18+Gauge+Brad+Nailer+%28TOOL+ONLY%29&amp;qid=1695174088&amp;sr=8-1", "https://www.amazon.com/Milwaukee-2746-20-FUEL-Gauge-Nailer/dp/B07VYJQ1KP/ref=sr_1_1?keywords=Milwaukee+2746-20+M18+FUEL%E2%84%A2+18+Gauge+Brad+Nailer+%28TOOL+ONLY%29&amp;qid=1695174088&amp;sr=8-1")</f>
        <v>https://www.amazon.com/Milwaukee-2746-20-FUEL-Gauge-Nailer/dp/B07VYJQ1KP/ref=sr_1_1?keywords=Milwaukee+2746-20+M18+FUEL%E2%84%A2+18+Gauge+Brad+Nailer+%28TOOL+ONLY%29&amp;qid=1695174088&amp;sr=8-1</v>
      </c>
      <c r="F4001" t="s">
        <v>8441</v>
      </c>
      <c r="G4001" t="e">
        <f ca="1">_xludf.IMAGE("https://edmondsonsupply.com/cdn/shop/products/2746-20_1.png?v=1672864388")</f>
        <v>#NAME?</v>
      </c>
      <c r="H4001" t="e">
        <f ca="1">_xludf.IMAGE("https://m.media-amazon.com/images/I/71UbSbRsStL._AC_UL320_.jpg")</f>
        <v>#NAME?</v>
      </c>
      <c r="I4001" t="s">
        <v>5012</v>
      </c>
      <c r="J4001">
        <v>280</v>
      </c>
      <c r="K4001" s="4">
        <v>-6.3500000000000001E-2</v>
      </c>
      <c r="L4001">
        <v>4.7</v>
      </c>
      <c r="M4001">
        <v>673</v>
      </c>
      <c r="O4001" t="s">
        <v>25</v>
      </c>
      <c r="P4001" t="s">
        <v>8442</v>
      </c>
      <c r="Q4001" t="s">
        <v>8443</v>
      </c>
    </row>
    <row r="4002" spans="1:17" ht="15.5" x14ac:dyDescent="0.35">
      <c r="A4002" s="3" t="str">
        <f>HYPERLINK("https://edmondsonsupply.com/collections/electricians-tools/products/klein-tools-et60-electronic-ac-dc-voltage-tester-12-to-600v", "https://edmondsonsupply.com/collections/electricians-tools/products/klein-tools-et60-electronic-ac-dc-voltage-tester-12-to-600v")</f>
        <v>https://edmondsonsupply.com/collections/electricians-tools/products/klein-tools-et60-electronic-ac-dc-voltage-tester-12-to-600v</v>
      </c>
      <c r="B4002" s="3" t="str">
        <f>HYPERLINK("https://edmondsonsupply.com/products/klein-tools-et60-electronic-ac-dc-voltage-tester-12-to-600v", "https://edmondsonsupply.com/products/klein-tools-et60-electronic-ac-dc-voltage-tester-12-to-600v")</f>
        <v>https://edmondsonsupply.com/products/klein-tools-et60-electronic-ac-dc-voltage-tester-12-to-600v</v>
      </c>
      <c r="C4002" t="s">
        <v>8444</v>
      </c>
      <c r="D4002" t="s">
        <v>6554</v>
      </c>
      <c r="E4002" s="3" t="str">
        <f>HYPERLINK("https://www.amazon.com/Electronic-Voltage-Klein-Tools-ET60/dp/B06WWFGHQZ/ref=sr_1_1?keywords=Klein+Tools+ET60+Electronic+AC%2FDC+Voltage+Tester%2C+12+to+600V&amp;qid=1695174278&amp;sr=8-1", "https://www.amazon.com/Electronic-Voltage-Klein-Tools-ET60/dp/B06WWFGHQZ/ref=sr_1_1?keywords=Klein+Tools+ET60+Electronic+AC%2FDC+Voltage+Tester%2C+12+to+600V&amp;qid=1695174278&amp;sr=8-1")</f>
        <v>https://www.amazon.com/Electronic-Voltage-Klein-Tools-ET60/dp/B06WWFGHQZ/ref=sr_1_1?keywords=Klein+Tools+ET60+Electronic+AC%2FDC+Voltage+Tester%2C+12+to+600V&amp;qid=1695174278&amp;sr=8-1</v>
      </c>
      <c r="F4002" t="s">
        <v>6555</v>
      </c>
      <c r="G4002" t="e">
        <f ca="1">_xludf.IMAGE("https://edmondsonsupply.com/cdn/shop/products/et60.jpg?v=1633030979")</f>
        <v>#NAME?</v>
      </c>
      <c r="H4002" t="e">
        <f ca="1">_xludf.IMAGE("https://m.media-amazon.com/images/I/61bFp93k0pL._AC_UL320_.jpg")</f>
        <v>#NAME?</v>
      </c>
      <c r="I4002" t="s">
        <v>824</v>
      </c>
      <c r="J4002">
        <v>28.05</v>
      </c>
      <c r="K4002" s="4">
        <v>-6.4100000000000004E-2</v>
      </c>
      <c r="L4002">
        <v>4.5999999999999996</v>
      </c>
      <c r="M4002">
        <v>1112</v>
      </c>
      <c r="O4002" t="s">
        <v>25</v>
      </c>
      <c r="P4002" t="s">
        <v>8445</v>
      </c>
      <c r="Q4002" t="s">
        <v>8446</v>
      </c>
    </row>
    <row r="4003" spans="1:17" ht="15.5" x14ac:dyDescent="0.35">
      <c r="A4003" s="3" t="str">
        <f>HYPERLINK("https://edmondsonsupply.com/collections/electricians-tools/products/milwaukee-2598-22-m12-fuel%E2%84%A2-2-tool-combo-kit-1-2-hammer-drill-and-1-4-hex-impact-driver", "https://edmondsonsupply.com/collections/electricians-tools/products/milwaukee-2598-22-m12-fuel%E2%84%A2-2-tool-combo-kit-1-2-hammer-drill-and-1-4-hex-impact-driver")</f>
        <v>https://edmondsonsupply.com/collections/electricians-tools/products/milwaukee-2598-22-m12-fuel%E2%84%A2-2-tool-combo-kit-1-2-hammer-drill-and-1-4-hex-impact-driver</v>
      </c>
      <c r="B4003" s="3" t="str">
        <f>HYPERLINK("https://edmondsonsupply.com/products/milwaukee-2598-22-m12-fuel%e2%84%a2-2-tool-combo-kit-1-2-hammer-drill-and-1-4-hex-impact-driver", "https://edmondsonsupply.com/products/milwaukee-2598-22-m12-fuel%e2%84%a2-2-tool-combo-kit-1-2-hammer-drill-and-1-4-hex-impact-driver")</f>
        <v>https://edmondsonsupply.com/products/milwaukee-2598-22-m12-fuel%e2%84%a2-2-tool-combo-kit-1-2-hammer-drill-and-1-4-hex-impact-driver</v>
      </c>
      <c r="C4003" t="s">
        <v>8447</v>
      </c>
      <c r="D4003" t="s">
        <v>5542</v>
      </c>
      <c r="E4003" s="3" t="str">
        <f>HYPERLINK("https://www.amazon.com/Milwaukee-2598-22-FUEL-2-Tool-Combo/dp/B07F9Q4H5S/ref=sr_1_1?keywords=Milwaukee+2598-22+M12+FUEL%E2%84%A2+2-Tool+Combo+Kit%3A+1%2F2%22+Hammer+Drill+and+1%2F4%22+Hex+Impact+Driver&amp;qid=1695174140&amp;sr=8-1", "https://www.amazon.com/Milwaukee-2598-22-FUEL-2-Tool-Combo/dp/B07F9Q4H5S/ref=sr_1_1?keywords=Milwaukee+2598-22+M12+FUEL%E2%84%A2+2-Tool+Combo+Kit%3A+1%2F2%22+Hammer+Drill+and+1%2F4%22+Hex+Impact+Driver&amp;qid=1695174140&amp;sr=8-1")</f>
        <v>https://www.amazon.com/Milwaukee-2598-22-FUEL-2-Tool-Combo/dp/B07F9Q4H5S/ref=sr_1_1?keywords=Milwaukee+2598-22+M12+FUEL%E2%84%A2+2-Tool+Combo+Kit%3A+1%2F2%22+Hammer+Drill+and+1%2F4%22+Hex+Impact+Driver&amp;qid=1695174140&amp;sr=8-1</v>
      </c>
      <c r="F4003" t="s">
        <v>5543</v>
      </c>
      <c r="G4003" t="e">
        <f ca="1">_xludf.IMAGE("https://edmondsonsupply.com/cdn/shop/products/2598-22_Kit.png?v=1668446772")</f>
        <v>#NAME?</v>
      </c>
      <c r="H4003" t="e">
        <f ca="1">_xludf.IMAGE("https://m.media-amazon.com/images/I/617O-7-wU2L._AC_UL320_.jpg")</f>
        <v>#NAME?</v>
      </c>
      <c r="I4003" t="s">
        <v>5220</v>
      </c>
      <c r="J4003">
        <v>213.99</v>
      </c>
      <c r="K4003" s="4">
        <v>-6.5500000000000003E-2</v>
      </c>
      <c r="L4003">
        <v>4.8</v>
      </c>
      <c r="M4003">
        <v>69</v>
      </c>
      <c r="O4003" t="s">
        <v>25</v>
      </c>
      <c r="P4003" t="s">
        <v>8448</v>
      </c>
      <c r="Q4003" t="s">
        <v>8449</v>
      </c>
    </row>
    <row r="4004" spans="1:17" ht="15.5" x14ac:dyDescent="0.35">
      <c r="A4004"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4004" s="3" t="str">
        <f>HYPERLINK("https://edmondsonsupply.com/products/fluke-325-true-rms-clamp-meter", "https://edmondsonsupply.com/products/fluke-325-true-rms-clamp-meter")</f>
        <v>https://edmondsonsupply.com/products/fluke-325-true-rms-clamp-meter</v>
      </c>
      <c r="C4004" t="s">
        <v>7585</v>
      </c>
      <c r="D4004" t="s">
        <v>8450</v>
      </c>
      <c r="E4004" s="3" t="str">
        <f>HYPERLINK("https://www.amazon.com/ITSPWR-containing-Residential-Electricians-High-Density/dp/B0C49MYVDZ/ref=sr_1_4?keywords=Fluke+325+True+RMS+Clamp+Meter&amp;qid=1695174241&amp;sr=8-4", "https://www.amazon.com/ITSPWR-containing-Residential-Electricians-High-Density/dp/B0C49MYVDZ/ref=sr_1_4?keywords=Fluke+325+True+RMS+Clamp+Meter&amp;qid=1695174241&amp;sr=8-4")</f>
        <v>https://www.amazon.com/ITSPWR-containing-Residential-Electricians-High-Density/dp/B0C49MYVDZ/ref=sr_1_4?keywords=Fluke+325+True+RMS+Clamp+Meter&amp;qid=1695174241&amp;sr=8-4</v>
      </c>
      <c r="F4004" t="s">
        <v>8451</v>
      </c>
      <c r="G4004" t="e">
        <f ca="1">_xludf.IMAGE("https://edmondsonsupply.com/cdn/shop/products/Fluke_325_clamp_meter_1280x873px_E_NR-14655.jpg?v=1688679209")</f>
        <v>#NAME?</v>
      </c>
      <c r="H4004" t="e">
        <f ca="1">_xludf.IMAGE("https://m.media-amazon.com/images/I/81D4lWc2YmL._AC_UY218_.jpg")</f>
        <v>#NAME?</v>
      </c>
      <c r="I4004" t="s">
        <v>7586</v>
      </c>
      <c r="J4004">
        <v>349</v>
      </c>
      <c r="K4004" s="4">
        <v>-6.5600000000000006E-2</v>
      </c>
      <c r="L4004">
        <v>5</v>
      </c>
      <c r="M4004">
        <v>1</v>
      </c>
      <c r="O4004" t="s">
        <v>25</v>
      </c>
      <c r="P4004" t="s">
        <v>4069</v>
      </c>
      <c r="Q4004" t="s">
        <v>7587</v>
      </c>
    </row>
    <row r="4005" spans="1:17" ht="15.5" x14ac:dyDescent="0.35">
      <c r="A4005"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4005"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4005" t="s">
        <v>8452</v>
      </c>
      <c r="D4005" t="s">
        <v>5887</v>
      </c>
      <c r="E4005" s="3" t="str">
        <f>HYPERLINK("https://www.amazon.com/Diablo-Freud-DOU125CGP3-Universal-Oscillating/dp/B089KW6C8Q/ref=sr_1_3?keywords=Diablo+Tools+DOU275RCGP+2-3%2F4+in.+Universal+Fit+Carbide+Oscillating+Blade+for+General+Purpose+Cuts&amp;qid=1695174011&amp;sr=8-3", "https://www.amazon.com/Diablo-Freud-DOU125CGP3-Universal-Oscillating/dp/B089KW6C8Q/ref=sr_1_3?keywords=Diablo+Tools+DOU275RCGP+2-3%2F4+in.+Universal+Fit+Carbide+Oscillating+Blade+for+General+Purpose+Cuts&amp;qid=1695174011&amp;sr=8-3")</f>
        <v>https://www.amazon.com/Diablo-Freud-DOU125CGP3-Universal-Oscillating/dp/B089KW6C8Q/ref=sr_1_3?keywords=Diablo+Tools+DOU275RCGP+2-3%2F4+in.+Universal+Fit+Carbide+Oscillating+Blade+for+General+Purpose+Cuts&amp;qid=1695174011&amp;sr=8-3</v>
      </c>
      <c r="F4005" t="s">
        <v>5888</v>
      </c>
      <c r="G4005" t="e">
        <f ca="1">_xludf.IMAGE("https://edmondsonsupply.com/cdn/shop/files/kukkli8nylq54bgtz0o5.webp?v=1685720266")</f>
        <v>#NAME?</v>
      </c>
      <c r="H4005" t="e">
        <f ca="1">_xludf.IMAGE("https://m.media-amazon.com/images/I/71lNEMXVnHL._AC_UL320_.jpg")</f>
        <v>#NAME?</v>
      </c>
      <c r="I4005" t="s">
        <v>824</v>
      </c>
      <c r="J4005">
        <v>27.99</v>
      </c>
      <c r="K4005" s="4">
        <v>-6.6100000000000006E-2</v>
      </c>
      <c r="L4005">
        <v>4.5</v>
      </c>
      <c r="M4005">
        <v>139</v>
      </c>
      <c r="O4005" t="s">
        <v>25</v>
      </c>
      <c r="P4005" t="s">
        <v>8453</v>
      </c>
      <c r="Q4005" t="s">
        <v>8454</v>
      </c>
    </row>
    <row r="4006" spans="1:17" ht="15.5" x14ac:dyDescent="0.35">
      <c r="A4006" s="3" t="str">
        <f>HYPERLINK("https://edmondsonsupply.com/collections/electricians-tools/products/fieldpiece-adk7-deluxe-silicone-test-lead-kit", "https://edmondsonsupply.com/collections/electricians-tools/products/fieldpiece-adk7-deluxe-silicone-test-lead-kit")</f>
        <v>https://edmondsonsupply.com/collections/electricians-tools/products/fieldpiece-adk7-deluxe-silicone-test-lead-kit</v>
      </c>
      <c r="B4006" s="3" t="str">
        <f>HYPERLINK("https://edmondsonsupply.com/products/fieldpiece-adk7-deluxe-silicone-test-lead-kit", "https://edmondsonsupply.com/products/fieldpiece-adk7-deluxe-silicone-test-lead-kit")</f>
        <v>https://edmondsonsupply.com/products/fieldpiece-adk7-deluxe-silicone-test-lead-kit</v>
      </c>
      <c r="C4006" t="s">
        <v>8455</v>
      </c>
      <c r="D4006" t="s">
        <v>8455</v>
      </c>
      <c r="E4006" s="3" t="str">
        <f>HYPERLINK("https://www.amazon.com/Fieldpiece-ADK7-Deluxe-Silicone-Test/dp/B0013NH6SM/ref=sr_1_1?keywords=Fieldpiece+ADK7+Deluxe+Silicone+Test+Lead+Kit&amp;qid=1695174263&amp;sr=8-1", "https://www.amazon.com/Fieldpiece-ADK7-Deluxe-Silicone-Test/dp/B0013NH6SM/ref=sr_1_1?keywords=Fieldpiece+ADK7+Deluxe+Silicone+Test+Lead+Kit&amp;qid=1695174263&amp;sr=8-1")</f>
        <v>https://www.amazon.com/Fieldpiece-ADK7-Deluxe-Silicone-Test/dp/B0013NH6SM/ref=sr_1_1?keywords=Fieldpiece+ADK7+Deluxe+Silicone+Test+Lead+Kit&amp;qid=1695174263&amp;sr=8-1</v>
      </c>
      <c r="F4006" t="s">
        <v>8456</v>
      </c>
      <c r="G4006" t="e">
        <f ca="1">_xludf.IMAGE("https://edmondsonsupply.com/cdn/shop/products/adk7.png?v=1633031044")</f>
        <v>#NAME?</v>
      </c>
      <c r="H4006" t="e">
        <f ca="1">_xludf.IMAGE("https://m.media-amazon.com/images/I/71v1bksaBZL._AC_UY218_.jpg")</f>
        <v>#NAME?</v>
      </c>
      <c r="I4006" t="s">
        <v>8457</v>
      </c>
      <c r="J4006">
        <v>36.5</v>
      </c>
      <c r="K4006" s="4">
        <v>-6.6500000000000004E-2</v>
      </c>
      <c r="L4006">
        <v>4.7</v>
      </c>
      <c r="M4006">
        <v>435</v>
      </c>
      <c r="O4006" t="s">
        <v>25</v>
      </c>
      <c r="P4006" t="s">
        <v>5662</v>
      </c>
      <c r="Q4006" t="s">
        <v>8458</v>
      </c>
    </row>
    <row r="4007" spans="1:17" ht="15.5" x14ac:dyDescent="0.35">
      <c r="A4007" s="3" t="str">
        <f>HYPERLINK("https://edmondsonsupply.com/collections/electricians-tools/products/klein-tools-56115-fiberglass-fish-tape-repair-kit", "https://edmondsonsupply.com/collections/electricians-tools/products/klein-tools-56115-fiberglass-fish-tape-repair-kit")</f>
        <v>https://edmondsonsupply.com/collections/electricians-tools/products/klein-tools-56115-fiberglass-fish-tape-repair-kit</v>
      </c>
      <c r="B4007" s="3" t="str">
        <f>HYPERLINK("https://edmondsonsupply.com/products/klein-tools-56115-fiberglass-fish-tape-repair-kit", "https://edmondsonsupply.com/products/klein-tools-56115-fiberglass-fish-tape-repair-kit")</f>
        <v>https://edmondsonsupply.com/products/klein-tools-56115-fiberglass-fish-tape-repair-kit</v>
      </c>
      <c r="C4007" t="s">
        <v>8459</v>
      </c>
      <c r="D4007" t="s">
        <v>8460</v>
      </c>
      <c r="E4007" s="3" t="str">
        <f>HYPERLINK("https://www.amazon.com/Fiberglass-Repair-Klein-Tools-56115/dp/B0061J53S8/ref=sr_1_1?keywords=Klein+Tools+56115+Fiberglass+Fish+Tape+Repair+Kit&amp;qid=1695174148&amp;sr=8-1", "https://www.amazon.com/Fiberglass-Repair-Klein-Tools-56115/dp/B0061J53S8/ref=sr_1_1?keywords=Klein+Tools+56115+Fiberglass+Fish+Tape+Repair+Kit&amp;qid=1695174148&amp;sr=8-1")</f>
        <v>https://www.amazon.com/Fiberglass-Repair-Klein-Tools-56115/dp/B0061J53S8/ref=sr_1_1?keywords=Klein+Tools+56115+Fiberglass+Fish+Tape+Repair+Kit&amp;qid=1695174148&amp;sr=8-1</v>
      </c>
      <c r="F4007" t="s">
        <v>8461</v>
      </c>
      <c r="G4007" t="e">
        <f ca="1">_xludf.IMAGE("https://edmondsonsupply.com/cdn/shop/products/56115.jpg?v=1666107209")</f>
        <v>#NAME?</v>
      </c>
      <c r="H4007" t="e">
        <f ca="1">_xludf.IMAGE("https://m.media-amazon.com/images/I/61mAtTm8KZL._AC_UL320_.jpg")</f>
        <v>#NAME?</v>
      </c>
      <c r="I4007" t="s">
        <v>4155</v>
      </c>
      <c r="J4007">
        <v>139.99</v>
      </c>
      <c r="K4007" s="4">
        <v>-6.6699999999999995E-2</v>
      </c>
      <c r="L4007">
        <v>4</v>
      </c>
      <c r="M4007">
        <v>28</v>
      </c>
      <c r="O4007" t="s">
        <v>25</v>
      </c>
      <c r="P4007" t="s">
        <v>8462</v>
      </c>
      <c r="Q4007" t="s">
        <v>8463</v>
      </c>
    </row>
    <row r="4008" spans="1:17" ht="15.5" x14ac:dyDescent="0.35">
      <c r="A4008"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008" s="3" t="str">
        <f>HYPERLINK("https://edmondsonsupply.com/products/klein-tools-d2000-28glw-diagonal-cutting-pliers-hi-viz-8-inch", "https://edmondsonsupply.com/products/klein-tools-d2000-28glw-diagonal-cutting-pliers-hi-viz-8-inch")</f>
        <v>https://edmondsonsupply.com/products/klein-tools-d2000-28glw-diagonal-cutting-pliers-hi-viz-8-inch</v>
      </c>
      <c r="C4008" t="s">
        <v>4233</v>
      </c>
      <c r="D4008" t="s">
        <v>8464</v>
      </c>
      <c r="E4008" s="3" t="str">
        <f>HYPERLINK("https://www.amazon.com/Journeyman-Diagonal-Cutting-Klein-Tools-J228-8/dp/B0009XCETI/ref=sr_1_10?keywords=Klein+Tools+D200028GLW+Diagonal+Cutting+Pliers%2C+High-Visibility%2C+8-Inch&amp;qid=1695173928&amp;sr=8-10", "https://www.amazon.com/Journeyman-Diagonal-Cutting-Klein-Tools-J228-8/dp/B0009XCETI/ref=sr_1_10?keywords=Klein+Tools+D200028GLW+Diagonal+Cutting+Pliers%2C+High-Visibility%2C+8-Inch&amp;qid=1695173928&amp;sr=8-10")</f>
        <v>https://www.amazon.com/Journeyman-Diagonal-Cutting-Klein-Tools-J228-8/dp/B0009XCETI/ref=sr_1_10?keywords=Klein+Tools+D200028GLW+Diagonal+Cutting+Pliers%2C+High-Visibility%2C+8-Inch&amp;qid=1695173928&amp;sr=8-10</v>
      </c>
      <c r="F4008" t="s">
        <v>8465</v>
      </c>
      <c r="G4008" t="e">
        <f ca="1">_xludf.IMAGE("https://edmondsonsupply.com/cdn/shop/products/d200028glw.jpg?v=1633030701")</f>
        <v>#NAME?</v>
      </c>
      <c r="H4008" t="e">
        <f ca="1">_xludf.IMAGE("https://m.media-amazon.com/images/I/41uYnLH+0mL._AC_UL320_.jpg")</f>
        <v>#NAME?</v>
      </c>
      <c r="I4008" t="s">
        <v>67</v>
      </c>
      <c r="J4008">
        <v>34.99</v>
      </c>
      <c r="K4008" s="4">
        <v>-6.6699999999999995E-2</v>
      </c>
      <c r="L4008">
        <v>4.8</v>
      </c>
      <c r="M4008">
        <v>558</v>
      </c>
      <c r="O4008" t="s">
        <v>25</v>
      </c>
      <c r="P4008" t="s">
        <v>4236</v>
      </c>
      <c r="Q4008" t="s">
        <v>4237</v>
      </c>
    </row>
    <row r="4009" spans="1:17" ht="15.5" x14ac:dyDescent="0.35">
      <c r="A4009"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4009" s="3" t="str">
        <f>HYPERLINK("https://edmondsonsupply.com/products/klein-tools-31948-bi-metal-hole-saw-3-inch", "https://edmondsonsupply.com/products/klein-tools-31948-bi-metal-hole-saw-3-inch")</f>
        <v>https://edmondsonsupply.com/products/klein-tools-31948-bi-metal-hole-saw-3-inch</v>
      </c>
      <c r="C4009" t="s">
        <v>6377</v>
      </c>
      <c r="D4009" t="s">
        <v>7386</v>
      </c>
      <c r="E4009" s="3" t="str">
        <f>HYPERLINK("https://www.amazon.com/Bi-Metal-8-Inch-Klein-Tools-31958/dp/B01987566S/ref=sr_1_2?keywords=Klein+Tools+31948+Bi-Metal+Hole+Saw%2C+3-Inch&amp;qid=1695174151&amp;sr=8-2", "https://www.amazon.com/Bi-Metal-8-Inch-Klein-Tools-31958/dp/B01987566S/ref=sr_1_2?keywords=Klein+Tools+31948+Bi-Metal+Hole+Saw%2C+3-Inch&amp;qid=1695174151&amp;sr=8-2")</f>
        <v>https://www.amazon.com/Bi-Metal-8-Inch-Klein-Tools-31958/dp/B01987566S/ref=sr_1_2?keywords=Klein+Tools+31948+Bi-Metal+Hole+Saw%2C+3-Inch&amp;qid=1695174151&amp;sr=8-2</v>
      </c>
      <c r="F4009" t="s">
        <v>7387</v>
      </c>
      <c r="G4009" t="e">
        <f ca="1">_xludf.IMAGE("https://edmondsonsupply.com/cdn/shop/products/31948.jpg?v=1663945105")</f>
        <v>#NAME?</v>
      </c>
      <c r="H4009" t="e">
        <f ca="1">_xludf.IMAGE("https://m.media-amazon.com/images/I/417oWF+SE6L._AC_UL320_.jpg")</f>
        <v>#NAME?</v>
      </c>
      <c r="I4009" t="s">
        <v>276</v>
      </c>
      <c r="J4009">
        <v>13.99</v>
      </c>
      <c r="K4009" s="4">
        <v>-6.6699999999999995E-2</v>
      </c>
      <c r="L4009">
        <v>4.5999999999999996</v>
      </c>
      <c r="M4009">
        <v>252</v>
      </c>
      <c r="O4009" t="s">
        <v>25</v>
      </c>
      <c r="P4009" t="s">
        <v>6378</v>
      </c>
      <c r="Q4009" t="s">
        <v>6379</v>
      </c>
    </row>
    <row r="4010" spans="1:17" ht="15.5" x14ac:dyDescent="0.35">
      <c r="A4010"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4010"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4010" t="s">
        <v>8213</v>
      </c>
      <c r="D4010" t="s">
        <v>7219</v>
      </c>
      <c r="E4010" s="3" t="str">
        <f>HYPERLINK("https://www.amazon.com/Klein-Tools-6984INS-Screwdriver-Cushion-Grip/dp/B09GPZ5P2M/ref=sr_1_9?keywords=Klein+Tools+6986INS+Slim-Tip+1000V+Insulated+Screwdriver%2C&amp;qid=1695174143&amp;sr=8-9", "https://www.amazon.com/Klein-Tools-6984INS-Screwdriver-Cushion-Grip/dp/B09GPZ5P2M/ref=sr_1_9?keywords=Klein+Tools+6986INS+Slim-Tip+1000V+Insulated+Screwdriver%2C&amp;qid=1695174143&amp;sr=8-9")</f>
        <v>https://www.amazon.com/Klein-Tools-6984INS-Screwdriver-Cushion-Grip/dp/B09GPZ5P2M/ref=sr_1_9?keywords=Klein+Tools+6986INS+Slim-Tip+1000V+Insulated+Screwdriver%2C&amp;qid=1695174143&amp;sr=8-9</v>
      </c>
      <c r="F4010" t="s">
        <v>7220</v>
      </c>
      <c r="G4010" t="e">
        <f ca="1">_xludf.IMAGE("https://edmondsonsupply.com/cdn/shop/products/6986ins.jpg?v=1664806830")</f>
        <v>#NAME?</v>
      </c>
      <c r="H4010" t="e">
        <f ca="1">_xludf.IMAGE("https://m.media-amazon.com/images/I/41uj4ogsy3L._AC_UL320_.jpg")</f>
        <v>#NAME?</v>
      </c>
      <c r="I4010" t="s">
        <v>276</v>
      </c>
      <c r="J4010">
        <v>13.99</v>
      </c>
      <c r="K4010" s="4">
        <v>-6.6699999999999995E-2</v>
      </c>
      <c r="L4010">
        <v>4.8</v>
      </c>
      <c r="M4010">
        <v>108</v>
      </c>
      <c r="O4010" t="s">
        <v>25</v>
      </c>
      <c r="P4010" t="s">
        <v>277</v>
      </c>
      <c r="Q4010" t="s">
        <v>8214</v>
      </c>
    </row>
    <row r="4011" spans="1:17" ht="15.5" x14ac:dyDescent="0.35">
      <c r="A4011"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4011"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4011" t="s">
        <v>8213</v>
      </c>
      <c r="D4011" t="s">
        <v>7215</v>
      </c>
      <c r="E4011" s="3" t="str">
        <f>HYPERLINK("https://www.amazon.com/Klein-Tools-6944INS-Screwdriver-Cushion-Grip/dp/B09GPYTZV3/ref=sr_1_7?keywords=Klein+Tools+6986INS+Slim-Tip+1000V+Insulated+Screwdriver%2C&amp;qid=1695174143&amp;sr=8-7", "https://www.amazon.com/Klein-Tools-6944INS-Screwdriver-Cushion-Grip/dp/B09GPYTZV3/ref=sr_1_7?keywords=Klein+Tools+6986INS+Slim-Tip+1000V+Insulated+Screwdriver%2C&amp;qid=1695174143&amp;sr=8-7")</f>
        <v>https://www.amazon.com/Klein-Tools-6944INS-Screwdriver-Cushion-Grip/dp/B09GPYTZV3/ref=sr_1_7?keywords=Klein+Tools+6986INS+Slim-Tip+1000V+Insulated+Screwdriver%2C&amp;qid=1695174143&amp;sr=8-7</v>
      </c>
      <c r="F4011" t="s">
        <v>7216</v>
      </c>
      <c r="G4011" t="e">
        <f ca="1">_xludf.IMAGE("https://edmondsonsupply.com/cdn/shop/products/6986ins.jpg?v=1664806830")</f>
        <v>#NAME?</v>
      </c>
      <c r="H4011" t="e">
        <f ca="1">_xludf.IMAGE("https://m.media-amazon.com/images/I/41PzygwLx+L._AC_UL320_.jpg")</f>
        <v>#NAME?</v>
      </c>
      <c r="I4011" t="s">
        <v>276</v>
      </c>
      <c r="J4011">
        <v>13.99</v>
      </c>
      <c r="K4011" s="4">
        <v>-6.6699999999999995E-2</v>
      </c>
      <c r="L4011">
        <v>4.7</v>
      </c>
      <c r="M4011">
        <v>95</v>
      </c>
      <c r="O4011" t="s">
        <v>25</v>
      </c>
      <c r="P4011" t="s">
        <v>277</v>
      </c>
      <c r="Q4011" t="s">
        <v>8214</v>
      </c>
    </row>
    <row r="4012" spans="1:17" ht="15.5" x14ac:dyDescent="0.35">
      <c r="A4012"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4012"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4012" t="s">
        <v>6076</v>
      </c>
      <c r="D4012" t="s">
        <v>7215</v>
      </c>
      <c r="E4012" s="3" t="str">
        <f>HYPERLINK("https://www.amazon.com/Klein-Tools-6944INS-Screwdriver-Cushion-Grip/dp/B09GPYTZV3/ref=sr_1_10?keywords=Klein+Tools+6926INS+Slim-Tip+1000V+Insulated+Screwdriver%2C+1%2F4-Inch+Cabinet%2C+6-Inch&amp;qid=1695174185&amp;sr=8-10", "https://www.amazon.com/Klein-Tools-6944INS-Screwdriver-Cushion-Grip/dp/B09GPYTZV3/ref=sr_1_10?keywords=Klein+Tools+6926INS+Slim-Tip+1000V+Insulated+Screwdriver%2C+1%2F4-Inch+Cabinet%2C+6-Inch&amp;qid=1695174185&amp;sr=8-10")</f>
        <v>https://www.amazon.com/Klein-Tools-6944INS-Screwdriver-Cushion-Grip/dp/B09GPYTZV3/ref=sr_1_10?keywords=Klein+Tools+6926INS+Slim-Tip+1000V+Insulated+Screwdriver%2C+1%2F4-Inch+Cabinet%2C+6-Inch&amp;qid=1695174185&amp;sr=8-10</v>
      </c>
      <c r="F4012" t="s">
        <v>7216</v>
      </c>
      <c r="G4012" t="e">
        <f ca="1">_xludf.IMAGE("https://edmondsonsupply.com/cdn/shop/products/6926ins.jpg?v=1664803626")</f>
        <v>#NAME?</v>
      </c>
      <c r="H4012" t="e">
        <f ca="1">_xludf.IMAGE("https://m.media-amazon.com/images/I/41PzygwLx+L._AC_UL320_.jpg")</f>
        <v>#NAME?</v>
      </c>
      <c r="I4012" t="s">
        <v>276</v>
      </c>
      <c r="J4012">
        <v>13.99</v>
      </c>
      <c r="K4012" s="4">
        <v>-6.6699999999999995E-2</v>
      </c>
      <c r="L4012">
        <v>4.7</v>
      </c>
      <c r="M4012">
        <v>95</v>
      </c>
      <c r="O4012" t="s">
        <v>25</v>
      </c>
      <c r="P4012" t="s">
        <v>277</v>
      </c>
      <c r="Q4012" t="s">
        <v>6079</v>
      </c>
    </row>
    <row r="4013" spans="1:17" ht="15.5" x14ac:dyDescent="0.35">
      <c r="A4013"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4013" s="3" t="str">
        <f>HYPERLINK("https://edmondsonsupply.com/products/klein-tools-31948-bi-metal-hole-saw-3-inch", "https://edmondsonsupply.com/products/klein-tools-31948-bi-metal-hole-saw-3-inch")</f>
        <v>https://edmondsonsupply.com/products/klein-tools-31948-bi-metal-hole-saw-3-inch</v>
      </c>
      <c r="C4013" t="s">
        <v>6377</v>
      </c>
      <c r="D4013" t="s">
        <v>8466</v>
      </c>
      <c r="E4013" s="3" t="str">
        <f>HYPERLINK("https://www.amazon.com/Bi-Metal-3-Inch-Klein-Tools-31948/dp/B0198751L8/ref=sr_1_1?keywords=Klein+Tools+31948+Bi-Metal+Hole+Saw%2C+3-Inch&amp;qid=1695174151&amp;sr=8-1", "https://www.amazon.com/Bi-Metal-3-Inch-Klein-Tools-31948/dp/B0198751L8/ref=sr_1_1?keywords=Klein+Tools+31948+Bi-Metal+Hole+Saw%2C+3-Inch&amp;qid=1695174151&amp;sr=8-1")</f>
        <v>https://www.amazon.com/Bi-Metal-3-Inch-Klein-Tools-31948/dp/B0198751L8/ref=sr_1_1?keywords=Klein+Tools+31948+Bi-Metal+Hole+Saw%2C+3-Inch&amp;qid=1695174151&amp;sr=8-1</v>
      </c>
      <c r="F4013" t="s">
        <v>8467</v>
      </c>
      <c r="G4013" t="e">
        <f ca="1">_xludf.IMAGE("https://edmondsonsupply.com/cdn/shop/products/31948.jpg?v=1663945105")</f>
        <v>#NAME?</v>
      </c>
      <c r="H4013" t="e">
        <f ca="1">_xludf.IMAGE("https://m.media-amazon.com/images/I/41htaCI9OJL._AC_UL320_.jpg")</f>
        <v>#NAME?</v>
      </c>
      <c r="I4013" t="s">
        <v>276</v>
      </c>
      <c r="J4013">
        <v>13.99</v>
      </c>
      <c r="K4013" s="4">
        <v>-6.6699999999999995E-2</v>
      </c>
      <c r="L4013">
        <v>4.5999999999999996</v>
      </c>
      <c r="M4013">
        <v>406</v>
      </c>
      <c r="O4013" t="s">
        <v>25</v>
      </c>
      <c r="P4013" t="s">
        <v>6378</v>
      </c>
      <c r="Q4013" t="s">
        <v>6379</v>
      </c>
    </row>
    <row r="4014" spans="1:17" ht="15.5" x14ac:dyDescent="0.35">
      <c r="A4014" s="3" t="str">
        <f>HYPERLINK("https://edmondsonsupply.com/collections/electricians-tools/products/fluke-tlk289-industrial-master-test-lead-set", "https://edmondsonsupply.com/collections/electricians-tools/products/fluke-tlk289-industrial-master-test-lead-set")</f>
        <v>https://edmondsonsupply.com/collections/electricians-tools/products/fluke-tlk289-industrial-master-test-lead-set</v>
      </c>
      <c r="B4014" s="3" t="str">
        <f>HYPERLINK("https://edmondsonsupply.com/products/fluke-tlk289-industrial-master-test-lead-set", "https://edmondsonsupply.com/products/fluke-tlk289-industrial-master-test-lead-set")</f>
        <v>https://edmondsonsupply.com/products/fluke-tlk289-industrial-master-test-lead-set</v>
      </c>
      <c r="C4014" t="s">
        <v>8310</v>
      </c>
      <c r="D4014" t="s">
        <v>8468</v>
      </c>
      <c r="E4014" s="3" t="str">
        <f>HYPERLINK("https://www.amazon.com/Fluke-TLK287-Electronics-Master-Test/dp/B003AHE96G/ref=sr_1_2?keywords=Fluke+TLK289+Industrial+Master+Test+Lead+Set&amp;qid=1695174240&amp;sr=8-2", "https://www.amazon.com/Fluke-TLK287-Electronics-Master-Test/dp/B003AHE96G/ref=sr_1_2?keywords=Fluke+TLK289+Industrial+Master+Test+Lead+Set&amp;qid=1695174240&amp;sr=8-2")</f>
        <v>https://www.amazon.com/Fluke-TLK287-Electronics-Master-Test/dp/B003AHE96G/ref=sr_1_2?keywords=Fluke+TLK289+Industrial+Master+Test+Lead+Set&amp;qid=1695174240&amp;sr=8-2</v>
      </c>
      <c r="F4014" t="s">
        <v>8469</v>
      </c>
      <c r="G4014" t="e">
        <f ca="1">_xludf.IMAGE("https://edmondsonsupply.com/cdn/shop/products/TLK289_1280x841px_E_NR-23772.jpg?v=1633031191")</f>
        <v>#NAME?</v>
      </c>
      <c r="H4014" t="e">
        <f ca="1">_xludf.IMAGE("https://m.media-amazon.com/images/I/61JEjFCnhtL._AC_UY218_.jpg")</f>
        <v>#NAME?</v>
      </c>
      <c r="I4014" t="s">
        <v>8312</v>
      </c>
      <c r="J4014">
        <v>177.29</v>
      </c>
      <c r="K4014" s="4">
        <v>-6.6799999999999998E-2</v>
      </c>
      <c r="L4014">
        <v>4.5999999999999996</v>
      </c>
      <c r="M4014">
        <v>91</v>
      </c>
      <c r="O4014" t="s">
        <v>25</v>
      </c>
      <c r="P4014" t="s">
        <v>454</v>
      </c>
      <c r="Q4014" t="s">
        <v>8313</v>
      </c>
    </row>
    <row r="4015" spans="1:17" ht="15.5" x14ac:dyDescent="0.35">
      <c r="A4015" s="3" t="str">
        <f>HYPERLINK("https://edmondsonsupply.com/collections/electricians-tools/products/milwaukee-2566-22-m12-fuel%E2%84%A2-1-4-high-speed-ratchet-kit", "https://edmondsonsupply.com/collections/electricians-tools/products/milwaukee-2566-22-m12-fuel%E2%84%A2-1-4-high-speed-ratchet-kit")</f>
        <v>https://edmondsonsupply.com/collections/electricians-tools/products/milwaukee-2566-22-m12-fuel%E2%84%A2-1-4-high-speed-ratchet-kit</v>
      </c>
      <c r="B4015" s="3" t="str">
        <f>HYPERLINK("https://edmondsonsupply.com/products/milwaukee-2566-22-m12-fuel%e2%84%a2-1-4-high-speed-ratchet-kit", "https://edmondsonsupply.com/products/milwaukee-2566-22-m12-fuel%e2%84%a2-1-4-high-speed-ratchet-kit")</f>
        <v>https://edmondsonsupply.com/products/milwaukee-2566-22-m12-fuel%e2%84%a2-1-4-high-speed-ratchet-kit</v>
      </c>
      <c r="C4015" t="s">
        <v>5009</v>
      </c>
      <c r="D4015" t="s">
        <v>5010</v>
      </c>
      <c r="E4015" s="3" t="str">
        <f>HYPERLINK("https://www.amazon.com/Milwaukee-FUEL-Speed-Cordless-Ratchet/dp/B08XB2SBDY/ref=sr_1_1?keywords=Milwaukee+2566-22+M12+FUEL%E2%84%A2+1%2F4%22+High+Speed+Ratchet+Kit&amp;qid=1695174029&amp;sr=8-1", "https://www.amazon.com/Milwaukee-FUEL-Speed-Cordless-Ratchet/dp/B08XB2SBDY/ref=sr_1_1?keywords=Milwaukee+2566-22+M12+FUEL%E2%84%A2+1%2F4%22+High+Speed+Ratchet+Kit&amp;qid=1695174029&amp;sr=8-1")</f>
        <v>https://www.amazon.com/Milwaukee-FUEL-Speed-Cordless-Ratchet/dp/B08XB2SBDY/ref=sr_1_1?keywords=Milwaukee+2566-22+M12+FUEL%E2%84%A2+1%2F4%22+High+Speed+Ratchet+Kit&amp;qid=1695174029&amp;sr=8-1</v>
      </c>
      <c r="F4015" t="s">
        <v>5011</v>
      </c>
      <c r="G4015" t="e">
        <f ca="1">_xludf.IMAGE("https://edmondsonsupply.com/cdn/shop/files/2566-22_Kit.png?v=1686936758")</f>
        <v>#NAME?</v>
      </c>
      <c r="H4015" t="e">
        <f ca="1">_xludf.IMAGE("https://m.media-amazon.com/images/I/410-8q8NgpL._AC_UL320_.jpg")</f>
        <v>#NAME?</v>
      </c>
      <c r="I4015" t="s">
        <v>5012</v>
      </c>
      <c r="J4015">
        <v>279</v>
      </c>
      <c r="K4015" s="4">
        <v>-6.6900000000000001E-2</v>
      </c>
      <c r="L4015">
        <v>4.7</v>
      </c>
      <c r="M4015">
        <v>80</v>
      </c>
      <c r="O4015" t="s">
        <v>25</v>
      </c>
      <c r="P4015" t="s">
        <v>5013</v>
      </c>
      <c r="Q4015" t="s">
        <v>5014</v>
      </c>
    </row>
    <row r="4016" spans="1:17" ht="15.5" x14ac:dyDescent="0.35">
      <c r="A4016"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016" s="3" t="str">
        <f>HYPERLINK("https://edmondsonsupply.com/products/klein-tools-d2000-28glw-diagonal-cutting-pliers-hi-viz-8-inch", "https://edmondsonsupply.com/products/klein-tools-d2000-28glw-diagonal-cutting-pliers-hi-viz-8-inch")</f>
        <v>https://edmondsonsupply.com/products/klein-tools-d2000-28glw-diagonal-cutting-pliers-hi-viz-8-inch</v>
      </c>
      <c r="C4016" t="s">
        <v>4233</v>
      </c>
      <c r="D4016" t="s">
        <v>5015</v>
      </c>
      <c r="E4016" s="3" t="str">
        <f>HYPERLINK("https://www.amazon.com/Diagonal-Linemans-Klein-Tools-D2000-48/dp/B0000302WZ/ref=sr_1_2?keywords=Klein+Tools+D200028GLW+Diagonal+Cutting+Pliers%2C+High-Visibility%2C+8-Inch&amp;qid=1695173928&amp;sr=8-2", "https://www.amazon.com/Diagonal-Linemans-Klein-Tools-D2000-48/dp/B0000302WZ/ref=sr_1_2?keywords=Klein+Tools+D200028GLW+Diagonal+Cutting+Pliers%2C+High-Visibility%2C+8-Inch&amp;qid=1695173928&amp;sr=8-2")</f>
        <v>https://www.amazon.com/Diagonal-Linemans-Klein-Tools-D2000-48/dp/B0000302WZ/ref=sr_1_2?keywords=Klein+Tools+D200028GLW+Diagonal+Cutting+Pliers%2C+High-Visibility%2C+8-Inch&amp;qid=1695173928&amp;sr=8-2</v>
      </c>
      <c r="F4016" t="s">
        <v>5016</v>
      </c>
      <c r="G4016" t="e">
        <f ca="1">_xludf.IMAGE("https://edmondsonsupply.com/cdn/shop/products/d200028glw.jpg?v=1633030701")</f>
        <v>#NAME?</v>
      </c>
      <c r="H4016" t="e">
        <f ca="1">_xludf.IMAGE("https://m.media-amazon.com/images/I/41Y+q+BsIsL._AC_UL320_.jpg")</f>
        <v>#NAME?</v>
      </c>
      <c r="I4016" t="s">
        <v>67</v>
      </c>
      <c r="J4016">
        <v>34.97</v>
      </c>
      <c r="K4016" s="4">
        <v>-6.7199999999999996E-2</v>
      </c>
      <c r="L4016">
        <v>4.7</v>
      </c>
      <c r="M4016">
        <v>530</v>
      </c>
      <c r="O4016" t="s">
        <v>25</v>
      </c>
      <c r="P4016" t="s">
        <v>4236</v>
      </c>
      <c r="Q4016" t="s">
        <v>4237</v>
      </c>
    </row>
    <row r="4017" spans="1:17" ht="15.5" x14ac:dyDescent="0.35">
      <c r="A4017"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4017"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4017" t="s">
        <v>6443</v>
      </c>
      <c r="D4017" t="s">
        <v>8470</v>
      </c>
      <c r="E4017" s="3" t="str">
        <f>HYPERLINK("https://www.amazon.com/Journeyman-T-Handle-Klein-Tools-JTH6E06BE/dp/B004QVX826/ref=sr_1_3?keywords=Klein+Tools+JTH4E06+3%2F32-Inch+Hex+Key%2C+Journeyman+T-Handle%2C+4-Inch&amp;qid=1695174228&amp;sr=8-3", "https://www.amazon.com/Journeyman-T-Handle-Klein-Tools-JTH6E06BE/dp/B004QVX826/ref=sr_1_3?keywords=Klein+Tools+JTH4E06+3%2F32-Inch+Hex+Key%2C+Journeyman+T-Handle%2C+4-Inch&amp;qid=1695174228&amp;sr=8-3")</f>
        <v>https://www.amazon.com/Journeyman-T-Handle-Klein-Tools-JTH6E06BE/dp/B004QVX826/ref=sr_1_3?keywords=Klein+Tools+JTH4E06+3%2F32-Inch+Hex+Key%2C+Journeyman+T-Handle%2C+4-Inch&amp;qid=1695174228&amp;sr=8-3</v>
      </c>
      <c r="F4017" t="s">
        <v>8471</v>
      </c>
      <c r="G4017" t="e">
        <f ca="1">_xludf.IMAGE("https://edmondsonsupply.com/cdn/shop/products/jth4e06.jpg?v=1635112029")</f>
        <v>#NAME?</v>
      </c>
      <c r="H4017" t="e">
        <f ca="1">_xludf.IMAGE("https://m.media-amazon.com/images/I/51f9vBFVXgL._AC_UL320_.jpg")</f>
        <v>#NAME?</v>
      </c>
      <c r="I4017" t="s">
        <v>6444</v>
      </c>
      <c r="J4017">
        <v>3.72</v>
      </c>
      <c r="K4017" s="4">
        <v>-6.7699999999999996E-2</v>
      </c>
      <c r="L4017">
        <v>4.8</v>
      </c>
      <c r="M4017">
        <v>456</v>
      </c>
      <c r="O4017" t="s">
        <v>25</v>
      </c>
      <c r="P4017" t="s">
        <v>2044</v>
      </c>
      <c r="Q4017" t="s">
        <v>6445</v>
      </c>
    </row>
    <row r="4018" spans="1:17" ht="15.5" x14ac:dyDescent="0.35">
      <c r="A4018"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4018"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4018" t="s">
        <v>6802</v>
      </c>
      <c r="D4018" t="s">
        <v>8472</v>
      </c>
      <c r="E4018" s="3" t="str">
        <f>HYPERLINK("https://www.amazon.com/Journeyman-T-Handle-Klein-Tools-JTH6E10BE/dp/B004QW4EPK/ref=sr_1_2?keywords=Klein+Tools+JTH4E10+5%2F32-Inch+Hex+Key%2C+Journeyman+T-Handle%2C+4-Inch&amp;qid=1695174219&amp;sr=8-2", "https://www.amazon.com/Journeyman-T-Handle-Klein-Tools-JTH6E10BE/dp/B004QW4EPK/ref=sr_1_2?keywords=Klein+Tools+JTH4E10+5%2F32-Inch+Hex+Key%2C+Journeyman+T-Handle%2C+4-Inch&amp;qid=1695174219&amp;sr=8-2")</f>
        <v>https://www.amazon.com/Journeyman-T-Handle-Klein-Tools-JTH6E10BE/dp/B004QW4EPK/ref=sr_1_2?keywords=Klein+Tools+JTH4E10+5%2F32-Inch+Hex+Key%2C+Journeyman+T-Handle%2C+4-Inch&amp;qid=1695174219&amp;sr=8-2</v>
      </c>
      <c r="F4018" t="s">
        <v>8473</v>
      </c>
      <c r="G4018" t="e">
        <f ca="1">_xludf.IMAGE("https://edmondsonsupply.com/cdn/shop/products/jth4e17_ce261606-f524-49c5-9cd5-8c9f52dd1e03.jpg?v=1645565342")</f>
        <v>#NAME?</v>
      </c>
      <c r="H4018" t="e">
        <f ca="1">_xludf.IMAGE("https://m.media-amazon.com/images/I/51f9vBFVXgL._AC_UL320_.jpg")</f>
        <v>#NAME?</v>
      </c>
      <c r="I4018" t="s">
        <v>6444</v>
      </c>
      <c r="J4018">
        <v>3.72</v>
      </c>
      <c r="K4018" s="4">
        <v>-6.7699999999999996E-2</v>
      </c>
      <c r="L4018">
        <v>4.8</v>
      </c>
      <c r="M4018">
        <v>456</v>
      </c>
      <c r="O4018" t="s">
        <v>25</v>
      </c>
      <c r="P4018" t="s">
        <v>2044</v>
      </c>
      <c r="Q4018" t="s">
        <v>6803</v>
      </c>
    </row>
    <row r="4019" spans="1:17" ht="15.5" x14ac:dyDescent="0.35">
      <c r="A4019"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4019" s="3" t="str">
        <f>HYPERLINK("https://edmondsonsupply.com/products/klein-tools-d507-8-adjustable-wrench-extra-capacity-8-inch", "https://edmondsonsupply.com/products/klein-tools-d507-8-adjustable-wrench-extra-capacity-8-inch")</f>
        <v>https://edmondsonsupply.com/products/klein-tools-d507-8-adjustable-wrench-extra-capacity-8-inch</v>
      </c>
      <c r="C4019" t="s">
        <v>6699</v>
      </c>
      <c r="D4019" t="s">
        <v>8474</v>
      </c>
      <c r="E4019" s="3" t="str">
        <f>HYPERLINK("https://www.amazon.com/Adjustable-Extra-Capacity-Klein-Tools-507-8/dp/B0002RI5SA/ref=sr_1_2?keywords=Klein+Tools+D507-8+Adjustable+Wrench%2C+Extra+Capacity+8-Inch&amp;qid=1695173949&amp;sr=8-2", "https://www.amazon.com/Adjustable-Extra-Capacity-Klein-Tools-507-8/dp/B0002RI5SA/ref=sr_1_2?keywords=Klein+Tools+D507-8+Adjustable+Wrench%2C+Extra+Capacity+8-Inch&amp;qid=1695173949&amp;sr=8-2")</f>
        <v>https://www.amazon.com/Adjustable-Extra-Capacity-Klein-Tools-507-8/dp/B0002RI5SA/ref=sr_1_2?keywords=Klein+Tools+D507-8+Adjustable+Wrench%2C+Extra+Capacity+8-Inch&amp;qid=1695173949&amp;sr=8-2</v>
      </c>
      <c r="F4019" t="s">
        <v>8475</v>
      </c>
      <c r="G4019" t="e">
        <f ca="1">_xludf.IMAGE("https://edmondsonsupply.com/cdn/shop/products/d5078_b.jpg?v=1666010497")</f>
        <v>#NAME?</v>
      </c>
      <c r="H4019" t="e">
        <f ca="1">_xludf.IMAGE("https://m.media-amazon.com/images/I/51neMDEiFVL._AC_UL320_.jpg")</f>
        <v>#NAME?</v>
      </c>
      <c r="I4019" t="s">
        <v>26</v>
      </c>
      <c r="J4019">
        <v>27.95</v>
      </c>
      <c r="K4019" s="4">
        <v>-6.8000000000000005E-2</v>
      </c>
      <c r="L4019">
        <v>4.3</v>
      </c>
      <c r="M4019">
        <v>26</v>
      </c>
      <c r="O4019" t="s">
        <v>25</v>
      </c>
      <c r="P4019" t="s">
        <v>1327</v>
      </c>
      <c r="Q4019" t="s">
        <v>6700</v>
      </c>
    </row>
    <row r="4020" spans="1:17" ht="15.5" x14ac:dyDescent="0.35">
      <c r="A4020" s="3" t="str">
        <f>HYPERLINK("https://edmondsonsupply.com/collections/electricians-tools/products/klein-tools-jth9e14-5-16-inch-hex-key-journeyman%E2%84%A2-t-handle-9-inch", "https://edmondsonsupply.com/collections/electricians-tools/products/klein-tools-jth9e14-5-16-inch-hex-key-journeyman%E2%84%A2-t-handle-9-inch")</f>
        <v>https://edmondsonsupply.com/collections/electricians-tools/products/klein-tools-jth9e14-5-16-inch-hex-key-journeyman%E2%84%A2-t-handle-9-inch</v>
      </c>
      <c r="B4020" s="3" t="str">
        <f>HYPERLINK("https://edmondsonsupply.com/products/klein-tools-jth9e14-5-16-inch-hex-key-journeyman%e2%84%a2-t-handle-9-inch", "https://edmondsonsupply.com/products/klein-tools-jth9e14-5-16-inch-hex-key-journeyman%e2%84%a2-t-handle-9-inch")</f>
        <v>https://edmondsonsupply.com/products/klein-tools-jth9e14-5-16-inch-hex-key-journeyman%e2%84%a2-t-handle-9-inch</v>
      </c>
      <c r="C4020" t="s">
        <v>6804</v>
      </c>
      <c r="D4020" t="s">
        <v>3163</v>
      </c>
      <c r="E4020" s="3" t="str">
        <f>HYPERLINK("https://www.amazon.com/Journeyman-T-Handle-Klein-Tools-JTH9E14/dp/B004QVAH4I/ref=sr_1_1?keywords=Klein+Tools+JTH9E14+5%2F16-Inch+Hex+Key%2C+Journeyman%E2%84%A2+T-Handle%2C+9-Inch&amp;qid=1695174141&amp;sr=8-1", "https://www.amazon.com/Journeyman-T-Handle-Klein-Tools-JTH9E14/dp/B004QVAH4I/ref=sr_1_1?keywords=Klein+Tools+JTH9E14+5%2F16-Inch+Hex+Key%2C+Journeyman%E2%84%A2+T-Handle%2C+9-Inch&amp;qid=1695174141&amp;sr=8-1")</f>
        <v>https://www.amazon.com/Journeyman-T-Handle-Klein-Tools-JTH9E14/dp/B004QVAH4I/ref=sr_1_1?keywords=Klein+Tools+JTH9E14+5%2F16-Inch+Hex+Key%2C+Journeyman%E2%84%A2+T-Handle%2C+9-Inch&amp;qid=1695174141&amp;sr=8-1</v>
      </c>
      <c r="F4020" t="s">
        <v>3164</v>
      </c>
      <c r="G4020" t="e">
        <f ca="1">_xludf.IMAGE("https://edmondsonsupply.com/cdn/shop/products/jth6e15_f4984146-222a-4a1f-9fb4-94d2ee6d0a9d.jpg?v=1665597420")</f>
        <v>#NAME?</v>
      </c>
      <c r="H4020" t="e">
        <f ca="1">_xludf.IMAGE("https://m.media-amazon.com/images/I/51Yb8h41vLL._AC_UL320_.jpg")</f>
        <v>#NAME?</v>
      </c>
      <c r="I4020" t="s">
        <v>1003</v>
      </c>
      <c r="J4020">
        <v>7.44</v>
      </c>
      <c r="K4020" s="4">
        <v>-6.88E-2</v>
      </c>
      <c r="L4020">
        <v>4.8</v>
      </c>
      <c r="M4020">
        <v>114</v>
      </c>
      <c r="O4020" t="s">
        <v>25</v>
      </c>
      <c r="P4020" t="s">
        <v>6024</v>
      </c>
      <c r="Q4020" t="s">
        <v>6805</v>
      </c>
    </row>
    <row r="4021" spans="1:17" ht="15.5" x14ac:dyDescent="0.35">
      <c r="A4021"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4021" s="3" t="str">
        <f>HYPERLINK("https://edmondsonsupply.com/products/klein-tools-69410-replacement-test-lead-set-right-angle", "https://edmondsonsupply.com/products/klein-tools-69410-replacement-test-lead-set-right-angle")</f>
        <v>https://edmondsonsupply.com/products/klein-tools-69410-replacement-test-lead-set-right-angle</v>
      </c>
      <c r="C4021" t="s">
        <v>1463</v>
      </c>
      <c r="D4021" t="s">
        <v>1463</v>
      </c>
      <c r="E4021" s="3" t="str">
        <f>HYPERLINK("https://www.amazon.com/Replacement-Right-Klein-Tools-69410/dp/B003U2GONM/ref=sr_1_1?keywords=Klein+Tools+69410+Replacement+Test+Lead+Set%2C+Right+Angle&amp;qid=1695173944&amp;sr=8-1", "https://www.amazon.com/Replacement-Right-Klein-Tools-69410/dp/B003U2GONM/ref=sr_1_1?keywords=Klein+Tools+69410+Replacement+Test+Lead+Set%2C+Right+Angle&amp;qid=1695173944&amp;sr=8-1")</f>
        <v>https://www.amazon.com/Replacement-Right-Klein-Tools-69410/dp/B003U2GONM/ref=sr_1_1?keywords=Klein+Tools+69410+Replacement+Test+Lead+Set%2C+Right+Angle&amp;qid=1695173944&amp;sr=8-1</v>
      </c>
      <c r="F4021" t="s">
        <v>5022</v>
      </c>
      <c r="G4021" t="e">
        <f ca="1">_xludf.IMAGE("https://edmondsonsupply.com/cdn/shop/products/69410.jpg?v=1587143393")</f>
        <v>#NAME?</v>
      </c>
      <c r="H4021" t="e">
        <f ca="1">_xludf.IMAGE("https://m.media-amazon.com/images/I/61VbepdaATL._AC_UY218_.jpg")</f>
        <v>#NAME?</v>
      </c>
      <c r="I4021" t="s">
        <v>893</v>
      </c>
      <c r="J4021">
        <v>18.59</v>
      </c>
      <c r="K4021" s="4">
        <v>-6.9099999999999995E-2</v>
      </c>
      <c r="L4021">
        <v>4.7</v>
      </c>
      <c r="M4021">
        <v>2358</v>
      </c>
      <c r="O4021" t="s">
        <v>25</v>
      </c>
      <c r="P4021" t="s">
        <v>1466</v>
      </c>
      <c r="Q4021" t="s">
        <v>1467</v>
      </c>
    </row>
    <row r="4022" spans="1:17" ht="15.5" x14ac:dyDescent="0.35">
      <c r="A4022" s="3" t="str">
        <f>HYPERLINK("https://edmondsonsupply.com/collections/electricians-tools/products/klein-tools-44219-replacement-hawkbill-blade-for-44218-3-pack", "https://edmondsonsupply.com/collections/electricians-tools/products/klein-tools-44219-replacement-hawkbill-blade-for-44218-3-pack")</f>
        <v>https://edmondsonsupply.com/collections/electricians-tools/products/klein-tools-44219-replacement-hawkbill-blade-for-44218-3-pack</v>
      </c>
      <c r="B4022" s="3" t="str">
        <f>HYPERLINK("https://edmondsonsupply.com/products/klein-tools-44219-replacement-hawkbill-blade-for-44218-3-pack", "https://edmondsonsupply.com/products/klein-tools-44219-replacement-hawkbill-blade-for-44218-3-pack")</f>
        <v>https://edmondsonsupply.com/products/klein-tools-44219-replacement-hawkbill-blade-for-44218-3-pack</v>
      </c>
      <c r="C4022" t="s">
        <v>5174</v>
      </c>
      <c r="D4022" t="s">
        <v>5174</v>
      </c>
      <c r="E4022" s="3" t="str">
        <f>HYPERLINK("https://www.amazon.com/Replacement-Hawkbill-Klein-Tools-44219/dp/B072BQ6HGJ/ref=sr_1_1?keywords=Klein+Tools+44219+Replacement+Hawkbill+Blade+for+44218+3-Pack&amp;qid=1695173852&amp;sr=8-1", "https://www.amazon.com/Replacement-Hawkbill-Klein-Tools-44219/dp/B072BQ6HGJ/ref=sr_1_1?keywords=Klein+Tools+44219+Replacement+Hawkbill+Blade+for+44218+3-Pack&amp;qid=1695173852&amp;sr=8-1")</f>
        <v>https://www.amazon.com/Replacement-Hawkbill-Klein-Tools-44219/dp/B072BQ6HGJ/ref=sr_1_1?keywords=Klein+Tools+44219+Replacement+Hawkbill+Blade+for+44218+3-Pack&amp;qid=1695173852&amp;sr=8-1</v>
      </c>
      <c r="F4022" t="s">
        <v>5175</v>
      </c>
      <c r="G4022" t="e">
        <f ca="1">_xludf.IMAGE("https://edmondsonsupply.com/cdn/shop/products/44219.jpg?v=1587143534")</f>
        <v>#NAME?</v>
      </c>
      <c r="H4022" t="e">
        <f ca="1">_xludf.IMAGE("https://m.media-amazon.com/images/I/51+MvUsWHnL._AC_UL320_.jpg")</f>
        <v>#NAME?</v>
      </c>
      <c r="I4022" t="s">
        <v>288</v>
      </c>
      <c r="J4022">
        <v>12.99</v>
      </c>
      <c r="K4022" s="4">
        <v>-7.1499999999999994E-2</v>
      </c>
      <c r="L4022">
        <v>4.8</v>
      </c>
      <c r="M4022">
        <v>3348</v>
      </c>
      <c r="O4022" t="s">
        <v>25</v>
      </c>
      <c r="P4022" t="s">
        <v>5176</v>
      </c>
      <c r="Q4022" t="s">
        <v>5177</v>
      </c>
    </row>
    <row r="4023" spans="1:17" ht="15.5" x14ac:dyDescent="0.35">
      <c r="A4023"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4023"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4023" t="s">
        <v>2344</v>
      </c>
      <c r="D4023" t="s">
        <v>5025</v>
      </c>
      <c r="E4023" s="3" t="str">
        <f>HYPERLINK("https://www.amazon.com/Journeyman-T-Handle-Klein-Tools-JTH6E14/dp/B004ITSTL6/ref=sr_1_1?keywords=Klein+Tools+JTH6E14+5%2F16-Inch+Hex+Key+with+Journeyman+T-Handle%2C+6-Inch&amp;qid=1695173855&amp;sr=8-1", "https://www.amazon.com/Journeyman-T-Handle-Klein-Tools-JTH6E14/dp/B004ITSTL6/ref=sr_1_1?keywords=Klein+Tools+JTH6E14+5%2F16-Inch+Hex+Key+with+Journeyman+T-Handle%2C+6-Inch&amp;qid=1695173855&amp;sr=8-1")</f>
        <v>https://www.amazon.com/Journeyman-T-Handle-Klein-Tools-JTH6E14/dp/B004ITSTL6/ref=sr_1_1?keywords=Klein+Tools+JTH6E14+5%2F16-Inch+Hex+Key+with+Journeyman+T-Handle%2C+6-Inch&amp;qid=1695173855&amp;sr=8-1</v>
      </c>
      <c r="F4023" t="s">
        <v>5026</v>
      </c>
      <c r="G4023" t="e">
        <f ca="1">_xludf.IMAGE("https://edmondsonsupply.com/cdn/shop/products/jth6e15.jpg?v=1587148489")</f>
        <v>#NAME?</v>
      </c>
      <c r="H4023" t="e">
        <f ca="1">_xludf.IMAGE("https://m.media-amazon.com/images/I/51FYt5m7vZL._AC_UL320_.jpg")</f>
        <v>#NAME?</v>
      </c>
      <c r="I4023" t="s">
        <v>2347</v>
      </c>
      <c r="J4023">
        <v>6.49</v>
      </c>
      <c r="K4023" s="4">
        <v>-7.1499999999999994E-2</v>
      </c>
      <c r="L4023">
        <v>4.8</v>
      </c>
      <c r="M4023">
        <v>2479</v>
      </c>
      <c r="O4023" t="s">
        <v>25</v>
      </c>
      <c r="P4023" t="s">
        <v>1140</v>
      </c>
      <c r="Q4023" t="s">
        <v>2348</v>
      </c>
    </row>
    <row r="4024" spans="1:17" ht="15.5" x14ac:dyDescent="0.35">
      <c r="A4024" s="3" t="str">
        <f>HYPERLINK("https://edmondsonsupply.com/collections/electricians-tools/products/diablo-tools-dag", "https://edmondsonsupply.com/collections/electricians-tools/products/diablo-tools-dag")</f>
        <v>https://edmondsonsupply.com/collections/electricians-tools/products/diablo-tools-dag</v>
      </c>
      <c r="B4024" s="3" t="str">
        <f>HYPERLINK("https://edmondsonsupply.com/products/diablo-tools-dag", "https://edmondsonsupply.com/products/diablo-tools-dag")</f>
        <v>https://edmondsonsupply.com/products/diablo-tools-dag</v>
      </c>
      <c r="C4024" t="s">
        <v>6819</v>
      </c>
      <c r="D4024" t="s">
        <v>8476</v>
      </c>
      <c r="E4024" s="3" t="str">
        <f>HYPERLINK("https://www.amazon.com/Diablo-DAG3020-17-1-Auger-Bit/dp/B089LGWKFF/ref=sr_1_7?keywords=Diablo+Tools+DAG3010+3%2F8+in.+x+17-1%2F2+in.+Auger+Bit&amp;qid=1695174114&amp;sr=8-7", "https://www.amazon.com/Diablo-DAG3020-17-1-Auger-Bit/dp/B089LGWKFF/ref=sr_1_7?keywords=Diablo+Tools+DAG3010+3%2F8+in.+x+17-1%2F2+in.+Auger+Bit&amp;qid=1695174114&amp;sr=8-7")</f>
        <v>https://www.amazon.com/Diablo-DAG3020-17-1-Auger-Bit/dp/B089LGWKFF/ref=sr_1_7?keywords=Diablo+Tools+DAG3010+3%2F8+in.+x+17-1%2F2+in.+Auger+Bit&amp;qid=1695174114&amp;sr=8-7</v>
      </c>
      <c r="F4024" t="s">
        <v>8477</v>
      </c>
      <c r="G4024" t="e">
        <f ca="1">_xludf.IMAGE("https://edmondsonsupply.com/cdn/shop/products/xfctdbahz5wx3g461fm8.webp?v=1669991052")</f>
        <v>#NAME?</v>
      </c>
      <c r="H4024" t="e">
        <f ca="1">_xludf.IMAGE("https://m.media-amazon.com/images/I/61XUUNTev0L._AC_UL320_.jpg")</f>
        <v>#NAME?</v>
      </c>
      <c r="I4024" t="s">
        <v>5147</v>
      </c>
      <c r="J4024">
        <v>16.21</v>
      </c>
      <c r="K4024" s="4">
        <v>-7.2099999999999997E-2</v>
      </c>
      <c r="L4024">
        <v>5</v>
      </c>
      <c r="M4024">
        <v>2</v>
      </c>
      <c r="O4024" t="s">
        <v>25</v>
      </c>
      <c r="P4024" t="s">
        <v>6822</v>
      </c>
      <c r="Q4024" t="s">
        <v>6823</v>
      </c>
    </row>
    <row r="4025" spans="1:17" ht="15.5" x14ac:dyDescent="0.35">
      <c r="A4025"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4025" s="3" t="str">
        <f>HYPERLINK("https://edmondsonsupply.com/products/klein-tools-58888-12-pocket-tool-tote-with-shoulder-strap", "https://edmondsonsupply.com/products/klein-tools-58888-12-pocket-tool-tote-with-shoulder-strap")</f>
        <v>https://edmondsonsupply.com/products/klein-tools-58888-12-pocket-tool-tote-with-shoulder-strap</v>
      </c>
      <c r="C4025" t="s">
        <v>445</v>
      </c>
      <c r="D4025" t="s">
        <v>670</v>
      </c>
      <c r="E4025" s="3" t="str">
        <f>HYPERLINK("https://www.amazon.com/Detachable-Shoulder-Klein-Tools-5102-14SP/dp/B007V8ZIG0/ref=sr_1_5?keywords=Klein+Tools+58888+12+Pocket+Tool+Tote+with+Shoulder+Strap&amp;qid=1695174176&amp;sr=8-5", "https://www.amazon.com/Detachable-Shoulder-Klein-Tools-5102-14SP/dp/B007V8ZIG0/ref=sr_1_5?keywords=Klein+Tools+58888+12+Pocket+Tool+Tote+with+Shoulder+Strap&amp;qid=1695174176&amp;sr=8-5")</f>
        <v>https://www.amazon.com/Detachable-Shoulder-Klein-Tools-5102-14SP/dp/B007V8ZIG0/ref=sr_1_5?keywords=Klein+Tools+58888+12+Pocket+Tool+Tote+with+Shoulder+Strap&amp;qid=1695174176&amp;sr=8-5</v>
      </c>
      <c r="F4025" t="s">
        <v>671</v>
      </c>
      <c r="G4025" t="e">
        <f ca="1">_xludf.IMAGE("https://edmondsonsupply.com/cdn/shop/products/58888.jpg?v=1660004615")</f>
        <v>#NAME?</v>
      </c>
      <c r="H4025" t="e">
        <f ca="1">_xludf.IMAGE("https://m.media-amazon.com/images/I/61IEFOdxt7L._AC_UL320_.jpg")</f>
        <v>#NAME?</v>
      </c>
      <c r="I4025" t="s">
        <v>448</v>
      </c>
      <c r="J4025">
        <v>76.989999999999995</v>
      </c>
      <c r="K4025" s="4">
        <v>-7.2300000000000003E-2</v>
      </c>
      <c r="L4025">
        <v>4.7</v>
      </c>
      <c r="M4025">
        <v>642</v>
      </c>
      <c r="O4025" t="s">
        <v>25</v>
      </c>
      <c r="P4025" t="s">
        <v>449</v>
      </c>
      <c r="Q4025" t="s">
        <v>450</v>
      </c>
    </row>
    <row r="4026" spans="1:17" ht="15.5" x14ac:dyDescent="0.35">
      <c r="A4026" s="3" t="str">
        <f>HYPERLINK("https://edmondsonsupply.com/collections/electricians-tools/products/diablo-tools-dhs0188dg-3-16-in-diamond-grit-hole-saws", "https://edmondsonsupply.com/collections/electricians-tools/products/diablo-tools-dhs0188dg-3-16-in-diamond-grit-hole-saws")</f>
        <v>https://edmondsonsupply.com/collections/electricians-tools/products/diablo-tools-dhs0188dg-3-16-in-diamond-grit-hole-saws</v>
      </c>
      <c r="B4026" s="3" t="str">
        <f>HYPERLINK("https://edmondsonsupply.com/products/diablo-tools-dhs0188dg-3-16-in-diamond-grit-hole-saws", "https://edmondsonsupply.com/products/diablo-tools-dhs0188dg-3-16-in-diamond-grit-hole-saws")</f>
        <v>https://edmondsonsupply.com/products/diablo-tools-dhs0188dg-3-16-in-diamond-grit-hole-saws</v>
      </c>
      <c r="C4026" t="s">
        <v>8478</v>
      </c>
      <c r="D4026" t="s">
        <v>8479</v>
      </c>
      <c r="E4026" s="3" t="str">
        <f>HYPERLINK("https://www.amazon.com/JINGLING-Diamond-Glass-Drill-Masonry/dp/B08FJBX9PD/ref=sr_1_6?keywords=Diablo+Tools+DHS0188DG+3%2F16+in.+Diamond+Grit+Hole+Saws&amp;qid=1695174109&amp;sr=8-6", "https://www.amazon.com/JINGLING-Diamond-Glass-Drill-Masonry/dp/B08FJBX9PD/ref=sr_1_6?keywords=Diablo+Tools+DHS0188DG+3%2F16+in.+Diamond+Grit+Hole+Saws&amp;qid=1695174109&amp;sr=8-6")</f>
        <v>https://www.amazon.com/JINGLING-Diamond-Glass-Drill-Masonry/dp/B08FJBX9PD/ref=sr_1_6?keywords=Diablo+Tools+DHS0188DG+3%2F16+in.+Diamond+Grit+Hole+Saws&amp;qid=1695174109&amp;sr=8-6</v>
      </c>
      <c r="F4026" t="s">
        <v>8480</v>
      </c>
      <c r="G4026" t="e">
        <f ca="1">_xludf.IMAGE("https://edmondsonsupply.com/cdn/shop/products/p5rk004y6neplsyvgnpq.webp?v=1670002824")</f>
        <v>#NAME?</v>
      </c>
      <c r="H4026" t="e">
        <f ca="1">_xludf.IMAGE("https://m.media-amazon.com/images/I/61tCqlBIdpL._AC_UL320_.jpg")</f>
        <v>#NAME?</v>
      </c>
      <c r="I4026" t="s">
        <v>865</v>
      </c>
      <c r="J4026">
        <v>11.99</v>
      </c>
      <c r="K4026" s="4">
        <v>-7.2700000000000001E-2</v>
      </c>
      <c r="L4026">
        <v>4.3</v>
      </c>
      <c r="M4026">
        <v>563</v>
      </c>
      <c r="O4026" t="s">
        <v>25</v>
      </c>
      <c r="P4026" t="s">
        <v>8481</v>
      </c>
      <c r="Q4026" t="s">
        <v>8482</v>
      </c>
    </row>
    <row r="4027" spans="1:17" ht="15.5" x14ac:dyDescent="0.35">
      <c r="A4027" s="3" t="str">
        <f>HYPERLINK("https://edmondsonsupply.com/collections/electricians-tools/products/milwaukee-2529-21xc-m12-fuel%E2%84%A2-compact-band-saw-kit", "https://edmondsonsupply.com/collections/electricians-tools/products/milwaukee-2529-21xc-m12-fuel%E2%84%A2-compact-band-saw-kit")</f>
        <v>https://edmondsonsupply.com/collections/electricians-tools/products/milwaukee-2529-21xc-m12-fuel%E2%84%A2-compact-band-saw-kit</v>
      </c>
      <c r="B4027" s="3" t="str">
        <f>HYPERLINK("https://edmondsonsupply.com/products/milwaukee-2529-21xc-m12-fuel%e2%84%a2-compact-band-saw-kit", "https://edmondsonsupply.com/products/milwaukee-2529-21xc-m12-fuel%e2%84%a2-compact-band-saw-kit")</f>
        <v>https://edmondsonsupply.com/products/milwaukee-2529-21xc-m12-fuel%e2%84%a2-compact-band-saw-kit</v>
      </c>
      <c r="C4027" t="s">
        <v>5027</v>
      </c>
      <c r="D4027" t="s">
        <v>5028</v>
      </c>
      <c r="E4027" s="3" t="str">
        <f>HYPERLINK("https://www.amazon.com/Milwaukee-2529-21XC-12-Volt-Lithium-Ion-Cordless/dp/B09MSRNQ3L/ref=sr_1_1?keywords=Milwaukee+2529-21XC+M12+FUEL%E2%84%A2+Compact+Band+Saw+Kit&amp;qid=1695173894&amp;sr=8-1", "https://www.amazon.com/Milwaukee-2529-21XC-12-Volt-Lithium-Ion-Cordless/dp/B09MSRNQ3L/ref=sr_1_1?keywords=Milwaukee+2529-21XC+M12+FUEL%E2%84%A2+Compact+Band+Saw+Kit&amp;qid=1695173894&amp;sr=8-1")</f>
        <v>https://www.amazon.com/Milwaukee-2529-21XC-12-Volt-Lithium-Ion-Cordless/dp/B09MSRNQ3L/ref=sr_1_1?keywords=Milwaukee+2529-21XC+M12+FUEL%E2%84%A2+Compact+Band+Saw+Kit&amp;qid=1695173894&amp;sr=8-1</v>
      </c>
      <c r="F4027" t="s">
        <v>5029</v>
      </c>
      <c r="G4027" t="e">
        <f ca="1">_xludf.IMAGE("https://edmondsonsupply.com/cdn/shop/files/2529-21XC_Kit.webp?v=1686234086")</f>
        <v>#NAME?</v>
      </c>
      <c r="H4027" t="e">
        <f ca="1">_xludf.IMAGE("https://m.media-amazon.com/images/I/81RfSgmbepL._AC_UL320_.jpg")</f>
        <v>#NAME?</v>
      </c>
      <c r="I4027" t="s">
        <v>5030</v>
      </c>
      <c r="J4027">
        <v>304.95</v>
      </c>
      <c r="K4027" s="4">
        <v>-7.3099999999999998E-2</v>
      </c>
      <c r="L4027">
        <v>4.7</v>
      </c>
      <c r="M4027">
        <v>40</v>
      </c>
      <c r="O4027" t="s">
        <v>25</v>
      </c>
      <c r="P4027" t="s">
        <v>5031</v>
      </c>
      <c r="Q4027" t="s">
        <v>5032</v>
      </c>
    </row>
    <row r="4028" spans="1:17" ht="15.5" x14ac:dyDescent="0.35">
      <c r="A4028"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4028" s="3" t="str">
        <f>HYPERLINK("https://edmondsonsupply.com/products/diablo-tools-d0760x-7-1-4-in-x-60-tooth-ultra-finish-saw-blade", "https://edmondsonsupply.com/products/diablo-tools-d0760x-7-1-4-in-x-60-tooth-ultra-finish-saw-blade")</f>
        <v>https://edmondsonsupply.com/products/diablo-tools-d0760x-7-1-4-in-x-60-tooth-ultra-finish-saw-blade</v>
      </c>
      <c r="C4028" t="s">
        <v>6011</v>
      </c>
      <c r="D4028" t="s">
        <v>7442</v>
      </c>
      <c r="E4028" s="3" t="str">
        <f>HYPERLINK("https://www.amazon.com/D0760A-Diablo-60-Tooth-Finishing-Circular/dp/B0062KI7BQ/ref=sr_1_5?keywords=Diablo+Tools+D0760X+7-1%2F4+in.+x+60+Tooth+Ultra+Finish+Saw+Blade&amp;qid=1695174054&amp;sr=8-5", "https://www.amazon.com/D0760A-Diablo-60-Tooth-Finishing-Circular/dp/B0062KI7BQ/ref=sr_1_5?keywords=Diablo+Tools+D0760X+7-1%2F4+in.+x+60+Tooth+Ultra+Finish+Saw+Blade&amp;qid=1695174054&amp;sr=8-5")</f>
        <v>https://www.amazon.com/D0760A-Diablo-60-Tooth-Finishing-Circular/dp/B0062KI7BQ/ref=sr_1_5?keywords=Diablo+Tools+D0760X+7-1%2F4+in.+x+60+Tooth+Ultra+Finish+Saw+Blade&amp;qid=1695174054&amp;sr=8-5</v>
      </c>
      <c r="F4028" t="s">
        <v>7443</v>
      </c>
      <c r="G4028" t="e">
        <f ca="1">_xludf.IMAGE("https://edmondsonsupply.com/cdn/shop/products/vlfiqrihhfwf5bxirasx.webp?v=1678977162")</f>
        <v>#NAME?</v>
      </c>
      <c r="H4028" t="e">
        <f ca="1">_xludf.IMAGE("https://m.media-amazon.com/images/I/71vYkbeqidL._AC_UL320_.jpg")</f>
        <v>#NAME?</v>
      </c>
      <c r="I4028" t="s">
        <v>893</v>
      </c>
      <c r="J4028">
        <v>18.5</v>
      </c>
      <c r="K4028" s="4">
        <v>-7.3599999999999999E-2</v>
      </c>
      <c r="L4028">
        <v>4.8</v>
      </c>
      <c r="M4028">
        <v>2928</v>
      </c>
      <c r="O4028" t="s">
        <v>25</v>
      </c>
      <c r="P4028" t="s">
        <v>6014</v>
      </c>
      <c r="Q4028" t="s">
        <v>6015</v>
      </c>
    </row>
    <row r="4029" spans="1:17" ht="15.5" x14ac:dyDescent="0.35">
      <c r="A4029"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4029" s="3" t="str">
        <f>HYPERLINK("https://edmondsonsupply.com/products/klein-tools-ncvt1xt-non-contact-voltage-tester-70-to-1000v-ac", "https://edmondsonsupply.com/products/klein-tools-ncvt1xt-non-contact-voltage-tester-70-to-1000v-ac")</f>
        <v>https://edmondsonsupply.com/products/klein-tools-ncvt1xt-non-contact-voltage-tester-70-to-1000v-ac</v>
      </c>
      <c r="C4029" t="s">
        <v>6346</v>
      </c>
      <c r="D4029" t="s">
        <v>7063</v>
      </c>
      <c r="E4029" s="3" t="str">
        <f>HYPERLINK("https://www.amazon.com/Non-Contact-Detector-Klein-Tools-NCVT1P/dp/B099SJ6469/ref=sr_1_4?keywords=Klein+Tools+NCVT1XT+Non-Contact+Voltage+Tester%2C+70+to+1000V+AC&amp;qid=1695174075&amp;sr=8-4", "https://www.amazon.com/Non-Contact-Detector-Klein-Tools-NCVT1P/dp/B099SJ6469/ref=sr_1_4?keywords=Klein+Tools+NCVT1XT+Non-Contact+Voltage+Tester%2C+70+to+1000V+AC&amp;qid=1695174075&amp;sr=8-4")</f>
        <v>https://www.amazon.com/Non-Contact-Detector-Klein-Tools-NCVT1P/dp/B099SJ6469/ref=sr_1_4?keywords=Klein+Tools+NCVT1XT+Non-Contact+Voltage+Tester%2C+70+to+1000V+AC&amp;qid=1695174075&amp;sr=8-4</v>
      </c>
      <c r="F4029" t="s">
        <v>7064</v>
      </c>
      <c r="G4029" t="e">
        <f ca="1">_xludf.IMAGE("https://edmondsonsupply.com/cdn/shop/products/ncvt1xt.jpg?v=1674496568")</f>
        <v>#NAME?</v>
      </c>
      <c r="H4029" t="e">
        <f ca="1">_xludf.IMAGE("https://m.media-amazon.com/images/I/412nrsDmOxL._AC_UL320_.jpg")</f>
        <v>#NAME?</v>
      </c>
      <c r="I4029" t="s">
        <v>893</v>
      </c>
      <c r="J4029">
        <v>18.5</v>
      </c>
      <c r="K4029" s="4">
        <v>-7.3599999999999999E-2</v>
      </c>
      <c r="L4029">
        <v>4.5999999999999996</v>
      </c>
      <c r="M4029">
        <v>3435</v>
      </c>
      <c r="O4029" t="s">
        <v>25</v>
      </c>
      <c r="P4029" t="s">
        <v>6347</v>
      </c>
      <c r="Q4029" t="s">
        <v>6348</v>
      </c>
    </row>
    <row r="4030" spans="1:17" ht="15.5" x14ac:dyDescent="0.35">
      <c r="A4030" s="3" t="str">
        <f>HYPERLINK("https://edmondsonsupply.com/collections/electricians-tools/products/testo-0590-7701-770-1-hook-clamp-meter", "https://edmondsonsupply.com/collections/electricians-tools/products/testo-0590-7701-770-1-hook-clamp-meter")</f>
        <v>https://edmondsonsupply.com/collections/electricians-tools/products/testo-0590-7701-770-1-hook-clamp-meter</v>
      </c>
      <c r="B4030" s="3" t="str">
        <f>HYPERLINK("https://edmondsonsupply.com/products/testo-0590-7701-770-1-hook-clamp-meter", "https://edmondsonsupply.com/products/testo-0590-7701-770-1-hook-clamp-meter")</f>
        <v>https://edmondsonsupply.com/products/testo-0590-7701-770-1-hook-clamp-meter</v>
      </c>
      <c r="C4030" t="s">
        <v>5033</v>
      </c>
      <c r="D4030" t="s">
        <v>5034</v>
      </c>
      <c r="E4030" s="3" t="str">
        <f>HYPERLINK("https://www.amazon.com/Testo-770-1-Hook-Clamp-Digital-Multimeter/dp/B01F3MPN9M/ref=sr_1_1?keywords=Testo+0590+7701+770-1+-+Hook+clamp+meter&amp;qid=1695173989&amp;sr=8-1", "https://www.amazon.com/Testo-770-1-Hook-Clamp-Digital-Multimeter/dp/B01F3MPN9M/ref=sr_1_1?keywords=Testo+0590+7701+770-1+-+Hook+clamp+meter&amp;qid=1695173989&amp;sr=8-1")</f>
        <v>https://www.amazon.com/Testo-770-1-Hook-Clamp-Digital-Multimeter/dp/B01F3MPN9M/ref=sr_1_1?keywords=Testo+0590+7701+770-1+-+Hook+clamp+meter&amp;qid=1695173989&amp;sr=8-1</v>
      </c>
      <c r="F4030" t="s">
        <v>5035</v>
      </c>
      <c r="G4030" t="e">
        <f ca="1">_xludf.IMAGE("https://edmondsonsupply.com/cdn/shop/files/testo-770-1-11A-p-in-oth-005899_master.jpg?v=1688162964")</f>
        <v>#NAME?</v>
      </c>
      <c r="H4030" t="e">
        <f ca="1">_xludf.IMAGE("https://m.media-amazon.com/images/I/819sWSnbh4L._AC_UY218_.jpg")</f>
        <v>#NAME?</v>
      </c>
      <c r="I4030" t="s">
        <v>5036</v>
      </c>
      <c r="J4030">
        <v>184.84</v>
      </c>
      <c r="K4030" s="4">
        <v>-7.4300000000000005E-2</v>
      </c>
      <c r="L4030">
        <v>4.4000000000000004</v>
      </c>
      <c r="M4030">
        <v>23</v>
      </c>
      <c r="O4030" t="s">
        <v>25</v>
      </c>
      <c r="P4030" t="s">
        <v>5037</v>
      </c>
      <c r="Q4030" t="s">
        <v>5038</v>
      </c>
    </row>
    <row r="4031" spans="1:17" ht="15.5" x14ac:dyDescent="0.35">
      <c r="A4031" s="3" t="str">
        <f>HYPERLINK("https://edmondsonsupply.com/collections/electricians-tools/products/klein-tools-1010-long-nose-multi-purpose-tool", "https://edmondsonsupply.com/collections/electricians-tools/products/klein-tools-1010-long-nose-multi-purpose-tool")</f>
        <v>https://edmondsonsupply.com/collections/electricians-tools/products/klein-tools-1010-long-nose-multi-purpose-tool</v>
      </c>
      <c r="B4031" s="3" t="str">
        <f>HYPERLINK("https://edmondsonsupply.com/products/klein-tools-1010-long-nose-multi-purpose-tool", "https://edmondsonsupply.com/products/klein-tools-1010-long-nose-multi-purpose-tool")</f>
        <v>https://edmondsonsupply.com/products/klein-tools-1010-long-nose-multi-purpose-tool</v>
      </c>
      <c r="C4031" t="s">
        <v>5322</v>
      </c>
      <c r="D4031" t="s">
        <v>4166</v>
      </c>
      <c r="E4031" s="3" t="str">
        <f>HYPERLINK("https://www.amazon.com/Klein-Tools-1010-Crimper-Stripper/dp/B0000302WX/ref=sr_1_1?keywords=Klein+Tools+1010+Long+Nose+Multi+Tool+Wire+Stripper%2C+Wire+Cutters%2C+Crimping+Tool&amp;qid=1695173933&amp;sr=8-1", "https://www.amazon.com/Klein-Tools-1010-Crimper-Stripper/dp/B0000302WX/ref=sr_1_1?keywords=Klein+Tools+1010+Long+Nose+Multi+Tool+Wire+Stripper%2C+Wire+Cutters%2C+Crimping+Tool&amp;qid=1695173933&amp;sr=8-1")</f>
        <v>https://www.amazon.com/Klein-Tools-1010-Crimper-Stripper/dp/B0000302WX/ref=sr_1_1?keywords=Klein+Tools+1010+Long+Nose+Multi+Tool+Wire+Stripper%2C+Wire+Cutters%2C+Crimping+Tool&amp;qid=1695173933&amp;sr=8-1</v>
      </c>
      <c r="F4031" t="s">
        <v>4167</v>
      </c>
      <c r="G4031" t="e">
        <f ca="1">_xludf.IMAGE("https://edmondsonsupply.com/cdn/shop/products/1010.jpg?v=1587145604")</f>
        <v>#NAME?</v>
      </c>
      <c r="H4031" t="e">
        <f ca="1">_xludf.IMAGE("https://m.media-amazon.com/images/I/51hS7c2qzvL._AC_UL320_.jpg")</f>
        <v>#NAME?</v>
      </c>
      <c r="I4031" t="s">
        <v>859</v>
      </c>
      <c r="J4031">
        <v>23.11</v>
      </c>
      <c r="K4031" s="4">
        <v>-7.4499999999999997E-2</v>
      </c>
      <c r="L4031">
        <v>4.8</v>
      </c>
      <c r="M4031">
        <v>1507</v>
      </c>
      <c r="O4031" t="s">
        <v>25</v>
      </c>
      <c r="P4031" t="s">
        <v>5325</v>
      </c>
      <c r="Q4031" t="s">
        <v>5326</v>
      </c>
    </row>
    <row r="4032" spans="1:17" ht="15.5" x14ac:dyDescent="0.35">
      <c r="A4032" s="3" t="str">
        <f>HYPERLINK("https://edmondsonsupply.com/collections/electricians-tools/products/reed-mfg-dhr12-1-1-2npt-r12-drophead-1-1-2-npt", "https://edmondsonsupply.com/collections/electricians-tools/products/reed-mfg-dhr12-1-1-2npt-r12-drophead-1-1-2-npt")</f>
        <v>https://edmondsonsupply.com/collections/electricians-tools/products/reed-mfg-dhr12-1-1-2npt-r12-drophead-1-1-2-npt</v>
      </c>
      <c r="B4032" s="3" t="str">
        <f>HYPERLINK("https://edmondsonsupply.com/products/reed-mfg-dhr12-1-1-2npt-r12-drophead-1-1-2-npt", "https://edmondsonsupply.com/products/reed-mfg-dhr12-1-1-2npt-r12-drophead-1-1-2-npt")</f>
        <v>https://edmondsonsupply.com/products/reed-mfg-dhr12-1-1-2npt-r12-drophead-1-1-2-npt</v>
      </c>
      <c r="C4032" t="s">
        <v>7847</v>
      </c>
      <c r="D4032" t="s">
        <v>4385</v>
      </c>
      <c r="E4032" s="3" t="str">
        <f>HYPERLINK("https://www.amazon.com/Reed-Tool-DHR12-1NPT-Drophead/dp/B000ZGZ0PY/ref=sr_1_fkmr0_1?keywords=Reed+Mfg+DHR12+1+1%2F2NPT+R12%2B+Drophead%2C+1-1%2F2%22+NPT&amp;qid=1695174267&amp;sr=8-1-fkmr0", "https://www.amazon.com/Reed-Tool-DHR12-1NPT-Drophead/dp/B000ZGZ0PY/ref=sr_1_fkmr0_1?keywords=Reed+Mfg+DHR12+1+1%2F2NPT+R12%2B+Drophead%2C+1-1%2F2%22+NPT&amp;qid=1695174267&amp;sr=8-1-fkmr0")</f>
        <v>https://www.amazon.com/Reed-Tool-DHR12-1NPT-Drophead/dp/B000ZGZ0PY/ref=sr_1_fkmr0_1?keywords=Reed+Mfg+DHR12+1+1%2F2NPT+R12%2B+Drophead%2C+1-1%2F2%22+NPT&amp;qid=1695174267&amp;sr=8-1-fkmr0</v>
      </c>
      <c r="F4032" t="s">
        <v>4386</v>
      </c>
      <c r="G4032" t="e">
        <f ca="1">_xludf.IMAGE("https://edmondsonsupply.com/cdn/shop/products/57_1_43919434-23d1-4a38-ae34-862e7aaca453.jpg?v=1633031013")</f>
        <v>#NAME?</v>
      </c>
      <c r="H4032" t="e">
        <f ca="1">_xludf.IMAGE("https://m.media-amazon.com/images/I/61ePWvUMWkL._AC_UY218_.jpg")</f>
        <v>#NAME?</v>
      </c>
      <c r="I4032" t="s">
        <v>7848</v>
      </c>
      <c r="J4032">
        <v>157.93</v>
      </c>
      <c r="K4032" s="4">
        <v>-7.4800000000000005E-2</v>
      </c>
      <c r="L4032">
        <v>1</v>
      </c>
      <c r="M4032">
        <v>1</v>
      </c>
      <c r="O4032" t="s">
        <v>25</v>
      </c>
      <c r="P4032" t="s">
        <v>7849</v>
      </c>
      <c r="Q4032" t="s">
        <v>7850</v>
      </c>
    </row>
    <row r="4033" spans="1:17" ht="15.5" x14ac:dyDescent="0.35">
      <c r="A4033"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4033" s="3" t="str">
        <f>HYPERLINK("https://edmondsonsupply.com/products/klein-tools-d2000-9ne-linemans-pliers-9-inch", "https://edmondsonsupply.com/products/klein-tools-d2000-9ne-linemans-pliers-9-inch")</f>
        <v>https://edmondsonsupply.com/products/klein-tools-d2000-9ne-linemans-pliers-9-inch</v>
      </c>
      <c r="C4033" t="s">
        <v>6770</v>
      </c>
      <c r="D4033" t="s">
        <v>8483</v>
      </c>
      <c r="E4033" s="3" t="str">
        <f>HYPERLINK("https://www.amazon.com/Klein-Tools-D213-9-Linemans-Square/dp/B000LNK3OY/ref=sr_1_10?keywords=Klein+Tools+D2000-9NE+Linemans+Pliers%2C+9-Inch&amp;qid=1695174298&amp;sr=8-10", "https://www.amazon.com/Klein-Tools-D213-9-Linemans-Square/dp/B000LNK3OY/ref=sr_1_10?keywords=Klein+Tools+D2000-9NE+Linemans+Pliers%2C+9-Inch&amp;qid=1695174298&amp;sr=8-10")</f>
        <v>https://www.amazon.com/Klein-Tools-D213-9-Linemans-Square/dp/B000LNK3OY/ref=sr_1_10?keywords=Klein+Tools+D2000-9NE+Linemans+Pliers%2C+9-Inch&amp;qid=1695174298&amp;sr=8-10</v>
      </c>
      <c r="F4033" t="s">
        <v>8484</v>
      </c>
      <c r="G4033" t="e">
        <f ca="1">_xludf.IMAGE("https://edmondsonsupply.com/cdn/shop/products/d20009ne.jpg?v=1633030816")</f>
        <v>#NAME?</v>
      </c>
      <c r="H4033" t="e">
        <f ca="1">_xludf.IMAGE("https://m.media-amazon.com/images/I/51Z5USetZ4L._AC_UL320_.jpg")</f>
        <v>#NAME?</v>
      </c>
      <c r="I4033" t="s">
        <v>198</v>
      </c>
      <c r="J4033">
        <v>36.99</v>
      </c>
      <c r="K4033" s="4">
        <v>-7.4999999999999997E-2</v>
      </c>
      <c r="L4033">
        <v>4.5999999999999996</v>
      </c>
      <c r="M4033">
        <v>176</v>
      </c>
      <c r="O4033" t="s">
        <v>25</v>
      </c>
      <c r="P4033" t="s">
        <v>6773</v>
      </c>
      <c r="Q4033" t="s">
        <v>6774</v>
      </c>
    </row>
    <row r="4034" spans="1:17" ht="15.5" x14ac:dyDescent="0.35">
      <c r="A4034"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4034"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4034" t="s">
        <v>8213</v>
      </c>
      <c r="D4034" t="s">
        <v>3216</v>
      </c>
      <c r="E4034" s="3" t="str">
        <f>HYPERLINK("https://www.amazon.com/Klein-Tools-6916INS-Insulated-Screwdriver/dp/B089DR97MJ/ref=sr_1_2?keywords=Klein+Tools+6986INS+Slim-Tip+1000V+Insulated+Screwdriver%2C&amp;qid=1695174143&amp;sr=8-2", "https://www.amazon.com/Klein-Tools-6916INS-Insulated-Screwdriver/dp/B089DR97MJ/ref=sr_1_2?keywords=Klein+Tools+6986INS+Slim-Tip+1000V+Insulated+Screwdriver%2C&amp;qid=1695174143&amp;sr=8-2")</f>
        <v>https://www.amazon.com/Klein-Tools-6916INS-Insulated-Screwdriver/dp/B089DR97MJ/ref=sr_1_2?keywords=Klein+Tools+6986INS+Slim-Tip+1000V+Insulated+Screwdriver%2C&amp;qid=1695174143&amp;sr=8-2</v>
      </c>
      <c r="F4034" t="s">
        <v>3217</v>
      </c>
      <c r="G4034" t="e">
        <f ca="1">_xludf.IMAGE("https://edmondsonsupply.com/cdn/shop/products/6986ins.jpg?v=1664806830")</f>
        <v>#NAME?</v>
      </c>
      <c r="H4034" t="e">
        <f ca="1">_xludf.IMAGE("https://m.media-amazon.com/images/I/41JpJG+Jh0L._AC_UL320_.jpg")</f>
        <v>#NAME?</v>
      </c>
      <c r="I4034" t="s">
        <v>276</v>
      </c>
      <c r="J4034">
        <v>13.85</v>
      </c>
      <c r="K4034" s="4">
        <v>-7.6100000000000001E-2</v>
      </c>
      <c r="L4034">
        <v>4.8</v>
      </c>
      <c r="M4034">
        <v>1361</v>
      </c>
      <c r="O4034" t="s">
        <v>25</v>
      </c>
      <c r="P4034" t="s">
        <v>277</v>
      </c>
      <c r="Q4034" t="s">
        <v>8214</v>
      </c>
    </row>
    <row r="4035" spans="1:17" ht="15.5" x14ac:dyDescent="0.35">
      <c r="A4035"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4035"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4035" t="s">
        <v>6076</v>
      </c>
      <c r="D4035" t="s">
        <v>3216</v>
      </c>
      <c r="E4035" s="3" t="str">
        <f>HYPERLINK("https://www.amazon.com/Klein-Tools-6916INS-Insulated-Screwdriver/dp/B089DR97MJ/ref=sr_1_2?keywords=Klein+Tools+6926INS+Slim-Tip+1000V+Insulated+Screwdriver%2C+1%2F4-Inch+Cabinet%2C+6-Inch&amp;qid=1695174185&amp;sr=8-2", "https://www.amazon.com/Klein-Tools-6916INS-Insulated-Screwdriver/dp/B089DR97MJ/ref=sr_1_2?keywords=Klein+Tools+6926INS+Slim-Tip+1000V+Insulated+Screwdriver%2C+1%2F4-Inch+Cabinet%2C+6-Inch&amp;qid=1695174185&amp;sr=8-2")</f>
        <v>https://www.amazon.com/Klein-Tools-6916INS-Insulated-Screwdriver/dp/B089DR97MJ/ref=sr_1_2?keywords=Klein+Tools+6926INS+Slim-Tip+1000V+Insulated+Screwdriver%2C+1%2F4-Inch+Cabinet%2C+6-Inch&amp;qid=1695174185&amp;sr=8-2</v>
      </c>
      <c r="F4035" t="s">
        <v>3217</v>
      </c>
      <c r="G4035" t="e">
        <f ca="1">_xludf.IMAGE("https://edmondsonsupply.com/cdn/shop/products/6926ins.jpg?v=1664803626")</f>
        <v>#NAME?</v>
      </c>
      <c r="H4035" t="e">
        <f ca="1">_xludf.IMAGE("https://m.media-amazon.com/images/I/41JpJG+Jh0L._AC_UL320_.jpg")</f>
        <v>#NAME?</v>
      </c>
      <c r="I4035" t="s">
        <v>276</v>
      </c>
      <c r="J4035">
        <v>13.85</v>
      </c>
      <c r="K4035" s="4">
        <v>-7.6100000000000001E-2</v>
      </c>
      <c r="L4035">
        <v>4.8</v>
      </c>
      <c r="M4035">
        <v>1361</v>
      </c>
      <c r="O4035" t="s">
        <v>25</v>
      </c>
      <c r="P4035" t="s">
        <v>277</v>
      </c>
      <c r="Q4035" t="s">
        <v>6079</v>
      </c>
    </row>
    <row r="4036" spans="1:17" ht="15.5" x14ac:dyDescent="0.35">
      <c r="A4036"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4036" s="3" t="str">
        <f>HYPERLINK("https://edmondsonsupply.com/products/klein-tools-jth4e17-1-2-inch-hex-key-journeyman-t-handle-4-inch", "https://edmondsonsupply.com/products/klein-tools-jth4e17-1-2-inch-hex-key-journeyman-t-handle-4-inch")</f>
        <v>https://edmondsonsupply.com/products/klein-tools-jth4e17-1-2-inch-hex-key-journeyman-t-handle-4-inch</v>
      </c>
      <c r="C4036" t="s">
        <v>2385</v>
      </c>
      <c r="D4036" t="s">
        <v>5039</v>
      </c>
      <c r="E4036" s="3" t="str">
        <f>HYPERLINK("https://www.amazon.com/Journeyman-T-Handle-Klein-Tools-JTH4E11/dp/B004ITQHXI/ref=sr_1_1?keywords=Klein+Tools+JTH4E11+3%2F16-Inch+Hex+Key+with+Journeyman+T-Handle%2C+4-Inch&amp;qid=1695173897&amp;sr=8-1", "https://www.amazon.com/Journeyman-T-Handle-Klein-Tools-JTH4E11/dp/B004ITQHXI/ref=sr_1_1?keywords=Klein+Tools+JTH4E11+3%2F16-Inch+Hex+Key+with+Journeyman+T-Handle%2C+4-Inch&amp;qid=1695173897&amp;sr=8-1")</f>
        <v>https://www.amazon.com/Journeyman-T-Handle-Klein-Tools-JTH4E11/dp/B004ITQHXI/ref=sr_1_1?keywords=Klein+Tools+JTH4E11+3%2F16-Inch+Hex+Key+with+Journeyman+T-Handle%2C+4-Inch&amp;qid=1695173897&amp;sr=8-1</v>
      </c>
      <c r="F4036" t="s">
        <v>5040</v>
      </c>
      <c r="G4036" t="e">
        <f ca="1">_xludf.IMAGE("https://edmondsonsupply.com/cdn/shop/products/jth4e17.jpg?v=1587144836")</f>
        <v>#NAME?</v>
      </c>
      <c r="H4036" t="e">
        <f ca="1">_xludf.IMAGE("https://m.media-amazon.com/images/I/51Yb8h41vLL._AC_UL320_.jpg")</f>
        <v>#NAME?</v>
      </c>
      <c r="I4036" t="s">
        <v>2388</v>
      </c>
      <c r="J4036">
        <v>4.6100000000000003</v>
      </c>
      <c r="K4036" s="4">
        <v>-7.6200000000000004E-2</v>
      </c>
      <c r="L4036">
        <v>4.8</v>
      </c>
      <c r="M4036">
        <v>2479</v>
      </c>
      <c r="O4036" t="s">
        <v>25</v>
      </c>
      <c r="P4036" t="s">
        <v>2389</v>
      </c>
      <c r="Q4036" t="s">
        <v>2390</v>
      </c>
    </row>
    <row r="4037" spans="1:17" ht="15.5" x14ac:dyDescent="0.35">
      <c r="A4037" s="3" t="str">
        <f>HYPERLINK("https://edmondsonsupply.com/collections/electricians-tools/products/milwaukee-49-56-0233-4-1-2-hole-dozer%E2%84%A2-hole-saw-bi-metal-cup", "https://edmondsonsupply.com/collections/electricians-tools/products/milwaukee-49-56-0233-4-1-2-hole-dozer%E2%84%A2-hole-saw-bi-metal-cup")</f>
        <v>https://edmondsonsupply.com/collections/electricians-tools/products/milwaukee-49-56-0233-4-1-2-hole-dozer%E2%84%A2-hole-saw-bi-metal-cup</v>
      </c>
      <c r="B4037" s="3" t="str">
        <f>HYPERLINK("https://edmondsonsupply.com/products/milwaukee-49-56-0233-4-1-2-hole-dozer%e2%84%a2-hole-saw-bi-metal-cup", "https://edmondsonsupply.com/products/milwaukee-49-56-0233-4-1-2-hole-dozer%e2%84%a2-hole-saw-bi-metal-cup")</f>
        <v>https://edmondsonsupply.com/products/milwaukee-49-56-0233-4-1-2-hole-dozer%e2%84%a2-hole-saw-bi-metal-cup</v>
      </c>
      <c r="C4037" t="s">
        <v>8485</v>
      </c>
      <c r="D4037" t="s">
        <v>6189</v>
      </c>
      <c r="E4037" s="3" t="str">
        <f>HYPERLINK("https://www.amazon.com/Milwaukee-49-56-0233-2-Inch-Hardened-Hole/dp/B0017WPX5M/ref=sr_1_1?keywords=Milwaukee+49-56-0233+4-1%2F2%22+HOLE+DOZER%E2%84%A2+Hole+Saw+Bi-Metal+Cup&amp;qid=1695174061&amp;sr=8-1", "https://www.amazon.com/Milwaukee-49-56-0233-2-Inch-Hardened-Hole/dp/B0017WPX5M/ref=sr_1_1?keywords=Milwaukee+49-56-0233+4-1%2F2%22+HOLE+DOZER%E2%84%A2+Hole+Saw+Bi-Metal+Cup&amp;qid=1695174061&amp;sr=8-1")</f>
        <v>https://www.amazon.com/Milwaukee-49-56-0233-2-Inch-Hardened-Hole/dp/B0017WPX5M/ref=sr_1_1?keywords=Milwaukee+49-56-0233+4-1%2F2%22+HOLE+DOZER%E2%84%A2+Hole+Saw+Bi-Metal+Cup&amp;qid=1695174061&amp;sr=8-1</v>
      </c>
      <c r="F4037" t="s">
        <v>6190</v>
      </c>
      <c r="G4037" t="e">
        <f ca="1">_xludf.IMAGE("https://edmondsonsupply.com/cdn/shop/products/49-56-0052_101_1.webp?v=1678909204")</f>
        <v>#NAME?</v>
      </c>
      <c r="H4037" t="e">
        <f ca="1">_xludf.IMAGE("https://m.media-amazon.com/images/I/513LvIL5ILL._AC_UL320_.jpg")</f>
        <v>#NAME?</v>
      </c>
      <c r="I4037" t="s">
        <v>6282</v>
      </c>
      <c r="J4037">
        <v>29.99</v>
      </c>
      <c r="K4037" s="4">
        <v>-7.6899999999999996E-2</v>
      </c>
      <c r="L4037">
        <v>4.8</v>
      </c>
      <c r="M4037">
        <v>201</v>
      </c>
      <c r="O4037" t="s">
        <v>25</v>
      </c>
      <c r="P4037" t="s">
        <v>8486</v>
      </c>
      <c r="Q4037" t="s">
        <v>8487</v>
      </c>
    </row>
    <row r="4038" spans="1:17" ht="15.5" x14ac:dyDescent="0.35">
      <c r="A4038" s="3" t="str">
        <f>HYPERLINK("https://edmondsonsupply.com/collections/electricians-tools/products/wiha-tools-70298-7-piece-terminatorblue-impact-bit-set-2-inch-bits", "https://edmondsonsupply.com/collections/electricians-tools/products/wiha-tools-70298-7-piece-terminatorblue-impact-bit-set-2-inch-bits")</f>
        <v>https://edmondsonsupply.com/collections/electricians-tools/products/wiha-tools-70298-7-piece-terminatorblue-impact-bit-set-2-inch-bits</v>
      </c>
      <c r="B4038" s="3" t="str">
        <f>HYPERLINK("https://edmondsonsupply.com/products/wiha-tools-70298-7-piece-terminatorblue-impact-bit-set-2-inch-bits", "https://edmondsonsupply.com/products/wiha-tools-70298-7-piece-terminatorblue-impact-bit-set-2-inch-bits")</f>
        <v>https://edmondsonsupply.com/products/wiha-tools-70298-7-piece-terminatorblue-impact-bit-set-2-inch-bits</v>
      </c>
      <c r="C4038" t="s">
        <v>5041</v>
      </c>
      <c r="D4038" t="s">
        <v>5042</v>
      </c>
      <c r="E4038" s="3" t="str">
        <f>HYPERLINK("https://www.amazon.com/Wiha-Piece-TerminatorBlue-Impact-Bit/dp/B09FY9LM36/ref=sr_1_1?keywords=Wiha+Tools+70298+7+Piece+TerminatorBlue+Impact+Bit+Set+-+2+Inch+Bits&amp;qid=1695173986&amp;sr=8-1", "https://www.amazon.com/Wiha-Piece-TerminatorBlue-Impact-Bit/dp/B09FY9LM36/ref=sr_1_1?keywords=Wiha+Tools+70298+7+Piece+TerminatorBlue+Impact+Bit+Set+-+2+Inch+Bits&amp;qid=1695173986&amp;sr=8-1")</f>
        <v>https://www.amazon.com/Wiha-Piece-TerminatorBlue-Impact-Bit/dp/B09FY9LM36/ref=sr_1_1?keywords=Wiha+Tools+70298+7+Piece+TerminatorBlue+Impact+Bit+Set+-+2+Inch+Bits&amp;qid=1695173986&amp;sr=8-1</v>
      </c>
      <c r="F4038" t="s">
        <v>5043</v>
      </c>
      <c r="G4038" t="e">
        <f ca="1">_xludf.IMAGE("https://edmondsonsupply.com/cdn/shop/files/w6xdetv6bgqvrnalnaur_700x_fa994d71-03a0-405a-b336-3bdc4084c0da.webp?v=1690922757")</f>
        <v>#NAME?</v>
      </c>
      <c r="H4038" t="e">
        <f ca="1">_xludf.IMAGE("https://m.media-amazon.com/images/I/41A4BvIv4SL._AC_UL320_.jpg")</f>
        <v>#NAME?</v>
      </c>
      <c r="I4038" t="s">
        <v>834</v>
      </c>
      <c r="J4038">
        <v>11.99</v>
      </c>
      <c r="K4038" s="4">
        <v>-7.6999999999999999E-2</v>
      </c>
      <c r="L4038">
        <v>5</v>
      </c>
      <c r="M4038">
        <v>4</v>
      </c>
      <c r="O4038" t="s">
        <v>25</v>
      </c>
      <c r="P4038" t="s">
        <v>5044</v>
      </c>
      <c r="Q4038" t="s">
        <v>5045</v>
      </c>
    </row>
    <row r="4039" spans="1:17" ht="15.5" x14ac:dyDescent="0.35">
      <c r="A4039" s="3" t="str">
        <f>HYPERLINK("https://edmondsonsupply.com/collections/electricians-tools/products/klein-tools-d213-9neth-linemans-bolt-thread-holding-pliers-9-inch", "https://edmondsonsupply.com/collections/electricians-tools/products/klein-tools-d213-9neth-linemans-bolt-thread-holding-pliers-9-inch")</f>
        <v>https://edmondsonsupply.com/collections/electricians-tools/products/klein-tools-d213-9neth-linemans-bolt-thread-holding-pliers-9-inch</v>
      </c>
      <c r="B4039" s="3" t="str">
        <f>HYPERLINK("https://edmondsonsupply.com/products/klein-tools-d213-9neth-linemans-bolt-thread-holding-pliers-9-inch", "https://edmondsonsupply.com/products/klein-tools-d213-9neth-linemans-bolt-thread-holding-pliers-9-inch")</f>
        <v>https://edmondsonsupply.com/products/klein-tools-d213-9neth-linemans-bolt-thread-holding-pliers-9-inch</v>
      </c>
      <c r="C4039" t="s">
        <v>7579</v>
      </c>
      <c r="D4039" t="s">
        <v>8488</v>
      </c>
      <c r="E4039" s="3" t="str">
        <f>HYPERLINK("https://www.amazon.com/Linemans-Bolt-Thread-Klein-Tools-D213-9NETH/dp/B0002RI9LI/ref=sr_1_1?keywords=Klein+Tools+D213-9NETH+Lineman%27s+Bolt-Thread+Holding+Pliers%2C+9-Inch&amp;qid=1695174304&amp;sr=8-1", "https://www.amazon.com/Linemans-Bolt-Thread-Klein-Tools-D213-9NETH/dp/B0002RI9LI/ref=sr_1_1?keywords=Klein+Tools+D213-9NETH+Lineman%27s+Bolt-Thread+Holding+Pliers%2C+9-Inch&amp;qid=1695174304&amp;sr=8-1")</f>
        <v>https://www.amazon.com/Linemans-Bolt-Thread-Klein-Tools-D213-9NETH/dp/B0002RI9LI/ref=sr_1_1?keywords=Klein+Tools+D213-9NETH+Lineman%27s+Bolt-Thread+Holding+Pliers%2C+9-Inch&amp;qid=1695174304&amp;sr=8-1</v>
      </c>
      <c r="F4039" t="s">
        <v>8489</v>
      </c>
      <c r="G4039" t="e">
        <f ca="1">_xludf.IMAGE("https://edmondsonsupply.com/cdn/shop/products/d2139neth.jpg?v=1633030817")</f>
        <v>#NAME?</v>
      </c>
      <c r="H4039" t="e">
        <f ca="1">_xludf.IMAGE("https://m.media-amazon.com/images/I/41zLBRo7-aL._AC_UL320_.jpg")</f>
        <v>#NAME?</v>
      </c>
      <c r="I4039" t="s">
        <v>198</v>
      </c>
      <c r="J4039">
        <v>36.9</v>
      </c>
      <c r="K4039" s="4">
        <v>-7.7299999999999994E-2</v>
      </c>
      <c r="L4039">
        <v>4.8</v>
      </c>
      <c r="M4039">
        <v>4121</v>
      </c>
      <c r="O4039" t="s">
        <v>25</v>
      </c>
      <c r="P4039" t="s">
        <v>1310</v>
      </c>
      <c r="Q4039" t="s">
        <v>7582</v>
      </c>
    </row>
    <row r="4040" spans="1:17" ht="15.5" x14ac:dyDescent="0.35">
      <c r="A4040" s="3" t="str">
        <f>HYPERLINK("https://edmondsonsupply.com/collections/electricians-tools/products/diablo-tools-dou3bs-3-pc-universal-fit-bi-metal-oscillating-blade-set", "https://edmondsonsupply.com/collections/electricians-tools/products/diablo-tools-dou3bs-3-pc-universal-fit-bi-metal-oscillating-blade-set")</f>
        <v>https://edmondsonsupply.com/collections/electricians-tools/products/diablo-tools-dou3bs-3-pc-universal-fit-bi-metal-oscillating-blade-set</v>
      </c>
      <c r="B4040" s="3" t="str">
        <f>HYPERLINK("https://edmondsonsupply.com/products/diablo-tools-dou3bs-3-pc-universal-fit-bi-metal-oscillating-blade-set", "https://edmondsonsupply.com/products/diablo-tools-dou3bs-3-pc-universal-fit-bi-metal-oscillating-blade-set")</f>
        <v>https://edmondsonsupply.com/products/diablo-tools-dou3bs-3-pc-universal-fit-bi-metal-oscillating-blade-set</v>
      </c>
      <c r="C4040" t="s">
        <v>8490</v>
      </c>
      <c r="D4040" t="s">
        <v>8491</v>
      </c>
      <c r="E4040" s="3" t="str">
        <f>HYPERLINK("https://www.amazon.com/Diablo-Freud-DOU3CS-Universal-Oscillating/dp/B089LLB6C4/ref=sr_1_2?keywords=Diablo+Tools+DOU3BS+3+pc+Universal+Fit+Bi-Metal+Oscillating+Blade+Set&amp;qid=1695174049&amp;sr=8-2", "https://www.amazon.com/Diablo-Freud-DOU3CS-Universal-Oscillating/dp/B089LLB6C4/ref=sr_1_2?keywords=Diablo+Tools+DOU3BS+3+pc+Universal+Fit+Bi-Metal+Oscillating+Blade+Set&amp;qid=1695174049&amp;sr=8-2")</f>
        <v>https://www.amazon.com/Diablo-Freud-DOU3CS-Universal-Oscillating/dp/B089LLB6C4/ref=sr_1_2?keywords=Diablo+Tools+DOU3BS+3+pc+Universal+Fit+Bi-Metal+Oscillating+Blade+Set&amp;qid=1695174049&amp;sr=8-2</v>
      </c>
      <c r="F4040" t="s">
        <v>8492</v>
      </c>
      <c r="G4040" t="e">
        <f ca="1">_xludf.IMAGE("https://edmondsonsupply.com/cdn/shop/files/mhkfr9y3q3vrvammfqa0.webp?v=1685721273")</f>
        <v>#NAME?</v>
      </c>
      <c r="H4040" t="e">
        <f ca="1">_xludf.IMAGE("https://m.media-amazon.com/images/I/711kdXnfvhL._AC_UL320_.jpg")</f>
        <v>#NAME?</v>
      </c>
      <c r="I4040" t="s">
        <v>7854</v>
      </c>
      <c r="J4040">
        <v>34.99</v>
      </c>
      <c r="K4040" s="4">
        <v>-7.85E-2</v>
      </c>
      <c r="L4040">
        <v>4.5999999999999996</v>
      </c>
      <c r="M4040">
        <v>91</v>
      </c>
      <c r="O4040" t="s">
        <v>25</v>
      </c>
      <c r="P4040" t="s">
        <v>8493</v>
      </c>
      <c r="Q4040" t="s">
        <v>8494</v>
      </c>
    </row>
    <row r="4041" spans="1:17" ht="15.5" x14ac:dyDescent="0.35">
      <c r="A4041"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4041"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4041" t="s">
        <v>8495</v>
      </c>
      <c r="D4041" t="s">
        <v>8496</v>
      </c>
      <c r="E4041" s="3" t="str">
        <f>HYPERLINK("https://www.amazon.com/Non-Conductive-Fiberglass-Klein-Tools-56014/dp/B00BEZWIEQ/ref=sr_1_3?keywords=Klein+Tools+56014+Fiberglass+Fish+Tape+with+Spiral+Leader%2C+200-Foot&amp;qid=1695174145&amp;sr=8-3", "https://www.amazon.com/Non-Conductive-Fiberglass-Klein-Tools-56014/dp/B00BEZWIEQ/ref=sr_1_3?keywords=Klein+Tools+56014+Fiberglass+Fish+Tape+with+Spiral+Leader%2C+200-Foot&amp;qid=1695174145&amp;sr=8-3")</f>
        <v>https://www.amazon.com/Non-Conductive-Fiberglass-Klein-Tools-56014/dp/B00BEZWIEQ/ref=sr_1_3?keywords=Klein+Tools+56014+Fiberglass+Fish+Tape+with+Spiral+Leader%2C+200-Foot&amp;qid=1695174145&amp;sr=8-3</v>
      </c>
      <c r="F4041" t="s">
        <v>8497</v>
      </c>
      <c r="G4041" t="e">
        <f ca="1">_xludf.IMAGE("https://edmondsonsupply.com/cdn/shop/products/56014.jpg?v=1664478500")</f>
        <v>#NAME?</v>
      </c>
      <c r="H4041" t="e">
        <f ca="1">_xludf.IMAGE("https://m.media-amazon.com/images/I/51-1BP0IpAL._AC_UL320_.jpg")</f>
        <v>#NAME?</v>
      </c>
      <c r="I4041" t="s">
        <v>8498</v>
      </c>
      <c r="J4041">
        <v>325.22000000000003</v>
      </c>
      <c r="K4041" s="4">
        <v>-7.8700000000000006E-2</v>
      </c>
      <c r="L4041">
        <v>4.5999999999999996</v>
      </c>
      <c r="M4041">
        <v>161</v>
      </c>
      <c r="O4041" t="s">
        <v>25</v>
      </c>
      <c r="P4041" t="s">
        <v>8499</v>
      </c>
      <c r="Q4041" t="s">
        <v>8500</v>
      </c>
    </row>
    <row r="4042" spans="1:17" ht="15.5" x14ac:dyDescent="0.35">
      <c r="A4042" s="3" t="str">
        <f>HYPERLINK("https://edmondsonsupply.com/collections/electricians-tools/products/klein-tools-69407-tradesman-pro%E2%84%A2-carrying-case-medium", "https://edmondsonsupply.com/collections/electricians-tools/products/klein-tools-69407-tradesman-pro%E2%84%A2-carrying-case-medium")</f>
        <v>https://edmondsonsupply.com/collections/electricians-tools/products/klein-tools-69407-tradesman-pro%E2%84%A2-carrying-case-medium</v>
      </c>
      <c r="B4042" s="3" t="str">
        <f>HYPERLINK("https://edmondsonsupply.com/products/klein-tools-69407-tradesman-pro%e2%84%a2-carrying-case-medium", "https://edmondsonsupply.com/products/klein-tools-69407-tradesman-pro%e2%84%a2-carrying-case-medium")</f>
        <v>https://edmondsonsupply.com/products/klein-tools-69407-tradesman-pro%e2%84%a2-carrying-case-medium</v>
      </c>
      <c r="C4042" t="s">
        <v>8501</v>
      </c>
      <c r="D4042" t="s">
        <v>8502</v>
      </c>
      <c r="E4042" s="3" t="str">
        <f>HYPERLINK("https://www.amazon.com/Tradesman-Carrying-Klein-Tools-69407/dp/B00FZEO79Q/ref=sr_1_1?keywords=Klein+Tools+69407+Tradesman+Pro%E2%84%A2+Carrying+Case%2C+Medium&amp;qid=1695174249&amp;sr=8-1", "https://www.amazon.com/Tradesman-Carrying-Klein-Tools-69407/dp/B00FZEO79Q/ref=sr_1_1?keywords=Klein+Tools+69407+Tradesman+Pro%E2%84%A2+Carrying+Case%2C+Medium&amp;qid=1695174249&amp;sr=8-1")</f>
        <v>https://www.amazon.com/Tradesman-Carrying-Klein-Tools-69407/dp/B00FZEO79Q/ref=sr_1_1?keywords=Klein+Tools+69407+Tradesman+Pro%E2%84%A2+Carrying+Case%2C+Medium&amp;qid=1695174249&amp;sr=8-1</v>
      </c>
      <c r="F4042" t="s">
        <v>8503</v>
      </c>
      <c r="G4042" t="e">
        <f ca="1">_xludf.IMAGE("https://edmondsonsupply.com/cdn/shop/products/69407.jpg?v=1587148653")</f>
        <v>#NAME?</v>
      </c>
      <c r="H4042" t="e">
        <f ca="1">_xludf.IMAGE("https://m.media-amazon.com/images/I/61PYa7ecItL._AC_UL320_.jpg")</f>
        <v>#NAME?</v>
      </c>
      <c r="I4042" t="s">
        <v>3432</v>
      </c>
      <c r="J4042">
        <v>35</v>
      </c>
      <c r="K4042" s="4">
        <v>-7.8700000000000006E-2</v>
      </c>
      <c r="L4042">
        <v>4.7</v>
      </c>
      <c r="M4042">
        <v>191</v>
      </c>
      <c r="O4042" t="s">
        <v>25</v>
      </c>
      <c r="P4042" t="s">
        <v>8504</v>
      </c>
      <c r="Q4042" t="s">
        <v>8505</v>
      </c>
    </row>
    <row r="4043" spans="1:17" ht="15.5" x14ac:dyDescent="0.35">
      <c r="A4043" s="3" t="str">
        <f>HYPERLINK("https://edmondsonsupply.com/collections/electricians-tools/products/diablo-tools-ds0906cws3-9-in-demo-demon-carbide-recip-blade-for-nail-embedded-wood-3-pack", "https://edmondsonsupply.com/collections/electricians-tools/products/diablo-tools-ds0906cws3-9-in-demo-demon-carbide-recip-blade-for-nail-embedded-wood-3-pack")</f>
        <v>https://edmondsonsupply.com/collections/electricians-tools/products/diablo-tools-ds0906cws3-9-in-demo-demon-carbide-recip-blade-for-nail-embedded-wood-3-pack</v>
      </c>
      <c r="B4043" s="3" t="str">
        <f>HYPERLINK("https://edmondsonsupply.com/products/diablo-tools-ds0906cws3-9-in-demo-demon-carbide-recip-blade-for-nail-embedded-wood-3-pack", "https://edmondsonsupply.com/products/diablo-tools-ds0906cws3-9-in-demo-demon-carbide-recip-blade-for-nail-embedded-wood-3-pack")</f>
        <v>https://edmondsonsupply.com/products/diablo-tools-ds0906cws3-9-in-demo-demon-carbide-recip-blade-for-nail-embedded-wood-3-pack</v>
      </c>
      <c r="C4043" t="s">
        <v>5052</v>
      </c>
      <c r="D4043" t="s">
        <v>5053</v>
      </c>
      <c r="E4043" s="3" t="str">
        <f>HYPERLINK("https://www.amazon.com/Diablo-DS0705CWR3-Demo%E2%80%91Demon-Scrolling-Reciprocating/dp/B083YTKSVM/ref=sr_1_1?keywords=Diablo+Tools+DS0705CWR3+7-3%2F8+in.+Demo-Demon+Rough-In%2FScrolling+Carbide+Reciprocating+Blade+%283-Pack%29&amp;qid=1695173927&amp;sr=8-1", "https://www.amazon.com/Diablo-DS0705CWR3-Demo%E2%80%91Demon-Scrolling-Reciprocating/dp/B083YTKSVM/ref=sr_1_1?keywords=Diablo+Tools+DS0705CWR3+7-3%2F8+in.+Demo-Demon+Rough-In%2FScrolling+Carbide+Reciprocating+Blade+%283-Pack%29&amp;qid=1695173927&amp;sr=8-1")</f>
        <v>https://www.amazon.com/Diablo-DS0705CWR3-Demo%E2%80%91Demon-Scrolling-Reciprocating/dp/B083YTKSVM/ref=sr_1_1?keywords=Diablo+Tools+DS0705CWR3+7-3%2F8+in.+Demo-Demon+Rough-In%2FScrolling+Carbide+Reciprocating+Blade+%283-Pack%29&amp;qid=1695173927&amp;sr=8-1</v>
      </c>
      <c r="F4043" t="s">
        <v>5054</v>
      </c>
      <c r="G4043" t="e">
        <f ca="1">_xludf.IMAGE("https://edmondsonsupply.com/cdn/shop/products/DS0705CWR3_Main-Image.png?v=1633030237")</f>
        <v>#NAME?</v>
      </c>
      <c r="H4043" t="e">
        <f ca="1">_xludf.IMAGE("https://m.media-amazon.com/images/I/51aVNFoBlfL._AC_UL320_.jpg")</f>
        <v>#NAME?</v>
      </c>
      <c r="I4043" t="s">
        <v>859</v>
      </c>
      <c r="J4043">
        <v>22.99</v>
      </c>
      <c r="K4043" s="4">
        <v>-7.9299999999999995E-2</v>
      </c>
      <c r="L4043">
        <v>4</v>
      </c>
      <c r="M4043">
        <v>12</v>
      </c>
      <c r="O4043" t="s">
        <v>25</v>
      </c>
      <c r="P4043" t="s">
        <v>4475</v>
      </c>
      <c r="Q4043" t="s">
        <v>5055</v>
      </c>
    </row>
    <row r="4044" spans="1:17" ht="15.5" x14ac:dyDescent="0.35">
      <c r="A4044" s="3" t="str">
        <f>HYPERLINK("https://edmondsonsupply.com/collections/electricians-tools/products/klein-tools-55599-high-visibility-zipper-bags-2-pack", "https://edmondsonsupply.com/collections/electricians-tools/products/klein-tools-55599-high-visibility-zipper-bags-2-pack")</f>
        <v>https://edmondsonsupply.com/collections/electricians-tools/products/klein-tools-55599-high-visibility-zipper-bags-2-pack</v>
      </c>
      <c r="B4044" s="3" t="str">
        <f>HYPERLINK("https://edmondsonsupply.com/products/klein-tools-55599-high-visibility-zipper-bags-2-pack", "https://edmondsonsupply.com/products/klein-tools-55599-high-visibility-zipper-bags-2-pack")</f>
        <v>https://edmondsonsupply.com/products/klein-tools-55599-high-visibility-zipper-bags-2-pack</v>
      </c>
      <c r="C4044" t="s">
        <v>672</v>
      </c>
      <c r="D4044" t="s">
        <v>673</v>
      </c>
      <c r="E4044" s="3" t="str">
        <f>HYPERLINK("https://www.amazon.com/Visibility-Zipper-Klein-Tools-55599/dp/B01N674AXT/ref=sr_1_1?keywords=Klein+Tools+55599+Zipper+Bags%2C+High+Visibility+Tool+Pouches%2C+2-Pack&amp;qid=1695173950&amp;sr=8-1", "https://www.amazon.com/Visibility-Zipper-Klein-Tools-55599/dp/B01N674AXT/ref=sr_1_1?keywords=Klein+Tools+55599+Zipper+Bags%2C+High+Visibility+Tool+Pouches%2C+2-Pack&amp;qid=1695173950&amp;sr=8-1")</f>
        <v>https://www.amazon.com/Visibility-Zipper-Klein-Tools-55599/dp/B01N674AXT/ref=sr_1_1?keywords=Klein+Tools+55599+Zipper+Bags%2C+High+Visibility+Tool+Pouches%2C+2-Pack&amp;qid=1695173950&amp;sr=8-1</v>
      </c>
      <c r="F4044" t="s">
        <v>674</v>
      </c>
      <c r="G4044" t="e">
        <f ca="1">_xludf.IMAGE("https://edmondsonsupply.com/cdn/shop/products/55599.jpg?v=1587143455")</f>
        <v>#NAME?</v>
      </c>
      <c r="H4044" t="e">
        <f ca="1">_xludf.IMAGE("https://m.media-amazon.com/images/I/71DB02D9dUL._AC_UL320_.jpg")</f>
        <v>#NAME?</v>
      </c>
      <c r="I4044" t="s">
        <v>471</v>
      </c>
      <c r="J4044">
        <v>23</v>
      </c>
      <c r="K4044" s="4">
        <v>-7.9600000000000004E-2</v>
      </c>
      <c r="L4044">
        <v>4.8</v>
      </c>
      <c r="M4044">
        <v>386</v>
      </c>
      <c r="O4044" t="s">
        <v>25</v>
      </c>
      <c r="P4044" t="s">
        <v>675</v>
      </c>
      <c r="Q4044" t="s">
        <v>676</v>
      </c>
    </row>
    <row r="4045" spans="1:17" ht="15.5" x14ac:dyDescent="0.35">
      <c r="A4045"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4045"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4045" t="s">
        <v>5852</v>
      </c>
      <c r="D4045" t="s">
        <v>8506</v>
      </c>
      <c r="E4045" s="3" t="str">
        <f>HYPERLINK("https://www.amazon.com/Diablo-Freud-DMAPL4230-SDS-Plus-4-Cutter/dp/B089LCN234/ref=sr_1_7?keywords=Diablo+Tools+DMAPL4250+3%2F4+in.+x+8+in.+x+10+in.+Rebar+Demon%E2%84%A2+SDS-Plus+4-Cutter+Full+Carbide+Head+Hammer+Drill+Bit&amp;qid=1695174039&amp;sr=8-7", "https://www.amazon.com/Diablo-Freud-DMAPL4230-SDS-Plus-4-Cutter/dp/B089LCN234/ref=sr_1_7?keywords=Diablo+Tools+DMAPL4250+3%2F4+in.+x+8+in.+x+10+in.+Rebar+Demon%E2%84%A2+SDS-Plus+4-Cutter+Full+Carbide+Head+Hammer+Drill+Bit&amp;qid=1695174039&amp;sr=8-7")</f>
        <v>https://www.amazon.com/Diablo-Freud-DMAPL4230-SDS-Plus-4-Cutter/dp/B089LCN234/ref=sr_1_7?keywords=Diablo+Tools+DMAPL4250+3%2F4+in.+x+8+in.+x+10+in.+Rebar+Demon%E2%84%A2+SDS-Plus+4-Cutter+Full+Carbide+Head+Hammer+Drill+Bit&amp;qid=1695174039&amp;sr=8-7</v>
      </c>
      <c r="F4045" t="s">
        <v>8507</v>
      </c>
      <c r="G4045" t="e">
        <f ca="1">_xludf.IMAGE("https://edmondsonsupply.com/cdn/shop/files/rltcbi253wmfv6otmtz6.webp?v=1686576913")</f>
        <v>#NAME?</v>
      </c>
      <c r="H4045" t="e">
        <f ca="1">_xludf.IMAGE("https://m.media-amazon.com/images/I/61r649wmyhL._AC_UL320_.jpg")</f>
        <v>#NAME?</v>
      </c>
      <c r="I4045" t="s">
        <v>5853</v>
      </c>
      <c r="J4045">
        <v>22.5</v>
      </c>
      <c r="K4045" s="4">
        <v>-8.0500000000000002E-2</v>
      </c>
      <c r="L4045">
        <v>4.7</v>
      </c>
      <c r="M4045">
        <v>47</v>
      </c>
      <c r="O4045" t="s">
        <v>25</v>
      </c>
      <c r="P4045" t="s">
        <v>5854</v>
      </c>
      <c r="Q4045" t="s">
        <v>5855</v>
      </c>
    </row>
    <row r="4046" spans="1:17" ht="15.5" x14ac:dyDescent="0.35">
      <c r="A4046" s="3" t="str">
        <f>HYPERLINK("https://edmondsonsupply.com/collections/electricians-tools/products/milwaukee-2729-22-m18-fuel%E2%84%A2-deep-cut-band-saw-kit", "https://edmondsonsupply.com/collections/electricians-tools/products/milwaukee-2729-22-m18-fuel%E2%84%A2-deep-cut-band-saw-kit")</f>
        <v>https://edmondsonsupply.com/collections/electricians-tools/products/milwaukee-2729-22-m18-fuel%E2%84%A2-deep-cut-band-saw-kit</v>
      </c>
      <c r="B4046" s="3" t="str">
        <f>HYPERLINK("https://edmondsonsupply.com/products/milwaukee-2729-22-m18-fuel%e2%84%a2-deep-cut-band-saw-kit", "https://edmondsonsupply.com/products/milwaukee-2729-22-m18-fuel%e2%84%a2-deep-cut-band-saw-kit")</f>
        <v>https://edmondsonsupply.com/products/milwaukee-2729-22-m18-fuel%e2%84%a2-deep-cut-band-saw-kit</v>
      </c>
      <c r="C4046" t="s">
        <v>8508</v>
      </c>
      <c r="D4046" t="s">
        <v>8509</v>
      </c>
      <c r="E4046" s="3" t="str">
        <f>HYPERLINK("https://www.amazon.com/Milwaukee-2729-21-Fuel-Deep-Band/dp/B00LBHVG6I/ref=sr_1_1?keywords=Milwaukee+2729-22+M18+FUEL%E2%84%A2+Deep+Cut+Band+Saw+Kit&amp;qid=1695174171&amp;sr=8-1", "https://www.amazon.com/Milwaukee-2729-21-Fuel-Deep-Band/dp/B00LBHVG6I/ref=sr_1_1?keywords=Milwaukee+2729-22+M18+FUEL%E2%84%A2+Deep+Cut+Band+Saw+Kit&amp;qid=1695174171&amp;sr=8-1")</f>
        <v>https://www.amazon.com/Milwaukee-2729-21-Fuel-Deep-Band/dp/B00LBHVG6I/ref=sr_1_1?keywords=Milwaukee+2729-22+M18+FUEL%E2%84%A2+Deep+Cut+Band+Saw+Kit&amp;qid=1695174171&amp;sr=8-1</v>
      </c>
      <c r="F4046" t="s">
        <v>8510</v>
      </c>
      <c r="G4046" t="e">
        <f ca="1">_xludf.IMAGE("https://edmondsonsupply.com/cdn/shop/products/190813alex272922XC50Kit.webp?v=1661701754")</f>
        <v>#NAME?</v>
      </c>
      <c r="H4046" t="e">
        <f ca="1">_xludf.IMAGE("https://m.media-amazon.com/images/I/91PaU7HdenL._AC_UL320_.jpg")</f>
        <v>#NAME?</v>
      </c>
      <c r="I4046" t="s">
        <v>8511</v>
      </c>
      <c r="J4046">
        <v>669.99</v>
      </c>
      <c r="K4046" s="4">
        <v>-8.09E-2</v>
      </c>
      <c r="L4046">
        <v>4.7</v>
      </c>
      <c r="M4046">
        <v>167</v>
      </c>
      <c r="O4046" t="s">
        <v>25</v>
      </c>
      <c r="P4046" t="s">
        <v>8512</v>
      </c>
      <c r="Q4046" t="s">
        <v>8513</v>
      </c>
    </row>
    <row r="4047" spans="1:17" ht="15.5" x14ac:dyDescent="0.35">
      <c r="A4047" s="3" t="str">
        <f>HYPERLINK("https://edmondsonsupply.com/collections/electricians-tools/products/klein-tools-60113rl-hard-hat-vented-cap-style-with-rechargeable-headlamp-white", "https://edmondsonsupply.com/collections/electricians-tools/products/klein-tools-60113rl-hard-hat-vented-cap-style-with-rechargeable-headlamp-white")</f>
        <v>https://edmondsonsupply.com/collections/electricians-tools/products/klein-tools-60113rl-hard-hat-vented-cap-style-with-rechargeable-headlamp-white</v>
      </c>
      <c r="B4047"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4047" t="s">
        <v>1044</v>
      </c>
      <c r="D4047" t="s">
        <v>1280</v>
      </c>
      <c r="E4047" s="3" t="str">
        <f>HYPERLINK("https://www.amazon.com/Klein-Tools-60107RL-Rechargeable-Odor-Resistant/dp/B08FC2DMCY/ref=sr_1_2?keywords=Klein+Tools+60113RL+Hard+Hat%2C+Vented%2C+Cap+Style+with+Rechargeable+Headlamp%2C+White&amp;qid=1695174220&amp;sr=8-2", "https://www.amazon.com/Klein-Tools-60107RL-Rechargeable-Odor-Resistant/dp/B08FC2DMCY/ref=sr_1_2?keywords=Klein+Tools+60113RL+Hard+Hat%2C+Vented%2C+Cap+Style+with+Rechargeable+Headlamp%2C+White&amp;qid=1695174220&amp;sr=8-2")</f>
        <v>https://www.amazon.com/Klein-Tools-60107RL-Rechargeable-Odor-Resistant/dp/B08FC2DMCY/ref=sr_1_2?keywords=Klein+Tools+60113RL+Hard+Hat%2C+Vented%2C+Cap+Style+with+Rechargeable+Headlamp%2C+White&amp;qid=1695174220&amp;sr=8-2</v>
      </c>
      <c r="F4047" t="s">
        <v>1281</v>
      </c>
      <c r="G4047" t="e">
        <f ca="1">_xludf.IMAGE("https://edmondsonsupply.com/cdn/shop/products/60113rl_c.jpg?v=1647891186")</f>
        <v>#NAME?</v>
      </c>
      <c r="H4047" t="e">
        <f ca="1">_xludf.IMAGE("https://m.media-amazon.com/images/I/51q6h8gGqXL._AC_UL320_.jpg")</f>
        <v>#NAME?</v>
      </c>
      <c r="I4047" t="s">
        <v>905</v>
      </c>
      <c r="J4047">
        <v>54.99</v>
      </c>
      <c r="K4047" s="4">
        <v>-8.3299999999999999E-2</v>
      </c>
      <c r="L4047">
        <v>4.5999999999999996</v>
      </c>
      <c r="M4047">
        <v>101</v>
      </c>
      <c r="O4047" t="s">
        <v>25</v>
      </c>
      <c r="P4047" t="s">
        <v>1047</v>
      </c>
      <c r="Q4047" t="s">
        <v>1048</v>
      </c>
    </row>
    <row r="4048" spans="1:17" ht="15.5" x14ac:dyDescent="0.35">
      <c r="A4048"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4048"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4048" t="s">
        <v>6595</v>
      </c>
      <c r="D4048" t="s">
        <v>7927</v>
      </c>
      <c r="E4048" s="3" t="str">
        <f>HYPERLINK("https://www.amazon.com/Ethernet-Connections-Klein-Tools-VDV526-200/dp/B0925826M2/ref=sr_1_3?keywords=Klein+Tools+VDV526-052+Cable+Tester%2C+LAN+Scout%C2%AE+Jr.+Continuity+Tester&amp;qid=1695174034&amp;sr=8-3", "https://www.amazon.com/Ethernet-Connections-Klein-Tools-VDV526-200/dp/B0925826M2/ref=sr_1_3?keywords=Klein+Tools+VDV526-052+Cable+Tester%2C+LAN+Scout%C2%AE+Jr.+Continuity+Tester&amp;qid=1695174034&amp;sr=8-3")</f>
        <v>https://www.amazon.com/Ethernet-Connections-Klein-Tools-VDV526-200/dp/B0925826M2/ref=sr_1_3?keywords=Klein+Tools+VDV526-052+Cable+Tester%2C+LAN+Scout%C2%AE+Jr.+Continuity+Tester&amp;qid=1695174034&amp;sr=8-3</v>
      </c>
      <c r="F4048" t="s">
        <v>7928</v>
      </c>
      <c r="G4048" t="e">
        <f ca="1">_xludf.IMAGE("https://edmondsonsupply.com/cdn/shop/files/vdv526-052.jpg?v=1685032494")</f>
        <v>#NAME?</v>
      </c>
      <c r="H4048" t="e">
        <f ca="1">_xludf.IMAGE("https://m.media-amazon.com/images/I/519D2efRZyL._AC_UY218_.jpg")</f>
        <v>#NAME?</v>
      </c>
      <c r="I4048" t="s">
        <v>5197</v>
      </c>
      <c r="J4048">
        <v>54.97</v>
      </c>
      <c r="K4048" s="4">
        <v>-8.3400000000000002E-2</v>
      </c>
      <c r="L4048">
        <v>4.8</v>
      </c>
      <c r="M4048">
        <v>889</v>
      </c>
      <c r="O4048" t="s">
        <v>25</v>
      </c>
      <c r="P4048" t="s">
        <v>6596</v>
      </c>
      <c r="Q4048" t="s">
        <v>6597</v>
      </c>
    </row>
    <row r="4049" spans="1:17" ht="15.5" x14ac:dyDescent="0.35">
      <c r="A4049"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4049" s="3" t="str">
        <f>HYPERLINK("https://edmondsonsupply.com/products/diablo-tools-dag1130-1-in-x-7-1-2-in-auger-bit", "https://edmondsonsupply.com/products/diablo-tools-dag1130-1-in-x-7-1-2-in-auger-bit")</f>
        <v>https://edmondsonsupply.com/products/diablo-tools-dag1130-1-in-x-7-1-2-in-auger-bit</v>
      </c>
      <c r="C4049" t="s">
        <v>3530</v>
      </c>
      <c r="D4049" t="s">
        <v>5067</v>
      </c>
      <c r="E4049" s="3" t="str">
        <f>HYPERLINK("https://www.amazon.com/Diablo-7-1-Auger-Bit/dp/B089LCPNWX/ref=sr_1_10?keywords=Diablo+Tools+DAG1130+1+in.+x+7-1%2F2+in.+Auger+Bit&amp;qid=1695173913&amp;sr=8-10", "https://www.amazon.com/Diablo-7-1-Auger-Bit/dp/B089LCPNWX/ref=sr_1_10?keywords=Diablo+Tools+DAG1130+1+in.+x+7-1%2F2+in.+Auger+Bit&amp;qid=1695173913&amp;sr=8-10")</f>
        <v>https://www.amazon.com/Diablo-7-1-Auger-Bit/dp/B089LCPNWX/ref=sr_1_10?keywords=Diablo+Tools+DAG1130+1+in.+x+7-1%2F2+in.+Auger+Bit&amp;qid=1695173913&amp;sr=8-10</v>
      </c>
      <c r="F4049" t="s">
        <v>5068</v>
      </c>
      <c r="G4049" t="e">
        <f ca="1">_xludf.IMAGE("https://edmondsonsupply.com/cdn/shop/products/DAG1130_Main-Image20200712.png?v=1633031124")</f>
        <v>#NAME?</v>
      </c>
      <c r="H4049" t="e">
        <f ca="1">_xludf.IMAGE("https://m.media-amazon.com/images/I/61zUoLZQ5OL._AC_UL320_.jpg")</f>
        <v>#NAME?</v>
      </c>
      <c r="I4049" t="s">
        <v>3533</v>
      </c>
      <c r="J4049">
        <v>14.99</v>
      </c>
      <c r="K4049" s="4">
        <v>-8.43E-2</v>
      </c>
      <c r="L4049">
        <v>4.7</v>
      </c>
      <c r="M4049">
        <v>9</v>
      </c>
      <c r="O4049" t="s">
        <v>25</v>
      </c>
      <c r="P4049" t="s">
        <v>3534</v>
      </c>
      <c r="Q4049" t="s">
        <v>3535</v>
      </c>
    </row>
    <row r="4050" spans="1:17" ht="15.5" x14ac:dyDescent="0.35">
      <c r="A4050"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050" s="3" t="str">
        <f>HYPERLINK("https://edmondsonsupply.com/products/klein-tools-d2000-28glw-diagonal-cutting-pliers-hi-viz-8-inch", "https://edmondsonsupply.com/products/klein-tools-d2000-28glw-diagonal-cutting-pliers-hi-viz-8-inch")</f>
        <v>https://edmondsonsupply.com/products/klein-tools-d2000-28glw-diagonal-cutting-pliers-hi-viz-8-inch</v>
      </c>
      <c r="C4050" t="s">
        <v>4233</v>
      </c>
      <c r="D4050" t="s">
        <v>5069</v>
      </c>
      <c r="E4050" s="3" t="str">
        <f>HYPERLINK("https://www.amazon.com/Journeyman-Diagonal-Klein-Tools-J2000-28/dp/B00093DY2O/ref=sr_1_4?keywords=Klein+Tools+D200028GLW+Diagonal+Cutting+Pliers%2C+High-Visibility%2C+8-Inch&amp;qid=1695173928&amp;sr=8-4", "https://www.amazon.com/Journeyman-Diagonal-Klein-Tools-J2000-28/dp/B00093DY2O/ref=sr_1_4?keywords=Klein+Tools+D200028GLW+Diagonal+Cutting+Pliers%2C+High-Visibility%2C+8-Inch&amp;qid=1695173928&amp;sr=8-4")</f>
        <v>https://www.amazon.com/Journeyman-Diagonal-Klein-Tools-J2000-28/dp/B00093DY2O/ref=sr_1_4?keywords=Klein+Tools+D200028GLW+Diagonal+Cutting+Pliers%2C+High-Visibility%2C+8-Inch&amp;qid=1695173928&amp;sr=8-4</v>
      </c>
      <c r="F4050" t="s">
        <v>5070</v>
      </c>
      <c r="G4050" t="e">
        <f ca="1">_xludf.IMAGE("https://edmondsonsupply.com/cdn/shop/products/d200028glw.jpg?v=1633030701")</f>
        <v>#NAME?</v>
      </c>
      <c r="H4050" t="e">
        <f ca="1">_xludf.IMAGE("https://m.media-amazon.com/images/I/41gMQiPYMQL._AC_UL320_.jpg")</f>
        <v>#NAME?</v>
      </c>
      <c r="I4050" t="s">
        <v>67</v>
      </c>
      <c r="J4050">
        <v>34.32</v>
      </c>
      <c r="K4050" s="4">
        <v>-8.4599999999999995E-2</v>
      </c>
      <c r="L4050">
        <v>4.5999999999999996</v>
      </c>
      <c r="M4050">
        <v>102</v>
      </c>
      <c r="O4050" t="s">
        <v>25</v>
      </c>
      <c r="P4050" t="s">
        <v>4236</v>
      </c>
      <c r="Q4050" t="s">
        <v>4237</v>
      </c>
    </row>
    <row r="4051" spans="1:17" ht="15.5" x14ac:dyDescent="0.35">
      <c r="A4051" s="3" t="str">
        <f>HYPERLINK("https://edmondsonsupply.com/collections/electricians-tools/products/fluke-tl223-suregrip%E2%84%A2-electrical-test-lead-set", "https://edmondsonsupply.com/collections/electricians-tools/products/fluke-tl223-suregrip%E2%84%A2-electrical-test-lead-set")</f>
        <v>https://edmondsonsupply.com/collections/electricians-tools/products/fluke-tl223-suregrip%E2%84%A2-electrical-test-lead-set</v>
      </c>
      <c r="B4051" s="3" t="str">
        <f>HYPERLINK("https://edmondsonsupply.com/products/fluke-tl223-suregrip%e2%84%a2-electrical-test-lead-set", "https://edmondsonsupply.com/products/fluke-tl223-suregrip%e2%84%a2-electrical-test-lead-set")</f>
        <v>https://edmondsonsupply.com/products/fluke-tl223-suregrip%e2%84%a2-electrical-test-lead-set</v>
      </c>
      <c r="C4051" t="s">
        <v>8514</v>
      </c>
      <c r="D4051" t="s">
        <v>8515</v>
      </c>
      <c r="E4051" s="3" t="str">
        <f>HYPERLINK("https://www.amazon.com/Fluke-TL223-SureGrip-Electrical-Test/dp/B0000WU0BC/ref=sr_1_1?keywords=Fluke+TL223+SureGrip%E2%84%A2+Electrical+Test+Lead+Set&amp;qid=1695174242&amp;sr=8-1", "https://www.amazon.com/Fluke-TL223-SureGrip-Electrical-Test/dp/B0000WU0BC/ref=sr_1_1?keywords=Fluke+TL223+SureGrip%E2%84%A2+Electrical+Test+Lead+Set&amp;qid=1695174242&amp;sr=8-1")</f>
        <v>https://www.amazon.com/Fluke-TL223-SureGrip-Electrical-Test/dp/B0000WU0BC/ref=sr_1_1?keywords=Fluke+TL223+SureGrip%E2%84%A2+Electrical+Test+Lead+Set&amp;qid=1695174242&amp;sr=8-1</v>
      </c>
      <c r="F4051" t="s">
        <v>8516</v>
      </c>
      <c r="G4051" t="e">
        <f ca="1">_xludf.IMAGE("https://edmondsonsupply.com/cdn/shop/products/223.png?v=1633540843")</f>
        <v>#NAME?</v>
      </c>
      <c r="H4051" t="e">
        <f ca="1">_xludf.IMAGE("https://m.media-amazon.com/images/I/510-LG82JfL._AC_UY218_.jpg")</f>
        <v>#NAME?</v>
      </c>
      <c r="I4051" t="s">
        <v>8517</v>
      </c>
      <c r="J4051">
        <v>94.99</v>
      </c>
      <c r="K4051" s="4">
        <v>-8.48E-2</v>
      </c>
      <c r="L4051">
        <v>4.8</v>
      </c>
      <c r="M4051">
        <v>66</v>
      </c>
      <c r="O4051" t="s">
        <v>25</v>
      </c>
      <c r="P4051" t="s">
        <v>138</v>
      </c>
      <c r="Q4051" t="s">
        <v>8518</v>
      </c>
    </row>
    <row r="4052" spans="1:17" ht="15.5" x14ac:dyDescent="0.35">
      <c r="A4052"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052"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052" t="s">
        <v>8519</v>
      </c>
      <c r="D4052" t="s">
        <v>6941</v>
      </c>
      <c r="E4052" s="3" t="str">
        <f>HYPERLINK("https://www.amazon.com/Diablo-Freud-DOU125CF3-Universal-Oscillating/dp/B089LKXD7L/ref=sr_1_8?keywords=Diablo+Tools+DOU125JBW3+1-1%2F4+in.+Universal+Fit+Bi-Metal+Oscillating+Blades+for+Clean+Wood&amp;qid=1695174271&amp;sr=8-8", "https://www.amazon.com/Diablo-Freud-DOU125CF3-Universal-Oscillating/dp/B089LKXD7L/ref=sr_1_8?keywords=Diablo+Tools+DOU125JBW3+1-1%2F4+in.+Universal+Fit+Bi-Metal+Oscillating+Blades+for+Clean+Wood&amp;qid=1695174271&amp;sr=8-8")</f>
        <v>https://www.amazon.com/Diablo-Freud-DOU125CF3-Universal-Oscillating/dp/B089LKXD7L/ref=sr_1_8?keywords=Diablo+Tools+DOU125JBW3+1-1%2F4+in.+Universal+Fit+Bi-Metal+Oscillating+Blades+for+Clean+Wood&amp;qid=1695174271&amp;sr=8-8</v>
      </c>
      <c r="F4052" t="s">
        <v>6942</v>
      </c>
      <c r="G4052" t="e">
        <f ca="1">_xludf.IMAGE("https://edmondsonsupply.com/cdn/shop/products/DOU125JBW3_Main-Image.png?v=1633031095")</f>
        <v>#NAME?</v>
      </c>
      <c r="H4052" t="e">
        <f ca="1">_xludf.IMAGE("https://m.media-amazon.com/images/I/71izb0UUOkL._AC_UL320_.jpg")</f>
        <v>#NAME?</v>
      </c>
      <c r="I4052" t="s">
        <v>340</v>
      </c>
      <c r="J4052">
        <v>32</v>
      </c>
      <c r="K4052" s="4">
        <v>-8.4900000000000003E-2</v>
      </c>
      <c r="L4052">
        <v>4.5</v>
      </c>
      <c r="M4052">
        <v>164</v>
      </c>
      <c r="O4052" t="s">
        <v>25</v>
      </c>
      <c r="P4052" t="s">
        <v>8520</v>
      </c>
      <c r="Q4052" t="s">
        <v>8521</v>
      </c>
    </row>
    <row r="4053" spans="1:17" ht="15.5" x14ac:dyDescent="0.35">
      <c r="A4053"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053"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053" t="s">
        <v>8522</v>
      </c>
      <c r="D4053" t="s">
        <v>6941</v>
      </c>
      <c r="E4053" s="3" t="str">
        <f>HYPERLINK("https://www.amazon.com/Diablo-Freud-DOU125CF3-Universal-Oscillating/dp/B089LKXD7L/ref=sr_1_7?keywords=Diablo+Tools+DOU125BF3+1-1%2F4+in.+Universal+Fit+Bi-Metal+Oscillating+Blade+for+Metal+%283+pack%29&amp;qid=1695174014&amp;sr=8-7", "https://www.amazon.com/Diablo-Freud-DOU125CF3-Universal-Oscillating/dp/B089LKXD7L/ref=sr_1_7?keywords=Diablo+Tools+DOU125BF3+1-1%2F4+in.+Universal+Fit+Bi-Metal+Oscillating+Blade+for+Metal+%283+pack%29&amp;qid=1695174014&amp;sr=8-7")</f>
        <v>https://www.amazon.com/Diablo-Freud-DOU125CF3-Universal-Oscillating/dp/B089LKXD7L/ref=sr_1_7?keywords=Diablo+Tools+DOU125BF3+1-1%2F4+in.+Universal+Fit+Bi-Metal+Oscillating+Blade+for+Metal+%283+pack%29&amp;qid=1695174014&amp;sr=8-7</v>
      </c>
      <c r="F4053" t="s">
        <v>6942</v>
      </c>
      <c r="G4053" t="e">
        <f ca="1">_xludf.IMAGE("https://edmondsonsupply.com/cdn/shop/files/k1d1qiwmm4npznsdbwtg_4dc7bdf3-43a4-4863-8a1d-f71b60bc7c6d.webp?v=1685468179")</f>
        <v>#NAME?</v>
      </c>
      <c r="H4053" t="e">
        <f ca="1">_xludf.IMAGE("https://m.media-amazon.com/images/I/71izb0UUOkL._AC_UL320_.jpg")</f>
        <v>#NAME?</v>
      </c>
      <c r="I4053" t="s">
        <v>340</v>
      </c>
      <c r="J4053">
        <v>32</v>
      </c>
      <c r="K4053" s="4">
        <v>-8.4900000000000003E-2</v>
      </c>
      <c r="L4053">
        <v>4.5</v>
      </c>
      <c r="M4053">
        <v>164</v>
      </c>
      <c r="O4053" t="s">
        <v>25</v>
      </c>
      <c r="P4053" t="s">
        <v>8520</v>
      </c>
      <c r="Q4053" t="s">
        <v>8523</v>
      </c>
    </row>
    <row r="4054" spans="1:17" ht="15.5" x14ac:dyDescent="0.35">
      <c r="A4054"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4054" s="3" t="str">
        <f>HYPERLINK("https://edmondsonsupply.com/products/diablo-tools-dag3070-3-4-in-x-17-1-2-in-auger-bit", "https://edmondsonsupply.com/products/diablo-tools-dag3070-3-4-in-x-17-1-2-in-auger-bit")</f>
        <v>https://edmondsonsupply.com/products/diablo-tools-dag3070-3-4-in-x-17-1-2-in-auger-bit</v>
      </c>
      <c r="C4054" t="s">
        <v>7783</v>
      </c>
      <c r="D4054" t="s">
        <v>7408</v>
      </c>
      <c r="E4054" s="3" t="str">
        <f>HYPERLINK("https://www.amazon.com/Diablo-Freud-DAG3010-17-1-Auger/dp/B089KY885C/ref=sr_1_8?keywords=Diablo+Tools+DAG3070+3%2F4+in.+x+17-1%2F2+in.+Auger+Bit&amp;qid=1695174104&amp;sr=8-8", "https://www.amazon.com/Diablo-Freud-DAG3010-17-1-Auger/dp/B089KY885C/ref=sr_1_8?keywords=Diablo+Tools+DAG3070+3%2F4+in.+x+17-1%2F2+in.+Auger+Bit&amp;qid=1695174104&amp;sr=8-8")</f>
        <v>https://www.amazon.com/Diablo-Freud-DAG3010-17-1-Auger/dp/B089KY885C/ref=sr_1_8?keywords=Diablo+Tools+DAG3070+3%2F4+in.+x+17-1%2F2+in.+Auger+Bit&amp;qid=1695174104&amp;sr=8-8</v>
      </c>
      <c r="F4054" t="s">
        <v>7409</v>
      </c>
      <c r="G4054" t="e">
        <f ca="1">_xludf.IMAGE("https://edmondsonsupply.com/cdn/shop/products/ljatbudptj8xmo1m7sg7.webp?v=1669994151")</f>
        <v>#NAME?</v>
      </c>
      <c r="H4054" t="e">
        <f ca="1">_xludf.IMAGE("https://m.media-amazon.com/images/I/61cpdlwqiHL._AC_UL320_.jpg")</f>
        <v>#NAME?</v>
      </c>
      <c r="I4054" t="s">
        <v>3472</v>
      </c>
      <c r="J4054">
        <v>21.95</v>
      </c>
      <c r="K4054" s="4">
        <v>-8.5000000000000006E-2</v>
      </c>
      <c r="L4054">
        <v>4.5</v>
      </c>
      <c r="M4054">
        <v>4</v>
      </c>
      <c r="O4054" t="s">
        <v>25</v>
      </c>
      <c r="P4054" t="s">
        <v>7784</v>
      </c>
      <c r="Q4054" t="s">
        <v>7785</v>
      </c>
    </row>
    <row r="4055" spans="1:17" ht="15.5" x14ac:dyDescent="0.35">
      <c r="A4055"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4055"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4055" t="s">
        <v>7206</v>
      </c>
      <c r="D4055" t="s">
        <v>5071</v>
      </c>
      <c r="E4055" s="3" t="str">
        <f>HYPERLINK("https://www.amazon.com/Milwaukee-Mid-Torque-Lithium-Ion-Brushless-Batteries/dp/B09SJ6THNK/ref=sr_1_4?keywords=Milwaukee+2960-22+M18+FUEL%E2%84%A2+3%2F8+%22+Mid-Torque+Impact+Wrench+w%2F+Friction+Ring+Kit&amp;qid=1695174167&amp;sr=8-4", "https://www.amazon.com/Milwaukee-Mid-Torque-Lithium-Ion-Brushless-Batteries/dp/B09SJ6THNK/ref=sr_1_4?keywords=Milwaukee+2960-22+M18+FUEL%E2%84%A2+3%2F8+%22+Mid-Torque+Impact+Wrench+w%2F+Friction+Ring+Kit&amp;qid=1695174167&amp;sr=8-4")</f>
        <v>https://www.amazon.com/Milwaukee-Mid-Torque-Lithium-Ion-Brushless-Batteries/dp/B09SJ6THNK/ref=sr_1_4?keywords=Milwaukee+2960-22+M18+FUEL%E2%84%A2+3%2F8+%22+Mid-Torque+Impact+Wrench+w%2F+Friction+Ring+Kit&amp;qid=1695174167&amp;sr=8-4</v>
      </c>
      <c r="F4055" t="s">
        <v>5072</v>
      </c>
      <c r="G4055" t="e">
        <f ca="1">_xludf.IMAGE("https://edmondsonsupply.com/cdn/shop/products/2960-22_Kit_1.png?v=1661616340")</f>
        <v>#NAME?</v>
      </c>
      <c r="H4055" t="e">
        <f ca="1">_xludf.IMAGE("https://m.media-amazon.com/images/I/71kKMvvnS+L._AC_UL320_.jpg")</f>
        <v>#NAME?</v>
      </c>
      <c r="I4055" t="s">
        <v>4404</v>
      </c>
      <c r="J4055">
        <v>419.9</v>
      </c>
      <c r="K4055" s="4">
        <v>-8.5199999999999998E-2</v>
      </c>
      <c r="L4055">
        <v>4.7</v>
      </c>
      <c r="M4055">
        <v>102</v>
      </c>
      <c r="O4055" t="s">
        <v>25</v>
      </c>
      <c r="P4055" t="s">
        <v>7209</v>
      </c>
      <c r="Q4055" t="s">
        <v>7210</v>
      </c>
    </row>
    <row r="4056" spans="1:17" ht="15.5" x14ac:dyDescent="0.35">
      <c r="A4056" s="3" t="str">
        <f>HYPERLINK("https://edmondsonsupply.com/collections/electricians-tools/products/milwaukee-2962p-22-m18-fuel%E2%84%A2-1-2-mid-torque-impact-wrench-w-pin-detent-kit", "https://edmondsonsupply.com/collections/electricians-tools/products/milwaukee-2962p-22-m18-fuel%E2%84%A2-1-2-mid-torque-impact-wrench-w-pin-detent-kit")</f>
        <v>https://edmondsonsupply.com/collections/electricians-tools/products/milwaukee-2962p-22-m18-fuel%E2%84%A2-1-2-mid-torque-impact-wrench-w-pin-detent-kit</v>
      </c>
      <c r="B4056" s="3" t="str">
        <f>HYPERLINK("https://edmondsonsupply.com/products/milwaukee-2962p-22-m18-fuel%e2%84%a2-1-2-mid-torque-impact-wrench-w-pin-detent-kit", "https://edmondsonsupply.com/products/milwaukee-2962p-22-m18-fuel%e2%84%a2-1-2-mid-torque-impact-wrench-w-pin-detent-kit")</f>
        <v>https://edmondsonsupply.com/products/milwaukee-2962p-22-m18-fuel%e2%84%a2-1-2-mid-torque-impact-wrench-w-pin-detent-kit</v>
      </c>
      <c r="C4056" t="s">
        <v>4401</v>
      </c>
      <c r="D4056" t="s">
        <v>5071</v>
      </c>
      <c r="E4056" s="3" t="str">
        <f>HYPERLINK("https://www.amazon.com/Milwaukee-Mid-Torque-Lithium-Ion-Brushless-Batteries/dp/B09SJ6THNK/ref=sr_1_4?keywords=Milwaukee+2962P-22+M18+FUEL%E2%84%A2+1%2F2+%22+Mid-Torque+Impact+Wrench+w%2F+Pin+Detent+Kit&amp;qid=1695173981&amp;sr=8-4", "https://www.amazon.com/Milwaukee-Mid-Torque-Lithium-Ion-Brushless-Batteries/dp/B09SJ6THNK/ref=sr_1_4?keywords=Milwaukee+2962P-22+M18+FUEL%E2%84%A2+1%2F2+%22+Mid-Torque+Impact+Wrench+w%2F+Pin+Detent+Kit&amp;qid=1695173981&amp;sr=8-4")</f>
        <v>https://www.amazon.com/Milwaukee-Mid-Torque-Lithium-Ion-Brushless-Batteries/dp/B09SJ6THNK/ref=sr_1_4?keywords=Milwaukee+2962P-22+M18+FUEL%E2%84%A2+1%2F2+%22+Mid-Torque+Impact+Wrench+w%2F+Pin+Detent+Kit&amp;qid=1695173981&amp;sr=8-4</v>
      </c>
      <c r="F4056" t="s">
        <v>5072</v>
      </c>
      <c r="G4056" t="e">
        <f ca="1">_xludf.IMAGE("https://edmondsonsupply.com/cdn/shop/files/2962P-22_Kit_1.png?v=1690295413")</f>
        <v>#NAME?</v>
      </c>
      <c r="H4056" t="e">
        <f ca="1">_xludf.IMAGE("https://m.media-amazon.com/images/I/71kKMvvnS+L._AC_UL320_.jpg")</f>
        <v>#NAME?</v>
      </c>
      <c r="I4056" t="s">
        <v>4404</v>
      </c>
      <c r="J4056">
        <v>419.9</v>
      </c>
      <c r="K4056" s="4">
        <v>-8.5199999999999998E-2</v>
      </c>
      <c r="L4056">
        <v>4.7</v>
      </c>
      <c r="M4056">
        <v>102</v>
      </c>
      <c r="O4056" t="s">
        <v>25</v>
      </c>
      <c r="P4056" t="s">
        <v>4405</v>
      </c>
      <c r="Q4056" t="s">
        <v>4406</v>
      </c>
    </row>
    <row r="4057" spans="1:17" ht="15.5" x14ac:dyDescent="0.35">
      <c r="A4057"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4057" s="3" t="str">
        <f>HYPERLINK("https://edmondsonsupply.com/products/diablo-tools-d0624x-6-1-2-in-24-tooth-framing-saw-blade", "https://edmondsonsupply.com/products/diablo-tools-d0624x-6-1-2-in-24-tooth-framing-saw-blade")</f>
        <v>https://edmondsonsupply.com/products/diablo-tools-d0624x-6-1-2-in-24-tooth-framing-saw-blade</v>
      </c>
      <c r="C4057" t="s">
        <v>6070</v>
      </c>
      <c r="D4057" t="s">
        <v>8524</v>
      </c>
      <c r="E4057" s="3" t="str">
        <f>HYPERLINK("https://www.amazon.com/D0624X-Diablo-2-Inch-24-Tooth-Framing/dp/B00008WQ2P/ref=sr_1_1?keywords=Diablo+Tools+D0624X+6-1%2F2+in.+24-Tooth+Framing+Saw+Blade&amp;qid=1695174066&amp;sr=8-1", "https://www.amazon.com/D0624X-Diablo-2-Inch-24-Tooth-Framing/dp/B00008WQ2P/ref=sr_1_1?keywords=Diablo+Tools+D0624X+6-1%2F2+in.+24-Tooth+Framing+Saw+Blade&amp;qid=1695174066&amp;sr=8-1")</f>
        <v>https://www.amazon.com/D0624X-Diablo-2-Inch-24-Tooth-Framing/dp/B00008WQ2P/ref=sr_1_1?keywords=Diablo+Tools+D0624X+6-1%2F2+in.+24-Tooth+Framing+Saw+Blade&amp;qid=1695174066&amp;sr=8-1</v>
      </c>
      <c r="F4057" t="s">
        <v>8525</v>
      </c>
      <c r="G4057" t="e">
        <f ca="1">_xludf.IMAGE("https://edmondsonsupply.com/cdn/shop/products/mfin0gl4ono6qztsnrth.webp?v=1678982694")</f>
        <v>#NAME?</v>
      </c>
      <c r="H4057" t="e">
        <f ca="1">_xludf.IMAGE("https://m.media-amazon.com/images/I/710QLWtKtLL._AC_UL320_.jpg")</f>
        <v>#NAME?</v>
      </c>
      <c r="I4057" t="s">
        <v>6073</v>
      </c>
      <c r="J4057">
        <v>10.94</v>
      </c>
      <c r="K4057" s="4">
        <v>-8.5999999999999993E-2</v>
      </c>
      <c r="L4057">
        <v>4.8</v>
      </c>
      <c r="M4057">
        <v>1501</v>
      </c>
      <c r="O4057" t="s">
        <v>25</v>
      </c>
      <c r="P4057" t="s">
        <v>6074</v>
      </c>
      <c r="Q4057" t="s">
        <v>6075</v>
      </c>
    </row>
    <row r="4058" spans="1:17" ht="15.5" x14ac:dyDescent="0.35">
      <c r="A4058"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4058"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4058" t="s">
        <v>8170</v>
      </c>
      <c r="D4058" t="s">
        <v>8526</v>
      </c>
      <c r="E4058" s="3" t="str">
        <f>HYPERLINK("https://www.amazon.com/Klein-Tools-2288RINS-Insulated-Induction/dp/B0BG1JPVMM/ref=sr_1_1?keywords=Klein+Tools+2288RINS+Diagonal+Cutting+Pliers%2C+Insulated%2C+High+Leverage%2C+8-Inch&amp;qid=1695174127&amp;sr=8-1", "https://www.amazon.com/Klein-Tools-2288RINS-Insulated-Induction/dp/B0BG1JPVMM/ref=sr_1_1?keywords=Klein+Tools+2288RINS+Diagonal+Cutting+Pliers%2C+Insulated%2C+High+Leverage%2C+8-Inch&amp;qid=1695174127&amp;sr=8-1")</f>
        <v>https://www.amazon.com/Klein-Tools-2288RINS-Insulated-Induction/dp/B0BG1JPVMM/ref=sr_1_1?keywords=Klein+Tools+2288RINS+Diagonal+Cutting+Pliers%2C+Insulated%2C+High+Leverage%2C+8-Inch&amp;qid=1695174127&amp;sr=8-1</v>
      </c>
      <c r="F4058" t="s">
        <v>8527</v>
      </c>
      <c r="G4058" t="e">
        <f ca="1">_xludf.IMAGE("https://edmondsonsupply.com/cdn/shop/products/2288rins.jpg?v=1667238570")</f>
        <v>#NAME?</v>
      </c>
      <c r="H4058" t="e">
        <f ca="1">_xludf.IMAGE("https://m.media-amazon.com/images/I/41AzeY3t1LL._AC_UL320_.jpg")</f>
        <v>#NAME?</v>
      </c>
      <c r="I4058" t="s">
        <v>246</v>
      </c>
      <c r="J4058">
        <v>36.49</v>
      </c>
      <c r="K4058" s="4">
        <v>-8.7099999999999997E-2</v>
      </c>
      <c r="L4058">
        <v>4.5999999999999996</v>
      </c>
      <c r="M4058">
        <v>55</v>
      </c>
      <c r="O4058" t="s">
        <v>25</v>
      </c>
      <c r="P4058" t="s">
        <v>1027</v>
      </c>
      <c r="Q4058" t="s">
        <v>8171</v>
      </c>
    </row>
    <row r="4059" spans="1:17" ht="15.5" x14ac:dyDescent="0.35">
      <c r="A4059" s="3" t="str">
        <f>HYPERLINK("https://edmondsonsupply.com/collections/electricians-tools/products/fluke-179-true-rms-digital-multimeter", "https://edmondsonsupply.com/collections/electricians-tools/products/fluke-179-true-rms-digital-multimeter")</f>
        <v>https://edmondsonsupply.com/collections/electricians-tools/products/fluke-179-true-rms-digital-multimeter</v>
      </c>
      <c r="B4059" s="3" t="str">
        <f>HYPERLINK("https://edmondsonsupply.com/products/fluke-179-true-rms-digital-multimeter", "https://edmondsonsupply.com/products/fluke-179-true-rms-digital-multimeter")</f>
        <v>https://edmondsonsupply.com/products/fluke-179-true-rms-digital-multimeter</v>
      </c>
      <c r="C4059" t="s">
        <v>7311</v>
      </c>
      <c r="D4059" t="s">
        <v>8528</v>
      </c>
      <c r="E4059" s="3" t="str">
        <f>HYPERLINK("https://www.amazon.com/Fluke-177-ESFP-Digital-Multimeter/dp/B005WFW26S/ref=sr_1_3?keywords=Fluke+179+True-RMS+Digital+Multimeter&amp;qid=1695174291&amp;sr=8-3", "https://www.amazon.com/Fluke-177-ESFP-Digital-Multimeter/dp/B005WFW26S/ref=sr_1_3?keywords=Fluke+179+True-RMS+Digital+Multimeter&amp;qid=1695174291&amp;sr=8-3")</f>
        <v>https://www.amazon.com/Fluke-177-ESFP-Digital-Multimeter/dp/B005WFW26S/ref=sr_1_3?keywords=Fluke+179+True-RMS+Digital+Multimeter&amp;qid=1695174291&amp;sr=8-3</v>
      </c>
      <c r="F4059" t="s">
        <v>8529</v>
      </c>
      <c r="G4059" t="e">
        <f ca="1">_xludf.IMAGE("https://edmondsonsupply.com/cdn/shop/products/e0021116_431x600_31fa1fdc-90ee-45e4-8560-4be681a24cfe.jpg?v=1633030926")</f>
        <v>#NAME?</v>
      </c>
      <c r="H4059" t="e">
        <f ca="1">_xludf.IMAGE("https://m.media-amazon.com/images/I/81+6ClCEkYL._AC_UL320_.jpg")</f>
        <v>#NAME?</v>
      </c>
      <c r="I4059" t="s">
        <v>7314</v>
      </c>
      <c r="J4059">
        <v>359.73</v>
      </c>
      <c r="K4059" s="4">
        <v>-8.7400000000000005E-2</v>
      </c>
      <c r="L4059">
        <v>4.5</v>
      </c>
      <c r="M4059">
        <v>143</v>
      </c>
      <c r="O4059" t="s">
        <v>171</v>
      </c>
      <c r="P4059" t="s">
        <v>7315</v>
      </c>
      <c r="Q4059" t="s">
        <v>7316</v>
      </c>
    </row>
    <row r="4060" spans="1:17" ht="15.5" x14ac:dyDescent="0.35">
      <c r="A4060" s="3" t="str">
        <f>HYPERLINK("https://edmondsonsupply.com/collections/electricians-tools/products/klein-tools-9230-tape-measure-30-foot-magnetic-double-hook", "https://edmondsonsupply.com/collections/electricians-tools/products/klein-tools-9230-tape-measure-30-foot-magnetic-double-hook")</f>
        <v>https://edmondsonsupply.com/collections/electricians-tools/products/klein-tools-9230-tape-measure-30-foot-magnetic-double-hook</v>
      </c>
      <c r="B4060" s="3" t="str">
        <f>HYPERLINK("https://edmondsonsupply.com/products/klein-tools-9230-tape-measure-30-foot-magnetic-double-hook", "https://edmondsonsupply.com/products/klein-tools-9230-tape-measure-30-foot-magnetic-double-hook")</f>
        <v>https://edmondsonsupply.com/products/klein-tools-9230-tape-measure-30-foot-magnetic-double-hook</v>
      </c>
      <c r="C4060" t="s">
        <v>5073</v>
      </c>
      <c r="D4060" t="s">
        <v>5074</v>
      </c>
      <c r="E4060" s="3" t="str">
        <f>HYPERLINK("https://www.amazon.com/Klein-Tools-Magnetic-Double-Hook-9230KLE/dp/B07WD63HT7/ref=sr_1_1?keywords=Klein+Tools+9230+Tape+Measure%2C+30-Foot+Magnetic+Double-Hook&amp;qid=1695173934&amp;sr=8-1", "https://www.amazon.com/Klein-Tools-Magnetic-Double-Hook-9230KLE/dp/B07WD63HT7/ref=sr_1_1?keywords=Klein+Tools+9230+Tape+Measure%2C+30-Foot+Magnetic+Double-Hook&amp;qid=1695173934&amp;sr=8-1")</f>
        <v>https://www.amazon.com/Klein-Tools-Magnetic-Double-Hook-9230KLE/dp/B07WD63HT7/ref=sr_1_1?keywords=Klein+Tools+9230+Tape+Measure%2C+30-Foot+Magnetic+Double-Hook&amp;qid=1695173934&amp;sr=8-1</v>
      </c>
      <c r="F4060" t="s">
        <v>5075</v>
      </c>
      <c r="G4060" t="e">
        <f ca="1">_xludf.IMAGE("https://edmondsonsupply.com/cdn/shop/products/9230_photo.jpg?v=1587150845")</f>
        <v>#NAME?</v>
      </c>
      <c r="H4060" t="e">
        <f ca="1">_xludf.IMAGE("https://m.media-amazon.com/images/I/51s8pyLU6TL._AC_UL320_.jpg")</f>
        <v>#NAME?</v>
      </c>
      <c r="I4060" t="s">
        <v>4310</v>
      </c>
      <c r="J4060">
        <v>30.99</v>
      </c>
      <c r="K4060" s="4">
        <v>-8.8300000000000003E-2</v>
      </c>
      <c r="L4060">
        <v>4.5999999999999996</v>
      </c>
      <c r="M4060">
        <v>465</v>
      </c>
      <c r="O4060" t="s">
        <v>25</v>
      </c>
      <c r="P4060" t="s">
        <v>5076</v>
      </c>
      <c r="Q4060" t="s">
        <v>5077</v>
      </c>
    </row>
    <row r="4061" spans="1:17" ht="15.5" x14ac:dyDescent="0.35">
      <c r="A4061"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4061"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4061" t="s">
        <v>7067</v>
      </c>
      <c r="D4061" t="s">
        <v>7541</v>
      </c>
      <c r="E4061" s="3" t="str">
        <f>HYPERLINK("https://www.amazon.com/Diablo-DOU350RBGP-Universal-Bi-Metal-Oscillating/dp/B089LLG8ZQ/ref=sr_1_8?keywords=Diablo+Tools+DOU250BW+2-1%2F2+in.+Universal+Fit+Bi-Metal+Oscillating+Blade+for+Nail-Embedded+Wood&amp;qid=1695174021&amp;sr=8-8", "https://www.amazon.com/Diablo-DOU350RBGP-Universal-Bi-Metal-Oscillating/dp/B089LLG8ZQ/ref=sr_1_8?keywords=Diablo+Tools+DOU250BW+2-1%2F2+in.+Universal+Fit+Bi-Metal+Oscillating+Blade+for+Nail-Embedded+Wood&amp;qid=1695174021&amp;sr=8-8")</f>
        <v>https://www.amazon.com/Diablo-DOU350RBGP-Universal-Bi-Metal-Oscillating/dp/B089LLG8ZQ/ref=sr_1_8?keywords=Diablo+Tools+DOU250BW+2-1%2F2+in.+Universal+Fit+Bi-Metal+Oscillating+Blade+for+Nail-Embedded+Wood&amp;qid=1695174021&amp;sr=8-8</v>
      </c>
      <c r="F4061" t="s">
        <v>7542</v>
      </c>
      <c r="G4061" t="e">
        <f ca="1">_xludf.IMAGE("https://edmondsonsupply.com/cdn/shop/files/xcched1uye7bv2s0ryod.webp?v=1685717397")</f>
        <v>#NAME?</v>
      </c>
      <c r="H4061" t="e">
        <f ca="1">_xludf.IMAGE("https://m.media-amazon.com/images/I/71xBW7MA1oL._AC_UL320_.jpg")</f>
        <v>#NAME?</v>
      </c>
      <c r="I4061" t="s">
        <v>893</v>
      </c>
      <c r="J4061">
        <v>18.2</v>
      </c>
      <c r="K4061" s="4">
        <v>-8.8599999999999998E-2</v>
      </c>
      <c r="L4061">
        <v>4.4000000000000004</v>
      </c>
      <c r="M4061">
        <v>8</v>
      </c>
      <c r="O4061" t="s">
        <v>25</v>
      </c>
      <c r="P4061" t="s">
        <v>6936</v>
      </c>
      <c r="Q4061" t="s">
        <v>7068</v>
      </c>
    </row>
    <row r="4062" spans="1:17" ht="15.5" x14ac:dyDescent="0.35">
      <c r="A4062"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4062" s="3" t="str">
        <f>HYPERLINK("https://edmondsonsupply.com/products/klein-tools-646-1-4-1-4-inch-nut-driver-with-6-inch-hollow-shaft", "https://edmondsonsupply.com/products/klein-tools-646-1-4-1-4-inch-nut-driver-with-6-inch-hollow-shaft")</f>
        <v>https://edmondsonsupply.com/products/klein-tools-646-1-4-1-4-inch-nut-driver-with-6-inch-hollow-shaft</v>
      </c>
      <c r="C4062" t="s">
        <v>1478</v>
      </c>
      <c r="D4062" t="s">
        <v>5078</v>
      </c>
      <c r="E4062" s="3" t="str">
        <f>HYPERLINK("https://www.amazon.com/Klein-S8-4-Inch-Hollow-Shank-Driver/dp/B0000302VS/ref=sr_1_8?keywords=Klein+Tools+646-1%2F4+1%2F4-Inch+Nut+Driver+with+6-Inch+Hollow+Shaft&amp;qid=1695173897&amp;sr=8-8", "https://www.amazon.com/Klein-S8-4-Inch-Hollow-Shank-Driver/dp/B0000302VS/ref=sr_1_8?keywords=Klein+Tools+646-1%2F4+1%2F4-Inch+Nut+Driver+with+6-Inch+Hollow+Shaft&amp;qid=1695173897&amp;sr=8-8")</f>
        <v>https://www.amazon.com/Klein-S8-4-Inch-Hollow-Shank-Driver/dp/B0000302VS/ref=sr_1_8?keywords=Klein+Tools+646-1%2F4+1%2F4-Inch+Nut+Driver+with+6-Inch+Hollow+Shaft&amp;qid=1695173897&amp;sr=8-8</v>
      </c>
      <c r="F4062" t="s">
        <v>5079</v>
      </c>
      <c r="G4062" t="e">
        <f ca="1">_xludf.IMAGE("https://edmondsonsupply.com/cdn/shop/products/646-1-2_08d87fa9-eac4-4869-8d3b-bb680d4b1d53.jpg?v=1587150676")</f>
        <v>#NAME?</v>
      </c>
      <c r="H4062" t="e">
        <f ca="1">_xludf.IMAGE("https://m.media-amazon.com/images/I/41LI6wTa36L._AC_UL320_.jpg")</f>
        <v>#NAME?</v>
      </c>
      <c r="I4062" t="s">
        <v>1003</v>
      </c>
      <c r="J4062">
        <v>7.28</v>
      </c>
      <c r="K4062" s="4">
        <v>-8.8900000000000007E-2</v>
      </c>
      <c r="L4062">
        <v>4.5</v>
      </c>
      <c r="M4062">
        <v>225</v>
      </c>
      <c r="O4062" t="s">
        <v>25</v>
      </c>
      <c r="P4062" t="s">
        <v>1481</v>
      </c>
      <c r="Q4062" t="s">
        <v>1482</v>
      </c>
    </row>
    <row r="4063" spans="1:17" ht="15.5" x14ac:dyDescent="0.35">
      <c r="A4063"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063" s="3" t="str">
        <f>HYPERLINK("https://edmondsonsupply.com/products/klein-tools-635-1-4-1-4-inch-nut-driver-magnetic-tip-4-inch-shaft", "https://edmondsonsupply.com/products/klein-tools-635-1-4-1-4-inch-nut-driver-magnetic-tip-4-inch-shaft")</f>
        <v>https://edmondsonsupply.com/products/klein-tools-635-1-4-1-4-inch-nut-driver-magnetic-tip-4-inch-shaft</v>
      </c>
      <c r="C4063" t="s">
        <v>6817</v>
      </c>
      <c r="D4063" t="s">
        <v>3438</v>
      </c>
      <c r="E4063" s="3" t="str">
        <f>HYPERLINK("https://www.amazon.com/4-Inch-Magnetic-Cushion-Klein-Tools/dp/B01D6DZRFA/ref=sr_1_1?keywords=Klein+Tools+635-1%2F4+1%2F4-Inch+Nut+Driver%2C+Magnetic+Tip%2C+4-Inch+Shaft&amp;qid=1695174156&amp;sr=8-1", "https://www.amazon.com/4-Inch-Magnetic-Cushion-Klein-Tools/dp/B01D6DZRFA/ref=sr_1_1?keywords=Klein+Tools+635-1%2F4+1%2F4-Inch+Nut+Driver%2C+Magnetic+Tip%2C+4-Inch+Shaft&amp;qid=1695174156&amp;sr=8-1")</f>
        <v>https://www.amazon.com/4-Inch-Magnetic-Cushion-Klein-Tools/dp/B01D6DZRFA/ref=sr_1_1?keywords=Klein+Tools+635-1%2F4+1%2F4-Inch+Nut+Driver%2C+Magnetic+Tip%2C+4-Inch+Shaft&amp;qid=1695174156&amp;sr=8-1</v>
      </c>
      <c r="F4063" t="s">
        <v>3439</v>
      </c>
      <c r="G4063" t="e">
        <f ca="1">_xludf.IMAGE("https://edmondsonsupply.com/cdn/shop/products/635-1-4.jpg?v=1666811523")</f>
        <v>#NAME?</v>
      </c>
      <c r="H4063" t="e">
        <f ca="1">_xludf.IMAGE("https://m.media-amazon.com/images/I/41DrStZKvjL._AC_UL320_.jpg")</f>
        <v>#NAME?</v>
      </c>
      <c r="I4063" t="s">
        <v>2337</v>
      </c>
      <c r="J4063">
        <v>10.91</v>
      </c>
      <c r="K4063" s="4">
        <v>-9.01E-2</v>
      </c>
      <c r="L4063">
        <v>4.7</v>
      </c>
      <c r="M4063">
        <v>971</v>
      </c>
      <c r="O4063" t="s">
        <v>25</v>
      </c>
      <c r="P4063" t="s">
        <v>1212</v>
      </c>
      <c r="Q4063" t="s">
        <v>6818</v>
      </c>
    </row>
    <row r="4064" spans="1:17" ht="15.5" x14ac:dyDescent="0.35">
      <c r="A4064" s="3" t="str">
        <f>HYPERLINK("https://edmondsonsupply.com/collections/electricians-tools/products/channellock-87", "https://edmondsonsupply.com/collections/electricians-tools/products/channellock-87")</f>
        <v>https://edmondsonsupply.com/collections/electricians-tools/products/channellock-87</v>
      </c>
      <c r="B4064" s="3" t="str">
        <f>HYPERLINK("https://edmondsonsupply.com/products/channellock-87", "https://edmondsonsupply.com/products/channellock-87")</f>
        <v>https://edmondsonsupply.com/products/channellock-87</v>
      </c>
      <c r="C4064" t="s">
        <v>5085</v>
      </c>
      <c r="D4064" t="s">
        <v>5086</v>
      </c>
      <c r="E4064" s="3" t="str">
        <f>HYPERLINK("https://www.amazon.com/Channellock-86-Spring-Loaded-Compact/dp/B00X3WJ50S/ref=sr_1_2?keywords=Channellock+87+9%22+Rescue+Tool&amp;qid=1695173922&amp;sr=8-2", "https://www.amazon.com/Channellock-86-Spring-Loaded-Compact/dp/B00X3WJ50S/ref=sr_1_2?keywords=Channellock+87+9%22+Rescue+Tool&amp;qid=1695173922&amp;sr=8-2")</f>
        <v>https://www.amazon.com/Channellock-86-Spring-Loaded-Compact/dp/B00X3WJ50S/ref=sr_1_2?keywords=Channellock+87+9%22+Rescue+Tool&amp;qid=1695173922&amp;sr=8-2</v>
      </c>
      <c r="F4064" t="s">
        <v>5087</v>
      </c>
      <c r="G4064" t="e">
        <f ca="1">_xludf.IMAGE("https://edmondsonsupply.com/cdn/shop/products/87.png?v=1587151315")</f>
        <v>#NAME?</v>
      </c>
      <c r="H4064" t="e">
        <f ca="1">_xludf.IMAGE("https://m.media-amazon.com/images/I/7192vROD+kL._AC_UL320_.jpg")</f>
        <v>#NAME?</v>
      </c>
      <c r="I4064" t="s">
        <v>5088</v>
      </c>
      <c r="J4064">
        <v>49.99</v>
      </c>
      <c r="K4064" s="4">
        <v>-9.0300000000000005E-2</v>
      </c>
      <c r="L4064">
        <v>4.7</v>
      </c>
      <c r="M4064">
        <v>1031</v>
      </c>
      <c r="O4064" t="s">
        <v>25</v>
      </c>
      <c r="P4064" t="s">
        <v>5089</v>
      </c>
      <c r="Q4064" t="s">
        <v>5090</v>
      </c>
    </row>
    <row r="4065" spans="1:17" ht="15.5" x14ac:dyDescent="0.35">
      <c r="A4065" s="3" t="str">
        <f>HYPERLINK("https://edmondsonsupply.com/collections/electricians-tools/products/diablo-tools-d0536x-5-3-8-in-x-36-tooth-finish-trim-saw-blade", "https://edmondsonsupply.com/collections/electricians-tools/products/diablo-tools-d0536x-5-3-8-in-x-36-tooth-finish-trim-saw-blade")</f>
        <v>https://edmondsonsupply.com/collections/electricians-tools/products/diablo-tools-d0536x-5-3-8-in-x-36-tooth-finish-trim-saw-blade</v>
      </c>
      <c r="B4065" s="3" t="str">
        <f>HYPERLINK("https://edmondsonsupply.com/products/diablo-tools-d0536x-5-3-8-in-x-36-tooth-finish-trim-saw-blade", "https://edmondsonsupply.com/products/diablo-tools-d0536x-5-3-8-in-x-36-tooth-finish-trim-saw-blade")</f>
        <v>https://edmondsonsupply.com/products/diablo-tools-d0536x-5-3-8-in-x-36-tooth-finish-trim-saw-blade</v>
      </c>
      <c r="C4065" t="s">
        <v>6538</v>
      </c>
      <c r="D4065" t="s">
        <v>7813</v>
      </c>
      <c r="E4065" s="3" t="str">
        <f>HYPERLINK("https://www.amazon.com/Freud-D0436X-Cordless-20-Millimeter-Reducer/dp/B0002TUFAO/ref=sr_1_8?keywords=Diablo+Tools+D0536X+5-3%2F8+in.+x+36+Tooth+Finish+Trim+Saw+Blade&amp;qid=1695174052&amp;sr=8-8", "https://www.amazon.com/Freud-D0436X-Cordless-20-Millimeter-Reducer/dp/B0002TUFAO/ref=sr_1_8?keywords=Diablo+Tools+D0536X+5-3%2F8+in.+x+36+Tooth+Finish+Trim+Saw+Blade&amp;qid=1695174052&amp;sr=8-8")</f>
        <v>https://www.amazon.com/Freud-D0436X-Cordless-20-Millimeter-Reducer/dp/B0002TUFAO/ref=sr_1_8?keywords=Diablo+Tools+D0536X+5-3%2F8+in.+x+36+Tooth+Finish+Trim+Saw+Blade&amp;qid=1695174052&amp;sr=8-8</v>
      </c>
      <c r="F4065" t="s">
        <v>7814</v>
      </c>
      <c r="G4065" t="e">
        <f ca="1">_xludf.IMAGE("https://edmondsonsupply.com/cdn/shop/products/tlu1mfykudka2gxayxql.webp?v=1679326425")</f>
        <v>#NAME?</v>
      </c>
      <c r="H4065" t="e">
        <f ca="1">_xludf.IMAGE("https://m.media-amazon.com/images/I/81ODrvwzTbL._AC_UL320_.jpg")</f>
        <v>#NAME?</v>
      </c>
      <c r="I4065" t="s">
        <v>4985</v>
      </c>
      <c r="J4065">
        <v>15.43</v>
      </c>
      <c r="K4065" s="4">
        <v>-9.0700000000000003E-2</v>
      </c>
      <c r="L4065">
        <v>4.7</v>
      </c>
      <c r="M4065">
        <v>1258</v>
      </c>
      <c r="O4065" t="s">
        <v>25</v>
      </c>
      <c r="P4065" t="s">
        <v>6541</v>
      </c>
      <c r="Q4065" t="s">
        <v>6542</v>
      </c>
    </row>
    <row r="4066" spans="1:17" ht="15.5" x14ac:dyDescent="0.35">
      <c r="A4066"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4066" s="3" t="str">
        <f>HYPERLINK("https://edmondsonsupply.com/products/diablo-tools-dag3040-9-16-in-x-17-1-2-in-auger-bit", "https://edmondsonsupply.com/products/diablo-tools-dag3040-9-16-in-x-17-1-2-in-auger-bit")</f>
        <v>https://edmondsonsupply.com/products/diablo-tools-dag3040-9-16-in-x-17-1-2-in-auger-bit</v>
      </c>
      <c r="C4066" t="s">
        <v>7382</v>
      </c>
      <c r="D4066" t="s">
        <v>8476</v>
      </c>
      <c r="E4066" s="3" t="str">
        <f>HYPERLINK("https://www.amazon.com/Diablo-DAG3020-17-1-Auger-Bit/dp/B089LGWKFF/ref=sr_1_7?keywords=Diablo+Tools+DAG3040+9%2F16+in.+x+17-1%2F2+in.+Auger+Bit&amp;qid=1695174106&amp;sr=8-7", "https://www.amazon.com/Diablo-DAG3020-17-1-Auger-Bit/dp/B089LGWKFF/ref=sr_1_7?keywords=Diablo+Tools+DAG3040+9%2F16+in.+x+17-1%2F2+in.+Auger+Bit&amp;qid=1695174106&amp;sr=8-7")</f>
        <v>https://www.amazon.com/Diablo-DAG3020-17-1-Auger-Bit/dp/B089LGWKFF/ref=sr_1_7?keywords=Diablo+Tools+DAG3040+9%2F16+in.+x+17-1%2F2+in.+Auger+Bit&amp;qid=1695174106&amp;sr=8-7</v>
      </c>
      <c r="F4066" t="s">
        <v>8477</v>
      </c>
      <c r="G4066" t="e">
        <f ca="1">_xludf.IMAGE("https://edmondsonsupply.com/cdn/shop/products/fmfcptadhtney3owwa7y.webp?v=1669993222")</f>
        <v>#NAME?</v>
      </c>
      <c r="H4066" t="e">
        <f ca="1">_xludf.IMAGE("https://m.media-amazon.com/images/I/61XUUNTev0L._AC_UL320_.jpg")</f>
        <v>#NAME?</v>
      </c>
      <c r="I4066" t="s">
        <v>7383</v>
      </c>
      <c r="J4066">
        <v>16.21</v>
      </c>
      <c r="K4066" s="4">
        <v>-9.0899999999999995E-2</v>
      </c>
      <c r="L4066">
        <v>5</v>
      </c>
      <c r="M4066">
        <v>2</v>
      </c>
      <c r="O4066" t="s">
        <v>25</v>
      </c>
      <c r="P4066" t="s">
        <v>7384</v>
      </c>
      <c r="Q4066" t="s">
        <v>7385</v>
      </c>
    </row>
    <row r="4067" spans="1:17" ht="15.5" x14ac:dyDescent="0.35">
      <c r="A4067" s="3" t="str">
        <f>HYPERLINK("https://edmondsonsupply.com/collections/electricians-tools/products/klein-tools-69358-lead-adapters-20-foot", "https://edmondsonsupply.com/collections/electricians-tools/products/klein-tools-69358-lead-adapters-20-foot")</f>
        <v>https://edmondsonsupply.com/collections/electricians-tools/products/klein-tools-69358-lead-adapters-20-foot</v>
      </c>
      <c r="B4067" s="3" t="str">
        <f>HYPERLINK("https://edmondsonsupply.com/products/klein-tools-69358-lead-adapters-20-foot", "https://edmondsonsupply.com/products/klein-tools-69358-lead-adapters-20-foot")</f>
        <v>https://edmondsonsupply.com/products/klein-tools-69358-lead-adapters-20-foot</v>
      </c>
      <c r="C4067" t="s">
        <v>8530</v>
      </c>
      <c r="D4067" t="s">
        <v>8180</v>
      </c>
      <c r="E4067" s="3" t="str">
        <f>HYPERLINK("https://www.amazon.com/Klein-Tools-69359-Banana-Type-Connectors/dp/B0BN2HNCLV/ref=sr_1_2?keywords=Klein+Tools+69358+Lead+Adapters%2C+20-Foot&amp;qid=1695174080&amp;sr=8-2", "https://www.amazon.com/Klein-Tools-69359-Banana-Type-Connectors/dp/B0BN2HNCLV/ref=sr_1_2?keywords=Klein+Tools+69358+Lead+Adapters%2C+20-Foot&amp;qid=1695174080&amp;sr=8-2")</f>
        <v>https://www.amazon.com/Klein-Tools-69359-Banana-Type-Connectors/dp/B0BN2HNCLV/ref=sr_1_2?keywords=Klein+Tools+69358+Lead+Adapters%2C+20-Foot&amp;qid=1695174080&amp;sr=8-2</v>
      </c>
      <c r="F4067" t="s">
        <v>8181</v>
      </c>
      <c r="G4067" t="e">
        <f ca="1">_xludf.IMAGE("https://edmondsonsupply.com/cdn/shop/products/69358.jpg?v=1674489737")</f>
        <v>#NAME?</v>
      </c>
      <c r="H4067" t="e">
        <f ca="1">_xludf.IMAGE("https://m.media-amazon.com/images/I/51TpShexYpL._AC_UL320_.jpg")</f>
        <v>#NAME?</v>
      </c>
      <c r="I4067" t="s">
        <v>1158</v>
      </c>
      <c r="J4067">
        <v>19.989999999999998</v>
      </c>
      <c r="K4067" s="4">
        <v>-9.0999999999999998E-2</v>
      </c>
      <c r="L4067">
        <v>5</v>
      </c>
      <c r="M4067">
        <v>1</v>
      </c>
      <c r="O4067" t="s">
        <v>25</v>
      </c>
      <c r="P4067" t="s">
        <v>8531</v>
      </c>
      <c r="Q4067" t="s">
        <v>8532</v>
      </c>
    </row>
    <row r="4068" spans="1:17" ht="15.5" x14ac:dyDescent="0.35">
      <c r="A4068" s="3" t="str">
        <f>HYPERLINK("https://edmondsonsupply.com/collections/electricians-tools/products/klein-tools-56414-rechargeable-2-color-led-headlamp-with-adjustable-strap", "https://edmondsonsupply.com/collections/electricians-tools/products/klein-tools-56414-rechargeable-2-color-led-headlamp-with-adjustable-strap")</f>
        <v>https://edmondsonsupply.com/collections/electricians-tools/products/klein-tools-56414-rechargeable-2-color-led-headlamp-with-adjustable-strap</v>
      </c>
      <c r="B4068" s="3" t="str">
        <f>HYPERLINK("https://edmondsonsupply.com/products/klein-tools-56414-rechargeable-2-color-led-headlamp-with-adjustable-strap", "https://edmondsonsupply.com/products/klein-tools-56414-rechargeable-2-color-led-headlamp-with-adjustable-strap")</f>
        <v>https://edmondsonsupply.com/products/klein-tools-56414-rechargeable-2-color-led-headlamp-with-adjustable-strap</v>
      </c>
      <c r="C4068" t="s">
        <v>8533</v>
      </c>
      <c r="D4068" t="s">
        <v>8534</v>
      </c>
      <c r="E4068" s="3" t="str">
        <f>HYPERLINK("https://www.amazon.com/Klein-Tools-56414-Rechargeable-Floodlight/dp/B09482MPPZ/ref=sr_1_1?keywords=Klein+Tools+56414+Rechargeable+2-Color+LED+Headlamp+with+Adjustable+Strap&amp;qid=1695174150&amp;sr=8-1", "https://www.amazon.com/Klein-Tools-56414-Rechargeable-Floodlight/dp/B09482MPPZ/ref=sr_1_1?keywords=Klein+Tools+56414+Rechargeable+2-Color+LED+Headlamp+with+Adjustable+Strap&amp;qid=1695174150&amp;sr=8-1")</f>
        <v>https://www.amazon.com/Klein-Tools-56414-Rechargeable-Floodlight/dp/B09482MPPZ/ref=sr_1_1?keywords=Klein+Tools+56414+Rechargeable+2-Color+LED+Headlamp+with+Adjustable+Strap&amp;qid=1695174150&amp;sr=8-1</v>
      </c>
      <c r="F4068" t="s">
        <v>8535</v>
      </c>
      <c r="G4068" t="e">
        <f ca="1">_xludf.IMAGE("https://edmondsonsupply.com/cdn/shop/products/56414.jpg?v=1663954728")</f>
        <v>#NAME?</v>
      </c>
      <c r="H4068" t="e">
        <f ca="1">_xludf.IMAGE("https://m.media-amazon.com/images/I/51qWbdOxpNS._AC_UL320_.jpg")</f>
        <v>#NAME?</v>
      </c>
      <c r="I4068" t="s">
        <v>3359</v>
      </c>
      <c r="J4068">
        <v>49.97</v>
      </c>
      <c r="K4068" s="4">
        <v>-9.0999999999999998E-2</v>
      </c>
      <c r="L4068">
        <v>4.3</v>
      </c>
      <c r="M4068">
        <v>247</v>
      </c>
      <c r="O4068" t="s">
        <v>25</v>
      </c>
      <c r="P4068" t="s">
        <v>8536</v>
      </c>
      <c r="Q4068" t="s">
        <v>8537</v>
      </c>
    </row>
    <row r="4069" spans="1:17" ht="15.5" x14ac:dyDescent="0.35">
      <c r="A4069" s="3" t="str">
        <f>HYPERLINK("https://edmondsonsupply.com/collections/electricians-tools/products/klein-tools-85073ins-screwdriver-set-1000v-insulated-3-piece", "https://edmondsonsupply.com/collections/electricians-tools/products/klein-tools-85073ins-screwdriver-set-1000v-insulated-3-piece")</f>
        <v>https://edmondsonsupply.com/collections/electricians-tools/products/klein-tools-85073ins-screwdriver-set-1000v-insulated-3-piece</v>
      </c>
      <c r="B4069"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4069" t="s">
        <v>2244</v>
      </c>
      <c r="D4069" t="s">
        <v>5091</v>
      </c>
      <c r="E4069" s="3" t="str">
        <f>HYPERLINK("https://www.amazon.com/Klein-Tools-85073INS-Insulated-Screwdriver/dp/B0BF79WQZX/ref=sr_1_1?keywords=Klein+Tools+85073INS+Screwdriver+Set%2C+1000V+Insulated%2C+3-Piece&amp;qid=1695173857&amp;sr=8-1", "https://www.amazon.com/Klein-Tools-85073INS-Insulated-Screwdriver/dp/B0BF79WQZX/ref=sr_1_1?keywords=Klein+Tools+85073INS+Screwdriver+Set%2C+1000V+Insulated%2C+3-Piece&amp;qid=1695173857&amp;sr=8-1")</f>
        <v>https://www.amazon.com/Klein-Tools-85073INS-Insulated-Screwdriver/dp/B0BF79WQZX/ref=sr_1_1?keywords=Klein+Tools+85073INS+Screwdriver+Set%2C+1000V+Insulated%2C+3-Piece&amp;qid=1695173857&amp;sr=8-1</v>
      </c>
      <c r="F4069" t="s">
        <v>5092</v>
      </c>
      <c r="G4069" t="e">
        <f ca="1">_xludf.IMAGE("https://edmondsonsupply.com/cdn/shop/products/85073ins.jpg?v=1664890503")</f>
        <v>#NAME?</v>
      </c>
      <c r="H4069" t="e">
        <f ca="1">_xludf.IMAGE("https://m.media-amazon.com/images/I/51dL7msUIqL._AC_UL320_.jpg")</f>
        <v>#NAME?</v>
      </c>
      <c r="I4069" t="s">
        <v>2247</v>
      </c>
      <c r="J4069">
        <v>19.97</v>
      </c>
      <c r="K4069" s="4">
        <v>-9.0999999999999998E-2</v>
      </c>
      <c r="L4069">
        <v>4.9000000000000004</v>
      </c>
      <c r="M4069">
        <v>205</v>
      </c>
      <c r="O4069" t="s">
        <v>25</v>
      </c>
      <c r="P4069" t="s">
        <v>2158</v>
      </c>
      <c r="Q4069" t="s">
        <v>2248</v>
      </c>
    </row>
    <row r="4070" spans="1:17" ht="15.5" x14ac:dyDescent="0.35">
      <c r="A4070" s="3" t="str">
        <f>HYPERLINK("https://edmondsonsupply.com/collections/electricians-tools/products/channellock-432", "https://edmondsonsupply.com/collections/electricians-tools/products/channellock-432")</f>
        <v>https://edmondsonsupply.com/collections/electricians-tools/products/channellock-432</v>
      </c>
      <c r="B4070" s="3" t="str">
        <f>HYPERLINK("https://edmondsonsupply.com/products/channellock-432", "https://edmondsonsupply.com/products/channellock-432")</f>
        <v>https://edmondsonsupply.com/products/channellock-432</v>
      </c>
      <c r="C4070" t="s">
        <v>2472</v>
      </c>
      <c r="D4070" t="s">
        <v>3909</v>
      </c>
      <c r="E4070" s="3" t="str">
        <f>HYPERLINK("https://www.amazon.com/Channellock-430-Straight-Heat-Treated-Reinforcing/dp/B00002N5JF/ref=sr_1_6?keywords=Channellock+440+12%22+Straight+Jaw+Tongue+%26+Groove+Pliers&amp;qid=1695173955&amp;sr=8-6", "https://www.amazon.com/Channellock-430-Straight-Heat-Treated-Reinforcing/dp/B00002N5JF/ref=sr_1_6?keywords=Channellock+440+12%22+Straight+Jaw+Tongue+%26+Groove+Pliers&amp;qid=1695173955&amp;sr=8-6")</f>
        <v>https://www.amazon.com/Channellock-430-Straight-Heat-Treated-Reinforcing/dp/B00002N5JF/ref=sr_1_6?keywords=Channellock+440+12%22+Straight+Jaw+Tongue+%26+Groove+Pliers&amp;qid=1695173955&amp;sr=8-6</v>
      </c>
      <c r="F4070" t="s">
        <v>3910</v>
      </c>
      <c r="G4070" t="e">
        <f ca="1">_xludf.IMAGE("https://edmondsonsupply.com/cdn/shop/products/440-546x1024.jpg?v=1587148892")</f>
        <v>#NAME?</v>
      </c>
      <c r="H4070" t="e">
        <f ca="1">_xludf.IMAGE("https://m.media-amazon.com/images/I/71JqgqffnnL._AC_UL320_.jpg")</f>
        <v>#NAME?</v>
      </c>
      <c r="I4070" t="s">
        <v>2475</v>
      </c>
      <c r="J4070">
        <v>19.95</v>
      </c>
      <c r="K4070" s="4">
        <v>-9.11E-2</v>
      </c>
      <c r="L4070">
        <v>4.8</v>
      </c>
      <c r="M4070">
        <v>2191</v>
      </c>
      <c r="O4070" t="s">
        <v>25</v>
      </c>
      <c r="P4070" t="s">
        <v>2476</v>
      </c>
      <c r="Q4070" t="s">
        <v>2477</v>
      </c>
    </row>
    <row r="4071" spans="1:17" ht="15.5" x14ac:dyDescent="0.35">
      <c r="A4071"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4071" s="3" t="str">
        <f>HYPERLINK("https://edmondsonsupply.com/products/klein-tools-j203-8-pliers-needle-nose-side-cutters-8-inch", "https://edmondsonsupply.com/products/klein-tools-j203-8-pliers-needle-nose-side-cutters-8-inch")</f>
        <v>https://edmondsonsupply.com/products/klein-tools-j203-8-pliers-needle-nose-side-cutters-8-inch</v>
      </c>
      <c r="C4071" t="s">
        <v>6516</v>
      </c>
      <c r="D4071" t="s">
        <v>8538</v>
      </c>
      <c r="E4071" s="3" t="str">
        <f>HYPERLINK("https://www.amazon.com/J203-8N-Pliers-Side-Cutters-Stripping-8-Inch/dp/B0006M6Y9I/ref=sr_1_1?keywords=Klein+Tools+J203-8+Pliers%2C+Needle+Nose+Side-Cutters%2C+8-Inch&amp;qid=1695174221&amp;sr=8-1", "https://www.amazon.com/J203-8N-Pliers-Side-Cutters-Stripping-8-Inch/dp/B0006M6Y9I/ref=sr_1_1?keywords=Klein+Tools+J203-8+Pliers%2C+Needle+Nose+Side-Cutters%2C+8-Inch&amp;qid=1695174221&amp;sr=8-1")</f>
        <v>https://www.amazon.com/J203-8N-Pliers-Side-Cutters-Stripping-8-Inch/dp/B0006M6Y9I/ref=sr_1_1?keywords=Klein+Tools+J203-8+Pliers%2C+Needle+Nose+Side-Cutters%2C+8-Inch&amp;qid=1695174221&amp;sr=8-1</v>
      </c>
      <c r="F4071" t="s">
        <v>8539</v>
      </c>
      <c r="G4071" t="e">
        <f ca="1">_xludf.IMAGE("https://edmondsonsupply.com/cdn/shop/products/j2038.jpg?v=1644709677")</f>
        <v>#NAME?</v>
      </c>
      <c r="H4071" t="e">
        <f ca="1">_xludf.IMAGE("https://m.media-amazon.com/images/I/511XF+VkgwL._AC_UL320_.jpg")</f>
        <v>#NAME?</v>
      </c>
      <c r="I4071" t="s">
        <v>6519</v>
      </c>
      <c r="J4071">
        <v>34.97</v>
      </c>
      <c r="K4071" s="4">
        <v>-9.1499999999999998E-2</v>
      </c>
      <c r="L4071">
        <v>4.8</v>
      </c>
      <c r="M4071">
        <v>1333</v>
      </c>
      <c r="O4071" t="s">
        <v>25</v>
      </c>
      <c r="P4071" t="s">
        <v>6520</v>
      </c>
      <c r="Q4071" t="s">
        <v>6521</v>
      </c>
    </row>
    <row r="4072" spans="1:17" ht="15.5" x14ac:dyDescent="0.35">
      <c r="A4072"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4072"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4072" t="s">
        <v>3118</v>
      </c>
      <c r="D4072" t="s">
        <v>5099</v>
      </c>
      <c r="E4072" s="3" t="str">
        <f>HYPERLINK("https://www.amazon.com/Journeyman-T-Handle-Klein-Tools-JTH6T40/dp/B005G3B500/ref=sr_1_8?keywords=Klein+Tools+JTH4E17+1%2F2-Inch+Hex+Key%2C+Journeyman+T-Handle%2C+4-Inch&amp;qid=1695173921&amp;sr=8-8", "https://www.amazon.com/Journeyman-T-Handle-Klein-Tools-JTH6T40/dp/B005G3B500/ref=sr_1_8?keywords=Klein+Tools+JTH4E17+1%2F2-Inch+Hex+Key%2C+Journeyman+T-Handle%2C+4-Inch&amp;qid=1695173921&amp;sr=8-8")</f>
        <v>https://www.amazon.com/Journeyman-T-Handle-Klein-Tools-JTH6T40/dp/B005G3B500/ref=sr_1_8?keywords=Klein+Tools+JTH4E17+1%2F2-Inch+Hex+Key%2C+Journeyman+T-Handle%2C+4-Inch&amp;qid=1695173921&amp;sr=8-8</v>
      </c>
      <c r="F4072" t="s">
        <v>5100</v>
      </c>
      <c r="G4072" t="e">
        <f ca="1">_xludf.IMAGE("https://edmondsonsupply.com/cdn/shop/products/jth4e17_583549be-7b42-43c7-9c3d-a92f2416ede5.jpg?v=1610655610")</f>
        <v>#NAME?</v>
      </c>
      <c r="H4072" t="e">
        <f ca="1">_xludf.IMAGE("https://m.media-amazon.com/images/I/51Xj0Vsb-EL._AC_UL320_.jpg")</f>
        <v>#NAME?</v>
      </c>
      <c r="I4072" t="s">
        <v>252</v>
      </c>
      <c r="J4072">
        <v>14.51</v>
      </c>
      <c r="K4072" s="4">
        <v>-9.2600000000000002E-2</v>
      </c>
      <c r="L4072">
        <v>4.8</v>
      </c>
      <c r="M4072">
        <v>1544</v>
      </c>
      <c r="O4072" t="s">
        <v>25</v>
      </c>
      <c r="P4072" t="s">
        <v>3121</v>
      </c>
      <c r="Q4072" t="s">
        <v>3122</v>
      </c>
    </row>
    <row r="4073" spans="1:17" ht="15.5" x14ac:dyDescent="0.35">
      <c r="A4073"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073" s="3" t="str">
        <f>HYPERLINK("https://edmondsonsupply.com/products/klein-tools-d2000-28glw-diagonal-cutting-pliers-hi-viz-8-inch", "https://edmondsonsupply.com/products/klein-tools-d2000-28glw-diagonal-cutting-pliers-hi-viz-8-inch")</f>
        <v>https://edmondsonsupply.com/products/klein-tools-d2000-28glw-diagonal-cutting-pliers-hi-viz-8-inch</v>
      </c>
      <c r="C4073" t="s">
        <v>4233</v>
      </c>
      <c r="D4073" t="s">
        <v>5101</v>
      </c>
      <c r="E4073" s="3" t="str">
        <f>HYPERLINK("https://www.amazon.com/Diagonal-Cutting-Klein-Tools-D248-8-GLW/dp/B00LMM39TY/ref=sr_1_3?keywords=Klein+Tools+D200028GLW+Diagonal+Cutting+Pliers%2C+High-Visibility%2C+8-Inch&amp;qid=1695173928&amp;sr=8-3", "https://www.amazon.com/Diagonal-Cutting-Klein-Tools-D248-8-GLW/dp/B00LMM39TY/ref=sr_1_3?keywords=Klein+Tools+D200028GLW+Diagonal+Cutting+Pliers%2C+High-Visibility%2C+8-Inch&amp;qid=1695173928&amp;sr=8-3")</f>
        <v>https://www.amazon.com/Diagonal-Cutting-Klein-Tools-D248-8-GLW/dp/B00LMM39TY/ref=sr_1_3?keywords=Klein+Tools+D200028GLW+Diagonal+Cutting+Pliers%2C+High-Visibility%2C+8-Inch&amp;qid=1695173928&amp;sr=8-3</v>
      </c>
      <c r="F4073" t="s">
        <v>5102</v>
      </c>
      <c r="G4073" t="e">
        <f ca="1">_xludf.IMAGE("https://edmondsonsupply.com/cdn/shop/products/d200028glw.jpg?v=1633030701")</f>
        <v>#NAME?</v>
      </c>
      <c r="H4073" t="e">
        <f ca="1">_xludf.IMAGE("https://m.media-amazon.com/images/I/41HSLnsbFiL._AC_UL320_.jpg")</f>
        <v>#NAME?</v>
      </c>
      <c r="I4073" t="s">
        <v>67</v>
      </c>
      <c r="J4073">
        <v>33.99</v>
      </c>
      <c r="K4073" s="4">
        <v>-9.3399999999999997E-2</v>
      </c>
      <c r="L4073">
        <v>4.9000000000000004</v>
      </c>
      <c r="M4073">
        <v>634</v>
      </c>
      <c r="O4073" t="s">
        <v>25</v>
      </c>
      <c r="P4073" t="s">
        <v>4236</v>
      </c>
      <c r="Q4073" t="s">
        <v>4237</v>
      </c>
    </row>
    <row r="4074" spans="1:17" ht="15.5" x14ac:dyDescent="0.35">
      <c r="A4074" s="3" t="str">
        <f>HYPERLINK("https://edmondsonsupply.com/collections/electricians-tools/products/greenlee-1923a-wire-stripper", "https://edmondsonsupply.com/collections/electricians-tools/products/greenlee-1923a-wire-stripper")</f>
        <v>https://edmondsonsupply.com/collections/electricians-tools/products/greenlee-1923a-wire-stripper</v>
      </c>
      <c r="B4074" s="3" t="str">
        <f>HYPERLINK("https://edmondsonsupply.com/products/greenlee-1923a-wire-stripper", "https://edmondsonsupply.com/products/greenlee-1923a-wire-stripper")</f>
        <v>https://edmondsonsupply.com/products/greenlee-1923a-wire-stripper</v>
      </c>
      <c r="C4074" t="s">
        <v>5103</v>
      </c>
      <c r="D4074" t="s">
        <v>5104</v>
      </c>
      <c r="E4074" s="3" t="str">
        <f>HYPERLINK("https://www.amazon.com/Greenlee-1955-SS-Stainless-Stripper-7-5-Inches/dp/B00GFXD22E/ref=sr_1_3?keywords=Greenlee+1923A+Wire+Stripper%2FCutter%2FCrimper&amp;qid=1695173991&amp;sr=8-3", "https://www.amazon.com/Greenlee-1955-SS-Stainless-Stripper-7-5-Inches/dp/B00GFXD22E/ref=sr_1_3?keywords=Greenlee+1923A+Wire+Stripper%2FCutter%2FCrimper&amp;qid=1695173991&amp;sr=8-3")</f>
        <v>https://www.amazon.com/Greenlee-1955-SS-Stainless-Stripper-7-5-Inches/dp/B00GFXD22E/ref=sr_1_3?keywords=Greenlee+1923A+Wire+Stripper%2FCutter%2FCrimper&amp;qid=1695173991&amp;sr=8-3</v>
      </c>
      <c r="F4074" t="s">
        <v>5105</v>
      </c>
      <c r="G4074" t="e">
        <f ca="1">_xludf.IMAGE("https://edmondsonsupply.com/cdn/shop/files/1923A_72dpi.jpg?v=1687453415")</f>
        <v>#NAME?</v>
      </c>
      <c r="H4074" t="e">
        <f ca="1">_xludf.IMAGE("https://m.media-amazon.com/images/I/818sDIaL7HL._AC_UL320_.jpg")</f>
        <v>#NAME?</v>
      </c>
      <c r="I4074" t="s">
        <v>5106</v>
      </c>
      <c r="J4074">
        <v>25.64</v>
      </c>
      <c r="K4074" s="4">
        <v>-9.3700000000000006E-2</v>
      </c>
      <c r="L4074">
        <v>4.7</v>
      </c>
      <c r="M4074">
        <v>521</v>
      </c>
      <c r="O4074" t="s">
        <v>25</v>
      </c>
      <c r="P4074" t="s">
        <v>5107</v>
      </c>
      <c r="Q4074" t="s">
        <v>5108</v>
      </c>
    </row>
    <row r="4075" spans="1:17" ht="15.5" x14ac:dyDescent="0.35">
      <c r="A4075"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4075" s="3" t="str">
        <f>HYPERLINK("https://edmondsonsupply.com/products/klein-tools-s10-5-16-inch-nut-driver-3-inch-hollow-shaft", "https://edmondsonsupply.com/products/klein-tools-s10-5-16-inch-nut-driver-3-inch-hollow-shaft")</f>
        <v>https://edmondsonsupply.com/products/klein-tools-s10-5-16-inch-nut-driver-3-inch-hollow-shaft</v>
      </c>
      <c r="C4075" t="s">
        <v>7432</v>
      </c>
      <c r="D4075" t="s">
        <v>8540</v>
      </c>
      <c r="E4075" s="3" t="str">
        <f>HYPERLINK("https://www.amazon.com/16-Inch-Comfordome-Klein-Tools-S10/dp/B0000302VV/ref=sr_1_1?keywords=Klein+Tools+S10+5%2F16-Inch+Nut+Driver+3-Inch+Hollow+Shaft&amp;qid=1695174298&amp;sr=8-1", "https://www.amazon.com/16-Inch-Comfordome-Klein-Tools-S10/dp/B0000302VV/ref=sr_1_1?keywords=Klein+Tools+S10+5%2F16-Inch+Nut+Driver+3-Inch+Hollow+Shaft&amp;qid=1695174298&amp;sr=8-1")</f>
        <v>https://www.amazon.com/16-Inch-Comfordome-Klein-Tools-S10/dp/B0000302VV/ref=sr_1_1?keywords=Klein+Tools+S10+5%2F16-Inch+Nut+Driver+3-Inch+Hollow+Shaft&amp;qid=1695174298&amp;sr=8-1</v>
      </c>
      <c r="F4075" t="s">
        <v>8541</v>
      </c>
      <c r="G4075" t="e">
        <f ca="1">_xludf.IMAGE("https://edmondsonsupply.com/cdn/shop/products/s10_38acacb8-6c8e-49ef-8ed3-7160ab53875a.jpg?v=1633030893")</f>
        <v>#NAME?</v>
      </c>
      <c r="H4075" t="e">
        <f ca="1">_xludf.IMAGE("https://m.media-amazon.com/images/I/41Nb5OKrySL._AC_UL320_.jpg")</f>
        <v>#NAME?</v>
      </c>
      <c r="I4075" t="s">
        <v>1003</v>
      </c>
      <c r="J4075">
        <v>7.24</v>
      </c>
      <c r="K4075" s="4">
        <v>-9.3899999999999997E-2</v>
      </c>
      <c r="L4075">
        <v>4.5</v>
      </c>
      <c r="M4075">
        <v>225</v>
      </c>
      <c r="O4075" t="s">
        <v>25</v>
      </c>
      <c r="P4075" t="s">
        <v>7433</v>
      </c>
      <c r="Q4075" t="s">
        <v>7434</v>
      </c>
    </row>
    <row r="4076" spans="1:17" ht="15.5" x14ac:dyDescent="0.35">
      <c r="A4076"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4076" s="3" t="str">
        <f>HYPERLINK("https://edmondsonsupply.com/products/klein-tools-646-5-16-5-16-inch-nut-driver-6-inch-hollow-shaft", "https://edmondsonsupply.com/products/klein-tools-646-5-16-5-16-inch-nut-driver-6-inch-hollow-shaft")</f>
        <v>https://edmondsonsupply.com/products/klein-tools-646-5-16-5-16-inch-nut-driver-6-inch-hollow-shaft</v>
      </c>
      <c r="C4076" t="s">
        <v>1893</v>
      </c>
      <c r="D4076" t="s">
        <v>8540</v>
      </c>
      <c r="E4076" s="3" t="str">
        <f>HYPERLINK("https://www.amazon.com/16-Inch-Comfordome-Klein-Tools-S10/dp/B0000302VV/ref=sr_1_8?keywords=Klein+Tools+646-5%2F16+5%2F16-Inch+Nut+Driver%2C+6-Inch+Hollow+Shaft&amp;qid=1695173904&amp;sr=8-8", "https://www.amazon.com/16-Inch-Comfordome-Klein-Tools-S10/dp/B0000302VV/ref=sr_1_8?keywords=Klein+Tools+646-5%2F16+5%2F16-Inch+Nut+Driver%2C+6-Inch+Hollow+Shaft&amp;qid=1695173904&amp;sr=8-8")</f>
        <v>https://www.amazon.com/16-Inch-Comfordome-Klein-Tools-S10/dp/B0000302VV/ref=sr_1_8?keywords=Klein+Tools+646-5%2F16+5%2F16-Inch+Nut+Driver%2C+6-Inch+Hollow+Shaft&amp;qid=1695173904&amp;sr=8-8</v>
      </c>
      <c r="F4076" t="s">
        <v>8541</v>
      </c>
      <c r="G4076" t="e">
        <f ca="1">_xludf.IMAGE("https://edmondsonsupply.com/cdn/shop/products/646-1-2_e1540905-f750-4509-90c5-74ff653e4d83.jpg?v=1587145119")</f>
        <v>#NAME?</v>
      </c>
      <c r="H4076" t="e">
        <f ca="1">_xludf.IMAGE("https://m.media-amazon.com/images/I/41Nb5OKrySL._AC_UL320_.jpg")</f>
        <v>#NAME?</v>
      </c>
      <c r="I4076" t="s">
        <v>1003</v>
      </c>
      <c r="J4076">
        <v>7.24</v>
      </c>
      <c r="K4076" s="4">
        <v>-9.3899999999999997E-2</v>
      </c>
      <c r="L4076">
        <v>4.5</v>
      </c>
      <c r="M4076">
        <v>225</v>
      </c>
      <c r="O4076" t="s">
        <v>25</v>
      </c>
      <c r="P4076" t="s">
        <v>1481</v>
      </c>
      <c r="Q4076" t="s">
        <v>1896</v>
      </c>
    </row>
    <row r="4077" spans="1:17" ht="15.5" x14ac:dyDescent="0.35">
      <c r="A4077"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4077"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4077" t="s">
        <v>6276</v>
      </c>
      <c r="D4077" t="s">
        <v>3905</v>
      </c>
      <c r="E4077" s="3" t="str">
        <f>HYPERLINK("https://www.amazon.com/Journeyman-T-Handle-Klein-Tools-JTH9M3/dp/B005G3HJ28/ref=sr_1_8?keywords=Klein+Tools+JTH9E13+1%2F4-Inch+Hex+Key+with+Journeyman+T-Handle%2C+9-Inch&amp;qid=1695174307&amp;sr=8-8", "https://www.amazon.com/Journeyman-T-Handle-Klein-Tools-JTH9M3/dp/B005G3HJ28/ref=sr_1_8?keywords=Klein+Tools+JTH9E13+1%2F4-Inch+Hex+Key+with+Journeyman+T-Handle%2C+9-Inch&amp;qid=1695174307&amp;sr=8-8")</f>
        <v>https://www.amazon.com/Journeyman-T-Handle-Klein-Tools-JTH9M3/dp/B005G3HJ28/ref=sr_1_8?keywords=Klein+Tools+JTH9E13+1%2F4-Inch+Hex+Key+with+Journeyman+T-Handle%2C+9-Inch&amp;qid=1695174307&amp;sr=8-8</v>
      </c>
      <c r="F4077" t="s">
        <v>3906</v>
      </c>
      <c r="G4077" t="e">
        <f ca="1">_xludf.IMAGE("https://edmondsonsupply.com/cdn/shop/products/jth9e12_7dcdbf9a-5acd-4824-8919-6aeb4a790072.jpg?v=1604060723")</f>
        <v>#NAME?</v>
      </c>
      <c r="H4077" t="e">
        <f ca="1">_xludf.IMAGE("https://m.media-amazon.com/images/I/51MZtGjDOtL._AC_UL320_.jpg")</f>
        <v>#NAME?</v>
      </c>
      <c r="I4077" t="s">
        <v>4617</v>
      </c>
      <c r="J4077">
        <v>5.88</v>
      </c>
      <c r="K4077" s="4">
        <v>-9.4E-2</v>
      </c>
      <c r="L4077">
        <v>4.5999999999999996</v>
      </c>
      <c r="M4077">
        <v>179</v>
      </c>
      <c r="O4077" t="s">
        <v>25</v>
      </c>
      <c r="P4077" t="s">
        <v>6277</v>
      </c>
      <c r="Q4077" t="s">
        <v>6278</v>
      </c>
    </row>
    <row r="4078" spans="1:17" ht="15.5" x14ac:dyDescent="0.35">
      <c r="A4078"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4078" s="3" t="str">
        <f>HYPERLINK("https://edmondsonsupply.com/products/klein-tools-vaco-s10m-5-16-magnetic-nut-driver-3-hollow-shaft", "https://edmondsonsupply.com/products/klein-tools-vaco-s10m-5-16-magnetic-nut-driver-3-hollow-shaft")</f>
        <v>https://edmondsonsupply.com/products/klein-tools-vaco-s10m-5-16-magnetic-nut-driver-3-hollow-shaft</v>
      </c>
      <c r="C4078" t="s">
        <v>6468</v>
      </c>
      <c r="D4078" t="s">
        <v>4434</v>
      </c>
      <c r="E4078" s="3" t="str">
        <f>HYPERLINK("https://www.amazon.com/Magnetic-Comfordome-Klein-Tools-S10M/dp/B000936PCU/ref=sr_1_1?keywords=Klein+Tools+S10M+5%2F16-Inch+Magnetic+Nut+Driver+3-Inch+Shaft&amp;qid=1695174019&amp;sr=8-1", "https://www.amazon.com/Magnetic-Comfordome-Klein-Tools-S10M/dp/B000936PCU/ref=sr_1_1?keywords=Klein+Tools+S10M+5%2F16-Inch+Magnetic+Nut+Driver+3-Inch+Shaft&amp;qid=1695174019&amp;sr=8-1")</f>
        <v>https://www.amazon.com/Magnetic-Comfordome-Klein-Tools-S10M/dp/B000936PCU/ref=sr_1_1?keywords=Klein+Tools+S10M+5%2F16-Inch+Magnetic+Nut+Driver+3-Inch+Shaft&amp;qid=1695174019&amp;sr=8-1</v>
      </c>
      <c r="F4078" t="s">
        <v>4435</v>
      </c>
      <c r="G4078" t="e">
        <f ca="1">_xludf.IMAGE("https://edmondsonsupply.com/cdn/shop/products/s10m_alt2.jpg?v=1587143022")</f>
        <v>#NAME?</v>
      </c>
      <c r="H4078" t="e">
        <f ca="1">_xludf.IMAGE("https://m.media-amazon.com/images/I/51wT5Rnu5GL._AC_UL320_.jpg")</f>
        <v>#NAME?</v>
      </c>
      <c r="I4078" t="s">
        <v>2577</v>
      </c>
      <c r="J4078">
        <v>9.0500000000000007</v>
      </c>
      <c r="K4078" s="4">
        <v>-9.4100000000000003E-2</v>
      </c>
      <c r="L4078">
        <v>4.5999999999999996</v>
      </c>
      <c r="M4078">
        <v>231</v>
      </c>
      <c r="O4078" t="s">
        <v>25</v>
      </c>
      <c r="P4078" t="s">
        <v>6469</v>
      </c>
      <c r="Q4078" t="s">
        <v>6470</v>
      </c>
    </row>
    <row r="4079" spans="1:17" ht="15.5" x14ac:dyDescent="0.35">
      <c r="A4079" s="3" t="str">
        <f>HYPERLINK("https://edmondsonsupply.com/collections/electricians-tools/products/channellock-gs-1x-2pc-speedgrip%E2%84%A2-tongue-groove-pliers-set", "https://edmondsonsupply.com/collections/electricians-tools/products/channellock-gs-1x-2pc-speedgrip%E2%84%A2-tongue-groove-pliers-set")</f>
        <v>https://edmondsonsupply.com/collections/electricians-tools/products/channellock-gs-1x-2pc-speedgrip%E2%84%A2-tongue-groove-pliers-set</v>
      </c>
      <c r="B4079" s="3" t="str">
        <f>HYPERLINK("https://edmondsonsupply.com/products/channellock-gs-1x-2pc-speedgrip%e2%84%a2-tongue-groove-pliers-set", "https://edmondsonsupply.com/products/channellock-gs-1x-2pc-speedgrip%e2%84%a2-tongue-groove-pliers-set")</f>
        <v>https://edmondsonsupply.com/products/channellock-gs-1x-2pc-speedgrip%e2%84%a2-tongue-groove-pliers-set</v>
      </c>
      <c r="C4079" t="s">
        <v>7027</v>
      </c>
      <c r="D4079" t="s">
        <v>8542</v>
      </c>
      <c r="E4079" s="3" t="str">
        <f>HYPERLINK("https://www.amazon.com/Channellock-GS-1X-2Piece-Speedgrip-Tongue/dp/B07QTLKZZW/ref=sr_1_1?keywords=Channellock+GS-1X+2PC+SPEEDGRIP%E2%84%A2+Tongue+%26+Groove+Pliers+Set&amp;qid=1695174214&amp;sr=8-1", "https://www.amazon.com/Channellock-GS-1X-2Piece-Speedgrip-Tongue/dp/B07QTLKZZW/ref=sr_1_1?keywords=Channellock+GS-1X+2PC+SPEEDGRIP%E2%84%A2+Tongue+%26+Groove+Pliers+Set&amp;qid=1695174214&amp;sr=8-1")</f>
        <v>https://www.amazon.com/Channellock-GS-1X-2Piece-Speedgrip-Tongue/dp/B07QTLKZZW/ref=sr_1_1?keywords=Channellock+GS-1X+2PC+SPEEDGRIP%E2%84%A2+Tongue+%26+Groove+Pliers+Set&amp;qid=1695174214&amp;sr=8-1</v>
      </c>
      <c r="F4079" t="s">
        <v>8543</v>
      </c>
      <c r="G4079" t="e">
        <f ca="1">_xludf.IMAGE("https://edmondsonsupply.com/cdn/shop/products/GS1X.jpg?v=1647106166")</f>
        <v>#NAME?</v>
      </c>
      <c r="H4079" t="e">
        <f ca="1">_xludf.IMAGE("https://m.media-amazon.com/images/I/71l9KVNLPlS._AC_UL320_.jpg")</f>
        <v>#NAME?</v>
      </c>
      <c r="I4079" t="s">
        <v>540</v>
      </c>
      <c r="J4079">
        <v>45.25</v>
      </c>
      <c r="K4079" s="4">
        <v>-9.4100000000000003E-2</v>
      </c>
      <c r="L4079">
        <v>4.5</v>
      </c>
      <c r="M4079">
        <v>196</v>
      </c>
      <c r="O4079" t="s">
        <v>25</v>
      </c>
      <c r="P4079" t="s">
        <v>7030</v>
      </c>
      <c r="Q4079" t="s">
        <v>7031</v>
      </c>
    </row>
    <row r="4080" spans="1:17" ht="15.5" x14ac:dyDescent="0.35">
      <c r="A4080" s="3" t="str">
        <f>HYPERLINK("https://edmondsonsupply.com/collections/electricians-tools/products/tajima-gp-25bw-g-plus%E2%84%A2-standard-scale-25-ft-x-1-in-steel-blade-tape-measure", "https://edmondsonsupply.com/collections/electricians-tools/products/tajima-gp-25bw-g-plus%E2%84%A2-standard-scale-25-ft-x-1-in-steel-blade-tape-measure")</f>
        <v>https://edmondsonsupply.com/collections/electricians-tools/products/tajima-gp-25bw-g-plus%E2%84%A2-standard-scale-25-ft-x-1-in-steel-blade-tape-measure</v>
      </c>
      <c r="B4080" s="3" t="str">
        <f>HYPERLINK("https://edmondsonsupply.com/products/tajima-gp-25bw-g-plus%e2%84%a2-standard-scale-25-ft-x-1-in-steel-blade-tape-measure", "https://edmondsonsupply.com/products/tajima-gp-25bw-g-plus%e2%84%a2-standard-scale-25-ft-x-1-in-steel-blade-tape-measure")</f>
        <v>https://edmondsonsupply.com/products/tajima-gp-25bw-g-plus%e2%84%a2-standard-scale-25-ft-x-1-in-steel-blade-tape-measure</v>
      </c>
      <c r="C4080" t="s">
        <v>8414</v>
      </c>
      <c r="D4080" t="s">
        <v>8544</v>
      </c>
      <c r="E4080" s="3" t="str">
        <f>HYPERLINK("https://www.amazon.com/Tajima-SSSF-25BW-Standard-Measure-Safety/dp/B08J5ML1ZM/ref=sr_1_5?keywords=Tajima+GP-25BW+G-PLUS%E2%84%A2+Standard+Scale%2C+25+ft+x+1+in.+Steel+Blade+Tape+Measure&amp;qid=1695174184&amp;sr=8-5", "https://www.amazon.com/Tajima-SSSF-25BW-Standard-Measure-Safety/dp/B08J5ML1ZM/ref=sr_1_5?keywords=Tajima+GP-25BW+G-PLUS%E2%84%A2+Standard+Scale%2C+25+ft+x+1+in.+Steel+Blade+Tape+Measure&amp;qid=1695174184&amp;sr=8-5")</f>
        <v>https://www.amazon.com/Tajima-SSSF-25BW-Standard-Measure-Safety/dp/B08J5ML1ZM/ref=sr_1_5?keywords=Tajima+GP-25BW+G-PLUS%E2%84%A2+Standard+Scale%2C+25+ft+x+1+in.+Steel+Blade+Tape+Measure&amp;qid=1695174184&amp;sr=8-5</v>
      </c>
      <c r="F4080" t="s">
        <v>8545</v>
      </c>
      <c r="G4080" t="e">
        <f ca="1">_xludf.IMAGE("https://edmondsonsupply.com/cdn/shop/products/GP-25BW.jpg?v=1655821525")</f>
        <v>#NAME?</v>
      </c>
      <c r="H4080" t="e">
        <f ca="1">_xludf.IMAGE("https://m.media-amazon.com/images/I/51oDpFYnqaL._AC_UL320_.jpg")</f>
        <v>#NAME?</v>
      </c>
      <c r="I4080" t="s">
        <v>8417</v>
      </c>
      <c r="J4080">
        <v>31.82</v>
      </c>
      <c r="K4080" s="4">
        <v>-9.5799999999999996E-2</v>
      </c>
      <c r="L4080">
        <v>4.5999999999999996</v>
      </c>
      <c r="M4080">
        <v>138</v>
      </c>
      <c r="O4080" t="s">
        <v>25</v>
      </c>
      <c r="P4080" t="s">
        <v>8417</v>
      </c>
      <c r="Q4080" t="s">
        <v>8418</v>
      </c>
    </row>
    <row r="4081" spans="1:17" ht="15.5" x14ac:dyDescent="0.35">
      <c r="A4081"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4081" s="3" t="str">
        <f>HYPERLINK("https://edmondsonsupply.com/products/klein-tools-ir07-dual-ir-probe-thermometer", "https://edmondsonsupply.com/products/klein-tools-ir07-dual-ir-probe-thermometer")</f>
        <v>https://edmondsonsupply.com/products/klein-tools-ir07-dual-ir-probe-thermometer</v>
      </c>
      <c r="C4081" t="s">
        <v>2948</v>
      </c>
      <c r="D4081" t="s">
        <v>1860</v>
      </c>
      <c r="E4081" s="3" t="str">
        <f>HYPERLINK("https://www.amazon.com/Klein-Tools-IR07-Infrared-Thermometer/dp/B07P9WM69C/ref=sr_1_1?keywords=Klein+Tools+IR07+Dual+IR%2FProbe+Thermometer&amp;qid=1695173956&amp;sr=8-1", "https://www.amazon.com/Klein-Tools-IR07-Infrared-Thermometer/dp/B07P9WM69C/ref=sr_1_1?keywords=Klein+Tools+IR07+Dual+IR%2FProbe+Thermometer&amp;qid=1695173956&amp;sr=8-1")</f>
        <v>https://www.amazon.com/Klein-Tools-IR07-Infrared-Thermometer/dp/B07P9WM69C/ref=sr_1_1?keywords=Klein+Tools+IR07+Dual+IR%2FProbe+Thermometer&amp;qid=1695173956&amp;sr=8-1</v>
      </c>
      <c r="F4081" t="s">
        <v>1861</v>
      </c>
      <c r="G4081" t="e">
        <f ca="1">_xludf.IMAGE("https://edmondsonsupply.com/cdn/shop/products/ir07.jpg?v=1599003623")</f>
        <v>#NAME?</v>
      </c>
      <c r="H4081" t="e">
        <f ca="1">_xludf.IMAGE("https://m.media-amazon.com/images/I/51JBUtWpWuS._AC_UY218_.jpg")</f>
        <v>#NAME?</v>
      </c>
      <c r="I4081" t="s">
        <v>2951</v>
      </c>
      <c r="J4081">
        <v>51.97</v>
      </c>
      <c r="K4081" s="4">
        <v>-9.6000000000000002E-2</v>
      </c>
      <c r="L4081">
        <v>4.7</v>
      </c>
      <c r="M4081">
        <v>779</v>
      </c>
      <c r="O4081" t="s">
        <v>25</v>
      </c>
      <c r="P4081" t="s">
        <v>2952</v>
      </c>
      <c r="Q4081" t="s">
        <v>2953</v>
      </c>
    </row>
    <row r="4082" spans="1:17" ht="15.5" x14ac:dyDescent="0.35">
      <c r="A4082" s="3" t="str">
        <f>HYPERLINK("https://edmondsonsupply.com/collections/electricians-tools/products/klein-tools-56116-fiberglass-fish-tape-replacement-eyelets-6-pack", "https://edmondsonsupply.com/collections/electricians-tools/products/klein-tools-56116-fiberglass-fish-tape-replacement-eyelets-6-pack")</f>
        <v>https://edmondsonsupply.com/collections/electricians-tools/products/klein-tools-56116-fiberglass-fish-tape-replacement-eyelets-6-pack</v>
      </c>
      <c r="B4082" s="3" t="str">
        <f>HYPERLINK("https://edmondsonsupply.com/products/klein-tools-56116-fiberglass-fish-tape-replacement-eyelets-6-pack", "https://edmondsonsupply.com/products/klein-tools-56116-fiberglass-fish-tape-replacement-eyelets-6-pack")</f>
        <v>https://edmondsonsupply.com/products/klein-tools-56116-fiberglass-fish-tape-replacement-eyelets-6-pack</v>
      </c>
      <c r="C4082" t="s">
        <v>8546</v>
      </c>
      <c r="D4082" t="s">
        <v>8546</v>
      </c>
      <c r="E4082" s="3" t="str">
        <f>HYPERLINK("https://www.amazon.com/Fiberglass-Replacement-Klein-Tools-56116/dp/B007CU7SPG/ref=sr_1_1?keywords=Klein+Tools+56116+Fiberglass+Fish+Tape+Replacement+Eyelets%2C+6-Pack&amp;qid=1695174136&amp;sr=8-1", "https://www.amazon.com/Fiberglass-Replacement-Klein-Tools-56116/dp/B007CU7SPG/ref=sr_1_1?keywords=Klein+Tools+56116+Fiberglass+Fish+Tape+Replacement+Eyelets%2C+6-Pack&amp;qid=1695174136&amp;sr=8-1")</f>
        <v>https://www.amazon.com/Fiberglass-Replacement-Klein-Tools-56116/dp/B007CU7SPG/ref=sr_1_1?keywords=Klein+Tools+56116+Fiberglass+Fish+Tape+Replacement+Eyelets%2C+6-Pack&amp;qid=1695174136&amp;sr=8-1</v>
      </c>
      <c r="F4082" t="s">
        <v>8547</v>
      </c>
      <c r="G4082" t="e">
        <f ca="1">_xludf.IMAGE("https://edmondsonsupply.com/cdn/shop/products/56116.jpg?v=1666107722")</f>
        <v>#NAME?</v>
      </c>
      <c r="H4082" t="e">
        <f ca="1">_xludf.IMAGE("https://m.media-amazon.com/images/I/51RKS8n-qZL._AC_UL320_.jpg")</f>
        <v>#NAME?</v>
      </c>
      <c r="I4082" t="s">
        <v>198</v>
      </c>
      <c r="J4082">
        <v>36.130000000000003</v>
      </c>
      <c r="K4082" s="4">
        <v>-9.6500000000000002E-2</v>
      </c>
      <c r="L4082">
        <v>4.5</v>
      </c>
      <c r="M4082">
        <v>69</v>
      </c>
      <c r="O4082" t="s">
        <v>25</v>
      </c>
      <c r="P4082" t="s">
        <v>1310</v>
      </c>
      <c r="Q4082" t="s">
        <v>8548</v>
      </c>
    </row>
    <row r="4083" spans="1:17" ht="15.5" x14ac:dyDescent="0.35">
      <c r="A4083"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4083" s="3" t="str">
        <f>HYPERLINK("https://edmondsonsupply.com/products/fluke-st120-gfci-socket-tester", "https://edmondsonsupply.com/products/fluke-st120-gfci-socket-tester")</f>
        <v>https://edmondsonsupply.com/products/fluke-st120-gfci-socket-tester</v>
      </c>
      <c r="C4083" t="s">
        <v>8351</v>
      </c>
      <c r="D4083" t="s">
        <v>8549</v>
      </c>
      <c r="E4083" s="3" t="str">
        <f>HYPERLINK("https://www.amazon.com/Tourmate-Compatible-Fluke-Socket-Tester/dp/B0BPXRYTQQ/ref=sr_1_5?keywords=Fluke+ST120+Socket+Tester+with+GFCI&amp;qid=1695174173&amp;sr=8-5", "https://www.amazon.com/Tourmate-Compatible-Fluke-Socket-Tester/dp/B0BPXRYTQQ/ref=sr_1_5?keywords=Fluke+ST120+Socket+Tester+with+GFCI&amp;qid=1695174173&amp;sr=8-5")</f>
        <v>https://www.amazon.com/Tourmate-Compatible-Fluke-Socket-Tester/dp/B0BPXRYTQQ/ref=sr_1_5?keywords=Fluke+ST120+Socket+Tester+with+GFCI&amp;qid=1695174173&amp;sr=8-5</v>
      </c>
      <c r="F4083" t="s">
        <v>8550</v>
      </c>
      <c r="G4083" t="e">
        <f ca="1">_xludf.IMAGE("https://edmondsonsupply.com/cdn/shop/products/F-st120_01a_w.webp?v=1662582102")</f>
        <v>#NAME?</v>
      </c>
      <c r="H4083" t="e">
        <f ca="1">_xludf.IMAGE("https://m.media-amazon.com/images/I/7120nRtCXWL._AC_UL320_.jpg")</f>
        <v>#NAME?</v>
      </c>
      <c r="I4083" t="s">
        <v>4229</v>
      </c>
      <c r="J4083">
        <v>13.99</v>
      </c>
      <c r="K4083" s="4">
        <v>-9.6799999999999997E-2</v>
      </c>
      <c r="L4083">
        <v>3.4</v>
      </c>
      <c r="M4083">
        <v>3</v>
      </c>
      <c r="O4083" t="s">
        <v>25</v>
      </c>
      <c r="P4083" t="s">
        <v>866</v>
      </c>
      <c r="Q4083" t="s">
        <v>8354</v>
      </c>
    </row>
    <row r="4084" spans="1:17" ht="15.5" x14ac:dyDescent="0.35">
      <c r="A4084"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4084" s="3" t="str">
        <f>HYPERLINK("https://edmondsonsupply.com/products/fluke-st120-gfci-socket-tester", "https://edmondsonsupply.com/products/fluke-st120-gfci-socket-tester")</f>
        <v>https://edmondsonsupply.com/products/fluke-st120-gfci-socket-tester</v>
      </c>
      <c r="C4084" t="s">
        <v>8351</v>
      </c>
      <c r="D4084" t="s">
        <v>8551</v>
      </c>
      <c r="E4084" s="3" t="str">
        <f>HYPERLINK("https://www.amazon.com/FBLFOBELI-Carrying-Compatible-Audible-Beeper%EF%BC%8CShockproof/dp/B0BN4XRLXJ/ref=sr_1_6?keywords=Fluke+ST120+Socket+Tester+with+GFCI&amp;qid=1695174173&amp;sr=8-6", "https://www.amazon.com/FBLFOBELI-Carrying-Compatible-Audible-Beeper%EF%BC%8CShockproof/dp/B0BN4XRLXJ/ref=sr_1_6?keywords=Fluke+ST120+Socket+Tester+with+GFCI&amp;qid=1695174173&amp;sr=8-6")</f>
        <v>https://www.amazon.com/FBLFOBELI-Carrying-Compatible-Audible-Beeper%EF%BC%8CShockproof/dp/B0BN4XRLXJ/ref=sr_1_6?keywords=Fluke+ST120+Socket+Tester+with+GFCI&amp;qid=1695174173&amp;sr=8-6</v>
      </c>
      <c r="F4084" t="s">
        <v>8552</v>
      </c>
      <c r="G4084" t="e">
        <f ca="1">_xludf.IMAGE("https://edmondsonsupply.com/cdn/shop/products/F-st120_01a_w.webp?v=1662582102")</f>
        <v>#NAME?</v>
      </c>
      <c r="H4084" t="e">
        <f ca="1">_xludf.IMAGE("https://m.media-amazon.com/images/I/719YjA+Nx8L._AC_UL320_.jpg")</f>
        <v>#NAME?</v>
      </c>
      <c r="I4084" t="s">
        <v>4229</v>
      </c>
      <c r="J4084">
        <v>13.99</v>
      </c>
      <c r="K4084" s="4">
        <v>-9.6799999999999997E-2</v>
      </c>
      <c r="L4084">
        <v>5</v>
      </c>
      <c r="M4084">
        <v>1</v>
      </c>
      <c r="O4084" t="s">
        <v>25</v>
      </c>
      <c r="P4084" t="s">
        <v>866</v>
      </c>
      <c r="Q4084" t="s">
        <v>8354</v>
      </c>
    </row>
    <row r="4085" spans="1:17" ht="15.5" x14ac:dyDescent="0.35">
      <c r="A4085"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4085"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4085" t="s">
        <v>6948</v>
      </c>
      <c r="D4085" t="s">
        <v>8401</v>
      </c>
      <c r="E4085" s="3" t="str">
        <f>HYPERLINK("https://www.amazon.com/Cabinet-Screwdriver-Klein-Tools-605-4/dp/B000BQWOO8/ref=sr_1_5?keywords=Klein+Tools+602-4+1%2F4-Inch+Keystone+Screwdriver%2C+4-Inch+Round+Shank&amp;qid=1695174315&amp;sr=8-5", "https://www.amazon.com/Cabinet-Screwdriver-Klein-Tools-605-4/dp/B000BQWOO8/ref=sr_1_5?keywords=Klein+Tools+602-4+1%2F4-Inch+Keystone+Screwdriver%2C+4-Inch+Round+Shank&amp;qid=1695174315&amp;sr=8-5")</f>
        <v>https://www.amazon.com/Cabinet-Screwdriver-Klein-Tools-605-4/dp/B000BQWOO8/ref=sr_1_5?keywords=Klein+Tools+602-4+1%2F4-Inch+Keystone+Screwdriver%2C+4-Inch+Round+Shank&amp;qid=1695174315&amp;sr=8-5</v>
      </c>
      <c r="F4085" t="s">
        <v>8402</v>
      </c>
      <c r="G4085" t="e">
        <f ca="1">_xludf.IMAGE("https://edmondsonsupply.com/cdn/shop/products/602-6.jpg?v=1633030821")</f>
        <v>#NAME?</v>
      </c>
      <c r="H4085" t="e">
        <f ca="1">_xludf.IMAGE("https://m.media-amazon.com/images/I/41WLDr2SP+L._AC_UL320_.jpg")</f>
        <v>#NAME?</v>
      </c>
      <c r="I4085" t="s">
        <v>2433</v>
      </c>
      <c r="J4085">
        <v>8.57</v>
      </c>
      <c r="K4085" s="4">
        <v>-9.69E-2</v>
      </c>
      <c r="L4085">
        <v>4.8</v>
      </c>
      <c r="M4085">
        <v>1227</v>
      </c>
      <c r="O4085" t="s">
        <v>25</v>
      </c>
      <c r="P4085" t="s">
        <v>6949</v>
      </c>
      <c r="Q4085" t="s">
        <v>6950</v>
      </c>
    </row>
    <row r="4086" spans="1:17" ht="15.5" x14ac:dyDescent="0.35">
      <c r="A4086" s="3" t="str">
        <f>HYPERLINK("https://edmondsonsupply.com/collections/electricians-tools/products/greenlee-1927-ss-stainless-steel-7-5-wire-stripper-cutter-crimper", "https://edmondsonsupply.com/collections/electricians-tools/products/greenlee-1927-ss-stainless-steel-7-5-wire-stripper-cutter-crimper")</f>
        <v>https://edmondsonsupply.com/collections/electricians-tools/products/greenlee-1927-ss-stainless-steel-7-5-wire-stripper-cutter-crimper</v>
      </c>
      <c r="B4086" s="3" t="str">
        <f>HYPERLINK("https://edmondsonsupply.com/products/greenlee-1927-ss-stainless-steel-7-5-wire-stripper-cutter-crimper", "https://edmondsonsupply.com/products/greenlee-1927-ss-stainless-steel-7-5-wire-stripper-cutter-crimper")</f>
        <v>https://edmondsonsupply.com/products/greenlee-1927-ss-stainless-steel-7-5-wire-stripper-cutter-crimper</v>
      </c>
      <c r="C4086" t="s">
        <v>8553</v>
      </c>
      <c r="D4086" t="s">
        <v>5104</v>
      </c>
      <c r="E4086" s="3" t="str">
        <f>HYPERLINK("https://www.amazon.com/Greenlee-1955-SS-Stainless-Stripper-7-5-Inches/dp/B00GFXD22E/ref=sr_1_3?keywords=Greenlee+1927-SS+Stainless+Steel+7.5%22+Wire+Stripper%2FCutter%2FCrimper&amp;qid=1695174305&amp;sr=8-3", "https://www.amazon.com/Greenlee-1955-SS-Stainless-Stripper-7-5-Inches/dp/B00GFXD22E/ref=sr_1_3?keywords=Greenlee+1927-SS+Stainless+Steel+7.5%22+Wire+Stripper%2FCutter%2FCrimper&amp;qid=1695174305&amp;sr=8-3")</f>
        <v>https://www.amazon.com/Greenlee-1955-SS-Stainless-Stripper-7-5-Inches/dp/B00GFXD22E/ref=sr_1_3?keywords=Greenlee+1927-SS+Stainless+Steel+7.5%22+Wire+Stripper%2FCutter%2FCrimper&amp;qid=1695174305&amp;sr=8-3</v>
      </c>
      <c r="F4086" t="s">
        <v>5105</v>
      </c>
      <c r="G4086" t="e">
        <f ca="1">_xludf.IMAGE("https://edmondsonsupply.com/cdn/shop/products/1927-SS_side_closed.jpg?v=1633030807")</f>
        <v>#NAME?</v>
      </c>
      <c r="H4086" t="e">
        <f ca="1">_xludf.IMAGE("https://m.media-amazon.com/images/I/818sDIaL7HL._AC_UL320_.jpg")</f>
        <v>#NAME?</v>
      </c>
      <c r="I4086" t="s">
        <v>8554</v>
      </c>
      <c r="J4086">
        <v>22.8</v>
      </c>
      <c r="K4086" s="4">
        <v>-9.8799999999999999E-2</v>
      </c>
      <c r="L4086">
        <v>4.7</v>
      </c>
      <c r="M4086">
        <v>521</v>
      </c>
      <c r="O4086" t="s">
        <v>25</v>
      </c>
      <c r="P4086" t="s">
        <v>8555</v>
      </c>
      <c r="Q4086" t="s">
        <v>8556</v>
      </c>
    </row>
    <row r="4087" spans="1:17" ht="15.5" x14ac:dyDescent="0.35">
      <c r="A4087"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4087"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4087" t="s">
        <v>7104</v>
      </c>
      <c r="D4087" t="s">
        <v>4054</v>
      </c>
      <c r="E4087" s="3" t="str">
        <f>HYPERLINK("https://www.amazon.com/Driver-2-Inch-Klein-Tools-65131/dp/B071LCCGT1/ref=sr_1_2?keywords=Klein+Tools+65129+2-in-1+Nut+Driver%2C+Hex+Head+Slide+Drive%E2%84%A2%2C+6-Inch&amp;qid=1695174155&amp;sr=8-2", "https://www.amazon.com/Driver-2-Inch-Klein-Tools-65131/dp/B071LCCGT1/ref=sr_1_2?keywords=Klein+Tools+65129+2-in-1+Nut+Driver%2C+Hex+Head+Slide+Drive%E2%84%A2%2C+6-Inch&amp;qid=1695174155&amp;sr=8-2")</f>
        <v>https://www.amazon.com/Driver-2-Inch-Klein-Tools-65131/dp/B071LCCGT1/ref=sr_1_2?keywords=Klein+Tools+65129+2-in-1+Nut+Driver%2C+Hex+Head+Slide+Drive%E2%84%A2%2C+6-Inch&amp;qid=1695174155&amp;sr=8-2</v>
      </c>
      <c r="F4087" t="s">
        <v>4055</v>
      </c>
      <c r="G4087" t="e">
        <f ca="1">_xludf.IMAGE("https://edmondsonsupply.com/cdn/shop/products/65129.jpg?v=1664459800")</f>
        <v>#NAME?</v>
      </c>
      <c r="H4087" t="e">
        <f ca="1">_xludf.IMAGE("https://m.media-amazon.com/images/I/51SI9ktOe4L._AC_UL320_.jpg")</f>
        <v>#NAME?</v>
      </c>
      <c r="I4087" t="s">
        <v>893</v>
      </c>
      <c r="J4087">
        <v>17.989999999999998</v>
      </c>
      <c r="K4087" s="4">
        <v>-9.9099999999999994E-2</v>
      </c>
      <c r="L4087">
        <v>4.8</v>
      </c>
      <c r="M4087">
        <v>909</v>
      </c>
      <c r="O4087" t="s">
        <v>25</v>
      </c>
      <c r="P4087" t="s">
        <v>7105</v>
      </c>
      <c r="Q4087" t="s">
        <v>7106</v>
      </c>
    </row>
    <row r="4088" spans="1:17" ht="15.5" x14ac:dyDescent="0.35">
      <c r="A4088"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4088"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4088" t="s">
        <v>7055</v>
      </c>
      <c r="D4088" t="s">
        <v>3625</v>
      </c>
      <c r="E4088" s="3" t="str">
        <f>HYPERLINK("https://www.amazon.com/Klein-Tools-11055GLW-Stripper-Klein-Kurve/dp/B09FVTWPQV/ref=sr_1_7?keywords=Klein+Tools+11055RINS+Insulated+Klein-Kurve%C2%AE+Wire+Stripper+and+Cutter&amp;qid=1695174134&amp;sr=8-7", "https://www.amazon.com/Klein-Tools-11055GLW-Stripper-Klein-Kurve/dp/B09FVTWPQV/ref=sr_1_7?keywords=Klein+Tools+11055RINS+Insulated+Klein-Kurve%C2%AE+Wire+Stripper+and+Cutter&amp;qid=1695174134&amp;sr=8-7")</f>
        <v>https://www.amazon.com/Klein-Tools-11055GLW-Stripper-Klein-Kurve/dp/B09FVTWPQV/ref=sr_1_7?keywords=Klein+Tools+11055RINS+Insulated+Klein-Kurve%C2%AE+Wire+Stripper+and+Cutter&amp;qid=1695174134&amp;sr=8-7</v>
      </c>
      <c r="F4088" t="s">
        <v>3626</v>
      </c>
      <c r="G4088" t="e">
        <f ca="1">_xludf.IMAGE("https://edmondsonsupply.com/cdn/shop/products/11055rins.jpg?v=1667236979")</f>
        <v>#NAME?</v>
      </c>
      <c r="H4088" t="e">
        <f ca="1">_xludf.IMAGE("https://m.media-amazon.com/images/I/41qRg9375VL._AC_UL320_.jpg")</f>
        <v>#NAME?</v>
      </c>
      <c r="I4088" t="s">
        <v>824</v>
      </c>
      <c r="J4088">
        <v>26.99</v>
      </c>
      <c r="K4088" s="4">
        <v>-9.9400000000000002E-2</v>
      </c>
      <c r="L4088">
        <v>4.8</v>
      </c>
      <c r="M4088">
        <v>7596</v>
      </c>
      <c r="O4088" t="s">
        <v>25</v>
      </c>
      <c r="P4088" t="s">
        <v>562</v>
      </c>
      <c r="Q4088" t="s">
        <v>7056</v>
      </c>
    </row>
    <row r="4089" spans="1:17" ht="15.5" x14ac:dyDescent="0.35">
      <c r="A4089"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4089"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4089" t="s">
        <v>6693</v>
      </c>
      <c r="D4089" t="s">
        <v>7870</v>
      </c>
      <c r="E4089" s="3" t="str">
        <f>HYPERLINK("https://www.amazon.com/Blackfire-Rechargeable-Waterproof-BBM6411-Dual-Direction/dp/B0973SR954/ref=sr_1_2?keywords=Klein+Tools+56411+Rechargeable+Waterproof+LED+Pocket+Light+with+Lanyard&amp;qid=1695174156&amp;sr=8-2", "https://www.amazon.com/Blackfire-Rechargeable-Waterproof-BBM6411-Dual-Direction/dp/B0973SR954/ref=sr_1_2?keywords=Klein+Tools+56411+Rechargeable+Waterproof+LED+Pocket+Light+with+Lanyard&amp;qid=1695174156&amp;sr=8-2")</f>
        <v>https://www.amazon.com/Blackfire-Rechargeable-Waterproof-BBM6411-Dual-Direction/dp/B0973SR954/ref=sr_1_2?keywords=Klein+Tools+56411+Rechargeable+Waterproof+LED+Pocket+Light+with+Lanyard&amp;qid=1695174156&amp;sr=8-2</v>
      </c>
      <c r="F4089" t="s">
        <v>7871</v>
      </c>
      <c r="G4089" t="e">
        <f ca="1">_xludf.IMAGE("https://edmondsonsupply.com/cdn/shop/products/56411.jpg?v=1663952448")</f>
        <v>#NAME?</v>
      </c>
      <c r="H4089" t="e">
        <f ca="1">_xludf.IMAGE("https://m.media-amazon.com/images/I/61lqPHvKTUL._AC_UL320_.jpg")</f>
        <v>#NAME?</v>
      </c>
      <c r="I4089" t="s">
        <v>824</v>
      </c>
      <c r="J4089">
        <v>26.99</v>
      </c>
      <c r="K4089" s="4">
        <v>-9.9400000000000002E-2</v>
      </c>
      <c r="L4089">
        <v>4.3</v>
      </c>
      <c r="M4089">
        <v>26</v>
      </c>
      <c r="O4089" t="s">
        <v>25</v>
      </c>
      <c r="P4089" t="s">
        <v>825</v>
      </c>
      <c r="Q4089" t="s">
        <v>6696</v>
      </c>
    </row>
    <row r="4090" spans="1:17" ht="15.5" x14ac:dyDescent="0.35">
      <c r="A4090" s="3" t="str">
        <f>HYPERLINK("https://edmondsonsupply.com/collections/electricians-tools/products/klein-tools-60186-work-gloves-cut-level-4-touchscreen-large-2-pair", "https://edmondsonsupply.com/collections/electricians-tools/products/klein-tools-60186-work-gloves-cut-level-4-touchscreen-large-2-pair")</f>
        <v>https://edmondsonsupply.com/collections/electricians-tools/products/klein-tools-60186-work-gloves-cut-level-4-touchscreen-large-2-pair</v>
      </c>
      <c r="B4090" s="3" t="str">
        <f>HYPERLINK("https://edmondsonsupply.com/products/klein-tools-60186-work-gloves-cut-level-4-touchscreen-large-2-pair", "https://edmondsonsupply.com/products/klein-tools-60186-work-gloves-cut-level-4-touchscreen-large-2-pair")</f>
        <v>https://edmondsonsupply.com/products/klein-tools-60186-work-gloves-cut-level-4-touchscreen-large-2-pair</v>
      </c>
      <c r="C4090" t="s">
        <v>1284</v>
      </c>
      <c r="D4090" t="s">
        <v>1285</v>
      </c>
      <c r="E4090" s="3" t="str">
        <f>HYPERLINK("https://www.amazon.com/Klein-60186-Gloves-Cut-Resistant-Touchscreen/dp/B086V5W257/ref=sr_1_1?keywords=Klein+Tools+60186+Work+Gloves%2C+Cut+Level+4%2C+Touchscreen%2C+Large%2C+2-Pair&amp;qid=1695173924&amp;sr=8-1", "https://www.amazon.com/Klein-60186-Gloves-Cut-Resistant-Touchscreen/dp/B086V5W257/ref=sr_1_1?keywords=Klein+Tools+60186+Work+Gloves%2C+Cut+Level+4%2C+Touchscreen%2C+Large%2C+2-Pair&amp;qid=1695173924&amp;sr=8-1")</f>
        <v>https://www.amazon.com/Klein-60186-Gloves-Cut-Resistant-Touchscreen/dp/B086V5W257/ref=sr_1_1?keywords=Klein+Tools+60186+Work+Gloves%2C+Cut+Level+4%2C+Touchscreen%2C+Large%2C+2-Pair&amp;qid=1695173924&amp;sr=8-1</v>
      </c>
      <c r="F4090" t="s">
        <v>1286</v>
      </c>
      <c r="G4090" t="e">
        <f ca="1">_xludf.IMAGE("https://edmondsonsupply.com/cdn/shop/products/60186.jpg?v=1633030303")</f>
        <v>#NAME?</v>
      </c>
      <c r="H4090" t="e">
        <f ca="1">_xludf.IMAGE("https://m.media-amazon.com/images/I/71lOoZmdSgL._AC_UL320_.jpg")</f>
        <v>#NAME?</v>
      </c>
      <c r="I4090" t="s">
        <v>1287</v>
      </c>
      <c r="J4090">
        <v>16.989999999999998</v>
      </c>
      <c r="K4090" s="4">
        <v>-9.9599999999999994E-2</v>
      </c>
      <c r="L4090">
        <v>4.5999999999999996</v>
      </c>
      <c r="M4090">
        <v>135</v>
      </c>
      <c r="O4090" t="s">
        <v>25</v>
      </c>
      <c r="P4090" t="s">
        <v>1288</v>
      </c>
      <c r="Q4090" t="s">
        <v>1289</v>
      </c>
    </row>
    <row r="4091" spans="1:17" ht="15.5" x14ac:dyDescent="0.35">
      <c r="A4091"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091" s="3" t="str">
        <f>HYPERLINK("https://edmondsonsupply.com/products/klein-tools-d2000-28glw-diagonal-cutting-pliers-hi-viz-8-inch", "https://edmondsonsupply.com/products/klein-tools-d2000-28glw-diagonal-cutting-pliers-hi-viz-8-inch")</f>
        <v>https://edmondsonsupply.com/products/klein-tools-d2000-28glw-diagonal-cutting-pliers-hi-viz-8-inch</v>
      </c>
      <c r="C4091" t="s">
        <v>4233</v>
      </c>
      <c r="D4091" t="s">
        <v>5113</v>
      </c>
      <c r="E4091" s="3" t="str">
        <f>HYPERLINK("https://www.amazon.com/Klein-Tools-D200028GLW-Pliers-Diagonal-Cutters/dp/B00H7PIB66/ref=sr_1_1?keywords=Klein+Tools+D200028GLW+Diagonal+Cutting+Pliers%2C+High-Visibility%2C+8-Inch&amp;qid=1695173928&amp;sr=8-1", "https://www.amazon.com/Klein-Tools-D200028GLW-Pliers-Diagonal-Cutters/dp/B00H7PIB66/ref=sr_1_1?keywords=Klein+Tools+D200028GLW+Diagonal+Cutting+Pliers%2C+High-Visibility%2C+8-Inch&amp;qid=1695173928&amp;sr=8-1")</f>
        <v>https://www.amazon.com/Klein-Tools-D200028GLW-Pliers-Diagonal-Cutters/dp/B00H7PIB66/ref=sr_1_1?keywords=Klein+Tools+D200028GLW+Diagonal+Cutting+Pliers%2C+High-Visibility%2C+8-Inch&amp;qid=1695173928&amp;sr=8-1</v>
      </c>
      <c r="F4091" t="s">
        <v>5114</v>
      </c>
      <c r="G4091" t="e">
        <f ca="1">_xludf.IMAGE("https://edmondsonsupply.com/cdn/shop/products/d200028glw.jpg?v=1633030701")</f>
        <v>#NAME?</v>
      </c>
      <c r="H4091" t="e">
        <f ca="1">_xludf.IMAGE("https://m.media-amazon.com/images/I/41wGfd897cL._AC_UL320_.jpg")</f>
        <v>#NAME?</v>
      </c>
      <c r="I4091" t="s">
        <v>67</v>
      </c>
      <c r="J4091">
        <v>33.75</v>
      </c>
      <c r="K4091" s="4">
        <v>-9.98E-2</v>
      </c>
      <c r="L4091">
        <v>4.7</v>
      </c>
      <c r="M4091">
        <v>497</v>
      </c>
      <c r="O4091" t="s">
        <v>25</v>
      </c>
      <c r="P4091" t="s">
        <v>4236</v>
      </c>
      <c r="Q4091" t="s">
        <v>4237</v>
      </c>
    </row>
    <row r="4092" spans="1:17" ht="15.5" x14ac:dyDescent="0.35">
      <c r="A4092" s="3" t="str">
        <f>HYPERLINK("https://edmondsonsupply.com/collections/electricians-tools/products/klein-tools-j2000-9necr-linemans-pliers-crimping-9-inch", "https://edmondsonsupply.com/collections/electricians-tools/products/klein-tools-j2000-9necr-linemans-pliers-crimping-9-inch")</f>
        <v>https://edmondsonsupply.com/collections/electricians-tools/products/klein-tools-j2000-9necr-linemans-pliers-crimping-9-inch</v>
      </c>
      <c r="B4092" s="3" t="str">
        <f>HYPERLINK("https://edmondsonsupply.com/products/klein-tools-j2000-9necr-linemans-pliers-crimping-9-inch", "https://edmondsonsupply.com/products/klein-tools-j2000-9necr-linemans-pliers-crimping-9-inch")</f>
        <v>https://edmondsonsupply.com/products/klein-tools-j2000-9necr-linemans-pliers-crimping-9-inch</v>
      </c>
      <c r="C4092" t="s">
        <v>8557</v>
      </c>
      <c r="D4092" t="s">
        <v>8558</v>
      </c>
      <c r="E4092" s="3" t="str">
        <f>HYPERLINK("https://www.amazon.com/Leverage-Crimping-Klein-Tools-J2000-9NECR/dp/B001D1KZ0A/ref=sr_1_1?keywords=Klein+Tools+J2000-9NECR+Linemans+Pliers%2C+Crimping%2C+9-Inch&amp;qid=1695174223&amp;sr=8-1", "https://www.amazon.com/Leverage-Crimping-Klein-Tools-J2000-9NECR/dp/B001D1KZ0A/ref=sr_1_1?keywords=Klein+Tools+J2000-9NECR+Linemans+Pliers%2C+Crimping%2C+9-Inch&amp;qid=1695174223&amp;sr=8-1")</f>
        <v>https://www.amazon.com/Leverage-Crimping-Klein-Tools-J2000-9NECR/dp/B001D1KZ0A/ref=sr_1_1?keywords=Klein+Tools+J2000-9NECR+Linemans+Pliers%2C+Crimping%2C+9-Inch&amp;qid=1695174223&amp;sr=8-1</v>
      </c>
      <c r="F4092" t="s">
        <v>8559</v>
      </c>
      <c r="G4092" t="e">
        <f ca="1">_xludf.IMAGE("https://edmondsonsupply.com/cdn/shop/products/j20009necr.jpg?v=1642121245")</f>
        <v>#NAME?</v>
      </c>
      <c r="H4092" t="e">
        <f ca="1">_xludf.IMAGE("https://m.media-amazon.com/images/I/512SCXAAqRL._AC_UL320_.jpg")</f>
        <v>#NAME?</v>
      </c>
      <c r="I4092" t="s">
        <v>905</v>
      </c>
      <c r="J4092">
        <v>53.99</v>
      </c>
      <c r="K4092" s="4">
        <v>-0.1</v>
      </c>
      <c r="L4092">
        <v>4.8</v>
      </c>
      <c r="M4092">
        <v>1616</v>
      </c>
      <c r="O4092" t="s">
        <v>25</v>
      </c>
      <c r="P4092" t="s">
        <v>8560</v>
      </c>
      <c r="Q4092" t="s">
        <v>8561</v>
      </c>
    </row>
    <row r="4093" spans="1:17" ht="15.5" x14ac:dyDescent="0.35">
      <c r="A4093"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4093" s="3" t="str">
        <f>HYPERLINK("https://edmondsonsupply.com/products/klein-tools-44005c-hawkbill-lockback-knife-with-clip", "https://edmondsonsupply.com/products/klein-tools-44005c-hawkbill-lockback-knife-with-clip")</f>
        <v>https://edmondsonsupply.com/products/klein-tools-44005c-hawkbill-lockback-knife-with-clip</v>
      </c>
      <c r="C4093" t="s">
        <v>7808</v>
      </c>
      <c r="D4093" t="s">
        <v>8562</v>
      </c>
      <c r="E4093" s="3" t="str">
        <f>HYPERLINK("https://www.amazon.com/Hawkbill-Lockback-Klein-Tools-44005C/dp/B077TJF895/ref=sr_1_1?keywords=Klein+Tools+44005C+Hawkbill+Lockback+Knife+with+Clip&amp;qid=1695174149&amp;sr=8-1", "https://www.amazon.com/Hawkbill-Lockback-Klein-Tools-44005C/dp/B077TJF895/ref=sr_1_1?keywords=Klein+Tools+44005C+Hawkbill+Lockback+Knife+with+Clip&amp;qid=1695174149&amp;sr=8-1")</f>
        <v>https://www.amazon.com/Hawkbill-Lockback-Klein-Tools-44005C/dp/B077TJF895/ref=sr_1_1?keywords=Klein+Tools+44005C+Hawkbill+Lockback+Knife+with+Clip&amp;qid=1695174149&amp;sr=8-1</v>
      </c>
      <c r="F4093" t="s">
        <v>8563</v>
      </c>
      <c r="G4093" t="e">
        <f ca="1">_xludf.IMAGE("https://edmondsonsupply.com/cdn/shop/products/44005c.jpg?v=1664810854")</f>
        <v>#NAME?</v>
      </c>
      <c r="H4093" t="e">
        <f ca="1">_xludf.IMAGE("https://m.media-amazon.com/images/I/41uFQxfj4YL._AC_UL320_.jpg")</f>
        <v>#NAME?</v>
      </c>
      <c r="I4093" t="s">
        <v>1931</v>
      </c>
      <c r="J4093">
        <v>44.99</v>
      </c>
      <c r="K4093" s="4">
        <v>-0.1</v>
      </c>
      <c r="L4093">
        <v>4.2</v>
      </c>
      <c r="M4093">
        <v>142</v>
      </c>
      <c r="O4093" t="s">
        <v>25</v>
      </c>
      <c r="P4093" t="s">
        <v>7811</v>
      </c>
      <c r="Q4093" t="s">
        <v>7812</v>
      </c>
    </row>
    <row r="4094" spans="1:17" ht="15.5" x14ac:dyDescent="0.35">
      <c r="A4094" s="3" t="str">
        <f>HYPERLINK("https://edmondsonsupply.com/collections/electricians-tools/products/klein-tools-31922-bi-metal-hole-saw-1-3-8-inch", "https://edmondsonsupply.com/collections/electricians-tools/products/klein-tools-31922-bi-metal-hole-saw-1-3-8-inch")</f>
        <v>https://edmondsonsupply.com/collections/electricians-tools/products/klein-tools-31922-bi-metal-hole-saw-1-3-8-inch</v>
      </c>
      <c r="B4094" s="3" t="str">
        <f>HYPERLINK("https://edmondsonsupply.com/products/klein-tools-31922-bi-metal-hole-saw-1-3-8-inch", "https://edmondsonsupply.com/products/klein-tools-31922-bi-metal-hole-saw-1-3-8-inch")</f>
        <v>https://edmondsonsupply.com/products/klein-tools-31922-bi-metal-hole-saw-1-3-8-inch</v>
      </c>
      <c r="C4094" t="s">
        <v>6049</v>
      </c>
      <c r="D4094" t="s">
        <v>6049</v>
      </c>
      <c r="E4094" s="3" t="str">
        <f>HYPERLINK("https://www.amazon.com/Bi-Metal-8-Inch-Klein-Tools-31922/dp/B019874Q0K/ref=sr_1_1?keywords=Klein+Tools+31922+Bi-Metal+Hole+Saw%2C+1-3%2F8-Inch&amp;qid=1695174231&amp;sr=8-1", "https://www.amazon.com/Bi-Metal-8-Inch-Klein-Tools-31922/dp/B019874Q0K/ref=sr_1_1?keywords=Klein+Tools+31922+Bi-Metal+Hole+Saw%2C+1-3%2F8-Inch&amp;qid=1695174231&amp;sr=8-1")</f>
        <v>https://www.amazon.com/Bi-Metal-8-Inch-Klein-Tools-31922/dp/B019874Q0K/ref=sr_1_1?keywords=Klein+Tools+31922+Bi-Metal+Hole+Saw%2C+1-3%2F8-Inch&amp;qid=1695174231&amp;sr=8-1</v>
      </c>
      <c r="F4094" t="s">
        <v>7576</v>
      </c>
      <c r="G4094" t="e">
        <f ca="1">_xludf.IMAGE("https://edmondsonsupply.com/cdn/shop/products/31922.jpg?v=1663943738")</f>
        <v>#NAME?</v>
      </c>
      <c r="H4094" t="e">
        <f ca="1">_xludf.IMAGE("https://m.media-amazon.com/images/I/41GAmyLoB4L._AC_UL320_.jpg")</f>
        <v>#NAME?</v>
      </c>
      <c r="I4094" t="s">
        <v>2577</v>
      </c>
      <c r="J4094">
        <v>8.99</v>
      </c>
      <c r="K4094" s="4">
        <v>-0.10009999999999999</v>
      </c>
      <c r="L4094">
        <v>4.5</v>
      </c>
      <c r="M4094">
        <v>366</v>
      </c>
      <c r="O4094" t="s">
        <v>25</v>
      </c>
      <c r="P4094" t="s">
        <v>1271</v>
      </c>
      <c r="Q4094" t="s">
        <v>6050</v>
      </c>
    </row>
    <row r="4095" spans="1:17" ht="15.5" x14ac:dyDescent="0.35">
      <c r="A4095"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4095" s="3" t="str">
        <f>HYPERLINK("https://edmondsonsupply.com/products/klein-tools-jth4e17-1-2-inch-hex-key-journeyman-t-handle-4-inch", "https://edmondsonsupply.com/products/klein-tools-jth4e17-1-2-inch-hex-key-journeyman-t-handle-4-inch")</f>
        <v>https://edmondsonsupply.com/products/klein-tools-jth4e17-1-2-inch-hex-key-journeyman-t-handle-4-inch</v>
      </c>
      <c r="C4095" t="s">
        <v>2385</v>
      </c>
      <c r="D4095" t="s">
        <v>5118</v>
      </c>
      <c r="E4095" s="3" t="str">
        <f>HYPERLINK("https://www.amazon.com/Journeyman-T-Handle-Klein-Tools-JTH9E10/dp/B004QV8H90/ref=sr_1_3?keywords=Klein+Tools+JTH4E11+3%2F16-Inch+Hex+Key+with+Journeyman+T-Handle%2C+4-Inch&amp;qid=1695173897&amp;sr=8-3", "https://www.amazon.com/Journeyman-T-Handle-Klein-Tools-JTH9E10/dp/B004QV8H90/ref=sr_1_3?keywords=Klein+Tools+JTH4E11+3%2F16-Inch+Hex+Key+with+Journeyman+T-Handle%2C+4-Inch&amp;qid=1695173897&amp;sr=8-3")</f>
        <v>https://www.amazon.com/Journeyman-T-Handle-Klein-Tools-JTH9E10/dp/B004QV8H90/ref=sr_1_3?keywords=Klein+Tools+JTH4E11+3%2F16-Inch+Hex+Key+with+Journeyman+T-Handle%2C+4-Inch&amp;qid=1695173897&amp;sr=8-3</v>
      </c>
      <c r="F4095" t="s">
        <v>5119</v>
      </c>
      <c r="G4095" t="e">
        <f ca="1">_xludf.IMAGE("https://edmondsonsupply.com/cdn/shop/products/jth4e17.jpg?v=1587144836")</f>
        <v>#NAME?</v>
      </c>
      <c r="H4095" t="e">
        <f ca="1">_xludf.IMAGE("https://m.media-amazon.com/images/I/51Yb8h41vLL._AC_UL320_.jpg")</f>
        <v>#NAME?</v>
      </c>
      <c r="I4095" t="s">
        <v>2388</v>
      </c>
      <c r="J4095">
        <v>4.49</v>
      </c>
      <c r="K4095" s="4">
        <v>-0.1002</v>
      </c>
      <c r="L4095">
        <v>4.8</v>
      </c>
      <c r="M4095">
        <v>294</v>
      </c>
      <c r="O4095" t="s">
        <v>25</v>
      </c>
      <c r="P4095" t="s">
        <v>2389</v>
      </c>
      <c r="Q4095" t="s">
        <v>2390</v>
      </c>
    </row>
    <row r="4096" spans="1:17" ht="15.5" x14ac:dyDescent="0.35">
      <c r="A4096"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4096" s="3" t="str">
        <f>HYPERLINK("https://edmondsonsupply.com/products/klein-tools-jth9m5-5-mm-hex-key-journeyman-t-handle-9-inch", "https://edmondsonsupply.com/products/klein-tools-jth9m5-5-mm-hex-key-journeyman-t-handle-9-inch")</f>
        <v>https://edmondsonsupply.com/products/klein-tools-jth9m5-5-mm-hex-key-journeyman-t-handle-9-inch</v>
      </c>
      <c r="C4096" t="s">
        <v>6167</v>
      </c>
      <c r="D4096" t="s">
        <v>5118</v>
      </c>
      <c r="E4096" s="3" t="str">
        <f>HYPERLINK("https://www.amazon.com/Journeyman-T-Handle-Klein-Tools-JTH9E10/dp/B004QV8H90/ref=sr_1_6?keywords=Klein+Tools+JTH9M5+5+mm+Hex+Key%2C+Journeyman+T-Handle+9-Inch&amp;qid=1695174264&amp;sr=8-6", "https://www.amazon.com/Journeyman-T-Handle-Klein-Tools-JTH9E10/dp/B004QV8H90/ref=sr_1_6?keywords=Klein+Tools+JTH9M5+5+mm+Hex+Key%2C+Journeyman+T-Handle+9-Inch&amp;qid=1695174264&amp;sr=8-6")</f>
        <v>https://www.amazon.com/Journeyman-T-Handle-Klein-Tools-JTH9E10/dp/B004QV8H90/ref=sr_1_6?keywords=Klein+Tools+JTH9M5+5+mm+Hex+Key%2C+Journeyman+T-Handle+9-Inch&amp;qid=1695174264&amp;sr=8-6</v>
      </c>
      <c r="F4096" t="s">
        <v>5119</v>
      </c>
      <c r="G4096" t="e">
        <f ca="1">_xludf.IMAGE("https://edmondsonsupply.com/cdn/shop/products/jth9m_84ad507b-889a-4b5c-80a2-9633c898cd48.jpg?v=1633031048")</f>
        <v>#NAME?</v>
      </c>
      <c r="H4096" t="e">
        <f ca="1">_xludf.IMAGE("https://m.media-amazon.com/images/I/51Yb8h41vLL._AC_UL320_.jpg")</f>
        <v>#NAME?</v>
      </c>
      <c r="I4096" t="s">
        <v>2388</v>
      </c>
      <c r="J4096">
        <v>4.49</v>
      </c>
      <c r="K4096" s="4">
        <v>-0.1002</v>
      </c>
      <c r="L4096">
        <v>4.8</v>
      </c>
      <c r="M4096">
        <v>294</v>
      </c>
      <c r="O4096" t="s">
        <v>25</v>
      </c>
      <c r="P4096" t="s">
        <v>6168</v>
      </c>
      <c r="Q4096" t="s">
        <v>6169</v>
      </c>
    </row>
    <row r="4097" spans="1:17" ht="15.5" x14ac:dyDescent="0.35">
      <c r="A4097"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4097"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4097" t="s">
        <v>6812</v>
      </c>
      <c r="D4097" t="s">
        <v>8254</v>
      </c>
      <c r="E4097" s="3" t="str">
        <f>HYPERLINK("https://www.amazon.com/Screwdriver-Terminal-Klein-Tools-612-4/dp/B0058I6VNE/ref=sr_1_6?keywords=Klein+Tools+6824INS+Insulated+Screwdriver%2C+1%2F4-Inch+Cabinet+Tip%2C+4-Inch+Round+Shank&amp;qid=1695174148&amp;sr=8-6", "https://www.amazon.com/Screwdriver-Terminal-Klein-Tools-612-4/dp/B0058I6VNE/ref=sr_1_6?keywords=Klein+Tools+6824INS+Insulated+Screwdriver%2C+1%2F4-Inch+Cabinet+Tip%2C+4-Inch+Round+Shank&amp;qid=1695174148&amp;sr=8-6")</f>
        <v>https://www.amazon.com/Screwdriver-Terminal-Klein-Tools-612-4/dp/B0058I6VNE/ref=sr_1_6?keywords=Klein+Tools+6824INS+Insulated+Screwdriver%2C+1%2F4-Inch+Cabinet+Tip%2C+4-Inch+Round+Shank&amp;qid=1695174148&amp;sr=8-6</v>
      </c>
      <c r="F4097" t="s">
        <v>8255</v>
      </c>
      <c r="G4097" t="e">
        <f ca="1">_xludf.IMAGE("https://edmondsonsupply.com/cdn/shop/products/6824ins.jpg?v=1664813487")</f>
        <v>#NAME?</v>
      </c>
      <c r="H4097" t="e">
        <f ca="1">_xludf.IMAGE("https://m.media-amazon.com/images/I/51APfPlk95L._AC_UL320_.jpg")</f>
        <v>#NAME?</v>
      </c>
      <c r="I4097" t="s">
        <v>1427</v>
      </c>
      <c r="J4097">
        <v>8.9700000000000006</v>
      </c>
      <c r="K4097" s="4">
        <v>-0.1003</v>
      </c>
      <c r="L4097">
        <v>4.8</v>
      </c>
      <c r="M4097">
        <v>1956</v>
      </c>
      <c r="O4097" t="s">
        <v>25</v>
      </c>
      <c r="P4097" t="s">
        <v>6813</v>
      </c>
      <c r="Q4097" t="s">
        <v>6814</v>
      </c>
    </row>
    <row r="4098" spans="1:17" ht="15.5" x14ac:dyDescent="0.35">
      <c r="A4098" s="3" t="str">
        <f>HYPERLINK("https://edmondsonsupply.com/collections/electricians-tools/products/diablo-tools-dsc-s24-24-pc-screwdriving-set", "https://edmondsonsupply.com/collections/electricians-tools/products/diablo-tools-dsc-s24-24-pc-screwdriving-set")</f>
        <v>https://edmondsonsupply.com/collections/electricians-tools/products/diablo-tools-dsc-s24-24-pc-screwdriving-set</v>
      </c>
      <c r="B4098" s="3" t="str">
        <f>HYPERLINK("https://edmondsonsupply.com/products/diablo-tools-dsc-s24-24-pc-screwdriving-set", "https://edmondsonsupply.com/products/diablo-tools-dsc-s24-24-pc-screwdriving-set")</f>
        <v>https://edmondsonsupply.com/products/diablo-tools-dsc-s24-24-pc-screwdriving-set</v>
      </c>
      <c r="C4098" t="s">
        <v>8564</v>
      </c>
      <c r="D4098" t="s">
        <v>8565</v>
      </c>
      <c r="E4098" s="3" t="str">
        <f>HYPERLINK("https://www.amazon.com/Diablo-DSC-S24-Screwdriving-Set-24-Piece/dp/B089KMKTNT/ref=sr_1_1?keywords=Diablo+Tools+DSC-S24+24+pc+Screwdriving+Set&amp;qid=1695174065&amp;sr=8-1", "https://www.amazon.com/Diablo-DSC-S24-Screwdriving-Set-24-Piece/dp/B089KMKTNT/ref=sr_1_1?keywords=Diablo+Tools+DSC-S24+24+pc+Screwdriving+Set&amp;qid=1695174065&amp;sr=8-1")</f>
        <v>https://www.amazon.com/Diablo-DSC-S24-Screwdriving-Set-24-Piece/dp/B089KMKTNT/ref=sr_1_1?keywords=Diablo+Tools+DSC-S24+24+pc+Screwdriving+Set&amp;qid=1695174065&amp;sr=8-1</v>
      </c>
      <c r="F4098" t="s">
        <v>8566</v>
      </c>
      <c r="G4098" t="e">
        <f ca="1">_xludf.IMAGE("https://edmondsonsupply.com/cdn/shop/products/jzusdiqrmdplkny7o0gq.webp?v=1678464202")</f>
        <v>#NAME?</v>
      </c>
      <c r="H4098" t="e">
        <f ca="1">_xludf.IMAGE("https://m.media-amazon.com/images/I/81KQZtvYotL._AC_UL320_.jpg")</f>
        <v>#NAME?</v>
      </c>
      <c r="I4098" t="s">
        <v>893</v>
      </c>
      <c r="J4098">
        <v>17.95</v>
      </c>
      <c r="K4098" s="4">
        <v>-0.1012</v>
      </c>
      <c r="L4098">
        <v>4</v>
      </c>
      <c r="M4098">
        <v>8</v>
      </c>
      <c r="O4098" t="s">
        <v>25</v>
      </c>
      <c r="P4098" t="s">
        <v>8567</v>
      </c>
      <c r="Q4098" t="s">
        <v>8568</v>
      </c>
    </row>
    <row r="4099" spans="1:17" ht="15.5" x14ac:dyDescent="0.35">
      <c r="A4099" s="3" t="str">
        <f>HYPERLINK("https://edmondsonsupply.com/collections/electricians-tools/products/diablo-tools-dsf2125-2-1-8-dia-speedemon%E2%84%A2-self-feed-bit", "https://edmondsonsupply.com/collections/electricians-tools/products/diablo-tools-dsf2125-2-1-8-dia-speedemon%E2%84%A2-self-feed-bit")</f>
        <v>https://edmondsonsupply.com/collections/electricians-tools/products/diablo-tools-dsf2125-2-1-8-dia-speedemon%E2%84%A2-self-feed-bit</v>
      </c>
      <c r="B4099" s="3" t="str">
        <f>HYPERLINK("https://edmondsonsupply.com/products/diablo-tools-dsf2125-2-1-8-dia-speedemon%e2%84%a2-self-feed-bit", "https://edmondsonsupply.com/products/diablo-tools-dsf2125-2-1-8-dia-speedemon%e2%84%a2-self-feed-bit")</f>
        <v>https://edmondsonsupply.com/products/diablo-tools-dsf2125-2-1-8-dia-speedemon%e2%84%a2-self-feed-bit</v>
      </c>
      <c r="C4099" t="s">
        <v>8569</v>
      </c>
      <c r="D4099" t="s">
        <v>8570</v>
      </c>
      <c r="E4099" s="3" t="str">
        <f>HYPERLINK("https://www.amazon.com/Diablo-2-1-Self-Feed-DSF2125/dp/B07YKXNLKK/ref=sr_1_1?keywords=Diablo+Tools+DSF2125+2-1%2F8%22+Dia.+SPEEDemon%E2%84%A2+Self+Feed+Bit&amp;qid=1695174254&amp;sr=8-1", "https://www.amazon.com/Diablo-2-1-Self-Feed-DSF2125/dp/B07YKXNLKK/ref=sr_1_1?keywords=Diablo+Tools+DSF2125+2-1%2F8%22+Dia.+SPEEDemon%E2%84%A2+Self+Feed+Bit&amp;qid=1695174254&amp;sr=8-1")</f>
        <v>https://www.amazon.com/Diablo-2-1-Self-Feed-DSF2125/dp/B07YKXNLKK/ref=sr_1_1?keywords=Diablo+Tools+DSF2125+2-1%2F8%22+Dia.+SPEEDemon%E2%84%A2+Self+Feed+Bit&amp;qid=1695174254&amp;sr=8-1</v>
      </c>
      <c r="F4099" t="s">
        <v>8571</v>
      </c>
      <c r="G4099" t="e">
        <f ca="1">_xludf.IMAGE("https://edmondsonsupply.com/cdn/shop/products/DSF2125_Main-Image.png?v=1633031104")</f>
        <v>#NAME?</v>
      </c>
      <c r="H4099" t="e">
        <f ca="1">_xludf.IMAGE("https://m.media-amazon.com/images/I/51iM6LPEMcL._AC_UL320_.jpg")</f>
        <v>#NAME?</v>
      </c>
      <c r="I4099" t="s">
        <v>8572</v>
      </c>
      <c r="J4099">
        <v>44</v>
      </c>
      <c r="K4099" s="4">
        <v>-0.10150000000000001</v>
      </c>
      <c r="L4099">
        <v>4.7</v>
      </c>
      <c r="M4099">
        <v>3</v>
      </c>
      <c r="O4099" t="s">
        <v>25</v>
      </c>
      <c r="P4099" t="s">
        <v>8573</v>
      </c>
      <c r="Q4099" t="s">
        <v>8574</v>
      </c>
    </row>
    <row r="4100" spans="1:17" ht="15.5" x14ac:dyDescent="0.35">
      <c r="A4100"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4100"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4100" t="s">
        <v>7470</v>
      </c>
      <c r="D4100" t="s">
        <v>8575</v>
      </c>
      <c r="E4100" s="3" t="str">
        <f>HYPERLINK("https://www.amazon.com/Crescent-Lufkin-Command-Control-Measure/dp/B09PGZJR23/ref=sr_1_1?keywords=Crescent+Lufkin+L1025C-02+1-3%2F16%22+x+25%27+Command+Control+Series%E2%84%A2+Yellow+Clad+Tape+Measure&amp;qid=1695174033&amp;sr=8-1", "https://www.amazon.com/Crescent-Lufkin-Command-Control-Measure/dp/B09PGZJR23/ref=sr_1_1?keywords=Crescent+Lufkin+L1025C-02+1-3%2F16%22+x+25%27+Command+Control+Series%E2%84%A2+Yellow+Clad+Tape+Measure&amp;qid=1695174033&amp;sr=8-1")</f>
        <v>https://www.amazon.com/Crescent-Lufkin-Command-Control-Measure/dp/B09PGZJR23/ref=sr_1_1?keywords=Crescent+Lufkin+L1025C-02+1-3%2F16%22+x+25%27+Command+Control+Series%E2%84%A2+Yellow+Clad+Tape+Measure&amp;qid=1695174033&amp;sr=8-1</v>
      </c>
      <c r="F4100" t="s">
        <v>8576</v>
      </c>
      <c r="G4100" t="e">
        <f ca="1">_xludf.IMAGE("https://edmondsonsupply.com/cdn/shop/products/LFK_L1025C_4-SIDES_IMG-MAIN1.jpg?v=1680013140")</f>
        <v>#NAME?</v>
      </c>
      <c r="H4100" t="e">
        <f ca="1">_xludf.IMAGE("https://m.media-amazon.com/images/I/71PfA+jPHAL._AC_UL320_.jpg")</f>
        <v>#NAME?</v>
      </c>
      <c r="I4100" t="s">
        <v>7473</v>
      </c>
      <c r="J4100">
        <v>13.99</v>
      </c>
      <c r="K4100" s="4">
        <v>-0.1026</v>
      </c>
      <c r="L4100">
        <v>3.9</v>
      </c>
      <c r="M4100">
        <v>19</v>
      </c>
      <c r="O4100" t="s">
        <v>25</v>
      </c>
      <c r="P4100" t="s">
        <v>6822</v>
      </c>
      <c r="Q4100" t="s">
        <v>7474</v>
      </c>
    </row>
    <row r="4101" spans="1:17" ht="15.5" x14ac:dyDescent="0.35">
      <c r="A4101" s="3" t="str">
        <f>HYPERLINK("https://edmondsonsupply.com/collections/electricians-tools/products/klein-tools-450-410-self-adhesive-cable-mounting-clips-3-slot-10-pack", "https://edmondsonsupply.com/collections/electricians-tools/products/klein-tools-450-410-self-adhesive-cable-mounting-clips-3-slot-10-pack")</f>
        <v>https://edmondsonsupply.com/collections/electricians-tools/products/klein-tools-450-410-self-adhesive-cable-mounting-clips-3-slot-10-pack</v>
      </c>
      <c r="B4101" s="3" t="str">
        <f>HYPERLINK("https://edmondsonsupply.com/products/klein-tools-450-410-self-adhesive-cable-mounting-clips-3-slot-10-pack", "https://edmondsonsupply.com/products/klein-tools-450-410-self-adhesive-cable-mounting-clips-3-slot-10-pack")</f>
        <v>https://edmondsonsupply.com/products/klein-tools-450-410-self-adhesive-cable-mounting-clips-3-slot-10-pack</v>
      </c>
      <c r="C4101" t="s">
        <v>8577</v>
      </c>
      <c r="D4101" t="s">
        <v>8578</v>
      </c>
      <c r="E4101" s="3" t="str">
        <f>HYPERLINK("https://www.amazon.com/Self-Adhesive-Management-Permanent-Klein-Tools/dp/B095N6FDKY/ref=sr_1_1?keywords=Klein+Tools+450-410+Self-Adhesive+Cable+Mounting+Clips%2C+3-Slot+%2810-Pack%29&amp;qid=1695174162&amp;sr=8-1", "https://www.amazon.com/Self-Adhesive-Management-Permanent-Klein-Tools/dp/B095N6FDKY/ref=sr_1_1?keywords=Klein+Tools+450-410+Self-Adhesive+Cable+Mounting+Clips%2C+3-Slot+%2810-Pack%29&amp;qid=1695174162&amp;sr=8-1")</f>
        <v>https://www.amazon.com/Self-Adhesive-Management-Permanent-Klein-Tools/dp/B095N6FDKY/ref=sr_1_1?keywords=Klein+Tools+450-410+Self-Adhesive+Cable+Mounting+Clips%2C+3-Slot+%2810-Pack%29&amp;qid=1695174162&amp;sr=8-1</v>
      </c>
      <c r="F4101" t="s">
        <v>8579</v>
      </c>
      <c r="G4101" t="e">
        <f ca="1">_xludf.IMAGE("https://edmondsonsupply.com/cdn/shop/products/450410.jpg?v=1663950084")</f>
        <v>#NAME?</v>
      </c>
      <c r="H4101" t="e">
        <f ca="1">_xludf.IMAGE("https://m.media-amazon.com/images/I/51N22kCupdL._AC_UY218_.jpg")</f>
        <v>#NAME?</v>
      </c>
      <c r="I4101" t="s">
        <v>2577</v>
      </c>
      <c r="J4101">
        <v>8.9600000000000009</v>
      </c>
      <c r="K4101" s="4">
        <v>-0.1031</v>
      </c>
      <c r="L4101">
        <v>3.9</v>
      </c>
      <c r="M4101">
        <v>22</v>
      </c>
      <c r="O4101" t="s">
        <v>25</v>
      </c>
      <c r="P4101" t="s">
        <v>7222</v>
      </c>
      <c r="Q4101" t="s">
        <v>8580</v>
      </c>
    </row>
    <row r="4102" spans="1:17" ht="15.5" x14ac:dyDescent="0.35">
      <c r="A4102"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4102"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4102" t="s">
        <v>5880</v>
      </c>
      <c r="D4102" t="s">
        <v>5920</v>
      </c>
      <c r="E4102" s="3" t="str">
        <f>HYPERLINK("https://www.amazon.com/Diablo-DMAMXCC5040-SDS-Max-Carbide-Tipped/dp/B089M9SDDV/ref=sr_1_3?keywords=Diablo+Tools+DMAMXCC5030+3-1%2F4+in.+x+7+in.+SDS-Max+Carbide+Tipped+Core+Bit&amp;qid=1695174010&amp;sr=8-3", "https://www.amazon.com/Diablo-DMAMXCC5040-SDS-Max-Carbide-Tipped/dp/B089M9SDDV/ref=sr_1_3?keywords=Diablo+Tools+DMAMXCC5030+3-1%2F4+in.+x+7+in.+SDS-Max+Carbide+Tipped+Core+Bit&amp;qid=1695174010&amp;sr=8-3")</f>
        <v>https://www.amazon.com/Diablo-DMAMXCC5040-SDS-Max-Carbide-Tipped/dp/B089M9SDDV/ref=sr_1_3?keywords=Diablo+Tools+DMAMXCC5030+3-1%2F4+in.+x+7+in.+SDS-Max+Carbide+Tipped+Core+Bit&amp;qid=1695174010&amp;sr=8-3</v>
      </c>
      <c r="F4102" t="s">
        <v>5921</v>
      </c>
      <c r="G4102" t="e">
        <f ca="1">_xludf.IMAGE("https://edmondsonsupply.com/cdn/shop/files/gtygiwnduxetozty2qne.webp?v=1686585332")</f>
        <v>#NAME?</v>
      </c>
      <c r="H4102" t="e">
        <f ca="1">_xludf.IMAGE("https://m.media-amazon.com/images/I/71hVl4OIfrL._AC_UL320_.jpg")</f>
        <v>#NAME?</v>
      </c>
      <c r="I4102" t="s">
        <v>5883</v>
      </c>
      <c r="J4102">
        <v>112.99</v>
      </c>
      <c r="K4102" s="4">
        <v>-0.1032</v>
      </c>
      <c r="L4102">
        <v>4</v>
      </c>
      <c r="M4102">
        <v>1</v>
      </c>
      <c r="O4102" t="s">
        <v>25</v>
      </c>
      <c r="P4102" t="s">
        <v>5884</v>
      </c>
      <c r="Q4102" t="s">
        <v>5885</v>
      </c>
    </row>
    <row r="4103" spans="1:17" ht="15.5" x14ac:dyDescent="0.35">
      <c r="A4103"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4103"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4103" t="s">
        <v>8581</v>
      </c>
      <c r="D4103" t="s">
        <v>8582</v>
      </c>
      <c r="E4103" s="3" t="str">
        <f>HYPERLINK("https://www.amazon.com/Milwaukee-2767-20-Torque-Friction-Renewed/dp/B07X1N4XHX/ref=sr_1_3?keywords=Milwaukee+2767-20+M18+FUEL%E2%84%A2+1%2F2%22+High+Torque+Impact+Wrench+with+Friction+Ring+%28Tool+Only%29&amp;qid=1695174206&amp;sr=8-3", "https://www.amazon.com/Milwaukee-2767-20-Torque-Friction-Renewed/dp/B07X1N4XHX/ref=sr_1_3?keywords=Milwaukee+2767-20+M18+FUEL%E2%84%A2+1%2F2%22+High+Torque+Impact+Wrench+with+Friction+Ring+%28Tool+Only%29&amp;qid=1695174206&amp;sr=8-3")</f>
        <v>https://www.amazon.com/Milwaukee-2767-20-Torque-Friction-Renewed/dp/B07X1N4XHX/ref=sr_1_3?keywords=Milwaukee+2767-20+M18+FUEL%E2%84%A2+1%2F2%22+High+Torque+Impact+Wrench+with+Friction+Ring+%28Tool+Only%29&amp;qid=1695174206&amp;sr=8-3</v>
      </c>
      <c r="F4103" t="s">
        <v>8583</v>
      </c>
      <c r="G4103" t="e">
        <f ca="1">_xludf.IMAGE("https://edmondsonsupply.com/cdn/shop/products/2767-20_1.webp?v=1668441181")</f>
        <v>#NAME?</v>
      </c>
      <c r="H4103" t="e">
        <f ca="1">_xludf.IMAGE("https://m.media-amazon.com/images/I/71LQmW-OGaL._AC_UL320_.jpg")</f>
        <v>#NAME?</v>
      </c>
      <c r="I4103" t="s">
        <v>698</v>
      </c>
      <c r="J4103">
        <v>249.95</v>
      </c>
      <c r="K4103" s="4">
        <v>-0.1041</v>
      </c>
      <c r="L4103">
        <v>4.8</v>
      </c>
      <c r="M4103">
        <v>21</v>
      </c>
      <c r="O4103" t="s">
        <v>25</v>
      </c>
      <c r="P4103" t="s">
        <v>8584</v>
      </c>
      <c r="Q4103" t="s">
        <v>8585</v>
      </c>
    </row>
    <row r="4104" spans="1:17" ht="15.5" x14ac:dyDescent="0.35">
      <c r="A4104"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4104"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4104" t="s">
        <v>6940</v>
      </c>
      <c r="D4104" t="s">
        <v>8586</v>
      </c>
      <c r="E4104" s="3" t="str">
        <f>HYPERLINK("https://www.amazon.com/Diablo-Universal-Carbide-Oscillating-Blade/dp/B089LHKRPN/ref=sr_1_7?keywords=Diablo+Tools+DOU125BF+1-1%2F4+in.+Universal+Fit+Bi-Metal+Oscillating+Blade+for+Metal&amp;qid=1695174025&amp;sr=8-7", "https://www.amazon.com/Diablo-Universal-Carbide-Oscillating-Blade/dp/B089LHKRPN/ref=sr_1_7?keywords=Diablo+Tools+DOU125BF+1-1%2F4+in.+Universal+Fit+Bi-Metal+Oscillating+Blade+for+Metal&amp;qid=1695174025&amp;sr=8-7")</f>
        <v>https://www.amazon.com/Diablo-Universal-Carbide-Oscillating-Blade/dp/B089LHKRPN/ref=sr_1_7?keywords=Diablo+Tools+DOU125BF+1-1%2F4+in.+Universal+Fit+Bi-Metal+Oscillating+Blade+for+Metal&amp;qid=1695174025&amp;sr=8-7</v>
      </c>
      <c r="F4104" t="s">
        <v>8587</v>
      </c>
      <c r="G4104" t="e">
        <f ca="1">_xludf.IMAGE("https://edmondsonsupply.com/cdn/shop/files/k1d1qiwmm4npznsdbwtg.webp?v=1685467858")</f>
        <v>#NAME?</v>
      </c>
      <c r="H4104" t="e">
        <f ca="1">_xludf.IMAGE("https://m.media-amazon.com/images/I/71izb0UUOkL._AC_UL320_.jpg")</f>
        <v>#NAME?</v>
      </c>
      <c r="I4104" t="s">
        <v>6164</v>
      </c>
      <c r="J4104">
        <v>16.989999999999998</v>
      </c>
      <c r="K4104" s="4">
        <v>-0.10440000000000001</v>
      </c>
      <c r="L4104">
        <v>4.3</v>
      </c>
      <c r="M4104">
        <v>19</v>
      </c>
      <c r="O4104" t="s">
        <v>25</v>
      </c>
      <c r="P4104" t="s">
        <v>6943</v>
      </c>
      <c r="Q4104" t="s">
        <v>6944</v>
      </c>
    </row>
    <row r="4105" spans="1:17" ht="15.5" x14ac:dyDescent="0.35">
      <c r="A4105"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4105"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4105" t="s">
        <v>6940</v>
      </c>
      <c r="D4105" t="s">
        <v>7662</v>
      </c>
      <c r="E4105" s="3" t="str">
        <f>HYPERLINK("https://www.amazon.com/Diablo-Freud-DOU125BF3-Universal-Oscillating/dp/B089KTHL1Z/ref=sr_1_3?keywords=Diablo+Tools+DOU125BF+1-1%2F4+in.+Universal+Fit+Bi-Metal+Oscillating+Blade+for+Metal&amp;qid=1695174025&amp;sr=8-3", "https://www.amazon.com/Diablo-Freud-DOU125BF3-Universal-Oscillating/dp/B089KTHL1Z/ref=sr_1_3?keywords=Diablo+Tools+DOU125BF+1-1%2F4+in.+Universal+Fit+Bi-Metal+Oscillating+Blade+for+Metal&amp;qid=1695174025&amp;sr=8-3")</f>
        <v>https://www.amazon.com/Diablo-Freud-DOU125BF3-Universal-Oscillating/dp/B089KTHL1Z/ref=sr_1_3?keywords=Diablo+Tools+DOU125BF+1-1%2F4+in.+Universal+Fit+Bi-Metal+Oscillating+Blade+for+Metal&amp;qid=1695174025&amp;sr=8-3</v>
      </c>
      <c r="F4105" t="s">
        <v>7663</v>
      </c>
      <c r="G4105" t="e">
        <f ca="1">_xludf.IMAGE("https://edmondsonsupply.com/cdn/shop/files/k1d1qiwmm4npznsdbwtg.webp?v=1685467858")</f>
        <v>#NAME?</v>
      </c>
      <c r="H4105" t="e">
        <f ca="1">_xludf.IMAGE("https://m.media-amazon.com/images/I/61mZfXlj-XL._AC_UL320_.jpg")</f>
        <v>#NAME?</v>
      </c>
      <c r="I4105" t="s">
        <v>6164</v>
      </c>
      <c r="J4105">
        <v>16.989999999999998</v>
      </c>
      <c r="K4105" s="4">
        <v>-0.10440000000000001</v>
      </c>
      <c r="L4105">
        <v>4.2</v>
      </c>
      <c r="M4105">
        <v>14</v>
      </c>
      <c r="O4105" t="s">
        <v>25</v>
      </c>
      <c r="P4105" t="s">
        <v>6943</v>
      </c>
      <c r="Q4105" t="s">
        <v>6944</v>
      </c>
    </row>
    <row r="4106" spans="1:17" ht="15.5" x14ac:dyDescent="0.35">
      <c r="A4106" s="3" t="str">
        <f>HYPERLINK("https://edmondsonsupply.com/collections/electricians-tools/products/klein-tools-29250-60w-portable-solar-panel", "https://edmondsonsupply.com/collections/electricians-tools/products/klein-tools-29250-60w-portable-solar-panel")</f>
        <v>https://edmondsonsupply.com/collections/electricians-tools/products/klein-tools-29250-60w-portable-solar-panel</v>
      </c>
      <c r="B4106" s="3" t="str">
        <f>HYPERLINK("https://edmondsonsupply.com/products/klein-tools-29250-60w-portable-solar-panel", "https://edmondsonsupply.com/products/klein-tools-29250-60w-portable-solar-panel")</f>
        <v>https://edmondsonsupply.com/products/klein-tools-29250-60w-portable-solar-panel</v>
      </c>
      <c r="C4106" t="s">
        <v>8393</v>
      </c>
      <c r="D4106" t="s">
        <v>8588</v>
      </c>
      <c r="E4106" s="3" t="str">
        <f>HYPERLINK("https://www.amazon.com/Blackfire-Portable-FSP60W-Generator-Tailgaiting/dp/B0973QVFC4/ref=sr_1_2?keywords=Klein+Tools+29250+60W+Portable+Solar+Panel&amp;qid=1695174153&amp;sr=8-2", "https://www.amazon.com/Blackfire-Portable-FSP60W-Generator-Tailgaiting/dp/B0973QVFC4/ref=sr_1_2?keywords=Klein+Tools+29250+60W+Portable+Solar+Panel&amp;qid=1695174153&amp;sr=8-2")</f>
        <v>https://www.amazon.com/Blackfire-Portable-FSP60W-Generator-Tailgaiting/dp/B0973QVFC4/ref=sr_1_2?keywords=Klein+Tools+29250+60W+Portable+Solar+Panel&amp;qid=1695174153&amp;sr=8-2</v>
      </c>
      <c r="F4106" t="s">
        <v>8589</v>
      </c>
      <c r="G4106" t="e">
        <f ca="1">_xludf.IMAGE("https://edmondsonsupply.com/cdn/shop/products/29250.jpg?v=1664396962")</f>
        <v>#NAME?</v>
      </c>
      <c r="H4106" t="e">
        <f ca="1">_xludf.IMAGE("https://m.media-amazon.com/images/I/51y9MhGMKJL._AC_UY218_.jpg")</f>
        <v>#NAME?</v>
      </c>
      <c r="I4106" t="s">
        <v>400</v>
      </c>
      <c r="J4106">
        <v>179.1</v>
      </c>
      <c r="K4106" s="4">
        <v>-0.1045</v>
      </c>
      <c r="L4106">
        <v>5</v>
      </c>
      <c r="M4106">
        <v>1</v>
      </c>
      <c r="O4106" t="s">
        <v>25</v>
      </c>
      <c r="P4106" t="s">
        <v>8396</v>
      </c>
      <c r="Q4106" t="s">
        <v>8397</v>
      </c>
    </row>
    <row r="4107" spans="1:17" ht="15.5" x14ac:dyDescent="0.35">
      <c r="A4107" s="3" t="str">
        <f>HYPERLINK("https://edmondsonsupply.com/collections/electricians-tools/products/klein-tools-46037-cable-splicers-kit", "https://edmondsonsupply.com/collections/electricians-tools/products/klein-tools-46037-cable-splicers-kit")</f>
        <v>https://edmondsonsupply.com/collections/electricians-tools/products/klein-tools-46037-cable-splicers-kit</v>
      </c>
      <c r="B4107" s="3" t="str">
        <f>HYPERLINK("https://edmondsonsupply.com/products/klein-tools-46037-cable-splicers-kit", "https://edmondsonsupply.com/products/klein-tools-46037-cable-splicers-kit")</f>
        <v>https://edmondsonsupply.com/products/klein-tools-46037-cable-splicers-kit</v>
      </c>
      <c r="C4107" t="s">
        <v>6545</v>
      </c>
      <c r="D4107" t="s">
        <v>8590</v>
      </c>
      <c r="E4107" s="3" t="str">
        <f>HYPERLINK("https://www.amazon.com/Cable-Splicers-Klein-Tools-46037/dp/B0006M6Y5W/ref=sr_1_1?keywords=Klein+Tools+46037+Cable+Splicer%27s+Kit&amp;qid=1695174157&amp;sr=8-1", "https://www.amazon.com/Cable-Splicers-Klein-Tools-46037/dp/B0006M6Y5W/ref=sr_1_1?keywords=Klein+Tools+46037+Cable+Splicer%27s+Kit&amp;qid=1695174157&amp;sr=8-1")</f>
        <v>https://www.amazon.com/Cable-Splicers-Klein-Tools-46037/dp/B0006M6Y5W/ref=sr_1_1?keywords=Klein+Tools+46037+Cable+Splicer%27s+Kit&amp;qid=1695174157&amp;sr=8-1</v>
      </c>
      <c r="F4107" t="s">
        <v>8591</v>
      </c>
      <c r="G4107" t="e">
        <f ca="1">_xludf.IMAGE("https://edmondsonsupply.com/cdn/shop/products/46037.jpg?v=1663351986")</f>
        <v>#NAME?</v>
      </c>
      <c r="H4107" t="e">
        <f ca="1">_xludf.IMAGE("https://m.media-amazon.com/images/I/513CYnYadKS._AC_UL320_.jpg")</f>
        <v>#NAME?</v>
      </c>
      <c r="I4107" t="s">
        <v>246</v>
      </c>
      <c r="J4107">
        <v>35.79</v>
      </c>
      <c r="K4107" s="4">
        <v>-0.1046</v>
      </c>
      <c r="L4107">
        <v>4.8</v>
      </c>
      <c r="M4107">
        <v>530</v>
      </c>
      <c r="O4107" t="s">
        <v>25</v>
      </c>
      <c r="P4107" t="s">
        <v>6548</v>
      </c>
      <c r="Q4107" t="s">
        <v>6549</v>
      </c>
    </row>
    <row r="4108" spans="1:17" ht="15.5" x14ac:dyDescent="0.35">
      <c r="A4108" s="3" t="str">
        <f>HYPERLINK("https://edmondsonsupply.com/collections/electricians-tools/products/diablo-tools-dmapl9920-s7-7pc-rebar-demon%E2%84%A2-sds-plus-4-cutter-full-carbide-head-hammer-bit-set", "https://edmondsonsupply.com/collections/electricians-tools/products/diablo-tools-dmapl9920-s7-7pc-rebar-demon%E2%84%A2-sds-plus-4-cutter-full-carbide-head-hammer-bit-set")</f>
        <v>https://edmondsonsupply.com/collections/electricians-tools/products/diablo-tools-dmapl9920-s7-7pc-rebar-demon%E2%84%A2-sds-plus-4-cutter-full-carbide-head-hammer-bit-set</v>
      </c>
      <c r="B4108" s="3" t="str">
        <f>HYPERLINK("https://edmondsonsupply.com/products/diablo-tools-dmapl9920-s7-7pc-rebar-demon%e2%84%a2-sds-plus-4-cutter-full-carbide-head-hammer-bit-set", "https://edmondsonsupply.com/products/diablo-tools-dmapl9920-s7-7pc-rebar-demon%e2%84%a2-sds-plus-4-cutter-full-carbide-head-hammer-bit-set")</f>
        <v>https://edmondsonsupply.com/products/diablo-tools-dmapl9920-s7-7pc-rebar-demon%e2%84%a2-sds-plus-4-cutter-full-carbide-head-hammer-bit-set</v>
      </c>
      <c r="C4108" t="s">
        <v>7851</v>
      </c>
      <c r="D4108" t="s">
        <v>5560</v>
      </c>
      <c r="E4108" s="3" t="str">
        <f>HYPERLINK("https://www.amazon.com/Diablo-Freud-DMAPL4300-SDS-Plus-4-Cutter/dp/B089LL8JD8/ref=sr_1_5?keywords=Diablo+Tools+DMAPL9920-S7+7pc+Rebar+Demon%E2%84%A2+SDS-Plus+4-Cutter+Full+Carbide+Head+Hammer+Bit+Set&amp;qid=1695174050&amp;sr=8-5", "https://www.amazon.com/Diablo-Freud-DMAPL4300-SDS-Plus-4-Cutter/dp/B089LL8JD8/ref=sr_1_5?keywords=Diablo+Tools+DMAPL9920-S7+7pc+Rebar+Demon%E2%84%A2+SDS-Plus+4-Cutter+Full+Carbide+Head+Hammer+Bit+Set&amp;qid=1695174050&amp;sr=8-5")</f>
        <v>https://www.amazon.com/Diablo-Freud-DMAPL4300-SDS-Plus-4-Cutter/dp/B089LL8JD8/ref=sr_1_5?keywords=Diablo+Tools+DMAPL9920-S7+7pc+Rebar+Demon%E2%84%A2+SDS-Plus+4-Cutter+Full+Carbide+Head+Hammer+Bit+Set&amp;qid=1695174050&amp;sr=8-5</v>
      </c>
      <c r="F4108" t="s">
        <v>5561</v>
      </c>
      <c r="G4108" t="e">
        <f ca="1">_xludf.IMAGE("https://edmondsonsupply.com/cdn/shop/products/vgtm2xrrra4yfevsszgf.webp?v=1679328619")</f>
        <v>#NAME?</v>
      </c>
      <c r="H4108" t="e">
        <f ca="1">_xludf.IMAGE("https://m.media-amazon.com/images/I/616UiJGsK1L._AC_UL320_.jpg")</f>
        <v>#NAME?</v>
      </c>
      <c r="I4108" t="s">
        <v>7854</v>
      </c>
      <c r="J4108">
        <v>33.99</v>
      </c>
      <c r="K4108" s="4">
        <v>-0.1048</v>
      </c>
      <c r="L4108">
        <v>4.5</v>
      </c>
      <c r="M4108">
        <v>16</v>
      </c>
      <c r="O4108" t="s">
        <v>25</v>
      </c>
      <c r="P4108" t="s">
        <v>7855</v>
      </c>
      <c r="Q4108" t="s">
        <v>7856</v>
      </c>
    </row>
    <row r="4109" spans="1:17" ht="15.5" x14ac:dyDescent="0.35">
      <c r="A4109" s="3" t="str">
        <f>HYPERLINK("https://edmondsonsupply.com/collections/electricians-tools/products/diablo-tools-dmapl9920-s7-7pc-rebar-demon%E2%84%A2-sds-plus-4-cutter-full-carbide-head-hammer-bit-set", "https://edmondsonsupply.com/collections/electricians-tools/products/diablo-tools-dmapl9920-s7-7pc-rebar-demon%E2%84%A2-sds-plus-4-cutter-full-carbide-head-hammer-bit-set")</f>
        <v>https://edmondsonsupply.com/collections/electricians-tools/products/diablo-tools-dmapl9920-s7-7pc-rebar-demon%E2%84%A2-sds-plus-4-cutter-full-carbide-head-hammer-bit-set</v>
      </c>
      <c r="B4109" s="3" t="str">
        <f>HYPERLINK("https://edmondsonsupply.com/products/diablo-tools-dmapl9920-s7-7pc-rebar-demon%e2%84%a2-sds-plus-4-cutter-full-carbide-head-hammer-bit-set", "https://edmondsonsupply.com/products/diablo-tools-dmapl9920-s7-7pc-rebar-demon%e2%84%a2-sds-plus-4-cutter-full-carbide-head-hammer-bit-set")</f>
        <v>https://edmondsonsupply.com/products/diablo-tools-dmapl9920-s7-7pc-rebar-demon%e2%84%a2-sds-plus-4-cutter-full-carbide-head-hammer-bit-set</v>
      </c>
      <c r="C4109" t="s">
        <v>7851</v>
      </c>
      <c r="D4109" t="s">
        <v>8592</v>
      </c>
      <c r="E4109" s="3" t="str">
        <f>HYPERLINK("https://www.amazon.com/Diablo-SDS-Plus-4-Cutter-Carbide-Hammer/dp/B089LDNZSN/ref=sr_1_8?keywords=Diablo+Tools+DMAPL9920-S7+7pc+Rebar+Demon%E2%84%A2+SDS-Plus+4-Cutter+Full+Carbide+Head+Hammer+Bit+Set&amp;qid=1695174050&amp;sr=8-8", "https://www.amazon.com/Diablo-SDS-Plus-4-Cutter-Carbide-Hammer/dp/B089LDNZSN/ref=sr_1_8?keywords=Diablo+Tools+DMAPL9920-S7+7pc+Rebar+Demon%E2%84%A2+SDS-Plus+4-Cutter+Full+Carbide+Head+Hammer+Bit+Set&amp;qid=1695174050&amp;sr=8-8")</f>
        <v>https://www.amazon.com/Diablo-SDS-Plus-4-Cutter-Carbide-Hammer/dp/B089LDNZSN/ref=sr_1_8?keywords=Diablo+Tools+DMAPL9920-S7+7pc+Rebar+Demon%E2%84%A2+SDS-Plus+4-Cutter+Full+Carbide+Head+Hammer+Bit+Set&amp;qid=1695174050&amp;sr=8-8</v>
      </c>
      <c r="F4109" t="s">
        <v>8593</v>
      </c>
      <c r="G4109" t="e">
        <f ca="1">_xludf.IMAGE("https://edmondsonsupply.com/cdn/shop/products/vgtm2xrrra4yfevsszgf.webp?v=1679328619")</f>
        <v>#NAME?</v>
      </c>
      <c r="H4109" t="e">
        <f ca="1">_xludf.IMAGE("https://m.media-amazon.com/images/I/61Vv8Hsfp5L._AC_UL320_.jpg")</f>
        <v>#NAME?</v>
      </c>
      <c r="I4109" t="s">
        <v>7854</v>
      </c>
      <c r="J4109">
        <v>33.979999999999997</v>
      </c>
      <c r="K4109" s="4">
        <v>-0.1051</v>
      </c>
      <c r="L4109">
        <v>4.5999999999999996</v>
      </c>
      <c r="M4109">
        <v>10</v>
      </c>
      <c r="O4109" t="s">
        <v>25</v>
      </c>
      <c r="P4109" t="s">
        <v>7855</v>
      </c>
      <c r="Q4109" t="s">
        <v>7856</v>
      </c>
    </row>
    <row r="4110" spans="1:17" ht="15.5" x14ac:dyDescent="0.35">
      <c r="A4110"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4110"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4110" t="s">
        <v>6940</v>
      </c>
      <c r="D4110" t="s">
        <v>5960</v>
      </c>
      <c r="E4110" s="3" t="str">
        <f>HYPERLINK("https://www.amazon.com/Diablo-Freud-DOU250BW-Oscillating-Nail-Embedded/dp/B089KWP5Z2/ref=sr_1_10?keywords=Diablo+Tools+DOU125BF+1-1%2F4+in.+Universal+Fit+Bi-Metal+Oscillating+Blade+for+Metal&amp;qid=1695174025&amp;sr=8-10", "https://www.amazon.com/Diablo-Freud-DOU250BW-Oscillating-Nail-Embedded/dp/B089KWP5Z2/ref=sr_1_10?keywords=Diablo+Tools+DOU125BF+1-1%2F4+in.+Universal+Fit+Bi-Metal+Oscillating+Blade+for+Metal&amp;qid=1695174025&amp;sr=8-10")</f>
        <v>https://www.amazon.com/Diablo-Freud-DOU250BW-Oscillating-Nail-Embedded/dp/B089KWP5Z2/ref=sr_1_10?keywords=Diablo+Tools+DOU125BF+1-1%2F4+in.+Universal+Fit+Bi-Metal+Oscillating+Blade+for+Metal&amp;qid=1695174025&amp;sr=8-10</v>
      </c>
      <c r="F4110" t="s">
        <v>5961</v>
      </c>
      <c r="G4110" t="e">
        <f ca="1">_xludf.IMAGE("https://edmondsonsupply.com/cdn/shop/files/k1d1qiwmm4npznsdbwtg.webp?v=1685467858")</f>
        <v>#NAME?</v>
      </c>
      <c r="H4110" t="e">
        <f ca="1">_xludf.IMAGE("https://m.media-amazon.com/images/I/71fhfiK3NaL._AC_UL320_.jpg")</f>
        <v>#NAME?</v>
      </c>
      <c r="I4110" t="s">
        <v>6164</v>
      </c>
      <c r="J4110">
        <v>16.96</v>
      </c>
      <c r="K4110" s="4">
        <v>-0.106</v>
      </c>
      <c r="L4110">
        <v>4.5999999999999996</v>
      </c>
      <c r="M4110">
        <v>31</v>
      </c>
      <c r="O4110" t="s">
        <v>25</v>
      </c>
      <c r="P4110" t="s">
        <v>6943</v>
      </c>
      <c r="Q4110" t="s">
        <v>6944</v>
      </c>
    </row>
    <row r="4111" spans="1:17" ht="15.5" x14ac:dyDescent="0.35">
      <c r="A4111" s="3" t="str">
        <f>HYPERLINK("https://edmondsonsupply.com/collections/electricians-tools/products/diablo-tools-dou3bs-3-pc-universal-fit-bi-metal-oscillating-blade-set", "https://edmondsonsupply.com/collections/electricians-tools/products/diablo-tools-dou3bs-3-pc-universal-fit-bi-metal-oscillating-blade-set")</f>
        <v>https://edmondsonsupply.com/collections/electricians-tools/products/diablo-tools-dou3bs-3-pc-universal-fit-bi-metal-oscillating-blade-set</v>
      </c>
      <c r="B4111" s="3" t="str">
        <f>HYPERLINK("https://edmondsonsupply.com/products/diablo-tools-dou3bs-3-pc-universal-fit-bi-metal-oscillating-blade-set", "https://edmondsonsupply.com/products/diablo-tools-dou3bs-3-pc-universal-fit-bi-metal-oscillating-blade-set")</f>
        <v>https://edmondsonsupply.com/products/diablo-tools-dou3bs-3-pc-universal-fit-bi-metal-oscillating-blade-set</v>
      </c>
      <c r="C4111" t="s">
        <v>8490</v>
      </c>
      <c r="D4111" t="s">
        <v>8594</v>
      </c>
      <c r="E4111" s="3" t="str">
        <f>HYPERLINK("https://www.amazon.com/Diablo-Freud-DOU3BS-Universal-Oscillating/dp/B089LKV4R1/ref=sr_1_1?keywords=Diablo+Tools+DOU3BS+3+pc+Universal+Fit+Bi-Metal+Oscillating+Blade+Set&amp;qid=1695174049&amp;sr=8-1", "https://www.amazon.com/Diablo-Freud-DOU3BS-Universal-Oscillating/dp/B089LKV4R1/ref=sr_1_1?keywords=Diablo+Tools+DOU3BS+3+pc+Universal+Fit+Bi-Metal+Oscillating+Blade+Set&amp;qid=1695174049&amp;sr=8-1")</f>
        <v>https://www.amazon.com/Diablo-Freud-DOU3BS-Universal-Oscillating/dp/B089LKV4R1/ref=sr_1_1?keywords=Diablo+Tools+DOU3BS+3+pc+Universal+Fit+Bi-Metal+Oscillating+Blade+Set&amp;qid=1695174049&amp;sr=8-1</v>
      </c>
      <c r="F4111" t="s">
        <v>8595</v>
      </c>
      <c r="G4111" t="e">
        <f ca="1">_xludf.IMAGE("https://edmondsonsupply.com/cdn/shop/files/mhkfr9y3q3vrvammfqa0.webp?v=1685721273")</f>
        <v>#NAME?</v>
      </c>
      <c r="H4111" t="e">
        <f ca="1">_xludf.IMAGE("https://m.media-amazon.com/images/I/71Kp5BKb9OL._AC_UL320_.jpg")</f>
        <v>#NAME?</v>
      </c>
      <c r="I4111" t="s">
        <v>7854</v>
      </c>
      <c r="J4111">
        <v>33.89</v>
      </c>
      <c r="K4111" s="4">
        <v>-0.1075</v>
      </c>
      <c r="L4111">
        <v>4.5</v>
      </c>
      <c r="M4111">
        <v>29</v>
      </c>
      <c r="O4111" t="s">
        <v>25</v>
      </c>
      <c r="P4111" t="s">
        <v>8493</v>
      </c>
      <c r="Q4111" t="s">
        <v>8494</v>
      </c>
    </row>
    <row r="4112" spans="1:17" ht="15.5" x14ac:dyDescent="0.35">
      <c r="A4112" s="3" t="str">
        <f>HYPERLINK("https://edmondsonsupply.com/collections/electricians-tools/products/klein-tools-203-7-eins-long-nose-side-cut-pliers-7-inch-slim-insulated", "https://edmondsonsupply.com/collections/electricians-tools/products/klein-tools-203-7-eins-long-nose-side-cut-pliers-7-inch-slim-insulated")</f>
        <v>https://edmondsonsupply.com/collections/electricians-tools/products/klein-tools-203-7-eins-long-nose-side-cut-pliers-7-inch-slim-insulated</v>
      </c>
      <c r="B4112" s="3" t="str">
        <f>HYPERLINK("https://edmondsonsupply.com/products/klein-tools-203-7-eins-long-nose-side-cut-pliers-7-inch-slim-insulated", "https://edmondsonsupply.com/products/klein-tools-203-7-eins-long-nose-side-cut-pliers-7-inch-slim-insulated")</f>
        <v>https://edmondsonsupply.com/products/klein-tools-203-7-eins-long-nose-side-cut-pliers-7-inch-slim-insulated</v>
      </c>
      <c r="C4112" t="s">
        <v>5130</v>
      </c>
      <c r="D4112" t="s">
        <v>5131</v>
      </c>
      <c r="E4112" s="3" t="str">
        <f>HYPERLINK("https://www.amazon.com/Klein-Tools-2037EINS-Linemans-Insulated/dp/B00JGG5OZA/ref=sr_1_1?keywords=Klein+Tools+2037EINS+Long+Nose+Side+Cut+Pliers%2C+7-Inch+Slim+Insulated+%28203-7-EINS%29&amp;qid=1695173934&amp;sr=8-1", "https://www.amazon.com/Klein-Tools-2037EINS-Linemans-Insulated/dp/B00JGG5OZA/ref=sr_1_1?keywords=Klein+Tools+2037EINS+Long+Nose+Side+Cut+Pliers%2C+7-Inch+Slim+Insulated+%28203-7-EINS%29&amp;qid=1695173934&amp;sr=8-1")</f>
        <v>https://www.amazon.com/Klein-Tools-2037EINS-Linemans-Insulated/dp/B00JGG5OZA/ref=sr_1_1?keywords=Klein+Tools+2037EINS+Long+Nose+Side+Cut+Pliers%2C+7-Inch+Slim+Insulated+%28203-7-EINS%29&amp;qid=1695173934&amp;sr=8-1</v>
      </c>
      <c r="F4112" t="s">
        <v>5132</v>
      </c>
      <c r="G4112" t="e">
        <f ca="1">_xludf.IMAGE("https://edmondsonsupply.com/cdn/shop/products/2037eins.jpg?v=1587146909")</f>
        <v>#NAME?</v>
      </c>
      <c r="H4112" t="e">
        <f ca="1">_xludf.IMAGE("https://m.media-amazon.com/images/I/51StGSqtZUL._AC_UL320_.jpg")</f>
        <v>#NAME?</v>
      </c>
      <c r="I4112" t="s">
        <v>1931</v>
      </c>
      <c r="J4112">
        <v>44.6</v>
      </c>
      <c r="K4112" s="4">
        <v>-0.10780000000000001</v>
      </c>
      <c r="L4112">
        <v>4.9000000000000004</v>
      </c>
      <c r="M4112">
        <v>348</v>
      </c>
      <c r="O4112" t="s">
        <v>25</v>
      </c>
      <c r="P4112" t="s">
        <v>4509</v>
      </c>
      <c r="Q4112" t="s">
        <v>5133</v>
      </c>
    </row>
    <row r="4113" spans="1:17" ht="15.5" x14ac:dyDescent="0.35">
      <c r="A4113"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4113"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4113" t="s">
        <v>4105</v>
      </c>
      <c r="D4113" t="s">
        <v>5136</v>
      </c>
      <c r="E4113" s="3" t="str">
        <f>HYPERLINK("https://www.amazon.com/Linemans-Streamlined-Klein-Tools-J213-9NE/dp/B001TKF1BS/ref=sr_1_7?keywords=Klein+Tools+D20009NEGLW+High-Visibility+Side-Cutting+Pliers+High-Leverage&amp;qid=1695173949&amp;sr=8-7", "https://www.amazon.com/Linemans-Streamlined-Klein-Tools-J213-9NE/dp/B001TKF1BS/ref=sr_1_7?keywords=Klein+Tools+D20009NEGLW+High-Visibility+Side-Cutting+Pliers+High-Leverage&amp;qid=1695173949&amp;sr=8-7")</f>
        <v>https://www.amazon.com/Linemans-Streamlined-Klein-Tools-J213-9NE/dp/B001TKF1BS/ref=sr_1_7?keywords=Klein+Tools+D20009NEGLW+High-Visibility+Side-Cutting+Pliers+High-Leverage&amp;qid=1695173949&amp;sr=8-7</v>
      </c>
      <c r="F4113" t="s">
        <v>5137</v>
      </c>
      <c r="G4113" t="e">
        <f ca="1">_xludf.IMAGE("https://edmondsonsupply.com/cdn/shop/products/d20009neglw.jpg?v=1587144933")</f>
        <v>#NAME?</v>
      </c>
      <c r="H4113" t="e">
        <f ca="1">_xludf.IMAGE("https://m.media-amazon.com/images/I/41zk0Z6-1BL._AC_UL320_.jpg")</f>
        <v>#NAME?</v>
      </c>
      <c r="I4113" t="s">
        <v>4108</v>
      </c>
      <c r="J4113">
        <v>39.99</v>
      </c>
      <c r="K4113" s="4">
        <v>-0.11070000000000001</v>
      </c>
      <c r="L4113">
        <v>4.8</v>
      </c>
      <c r="M4113">
        <v>746</v>
      </c>
      <c r="O4113" t="s">
        <v>25</v>
      </c>
      <c r="P4113" t="s">
        <v>4109</v>
      </c>
      <c r="Q4113" t="s">
        <v>4110</v>
      </c>
    </row>
    <row r="4114" spans="1:17" ht="15.5" x14ac:dyDescent="0.35">
      <c r="A4114"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4114" s="3" t="str">
        <f>HYPERLINK("https://edmondsonsupply.com/products/klein-tools-5165-10-pocket-tool-pouch-knife-snap", "https://edmondsonsupply.com/products/klein-tools-5165-10-pocket-tool-pouch-knife-snap")</f>
        <v>https://edmondsonsupply.com/products/klein-tools-5165-10-pocket-tool-pouch-knife-snap</v>
      </c>
      <c r="C4114" t="s">
        <v>700</v>
      </c>
      <c r="D4114" t="s">
        <v>701</v>
      </c>
      <c r="E4114" s="3" t="str">
        <f>HYPERLINK("https://www.amazon.com/Pocket-Pouch-Klein-Tools-5165/dp/B000BU4CRG/ref=sr_1_1?keywords=Klein+Tools+5165+10+Pocket+Leather+Tool+Pouch+with+Knife+Snap&amp;qid=1695173934&amp;sr=8-1", "https://www.amazon.com/Pocket-Pouch-Klein-Tools-5165/dp/B000BU4CRG/ref=sr_1_1?keywords=Klein+Tools+5165+10+Pocket+Leather+Tool+Pouch+with+Knife+Snap&amp;qid=1695173934&amp;sr=8-1")</f>
        <v>https://www.amazon.com/Pocket-Pouch-Klein-Tools-5165/dp/B000BU4CRG/ref=sr_1_1?keywords=Klein+Tools+5165+10+Pocket+Leather+Tool+Pouch+with+Knife+Snap&amp;qid=1695173934&amp;sr=8-1</v>
      </c>
      <c r="F4114" t="s">
        <v>702</v>
      </c>
      <c r="G4114" t="e">
        <f ca="1">_xludf.IMAGE("https://edmondsonsupply.com/cdn/shop/products/5165.jpg?v=1587145507")</f>
        <v>#NAME?</v>
      </c>
      <c r="H4114" t="e">
        <f ca="1">_xludf.IMAGE("https://m.media-amazon.com/images/I/51SVjpn5QEL._AC_UL320_.jpg")</f>
        <v>#NAME?</v>
      </c>
      <c r="I4114" t="s">
        <v>703</v>
      </c>
      <c r="J4114">
        <v>56</v>
      </c>
      <c r="K4114" s="4">
        <v>-0.111</v>
      </c>
      <c r="L4114">
        <v>4.5</v>
      </c>
      <c r="M4114">
        <v>167</v>
      </c>
      <c r="O4114" t="s">
        <v>25</v>
      </c>
      <c r="P4114" t="s">
        <v>704</v>
      </c>
      <c r="Q4114" t="s">
        <v>705</v>
      </c>
    </row>
    <row r="4115" spans="1:17" ht="15.5" x14ac:dyDescent="0.35">
      <c r="A4115"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4115" s="3" t="str">
        <f>HYPERLINK("https://edmondsonsupply.com/products/klein-tools-jth9m5-4-mm-hex-key-journeyman-t-handle-9-inch", "https://edmondsonsupply.com/products/klein-tools-jth9m5-4-mm-hex-key-journeyman-t-handle-9-inch")</f>
        <v>https://edmondsonsupply.com/products/klein-tools-jth9m5-4-mm-hex-key-journeyman-t-handle-9-inch</v>
      </c>
      <c r="C4115" t="s">
        <v>6121</v>
      </c>
      <c r="D4115" t="s">
        <v>5678</v>
      </c>
      <c r="E4115" s="3" t="str">
        <f>HYPERLINK("https://www.amazon.com/Journeyman-T-Handle-Klein-Tools-JTH6M4/dp/B005G394YO/ref=sr_1_3?keywords=Klein+Tools+JTH9M4+4+mm+Hex+Key%2C+Journeyman+T-Handle%2C+9-Inch&amp;qid=1695174234&amp;sr=8-3", "https://www.amazon.com/Journeyman-T-Handle-Klein-Tools-JTH6M4/dp/B005G394YO/ref=sr_1_3?keywords=Klein+Tools+JTH9M4+4+mm+Hex+Key%2C+Journeyman+T-Handle%2C+9-Inch&amp;qid=1695174234&amp;sr=8-3")</f>
        <v>https://www.amazon.com/Journeyman-T-Handle-Klein-Tools-JTH6M4/dp/B005G394YO/ref=sr_1_3?keywords=Klein+Tools+JTH9M4+4+mm+Hex+Key%2C+Journeyman+T-Handle%2C+9-Inch&amp;qid=1695174234&amp;sr=8-3</v>
      </c>
      <c r="F4115" t="s">
        <v>5679</v>
      </c>
      <c r="G4115" t="e">
        <f ca="1">_xludf.IMAGE("https://edmondsonsupply.com/cdn/shop/products/jth9m_fa8a641d-d03f-4191-ab24-b9045963e4f7.jpg?v=1640191121")</f>
        <v>#NAME?</v>
      </c>
      <c r="H4115" t="e">
        <f ca="1">_xludf.IMAGE("https://m.media-amazon.com/images/I/51+1x0vz9XL._AC_UL320_.jpg")</f>
        <v>#NAME?</v>
      </c>
      <c r="I4115" t="s">
        <v>6122</v>
      </c>
      <c r="J4115">
        <v>3.99</v>
      </c>
      <c r="K4115" s="4">
        <v>-0.1114</v>
      </c>
      <c r="L4115">
        <v>4.8</v>
      </c>
      <c r="M4115">
        <v>1532</v>
      </c>
      <c r="O4115" t="s">
        <v>25</v>
      </c>
      <c r="P4115" t="s">
        <v>6123</v>
      </c>
      <c r="Q4115" t="s">
        <v>6124</v>
      </c>
    </row>
    <row r="4116" spans="1:17" ht="15.5" x14ac:dyDescent="0.35">
      <c r="A4116" s="3" t="str">
        <f>HYPERLINK("https://edmondsonsupply.com/collections/electricians-tools/products/klein-tools-jth6t20-t20-torx-hex-key-with-journeyman-t-handle-6-inch", "https://edmondsonsupply.com/collections/electricians-tools/products/klein-tools-jth6t20-t20-torx-hex-key-with-journeyman-t-handle-6-inch")</f>
        <v>https://edmondsonsupply.com/collections/electricians-tools/products/klein-tools-jth6t20-t20-torx-hex-key-with-journeyman-t-handle-6-inch</v>
      </c>
      <c r="B4116" s="3" t="str">
        <f>HYPERLINK("https://edmondsonsupply.com/products/klein-tools-jth6t20-t20-torx-hex-key-with-journeyman-t-handle-6-inch", "https://edmondsonsupply.com/products/klein-tools-jth6t20-t20-torx-hex-key-with-journeyman-t-handle-6-inch")</f>
        <v>https://edmondsonsupply.com/products/klein-tools-jth6t20-t20-torx-hex-key-with-journeyman-t-handle-6-inch</v>
      </c>
      <c r="C4116" t="s">
        <v>7543</v>
      </c>
      <c r="D4116" t="s">
        <v>8596</v>
      </c>
      <c r="E4116" s="3" t="str">
        <f>HYPERLINK("https://www.amazon.com/Journeyman-T-Handle-Klein-Tools-JTH6T20/dp/B005G3B4A6/ref=sr_1_1?keywords=Klein+Tools+JTH6T20+T20+Torx+Hex+Key+with+Journeyman+T-Handle%2C+6-Inch&amp;qid=1695174296&amp;sr=8-1", "https://www.amazon.com/Journeyman-T-Handle-Klein-Tools-JTH6T20/dp/B005G3B4A6/ref=sr_1_1?keywords=Klein+Tools+JTH6T20+T20+Torx+Hex+Key+with+Journeyman+T-Handle%2C+6-Inch&amp;qid=1695174296&amp;sr=8-1")</f>
        <v>https://www.amazon.com/Journeyman-T-Handle-Klein-Tools-JTH6T20/dp/B005G3B4A6/ref=sr_1_1?keywords=Klein+Tools+JTH6T20+T20+Torx+Hex+Key+with+Journeyman+T-Handle%2C+6-Inch&amp;qid=1695174296&amp;sr=8-1</v>
      </c>
      <c r="F4116" t="s">
        <v>8597</v>
      </c>
      <c r="G4116" t="e">
        <f ca="1">_xludf.IMAGE("https://edmondsonsupply.com/cdn/shop/products/jth6t40_239e6af9-df98-4759-b03a-1003afe41d97.jpg?v=1606265228")</f>
        <v>#NAME?</v>
      </c>
      <c r="H4116" t="e">
        <f ca="1">_xludf.IMAGE("https://m.media-amazon.com/images/I/51Xj0Vsb-EL._AC_UL320_.jpg")</f>
        <v>#NAME?</v>
      </c>
      <c r="I4116" t="s">
        <v>6890</v>
      </c>
      <c r="J4116">
        <v>8.06</v>
      </c>
      <c r="K4116" s="4">
        <v>-0.1123</v>
      </c>
      <c r="L4116">
        <v>4.8</v>
      </c>
      <c r="M4116">
        <v>1544</v>
      </c>
      <c r="O4116" t="s">
        <v>25</v>
      </c>
      <c r="P4116" t="s">
        <v>138</v>
      </c>
      <c r="Q4116" t="s">
        <v>7544</v>
      </c>
    </row>
    <row r="4117" spans="1:17" ht="15.5" x14ac:dyDescent="0.35">
      <c r="A4117" s="3" t="str">
        <f>HYPERLINK("https://edmondsonsupply.com/collections/electricians-tools/products/klein-tools-vdv770-126-carrying-case-for-scout%C2%AE-pro-3-tester-and-locator-remotes", "https://edmondsonsupply.com/collections/electricians-tools/products/klein-tools-vdv770-126-carrying-case-for-scout%C2%AE-pro-3-tester-and-locator-remotes")</f>
        <v>https://edmondsonsupply.com/collections/electricians-tools/products/klein-tools-vdv770-126-carrying-case-for-scout%C2%AE-pro-3-tester-and-locator-remotes</v>
      </c>
      <c r="B4117" s="3" t="str">
        <f>HYPERLINK("https://edmondsonsupply.com/products/klein-tools-vdv770-126-carrying-case-for-scout%c2%ae-pro-3-tester-and-locator-remotes", "https://edmondsonsupply.com/products/klein-tools-vdv770-126-carrying-case-for-scout%c2%ae-pro-3-tester-and-locator-remotes")</f>
        <v>https://edmondsonsupply.com/products/klein-tools-vdv770-126-carrying-case-for-scout%c2%ae-pro-3-tester-and-locator-remotes</v>
      </c>
      <c r="C4117" t="s">
        <v>6279</v>
      </c>
      <c r="D4117" t="s">
        <v>8598</v>
      </c>
      <c r="E4117" s="3" t="str">
        <f>HYPERLINK("https://www.amazon.com/Klein-Tools-VDV770-126-Replacement-Carrying/dp/B08C4B1VLY/ref=sr_1_1?keywords=Klein+Tools+VDV770-126+Carrying+Case+for+Scout%C2%AE+Pro+3+Tester+and+Locator+Remotes&amp;qid=1695174229&amp;sr=8-1", "https://www.amazon.com/Klein-Tools-VDV770-126-Replacement-Carrying/dp/B08C4B1VLY/ref=sr_1_1?keywords=Klein+Tools+VDV770-126+Carrying+Case+for+Scout%C2%AE+Pro+3+Tester+and+Locator+Remotes&amp;qid=1695174229&amp;sr=8-1")</f>
        <v>https://www.amazon.com/Klein-Tools-VDV770-126-Replacement-Carrying/dp/B08C4B1VLY/ref=sr_1_1?keywords=Klein+Tools+VDV770-126+Carrying+Case+for+Scout%C2%AE+Pro+3+Tester+and+Locator+Remotes&amp;qid=1695174229&amp;sr=8-1</v>
      </c>
      <c r="F4117" t="s">
        <v>8599</v>
      </c>
      <c r="G4117" t="e">
        <f ca="1">_xludf.IMAGE("https://edmondsonsupply.com/cdn/shop/products/vdv770126.jpg?v=1646011163")</f>
        <v>#NAME?</v>
      </c>
      <c r="H4117" t="e">
        <f ca="1">_xludf.IMAGE("https://m.media-amazon.com/images/I/61dgehlrxfL._AC_UL320_.jpg")</f>
        <v>#NAME?</v>
      </c>
      <c r="I4117" t="s">
        <v>6282</v>
      </c>
      <c r="J4117">
        <v>28.76</v>
      </c>
      <c r="K4117" s="4">
        <v>-0.1148</v>
      </c>
      <c r="L4117">
        <v>4.8</v>
      </c>
      <c r="M4117">
        <v>149</v>
      </c>
      <c r="O4117" t="s">
        <v>25</v>
      </c>
      <c r="P4117" t="s">
        <v>6283</v>
      </c>
      <c r="Q4117" t="s">
        <v>6284</v>
      </c>
    </row>
    <row r="4118" spans="1:17" ht="15.5" x14ac:dyDescent="0.35">
      <c r="A4118"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4118" s="3" t="str">
        <f>HYPERLINK("https://edmondsonsupply.com/products/klein-tools-610-stubby-nut-driver-set-1-1-2-inch-shafts-2-piece", "https://edmondsonsupply.com/products/klein-tools-610-stubby-nut-driver-set-1-1-2-inch-shafts-2-piece")</f>
        <v>https://edmondsonsupply.com/products/klein-tools-610-stubby-nut-driver-set-1-1-2-inch-shafts-2-piece</v>
      </c>
      <c r="C4118" t="s">
        <v>3030</v>
      </c>
      <c r="D4118" t="s">
        <v>5140</v>
      </c>
      <c r="E4118" s="3" t="str">
        <f>HYPERLINK("https://www.amazon.com/Klein-Tools-610-16-Inch-2-Piece/dp/B000CSKRCQ/ref=sr_1_2?keywords=Klein+Tools+610+Stubby+Nut+Driver+Set+1-1%2F2-Inch+Shafts+2-Piece&amp;qid=1695173958&amp;sr=8-2", "https://www.amazon.com/Klein-Tools-610-16-Inch-2-Piece/dp/B000CSKRCQ/ref=sr_1_2?keywords=Klein+Tools+610+Stubby+Nut+Driver+Set+1-1%2F2-Inch+Shafts+2-Piece&amp;qid=1695173958&amp;sr=8-2")</f>
        <v>https://www.amazon.com/Klein-Tools-610-16-Inch-2-Piece/dp/B000CSKRCQ/ref=sr_1_2?keywords=Klein+Tools+610+Stubby+Nut+Driver+Set+1-1%2F2-Inch+Shafts+2-Piece&amp;qid=1695173958&amp;sr=8-2</v>
      </c>
      <c r="F4118" t="s">
        <v>5141</v>
      </c>
      <c r="G4118" t="e">
        <f ca="1">_xludf.IMAGE("https://edmondsonsupply.com/cdn/shop/products/610m_169714eb-6816-4f42-aa86-ea17ea5fcbbb.jpg?v=1633030110")</f>
        <v>#NAME?</v>
      </c>
      <c r="H4118" t="e">
        <f ca="1">_xludf.IMAGE("https://m.media-amazon.com/images/I/51+8QhofFWL._AC_UL320_.jpg")</f>
        <v>#NAME?</v>
      </c>
      <c r="I4118" t="s">
        <v>252</v>
      </c>
      <c r="J4118">
        <v>14.14</v>
      </c>
      <c r="K4118" s="4">
        <v>-0.1157</v>
      </c>
      <c r="L4118">
        <v>4.9000000000000004</v>
      </c>
      <c r="M4118">
        <v>19</v>
      </c>
      <c r="O4118" t="s">
        <v>25</v>
      </c>
      <c r="P4118" t="s">
        <v>3031</v>
      </c>
      <c r="Q4118" t="s">
        <v>3032</v>
      </c>
    </row>
    <row r="4119" spans="1:17" ht="15.5" x14ac:dyDescent="0.35">
      <c r="A4119"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4119"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4119" t="s">
        <v>4105</v>
      </c>
      <c r="D4119" t="s">
        <v>5138</v>
      </c>
      <c r="E4119" s="3" t="str">
        <f>HYPERLINK("https://www.amazon.com/Journeyman-Diagonal-Cut-Klein-Tools-J2000-59/dp/B075XG1DFD/ref=sr_1_8?keywords=Klein+Tools+D20009NEGLW+High-Visibility+Side-Cutting+Pliers+High-Leverage&amp;qid=1695173949&amp;sr=8-8", "https://www.amazon.com/Journeyman-Diagonal-Cut-Klein-Tools-J2000-59/dp/B075XG1DFD/ref=sr_1_8?keywords=Klein+Tools+D20009NEGLW+High-Visibility+Side-Cutting+Pliers+High-Leverage&amp;qid=1695173949&amp;sr=8-8")</f>
        <v>https://www.amazon.com/Journeyman-Diagonal-Cut-Klein-Tools-J2000-59/dp/B075XG1DFD/ref=sr_1_8?keywords=Klein+Tools+D20009NEGLW+High-Visibility+Side-Cutting+Pliers+High-Leverage&amp;qid=1695173949&amp;sr=8-8</v>
      </c>
      <c r="F4119" t="s">
        <v>5139</v>
      </c>
      <c r="G4119" t="e">
        <f ca="1">_xludf.IMAGE("https://edmondsonsupply.com/cdn/shop/products/d20009neglw.jpg?v=1587144933")</f>
        <v>#NAME?</v>
      </c>
      <c r="H4119" t="e">
        <f ca="1">_xludf.IMAGE("https://m.media-amazon.com/images/I/41d2z7PlSnL._AC_UL320_.jpg")</f>
        <v>#NAME?</v>
      </c>
      <c r="I4119" t="s">
        <v>4108</v>
      </c>
      <c r="J4119">
        <v>39.76</v>
      </c>
      <c r="K4119" s="4">
        <v>-0.1159</v>
      </c>
      <c r="L4119">
        <v>4.7</v>
      </c>
      <c r="M4119">
        <v>491</v>
      </c>
      <c r="O4119" t="s">
        <v>25</v>
      </c>
      <c r="P4119" t="s">
        <v>4109</v>
      </c>
      <c r="Q4119" t="s">
        <v>4110</v>
      </c>
    </row>
    <row r="4120" spans="1:17" ht="15.5" x14ac:dyDescent="0.35">
      <c r="A4120"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4120" s="3" t="str">
        <f>HYPERLINK("https://edmondsonsupply.com/products/diablo-tools-dag1110-7-8-in-x-7-1-2-in-auger-bit", "https://edmondsonsupply.com/products/diablo-tools-dag1110-7-8-in-x-7-1-2-in-auger-bit")</f>
        <v>https://edmondsonsupply.com/products/diablo-tools-dag1110-7-8-in-x-7-1-2-in-auger-bit</v>
      </c>
      <c r="C4120" t="s">
        <v>6839</v>
      </c>
      <c r="D4120" t="s">
        <v>5067</v>
      </c>
      <c r="E4120" s="3" t="str">
        <f>HYPERLINK("https://www.amazon.com/Diablo-7-1-Auger-Bit/dp/B089LCPNWX/ref=sr_1_10?keywords=Diablo+Tools+DAG1110+7%2F8+in.+x+7-1%2F2+in.+Auger+Bit&amp;qid=1695174030&amp;sr=8-10", "https://www.amazon.com/Diablo-7-1-Auger-Bit/dp/B089LCPNWX/ref=sr_1_10?keywords=Diablo+Tools+DAG1110+7%2F8+in.+x+7-1%2F2+in.+Auger+Bit&amp;qid=1695174030&amp;sr=8-10")</f>
        <v>https://www.amazon.com/Diablo-7-1-Auger-Bit/dp/B089LCPNWX/ref=sr_1_10?keywords=Diablo+Tools+DAG1110+7%2F8+in.+x+7-1%2F2+in.+Auger+Bit&amp;qid=1695174030&amp;sr=8-10</v>
      </c>
      <c r="F4120" t="s">
        <v>5068</v>
      </c>
      <c r="G4120" t="e">
        <f ca="1">_xludf.IMAGE("https://edmondsonsupply.com/cdn/shop/products/yel7mbaiyy08ii0assd5.webp?v=1680187136")</f>
        <v>#NAME?</v>
      </c>
      <c r="H4120" t="e">
        <f ca="1">_xludf.IMAGE("https://m.media-amazon.com/images/I/61zUoLZQ5OL._AC_UL320_.jpg")</f>
        <v>#NAME?</v>
      </c>
      <c r="I4120" t="s">
        <v>4985</v>
      </c>
      <c r="J4120">
        <v>15</v>
      </c>
      <c r="K4120" s="4">
        <v>-0.11609999999999999</v>
      </c>
      <c r="L4120">
        <v>4.7</v>
      </c>
      <c r="M4120">
        <v>9</v>
      </c>
      <c r="O4120" t="s">
        <v>25</v>
      </c>
      <c r="P4120" t="s">
        <v>6840</v>
      </c>
      <c r="Q4120" t="s">
        <v>6841</v>
      </c>
    </row>
    <row r="4121" spans="1:17" ht="15.5" x14ac:dyDescent="0.35">
      <c r="A4121"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4121" s="3" t="str">
        <f>HYPERLINK("https://edmondsonsupply.com/products/klein-tools-d504-10-classic-klaw%e2%84%a2-pump-pliers-10-inch", "https://edmondsonsupply.com/products/klein-tools-d504-10-classic-klaw%e2%84%a2-pump-pliers-10-inch")</f>
        <v>https://edmondsonsupply.com/products/klein-tools-d504-10-classic-klaw%e2%84%a2-pump-pliers-10-inch</v>
      </c>
      <c r="C4121" t="s">
        <v>3718</v>
      </c>
      <c r="D4121" t="s">
        <v>4490</v>
      </c>
      <c r="E4121" s="3" t="str">
        <f>HYPERLINK("https://www.amazon.com/Classic-Pliers-Klein-Tools-D504-7/dp/B00BJ4OSTA/ref=sr_1_2?keywords=Klein+Tools+D504-10+Classic+Klaw%E2%84%A2+Pump+Pliers%2C+10-Inch&amp;qid=1695173948&amp;sr=8-2", "https://www.amazon.com/Classic-Pliers-Klein-Tools-D504-7/dp/B00BJ4OSTA/ref=sr_1_2?keywords=Klein+Tools+D504-10+Classic+Klaw%E2%84%A2+Pump+Pliers%2C+10-Inch&amp;qid=1695173948&amp;sr=8-2")</f>
        <v>https://www.amazon.com/Classic-Pliers-Klein-Tools-D504-7/dp/B00BJ4OSTA/ref=sr_1_2?keywords=Klein+Tools+D504-10+Classic+Klaw%E2%84%A2+Pump+Pliers%2C+10-Inch&amp;qid=1695173948&amp;sr=8-2</v>
      </c>
      <c r="F4121" t="s">
        <v>4491</v>
      </c>
      <c r="G4121" t="e">
        <f ca="1">_xludf.IMAGE("https://edmondsonsupply.com/cdn/shop/products/d504-10.jpg?v=1587142942")</f>
        <v>#NAME?</v>
      </c>
      <c r="H4121" t="e">
        <f ca="1">_xludf.IMAGE("https://m.media-amazon.com/images/I/51kiGD+1-6L._AC_UL320_.jpg")</f>
        <v>#NAME?</v>
      </c>
      <c r="I4121" t="s">
        <v>3721</v>
      </c>
      <c r="J4121">
        <v>29.99</v>
      </c>
      <c r="K4121" s="4">
        <v>-0.1172</v>
      </c>
      <c r="L4121">
        <v>4.5999999999999996</v>
      </c>
      <c r="M4121">
        <v>391</v>
      </c>
      <c r="O4121" t="s">
        <v>25</v>
      </c>
      <c r="P4121" t="s">
        <v>3722</v>
      </c>
      <c r="Q4121" t="s">
        <v>3723</v>
      </c>
    </row>
    <row r="4122" spans="1:17" ht="15.5" x14ac:dyDescent="0.35">
      <c r="A4122" s="3" t="str">
        <f>HYPERLINK("https://edmondsonsupply.com/collections/electricians-tools/products/dewalt-dg5142-led-pro-contractor-business-portfolio", "https://edmondsonsupply.com/collections/electricians-tools/products/dewalt-dg5142-led-pro-contractor-business-portfolio")</f>
        <v>https://edmondsonsupply.com/collections/electricians-tools/products/dewalt-dg5142-led-pro-contractor-business-portfolio</v>
      </c>
      <c r="B4122" s="3" t="str">
        <f>HYPERLINK("https://edmondsonsupply.com/products/dewalt-dg5142-led-pro-contractor-business-portfolio", "https://edmondsonsupply.com/products/dewalt-dg5142-led-pro-contractor-business-portfolio")</f>
        <v>https://edmondsonsupply.com/products/dewalt-dg5142-led-pro-contractor-business-portfolio</v>
      </c>
      <c r="C4122" t="s">
        <v>8600</v>
      </c>
      <c r="D4122" t="s">
        <v>8601</v>
      </c>
      <c r="E4122" s="3" t="str">
        <f>HYPERLINK("https://www.amazon.com/DEWALT-DG5140-Contractors-Business-Portfolio/dp/B004JF51EC/ref=sr_1_2?keywords=DeWalt+DG5142+LED+Pro+Contractor+Business+Portfolio&amp;qid=1695174259&amp;sr=8-2", "https://www.amazon.com/DEWALT-DG5140-Contractors-Business-Portfolio/dp/B004JF51EC/ref=sr_1_2?keywords=DeWalt+DG5142+LED+Pro+Contractor+Business+Portfolio&amp;qid=1695174259&amp;sr=8-2")</f>
        <v>https://www.amazon.com/DEWALT-DG5140-Contractors-Business-Portfolio/dp/B004JF51EC/ref=sr_1_2?keywords=DeWalt+DG5142+LED+Pro+Contractor+Business+Portfolio&amp;qid=1695174259&amp;sr=8-2</v>
      </c>
      <c r="F4122" t="s">
        <v>8602</v>
      </c>
      <c r="G4122" t="e">
        <f ca="1">_xludf.IMAGE("https://edmondsonsupply.com/cdn/shop/products/Screenshot2021-07-17133543.png?v=1633031080")</f>
        <v>#NAME?</v>
      </c>
      <c r="H4122" t="e">
        <f ca="1">_xludf.IMAGE("https://m.media-amazon.com/images/I/91vh9J0B3DS._AC_UL320_.jpg")</f>
        <v>#NAME?</v>
      </c>
      <c r="I4122" t="s">
        <v>1307</v>
      </c>
      <c r="J4122">
        <v>35.25</v>
      </c>
      <c r="K4122" s="4">
        <v>-0.1176</v>
      </c>
      <c r="L4122">
        <v>4.7</v>
      </c>
      <c r="M4122">
        <v>2156</v>
      </c>
      <c r="O4122" t="s">
        <v>25</v>
      </c>
      <c r="P4122" t="s">
        <v>618</v>
      </c>
      <c r="Q4122" t="s">
        <v>8603</v>
      </c>
    </row>
    <row r="4123" spans="1:17" ht="15.5" x14ac:dyDescent="0.35">
      <c r="A4123" s="3" t="str">
        <f>HYPERLINK("https://edmondsonsupply.com/collections/electricians-tools/products/klein-tools-44002-lightweight-lockback-knife-2-3-8-inch-drop-point-blade-black-handle", "https://edmondsonsupply.com/collections/electricians-tools/products/klein-tools-44002-lightweight-lockback-knife-2-3-8-inch-drop-point-blade-black-handle")</f>
        <v>https://edmondsonsupply.com/collections/electricians-tools/products/klein-tools-44002-lightweight-lockback-knife-2-3-8-inch-drop-point-blade-black-handle</v>
      </c>
      <c r="B4123" s="3" t="str">
        <f>HYPERLINK("https://edmondsonsupply.com/products/klein-tools-44002-lightweight-lockback-knife-2-3-8-inch-drop-point-blade-black-handle", "https://edmondsonsupply.com/products/klein-tools-44002-lightweight-lockback-knife-2-3-8-inch-drop-point-blade-black-handle")</f>
        <v>https://edmondsonsupply.com/products/klein-tools-44002-lightweight-lockback-knife-2-3-8-inch-drop-point-blade-black-handle</v>
      </c>
      <c r="C4123" t="s">
        <v>8280</v>
      </c>
      <c r="D4123" t="s">
        <v>8604</v>
      </c>
      <c r="E4123" s="3" t="str">
        <f>HYPERLINK("https://www.amazon.com/Lightweight-Sheepsfoot-Klein-Tools-44004/dp/B00093GDFO/ref=sr_1_4?keywords=Klein+Tools+44002+Lightweight+Lockback+Knife%2C+2-3%2F8-Inch+Drop+Point+Blade%2C+Black+Handle&amp;qid=1695174232&amp;sr=8-4", "https://www.amazon.com/Lightweight-Sheepsfoot-Klein-Tools-44004/dp/B00093GDFO/ref=sr_1_4?keywords=Klein+Tools+44002+Lightweight+Lockback+Knife%2C+2-3%2F8-Inch+Drop+Point+Blade%2C+Black+Handle&amp;qid=1695174232&amp;sr=8-4")</f>
        <v>https://www.amazon.com/Lightweight-Sheepsfoot-Klein-Tools-44004/dp/B00093GDFO/ref=sr_1_4?keywords=Klein+Tools+44002+Lightweight+Lockback+Knife%2C+2-3%2F8-Inch+Drop+Point+Blade%2C+Black+Handle&amp;qid=1695174232&amp;sr=8-4</v>
      </c>
      <c r="F4123" t="s">
        <v>8605</v>
      </c>
      <c r="G4123" t="e">
        <f ca="1">_xludf.IMAGE("https://edmondsonsupply.com/cdn/shop/products/44002.jpg?v=1633900433")</f>
        <v>#NAME?</v>
      </c>
      <c r="H4123" t="e">
        <f ca="1">_xludf.IMAGE("https://m.media-amazon.com/images/I/41ejFxItVEL._AC_UL320_.jpg")</f>
        <v>#NAME?</v>
      </c>
      <c r="I4123" t="s">
        <v>4310</v>
      </c>
      <c r="J4123">
        <v>29.99</v>
      </c>
      <c r="K4123" s="4">
        <v>-0.1177</v>
      </c>
      <c r="L4123">
        <v>4.7</v>
      </c>
      <c r="M4123">
        <v>46</v>
      </c>
      <c r="O4123" t="s">
        <v>25</v>
      </c>
      <c r="P4123" t="s">
        <v>8283</v>
      </c>
      <c r="Q4123" t="s">
        <v>8284</v>
      </c>
    </row>
    <row r="4124" spans="1:17" ht="15.5" x14ac:dyDescent="0.35">
      <c r="A4124"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4124" s="3" t="str">
        <f>HYPERLINK("https://edmondsonsupply.com/products/klein-tools-d504-10-classic-klaw%e2%84%a2-pump-pliers-10-inch", "https://edmondsonsupply.com/products/klein-tools-d504-10-classic-klaw%e2%84%a2-pump-pliers-10-inch")</f>
        <v>https://edmondsonsupply.com/products/klein-tools-d504-10-classic-klaw%e2%84%a2-pump-pliers-10-inch</v>
      </c>
      <c r="C4124" t="s">
        <v>3718</v>
      </c>
      <c r="D4124" t="s">
        <v>5142</v>
      </c>
      <c r="E4124" s="3" t="str">
        <f>HYPERLINK("https://www.amazon.com/Adjustable-Material-Klein-Tools-J502-10/dp/B00093D51Y/ref=sr_1_4?keywords=Klein+Tools+D504-10+Classic+Klaw%E2%84%A2+Pump+Pliers%2C+10-Inch&amp;qid=1695173948&amp;sr=8-4", "https://www.amazon.com/Adjustable-Material-Klein-Tools-J502-10/dp/B00093D51Y/ref=sr_1_4?keywords=Klein+Tools+D504-10+Classic+Klaw%E2%84%A2+Pump+Pliers%2C+10-Inch&amp;qid=1695173948&amp;sr=8-4")</f>
        <v>https://www.amazon.com/Adjustable-Material-Klein-Tools-J502-10/dp/B00093D51Y/ref=sr_1_4?keywords=Klein+Tools+D504-10+Classic+Klaw%E2%84%A2+Pump+Pliers%2C+10-Inch&amp;qid=1695173948&amp;sr=8-4</v>
      </c>
      <c r="F4124" t="s">
        <v>5143</v>
      </c>
      <c r="G4124" t="e">
        <f ca="1">_xludf.IMAGE("https://edmondsonsupply.com/cdn/shop/products/d504-10.jpg?v=1587142942")</f>
        <v>#NAME?</v>
      </c>
      <c r="H4124" t="e">
        <f ca="1">_xludf.IMAGE("https://m.media-amazon.com/images/I/51+llp-35wL._AC_UL320_.jpg")</f>
        <v>#NAME?</v>
      </c>
      <c r="I4124" t="s">
        <v>3721</v>
      </c>
      <c r="J4124">
        <v>29.97</v>
      </c>
      <c r="K4124" s="4">
        <v>-0.1178</v>
      </c>
      <c r="L4124">
        <v>4.5999999999999996</v>
      </c>
      <c r="M4124">
        <v>365</v>
      </c>
      <c r="O4124" t="s">
        <v>25</v>
      </c>
      <c r="P4124" t="s">
        <v>3722</v>
      </c>
      <c r="Q4124" t="s">
        <v>3723</v>
      </c>
    </row>
    <row r="4125" spans="1:17" ht="15.5" x14ac:dyDescent="0.35">
      <c r="A4125"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4125"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4125" t="s">
        <v>6852</v>
      </c>
      <c r="D4125" t="s">
        <v>8606</v>
      </c>
      <c r="E4125" s="3" t="str">
        <f>HYPERLINK("https://www.amazon.com/Blackfire-Rechargeable-Weatherproof-Flashlight-BBM6413/dp/B0973NX35N/ref=sr_1_5?keywords=Klein+Tools+56413+Rechargeable+2-Color+LED+Flashlight+with+Holster&amp;qid=1695174149&amp;sr=8-5", "https://www.amazon.com/Blackfire-Rechargeable-Weatherproof-Flashlight-BBM6413/dp/B0973NX35N/ref=sr_1_5?keywords=Klein+Tools+56413+Rechargeable+2-Color+LED+Flashlight+with+Holster&amp;qid=1695174149&amp;sr=8-5")</f>
        <v>https://www.amazon.com/Blackfire-Rechargeable-Weatherproof-Flashlight-BBM6413/dp/B0973NX35N/ref=sr_1_5?keywords=Klein+Tools+56413+Rechargeable+2-Color+LED+Flashlight+with+Holster&amp;qid=1695174149&amp;sr=8-5</v>
      </c>
      <c r="F4125" t="s">
        <v>8607</v>
      </c>
      <c r="G4125" t="e">
        <f ca="1">_xludf.IMAGE("https://edmondsonsupply.com/cdn/shop/products/56413.jpg?v=1663954210")</f>
        <v>#NAME?</v>
      </c>
      <c r="H4125" t="e">
        <f ca="1">_xludf.IMAGE("https://m.media-amazon.com/images/I/71Yi-hSAfiL._AC_UL320_.jpg")</f>
        <v>#NAME?</v>
      </c>
      <c r="I4125" t="s">
        <v>380</v>
      </c>
      <c r="J4125">
        <v>44</v>
      </c>
      <c r="K4125" s="4">
        <v>-0.1195</v>
      </c>
      <c r="L4125">
        <v>4.2</v>
      </c>
      <c r="M4125">
        <v>41</v>
      </c>
      <c r="O4125" t="s">
        <v>25</v>
      </c>
      <c r="P4125" t="s">
        <v>6855</v>
      </c>
      <c r="Q4125" t="s">
        <v>6856</v>
      </c>
    </row>
    <row r="4126" spans="1:17" ht="15.5" x14ac:dyDescent="0.35">
      <c r="A4126"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126" s="3" t="str">
        <f>HYPERLINK("https://edmondsonsupply.com/products/klein-tools-d2000-28glw-diagonal-cutting-pliers-hi-viz-8-inch", "https://edmondsonsupply.com/products/klein-tools-d2000-28glw-diagonal-cutting-pliers-hi-viz-8-inch")</f>
        <v>https://edmondsonsupply.com/products/klein-tools-d2000-28glw-diagonal-cutting-pliers-hi-viz-8-inch</v>
      </c>
      <c r="C4126" t="s">
        <v>4233</v>
      </c>
      <c r="D4126" t="s">
        <v>8054</v>
      </c>
      <c r="E4126" s="3" t="str">
        <f>HYPERLINK("https://www.amazon.com/Leverage-Diagonal-Klein-Tools-D228-8TT/dp/B01K76W5UE/ref=sr_1_9?keywords=Klein+Tools+D200028GLW+Diagonal+Cutting+Pliers%2C+High-Visibility%2C+8-Inch&amp;qid=1695173928&amp;sr=8-9", "https://www.amazon.com/Leverage-Diagonal-Klein-Tools-D228-8TT/dp/B01K76W5UE/ref=sr_1_9?keywords=Klein+Tools+D200028GLW+Diagonal+Cutting+Pliers%2C+High-Visibility%2C+8-Inch&amp;qid=1695173928&amp;sr=8-9")</f>
        <v>https://www.amazon.com/Leverage-Diagonal-Klein-Tools-D228-8TT/dp/B01K76W5UE/ref=sr_1_9?keywords=Klein+Tools+D200028GLW+Diagonal+Cutting+Pliers%2C+High-Visibility%2C+8-Inch&amp;qid=1695173928&amp;sr=8-9</v>
      </c>
      <c r="F4126" t="s">
        <v>8055</v>
      </c>
      <c r="G4126" t="e">
        <f ca="1">_xludf.IMAGE("https://edmondsonsupply.com/cdn/shop/products/d200028glw.jpg?v=1633030701")</f>
        <v>#NAME?</v>
      </c>
      <c r="H4126" t="e">
        <f ca="1">_xludf.IMAGE("https://m.media-amazon.com/images/I/41Jkh6uEiRL._AC_UL320_.jpg")</f>
        <v>#NAME?</v>
      </c>
      <c r="I4126" t="s">
        <v>67</v>
      </c>
      <c r="J4126">
        <v>32.99</v>
      </c>
      <c r="K4126" s="4">
        <v>-0.12</v>
      </c>
      <c r="L4126">
        <v>5</v>
      </c>
      <c r="M4126">
        <v>16</v>
      </c>
      <c r="O4126" t="s">
        <v>25</v>
      </c>
      <c r="P4126" t="s">
        <v>4236</v>
      </c>
      <c r="Q4126" t="s">
        <v>4237</v>
      </c>
    </row>
    <row r="4127" spans="1:17" ht="15.5" x14ac:dyDescent="0.35">
      <c r="A4127" s="3" t="str">
        <f>HYPERLINK("https://edmondsonsupply.com/collections/electricians-tools/products/diablo-tools-dmarg1020-p5-5-32-in-x-3-in-x-6-in-speedemon%E2%84%A2-red-granite-carbide-tipped-hammer-drill-bit-5-pack", "https://edmondsonsupply.com/collections/electricians-tools/products/diablo-tools-dmarg1020-p5-5-32-in-x-3-in-x-6-in-speedemon%E2%84%A2-red-granite-carbide-tipped-hammer-drill-bit-5-pack")</f>
        <v>https://edmondsonsupply.com/collections/electricians-tools/products/diablo-tools-dmarg1020-p5-5-32-in-x-3-in-x-6-in-speedemon%E2%84%A2-red-granite-carbide-tipped-hammer-drill-bit-5-pack</v>
      </c>
      <c r="B4127" s="3" t="str">
        <f>HYPERLINK("https://edmondsonsupply.com/products/diablo-tools-dmarg1020-p5-5-32-in-x-3-in-x-6-in-speedemon%e2%84%a2-red-granite-carbide-tipped-hammer-drill-bit-5-pack", "https://edmondsonsupply.com/products/diablo-tools-dmarg1020-p5-5-32-in-x-3-in-x-6-in-speedemon%e2%84%a2-red-granite-carbide-tipped-hammer-drill-bit-5-pack")</f>
        <v>https://edmondsonsupply.com/products/diablo-tools-dmarg1020-p5-5-32-in-x-3-in-x-6-in-speedemon%e2%84%a2-red-granite-carbide-tipped-hammer-drill-bit-5-pack</v>
      </c>
      <c r="C4127" t="s">
        <v>5144</v>
      </c>
      <c r="D4127" t="s">
        <v>5145</v>
      </c>
      <c r="E4127" s="3" t="str">
        <f>HYPERLINK("https://www.amazon.com/Diablo-SPEEDemon-Granite-Carbide-Tipped/dp/B089KX38FF/ref=sr_1_1?keywords=Diablo+Tools+DMARG1020-P5+5%2F32+in.+x+3+in.+x+6+in.+SPEEDemon%E2%84%A2+Red+Granite+Carbide+Tipped+Hammer+Drill+Bit+%285+Pack%29&amp;qid=1695173994&amp;sr=8-1", "https://www.amazon.com/Diablo-SPEEDemon-Granite-Carbide-Tipped/dp/B089KX38FF/ref=sr_1_1?keywords=Diablo+Tools+DMARG1020-P5+5%2F32+in.+x+3+in.+x+6+in.+SPEEDemon%E2%84%A2+Red+Granite+Carbide+Tipped+Hammer+Drill+Bit+%285+Pack%29&amp;qid=1695173994&amp;sr=8-1")</f>
        <v>https://www.amazon.com/Diablo-SPEEDemon-Granite-Carbide-Tipped/dp/B089KX38FF/ref=sr_1_1?keywords=Diablo+Tools+DMARG1020-P5+5%2F32+in.+x+3+in.+x+6+in.+SPEEDemon%E2%84%A2+Red+Granite+Carbide+Tipped+Hammer+Drill+Bit+%285+Pack%29&amp;qid=1695173994&amp;sr=8-1</v>
      </c>
      <c r="F4127" t="s">
        <v>5146</v>
      </c>
      <c r="G4127" t="e">
        <f ca="1">_xludf.IMAGE("https://edmondsonsupply.com/cdn/shop/products/DMARG1020-P5_Main-Image20200513.png?v=1633030508")</f>
        <v>#NAME?</v>
      </c>
      <c r="H4127" t="e">
        <f ca="1">_xludf.IMAGE("https://m.media-amazon.com/images/I/61BDYFEnTRL._AC_UL320_.jpg")</f>
        <v>#NAME?</v>
      </c>
      <c r="I4127" t="s">
        <v>5147</v>
      </c>
      <c r="J4127">
        <v>15.36</v>
      </c>
      <c r="K4127" s="4">
        <v>-0.1208</v>
      </c>
      <c r="L4127">
        <v>4.5999999999999996</v>
      </c>
      <c r="M4127">
        <v>27</v>
      </c>
      <c r="O4127" t="s">
        <v>171</v>
      </c>
      <c r="P4127" t="s">
        <v>138</v>
      </c>
      <c r="Q4127" t="s">
        <v>5148</v>
      </c>
    </row>
    <row r="4128" spans="1:17" ht="15.5" x14ac:dyDescent="0.35">
      <c r="A4128" s="3" t="str">
        <f>HYPERLINK("https://edmondsonsupply.com/collections/electricians-tools/products/reed-mfg-dhr12-1-1-4npt-r12-drophead-1-1-4-npt", "https://edmondsonsupply.com/collections/electricians-tools/products/reed-mfg-dhr12-1-1-4npt-r12-drophead-1-1-4-npt")</f>
        <v>https://edmondsonsupply.com/collections/electricians-tools/products/reed-mfg-dhr12-1-1-4npt-r12-drophead-1-1-4-npt</v>
      </c>
      <c r="B4128" s="3" t="str">
        <f>HYPERLINK("https://edmondsonsupply.com/products/reed-mfg-dhr12-1-1-4npt-r12-drophead-1-1-4-npt", "https://edmondsonsupply.com/products/reed-mfg-dhr12-1-1-4npt-r12-drophead-1-1-4-npt")</f>
        <v>https://edmondsonsupply.com/products/reed-mfg-dhr12-1-1-4npt-r12-drophead-1-1-4-npt</v>
      </c>
      <c r="C4128" t="s">
        <v>4384</v>
      </c>
      <c r="D4128" t="s">
        <v>5149</v>
      </c>
      <c r="E4128" s="3" t="str">
        <f>HYPERLINK("https://www.amazon.com/Reed-Tool-DHR12-4NPT-Drophead/dp/B000ZH8QVI/ref=sr_1_1?keywords=Reed+Mfg+DHR12+1+1%2F4NPT+R12%2B+Drophead%2C+1-1%2F4%22+NPT&amp;qid=1695173914&amp;sr=8-1", "https://www.amazon.com/Reed-Tool-DHR12-4NPT-Drophead/dp/B000ZH8QVI/ref=sr_1_1?keywords=Reed+Mfg+DHR12+1+1%2F4NPT+R12%2B+Drophead%2C+1-1%2F4%22+NPT&amp;qid=1695173914&amp;sr=8-1")</f>
        <v>https://www.amazon.com/Reed-Tool-DHR12-4NPT-Drophead/dp/B000ZH8QVI/ref=sr_1_1?keywords=Reed+Mfg+DHR12+1+1%2F4NPT+R12%2B+Drophead%2C+1-1%2F4%22+NPT&amp;qid=1695173914&amp;sr=8-1</v>
      </c>
      <c r="F4128" t="s">
        <v>5150</v>
      </c>
      <c r="G4128" t="e">
        <f ca="1">_xludf.IMAGE("https://edmondsonsupply.com/cdn/shop/products/05632-DHR121-1-4NPT-RGB.jpg?v=1633031013")</f>
        <v>#NAME?</v>
      </c>
      <c r="H4128" t="e">
        <f ca="1">_xludf.IMAGE("https://m.media-amazon.com/images/I/61ePWvUMWkL._AC_UY218_.jpg")</f>
        <v>#NAME?</v>
      </c>
      <c r="I4128" t="s">
        <v>4387</v>
      </c>
      <c r="J4128">
        <v>135.76</v>
      </c>
      <c r="K4128" s="4">
        <v>-0.12330000000000001</v>
      </c>
      <c r="L4128">
        <v>1</v>
      </c>
      <c r="M4128">
        <v>1</v>
      </c>
      <c r="O4128" t="s">
        <v>25</v>
      </c>
      <c r="P4128" t="s">
        <v>4388</v>
      </c>
      <c r="Q4128" t="s">
        <v>4389</v>
      </c>
    </row>
    <row r="4129" spans="1:17" ht="15.5" x14ac:dyDescent="0.35">
      <c r="A4129"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4129"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4129" t="s">
        <v>7204</v>
      </c>
      <c r="D4129" t="s">
        <v>4123</v>
      </c>
      <c r="E4129" s="3" t="str">
        <f>HYPERLINK("https://www.amazon.com/Klein-Tools-670-6-Screwdriver-Rapi-Driv/dp/B000BO9T3Y/ref=sr_1_7?keywords=Klein+Tools+6816INS+Insulated+Screwdriver%2C+3%2F16-Inch+Cabinet+Tip%2C+6-Inch+Round+Shank&amp;qid=1695174141&amp;sr=8-7", "https://www.amazon.com/Klein-Tools-670-6-Screwdriver-Rapi-Driv/dp/B000BO9T3Y/ref=sr_1_7?keywords=Klein+Tools+6816INS+Insulated+Screwdriver%2C+3%2F16-Inch+Cabinet+Tip%2C+6-Inch+Round+Shank&amp;qid=1695174141&amp;sr=8-7")</f>
        <v>https://www.amazon.com/Klein-Tools-670-6-Screwdriver-Rapi-Driv/dp/B000BO9T3Y/ref=sr_1_7?keywords=Klein+Tools+6816INS+Insulated+Screwdriver%2C+3%2F16-Inch+Cabinet+Tip%2C+6-Inch+Round+Shank&amp;qid=1695174141&amp;sr=8-7</v>
      </c>
      <c r="F4129" t="s">
        <v>4124</v>
      </c>
      <c r="G4129" t="e">
        <f ca="1">_xludf.IMAGE("https://edmondsonsupply.com/cdn/shop/products/6816ins.jpg?v=1664812840")</f>
        <v>#NAME?</v>
      </c>
      <c r="H4129" t="e">
        <f ca="1">_xludf.IMAGE("https://m.media-amazon.com/images/I/31+1RSUdZ+S._AC_UL320_.jpg")</f>
        <v>#NAME?</v>
      </c>
      <c r="I4129" t="s">
        <v>6073</v>
      </c>
      <c r="J4129">
        <v>10.49</v>
      </c>
      <c r="K4129" s="4">
        <v>-0.1236</v>
      </c>
      <c r="L4129">
        <v>4.8</v>
      </c>
      <c r="M4129">
        <v>1607</v>
      </c>
      <c r="O4129" t="s">
        <v>25</v>
      </c>
      <c r="P4129" t="s">
        <v>6728</v>
      </c>
      <c r="Q4129" t="s">
        <v>7205</v>
      </c>
    </row>
    <row r="4130" spans="1:17" ht="15.5" x14ac:dyDescent="0.35">
      <c r="A4130"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4130"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4130" t="s">
        <v>6781</v>
      </c>
      <c r="D4130" t="s">
        <v>4123</v>
      </c>
      <c r="E4130" s="3" t="str">
        <f>HYPERLINK("https://www.amazon.com/Klein-Tools-670-6-Screwdriver-Rapi-Driv/dp/B000BO9T3Y/ref=sr_1_8?keywords=Klein+Tools+6866INS+Insulated+Screwdriver%2C+5%2F16-Inch+Cabinet+Tip%2C+6-Inch+Shank&amp;qid=1695174142&amp;sr=8-8", "https://www.amazon.com/Klein-Tools-670-6-Screwdriver-Rapi-Driv/dp/B000BO9T3Y/ref=sr_1_8?keywords=Klein+Tools+6866INS+Insulated+Screwdriver%2C+5%2F16-Inch+Cabinet+Tip%2C+6-Inch+Shank&amp;qid=1695174142&amp;sr=8-8")</f>
        <v>https://www.amazon.com/Klein-Tools-670-6-Screwdriver-Rapi-Driv/dp/B000BO9T3Y/ref=sr_1_8?keywords=Klein+Tools+6866INS+Insulated+Screwdriver%2C+5%2F16-Inch+Cabinet+Tip%2C+6-Inch+Shank&amp;qid=1695174142&amp;sr=8-8</v>
      </c>
      <c r="F4130" t="s">
        <v>4124</v>
      </c>
      <c r="G4130" t="e">
        <f ca="1">_xludf.IMAGE("https://edmondsonsupply.com/cdn/shop/products/6866ins.jpg?v=1664818689")</f>
        <v>#NAME?</v>
      </c>
      <c r="H4130" t="e">
        <f ca="1">_xludf.IMAGE("https://m.media-amazon.com/images/I/31+1RSUdZ+S._AC_UL320_.jpg")</f>
        <v>#NAME?</v>
      </c>
      <c r="I4130" t="s">
        <v>6073</v>
      </c>
      <c r="J4130">
        <v>10.49</v>
      </c>
      <c r="K4130" s="4">
        <v>-0.1236</v>
      </c>
      <c r="L4130">
        <v>4.8</v>
      </c>
      <c r="M4130">
        <v>1607</v>
      </c>
      <c r="O4130" t="s">
        <v>25</v>
      </c>
      <c r="P4130" t="s">
        <v>6728</v>
      </c>
      <c r="Q4130" t="s">
        <v>6784</v>
      </c>
    </row>
    <row r="4131" spans="1:17" ht="15.5" x14ac:dyDescent="0.35">
      <c r="A4131"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4131"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4131" t="s">
        <v>6870</v>
      </c>
      <c r="D4131" t="s">
        <v>3163</v>
      </c>
      <c r="E4131" s="3" t="str">
        <f>HYPERLINK("https://www.amazon.com/Journeyman-T-Handle-Klein-Tools-JTH9E14/dp/B004QVAH4I/ref=sr_1_5?keywords=Klein+Tools+JTH6E14BE+5%2F16-Inch+Ball+End+Hex+Key+with+T-Handle%2C+6-Inch&amp;qid=1695174246&amp;sr=8-5", "https://www.amazon.com/Journeyman-T-Handle-Klein-Tools-JTH9E14/dp/B004QVAH4I/ref=sr_1_5?keywords=Klein+Tools+JTH6E14BE+5%2F16-Inch+Ball+End+Hex+Key+with+T-Handle%2C+6-Inch&amp;qid=1695174246&amp;sr=8-5")</f>
        <v>https://www.amazon.com/Journeyman-T-Handle-Klein-Tools-JTH9E14/dp/B004QVAH4I/ref=sr_1_5?keywords=Klein+Tools+JTH6E14BE+5%2F16-Inch+Ball+End+Hex+Key+with+T-Handle%2C+6-Inch&amp;qid=1695174246&amp;sr=8-5</v>
      </c>
      <c r="F4131" t="s">
        <v>3164</v>
      </c>
      <c r="G4131" t="e">
        <f ca="1">_xludf.IMAGE("https://edmondsonsupply.com/cdn/shop/products/jth6e13be_0da4cca6-ce15-419c-bc75-cd610bd9637f.jpg?v=1629825198")</f>
        <v>#NAME?</v>
      </c>
      <c r="H4131" t="e">
        <f ca="1">_xludf.IMAGE("https://m.media-amazon.com/images/I/51Yb8h41vLL._AC_UL320_.jpg")</f>
        <v>#NAME?</v>
      </c>
      <c r="I4131" t="s">
        <v>6394</v>
      </c>
      <c r="J4131">
        <v>7.44</v>
      </c>
      <c r="K4131" s="4">
        <v>-0.1237</v>
      </c>
      <c r="L4131">
        <v>4.8</v>
      </c>
      <c r="M4131">
        <v>114</v>
      </c>
      <c r="O4131" t="s">
        <v>25</v>
      </c>
      <c r="P4131" t="s">
        <v>6871</v>
      </c>
      <c r="Q4131" t="s">
        <v>6872</v>
      </c>
    </row>
    <row r="4132" spans="1:17" ht="15.5" x14ac:dyDescent="0.35">
      <c r="A4132" s="3" t="str">
        <f>HYPERLINK("https://edmondsonsupply.com/collections/electricians-tools/products/channellock-87", "https://edmondsonsupply.com/collections/electricians-tools/products/channellock-87")</f>
        <v>https://edmondsonsupply.com/collections/electricians-tools/products/channellock-87</v>
      </c>
      <c r="B4132" s="3" t="str">
        <f>HYPERLINK("https://edmondsonsupply.com/products/channellock-87", "https://edmondsonsupply.com/products/channellock-87")</f>
        <v>https://edmondsonsupply.com/products/channellock-87</v>
      </c>
      <c r="C4132" t="s">
        <v>5085</v>
      </c>
      <c r="D4132" t="s">
        <v>5151</v>
      </c>
      <c r="E4132" s="3" t="str">
        <f>HYPERLINK("https://www.amazon.com/Channellock-87-8-88-Inch-Compact-Rescue/dp/B0057UMN3A/ref=sr_1_1?keywords=Channellock+87+9%22+Rescue+Tool&amp;qid=1695173922&amp;sr=8-1", "https://www.amazon.com/Channellock-87-8-88-Inch-Compact-Rescue/dp/B0057UMN3A/ref=sr_1_1?keywords=Channellock+87+9%22+Rescue+Tool&amp;qid=1695173922&amp;sr=8-1")</f>
        <v>https://www.amazon.com/Channellock-87-8-88-Inch-Compact-Rescue/dp/B0057UMN3A/ref=sr_1_1?keywords=Channellock+87+9%22+Rescue+Tool&amp;qid=1695173922&amp;sr=8-1</v>
      </c>
      <c r="F4132" t="s">
        <v>5152</v>
      </c>
      <c r="G4132" t="e">
        <f ca="1">_xludf.IMAGE("https://edmondsonsupply.com/cdn/shop/products/87.png?v=1587151315")</f>
        <v>#NAME?</v>
      </c>
      <c r="H4132" t="e">
        <f ca="1">_xludf.IMAGE("https://m.media-amazon.com/images/I/817vvWRPWLL._AC_UL320_.jpg")</f>
        <v>#NAME?</v>
      </c>
      <c r="I4132" t="s">
        <v>5088</v>
      </c>
      <c r="J4132">
        <v>48.15</v>
      </c>
      <c r="K4132" s="4">
        <v>-0.1237</v>
      </c>
      <c r="L4132">
        <v>4.8</v>
      </c>
      <c r="M4132">
        <v>1926</v>
      </c>
      <c r="O4132" t="s">
        <v>25</v>
      </c>
      <c r="P4132" t="s">
        <v>5089</v>
      </c>
      <c r="Q4132" t="s">
        <v>5090</v>
      </c>
    </row>
    <row r="4133" spans="1:17" ht="15.5" x14ac:dyDescent="0.35">
      <c r="A4133"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4133"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4133" t="s">
        <v>6969</v>
      </c>
      <c r="D4133" t="s">
        <v>8608</v>
      </c>
      <c r="E4133" s="3" t="str">
        <f>HYPERLINK("https://www.amazon.com/Pocket-2-Inch-Klein-Tools-1550-2/dp/B00176H2DE/ref=sr_1_1?keywords=Klein+Tools+1550-2+2+Blade+Pocket+Knife%2C+Steel%2C+2-1%2F2-Inch+Blade&amp;qid=1695174176&amp;sr=8-1", "https://www.amazon.com/Pocket-2-Inch-Klein-Tools-1550-2/dp/B00176H2DE/ref=sr_1_1?keywords=Klein+Tools+1550-2+2+Blade+Pocket+Knife%2C+Steel%2C+2-1%2F2-Inch+Blade&amp;qid=1695174176&amp;sr=8-1")</f>
        <v>https://www.amazon.com/Pocket-2-Inch-Klein-Tools-1550-2/dp/B00176H2DE/ref=sr_1_1?keywords=Klein+Tools+1550-2+2+Blade+Pocket+Knife%2C+Steel%2C+2-1%2F2-Inch+Blade&amp;qid=1695174176&amp;sr=8-1</v>
      </c>
      <c r="F4133" t="s">
        <v>8609</v>
      </c>
      <c r="G4133" t="e">
        <f ca="1">_xludf.IMAGE("https://edmondsonsupply.com/cdn/shop/products/15502_b.jpg?v=1658020543")</f>
        <v>#NAME?</v>
      </c>
      <c r="H4133" t="e">
        <f ca="1">_xludf.IMAGE("https://m.media-amazon.com/images/I/41-3gskqqhL._AC_UL320_.jpg")</f>
        <v>#NAME?</v>
      </c>
      <c r="I4133" t="s">
        <v>26</v>
      </c>
      <c r="J4133">
        <v>26.27</v>
      </c>
      <c r="K4133" s="4">
        <v>-0.124</v>
      </c>
      <c r="L4133">
        <v>4.5</v>
      </c>
      <c r="M4133">
        <v>237</v>
      </c>
      <c r="O4133" t="s">
        <v>25</v>
      </c>
      <c r="P4133" t="s">
        <v>6972</v>
      </c>
      <c r="Q4133" t="s">
        <v>6973</v>
      </c>
    </row>
    <row r="4134" spans="1:17" ht="15.5" x14ac:dyDescent="0.35">
      <c r="A4134"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4134" s="3" t="str">
        <f>HYPERLINK("https://edmondsonsupply.com/products/klein-tools-69445-rare-earth-magnetic-hanger-no-strap", "https://edmondsonsupply.com/products/klein-tools-69445-rare-earth-magnetic-hanger-no-strap")</f>
        <v>https://edmondsonsupply.com/products/klein-tools-69445-rare-earth-magnetic-hanger-no-strap</v>
      </c>
      <c r="C4134" t="s">
        <v>1408</v>
      </c>
      <c r="D4134" t="s">
        <v>4526</v>
      </c>
      <c r="E4134" s="3" t="str">
        <f>HYPERLINK("https://www.amazon.com/Magnetic-Hanger-Klein-Tools-69417/dp/B01B7RBXZ0/ref=sr_1_2?keywords=Klein+Tools+69445+Rare+Earth+Magnetic+Hanger%2C+no+Strap&amp;qid=1695173881&amp;sr=8-2", "https://www.amazon.com/Magnetic-Hanger-Klein-Tools-69417/dp/B01B7RBXZ0/ref=sr_1_2?keywords=Klein+Tools+69445+Rare+Earth+Magnetic+Hanger%2C+no+Strap&amp;qid=1695173881&amp;sr=8-2")</f>
        <v>https://www.amazon.com/Magnetic-Hanger-Klein-Tools-69417/dp/B01B7RBXZ0/ref=sr_1_2?keywords=Klein+Tools+69445+Rare+Earth+Magnetic+Hanger%2C+no+Strap&amp;qid=1695173881&amp;sr=8-2</v>
      </c>
      <c r="F4134" t="s">
        <v>4527</v>
      </c>
      <c r="G4134" t="e">
        <f ca="1">_xludf.IMAGE("https://edmondsonsupply.com/cdn/shop/products/69445.jpg?v=1633030859")</f>
        <v>#NAME?</v>
      </c>
      <c r="H4134" t="e">
        <f ca="1">_xludf.IMAGE("https://m.media-amazon.com/images/I/51yfJbP4XCL._AC_UL320_.jpg")</f>
        <v>#NAME?</v>
      </c>
      <c r="I4134" t="s">
        <v>252</v>
      </c>
      <c r="J4134">
        <v>13.99</v>
      </c>
      <c r="K4134" s="4">
        <v>-0.12509999999999999</v>
      </c>
      <c r="L4134">
        <v>4.8</v>
      </c>
      <c r="M4134">
        <v>3757</v>
      </c>
      <c r="O4134" t="s">
        <v>25</v>
      </c>
      <c r="P4134" t="s">
        <v>1411</v>
      </c>
      <c r="Q4134" t="s">
        <v>1412</v>
      </c>
    </row>
    <row r="4135" spans="1:17" ht="15.5" x14ac:dyDescent="0.35">
      <c r="A4135"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4135"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4135" t="s">
        <v>8170</v>
      </c>
      <c r="D4135" t="s">
        <v>5015</v>
      </c>
      <c r="E4135" s="3" t="str">
        <f>HYPERLINK("https://www.amazon.com/Diagonal-Linemans-Klein-Tools-D2000-48/dp/B0000302WZ/ref=sr_1_3?keywords=Klein+Tools+2288RINS+Diagonal+Cutting+Pliers%2C+Insulated%2C+High+Leverage%2C+8-Inch&amp;qid=1695174127&amp;sr=8-3", "https://www.amazon.com/Diagonal-Linemans-Klein-Tools-D2000-48/dp/B0000302WZ/ref=sr_1_3?keywords=Klein+Tools+2288RINS+Diagonal+Cutting+Pliers%2C+Insulated%2C+High+Leverage%2C+8-Inch&amp;qid=1695174127&amp;sr=8-3")</f>
        <v>https://www.amazon.com/Diagonal-Linemans-Klein-Tools-D2000-48/dp/B0000302WZ/ref=sr_1_3?keywords=Klein+Tools+2288RINS+Diagonal+Cutting+Pliers%2C+Insulated%2C+High+Leverage%2C+8-Inch&amp;qid=1695174127&amp;sr=8-3</v>
      </c>
      <c r="F4135" t="s">
        <v>5016</v>
      </c>
      <c r="G4135" t="e">
        <f ca="1">_xludf.IMAGE("https://edmondsonsupply.com/cdn/shop/products/2288rins.jpg?v=1667238570")</f>
        <v>#NAME?</v>
      </c>
      <c r="H4135" t="e">
        <f ca="1">_xludf.IMAGE("https://m.media-amazon.com/images/I/41Y+q+BsIsL._AC_UL320_.jpg")</f>
        <v>#NAME?</v>
      </c>
      <c r="I4135" t="s">
        <v>246</v>
      </c>
      <c r="J4135">
        <v>34.97</v>
      </c>
      <c r="K4135" s="4">
        <v>-0.12509999999999999</v>
      </c>
      <c r="L4135">
        <v>4.7</v>
      </c>
      <c r="M4135">
        <v>530</v>
      </c>
      <c r="O4135" t="s">
        <v>25</v>
      </c>
      <c r="P4135" t="s">
        <v>1027</v>
      </c>
      <c r="Q4135" t="s">
        <v>8171</v>
      </c>
    </row>
    <row r="4136" spans="1:17" ht="15.5" x14ac:dyDescent="0.35">
      <c r="A4136"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136" s="3" t="str">
        <f>HYPERLINK("https://edmondsonsupply.com/products/klein-tools-635-1-4-1-4-inch-nut-driver-magnetic-tip-4-inch-shaft", "https://edmondsonsupply.com/products/klein-tools-635-1-4-1-4-inch-nut-driver-magnetic-tip-4-inch-shaft")</f>
        <v>https://edmondsonsupply.com/products/klein-tools-635-1-4-1-4-inch-nut-driver-magnetic-tip-4-inch-shaft</v>
      </c>
      <c r="C4136" t="s">
        <v>6817</v>
      </c>
      <c r="D4136" t="s">
        <v>3943</v>
      </c>
      <c r="E4136" s="3" t="str">
        <f>HYPERLINK("https://www.amazon.com/Magnetic-Klein-Tools-646-1-4M/dp/B00093GEC6/ref=sr_1_3?keywords=Klein+Tools+635-1%2F4+1%2F4-Inch+Nut+Driver%2C+Magnetic+Tip%2C+4-Inch+Shaft&amp;qid=1695174156&amp;sr=8-3", "https://www.amazon.com/Magnetic-Klein-Tools-646-1-4M/dp/B00093GEC6/ref=sr_1_3?keywords=Klein+Tools+635-1%2F4+1%2F4-Inch+Nut+Driver%2C+Magnetic+Tip%2C+4-Inch+Shaft&amp;qid=1695174156&amp;sr=8-3")</f>
        <v>https://www.amazon.com/Magnetic-Klein-Tools-646-1-4M/dp/B00093GEC6/ref=sr_1_3?keywords=Klein+Tools+635-1%2F4+1%2F4-Inch+Nut+Driver%2C+Magnetic+Tip%2C+4-Inch+Shaft&amp;qid=1695174156&amp;sr=8-3</v>
      </c>
      <c r="F4136" t="s">
        <v>3944</v>
      </c>
      <c r="G4136" t="e">
        <f ca="1">_xludf.IMAGE("https://edmondsonsupply.com/cdn/shop/products/635-1-4.jpg?v=1666811523")</f>
        <v>#NAME?</v>
      </c>
      <c r="H4136" t="e">
        <f ca="1">_xludf.IMAGE("https://m.media-amazon.com/images/I/418bbEGck1L._AC_UL320_.jpg")</f>
        <v>#NAME?</v>
      </c>
      <c r="I4136" t="s">
        <v>2337</v>
      </c>
      <c r="J4136">
        <v>10.49</v>
      </c>
      <c r="K4136" s="4">
        <v>-0.12509999999999999</v>
      </c>
      <c r="L4136">
        <v>4.8</v>
      </c>
      <c r="M4136">
        <v>2497</v>
      </c>
      <c r="O4136" t="s">
        <v>25</v>
      </c>
      <c r="P4136" t="s">
        <v>1212</v>
      </c>
      <c r="Q4136" t="s">
        <v>6818</v>
      </c>
    </row>
    <row r="4137" spans="1:17" ht="15.5" x14ac:dyDescent="0.35">
      <c r="A4137"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137" s="3" t="str">
        <f>HYPERLINK("https://edmondsonsupply.com/products/klein-tools-635-1-4-1-4-inch-nut-driver-magnetic-tip-4-inch-shaft", "https://edmondsonsupply.com/products/klein-tools-635-1-4-1-4-inch-nut-driver-magnetic-tip-4-inch-shaft")</f>
        <v>https://edmondsonsupply.com/products/klein-tools-635-1-4-1-4-inch-nut-driver-magnetic-tip-4-inch-shaft</v>
      </c>
      <c r="C4137" t="s">
        <v>6817</v>
      </c>
      <c r="D4137" t="s">
        <v>3528</v>
      </c>
      <c r="E4137" s="3" t="str">
        <f>HYPERLINK("https://www.amazon.com/4-Inch-Cushion-Klein-Tools-630-1/dp/B00093DZR8/ref=sr_1_7?keywords=Klein+Tools+635-1%2F4+1%2F4-Inch+Nut+Driver%2C+Magnetic+Tip%2C+4-Inch+Shaft&amp;qid=1695174156&amp;sr=8-7", "https://www.amazon.com/4-Inch-Cushion-Klein-Tools-630-1/dp/B00093DZR8/ref=sr_1_7?keywords=Klein+Tools+635-1%2F4+1%2F4-Inch+Nut+Driver%2C+Magnetic+Tip%2C+4-Inch+Shaft&amp;qid=1695174156&amp;sr=8-7")</f>
        <v>https://www.amazon.com/4-Inch-Cushion-Klein-Tools-630-1/dp/B00093DZR8/ref=sr_1_7?keywords=Klein+Tools+635-1%2F4+1%2F4-Inch+Nut+Driver%2C+Magnetic+Tip%2C+4-Inch+Shaft&amp;qid=1695174156&amp;sr=8-7</v>
      </c>
      <c r="F4137" t="s">
        <v>3529</v>
      </c>
      <c r="G4137" t="e">
        <f ca="1">_xludf.IMAGE("https://edmondsonsupply.com/cdn/shop/products/635-1-4.jpg?v=1666811523")</f>
        <v>#NAME?</v>
      </c>
      <c r="H4137" t="e">
        <f ca="1">_xludf.IMAGE("https://m.media-amazon.com/images/I/41gchQgPtfL._AC_UL320_.jpg")</f>
        <v>#NAME?</v>
      </c>
      <c r="I4137" t="s">
        <v>2337</v>
      </c>
      <c r="J4137">
        <v>10.49</v>
      </c>
      <c r="K4137" s="4">
        <v>-0.12509999999999999</v>
      </c>
      <c r="L4137">
        <v>4.8</v>
      </c>
      <c r="M4137">
        <v>59</v>
      </c>
      <c r="O4137" t="s">
        <v>25</v>
      </c>
      <c r="P4137" t="s">
        <v>1212</v>
      </c>
      <c r="Q4137" t="s">
        <v>6818</v>
      </c>
    </row>
    <row r="4138" spans="1:17" ht="15.5" x14ac:dyDescent="0.35">
      <c r="A4138"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4138" s="3" t="str">
        <f>HYPERLINK("https://edmondsonsupply.com/products/klein-tools-s10-5-16-inch-nut-driver-3-inch-hollow-shaft", "https://edmondsonsupply.com/products/klein-tools-s10-5-16-inch-nut-driver-3-inch-hollow-shaft")</f>
        <v>https://edmondsonsupply.com/products/klein-tools-s10-5-16-inch-nut-driver-3-inch-hollow-shaft</v>
      </c>
      <c r="C4138" t="s">
        <v>7432</v>
      </c>
      <c r="D4138" t="s">
        <v>8610</v>
      </c>
      <c r="E4138" s="3" t="str">
        <f>HYPERLINK("https://www.amazon.com/Driver-Cushion-Klein-Tools-630-5MM/dp/B0009OODG4/ref=sr_1_10?keywords=Klein+Tools+S10+5%2F16-Inch+Nut+Driver+3-Inch+Hollow+Shaft&amp;qid=1695174298&amp;sr=8-10", "https://www.amazon.com/Driver-Cushion-Klein-Tools-630-5MM/dp/B0009OODG4/ref=sr_1_10?keywords=Klein+Tools+S10+5%2F16-Inch+Nut+Driver+3-Inch+Hollow+Shaft&amp;qid=1695174298&amp;sr=8-10")</f>
        <v>https://www.amazon.com/Driver-Cushion-Klein-Tools-630-5MM/dp/B0009OODG4/ref=sr_1_10?keywords=Klein+Tools+S10+5%2F16-Inch+Nut+Driver+3-Inch+Hollow+Shaft&amp;qid=1695174298&amp;sr=8-10</v>
      </c>
      <c r="F4138" t="s">
        <v>8611</v>
      </c>
      <c r="G4138" t="e">
        <f ca="1">_xludf.IMAGE("https://edmondsonsupply.com/cdn/shop/products/s10_38acacb8-6c8e-49ef-8ed3-7160ab53875a.jpg?v=1633030893")</f>
        <v>#NAME?</v>
      </c>
      <c r="H4138" t="e">
        <f ca="1">_xludf.IMAGE("https://m.media-amazon.com/images/I/51oyTa9LLJL._AC_UL320_.jpg")</f>
        <v>#NAME?</v>
      </c>
      <c r="I4138" t="s">
        <v>1003</v>
      </c>
      <c r="J4138">
        <v>6.99</v>
      </c>
      <c r="K4138" s="4">
        <v>-0.12520000000000001</v>
      </c>
      <c r="L4138">
        <v>4.8</v>
      </c>
      <c r="M4138">
        <v>1117</v>
      </c>
      <c r="O4138" t="s">
        <v>25</v>
      </c>
      <c r="P4138" t="s">
        <v>7433</v>
      </c>
      <c r="Q4138" t="s">
        <v>7434</v>
      </c>
    </row>
    <row r="4139" spans="1:17" ht="15.5" x14ac:dyDescent="0.35">
      <c r="A4139"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4139" s="3" t="str">
        <f>HYPERLINK("https://edmondsonsupply.com/products/klein-tools-d2000-9ne-linemans-pliers-9-inch", "https://edmondsonsupply.com/products/klein-tools-d2000-9ne-linemans-pliers-9-inch")</f>
        <v>https://edmondsonsupply.com/products/klein-tools-d2000-9ne-linemans-pliers-9-inch</v>
      </c>
      <c r="C4139" t="s">
        <v>6770</v>
      </c>
      <c r="D4139" t="s">
        <v>5332</v>
      </c>
      <c r="E4139" s="3" t="str">
        <f>HYPERLINK("https://www.amazon.com/Leverage-46-Percent-Gripping-Klein-Tools/dp/B0000302W6/ref=sr_1_5?keywords=Klein+Tools+D2000-9NE+Linemans+Pliers%2C+9-Inch&amp;qid=1695174298&amp;sr=8-5", "https://www.amazon.com/Leverage-46-Percent-Gripping-Klein-Tools/dp/B0000302W6/ref=sr_1_5?keywords=Klein+Tools+D2000-9NE+Linemans+Pliers%2C+9-Inch&amp;qid=1695174298&amp;sr=8-5")</f>
        <v>https://www.amazon.com/Leverage-46-Percent-Gripping-Klein-Tools/dp/B0000302W6/ref=sr_1_5?keywords=Klein+Tools+D2000-9NE+Linemans+Pliers%2C+9-Inch&amp;qid=1695174298&amp;sr=8-5</v>
      </c>
      <c r="F4139" t="s">
        <v>5333</v>
      </c>
      <c r="G4139" t="e">
        <f ca="1">_xludf.IMAGE("https://edmondsonsupply.com/cdn/shop/products/d20009ne.jpg?v=1633030816")</f>
        <v>#NAME?</v>
      </c>
      <c r="H4139" t="e">
        <f ca="1">_xludf.IMAGE("https://m.media-amazon.com/images/I/51D7tdNTj7L._AC_UL320_.jpg")</f>
        <v>#NAME?</v>
      </c>
      <c r="I4139" t="s">
        <v>198</v>
      </c>
      <c r="J4139">
        <v>34.97</v>
      </c>
      <c r="K4139" s="4">
        <v>-0.1255</v>
      </c>
      <c r="L4139">
        <v>4.8</v>
      </c>
      <c r="M4139">
        <v>4121</v>
      </c>
      <c r="O4139" t="s">
        <v>25</v>
      </c>
      <c r="P4139" t="s">
        <v>6773</v>
      </c>
      <c r="Q4139" t="s">
        <v>6774</v>
      </c>
    </row>
    <row r="4140" spans="1:17" ht="15.5" x14ac:dyDescent="0.35">
      <c r="A4140" s="3" t="str">
        <f>HYPERLINK("https://edmondsonsupply.com/collections/electricians-tools/products/klein-tools-d213-9nett-pliers-high-leverage-side-cutters-tether-ring", "https://edmondsonsupply.com/collections/electricians-tools/products/klein-tools-d213-9nett-pliers-high-leverage-side-cutters-tether-ring")</f>
        <v>https://edmondsonsupply.com/collections/electricians-tools/products/klein-tools-d213-9nett-pliers-high-leverage-side-cutters-tether-ring</v>
      </c>
      <c r="B4140" s="3" t="str">
        <f>HYPERLINK("https://edmondsonsupply.com/products/klein-tools-d213-9nett-pliers-high-leverage-side-cutters-tether-ring", "https://edmondsonsupply.com/products/klein-tools-d213-9nett-pliers-high-leverage-side-cutters-tether-ring")</f>
        <v>https://edmondsonsupply.com/products/klein-tools-d213-9nett-pliers-high-leverage-side-cutters-tether-ring</v>
      </c>
      <c r="C4140" t="s">
        <v>8289</v>
      </c>
      <c r="D4140" t="s">
        <v>5332</v>
      </c>
      <c r="E4140" s="3" t="str">
        <f>HYPERLINK("https://www.amazon.com/Leverage-46-Percent-Gripping-Klein-Tools/dp/B0000302W6/ref=sr_1_2?keywords=Klein+Tools+D213-9NETT+Pliers%2C+High-Leverage+Side+Cutters%2C+Tether+Ring&amp;qid=1695174214&amp;sr=8-2", "https://www.amazon.com/Leverage-46-Percent-Gripping-Klein-Tools/dp/B0000302W6/ref=sr_1_2?keywords=Klein+Tools+D213-9NETT+Pliers%2C+High-Leverage+Side+Cutters%2C+Tether+Ring&amp;qid=1695174214&amp;sr=8-2")</f>
        <v>https://www.amazon.com/Leverage-46-Percent-Gripping-Klein-Tools/dp/B0000302W6/ref=sr_1_2?keywords=Klein+Tools+D213-9NETT+Pliers%2C+High-Leverage+Side+Cutters%2C+Tether+Ring&amp;qid=1695174214&amp;sr=8-2</v>
      </c>
      <c r="F4140" t="s">
        <v>5333</v>
      </c>
      <c r="G4140" t="e">
        <f ca="1">_xludf.IMAGE("https://edmondsonsupply.com/cdn/shop/products/d2139nett.jpg?v=1647394939")</f>
        <v>#NAME?</v>
      </c>
      <c r="H4140" t="e">
        <f ca="1">_xludf.IMAGE("https://m.media-amazon.com/images/I/51D7tdNTj7L._AC_UL320_.jpg")</f>
        <v>#NAME?</v>
      </c>
      <c r="I4140" t="s">
        <v>198</v>
      </c>
      <c r="J4140">
        <v>34.97</v>
      </c>
      <c r="K4140" s="4">
        <v>-0.1255</v>
      </c>
      <c r="L4140">
        <v>4.8</v>
      </c>
      <c r="M4140">
        <v>4121</v>
      </c>
      <c r="O4140" t="s">
        <v>25</v>
      </c>
      <c r="P4140" t="s">
        <v>8292</v>
      </c>
      <c r="Q4140" t="s">
        <v>8293</v>
      </c>
    </row>
    <row r="4141" spans="1:17" ht="15.5" x14ac:dyDescent="0.35">
      <c r="A4141"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4141"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4141" t="s">
        <v>5880</v>
      </c>
      <c r="D4141" t="s">
        <v>5900</v>
      </c>
      <c r="E4141" s="3" t="str">
        <f>HYPERLINK("https://www.amazon.com/Diablo-DMAMXCC5030-SDS-Max-Carbide-Tipped/dp/B089M8K3HG/ref=sr_1_1?keywords=Diablo+Tools+DMAMXCC5030+3-1%2F4+in.+x+7+in.+SDS-Max+Carbide+Tipped+Core+Bit&amp;qid=1695174010&amp;sr=8-1", "https://www.amazon.com/Diablo-DMAMXCC5030-SDS-Max-Carbide-Tipped/dp/B089M8K3HG/ref=sr_1_1?keywords=Diablo+Tools+DMAMXCC5030+3-1%2F4+in.+x+7+in.+SDS-Max+Carbide+Tipped+Core+Bit&amp;qid=1695174010&amp;sr=8-1")</f>
        <v>https://www.amazon.com/Diablo-DMAMXCC5030-SDS-Max-Carbide-Tipped/dp/B089M8K3HG/ref=sr_1_1?keywords=Diablo+Tools+DMAMXCC5030+3-1%2F4+in.+x+7+in.+SDS-Max+Carbide+Tipped+Core+Bit&amp;qid=1695174010&amp;sr=8-1</v>
      </c>
      <c r="F4141" t="s">
        <v>5901</v>
      </c>
      <c r="G4141" t="e">
        <f ca="1">_xludf.IMAGE("https://edmondsonsupply.com/cdn/shop/files/gtygiwnduxetozty2qne.webp?v=1686585332")</f>
        <v>#NAME?</v>
      </c>
      <c r="H4141" t="e">
        <f ca="1">_xludf.IMAGE("https://m.media-amazon.com/images/I/71U1Um--OXL._AC_UL320_.jpg")</f>
        <v>#NAME?</v>
      </c>
      <c r="I4141" t="s">
        <v>5883</v>
      </c>
      <c r="J4141">
        <v>110</v>
      </c>
      <c r="K4141" s="4">
        <v>-0.12690000000000001</v>
      </c>
      <c r="L4141">
        <v>5</v>
      </c>
      <c r="M4141">
        <v>3</v>
      </c>
      <c r="O4141" t="s">
        <v>25</v>
      </c>
      <c r="P4141" t="s">
        <v>5884</v>
      </c>
      <c r="Q4141" t="s">
        <v>5885</v>
      </c>
    </row>
    <row r="4142" spans="1:17" ht="15.5" x14ac:dyDescent="0.35">
      <c r="A4142"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4142"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4142" t="s">
        <v>7824</v>
      </c>
      <c r="D4142" t="s">
        <v>5101</v>
      </c>
      <c r="E4142" s="3" t="str">
        <f>HYPERLINK("https://www.amazon.com/Diagonal-Cutting-Klein-Tools-D248-8-GLW/dp/B00LMM39TY/ref=sr_1_10?keywords=Klein+Tools+D2000-49+Diagonal+Cutting+Pliers%2C+Angled+Head%2C+9-Inch&amp;qid=1695174302&amp;sr=8-10", "https://www.amazon.com/Diagonal-Cutting-Klein-Tools-D248-8-GLW/dp/B00LMM39TY/ref=sr_1_10?keywords=Klein+Tools+D2000-49+Diagonal+Cutting+Pliers%2C+Angled+Head%2C+9-Inch&amp;qid=1695174302&amp;sr=8-10")</f>
        <v>https://www.amazon.com/Diagonal-Cutting-Klein-Tools-D248-8-GLW/dp/B00LMM39TY/ref=sr_1_10?keywords=Klein+Tools+D2000-49+Diagonal+Cutting+Pliers%2C+Angled+Head%2C+9-Inch&amp;qid=1695174302&amp;sr=8-10</v>
      </c>
      <c r="F4142" t="s">
        <v>5102</v>
      </c>
      <c r="G4142" t="e">
        <f ca="1">_xludf.IMAGE("https://edmondsonsupply.com/cdn/shop/products/d2000-49.jpg?v=1633030811")</f>
        <v>#NAME?</v>
      </c>
      <c r="H4142" t="e">
        <f ca="1">_xludf.IMAGE("https://m.media-amazon.com/images/I/41HSLnsbFiL._AC_UL320_.jpg")</f>
        <v>#NAME?</v>
      </c>
      <c r="I4142" t="s">
        <v>3930</v>
      </c>
      <c r="J4142">
        <v>33.99</v>
      </c>
      <c r="K4142" s="4">
        <v>-0.12820000000000001</v>
      </c>
      <c r="L4142">
        <v>4.9000000000000004</v>
      </c>
      <c r="M4142">
        <v>634</v>
      </c>
      <c r="O4142" t="s">
        <v>25</v>
      </c>
      <c r="P4142" t="s">
        <v>7825</v>
      </c>
      <c r="Q4142" t="s">
        <v>7826</v>
      </c>
    </row>
    <row r="4143" spans="1:17" ht="15.5" x14ac:dyDescent="0.35">
      <c r="A4143"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4143" s="3" t="str">
        <f>HYPERLINK("https://edmondsonsupply.com/products/fluke-st120-gfci-socket-tester", "https://edmondsonsupply.com/products/fluke-st120-gfci-socket-tester")</f>
        <v>https://edmondsonsupply.com/products/fluke-st120-gfci-socket-tester</v>
      </c>
      <c r="C4143" t="s">
        <v>8351</v>
      </c>
      <c r="D4143" t="s">
        <v>8612</v>
      </c>
      <c r="E4143" s="3" t="str">
        <f>HYPERLINK("https://www.amazon.com/Aenllosi-Carrying-Replacement-Socket-Tester/dp/B0BD7JLMCB/ref=sr_1_3?keywords=Fluke+ST120+Socket+Tester+with+GFCI&amp;qid=1695174173&amp;sr=8-3", "https://www.amazon.com/Aenllosi-Carrying-Replacement-Socket-Tester/dp/B0BD7JLMCB/ref=sr_1_3?keywords=Fluke+ST120+Socket+Tester+with+GFCI&amp;qid=1695174173&amp;sr=8-3")</f>
        <v>https://www.amazon.com/Aenllosi-Carrying-Replacement-Socket-Tester/dp/B0BD7JLMCB/ref=sr_1_3?keywords=Fluke+ST120+Socket+Tester+with+GFCI&amp;qid=1695174173&amp;sr=8-3</v>
      </c>
      <c r="F4143" t="s">
        <v>8613</v>
      </c>
      <c r="G4143" t="e">
        <f ca="1">_xludf.IMAGE("https://edmondsonsupply.com/cdn/shop/products/F-st120_01a_w.webp?v=1662582102")</f>
        <v>#NAME?</v>
      </c>
      <c r="H4143" t="e">
        <f ca="1">_xludf.IMAGE("https://m.media-amazon.com/images/I/81I3g-w5eLL._AC_UL320_.jpg")</f>
        <v>#NAME?</v>
      </c>
      <c r="I4143" t="s">
        <v>4229</v>
      </c>
      <c r="J4143">
        <v>13.49</v>
      </c>
      <c r="K4143" s="4">
        <v>-0.12909999999999999</v>
      </c>
      <c r="L4143">
        <v>4.8</v>
      </c>
      <c r="M4143">
        <v>62</v>
      </c>
      <c r="O4143" t="s">
        <v>25</v>
      </c>
      <c r="P4143" t="s">
        <v>866</v>
      </c>
      <c r="Q4143" t="s">
        <v>8354</v>
      </c>
    </row>
    <row r="4144" spans="1:17" ht="15.5" x14ac:dyDescent="0.35">
      <c r="A4144" s="3" t="str">
        <f>HYPERLINK("https://edmondsonsupply.com/collections/electricians-tools/products/sensible-products-hrf-2-high-beam-rechargeable-flashlight-2-black", "https://edmondsonsupply.com/collections/electricians-tools/products/sensible-products-hrf-2-high-beam-rechargeable-flashlight-2-black")</f>
        <v>https://edmondsonsupply.com/collections/electricians-tools/products/sensible-products-hrf-2-high-beam-rechargeable-flashlight-2-black</v>
      </c>
      <c r="B4144" s="3" t="str">
        <f>HYPERLINK("https://edmondsonsupply.com/products/sensible-products-hrf-2-high-beam-rechargeable-flashlight-2-black", "https://edmondsonsupply.com/products/sensible-products-hrf-2-high-beam-rechargeable-flashlight-2-black")</f>
        <v>https://edmondsonsupply.com/products/sensible-products-hrf-2-high-beam-rechargeable-flashlight-2-black</v>
      </c>
      <c r="C4144" t="s">
        <v>4050</v>
      </c>
      <c r="D4144" t="s">
        <v>4152</v>
      </c>
      <c r="E4144" s="3" t="str">
        <f>HYPERLINK("https://www.amazon.com/Sold-Each-High-Beam-Rechargeable-Flashlight/dp/B07QV3HVKP/ref=sr_1_2?keywords=Sensible+Products+HRF-2+High-Beam+Rechargeable+Flashlight-2%2C+Black&amp;qid=1695173897&amp;sr=8-2", "https://www.amazon.com/Sold-Each-High-Beam-Rechargeable-Flashlight/dp/B07QV3HVKP/ref=sr_1_2?keywords=Sensible+Products+HRF-2+High-Beam+Rechargeable+Flashlight-2%2C+Black&amp;qid=1695173897&amp;sr=8-2")</f>
        <v>https://www.amazon.com/Sold-Each-High-Beam-Rechargeable-Flashlight/dp/B07QV3HVKP/ref=sr_1_2?keywords=Sensible+Products+HRF-2+High-Beam+Rechargeable+Flashlight-2%2C+Black&amp;qid=1695173897&amp;sr=8-2</v>
      </c>
      <c r="F4144" t="s">
        <v>4153</v>
      </c>
      <c r="G4144" t="e">
        <f ca="1">_xludf.IMAGE("https://edmondsonsupply.com/cdn/shop/files/hrf2.jpg?v=1693231375")</f>
        <v>#NAME?</v>
      </c>
      <c r="H4144" t="e">
        <f ca="1">_xludf.IMAGE("https://m.media-amazon.com/images/I/31tIPF-TUsL._AC_UL320_.jpg")</f>
        <v>#NAME?</v>
      </c>
      <c r="I4144" t="s">
        <v>1297</v>
      </c>
      <c r="J4144">
        <v>29.99</v>
      </c>
      <c r="K4144" s="4">
        <v>-0.1305</v>
      </c>
      <c r="L4144">
        <v>4</v>
      </c>
      <c r="M4144">
        <v>14</v>
      </c>
      <c r="O4144" t="s">
        <v>25</v>
      </c>
      <c r="P4144" t="s">
        <v>138</v>
      </c>
      <c r="Q4144" t="s">
        <v>4051</v>
      </c>
    </row>
    <row r="4145" spans="1:17" ht="15.5" x14ac:dyDescent="0.35">
      <c r="A4145" s="3" t="str">
        <f>HYPERLINK("https://edmondsonsupply.com/collections/electricians-tools/products/klein-tools-jth6t25-t25-torx%C2%AE-hex-key-with-journeyman-t-handle-6-inch", "https://edmondsonsupply.com/collections/electricians-tools/products/klein-tools-jth6t25-t25-torx%C2%AE-hex-key-with-journeyman-t-handle-6-inch")</f>
        <v>https://edmondsonsupply.com/collections/electricians-tools/products/klein-tools-jth6t25-t25-torx%C2%AE-hex-key-with-journeyman-t-handle-6-inch</v>
      </c>
      <c r="B4145" s="3" t="str">
        <f>HYPERLINK("https://edmondsonsupply.com/products/klein-tools-jth6t25-t25-torx%c2%ae-hex-key-with-journeyman-t-handle-6-inch", "https://edmondsonsupply.com/products/klein-tools-jth6t25-t25-torx%c2%ae-hex-key-with-journeyman-t-handle-6-inch")</f>
        <v>https://edmondsonsupply.com/products/klein-tools-jth6t25-t25-torx%c2%ae-hex-key-with-journeyman-t-handle-6-inch</v>
      </c>
      <c r="C4145" t="s">
        <v>3078</v>
      </c>
      <c r="D4145" t="s">
        <v>2386</v>
      </c>
      <c r="E4145" s="3" t="str">
        <f>HYPERLINK("https://www.amazon.com/Journeyman-T-Handle-Klein-Tools-JTH6E13BE/dp/B004QW52YW/ref=sr_1_4?keywords=Klein+Tools+JTH6T25+T25+Torx%C2%AE+Hex+Key+with+Journeyman+T-Handle%2C+6-Inch&amp;qid=1695173879&amp;sr=8-4", "https://www.amazon.com/Journeyman-T-Handle-Klein-Tools-JTH6E13BE/dp/B004QW52YW/ref=sr_1_4?keywords=Klein+Tools+JTH6T25+T25+Torx%C2%AE+Hex+Key+with+Journeyman+T-Handle%2C+6-Inch&amp;qid=1695173879&amp;sr=8-4")</f>
        <v>https://www.amazon.com/Journeyman-T-Handle-Klein-Tools-JTH6E13BE/dp/B004QW52YW/ref=sr_1_4?keywords=Klein+Tools+JTH6T25+T25+Torx%C2%AE+Hex+Key+with+Journeyman+T-Handle%2C+6-Inch&amp;qid=1695173879&amp;sr=8-4</v>
      </c>
      <c r="F4145" t="s">
        <v>2387</v>
      </c>
      <c r="G4145" t="e">
        <f ca="1">_xludf.IMAGE("https://edmondsonsupply.com/cdn/shop/products/jth6t40_f27d4256-4343-44f4-afb3-5989c8c8fc7b.jpg?v=1613168190")</f>
        <v>#NAME?</v>
      </c>
      <c r="H4145" t="e">
        <f ca="1">_xludf.IMAGE("https://m.media-amazon.com/images/I/51f9vBFVXgL._AC_UL320_.jpg")</f>
        <v>#NAME?</v>
      </c>
      <c r="I4145" t="s">
        <v>3081</v>
      </c>
      <c r="J4145">
        <v>10.55</v>
      </c>
      <c r="K4145" s="4">
        <v>-0.13100000000000001</v>
      </c>
      <c r="L4145">
        <v>4.7</v>
      </c>
      <c r="M4145">
        <v>32</v>
      </c>
      <c r="O4145" t="s">
        <v>25</v>
      </c>
      <c r="P4145" t="s">
        <v>138</v>
      </c>
      <c r="Q4145" t="s">
        <v>3082</v>
      </c>
    </row>
    <row r="4146" spans="1:17" ht="15.5" x14ac:dyDescent="0.35">
      <c r="A4146" s="3" t="str">
        <f>HYPERLINK("https://edmondsonsupply.com/collections/electricians-tools/products/klein-tools-63215-high-leverage-compact-cable-cutter", "https://edmondsonsupply.com/collections/electricians-tools/products/klein-tools-63215-high-leverage-compact-cable-cutter")</f>
        <v>https://edmondsonsupply.com/collections/electricians-tools/products/klein-tools-63215-high-leverage-compact-cable-cutter</v>
      </c>
      <c r="B4146" s="3" t="str">
        <f>HYPERLINK("https://edmondsonsupply.com/products/klein-tools-63215-high-leverage-compact-cable-cutter", "https://edmondsonsupply.com/products/klein-tools-63215-high-leverage-compact-cable-cutter")</f>
        <v>https://edmondsonsupply.com/products/klein-tools-63215-high-leverage-compact-cable-cutter</v>
      </c>
      <c r="C4146" t="s">
        <v>8614</v>
      </c>
      <c r="D4146" t="s">
        <v>8615</v>
      </c>
      <c r="E4146" s="3" t="str">
        <f>HYPERLINK("https://www.amazon.com/Klein-Tools-63215-High-Leverage-Aluminum/dp/B088NR2Q2Y/ref=sr_1_1?keywords=Klein+Tools+63215+High-Leverage+Compact+Cable+Cutter&amp;qid=1695174305&amp;sr=8-1", "https://www.amazon.com/Klein-Tools-63215-High-Leverage-Aluminum/dp/B088NR2Q2Y/ref=sr_1_1?keywords=Klein+Tools+63215+High-Leverage+Compact+Cable+Cutter&amp;qid=1695174305&amp;sr=8-1")</f>
        <v>https://www.amazon.com/Klein-Tools-63215-High-Leverage-Aluminum/dp/B088NR2Q2Y/ref=sr_1_1?keywords=Klein+Tools+63215+High-Leverage+Compact+Cable+Cutter&amp;qid=1695174305&amp;sr=8-1</v>
      </c>
      <c r="F4146" t="s">
        <v>8616</v>
      </c>
      <c r="G4146" t="e">
        <f ca="1">_xludf.IMAGE("https://edmondsonsupply.com/cdn/shop/products/63215.jpg?v=1633030808")</f>
        <v>#NAME?</v>
      </c>
      <c r="H4146" t="e">
        <f ca="1">_xludf.IMAGE("https://m.media-amazon.com/images/I/61NOJnun2xL._AC_UL320_.jpg")</f>
        <v>#NAME?</v>
      </c>
      <c r="I4146" t="s">
        <v>1589</v>
      </c>
      <c r="J4146">
        <v>19.97</v>
      </c>
      <c r="K4146" s="4">
        <v>-0.13139999999999999</v>
      </c>
      <c r="L4146">
        <v>4.7</v>
      </c>
      <c r="M4146">
        <v>428</v>
      </c>
      <c r="O4146" t="s">
        <v>25</v>
      </c>
      <c r="P4146" t="s">
        <v>8617</v>
      </c>
      <c r="Q4146" t="s">
        <v>8618</v>
      </c>
    </row>
    <row r="4147" spans="1:17" ht="15.5" x14ac:dyDescent="0.35">
      <c r="A4147" s="3" t="str">
        <f>HYPERLINK("https://edmondsonsupply.com/collections/electricians-tools/products/klein-tools-44138-coping-replacement-blades-for-44218-3-pack", "https://edmondsonsupply.com/collections/electricians-tools/products/klein-tools-44138-coping-replacement-blades-for-44218-3-pack")</f>
        <v>https://edmondsonsupply.com/collections/electricians-tools/products/klein-tools-44138-coping-replacement-blades-for-44218-3-pack</v>
      </c>
      <c r="B4147" s="3" t="str">
        <f>HYPERLINK("https://edmondsonsupply.com/products/klein-tools-44138-coping-replacement-blades-for-44218-3-pack", "https://edmondsonsupply.com/products/klein-tools-44138-coping-replacement-blades-for-44218-3-pack")</f>
        <v>https://edmondsonsupply.com/products/klein-tools-44138-coping-replacement-blades-for-44218-3-pack</v>
      </c>
      <c r="C4147" t="s">
        <v>8619</v>
      </c>
      <c r="D4147" t="s">
        <v>8620</v>
      </c>
      <c r="E4147" s="3" t="str">
        <f>HYPERLINK("https://www.amazon.com/Replacement-Klein-Tools-Folding-44138/dp/B07D7RTNZH/ref=sr_1_1?keywords=Klein+Tools+44138+Coping+Replacement+Blades+for+44218+3-Pack&amp;qid=1695174237&amp;sr=8-1", "https://www.amazon.com/Replacement-Klein-Tools-Folding-44138/dp/B07D7RTNZH/ref=sr_1_1?keywords=Klein+Tools+44138+Coping+Replacement+Blades+for+44218+3-Pack&amp;qid=1695174237&amp;sr=8-1")</f>
        <v>https://www.amazon.com/Replacement-Klein-Tools-Folding-44138/dp/B07D7RTNZH/ref=sr_1_1?keywords=Klein+Tools+44138+Coping+Replacement+Blades+for+44218+3-Pack&amp;qid=1695174237&amp;sr=8-1</v>
      </c>
      <c r="F4147" t="s">
        <v>8621</v>
      </c>
      <c r="G4147" t="e">
        <f ca="1">_xludf.IMAGE("https://edmondsonsupply.com/cdn/shop/products/44138.jpg?v=1635633218")</f>
        <v>#NAME?</v>
      </c>
      <c r="H4147" t="e">
        <f ca="1">_xludf.IMAGE("https://m.media-amazon.com/images/I/510kReenLDL._AC_UL320_.jpg")</f>
        <v>#NAME?</v>
      </c>
      <c r="I4147" t="s">
        <v>834</v>
      </c>
      <c r="J4147">
        <v>11.27</v>
      </c>
      <c r="K4147" s="4">
        <v>-0.13239999999999999</v>
      </c>
      <c r="L4147">
        <v>4.8</v>
      </c>
      <c r="M4147">
        <v>3348</v>
      </c>
      <c r="O4147" t="s">
        <v>25</v>
      </c>
      <c r="P4147" t="s">
        <v>1212</v>
      </c>
      <c r="Q4147" t="s">
        <v>8622</v>
      </c>
    </row>
    <row r="4148" spans="1:17" ht="15.5" x14ac:dyDescent="0.35">
      <c r="A4148"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4148" s="3" t="str">
        <f>HYPERLINK("https://edmondsonsupply.com/products/klein-tools-12098-eins-combination-pliers-insulated", "https://edmondsonsupply.com/products/klein-tools-12098-eins-combination-pliers-insulated")</f>
        <v>https://edmondsonsupply.com/products/klein-tools-12098-eins-combination-pliers-insulated</v>
      </c>
      <c r="C4148" t="s">
        <v>8623</v>
      </c>
      <c r="D4148" t="s">
        <v>2612</v>
      </c>
      <c r="E4148" s="3" t="str">
        <f>HYPERLINK("https://www.amazon.com/Insulated-Combination-Klein-Tools-12098-INS/dp/B0002RI4V8/ref=sr_1_1?keywords=Klein+Tools+12098-EINS+Combination+Pliers%2C+Insulated&amp;qid=1695174273&amp;sr=8-1", "https://www.amazon.com/Insulated-Combination-Klein-Tools-12098-INS/dp/B0002RI4V8/ref=sr_1_1?keywords=Klein+Tools+12098-EINS+Combination+Pliers%2C+Insulated&amp;qid=1695174273&amp;sr=8-1")</f>
        <v>https://www.amazon.com/Insulated-Combination-Klein-Tools-12098-INS/dp/B0002RI4V8/ref=sr_1_1?keywords=Klein+Tools+12098-EINS+Combination+Pliers%2C+Insulated&amp;qid=1695174273&amp;sr=8-1</v>
      </c>
      <c r="F4148" t="s">
        <v>2613</v>
      </c>
      <c r="G4148" t="e">
        <f ca="1">_xludf.IMAGE("https://edmondsonsupply.com/cdn/shop/products/12098eins.jpg?v=1633031039")</f>
        <v>#NAME?</v>
      </c>
      <c r="H4148" t="e">
        <f ca="1">_xludf.IMAGE("https://m.media-amazon.com/images/I/51I3JjFrgcL._AC_UL320_.jpg")</f>
        <v>#NAME?</v>
      </c>
      <c r="I4148" t="s">
        <v>320</v>
      </c>
      <c r="J4148">
        <v>64.989999999999995</v>
      </c>
      <c r="K4148" s="4">
        <v>-0.13339999999999999</v>
      </c>
      <c r="L4148">
        <v>5</v>
      </c>
      <c r="M4148">
        <v>10</v>
      </c>
      <c r="O4148" t="s">
        <v>25</v>
      </c>
      <c r="P4148" t="s">
        <v>8624</v>
      </c>
      <c r="Q4148" t="s">
        <v>8625</v>
      </c>
    </row>
    <row r="4149" spans="1:17" ht="15.5" x14ac:dyDescent="0.35">
      <c r="A4149" s="3" t="str">
        <f>HYPERLINK("https://edmondsonsupply.com/collections/electricians-tools/products/crescent-wiss-ws46n-6-straight-handle-hand-seamer", "https://edmondsonsupply.com/collections/electricians-tools/products/crescent-wiss-ws46n-6-straight-handle-hand-seamer")</f>
        <v>https://edmondsonsupply.com/collections/electricians-tools/products/crescent-wiss-ws46n-6-straight-handle-hand-seamer</v>
      </c>
      <c r="B4149" s="3" t="str">
        <f>HYPERLINK("https://edmondsonsupply.com/products/crescent-wiss-ws46n-6-straight-handle-hand-seamer", "https://edmondsonsupply.com/products/crescent-wiss-ws46n-6-straight-handle-hand-seamer")</f>
        <v>https://edmondsonsupply.com/products/crescent-wiss-ws46n-6-straight-handle-hand-seamer</v>
      </c>
      <c r="C4149" t="s">
        <v>8626</v>
      </c>
      <c r="D4149" t="s">
        <v>8627</v>
      </c>
      <c r="E4149" s="3" t="str">
        <f>HYPERLINK("https://www.amazon.com/Wiss-WS6N-6-Straight-Handle/dp/B06XC1LGGL/ref=sr_1_1?keywords=Crescent+Wiss+WS6N+6%22+Straight+Handle+Hand+Seamer&amp;qid=1695174042&amp;sr=8-1", "https://www.amazon.com/Wiss-WS6N-6-Straight-Handle/dp/B06XC1LGGL/ref=sr_1_1?keywords=Crescent+Wiss+WS6N+6%22+Straight+Handle+Hand+Seamer&amp;qid=1695174042&amp;sr=8-1")</f>
        <v>https://www.amazon.com/Wiss-WS6N-6-Straight-Handle/dp/B06XC1LGGL/ref=sr_1_1?keywords=Crescent+Wiss+WS6N+6%22+Straight+Handle+Hand+Seamer&amp;qid=1695174042&amp;sr=8-1</v>
      </c>
      <c r="F4149" t="s">
        <v>8628</v>
      </c>
      <c r="G4149" t="e">
        <f ca="1">_xludf.IMAGE("https://edmondsonsupply.com/cdn/shop/products/WIS_WS3N_IMG-MAIN_1.jpg?v=1679679422")</f>
        <v>#NAME?</v>
      </c>
      <c r="H4149" t="e">
        <f ca="1">_xludf.IMAGE("https://m.media-amazon.com/images/I/51GLUjHEnvS._AC_UL320_.jpg")</f>
        <v>#NAME?</v>
      </c>
      <c r="I4149" t="s">
        <v>8629</v>
      </c>
      <c r="J4149">
        <v>53.99</v>
      </c>
      <c r="K4149" s="4">
        <v>-0.1348</v>
      </c>
      <c r="L4149">
        <v>4.4000000000000004</v>
      </c>
      <c r="M4149">
        <v>74</v>
      </c>
      <c r="O4149" t="s">
        <v>25</v>
      </c>
      <c r="P4149" t="s">
        <v>8630</v>
      </c>
      <c r="Q4149" t="s">
        <v>8631</v>
      </c>
    </row>
    <row r="4150" spans="1:17" ht="15.5" x14ac:dyDescent="0.35">
      <c r="A4150" s="3" t="str">
        <f>HYPERLINK("https://edmondsonsupply.com/collections/electricians-tools/products/klein-tools-50611ml-magnetic-wire-puller-replacement-leader", "https://edmondsonsupply.com/collections/electricians-tools/products/klein-tools-50611ml-magnetic-wire-puller-replacement-leader")</f>
        <v>https://edmondsonsupply.com/collections/electricians-tools/products/klein-tools-50611ml-magnetic-wire-puller-replacement-leader</v>
      </c>
      <c r="B4150" s="3" t="str">
        <f>HYPERLINK("https://edmondsonsupply.com/products/klein-tools-50611ml-magnetic-wire-puller-replacement-leader", "https://edmondsonsupply.com/products/klein-tools-50611ml-magnetic-wire-puller-replacement-leader")</f>
        <v>https://edmondsonsupply.com/products/klein-tools-50611ml-magnetic-wire-puller-replacement-leader</v>
      </c>
      <c r="C4150" t="s">
        <v>6397</v>
      </c>
      <c r="D4150" t="s">
        <v>8632</v>
      </c>
      <c r="E4150" s="3" t="str">
        <f>HYPERLINK("https://www.amazon.com/Klein-Tools-50611ML-Replacement-Stainless-Steel/dp/B09C6RH3Z9/ref=sr_1_1?keywords=Klein+Tools+50611ML+Magnetic+Wire+Puller+Replacement+Leader&amp;qid=1695174150&amp;sr=8-1", "https://www.amazon.com/Klein-Tools-50611ML-Replacement-Stainless-Steel/dp/B09C6RH3Z9/ref=sr_1_1?keywords=Klein+Tools+50611ML+Magnetic+Wire+Puller+Replacement+Leader&amp;qid=1695174150&amp;sr=8-1")</f>
        <v>https://www.amazon.com/Klein-Tools-50611ML-Replacement-Stainless-Steel/dp/B09C6RH3Z9/ref=sr_1_1?keywords=Klein+Tools+50611ML+Magnetic+Wire+Puller+Replacement+Leader&amp;qid=1695174150&amp;sr=8-1</v>
      </c>
      <c r="F4150" t="s">
        <v>8633</v>
      </c>
      <c r="G4150" t="e">
        <f ca="1">_xludf.IMAGE("https://edmondsonsupply.com/cdn/shop/products/50611ml.jpg?v=1664399271")</f>
        <v>#NAME?</v>
      </c>
      <c r="H4150" t="e">
        <f ca="1">_xludf.IMAGE("https://m.media-amazon.com/images/I/31ni9F4mVRL._AC_UL320_.jpg")</f>
        <v>#NAME?</v>
      </c>
      <c r="I4150" t="s">
        <v>471</v>
      </c>
      <c r="J4150">
        <v>21.61</v>
      </c>
      <c r="K4150" s="4">
        <v>-0.1353</v>
      </c>
      <c r="L4150">
        <v>4</v>
      </c>
      <c r="M4150">
        <v>8</v>
      </c>
      <c r="O4150" t="s">
        <v>25</v>
      </c>
      <c r="P4150" t="s">
        <v>6400</v>
      </c>
      <c r="Q4150" t="s">
        <v>6401</v>
      </c>
    </row>
    <row r="4151" spans="1:17" ht="15.5" x14ac:dyDescent="0.35">
      <c r="A4151" s="3" t="str">
        <f>HYPERLINK("https://edmondsonsupply.com/collections/electricians-tools/products/klein-tools-450-002-staples-5-16-inch-x-5-16-inch-insulated", "https://edmondsonsupply.com/collections/electricians-tools/products/klein-tools-450-002-staples-5-16-inch-x-5-16-inch-insulated")</f>
        <v>https://edmondsonsupply.com/collections/electricians-tools/products/klein-tools-450-002-staples-5-16-inch-x-5-16-inch-insulated</v>
      </c>
      <c r="B4151" s="3" t="str">
        <f>HYPERLINK("https://edmondsonsupply.com/products/klein-tools-450-002-staples-5-16-inch-x-5-16-inch-insulated", "https://edmondsonsupply.com/products/klein-tools-450-002-staples-5-16-inch-x-5-16-inch-insulated")</f>
        <v>https://edmondsonsupply.com/products/klein-tools-450-002-staples-5-16-inch-x-5-16-inch-insulated</v>
      </c>
      <c r="C4151" t="s">
        <v>6159</v>
      </c>
      <c r="D4151" t="s">
        <v>8634</v>
      </c>
      <c r="E4151" s="3" t="str">
        <f>HYPERLINK("https://www.amazon.com/Klein-Tools-450-002-Staples-Insulated/dp/B085TCGCK7/ref=sr_1_1?keywords=Klein+Tools+450-002+Staples%2C+5%2F16-Inch+x+5%2F16-Inch+Insulated&amp;qid=1695173921&amp;sr=8-1", "https://www.amazon.com/Klein-Tools-450-002-Staples-Insulated/dp/B085TCGCK7/ref=sr_1_1?keywords=Klein+Tools+450-002+Staples%2C+5%2F16-Inch+x+5%2F16-Inch+Insulated&amp;qid=1695173921&amp;sr=8-1")</f>
        <v>https://www.amazon.com/Klein-Tools-450-002-Staples-Insulated/dp/B085TCGCK7/ref=sr_1_1?keywords=Klein+Tools+450-002+Staples%2C+5%2F16-Inch+x+5%2F16-Inch+Insulated&amp;qid=1695173921&amp;sr=8-1</v>
      </c>
      <c r="F4151" t="s">
        <v>8635</v>
      </c>
      <c r="G4151" t="e">
        <f ca="1">_xludf.IMAGE("https://edmondsonsupply.com/cdn/shop/products/450002.jpg?v=1633030471")</f>
        <v>#NAME?</v>
      </c>
      <c r="H4151" t="e">
        <f ca="1">_xludf.IMAGE("https://m.media-amazon.com/images/I/613jG6JSbkL._AC_UL320_.jpg")</f>
        <v>#NAME?</v>
      </c>
      <c r="I4151" t="s">
        <v>2577</v>
      </c>
      <c r="J4151">
        <v>8.6300000000000008</v>
      </c>
      <c r="K4151" s="4">
        <v>-0.1361</v>
      </c>
      <c r="L4151">
        <v>4.0999999999999996</v>
      </c>
      <c r="M4151">
        <v>652</v>
      </c>
      <c r="O4151" t="s">
        <v>25</v>
      </c>
      <c r="P4151" t="s">
        <v>2434</v>
      </c>
      <c r="Q4151" t="s">
        <v>6160</v>
      </c>
    </row>
    <row r="4152" spans="1:17" ht="15.5" x14ac:dyDescent="0.35">
      <c r="A4152" s="3" t="str">
        <f>HYPERLINK("https://edmondsonsupply.com/collections/electricians-tools/products/klein-tools-50031-ratcheting-pvc-cutter", "https://edmondsonsupply.com/collections/electricians-tools/products/klein-tools-50031-ratcheting-pvc-cutter")</f>
        <v>https://edmondsonsupply.com/collections/electricians-tools/products/klein-tools-50031-ratcheting-pvc-cutter</v>
      </c>
      <c r="B4152" s="3" t="str">
        <f>HYPERLINK("https://edmondsonsupply.com/products/klein-tools-50031-ratcheting-pvc-cutter", "https://edmondsonsupply.com/products/klein-tools-50031-ratcheting-pvc-cutter")</f>
        <v>https://edmondsonsupply.com/products/klein-tools-50031-ratcheting-pvc-cutter</v>
      </c>
      <c r="C4152" t="s">
        <v>6649</v>
      </c>
      <c r="D4152" t="s">
        <v>6649</v>
      </c>
      <c r="E4152" s="3" t="str">
        <f>HYPERLINK("https://www.amazon.com/Ratcheting-Cutter-Klein-Tools-50031/dp/B00ITF4U0Y/ref=sr_1_1?keywords=Klein+Tools+50031+Ratcheting+PVC+Cutter&amp;qid=1695174227&amp;sr=8-1", "https://www.amazon.com/Ratcheting-Cutter-Klein-Tools-50031/dp/B00ITF4U0Y/ref=sr_1_1?keywords=Klein+Tools+50031+Ratcheting+PVC+Cutter&amp;qid=1695174227&amp;sr=8-1")</f>
        <v>https://www.amazon.com/Ratcheting-Cutter-Klein-Tools-50031/dp/B00ITF4U0Y/ref=sr_1_1?keywords=Klein+Tools+50031+Ratcheting+PVC+Cutter&amp;qid=1695174227&amp;sr=8-1</v>
      </c>
      <c r="F4152" t="s">
        <v>8636</v>
      </c>
      <c r="G4152" t="e">
        <f ca="1">_xludf.IMAGE("https://edmondsonsupply.com/cdn/shop/products/50031.jpg?v=1587145344")</f>
        <v>#NAME?</v>
      </c>
      <c r="H4152" t="e">
        <f ca="1">_xludf.IMAGE("https://m.media-amazon.com/images/I/51Ztl0mReHL._AC_UL320_.jpg")</f>
        <v>#NAME?</v>
      </c>
      <c r="I4152" t="s">
        <v>626</v>
      </c>
      <c r="J4152">
        <v>82.02</v>
      </c>
      <c r="K4152" s="4">
        <v>-0.13650000000000001</v>
      </c>
      <c r="L4152">
        <v>4.8</v>
      </c>
      <c r="M4152">
        <v>55</v>
      </c>
      <c r="O4152" t="s">
        <v>25</v>
      </c>
      <c r="P4152" t="s">
        <v>6652</v>
      </c>
      <c r="Q4152" t="s">
        <v>6653</v>
      </c>
    </row>
    <row r="4153" spans="1:17" ht="15.5" x14ac:dyDescent="0.35">
      <c r="A4153"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4153" s="3" t="str">
        <f>HYPERLINK("https://edmondsonsupply.com/products/klein-tools-31870-carbide-hole-cutter-2-1-2-inch", "https://edmondsonsupply.com/products/klein-tools-31870-carbide-hole-cutter-2-1-2-inch")</f>
        <v>https://edmondsonsupply.com/products/klein-tools-31870-carbide-hole-cutter-2-1-2-inch</v>
      </c>
      <c r="C4153" t="s">
        <v>6295</v>
      </c>
      <c r="D4153" t="s">
        <v>8637</v>
      </c>
      <c r="E4153" s="3" t="str">
        <f>HYPERLINK("https://www.amazon.com/Greenlee-625-2-1-Carbide-Tipped-Cutter-2-Inch/dp/B00204CCLO/ref=sr_1_10?keywords=Klein+Tools+31870+Carbide+Hole+Cutter%2C+2-1%2F2-Inch&amp;qid=1695174279&amp;sr=8-10", "https://www.amazon.com/Greenlee-625-2-1-Carbide-Tipped-Cutter-2-Inch/dp/B00204CCLO/ref=sr_1_10?keywords=Klein+Tools+31870+Carbide+Hole+Cutter%2C+2-1%2F2-Inch&amp;qid=1695174279&amp;sr=8-10")</f>
        <v>https://www.amazon.com/Greenlee-625-2-1-Carbide-Tipped-Cutter-2-Inch/dp/B00204CCLO/ref=sr_1_10?keywords=Klein+Tools+31870+Carbide+Hole+Cutter%2C+2-1%2F2-Inch&amp;qid=1695174279&amp;sr=8-10</v>
      </c>
      <c r="F4153" t="s">
        <v>8638</v>
      </c>
      <c r="G4153" t="e">
        <f ca="1">_xludf.IMAGE("https://edmondsonsupply.com/cdn/shop/products/31870_alt1.jpg?v=1633030999")</f>
        <v>#NAME?</v>
      </c>
      <c r="H4153" t="e">
        <f ca="1">_xludf.IMAGE("https://m.media-amazon.com/images/I/91Gh0g8+Y-L._AC_UL320_.jpg")</f>
        <v>#NAME?</v>
      </c>
      <c r="I4153" t="s">
        <v>300</v>
      </c>
      <c r="J4153">
        <v>69</v>
      </c>
      <c r="K4153" s="4">
        <v>-0.13739999999999999</v>
      </c>
      <c r="L4153">
        <v>4.5</v>
      </c>
      <c r="M4153">
        <v>122</v>
      </c>
      <c r="O4153" t="s">
        <v>25</v>
      </c>
      <c r="P4153" t="s">
        <v>6296</v>
      </c>
      <c r="Q4153" t="s">
        <v>6297</v>
      </c>
    </row>
    <row r="4154" spans="1:17" ht="15.5" x14ac:dyDescent="0.35">
      <c r="A4154"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4154" s="3" t="str">
        <f>HYPERLINK("https://edmondsonsupply.com/products/veto-pro-pac-tech-pac-backpack-tool-bag-1", "https://edmondsonsupply.com/products/veto-pro-pac-tech-pac-backpack-tool-bag-1")</f>
        <v>https://edmondsonsupply.com/products/veto-pro-pac-tech-pac-backpack-tool-bag-1</v>
      </c>
      <c r="C4154" t="s">
        <v>8235</v>
      </c>
      <c r="D4154" t="s">
        <v>684</v>
      </c>
      <c r="E4154" s="3" t="str">
        <f>HYPERLINK("https://www.amazon.com/Veto-Tech-XL-Tool-1-Pack/dp/B00DYRFEJI/ref=sr_1_4?keywords=Veto+Pro+Pac+TECH+PAC+LT+Laptop+Backpack+Tool+Bag&amp;qid=1695174263&amp;sr=8-4", "https://www.amazon.com/Veto-Tech-XL-Tool-1-Pack/dp/B00DYRFEJI/ref=sr_1_4?keywords=Veto+Pro+Pac+TECH+PAC+LT+Laptop+Backpack+Tool+Bag&amp;qid=1695174263&amp;sr=8-4")</f>
        <v>https://www.amazon.com/Veto-Tech-XL-Tool-1-Pack/dp/B00DYRFEJI/ref=sr_1_4?keywords=Veto+Pro+Pac+TECH+PAC+LT+Laptop+Backpack+Tool+Bag&amp;qid=1695174263&amp;sr=8-4</v>
      </c>
      <c r="F4154" t="s">
        <v>685</v>
      </c>
      <c r="G4154" t="e">
        <f ca="1">_xludf.IMAGE("https://edmondsonsupply.com/cdn/shop/products/LT_1.jpg?v=1587146035")</f>
        <v>#NAME?</v>
      </c>
      <c r="H4154" t="e">
        <f ca="1">_xludf.IMAGE("https://m.media-amazon.com/images/I/71suRnmtVZL._AC_UL320_.jpg")</f>
        <v>#NAME?</v>
      </c>
      <c r="I4154" t="s">
        <v>8236</v>
      </c>
      <c r="J4154">
        <v>249.95</v>
      </c>
      <c r="K4154" s="4">
        <v>-0.1381</v>
      </c>
      <c r="L4154">
        <v>4.8</v>
      </c>
      <c r="M4154">
        <v>763</v>
      </c>
      <c r="O4154" t="s">
        <v>25</v>
      </c>
      <c r="P4154" t="s">
        <v>138</v>
      </c>
      <c r="Q4154" t="s">
        <v>8237</v>
      </c>
    </row>
    <row r="4155" spans="1:17" ht="15.5" x14ac:dyDescent="0.35">
      <c r="A4155" s="3" t="str">
        <f>HYPERLINK("https://edmondsonsupply.com/collections/electricians-tools/products/reed-mfg-cw18-18-chrome-adjustable-wrench", "https://edmondsonsupply.com/collections/electricians-tools/products/reed-mfg-cw18-18-chrome-adjustable-wrench")</f>
        <v>https://edmondsonsupply.com/collections/electricians-tools/products/reed-mfg-cw18-18-chrome-adjustable-wrench</v>
      </c>
      <c r="B4155" s="3" t="str">
        <f>HYPERLINK("https://edmondsonsupply.com/products/reed-mfg-cw18-18-chrome-adjustable-wrench", "https://edmondsonsupply.com/products/reed-mfg-cw18-18-chrome-adjustable-wrench")</f>
        <v>https://edmondsonsupply.com/products/reed-mfg-cw18-18-chrome-adjustable-wrench</v>
      </c>
      <c r="C4155" t="s">
        <v>8639</v>
      </c>
      <c r="D4155" t="s">
        <v>8640</v>
      </c>
      <c r="E4155" s="3" t="str">
        <f>HYPERLINK("https://www.amazon.com/Reed-Tool-CW18-Adjustable-18-Inch/dp/B001H4K7BU/ref=sr_1_1?keywords=Reed+Mfg+CW18+18%22+Chrome+Adjustable+Wrench&amp;qid=1695174273&amp;sr=8-1", "https://www.amazon.com/Reed-Tool-CW18-Adjustable-18-Inch/dp/B001H4K7BU/ref=sr_1_1?keywords=Reed+Mfg+CW18+18%22+Chrome+Adjustable+Wrench&amp;qid=1695174273&amp;sr=8-1")</f>
        <v>https://www.amazon.com/Reed-Tool-CW18-Adjustable-18-Inch/dp/B001H4K7BU/ref=sr_1_1?keywords=Reed+Mfg+CW18+18%22+Chrome+Adjustable+Wrench&amp;qid=1695174273&amp;sr=8-1</v>
      </c>
      <c r="F4155" t="s">
        <v>8641</v>
      </c>
      <c r="G4155" t="e">
        <f ca="1">_xludf.IMAGE("https://edmondsonsupply.com/cdn/shop/products/02211-CW18-RGB.jpg?v=1633031009")</f>
        <v>#NAME?</v>
      </c>
      <c r="H4155" t="e">
        <f ca="1">_xludf.IMAGE("https://m.media-amazon.com/images/I/31QNPkG+h6L._AC_UL320_.jpg")</f>
        <v>#NAME?</v>
      </c>
      <c r="I4155" t="s">
        <v>8642</v>
      </c>
      <c r="J4155">
        <v>70.989999999999995</v>
      </c>
      <c r="K4155" s="4">
        <v>-0.14099999999999999</v>
      </c>
      <c r="L4155">
        <v>5</v>
      </c>
      <c r="M4155">
        <v>1</v>
      </c>
      <c r="O4155" t="s">
        <v>25</v>
      </c>
      <c r="P4155" t="s">
        <v>8643</v>
      </c>
      <c r="Q4155" t="s">
        <v>8644</v>
      </c>
    </row>
    <row r="4156" spans="1:17" ht="15.5" x14ac:dyDescent="0.35">
      <c r="A4156" s="3" t="str">
        <f>HYPERLINK("https://edmondsonsupply.com/collections/electricians-tools/products/crescent-wiss-wc5ln-10-5-blade-hand-crimper", "https://edmondsonsupply.com/collections/electricians-tools/products/crescent-wiss-wc5ln-10-5-blade-hand-crimper")</f>
        <v>https://edmondsonsupply.com/collections/electricians-tools/products/crescent-wiss-wc5ln-10-5-blade-hand-crimper</v>
      </c>
      <c r="B4156" s="3" t="str">
        <f>HYPERLINK("https://edmondsonsupply.com/products/crescent-wiss-wc5ln-10-5-blade-hand-crimper", "https://edmondsonsupply.com/products/crescent-wiss-wc5ln-10-5-blade-hand-crimper")</f>
        <v>https://edmondsonsupply.com/products/crescent-wiss-wc5ln-10-5-blade-hand-crimper</v>
      </c>
      <c r="C4156" t="s">
        <v>8645</v>
      </c>
      <c r="D4156" t="s">
        <v>8646</v>
      </c>
      <c r="E4156" s="3" t="str">
        <f>HYPERLINK("https://www.amazon.com/Wiss-WC5LN-5-Blade-1-5-Depth/dp/B06XCF2KP7/ref=sr_1_1?keywords=Crescent+Wiss+WC5LN+10%22+5-Blade+Hand+Crimper&amp;qid=1695174039&amp;sr=8-1", "https://www.amazon.com/Wiss-WC5LN-5-Blade-1-5-Depth/dp/B06XCF2KP7/ref=sr_1_1?keywords=Crescent+Wiss+WC5LN+10%22+5-Blade+Hand+Crimper&amp;qid=1695174039&amp;sr=8-1")</f>
        <v>https://www.amazon.com/Wiss-WC5LN-5-Blade-1-5-Depth/dp/B06XCF2KP7/ref=sr_1_1?keywords=Crescent+Wiss+WC5LN+10%22+5-Blade+Hand+Crimper&amp;qid=1695174039&amp;sr=8-1</v>
      </c>
      <c r="F4156" t="s">
        <v>8647</v>
      </c>
      <c r="G4156" t="e">
        <f ca="1">_xludf.IMAGE("https://edmondsonsupply.com/cdn/shop/products/WIS_WC5SN_IMG-MAIN.jpg?v=1679676845")</f>
        <v>#NAME?</v>
      </c>
      <c r="H4156" t="e">
        <f ca="1">_xludf.IMAGE("https://m.media-amazon.com/images/I/51yE81qV1rS._AC_UL320_.jpg")</f>
        <v>#NAME?</v>
      </c>
      <c r="I4156" t="s">
        <v>5940</v>
      </c>
      <c r="J4156">
        <v>26.89</v>
      </c>
      <c r="K4156" s="4">
        <v>-0.1414</v>
      </c>
      <c r="L4156">
        <v>4.5</v>
      </c>
      <c r="M4156">
        <v>246</v>
      </c>
      <c r="O4156" t="s">
        <v>25</v>
      </c>
      <c r="P4156" t="s">
        <v>8648</v>
      </c>
      <c r="Q4156" t="s">
        <v>8649</v>
      </c>
    </row>
    <row r="4157" spans="1:17" ht="15.5" x14ac:dyDescent="0.35">
      <c r="A4157" s="3" t="str">
        <f>HYPERLINK("https://edmondsonsupply.com/collections/electricians-tools/products/klein-tools-vdv427-104-dura-blade%E2%84%A2-66-110-cut-punchdown-blade", "https://edmondsonsupply.com/collections/electricians-tools/products/klein-tools-vdv427-104-dura-blade%E2%84%A2-66-110-cut-punchdown-blade")</f>
        <v>https://edmondsonsupply.com/collections/electricians-tools/products/klein-tools-vdv427-104-dura-blade%E2%84%A2-66-110-cut-punchdown-blade</v>
      </c>
      <c r="B4157" s="3" t="str">
        <f>HYPERLINK("https://edmondsonsupply.com/products/klein-tools-vdv427-104-dura-blade%e2%84%a2-66-110-cut-punchdown-blade", "https://edmondsonsupply.com/products/klein-tools-vdv427-104-dura-blade%e2%84%a2-66-110-cut-punchdown-blade")</f>
        <v>https://edmondsonsupply.com/products/klein-tools-vdv427-104-dura-blade%e2%84%a2-66-110-cut-punchdown-blade</v>
      </c>
      <c r="C4157" t="s">
        <v>8650</v>
      </c>
      <c r="D4157" t="s">
        <v>8651</v>
      </c>
      <c r="E4157" s="3" t="str">
        <f>HYPERLINK("https://www.amazon.com/Dura-Blade-Punchdown-Klein-Tools-VDV427-104/dp/B00J496ACU/ref=sr_1_1?keywords=Klein+Tools+VDV427-104+Dura-Blade%E2%84%A2+66%2F110+Cut+Punchdown+Blade&amp;qid=1695173923&amp;sr=8-1", "https://www.amazon.com/Dura-Blade-Punchdown-Klein-Tools-VDV427-104/dp/B00J496ACU/ref=sr_1_1?keywords=Klein+Tools+VDV427-104+Dura-Blade%E2%84%A2+66%2F110+Cut+Punchdown+Blade&amp;qid=1695173923&amp;sr=8-1")</f>
        <v>https://www.amazon.com/Dura-Blade-Punchdown-Klein-Tools-VDV427-104/dp/B00J496ACU/ref=sr_1_1?keywords=Klein+Tools+VDV427-104+Dura-Blade%E2%84%A2+66%2F110+Cut+Punchdown+Blade&amp;qid=1695173923&amp;sr=8-1</v>
      </c>
      <c r="F4157" t="s">
        <v>8652</v>
      </c>
      <c r="G4157" t="e">
        <f ca="1">_xludf.IMAGE("https://edmondsonsupply.com/cdn/shop/products/vdv427-104.jpg?v=1633030778")</f>
        <v>#NAME?</v>
      </c>
      <c r="H4157" t="e">
        <f ca="1">_xludf.IMAGE("https://m.media-amazon.com/images/I/41Gkt8P38gS._AC_UL320_.jpg")</f>
        <v>#NAME?</v>
      </c>
      <c r="I4157" t="s">
        <v>288</v>
      </c>
      <c r="J4157">
        <v>12.01</v>
      </c>
      <c r="K4157" s="4">
        <v>-0.14149999999999999</v>
      </c>
      <c r="L4157">
        <v>4.5999999999999996</v>
      </c>
      <c r="M4157">
        <v>329</v>
      </c>
      <c r="O4157" t="s">
        <v>25</v>
      </c>
      <c r="P4157" t="s">
        <v>8653</v>
      </c>
      <c r="Q4157" t="s">
        <v>8654</v>
      </c>
    </row>
    <row r="4158" spans="1:17" ht="15.5" x14ac:dyDescent="0.35">
      <c r="A4158" s="3" t="str">
        <f>HYPERLINK("https://edmondsonsupply.com/collections/electricians-tools/products/fluke-117-electricians-multimeter-with-non-contact-voltage", "https://edmondsonsupply.com/collections/electricians-tools/products/fluke-117-electricians-multimeter-with-non-contact-voltage")</f>
        <v>https://edmondsonsupply.com/collections/electricians-tools/products/fluke-117-electricians-multimeter-with-non-contact-voltage</v>
      </c>
      <c r="B4158" s="3" t="str">
        <f>HYPERLINK("https://edmondsonsupply.com/products/fluke-117-electricians-multimeter-with-non-contact-voltage", "https://edmondsonsupply.com/products/fluke-117-electricians-multimeter-with-non-contact-voltage")</f>
        <v>https://edmondsonsupply.com/products/fluke-117-electricians-multimeter-with-non-contact-voltage</v>
      </c>
      <c r="C4158" t="s">
        <v>5166</v>
      </c>
      <c r="D4158" t="s">
        <v>5167</v>
      </c>
      <c r="E4158" s="3" t="str">
        <f>HYPERLINK("https://www.amazon.com/Fluke-117-Electricians-True-Multimeter/dp/B000O3LUEI/ref=sr_1_1?keywords=Fluke+117+Electrician%27s+Multimeter+with+Non-Contact+Voltage&amp;qid=1695173868&amp;sr=8-1", "https://www.amazon.com/Fluke-117-Electricians-True-Multimeter/dp/B000O3LUEI/ref=sr_1_1?keywords=Fluke+117+Electrician%27s+Multimeter+with+Non-Contact+Voltage&amp;qid=1695173868&amp;sr=8-1")</f>
        <v>https://www.amazon.com/Fluke-117-Electricians-True-Multimeter/dp/B000O3LUEI/ref=sr_1_1?keywords=Fluke+117+Electrician%27s+Multimeter+with+Non-Contact+Voltage&amp;qid=1695173868&amp;sr=8-1</v>
      </c>
      <c r="F4158" t="s">
        <v>5168</v>
      </c>
      <c r="G4158" t="e">
        <f ca="1">_xludf.IMAGE("https://edmondsonsupply.com/cdn/shop/products/117_72dpi_731x1024px_E_NR-6399.jpg?v=1633030929")</f>
        <v>#NAME?</v>
      </c>
      <c r="H4158" t="e">
        <f ca="1">_xludf.IMAGE("https://m.media-amazon.com/images/I/5113LeQ45iL._AC_UL320_.jpg")</f>
        <v>#NAME?</v>
      </c>
      <c r="I4158" t="s">
        <v>5169</v>
      </c>
      <c r="J4158">
        <v>217.8</v>
      </c>
      <c r="K4158" s="4">
        <v>-0.14180000000000001</v>
      </c>
      <c r="L4158">
        <v>4.8</v>
      </c>
      <c r="M4158">
        <v>4416</v>
      </c>
      <c r="O4158" t="s">
        <v>25</v>
      </c>
      <c r="P4158" t="s">
        <v>5170</v>
      </c>
      <c r="Q4158" t="s">
        <v>5171</v>
      </c>
    </row>
    <row r="4159" spans="1:17" ht="15.5" x14ac:dyDescent="0.35">
      <c r="A4159"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4159" s="3" t="str">
        <f>HYPERLINK("https://edmondsonsupply.com/products/klein-tools-5165-10-pocket-tool-pouch-knife-snap", "https://edmondsonsupply.com/products/klein-tools-5165-10-pocket-tool-pouch-knife-snap")</f>
        <v>https://edmondsonsupply.com/products/klein-tools-5165-10-pocket-tool-pouch-knife-snap</v>
      </c>
      <c r="C4159" t="s">
        <v>700</v>
      </c>
      <c r="D4159" t="s">
        <v>717</v>
      </c>
      <c r="E4159" s="3" t="str">
        <f>HYPERLINK("https://www.amazon.com/Lineman-5-Pocket-Klein-Tools-5118P5/dp/B004M2RE06/ref=sr_1_2?keywords=Klein+Tools+5165+10+Pocket+Leather+Tool+Pouch+with+Knife+Snap&amp;qid=1695173934&amp;sr=8-2", "https://www.amazon.com/Lineman-5-Pocket-Klein-Tools-5118P5/dp/B004M2RE06/ref=sr_1_2?keywords=Klein+Tools+5165+10+Pocket+Leather+Tool+Pouch+with+Knife+Snap&amp;qid=1695173934&amp;sr=8-2")</f>
        <v>https://www.amazon.com/Lineman-5-Pocket-Klein-Tools-5118P5/dp/B004M2RE06/ref=sr_1_2?keywords=Klein+Tools+5165+10+Pocket+Leather+Tool+Pouch+with+Knife+Snap&amp;qid=1695173934&amp;sr=8-2</v>
      </c>
      <c r="F4159" t="s">
        <v>718</v>
      </c>
      <c r="G4159" t="e">
        <f ca="1">_xludf.IMAGE("https://edmondsonsupply.com/cdn/shop/products/5165.jpg?v=1587145507")</f>
        <v>#NAME?</v>
      </c>
      <c r="H4159" t="e">
        <f ca="1">_xludf.IMAGE("https://m.media-amazon.com/images/I/71ayOfz4qBL._AC_UL320_.jpg")</f>
        <v>#NAME?</v>
      </c>
      <c r="I4159" t="s">
        <v>703</v>
      </c>
      <c r="J4159">
        <v>54</v>
      </c>
      <c r="K4159" s="4">
        <v>-0.14269999999999999</v>
      </c>
      <c r="L4159">
        <v>4.4000000000000004</v>
      </c>
      <c r="M4159">
        <v>374</v>
      </c>
      <c r="O4159" t="s">
        <v>25</v>
      </c>
      <c r="P4159" t="s">
        <v>704</v>
      </c>
      <c r="Q4159" t="s">
        <v>705</v>
      </c>
    </row>
    <row r="4160" spans="1:17" ht="15.5" x14ac:dyDescent="0.35">
      <c r="A4160"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4160" s="3" t="str">
        <f>HYPERLINK("https://edmondsonsupply.com/products/fluke-325-true-rms-clamp-meter", "https://edmondsonsupply.com/products/fluke-325-true-rms-clamp-meter")</f>
        <v>https://edmondsonsupply.com/products/fluke-325-true-rms-clamp-meter</v>
      </c>
      <c r="C4160" t="s">
        <v>7585</v>
      </c>
      <c r="D4160" t="s">
        <v>8655</v>
      </c>
      <c r="E4160" s="3" t="str">
        <f>HYPERLINK("https://www.amazon.com/Fluke-FC-True-RMS-Clamp-Meter/dp/B01BENTS7M/ref=sr_1_9?keywords=Fluke+325+True+RMS+Clamp+Meter&amp;qid=1695174241&amp;sr=8-9", "https://www.amazon.com/Fluke-FC-True-RMS-Clamp-Meter/dp/B01BENTS7M/ref=sr_1_9?keywords=Fluke+325+True+RMS+Clamp+Meter&amp;qid=1695174241&amp;sr=8-9")</f>
        <v>https://www.amazon.com/Fluke-FC-True-RMS-Clamp-Meter/dp/B01BENTS7M/ref=sr_1_9?keywords=Fluke+325+True+RMS+Clamp+Meter&amp;qid=1695174241&amp;sr=8-9</v>
      </c>
      <c r="F4160" t="s">
        <v>8656</v>
      </c>
      <c r="G4160" t="e">
        <f ca="1">_xludf.IMAGE("https://edmondsonsupply.com/cdn/shop/products/Fluke_325_clamp_meter_1280x873px_E_NR-14655.jpg?v=1688679209")</f>
        <v>#NAME?</v>
      </c>
      <c r="H4160" t="e">
        <f ca="1">_xludf.IMAGE("https://m.media-amazon.com/images/I/71uOt4rDo0L._AC_UY218_.jpg")</f>
        <v>#NAME?</v>
      </c>
      <c r="I4160" t="s">
        <v>7586</v>
      </c>
      <c r="J4160">
        <v>320.14999999999998</v>
      </c>
      <c r="K4160" s="4">
        <v>-0.14280000000000001</v>
      </c>
      <c r="L4160">
        <v>4.7</v>
      </c>
      <c r="M4160">
        <v>370</v>
      </c>
      <c r="O4160" t="s">
        <v>25</v>
      </c>
      <c r="P4160" t="s">
        <v>4069</v>
      </c>
      <c r="Q4160" t="s">
        <v>7587</v>
      </c>
    </row>
    <row r="4161" spans="1:17" ht="15.5" x14ac:dyDescent="0.35">
      <c r="A4161" s="3" t="str">
        <f>HYPERLINK("https://edmondsonsupply.com/collections/electricians-tools/products/klein-tools-60407rl-hard-hat-vented-full-brim-with-rechargeable-headlamp-white", "https://edmondsonsupply.com/collections/electricians-tools/products/klein-tools-60407rl-hard-hat-vented-full-brim-with-rechargeable-headlamp-white")</f>
        <v>https://edmondsonsupply.com/collections/electricians-tools/products/klein-tools-60407rl-hard-hat-vented-full-brim-with-rechargeable-headlamp-white</v>
      </c>
      <c r="B4161" s="3" t="str">
        <f>HYPERLINK("https://edmondsonsupply.com/products/klein-tools-60407rl-hard-hat-vented-full-brim-with-rechargeable-headlamp-white", "https://edmondsonsupply.com/products/klein-tools-60407rl-hard-hat-vented-full-brim-with-rechargeable-headlamp-white")</f>
        <v>https://edmondsonsupply.com/products/klein-tools-60407rl-hard-hat-vented-full-brim-with-rechargeable-headlamp-white</v>
      </c>
      <c r="C4161" t="s">
        <v>8220</v>
      </c>
      <c r="D4161" t="s">
        <v>900</v>
      </c>
      <c r="E4161" s="3" t="str">
        <f>HYPERLINK("https://www.amazon.com/Klein-Tools-60407RL-Rechargeable-Odor-Resistant/dp/B08DDTV9M3/ref=sr_1_1?keywords=Klein+Tools+60407RL+Hard+Hat%2C+Vented%2C+Full+Brim+with+Rechargeable+Headlamp%2C+White&amp;qid=1695174144&amp;sr=8-1", "https://www.amazon.com/Klein-Tools-60407RL-Rechargeable-Odor-Resistant/dp/B08DDTV9M3/ref=sr_1_1?keywords=Klein+Tools+60407RL+Hard+Hat%2C+Vented%2C+Full+Brim+with+Rechargeable+Headlamp%2C+White&amp;qid=1695174144&amp;sr=8-1")</f>
        <v>https://www.amazon.com/Klein-Tools-60407RL-Rechargeable-Odor-Resistant/dp/B08DDTV9M3/ref=sr_1_1?keywords=Klein+Tools+60407RL+Hard+Hat%2C+Vented%2C+Full+Brim+with+Rechargeable+Headlamp%2C+White&amp;qid=1695174144&amp;sr=8-1</v>
      </c>
      <c r="F4161" t="s">
        <v>901</v>
      </c>
      <c r="G4161" t="e">
        <f ca="1">_xludf.IMAGE("https://edmondsonsupply.com/cdn/shop/products/60407rl_d.jpg?v=1665589857")</f>
        <v>#NAME?</v>
      </c>
      <c r="H4161" t="e">
        <f ca="1">_xludf.IMAGE("https://m.media-amazon.com/images/I/61w2MM+yDgL._AC_UL320_.jpg")</f>
        <v>#NAME?</v>
      </c>
      <c r="I4161" t="s">
        <v>588</v>
      </c>
      <c r="J4161">
        <v>59.99</v>
      </c>
      <c r="K4161" s="4">
        <v>-0.1429</v>
      </c>
      <c r="L4161">
        <v>4.7</v>
      </c>
      <c r="M4161">
        <v>1577</v>
      </c>
      <c r="O4161" t="s">
        <v>25</v>
      </c>
      <c r="P4161" t="s">
        <v>1135</v>
      </c>
      <c r="Q4161" t="s">
        <v>8221</v>
      </c>
    </row>
    <row r="4162" spans="1:17" ht="15.5" x14ac:dyDescent="0.35">
      <c r="A4162" s="3" t="str">
        <f>HYPERLINK("https://edmondsonsupply.com/collections/electricians-tools/products/klein-tools-60406rl-hard-hat-non-vented-full-brim-with-rechargeable-headlamp-white", "https://edmondsonsupply.com/collections/electricians-tools/products/klein-tools-60406rl-hard-hat-non-vented-full-brim-with-rechargeable-headlamp-white")</f>
        <v>https://edmondsonsupply.com/collections/electricians-tools/products/klein-tools-60406rl-hard-hat-non-vented-full-brim-with-rechargeable-headlamp-white</v>
      </c>
      <c r="B4162" s="3" t="str">
        <f>HYPERLINK("https://edmondsonsupply.com/products/klein-tools-60406rl-hard-hat-non-vented-full-brim-with-rechargeable-headlamp-white", "https://edmondsonsupply.com/products/klein-tools-60406rl-hard-hat-non-vented-full-brim-with-rechargeable-headlamp-white")</f>
        <v>https://edmondsonsupply.com/products/klein-tools-60406rl-hard-hat-non-vented-full-brim-with-rechargeable-headlamp-white</v>
      </c>
      <c r="C4162" t="s">
        <v>1134</v>
      </c>
      <c r="D4162" t="s">
        <v>900</v>
      </c>
      <c r="E4162" s="3" t="str">
        <f>HYPERLINK("https://www.amazon.com/Klein-Tools-60407RL-Rechargeable-Odor-Resistant/dp/B08DDTV9M3/ref=sr_1_2?keywords=Klein+Tools+60406RL+Hard+Hat%2C+Non-Vented%2C+Full+Brim+with+Rechargeable+Headlamp%2C+White&amp;qid=1695174144&amp;sr=8-2", "https://www.amazon.com/Klein-Tools-60407RL-Rechargeable-Odor-Resistant/dp/B08DDTV9M3/ref=sr_1_2?keywords=Klein+Tools+60406RL+Hard+Hat%2C+Non-Vented%2C+Full+Brim+with+Rechargeable+Headlamp%2C+White&amp;qid=1695174144&amp;sr=8-2")</f>
        <v>https://www.amazon.com/Klein-Tools-60407RL-Rechargeable-Odor-Resistant/dp/B08DDTV9M3/ref=sr_1_2?keywords=Klein+Tools+60406RL+Hard+Hat%2C+Non-Vented%2C+Full+Brim+with+Rechargeable+Headlamp%2C+White&amp;qid=1695174144&amp;sr=8-2</v>
      </c>
      <c r="F4162" t="s">
        <v>901</v>
      </c>
      <c r="G4162" t="e">
        <f ca="1">_xludf.IMAGE("https://edmondsonsupply.com/cdn/shop/products/60406rl_c.jpg?v=1665606616")</f>
        <v>#NAME?</v>
      </c>
      <c r="H4162" t="e">
        <f ca="1">_xludf.IMAGE("https://m.media-amazon.com/images/I/61w2MM+yDgL._AC_UL320_.jpg")</f>
        <v>#NAME?</v>
      </c>
      <c r="I4162" t="s">
        <v>588</v>
      </c>
      <c r="J4162">
        <v>59.99</v>
      </c>
      <c r="K4162" s="4">
        <v>-0.1429</v>
      </c>
      <c r="L4162">
        <v>4.7</v>
      </c>
      <c r="M4162">
        <v>1577</v>
      </c>
      <c r="O4162" t="s">
        <v>25</v>
      </c>
      <c r="P4162" t="s">
        <v>1135</v>
      </c>
      <c r="Q4162" t="s">
        <v>1136</v>
      </c>
    </row>
    <row r="4163" spans="1:17" ht="15.5" x14ac:dyDescent="0.35">
      <c r="A4163" s="3" t="str">
        <f>HYPERLINK("https://edmondsonsupply.com/collections/electricians-tools/products/klein-tools-j12098-8-journeyman-high-leverage-universal-combination-pliers", "https://edmondsonsupply.com/collections/electricians-tools/products/klein-tools-j12098-8-journeyman-high-leverage-universal-combination-pliers")</f>
        <v>https://edmondsonsupply.com/collections/electricians-tools/products/klein-tools-j12098-8-journeyman-high-leverage-universal-combination-pliers</v>
      </c>
      <c r="B4163" s="3" t="str">
        <f>HYPERLINK("https://edmondsonsupply.com/products/klein-tools-j12098-8-journeyman-high-leverage-universal-combination-pliers", "https://edmondsonsupply.com/products/klein-tools-j12098-8-journeyman-high-leverage-universal-combination-pliers")</f>
        <v>https://edmondsonsupply.com/products/klein-tools-j12098-8-journeyman-high-leverage-universal-combination-pliers</v>
      </c>
      <c r="C4163" t="s">
        <v>2611</v>
      </c>
      <c r="D4163" t="s">
        <v>5172</v>
      </c>
      <c r="E4163" s="3" t="str">
        <f>HYPERLINK("https://www.amazon.com/Universal-Combination-Pliers-Klein-Tools/dp/B0002RI4UY/ref=sr_1_1?keywords=Klein+Tools+J12098+Journeyman+Universal+Combination+Pliers&amp;qid=1695173909&amp;sr=8-1", "https://www.amazon.com/Universal-Combination-Pliers-Klein-Tools/dp/B0002RI4UY/ref=sr_1_1?keywords=Klein+Tools+J12098+Journeyman+Universal+Combination+Pliers&amp;qid=1695173909&amp;sr=8-1")</f>
        <v>https://www.amazon.com/Universal-Combination-Pliers-Klein-Tools/dp/B0002RI4UY/ref=sr_1_1?keywords=Klein+Tools+J12098+Journeyman+Universal+Combination+Pliers&amp;qid=1695173909&amp;sr=8-1</v>
      </c>
      <c r="F4163" t="s">
        <v>5173</v>
      </c>
      <c r="G4163" t="e">
        <f ca="1">_xludf.IMAGE("https://edmondsonsupply.com/cdn/shop/products/j12098.jpg?v=1587142847")</f>
        <v>#NAME?</v>
      </c>
      <c r="H4163" t="e">
        <f ca="1">_xludf.IMAGE("https://m.media-amazon.com/images/I/51OlZryAiaL._AC_UL320_.jpg")</f>
        <v>#NAME?</v>
      </c>
      <c r="I4163" t="s">
        <v>571</v>
      </c>
      <c r="J4163">
        <v>29.99</v>
      </c>
      <c r="K4163" s="4">
        <v>-0.1429</v>
      </c>
      <c r="L4163">
        <v>4.5999999999999996</v>
      </c>
      <c r="M4163">
        <v>162</v>
      </c>
      <c r="O4163" t="s">
        <v>25</v>
      </c>
      <c r="P4163" t="s">
        <v>2614</v>
      </c>
      <c r="Q4163" t="s">
        <v>2615</v>
      </c>
    </row>
    <row r="4164" spans="1:17" ht="15.5" x14ac:dyDescent="0.35">
      <c r="A4164"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4164"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4164" t="s">
        <v>6797</v>
      </c>
      <c r="D4164" t="s">
        <v>5457</v>
      </c>
      <c r="E4164" s="3" t="str">
        <f>HYPERLINK("https://www.amazon.com/Diagonal-Ironworker-Klein-Tools-D248-9ST/dp/B0009ZAT1G/ref=sr_1_8?keywords=Klein+Tools+D2000-48+Diagonal+Cutting+Pliers%2C+Angled+Head%2C+8-Inch&amp;qid=1695174171&amp;sr=8-8", "https://www.amazon.com/Diagonal-Ironworker-Klein-Tools-D248-9ST/dp/B0009ZAT1G/ref=sr_1_8?keywords=Klein+Tools+D2000-48+Diagonal+Cutting+Pliers%2C+Angled+Head%2C+8-Inch&amp;qid=1695174171&amp;sr=8-8")</f>
        <v>https://www.amazon.com/Diagonal-Ironworker-Klein-Tools-D248-9ST/dp/B0009ZAT1G/ref=sr_1_8?keywords=Klein+Tools+D2000-48+Diagonal+Cutting+Pliers%2C+Angled+Head%2C+8-Inch&amp;qid=1695174171&amp;sr=8-8</v>
      </c>
      <c r="F4164" t="s">
        <v>5458</v>
      </c>
      <c r="G4164" t="e">
        <f ca="1">_xludf.IMAGE("https://edmondsonsupply.com/cdn/shop/products/d200048.jpg?v=1660920588")</f>
        <v>#NAME?</v>
      </c>
      <c r="H4164" t="e">
        <f ca="1">_xludf.IMAGE("https://m.media-amazon.com/images/I/41QcUzpmIlL._AC_UL320_.jpg")</f>
        <v>#NAME?</v>
      </c>
      <c r="I4164" t="s">
        <v>340</v>
      </c>
      <c r="J4164">
        <v>29.97</v>
      </c>
      <c r="K4164" s="4">
        <v>-0.14299999999999999</v>
      </c>
      <c r="L4164">
        <v>4.8</v>
      </c>
      <c r="M4164">
        <v>5530</v>
      </c>
      <c r="O4164" t="s">
        <v>25</v>
      </c>
      <c r="P4164" t="s">
        <v>6800</v>
      </c>
      <c r="Q4164" t="s">
        <v>6801</v>
      </c>
    </row>
    <row r="4165" spans="1:17" ht="15.5" x14ac:dyDescent="0.35">
      <c r="A4165" s="3" t="str">
        <f>HYPERLINK("https://edmondsonsupply.com/collections/electricians-tools/products/klein-tools-k12035-klein-kurve%C2%AE-heavy-duty-wire-stripper-8-20-awg", "https://edmondsonsupply.com/collections/electricians-tools/products/klein-tools-k12035-klein-kurve%C2%AE-heavy-duty-wire-stripper-8-20-awg")</f>
        <v>https://edmondsonsupply.com/collections/electricians-tools/products/klein-tools-k12035-klein-kurve%C2%AE-heavy-duty-wire-stripper-8-20-awg</v>
      </c>
      <c r="B4165" s="3" t="str">
        <f>HYPERLINK("https://edmondsonsupply.com/products/klein-tools-k12035-klein-kurve%c2%ae-heavy-duty-wire-stripper-8-20-awg", "https://edmondsonsupply.com/products/klein-tools-k12035-klein-kurve%c2%ae-heavy-duty-wire-stripper-8-20-awg")</f>
        <v>https://edmondsonsupply.com/products/klein-tools-k12035-klein-kurve%c2%ae-heavy-duty-wire-stripper-8-20-awg</v>
      </c>
      <c r="C4165" t="s">
        <v>3632</v>
      </c>
      <c r="D4165" t="s">
        <v>5178</v>
      </c>
      <c r="E4165" s="3" t="str">
        <f>HYPERLINK("https://www.amazon.com/Stripper-Electrical-Klein-Tools-11063W/dp/B00BC39YFQ/ref=sr_1_8?keywords=Klein+Tools+K12035+Klein-Kurve%C2%AE+Heavy-Duty+Wire+Stripper+8-20+AWG&amp;qid=1695173967&amp;sr=8-8", "https://www.amazon.com/Stripper-Electrical-Klein-Tools-11063W/dp/B00BC39YFQ/ref=sr_1_8?keywords=Klein+Tools+K12035+Klein-Kurve%C2%AE+Heavy-Duty+Wire+Stripper+8-20+AWG&amp;qid=1695173967&amp;sr=8-8")</f>
        <v>https://www.amazon.com/Stripper-Electrical-Klein-Tools-11063W/dp/B00BC39YFQ/ref=sr_1_8?keywords=Klein+Tools+K12035+Klein-Kurve%C2%AE+Heavy-Duty+Wire+Stripper+8-20+AWG&amp;qid=1695173967&amp;sr=8-8</v>
      </c>
      <c r="F4165" t="s">
        <v>5179</v>
      </c>
      <c r="G4165" t="e">
        <f ca="1">_xludf.IMAGE("https://edmondsonsupply.com/cdn/shop/products/k12035_c.jpg?v=1678970768")</f>
        <v>#NAME?</v>
      </c>
      <c r="H4165" t="e">
        <f ca="1">_xludf.IMAGE("https://m.media-amazon.com/images/I/51cWJR-r31L._AC_UL320_.jpg")</f>
        <v>#NAME?</v>
      </c>
      <c r="I4165" t="s">
        <v>340</v>
      </c>
      <c r="J4165">
        <v>29.97</v>
      </c>
      <c r="K4165" s="4">
        <v>-0.14299999999999999</v>
      </c>
      <c r="L4165">
        <v>4.8</v>
      </c>
      <c r="M4165">
        <v>9121</v>
      </c>
      <c r="O4165" t="s">
        <v>25</v>
      </c>
      <c r="P4165" t="s">
        <v>3635</v>
      </c>
      <c r="Q4165" t="s">
        <v>3636</v>
      </c>
    </row>
    <row r="4166" spans="1:17" ht="15.5" x14ac:dyDescent="0.35">
      <c r="A4166"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4166"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4166" t="s">
        <v>6797</v>
      </c>
      <c r="D4166" t="s">
        <v>5314</v>
      </c>
      <c r="E4166" s="3" t="str">
        <f>HYPERLINK("https://www.amazon.com/Klein-Tools-D248-8-Leverage-Diagonal/dp/B0000302W8/ref=sr_1_5?keywords=Klein+Tools+D2000-48+Diagonal+Cutting+Pliers%2C+Angled+Head%2C+8-Inch&amp;qid=1695174171&amp;sr=8-5", "https://www.amazon.com/Klein-Tools-D248-8-Leverage-Diagonal/dp/B0000302W8/ref=sr_1_5?keywords=Klein+Tools+D2000-48+Diagonal+Cutting+Pliers%2C+Angled+Head%2C+8-Inch&amp;qid=1695174171&amp;sr=8-5")</f>
        <v>https://www.amazon.com/Klein-Tools-D248-8-Leverage-Diagonal/dp/B0000302W8/ref=sr_1_5?keywords=Klein+Tools+D2000-48+Diagonal+Cutting+Pliers%2C+Angled+Head%2C+8-Inch&amp;qid=1695174171&amp;sr=8-5</v>
      </c>
      <c r="F4166" t="s">
        <v>5315</v>
      </c>
      <c r="G4166" t="e">
        <f ca="1">_xludf.IMAGE("https://edmondsonsupply.com/cdn/shop/products/d200048.jpg?v=1660920588")</f>
        <v>#NAME?</v>
      </c>
      <c r="H4166" t="e">
        <f ca="1">_xludf.IMAGE("https://m.media-amazon.com/images/I/41KAmcIzVBL._AC_UL320_.jpg")</f>
        <v>#NAME?</v>
      </c>
      <c r="I4166" t="s">
        <v>340</v>
      </c>
      <c r="J4166">
        <v>29.96</v>
      </c>
      <c r="K4166" s="4">
        <v>-0.14330000000000001</v>
      </c>
      <c r="L4166">
        <v>4.8</v>
      </c>
      <c r="M4166">
        <v>2417</v>
      </c>
      <c r="O4166" t="s">
        <v>25</v>
      </c>
      <c r="P4166" t="s">
        <v>6800</v>
      </c>
      <c r="Q4166" t="s">
        <v>6801</v>
      </c>
    </row>
    <row r="4167" spans="1:17" ht="15.5" x14ac:dyDescent="0.35">
      <c r="A4167"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4167" s="3" t="str">
        <f>HYPERLINK("https://edmondsonsupply.com/products/klein-tools-31940-bi-metal-hole-saw-2-1-2-inch", "https://edmondsonsupply.com/products/klein-tools-31940-bi-metal-hole-saw-2-1-2-inch")</f>
        <v>https://edmondsonsupply.com/products/klein-tools-31940-bi-metal-hole-saw-2-1-2-inch</v>
      </c>
      <c r="C4167" t="s">
        <v>6842</v>
      </c>
      <c r="D4167" t="s">
        <v>8657</v>
      </c>
      <c r="E4167" s="3" t="str">
        <f>HYPERLINK("https://www.amazon.com/Bi-Metal-2-Inch-Klein-Tools-31940/dp/B0171X0J7W/ref=sr_1_1?keywords=Klein+Tools+31940+Bi-Metal+Hole+Saw%2C+2-1%2F2-Inch&amp;qid=1695174215&amp;sr=8-1", "https://www.amazon.com/Bi-Metal-2-Inch-Klein-Tools-31940/dp/B0171X0J7W/ref=sr_1_1?keywords=Klein+Tools+31940+Bi-Metal+Hole+Saw%2C+2-1%2F2-Inch&amp;qid=1695174215&amp;sr=8-1")</f>
        <v>https://www.amazon.com/Bi-Metal-2-Inch-Klein-Tools-31940/dp/B0171X0J7W/ref=sr_1_1?keywords=Klein+Tools+31940+Bi-Metal+Hole+Saw%2C+2-1%2F2-Inch&amp;qid=1695174215&amp;sr=8-1</v>
      </c>
      <c r="F4167" t="s">
        <v>8658</v>
      </c>
      <c r="G4167" t="e">
        <f ca="1">_xludf.IMAGE("https://edmondsonsupply.com/cdn/shop/products/31940.jpg?v=1649380086")</f>
        <v>#NAME?</v>
      </c>
      <c r="H4167" t="e">
        <f ca="1">_xludf.IMAGE("https://m.media-amazon.com/images/I/41Jwj0FSz4L._AC_UL320_.jpg")</f>
        <v>#NAME?</v>
      </c>
      <c r="I4167" t="s">
        <v>288</v>
      </c>
      <c r="J4167">
        <v>11.98</v>
      </c>
      <c r="K4167" s="4">
        <v>-0.14369999999999999</v>
      </c>
      <c r="L4167">
        <v>4.5999999999999996</v>
      </c>
      <c r="M4167">
        <v>406</v>
      </c>
      <c r="O4167" t="s">
        <v>25</v>
      </c>
      <c r="P4167" t="s">
        <v>6845</v>
      </c>
      <c r="Q4167" t="s">
        <v>6846</v>
      </c>
    </row>
    <row r="4168" spans="1:17" ht="15.5" x14ac:dyDescent="0.35">
      <c r="A4168"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4168"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4168" t="s">
        <v>6355</v>
      </c>
      <c r="D4168" t="s">
        <v>7734</v>
      </c>
      <c r="E4168" s="3" t="str">
        <f>HYPERLINK("https://www.amazon.com/Journeyman-T-Handle-Klein-Tools-JTH9E06/dp/B004QV4A50/ref=sr_1_5?keywords=Klein+Tools+JTH6E06BE+3%2F32-Inch+Ball+End+Hex+Key+with+T-Handle%2C+6-Inch&amp;qid=1695174255&amp;sr=8-5", "https://www.amazon.com/Journeyman-T-Handle-Klein-Tools-JTH9E06/dp/B004QV4A50/ref=sr_1_5?keywords=Klein+Tools+JTH6E06BE+3%2F32-Inch+Ball+End+Hex+Key+with+T-Handle%2C+6-Inch&amp;qid=1695174255&amp;sr=8-5")</f>
        <v>https://www.amazon.com/Journeyman-T-Handle-Klein-Tools-JTH9E06/dp/B004QV4A50/ref=sr_1_5?keywords=Klein+Tools+JTH6E06BE+3%2F32-Inch+Ball+End+Hex+Key+with+T-Handle%2C+6-Inch&amp;qid=1695174255&amp;sr=8-5</v>
      </c>
      <c r="F4168" t="s">
        <v>7735</v>
      </c>
      <c r="G4168" t="e">
        <f ca="1">_xludf.IMAGE("https://edmondsonsupply.com/cdn/shop/products/jth6e13be_f61308c8-99eb-44df-aac2-25c9159d6b6d.jpg?v=1633031148")</f>
        <v>#NAME?</v>
      </c>
      <c r="H4168" t="e">
        <f ca="1">_xludf.IMAGE("https://m.media-amazon.com/images/I/51Yb8h41vLL._AC_UL320_.jpg")</f>
        <v>#NAME?</v>
      </c>
      <c r="I4168" t="s">
        <v>2388</v>
      </c>
      <c r="J4168">
        <v>4.2699999999999996</v>
      </c>
      <c r="K4168" s="4">
        <v>-0.14430000000000001</v>
      </c>
      <c r="L4168">
        <v>4.5999999999999996</v>
      </c>
      <c r="M4168">
        <v>393</v>
      </c>
      <c r="O4168" t="s">
        <v>25</v>
      </c>
      <c r="P4168" t="s">
        <v>6356</v>
      </c>
      <c r="Q4168" t="s">
        <v>6357</v>
      </c>
    </row>
    <row r="4169" spans="1:17" ht="15.5" x14ac:dyDescent="0.35">
      <c r="A4169" s="3" t="str">
        <f>HYPERLINK("https://edmondsonsupply.com/collections/electricians-tools/products/milwaukee-2730-20-m18-fuel%E2%84%A2-6-1-2-circular-saw-tool-only", "https://edmondsonsupply.com/collections/electricians-tools/products/milwaukee-2730-20-m18-fuel%E2%84%A2-6-1-2-circular-saw-tool-only")</f>
        <v>https://edmondsonsupply.com/collections/electricians-tools/products/milwaukee-2730-20-m18-fuel%E2%84%A2-6-1-2-circular-saw-tool-only</v>
      </c>
      <c r="B4169" s="3" t="str">
        <f>HYPERLINK("https://edmondsonsupply.com/products/milwaukee-2730-20-m18-fuel%e2%84%a2-6-1-2-circular-saw-tool-only", "https://edmondsonsupply.com/products/milwaukee-2730-20-m18-fuel%e2%84%a2-6-1-2-circular-saw-tool-only")</f>
        <v>https://edmondsonsupply.com/products/milwaukee-2730-20-m18-fuel%e2%84%a2-6-1-2-circular-saw-tool-only</v>
      </c>
      <c r="C4169" t="s">
        <v>8659</v>
      </c>
      <c r="D4169" t="s">
        <v>8660</v>
      </c>
      <c r="E4169" s="3" t="str">
        <f>HYPERLINK("https://www.amazon.com/Milwaukee-2730-20-Fuel-Circular-Brushless/dp/B00G0GLZF2/ref=sr_1_1?keywords=Milwaukee+2730-20+M18+FUEL%E2%84%A2+6-1%2F2%22+Circular+Saw+%28Tool+Only%29&amp;qid=1695174120&amp;sr=8-1", "https://www.amazon.com/Milwaukee-2730-20-Fuel-Circular-Brushless/dp/B00G0GLZF2/ref=sr_1_1?keywords=Milwaukee+2730-20+M18+FUEL%E2%84%A2+6-1%2F2%22+Circular+Saw+%28Tool+Only%29&amp;qid=1695174120&amp;sr=8-1")</f>
        <v>https://www.amazon.com/Milwaukee-2730-20-Fuel-Circular-Brushless/dp/B00G0GLZF2/ref=sr_1_1?keywords=Milwaukee+2730-20+M18+FUEL%E2%84%A2+6-1%2F2%22+Circular+Saw+%28Tool+Only%29&amp;qid=1695174120&amp;sr=8-1</v>
      </c>
      <c r="F4169" t="s">
        <v>8661</v>
      </c>
      <c r="G4169" t="e">
        <f ca="1">_xludf.IMAGE("https://edmondsonsupply.com/cdn/shop/products/2730-20A.webp?v=1668015043")</f>
        <v>#NAME?</v>
      </c>
      <c r="H4169" t="e">
        <f ca="1">_xludf.IMAGE("https://m.media-amazon.com/images/I/81w3cRan7-L._AC_UL320_.jpg")</f>
        <v>#NAME?</v>
      </c>
      <c r="I4169" t="s">
        <v>710</v>
      </c>
      <c r="J4169">
        <v>186.9</v>
      </c>
      <c r="K4169" s="4">
        <v>-0.14660000000000001</v>
      </c>
      <c r="L4169">
        <v>4.5999999999999996</v>
      </c>
      <c r="M4169">
        <v>922</v>
      </c>
      <c r="O4169" t="s">
        <v>25</v>
      </c>
      <c r="P4169" t="s">
        <v>8662</v>
      </c>
      <c r="Q4169" t="s">
        <v>8663</v>
      </c>
    </row>
    <row r="4170" spans="1:17" ht="15.5" x14ac:dyDescent="0.35">
      <c r="A4170"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4170" s="3" t="str">
        <f>HYPERLINK("https://edmondsonsupply.com/products/diablo-tools-d0660x-6-1-2-in-x-60-tooth-ultra-finish-saw-blade", "https://edmondsonsupply.com/products/diablo-tools-d0660x-6-1-2-in-x-60-tooth-ultra-finish-saw-blade")</f>
        <v>https://edmondsonsupply.com/products/diablo-tools-d0660x-6-1-2-in-x-60-tooth-ultra-finish-saw-blade</v>
      </c>
      <c r="C4170" t="s">
        <v>6681</v>
      </c>
      <c r="D4170" t="s">
        <v>7339</v>
      </c>
      <c r="E4170" s="3" t="str">
        <f>HYPERLINK("https://www.amazon.com/Diablo-Ultra-Finish-Circular-Blade/dp/B071X5DBWR/ref=sr_1_8?keywords=Diablo+Tools+D0660X+6-1%2F2+in.+x+60+Tooth+Ultra+Finish+Saw+Blade&amp;qid=1695174055&amp;sr=8-8", "https://www.amazon.com/Diablo-Ultra-Finish-Circular-Blade/dp/B071X5DBWR/ref=sr_1_8?keywords=Diablo+Tools+D0660X+6-1%2F2+in.+x+60+Tooth+Ultra+Finish+Saw+Blade&amp;qid=1695174055&amp;sr=8-8")</f>
        <v>https://www.amazon.com/Diablo-Ultra-Finish-Circular-Blade/dp/B071X5DBWR/ref=sr_1_8?keywords=Diablo+Tools+D0660X+6-1%2F2+in.+x+60+Tooth+Ultra+Finish+Saw+Blade&amp;qid=1695174055&amp;sr=8-8</v>
      </c>
      <c r="F4170" t="s">
        <v>7340</v>
      </c>
      <c r="G4170" t="e">
        <f ca="1">_xludf.IMAGE("https://edmondsonsupply.com/cdn/shop/products/ma8p1gcmhxpwwhymtiim.webp?v=1678983644")</f>
        <v>#NAME?</v>
      </c>
      <c r="H4170" t="e">
        <f ca="1">_xludf.IMAGE("https://m.media-amazon.com/images/I/61JlPZnNLWL._AC_UL320_.jpg")</f>
        <v>#NAME?</v>
      </c>
      <c r="I4170" t="s">
        <v>1716</v>
      </c>
      <c r="J4170">
        <v>19.600000000000001</v>
      </c>
      <c r="K4170" s="4">
        <v>-0.1467</v>
      </c>
      <c r="L4170">
        <v>4.8</v>
      </c>
      <c r="M4170">
        <v>145</v>
      </c>
      <c r="O4170" t="s">
        <v>25</v>
      </c>
      <c r="P4170" t="s">
        <v>6682</v>
      </c>
      <c r="Q4170" t="s">
        <v>6683</v>
      </c>
    </row>
    <row r="4171" spans="1:17" ht="15.5" x14ac:dyDescent="0.35">
      <c r="A4171"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4171" s="3" t="str">
        <f>HYPERLINK("https://edmondsonsupply.com/products/klein-tools-mm400-digital-multimeter-auto-ranging-600v", "https://edmondsonsupply.com/products/klein-tools-mm400-digital-multimeter-auto-ranging-600v")</f>
        <v>https://edmondsonsupply.com/products/klein-tools-mm400-digital-multimeter-auto-ranging-600v</v>
      </c>
      <c r="C4171" t="s">
        <v>3356</v>
      </c>
      <c r="D4171" t="s">
        <v>5182</v>
      </c>
      <c r="E4171" s="3" t="str">
        <f>HYPERLINK("https://www.amazon.com/Multimeter-Auto-Ranging-Klein-Tools-MM400/dp/B018EXZO8M/ref=sr_1_1?keywords=Klein+Tools+MM400+Digital+Multimeter%2C+Auto-Ranging%2C+600V&amp;qid=1695173884&amp;sr=8-1", "https://www.amazon.com/Multimeter-Auto-Ranging-Klein-Tools-MM400/dp/B018EXZO8M/ref=sr_1_1?keywords=Klein+Tools+MM400+Digital+Multimeter%2C+Auto-Ranging%2C+600V&amp;qid=1695173884&amp;sr=8-1")</f>
        <v>https://www.amazon.com/Multimeter-Auto-Ranging-Klein-Tools-MM400/dp/B018EXZO8M/ref=sr_1_1?keywords=Klein+Tools+MM400+Digital+Multimeter%2C+Auto-Ranging%2C+600V&amp;qid=1695173884&amp;sr=8-1</v>
      </c>
      <c r="F4171" t="s">
        <v>5183</v>
      </c>
      <c r="G4171" t="e">
        <f ca="1">_xludf.IMAGE("https://edmondsonsupply.com/cdn/shop/products/mm400_alt1.jpg?v=1633030778")</f>
        <v>#NAME?</v>
      </c>
      <c r="H4171" t="e">
        <f ca="1">_xludf.IMAGE("https://m.media-amazon.com/images/I/61I4o1GeoZL._AC_UL320_.jpg")</f>
        <v>#NAME?</v>
      </c>
      <c r="I4171" t="s">
        <v>3359</v>
      </c>
      <c r="J4171">
        <v>46.9</v>
      </c>
      <c r="K4171" s="4">
        <v>-0.14680000000000001</v>
      </c>
      <c r="L4171">
        <v>4.7</v>
      </c>
      <c r="M4171">
        <v>3817</v>
      </c>
      <c r="O4171" t="s">
        <v>25</v>
      </c>
      <c r="P4171" t="s">
        <v>3360</v>
      </c>
      <c r="Q4171" t="s">
        <v>3361</v>
      </c>
    </row>
    <row r="4172" spans="1:17" ht="15.5" x14ac:dyDescent="0.35">
      <c r="A4172" s="3" t="str">
        <f>HYPERLINK("https://edmondsonsupply.com/collections/electricians-tools/products/klein-tools-mm420", "https://edmondsonsupply.com/collections/electricians-tools/products/klein-tools-mm420")</f>
        <v>https://edmondsonsupply.com/collections/electricians-tools/products/klein-tools-mm420</v>
      </c>
      <c r="B4172" s="3" t="str">
        <f>HYPERLINK("https://edmondsonsupply.com/products/klein-tools-mm420", "https://edmondsonsupply.com/products/klein-tools-mm420")</f>
        <v>https://edmondsonsupply.com/products/klein-tools-mm420</v>
      </c>
      <c r="C4172" t="s">
        <v>7602</v>
      </c>
      <c r="D4172" t="s">
        <v>8664</v>
      </c>
      <c r="E4172" s="3" t="str">
        <f>HYPERLINK("https://www.amazon.com/Multimeter-Auto-Ranging-Klein-Tools-MM420/dp/B0B57PFFYX/ref=sr_1_1?keywords=Klein+Tools+MM420+Digital+Multimeter%2C+TRMS+Auto-Ranging%2C+600V%2C+Temp&amp;qid=1695174159&amp;sr=8-1", "https://www.amazon.com/Multimeter-Auto-Ranging-Klein-Tools-MM420/dp/B0B57PFFYX/ref=sr_1_1?keywords=Klein+Tools+MM420+Digital+Multimeter%2C+TRMS+Auto-Ranging%2C+600V%2C+Temp&amp;qid=1695174159&amp;sr=8-1")</f>
        <v>https://www.amazon.com/Multimeter-Auto-Ranging-Klein-Tools-MM420/dp/B0B57PFFYX/ref=sr_1_1?keywords=Klein+Tools+MM420+Digital+Multimeter%2C+TRMS+Auto-Ranging%2C+600V%2C+Temp&amp;qid=1695174159&amp;sr=8-1</v>
      </c>
      <c r="F4172" t="s">
        <v>8665</v>
      </c>
      <c r="G4172" t="e">
        <f ca="1">_xludf.IMAGE("https://edmondsonsupply.com/cdn/shop/products/mm420.jpg?v=1663610900")</f>
        <v>#NAME?</v>
      </c>
      <c r="H4172" t="e">
        <f ca="1">_xludf.IMAGE("https://m.media-amazon.com/images/I/51+Q3wZJ2ZL._AC_UL320_.jpg")</f>
        <v>#NAME?</v>
      </c>
      <c r="I4172" t="s">
        <v>3359</v>
      </c>
      <c r="J4172">
        <v>46.9</v>
      </c>
      <c r="K4172" s="4">
        <v>-0.14680000000000001</v>
      </c>
      <c r="L4172">
        <v>4.7</v>
      </c>
      <c r="M4172">
        <v>3817</v>
      </c>
      <c r="O4172" t="s">
        <v>25</v>
      </c>
      <c r="P4172" t="s">
        <v>7603</v>
      </c>
      <c r="Q4172" t="s">
        <v>7604</v>
      </c>
    </row>
    <row r="4173" spans="1:17" ht="15.5" x14ac:dyDescent="0.35">
      <c r="A4173"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4173" s="3" t="str">
        <f>HYPERLINK("https://edmondsonsupply.com/products/klein-tools-935dagl-digital-level-with-programmable-angles", "https://edmondsonsupply.com/products/klein-tools-935dagl-digital-level-with-programmable-angles")</f>
        <v>https://edmondsonsupply.com/products/klein-tools-935dagl-digital-level-with-programmable-angles</v>
      </c>
      <c r="C4173" t="s">
        <v>7122</v>
      </c>
      <c r="D4173" t="s">
        <v>2821</v>
      </c>
      <c r="E4173" s="3" t="str">
        <f>HYPERLINK("https://www.amazon.com/Klein-Tools-Electronic-Measures-Protractor/dp/B09P843CWF/ref=sr_1_7?keywords=Klein+Tools+935DAGL+Digital+Level+with+Programmable+Angles&amp;qid=1695174178&amp;sr=8-7", "https://www.amazon.com/Klein-Tools-Electronic-Measures-Protractor/dp/B09P843CWF/ref=sr_1_7?keywords=Klein+Tools+935DAGL+Digital+Level+with+Programmable+Angles&amp;qid=1695174178&amp;sr=8-7")</f>
        <v>https://www.amazon.com/Klein-Tools-Electronic-Measures-Protractor/dp/B09P843CWF/ref=sr_1_7?keywords=Klein+Tools+935DAGL+Digital+Level+with+Programmable+Angles&amp;qid=1695174178&amp;sr=8-7</v>
      </c>
      <c r="F4173" t="s">
        <v>2822</v>
      </c>
      <c r="G4173" t="e">
        <f ca="1">_xludf.IMAGE("https://edmondsonsupply.com/cdn/shop/products/935dagl.jpg?v=1660749694")</f>
        <v>#NAME?</v>
      </c>
      <c r="H4173" t="e">
        <f ca="1">_xludf.IMAGE("https://m.media-amazon.com/images/I/51nqC5OG7xL._AC_UL320_.jpg")</f>
        <v>#NAME?</v>
      </c>
      <c r="I4173" t="s">
        <v>5197</v>
      </c>
      <c r="J4173">
        <v>51.04</v>
      </c>
      <c r="K4173" s="4">
        <v>-0.1489</v>
      </c>
      <c r="L4173">
        <v>4.8</v>
      </c>
      <c r="M4173">
        <v>29</v>
      </c>
      <c r="O4173" t="s">
        <v>25</v>
      </c>
      <c r="P4173" t="s">
        <v>7123</v>
      </c>
      <c r="Q4173" t="s">
        <v>7124</v>
      </c>
    </row>
    <row r="4174" spans="1:17" ht="15.5" x14ac:dyDescent="0.35">
      <c r="A4174" s="3" t="str">
        <f>HYPERLINK("https://edmondsonsupply.com/collections/electricians-tools/products/clc-1100-3", "https://edmondsonsupply.com/collections/electricians-tools/products/clc-1100-3")</f>
        <v>https://edmondsonsupply.com/collections/electricians-tools/products/clc-1100-3</v>
      </c>
      <c r="B4174" s="3" t="str">
        <f>HYPERLINK("https://edmondsonsupply.com/products/clc-1100-3", "https://edmondsonsupply.com/products/clc-1100-3")</f>
        <v>https://edmondsonsupply.com/products/clc-1100-3</v>
      </c>
      <c r="C4174" t="s">
        <v>231</v>
      </c>
      <c r="D4174" t="s">
        <v>724</v>
      </c>
      <c r="E4174" s="3" t="str">
        <f>HYPERLINK("https://www.amazon.com/Custom-Leathercraft-1100-Multi-Purpose-Zippered/dp/B0002YVBC0/ref=sr_1_1?keywords=CLC+1100+3+Multi-Purpose%2C+Clip-on%2C+Zippered+Bags&amp;qid=1695173929&amp;sr=8-1", "https://www.amazon.com/Custom-Leathercraft-1100-Multi-Purpose-Zippered/dp/B0002YVBC0/ref=sr_1_1?keywords=CLC+1100+3+Multi-Purpose%2C+Clip-on%2C+Zippered+Bags&amp;qid=1695173929&amp;sr=8-1")</f>
        <v>https://www.amazon.com/Custom-Leathercraft-1100-Multi-Purpose-Zippered/dp/B0002YVBC0/ref=sr_1_1?keywords=CLC+1100+3+Multi-Purpose%2C+Clip-on%2C+Zippered+Bags&amp;qid=1695173929&amp;sr=8-1</v>
      </c>
      <c r="F4174" t="s">
        <v>725</v>
      </c>
      <c r="G4174" t="e">
        <f ca="1">_xludf.IMAGE("https://edmondsonsupply.com/cdn/shop/products/1100_REV17_2.jpg?v=1633030333")</f>
        <v>#NAME?</v>
      </c>
      <c r="H4174" t="e">
        <f ca="1">_xludf.IMAGE("https://m.media-amazon.com/images/I/71gW8tFrwtL._AC_UL320_.jpg")</f>
        <v>#NAME?</v>
      </c>
      <c r="I4174" t="s">
        <v>234</v>
      </c>
      <c r="J4174">
        <v>9.99</v>
      </c>
      <c r="K4174" s="4">
        <v>-0.14979999999999999</v>
      </c>
      <c r="L4174">
        <v>4.5999999999999996</v>
      </c>
      <c r="M4174">
        <v>5532</v>
      </c>
      <c r="O4174" t="s">
        <v>25</v>
      </c>
      <c r="P4174" t="s">
        <v>235</v>
      </c>
      <c r="Q4174" t="s">
        <v>236</v>
      </c>
    </row>
    <row r="4175" spans="1:17" ht="15.5" x14ac:dyDescent="0.35">
      <c r="A4175"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4175"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4175" t="s">
        <v>6921</v>
      </c>
      <c r="D4175" t="s">
        <v>8666</v>
      </c>
      <c r="E4175" s="3" t="str">
        <f>HYPERLINK("https://www.amazon.com/M7R-Metalmaster-Offset-Snips-Straight/dp/B00002N5LS/ref=sr_1_3?keywords=Crescent+Wiss+M2P+9-3%2F4%22+Compound+Action+Straight+and+Right+Cut+Aviation+Snips&amp;qid=1695174052&amp;sr=8-3", "https://www.amazon.com/M7R-Metalmaster-Offset-Snips-Straight/dp/B00002N5LS/ref=sr_1_3?keywords=Crescent+Wiss+M2P+9-3%2F4%22+Compound+Action+Straight+and+Right+Cut+Aviation+Snips&amp;qid=1695174052&amp;sr=8-3")</f>
        <v>https://www.amazon.com/M7R-Metalmaster-Offset-Snips-Straight/dp/B00002N5LS/ref=sr_1_3?keywords=Crescent+Wiss+M2P+9-3%2F4%22+Compound+Action+Straight+and+Right+Cut+Aviation+Snips&amp;qid=1695174052&amp;sr=8-3</v>
      </c>
      <c r="F4175" t="s">
        <v>8667</v>
      </c>
      <c r="G4175" t="e">
        <f ca="1">_xludf.IMAGE("https://edmondsonsupply.com/cdn/shop/products/WIS_M2P_IMG_ANG_01.jpg?v=1679674099")</f>
        <v>#NAME?</v>
      </c>
      <c r="H4175" t="e">
        <f ca="1">_xludf.IMAGE("https://m.media-amazon.com/images/I/518irscT5TL._AC_UL320_.jpg")</f>
        <v>#NAME?</v>
      </c>
      <c r="I4175" t="s">
        <v>577</v>
      </c>
      <c r="J4175">
        <v>16.989999999999998</v>
      </c>
      <c r="K4175" s="4">
        <v>-0.15010000000000001</v>
      </c>
      <c r="L4175">
        <v>4.4000000000000004</v>
      </c>
      <c r="M4175">
        <v>1401</v>
      </c>
      <c r="O4175" t="s">
        <v>25</v>
      </c>
      <c r="P4175" t="s">
        <v>6924</v>
      </c>
      <c r="Q4175" t="s">
        <v>6925</v>
      </c>
    </row>
    <row r="4176" spans="1:17" ht="15.5" x14ac:dyDescent="0.35">
      <c r="A4176"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4176"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4176" t="s">
        <v>6587</v>
      </c>
      <c r="D4176" t="s">
        <v>5294</v>
      </c>
      <c r="E4176" s="3" t="str">
        <f>HYPERLINK("https://www.amazon.com/Klein-Tools-NCVT2P-12-1000V-Flashing/dp/B07L5N8ZWS/ref=sr_1_1?keywords=Klein+Tools+NCVT-2P+Dual+Range+Non-Contact+Voltage+Tester+12+-+1000V+AC&amp;qid=1695174301&amp;sr=8-1", "https://www.amazon.com/Klein-Tools-NCVT2P-12-1000V-Flashing/dp/B07L5N8ZWS/ref=sr_1_1?keywords=Klein+Tools+NCVT-2P+Dual+Range+Non-Contact+Voltage+Tester+12+-+1000V+AC&amp;qid=1695174301&amp;sr=8-1")</f>
        <v>https://www.amazon.com/Klein-Tools-NCVT2P-12-1000V-Flashing/dp/B07L5N8ZWS/ref=sr_1_1?keywords=Klein+Tools+NCVT-2P+Dual+Range+Non-Contact+Voltage+Tester+12+-+1000V+AC&amp;qid=1695174301&amp;sr=8-1</v>
      </c>
      <c r="F4176" t="s">
        <v>5295</v>
      </c>
      <c r="G4176" t="e">
        <f ca="1">_xludf.IMAGE("https://edmondsonsupply.com/cdn/shop/products/ncvt2p.jpg?v=1633030824")</f>
        <v>#NAME?</v>
      </c>
      <c r="H4176" t="e">
        <f ca="1">_xludf.IMAGE("https://m.media-amazon.com/images/I/51GASnKpZ1L._AC_UL320_.jpg")</f>
        <v>#NAME?</v>
      </c>
      <c r="I4176" t="s">
        <v>6588</v>
      </c>
      <c r="J4176">
        <v>23.76</v>
      </c>
      <c r="K4176" s="4">
        <v>-0.15049999999999999</v>
      </c>
      <c r="L4176">
        <v>4.7</v>
      </c>
      <c r="M4176">
        <v>639</v>
      </c>
      <c r="O4176" t="s">
        <v>25</v>
      </c>
      <c r="P4176" t="s">
        <v>6589</v>
      </c>
      <c r="Q4176" t="s">
        <v>6590</v>
      </c>
    </row>
    <row r="4177" spans="1:17" ht="15.5" x14ac:dyDescent="0.35">
      <c r="A4177" s="3" t="str">
        <f>HYPERLINK("https://edmondsonsupply.com/collections/electricians-tools/products/edge-eyewear-sr116-reclus-black-frame-smoke-lens-safety-glasses", "https://edmondsonsupply.com/collections/electricians-tools/products/edge-eyewear-sr116-reclus-black-frame-smoke-lens-safety-glasses")</f>
        <v>https://edmondsonsupply.com/collections/electricians-tools/products/edge-eyewear-sr116-reclus-black-frame-smoke-lens-safety-glasses</v>
      </c>
      <c r="B4177"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4177" t="s">
        <v>985</v>
      </c>
      <c r="D4177" t="s">
        <v>1300</v>
      </c>
      <c r="E4177" s="3" t="str">
        <f>HYPERLINK("https://www.amazon.com/SR116-Wrap-Around-Anti-Scratch-Non-Slip-Compliant/dp/B002R98J1E/ref=sr_1_1?keywords=Edge+Eyewear+SR116+Reclus+-+Black+Frame%2FSmoke+Lens%2C+Safety+Glasses&amp;qid=1695174291&amp;sr=8-1", "https://www.amazon.com/SR116-Wrap-Around-Anti-Scratch-Non-Slip-Compliant/dp/B002R98J1E/ref=sr_1_1?keywords=Edge+Eyewear+SR116+Reclus+-+Black+Frame%2FSmoke+Lens%2C+Safety+Glasses&amp;qid=1695174291&amp;sr=8-1")</f>
        <v>https://www.amazon.com/SR116-Wrap-Around-Anti-Scratch-Non-Slip-Compliant/dp/B002R98J1E/ref=sr_1_1?keywords=Edge+Eyewear+SR116+Reclus+-+Black+Frame%2FSmoke+Lens%2C+Safety+Glasses&amp;qid=1695174291&amp;sr=8-1</v>
      </c>
      <c r="F4177" t="s">
        <v>1301</v>
      </c>
      <c r="G4177" t="e">
        <f ca="1">_xludf.IMAGE("https://edmondsonsupply.com/cdn/shop/products/SR116_1512x_cc8649c7-14e6-4c1c-9513-7dd61f5f7eb9.png?v=1633030940")</f>
        <v>#NAME?</v>
      </c>
      <c r="H4177" t="e">
        <f ca="1">_xludf.IMAGE("https://m.media-amazon.com/images/I/41LN-T2NQaL._AC_UL320_.jpg")</f>
        <v>#NAME?</v>
      </c>
      <c r="I4177" t="s">
        <v>988</v>
      </c>
      <c r="J4177">
        <v>13.99</v>
      </c>
      <c r="K4177" s="4">
        <v>-0.15060000000000001</v>
      </c>
      <c r="L4177">
        <v>4.3</v>
      </c>
      <c r="M4177">
        <v>2672</v>
      </c>
      <c r="O4177" t="s">
        <v>25</v>
      </c>
      <c r="P4177" t="s">
        <v>989</v>
      </c>
      <c r="Q4177" t="s">
        <v>990</v>
      </c>
    </row>
    <row r="4178" spans="1:17" ht="15.5" x14ac:dyDescent="0.35">
      <c r="A4178"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4178"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4178" t="s">
        <v>7067</v>
      </c>
      <c r="D4178" t="s">
        <v>5960</v>
      </c>
      <c r="E4178" s="3" t="str">
        <f>HYPERLINK("https://www.amazon.com/Diablo-Freud-DOU250BW-Oscillating-Nail-Embedded/dp/B089KWP5Z2/ref=sr_1_1?keywords=Diablo+Tools+DOU250BW+2-1%2F2+in.+Universal+Fit+Bi-Metal+Oscillating+Blade+for+Nail-Embedded+Wood&amp;qid=1695174021&amp;sr=8-1", "https://www.amazon.com/Diablo-Freud-DOU250BW-Oscillating-Nail-Embedded/dp/B089KWP5Z2/ref=sr_1_1?keywords=Diablo+Tools+DOU250BW+2-1%2F2+in.+Universal+Fit+Bi-Metal+Oscillating+Blade+for+Nail-Embedded+Wood&amp;qid=1695174021&amp;sr=8-1")</f>
        <v>https://www.amazon.com/Diablo-Freud-DOU250BW-Oscillating-Nail-Embedded/dp/B089KWP5Z2/ref=sr_1_1?keywords=Diablo+Tools+DOU250BW+2-1%2F2+in.+Universal+Fit+Bi-Metal+Oscillating+Blade+for+Nail-Embedded+Wood&amp;qid=1695174021&amp;sr=8-1</v>
      </c>
      <c r="F4178" t="s">
        <v>5961</v>
      </c>
      <c r="G4178" t="e">
        <f ca="1">_xludf.IMAGE("https://edmondsonsupply.com/cdn/shop/files/xcched1uye7bv2s0ryod.webp?v=1685717397")</f>
        <v>#NAME?</v>
      </c>
      <c r="H4178" t="e">
        <f ca="1">_xludf.IMAGE("https://m.media-amazon.com/images/I/71fhfiK3NaL._AC_UL320_.jpg")</f>
        <v>#NAME?</v>
      </c>
      <c r="I4178" t="s">
        <v>893</v>
      </c>
      <c r="J4178">
        <v>16.96</v>
      </c>
      <c r="K4178" s="4">
        <v>-0.1507</v>
      </c>
      <c r="L4178">
        <v>4.5999999999999996</v>
      </c>
      <c r="M4178">
        <v>31</v>
      </c>
      <c r="O4178" t="s">
        <v>25</v>
      </c>
      <c r="P4178" t="s">
        <v>6936</v>
      </c>
      <c r="Q4178" t="s">
        <v>7068</v>
      </c>
    </row>
    <row r="4179" spans="1:17" ht="15.5" x14ac:dyDescent="0.35">
      <c r="A4179" s="3" t="str">
        <f>HYPERLINK("https://edmondsonsupply.com/collections/electricians-tools/products/john-boy-grass-face-guard", "https://edmondsonsupply.com/collections/electricians-tools/products/john-boy-grass-face-guard")</f>
        <v>https://edmondsonsupply.com/collections/electricians-tools/products/john-boy-grass-face-guard</v>
      </c>
      <c r="B4179" s="3" t="str">
        <f>HYPERLINK("https://edmondsonsupply.com/products/john-boy-grass-face-guard", "https://edmondsonsupply.com/products/john-boy-grass-face-guard")</f>
        <v>https://edmondsonsupply.com/products/john-boy-grass-face-guard</v>
      </c>
      <c r="C4179" t="s">
        <v>1065</v>
      </c>
      <c r="D4179" t="s">
        <v>1302</v>
      </c>
      <c r="E4179" s="3" t="str">
        <f>HYPERLINK("https://www.amazon.com/JOHN-BOY-Racing-Face-Guard/dp/B0842ZPD8B/ref=sr_1_3?keywords=John+Boy+GRASS+Face+Guard&amp;qid=1695174296&amp;sr=8-3", "https://www.amazon.com/JOHN-BOY-Racing-Face-Guard/dp/B0842ZPD8B/ref=sr_1_3?keywords=John+Boy+GRASS+Face+Guard&amp;qid=1695174296&amp;sr=8-3")</f>
        <v>https://www.amazon.com/JOHN-BOY-Racing-Face-Guard/dp/B0842ZPD8B/ref=sr_1_3?keywords=John+Boy+GRASS+Face+Guard&amp;qid=1695174296&amp;sr=8-3</v>
      </c>
      <c r="F4179" t="s">
        <v>1303</v>
      </c>
      <c r="G4179" t="e">
        <f ca="1">_xludf.IMAGE("https://edmondsonsupply.com/cdn/shop/products/grassMUcopy_900x_3dbec2e2-1ea2-46e7-b806-f05c0b3108b5.jpg?v=1633030897")</f>
        <v>#NAME?</v>
      </c>
      <c r="H4179" t="e">
        <f ca="1">_xludf.IMAGE("https://m.media-amazon.com/images/I/71yOG1wKzSL._AC_UL320_.jpg")</f>
        <v>#NAME?</v>
      </c>
      <c r="I4179" t="s">
        <v>1039</v>
      </c>
      <c r="J4179">
        <v>8.49</v>
      </c>
      <c r="K4179" s="4">
        <v>-0.151</v>
      </c>
      <c r="L4179">
        <v>4.2</v>
      </c>
      <c r="M4179">
        <v>6</v>
      </c>
      <c r="O4179" t="s">
        <v>25</v>
      </c>
      <c r="P4179" t="s">
        <v>138</v>
      </c>
      <c r="Q4179" t="s">
        <v>1066</v>
      </c>
    </row>
    <row r="4180" spans="1:17" ht="15.5" x14ac:dyDescent="0.35">
      <c r="A4180" s="3" t="str">
        <f>HYPERLINK("https://edmondsonsupply.com/collections/electricians-tools/products/john-boy-tree-face-guard", "https://edmondsonsupply.com/collections/electricians-tools/products/john-boy-tree-face-guard")</f>
        <v>https://edmondsonsupply.com/collections/electricians-tools/products/john-boy-tree-face-guard</v>
      </c>
      <c r="B4180" s="3" t="str">
        <f>HYPERLINK("https://edmondsonsupply.com/products/john-boy-tree-face-guard", "https://edmondsonsupply.com/products/john-boy-tree-face-guard")</f>
        <v>https://edmondsonsupply.com/products/john-boy-tree-face-guard</v>
      </c>
      <c r="C4180" t="s">
        <v>1228</v>
      </c>
      <c r="D4180" t="s">
        <v>1302</v>
      </c>
      <c r="E4180" s="3" t="str">
        <f>HYPERLINK("https://www.amazon.com/JOHN-BOY-Racing-Face-Guard/dp/B0842ZPD8B/ref=sr_1_2?keywords=John+Boy+TREE+Face+Guard&amp;qid=1695174306&amp;sr=8-2", "https://www.amazon.com/JOHN-BOY-Racing-Face-Guard/dp/B0842ZPD8B/ref=sr_1_2?keywords=John+Boy+TREE+Face+Guard&amp;qid=1695174306&amp;sr=8-2")</f>
        <v>https://www.amazon.com/JOHN-BOY-Racing-Face-Guard/dp/B0842ZPD8B/ref=sr_1_2?keywords=John+Boy+TREE+Face+Guard&amp;qid=1695174306&amp;sr=8-2</v>
      </c>
      <c r="F4180" t="s">
        <v>1303</v>
      </c>
      <c r="G4180" t="e">
        <f ca="1">_xludf.IMAGE("https://edmondsonsupply.com/cdn/shop/products/tree-mockup.jpg?v=1633030898")</f>
        <v>#NAME?</v>
      </c>
      <c r="H4180" t="e">
        <f ca="1">_xludf.IMAGE("https://m.media-amazon.com/images/I/71yOG1wKzSL._AC_UL320_.jpg")</f>
        <v>#NAME?</v>
      </c>
      <c r="I4180" t="s">
        <v>1039</v>
      </c>
      <c r="J4180">
        <v>8.49</v>
      </c>
      <c r="K4180" s="4">
        <v>-0.151</v>
      </c>
      <c r="L4180">
        <v>4.2</v>
      </c>
      <c r="M4180">
        <v>6</v>
      </c>
      <c r="O4180" t="s">
        <v>25</v>
      </c>
      <c r="P4180" t="s">
        <v>138</v>
      </c>
      <c r="Q4180" t="s">
        <v>1229</v>
      </c>
    </row>
    <row r="4181" spans="1:17" ht="15.5" x14ac:dyDescent="0.35">
      <c r="A4181" s="3" t="str">
        <f>HYPERLINK("https://edmondsonsupply.com/collections/electricians-tools/products/milwaukee-48-11-1850-m18%E2%84%A2-redlithium%E2%84%A2-xc5-0-extended-capacity-battery-pack", "https://edmondsonsupply.com/collections/electricians-tools/products/milwaukee-48-11-1850-m18%E2%84%A2-redlithium%E2%84%A2-xc5-0-extended-capacity-battery-pack")</f>
        <v>https://edmondsonsupply.com/collections/electricians-tools/products/milwaukee-48-11-1850-m18%E2%84%A2-redlithium%E2%84%A2-xc5-0-extended-capacity-battery-pack</v>
      </c>
      <c r="B4181" s="3" t="str">
        <f>HYPERLINK("https://edmondsonsupply.com/products/milwaukee-48-11-1850-m18%e2%84%a2-redlithium%e2%84%a2-xc5-0-extended-capacity-battery-pack", "https://edmondsonsupply.com/products/milwaukee-48-11-1850-m18%e2%84%a2-redlithium%e2%84%a2-xc5-0-extended-capacity-battery-pack")</f>
        <v>https://edmondsonsupply.com/products/milwaukee-48-11-1850-m18%e2%84%a2-redlithium%e2%84%a2-xc5-0-extended-capacity-battery-pack</v>
      </c>
      <c r="C4181" t="s">
        <v>8668</v>
      </c>
      <c r="D4181" t="s">
        <v>8669</v>
      </c>
      <c r="E4181" s="3" t="str">
        <f>HYPERLINK("https://www.amazon.com/Milwaukee-48-11-1850R-Extended-Resistant-48-11-1850Rx2/dp/B0B8TDYXBP/ref=sr_1_3?keywords=Milwaukee+48-11-1850+M18%E2%84%A2+REDLITHIUM%E2%84%A2+XC5.0+Extended+Capacity+Battery+Pack&amp;qid=1695174200&amp;sr=8-3", "https://www.amazon.com/Milwaukee-48-11-1850R-Extended-Resistant-48-11-1850Rx2/dp/B0B8TDYXBP/ref=sr_1_3?keywords=Milwaukee+48-11-1850+M18%E2%84%A2+REDLITHIUM%E2%84%A2+XC5.0+Extended+Capacity+Battery+Pack&amp;qid=1695174200&amp;sr=8-3")</f>
        <v>https://www.amazon.com/Milwaukee-48-11-1850R-Extended-Resistant-48-11-1850Rx2/dp/B0B8TDYXBP/ref=sr_1_3?keywords=Milwaukee+48-11-1850+M18%E2%84%A2+REDLITHIUM%E2%84%A2+XC5.0+Extended+Capacity+Battery+Pack&amp;qid=1695174200&amp;sr=8-3</v>
      </c>
      <c r="F4181" t="s">
        <v>8670</v>
      </c>
      <c r="G4181" t="e">
        <f ca="1">_xludf.IMAGE("https://edmondsonsupply.com/cdn/shop/products/48-11-1850_1.webp?v=1655482517")</f>
        <v>#NAME?</v>
      </c>
      <c r="H4181" t="e">
        <f ca="1">_xludf.IMAGE("https://m.media-amazon.com/images/I/71KKu6oh+8L._AC_UL320_.jpg")</f>
        <v>#NAME?</v>
      </c>
      <c r="I4181" t="s">
        <v>431</v>
      </c>
      <c r="J4181">
        <v>134.87</v>
      </c>
      <c r="K4181" s="4">
        <v>-0.15179999999999999</v>
      </c>
      <c r="L4181">
        <v>4.8</v>
      </c>
      <c r="M4181">
        <v>155</v>
      </c>
      <c r="O4181" t="s">
        <v>171</v>
      </c>
      <c r="P4181" t="s">
        <v>6331</v>
      </c>
      <c r="Q4181" t="s">
        <v>8671</v>
      </c>
    </row>
    <row r="4182" spans="1:17" ht="15.5" x14ac:dyDescent="0.35">
      <c r="A4182" s="3" t="str">
        <f>HYPERLINK("https://edmondsonsupply.com/collections/electricians-tools/products/klein-tools-25964-step-drill-bit-spiral-double-fluted-1-8-inch-to-1-2-inch-vaco", "https://edmondsonsupply.com/collections/electricians-tools/products/klein-tools-25964-step-drill-bit-spiral-double-fluted-1-8-inch-to-1-2-inch-vaco")</f>
        <v>https://edmondsonsupply.com/collections/electricians-tools/products/klein-tools-25964-step-drill-bit-spiral-double-fluted-1-8-inch-to-1-2-inch-vaco</v>
      </c>
      <c r="B4182" s="3" t="str">
        <f>HYPERLINK("https://edmondsonsupply.com/products/klein-tools-25964-step-drill-bit-spiral-double-fluted-1-8-inch-to-1-2-inch-vaco", "https://edmondsonsupply.com/products/klein-tools-25964-step-drill-bit-spiral-double-fluted-1-8-inch-to-1-2-inch-vaco")</f>
        <v>https://edmondsonsupply.com/products/klein-tools-25964-step-drill-bit-spiral-double-fluted-1-8-inch-to-1-2-inch-vaco</v>
      </c>
      <c r="C4182" t="s">
        <v>6143</v>
      </c>
      <c r="D4182" t="s">
        <v>5180</v>
      </c>
      <c r="E4182" s="3" t="str">
        <f>HYPERLINK("https://www.amazon.com/Jerax-tools-Drilling-Stainless-Aluminum/dp/B094VCMB17/ref=sr_1_6?keywords=Klein+Tools+25964+Step+Drill+Bit%2C+Spiral+Double-Fluted%2C+1%2F8-Inch+to+1%2F2-Inch%2C+VACO&amp;qid=1695174098&amp;sr=8-6", "https://www.amazon.com/Jerax-tools-Drilling-Stainless-Aluminum/dp/B094VCMB17/ref=sr_1_6?keywords=Klein+Tools+25964+Step+Drill+Bit%2C+Spiral+Double-Fluted%2C+1%2F8-Inch+to+1%2F2-Inch%2C+VACO&amp;qid=1695174098&amp;sr=8-6")</f>
        <v>https://www.amazon.com/Jerax-tools-Drilling-Stainless-Aluminum/dp/B094VCMB17/ref=sr_1_6?keywords=Klein+Tools+25964+Step+Drill+Bit%2C+Spiral+Double-Fluted%2C+1%2F8-Inch+to+1%2F2-Inch%2C+VACO&amp;qid=1695174098&amp;sr=8-6</v>
      </c>
      <c r="F4182" t="s">
        <v>5181</v>
      </c>
      <c r="G4182" t="e">
        <f ca="1">_xludf.IMAGE("https://edmondsonsupply.com/cdn/shop/products/25964_b.jpg?v=1670940646")</f>
        <v>#NAME?</v>
      </c>
      <c r="H4182" t="e">
        <f ca="1">_xludf.IMAGE("https://m.media-amazon.com/images/I/51fvUl5tapL._AC_UY218_.jpg")</f>
        <v>#NAME?</v>
      </c>
      <c r="I4182" t="s">
        <v>577</v>
      </c>
      <c r="J4182">
        <v>16.95</v>
      </c>
      <c r="K4182" s="4">
        <v>-0.15210000000000001</v>
      </c>
      <c r="L4182">
        <v>4.5</v>
      </c>
      <c r="M4182">
        <v>713</v>
      </c>
      <c r="O4182" t="s">
        <v>25</v>
      </c>
      <c r="P4182" t="s">
        <v>6144</v>
      </c>
      <c r="Q4182" t="s">
        <v>6145</v>
      </c>
    </row>
    <row r="4183" spans="1:17" ht="15.5" x14ac:dyDescent="0.35">
      <c r="A4183"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4183"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4183" t="s">
        <v>6231</v>
      </c>
      <c r="D4183" t="s">
        <v>5192</v>
      </c>
      <c r="E4183" s="3" t="str">
        <f>HYPERLINK("https://www.amazon.com/Klein-Tools-80041-Receptacle-Stripper/dp/B0977QNC3X/ref=sr_1_4?keywords=Klein+Tools+NCVT1PKIT+Non-Contact+Voltage+and+GFCI+Receptacle+Test+Kit&amp;qid=1695174067&amp;sr=8-4", "https://www.amazon.com/Klein-Tools-80041-Receptacle-Stripper/dp/B0977QNC3X/ref=sr_1_4?keywords=Klein+Tools+NCVT1PKIT+Non-Contact+Voltage+and+GFCI+Receptacle+Test+Kit&amp;qid=1695174067&amp;sr=8-4")</f>
        <v>https://www.amazon.com/Klein-Tools-80041-Receptacle-Stripper/dp/B0977QNC3X/ref=sr_1_4?keywords=Klein+Tools+NCVT1PKIT+Non-Contact+Voltage+and+GFCI+Receptacle+Test+Kit&amp;qid=1695174067&amp;sr=8-4</v>
      </c>
      <c r="F4183" t="s">
        <v>5193</v>
      </c>
      <c r="G4183" t="e">
        <f ca="1">_xludf.IMAGE("https://edmondsonsupply.com/cdn/shop/products/ncvt1pkit.jpg?v=1677682920")</f>
        <v>#NAME?</v>
      </c>
      <c r="H4183" t="e">
        <f ca="1">_xludf.IMAGE("https://m.media-amazon.com/images/I/61swpb0jNLS._AC_UL320_.jpg")</f>
        <v>#NAME?</v>
      </c>
      <c r="I4183" t="s">
        <v>859</v>
      </c>
      <c r="J4183">
        <v>21.17</v>
      </c>
      <c r="K4183" s="4">
        <v>-0.1522</v>
      </c>
      <c r="L4183">
        <v>4.8</v>
      </c>
      <c r="M4183">
        <v>7966</v>
      </c>
      <c r="O4183" t="s">
        <v>25</v>
      </c>
      <c r="P4183" t="s">
        <v>6234</v>
      </c>
      <c r="Q4183" t="s">
        <v>6235</v>
      </c>
    </row>
    <row r="4184" spans="1:17" ht="15.5" x14ac:dyDescent="0.35">
      <c r="A4184" s="3" t="str">
        <f>HYPERLINK("https://edmondsonsupply.com/collections/electricians-tools/products/fluke-80pk-1-bead-probe", "https://edmondsonsupply.com/collections/electricians-tools/products/fluke-80pk-1-bead-probe")</f>
        <v>https://edmondsonsupply.com/collections/electricians-tools/products/fluke-80pk-1-bead-probe</v>
      </c>
      <c r="B4184" s="3" t="str">
        <f>HYPERLINK("https://edmondsonsupply.com/products/fluke-80pk-1-bead-probe", "https://edmondsonsupply.com/products/fluke-80pk-1-bead-probe")</f>
        <v>https://edmondsonsupply.com/products/fluke-80pk-1-bead-probe</v>
      </c>
      <c r="C4184" t="s">
        <v>8672</v>
      </c>
      <c r="D4184" t="s">
        <v>8673</v>
      </c>
      <c r="E4184" s="3" t="str">
        <f>HYPERLINK("https://www.amazon.com/Fluke-80PJ-1-Bead-Probe/dp/B000VRHCL2/ref=sr_1_10?keywords=Fluke+80PK-1+Bead+Probe&amp;qid=1695174239&amp;sr=8-10", "https://www.amazon.com/Fluke-80PJ-1-Bead-Probe/dp/B000VRHCL2/ref=sr_1_10?keywords=Fluke+80PK-1+Bead+Probe&amp;qid=1695174239&amp;sr=8-10")</f>
        <v>https://www.amazon.com/Fluke-80PJ-1-Bead-Probe/dp/B000VRHCL2/ref=sr_1_10?keywords=Fluke+80PK-1+Bead+Probe&amp;qid=1695174239&amp;sr=8-10</v>
      </c>
      <c r="F4184" t="s">
        <v>8674</v>
      </c>
      <c r="G4184" t="e">
        <f ca="1">_xludf.IMAGE("https://edmondsonsupply.com/cdn/shop/products/80pk-1a.png?v=1633466414")</f>
        <v>#NAME?</v>
      </c>
      <c r="H4184" t="e">
        <f ca="1">_xludf.IMAGE("https://m.media-amazon.com/images/I/514RPwm50eL._AC_UY218_.jpg")</f>
        <v>#NAME?</v>
      </c>
      <c r="I4184" t="s">
        <v>1765</v>
      </c>
      <c r="J4184">
        <v>48.31</v>
      </c>
      <c r="K4184" s="4">
        <v>-0.15229999999999999</v>
      </c>
      <c r="L4184">
        <v>4</v>
      </c>
      <c r="M4184">
        <v>1</v>
      </c>
      <c r="O4184" t="s">
        <v>25</v>
      </c>
      <c r="P4184" t="s">
        <v>905</v>
      </c>
      <c r="Q4184" t="s">
        <v>8675</v>
      </c>
    </row>
    <row r="4185" spans="1:17" ht="15.5" x14ac:dyDescent="0.35">
      <c r="A4185"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4185"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4185" t="s">
        <v>2155</v>
      </c>
      <c r="D4185" t="s">
        <v>5192</v>
      </c>
      <c r="E4185" s="3" t="str">
        <f>HYPERLINK("https://www.amazon.com/Klein-Tools-80041-Receptacle-Stripper/dp/B0977QNC3X/ref=sr_1_4?keywords=Klein+Tools+NCVT1XTKIT+Non-Contact+Voltage+and+GFCI+Receptacle+Premium+Test+Kit&amp;qid=1695173872&amp;sr=8-4", "https://www.amazon.com/Klein-Tools-80041-Receptacle-Stripper/dp/B0977QNC3X/ref=sr_1_4?keywords=Klein+Tools+NCVT1XTKIT+Non-Contact+Voltage+and+GFCI+Receptacle+Premium+Test+Kit&amp;qid=1695173872&amp;sr=8-4")</f>
        <v>https://www.amazon.com/Klein-Tools-80041-Receptacle-Stripper/dp/B0977QNC3X/ref=sr_1_4?keywords=Klein+Tools+NCVT1XTKIT+Non-Contact+Voltage+and+GFCI+Receptacle+Premium+Test+Kit&amp;qid=1695173872&amp;sr=8-4</v>
      </c>
      <c r="F4185" t="s">
        <v>5193</v>
      </c>
      <c r="G4185" t="e">
        <f ca="1">_xludf.IMAGE("https://edmondsonsupply.com/cdn/shop/products/ncvt1xtkit.jpg?v=1674497102")</f>
        <v>#NAME?</v>
      </c>
      <c r="H4185" t="e">
        <f ca="1">_xludf.IMAGE("https://m.media-amazon.com/images/I/61swpb0jNLS._AC_UL320_.jpg")</f>
        <v>#NAME?</v>
      </c>
      <c r="I4185" t="s">
        <v>471</v>
      </c>
      <c r="J4185">
        <v>21.17</v>
      </c>
      <c r="K4185" s="4">
        <v>-0.15290000000000001</v>
      </c>
      <c r="L4185">
        <v>4.8</v>
      </c>
      <c r="M4185">
        <v>7966</v>
      </c>
      <c r="O4185" t="s">
        <v>25</v>
      </c>
      <c r="P4185" t="s">
        <v>2158</v>
      </c>
      <c r="Q4185" t="s">
        <v>2159</v>
      </c>
    </row>
    <row r="4186" spans="1:17" ht="15.5" x14ac:dyDescent="0.35">
      <c r="A4186" s="3" t="str">
        <f>HYPERLINK("https://edmondsonsupply.com/collections/electricians-tools/products/milwaukee-48-40-4515-8-circular-saw-metal-cutting-blade-42t", "https://edmondsonsupply.com/collections/electricians-tools/products/milwaukee-48-40-4515-8-circular-saw-metal-cutting-blade-42t")</f>
        <v>https://edmondsonsupply.com/collections/electricians-tools/products/milwaukee-48-40-4515-8-circular-saw-metal-cutting-blade-42t</v>
      </c>
      <c r="B4186" s="3" t="str">
        <f>HYPERLINK("https://edmondsonsupply.com/products/milwaukee-48-40-4515-8-circular-saw-metal-cutting-blade-42t", "https://edmondsonsupply.com/products/milwaukee-48-40-4515-8-circular-saw-metal-cutting-blade-42t")</f>
        <v>https://edmondsonsupply.com/products/milwaukee-48-40-4515-8-circular-saw-metal-cutting-blade-42t</v>
      </c>
      <c r="C4186" t="s">
        <v>5194</v>
      </c>
      <c r="D4186" t="s">
        <v>5195</v>
      </c>
      <c r="E4186" s="3" t="str">
        <f>HYPERLINK("https://www.amazon.com/Milwaukee-48-40-4205-Carbide-Stainless-Circular/dp/B0B4PBQ93R/ref=sr_1_7?keywords=Milwaukee+48-40-4515+8%22+Circular+Saw+Metal+Cutting+Blade-+42T&amp;qid=1695174000&amp;sr=8-7", "https://www.amazon.com/Milwaukee-48-40-4205-Carbide-Stainless-Circular/dp/B0B4PBQ93R/ref=sr_1_7?keywords=Milwaukee+48-40-4515+8%22+Circular+Saw+Metal+Cutting+Blade-+42T&amp;qid=1695174000&amp;sr=8-7")</f>
        <v>https://www.amazon.com/Milwaukee-48-40-4205-Carbide-Stainless-Circular/dp/B0B4PBQ93R/ref=sr_1_7?keywords=Milwaukee+48-40-4515+8%22+Circular+Saw+Metal+Cutting+Blade-+42T&amp;qid=1695174000&amp;sr=8-7</v>
      </c>
      <c r="F4186" t="s">
        <v>5196</v>
      </c>
      <c r="G4186" t="e">
        <f ca="1">_xludf.IMAGE("https://edmondsonsupply.com/cdn/shop/files/48-40-4515_1.png?v=1687444386")</f>
        <v>#NAME?</v>
      </c>
      <c r="H4186" t="e">
        <f ca="1">_xludf.IMAGE("https://m.media-amazon.com/images/I/71iJWk1JV7L._AC_UL320_.jpg")</f>
        <v>#NAME?</v>
      </c>
      <c r="I4186" t="s">
        <v>5197</v>
      </c>
      <c r="J4186">
        <v>50.79</v>
      </c>
      <c r="K4186" s="4">
        <v>-0.15310000000000001</v>
      </c>
      <c r="L4186">
        <v>5</v>
      </c>
      <c r="M4186">
        <v>11</v>
      </c>
      <c r="O4186" t="s">
        <v>25</v>
      </c>
      <c r="P4186" t="s">
        <v>5198</v>
      </c>
      <c r="Q4186" t="s">
        <v>5199</v>
      </c>
    </row>
    <row r="4187" spans="1:17" ht="15.5" x14ac:dyDescent="0.35">
      <c r="A4187"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4187" s="3" t="str">
        <f>HYPERLINK("https://edmondsonsupply.com/products/diablo-tools-dmapl2530-1-in-x-16-in-x-18-in-sds-plus-2-cutter", "https://edmondsonsupply.com/products/diablo-tools-dmapl2530-1-in-x-16-in-x-18-in-sds-plus-2-cutter")</f>
        <v>https://edmondsonsupply.com/products/diablo-tools-dmapl2530-1-in-x-16-in-x-18-in-sds-plus-2-cutter</v>
      </c>
      <c r="C4187" t="s">
        <v>7435</v>
      </c>
      <c r="D4187" t="s">
        <v>7556</v>
      </c>
      <c r="E4187" s="3" t="str">
        <f>HYPERLINK("https://www.amazon.com/Diablo-16-18-SDS-Plus-2-Cutter/dp/B089KW5TV6/ref=sr_1_7?keywords=Diablo+Tools+DMAPL2530+1+in.+x+16+in.+x+18+in.+SDS-Plus+2-Cutter&amp;qid=1695174263&amp;sr=8-7", "https://www.amazon.com/Diablo-16-18-SDS-Plus-2-Cutter/dp/B089KW5TV6/ref=sr_1_7?keywords=Diablo+Tools+DMAPL2530+1+in.+x+16+in.+x+18+in.+SDS-Plus+2-Cutter&amp;qid=1695174263&amp;sr=8-7")</f>
        <v>https://www.amazon.com/Diablo-16-18-SDS-Plus-2-Cutter/dp/B089KW5TV6/ref=sr_1_7?keywords=Diablo+Tools+DMAPL2530+1+in.+x+16+in.+x+18+in.+SDS-Plus+2-Cutter&amp;qid=1695174263&amp;sr=8-7</v>
      </c>
      <c r="F4187" t="s">
        <v>7557</v>
      </c>
      <c r="G4187" t="e">
        <f ca="1">_xludf.IMAGE("https://edmondsonsupply.com/cdn/shop/products/DMAPL2530_Main-Image20200703.png?v=1627068300")</f>
        <v>#NAME?</v>
      </c>
      <c r="H4187" t="e">
        <f ca="1">_xludf.IMAGE("https://m.media-amazon.com/images/I/61LIeXBPR+L._AC_UL320_.jpg")</f>
        <v>#NAME?</v>
      </c>
      <c r="I4187" t="s">
        <v>7436</v>
      </c>
      <c r="J4187">
        <v>32.99</v>
      </c>
      <c r="K4187" s="4">
        <v>-0.1535</v>
      </c>
      <c r="L4187">
        <v>3.3</v>
      </c>
      <c r="M4187">
        <v>7</v>
      </c>
      <c r="O4187" t="s">
        <v>25</v>
      </c>
      <c r="P4187" t="s">
        <v>7437</v>
      </c>
      <c r="Q4187" t="s">
        <v>7438</v>
      </c>
    </row>
    <row r="4188" spans="1:17" ht="15.5" x14ac:dyDescent="0.35">
      <c r="A4188" s="3" t="str">
        <f>HYPERLINK("https://edmondsonsupply.com/collections/electricians-tools/products/milwaukee-2880-22-m18-fuel%E2%84%A2-4-1-2-5-grinder-paddle-switch-no-lock-kit", "https://edmondsonsupply.com/collections/electricians-tools/products/milwaukee-2880-22-m18-fuel%E2%84%A2-4-1-2-5-grinder-paddle-switch-no-lock-kit")</f>
        <v>https://edmondsonsupply.com/collections/electricians-tools/products/milwaukee-2880-22-m18-fuel%E2%84%A2-4-1-2-5-grinder-paddle-switch-no-lock-kit</v>
      </c>
      <c r="B4188" s="3" t="str">
        <f>HYPERLINK("https://edmondsonsupply.com/products/milwaukee-2880-22-m18-fuel%e2%84%a2-4-1-2-5-grinder-paddle-switch-no-lock-kit", "https://edmondsonsupply.com/products/milwaukee-2880-22-m18-fuel%e2%84%a2-4-1-2-5-grinder-paddle-switch-no-lock-kit")</f>
        <v>https://edmondsonsupply.com/products/milwaukee-2880-22-m18-fuel%e2%84%a2-4-1-2-5-grinder-paddle-switch-no-lock-kit</v>
      </c>
      <c r="C4188" t="s">
        <v>7129</v>
      </c>
      <c r="D4188" t="s">
        <v>6741</v>
      </c>
      <c r="E4188" s="3" t="str">
        <f>HYPERLINK("https://www.amazon.com/MilwaukeeTool-Milwaukee-Grinder-No-Lock-2880-22/dp/B09FBJL179/ref=sr_1_1?keywords=Milwaukee+2880-22+M18+FUEL%E2%84%A2+4-1%2F2%22+%2F+5%22+Grinder+Paddle+Switch%2C+No-Lock+%28Kit%29&amp;qid=1695174132&amp;sr=8-1", "https://www.amazon.com/MilwaukeeTool-Milwaukee-Grinder-No-Lock-2880-22/dp/B09FBJL179/ref=sr_1_1?keywords=Milwaukee+2880-22+M18+FUEL%E2%84%A2+4-1%2F2%22+%2F+5%22+Grinder+Paddle+Switch%2C+No-Lock+%28Kit%29&amp;qid=1695174132&amp;sr=8-1")</f>
        <v>https://www.amazon.com/MilwaukeeTool-Milwaukee-Grinder-No-Lock-2880-22/dp/B09FBJL179/ref=sr_1_1?keywords=Milwaukee+2880-22+M18+FUEL%E2%84%A2+4-1%2F2%22+%2F+5%22+Grinder+Paddle+Switch%2C+No-Lock+%28Kit%29&amp;qid=1695174132&amp;sr=8-1</v>
      </c>
      <c r="F4188" t="s">
        <v>6742</v>
      </c>
      <c r="G4188" t="e">
        <f ca="1">_xludf.IMAGE("https://edmondsonsupply.com/cdn/shop/products/2880-22_1.png?v=1668015986")</f>
        <v>#NAME?</v>
      </c>
      <c r="H4188" t="e">
        <f ca="1">_xludf.IMAGE("https://m.media-amazon.com/images/I/61Vmp8uxgHL._AC_UL320_.jpg")</f>
        <v>#NAME?</v>
      </c>
      <c r="I4188" t="s">
        <v>7130</v>
      </c>
      <c r="J4188">
        <v>379.94</v>
      </c>
      <c r="K4188" s="4">
        <v>-0.15379999999999999</v>
      </c>
      <c r="L4188">
        <v>4.8</v>
      </c>
      <c r="M4188">
        <v>8</v>
      </c>
      <c r="O4188" t="s">
        <v>171</v>
      </c>
      <c r="P4188" t="s">
        <v>7131</v>
      </c>
      <c r="Q4188" t="s">
        <v>7132</v>
      </c>
    </row>
    <row r="4189" spans="1:17" ht="15.5" x14ac:dyDescent="0.35">
      <c r="A4189"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4189"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4189" t="s">
        <v>8676</v>
      </c>
      <c r="D4189" t="s">
        <v>6933</v>
      </c>
      <c r="E4189" s="3" t="str">
        <f>HYPERLINK("https://www.amazon.com/Diablo-Freud-DOU125JBW3-Universal-Oscillating/dp/B089KX3SWM/ref=sr_1_2?keywords=Diablo+Tools+DOU250JBW3+2-1%2F2+in.+Universal+Fit+Bi-Metal+Oscillating+Blade+for+Clean+Wood+%283+pk%29&amp;qid=1695174010&amp;sr=8-2", "https://www.amazon.com/Diablo-Freud-DOU125JBW3-Universal-Oscillating/dp/B089KX3SWM/ref=sr_1_2?keywords=Diablo+Tools+DOU250JBW3+2-1%2F2+in.+Universal+Fit+Bi-Metal+Oscillating+Blade+for+Clean+Wood+%283+pk%29&amp;qid=1695174010&amp;sr=8-2")</f>
        <v>https://www.amazon.com/Diablo-Freud-DOU125JBW3-Universal-Oscillating/dp/B089KX3SWM/ref=sr_1_2?keywords=Diablo+Tools+DOU250JBW3+2-1%2F2+in.+Universal+Fit+Bi-Metal+Oscillating+Blade+for+Clean+Wood+%283+pk%29&amp;qid=1695174010&amp;sr=8-2</v>
      </c>
      <c r="F4189" t="s">
        <v>6934</v>
      </c>
      <c r="G4189" t="e">
        <f ca="1">_xludf.IMAGE("https://edmondsonsupply.com/cdn/shop/files/pycnap4eb1urn2hxvudq_1.webp?v=1685719587")</f>
        <v>#NAME?</v>
      </c>
      <c r="H4189" t="e">
        <f ca="1">_xludf.IMAGE("https://m.media-amazon.com/images/I/61wFHtmEH5L._AC_UL320_.jpg")</f>
        <v>#NAME?</v>
      </c>
      <c r="I4189" t="s">
        <v>5940</v>
      </c>
      <c r="J4189">
        <v>26.5</v>
      </c>
      <c r="K4189" s="4">
        <v>-0.15390000000000001</v>
      </c>
      <c r="L4189">
        <v>4.5</v>
      </c>
      <c r="M4189">
        <v>48</v>
      </c>
      <c r="O4189" t="s">
        <v>25</v>
      </c>
      <c r="P4189" t="s">
        <v>8677</v>
      </c>
      <c r="Q4189" t="s">
        <v>8678</v>
      </c>
    </row>
    <row r="4190" spans="1:17" ht="15.5" x14ac:dyDescent="0.35">
      <c r="A4190"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4190" s="3" t="str">
        <f>HYPERLINK("https://edmondsonsupply.com/products/klein-tools-32307-27-in-1-multi-bit-tamperproof-screwdriver", "https://edmondsonsupply.com/products/klein-tools-32307-27-in-1-multi-bit-tamperproof-screwdriver")</f>
        <v>https://edmondsonsupply.com/products/klein-tools-32307-27-in-1-multi-bit-tamperproof-screwdriver</v>
      </c>
      <c r="C4190" t="s">
        <v>6847</v>
      </c>
      <c r="D4190" t="s">
        <v>7777</v>
      </c>
      <c r="E4190" s="3" t="str">
        <f>HYPERLINK("https://www.amazon.com/Klein-Tools-32500HD-Multi-Bit-Screwdriver/dp/B0C9V6NYZ4/ref=sr_1_10?keywords=Klein+Tools+32307+27-in-1+Multi-Bit+Tamperproof+Screwdriver&amp;qid=1695174232&amp;sr=8-10", "https://www.amazon.com/Klein-Tools-32500HD-Multi-Bit-Screwdriver/dp/B0C9V6NYZ4/ref=sr_1_10?keywords=Klein+Tools+32307+27-in-1+Multi-Bit+Tamperproof+Screwdriver&amp;qid=1695174232&amp;sr=8-10")</f>
        <v>https://www.amazon.com/Klein-Tools-32500HD-Multi-Bit-Screwdriver/dp/B0C9V6NYZ4/ref=sr_1_10?keywords=Klein+Tools+32307+27-in-1+Multi-Bit+Tamperproof+Screwdriver&amp;qid=1695174232&amp;sr=8-10</v>
      </c>
      <c r="F4190" t="s">
        <v>7778</v>
      </c>
      <c r="G4190" t="e">
        <f ca="1">_xludf.IMAGE("https://edmondsonsupply.com/cdn/shop/products/32307.jpg?v=1647347524")</f>
        <v>#NAME?</v>
      </c>
      <c r="H4190" t="e">
        <f ca="1">_xludf.IMAGE("https://m.media-amazon.com/images/I/41OcyKmA3fL._AC_UL320_.jpg")</f>
        <v>#NAME?</v>
      </c>
      <c r="I4190" t="s">
        <v>911</v>
      </c>
      <c r="J4190">
        <v>21.97</v>
      </c>
      <c r="K4190" s="4">
        <v>-0.154</v>
      </c>
      <c r="L4190">
        <v>4.7</v>
      </c>
      <c r="M4190">
        <v>52</v>
      </c>
      <c r="O4190" t="s">
        <v>25</v>
      </c>
      <c r="P4190" t="s">
        <v>6850</v>
      </c>
      <c r="Q4190" t="s">
        <v>6851</v>
      </c>
    </row>
    <row r="4191" spans="1:17" ht="15.5" x14ac:dyDescent="0.35">
      <c r="A4191"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4191" s="3" t="str">
        <f>HYPERLINK("https://edmondsonsupply.com/products/klein-tools-32307-27-in-1-multi-bit-tamperproof-screwdriver", "https://edmondsonsupply.com/products/klein-tools-32307-27-in-1-multi-bit-tamperproof-screwdriver")</f>
        <v>https://edmondsonsupply.com/products/klein-tools-32307-27-in-1-multi-bit-tamperproof-screwdriver</v>
      </c>
      <c r="C4191" t="s">
        <v>6847</v>
      </c>
      <c r="D4191" t="s">
        <v>8102</v>
      </c>
      <c r="E4191" s="3" t="str">
        <f>HYPERLINK("https://www.amazon.com/Klein-Tools-32305-Ratcheting-Screwdriver/dp/B08KFMHQCP/ref=sr_1_5?keywords=Klein+Tools+32307+27-in-1+Multi-Bit+Tamperproof+Screwdriver&amp;qid=1695174232&amp;sr=8-5", "https://www.amazon.com/Klein-Tools-32305-Ratcheting-Screwdriver/dp/B08KFMHQCP/ref=sr_1_5?keywords=Klein+Tools+32307+27-in-1+Multi-Bit+Tamperproof+Screwdriver&amp;qid=1695174232&amp;sr=8-5")</f>
        <v>https://www.amazon.com/Klein-Tools-32305-Ratcheting-Screwdriver/dp/B08KFMHQCP/ref=sr_1_5?keywords=Klein+Tools+32307+27-in-1+Multi-Bit+Tamperproof+Screwdriver&amp;qid=1695174232&amp;sr=8-5</v>
      </c>
      <c r="F4191" t="s">
        <v>8103</v>
      </c>
      <c r="G4191" t="e">
        <f ca="1">_xludf.IMAGE("https://edmondsonsupply.com/cdn/shop/products/32307.jpg?v=1647347524")</f>
        <v>#NAME?</v>
      </c>
      <c r="H4191" t="e">
        <f ca="1">_xludf.IMAGE("https://m.media-amazon.com/images/I/51jA6YSPgmL._AC_UL320_.jpg")</f>
        <v>#NAME?</v>
      </c>
      <c r="I4191" t="s">
        <v>911</v>
      </c>
      <c r="J4191">
        <v>21.97</v>
      </c>
      <c r="K4191" s="4">
        <v>-0.154</v>
      </c>
      <c r="L4191">
        <v>4.7</v>
      </c>
      <c r="M4191">
        <v>6069</v>
      </c>
      <c r="O4191" t="s">
        <v>25</v>
      </c>
      <c r="P4191" t="s">
        <v>6850</v>
      </c>
      <c r="Q4191" t="s">
        <v>6851</v>
      </c>
    </row>
    <row r="4192" spans="1:17" ht="15.5" x14ac:dyDescent="0.35">
      <c r="A4192" s="3" t="str">
        <f>HYPERLINK("https://edmondsonsupply.com/collections/electricians-tools/products/klein-tools-55580-tradesman-tumbler", "https://edmondsonsupply.com/collections/electricians-tools/products/klein-tools-55580-tradesman-tumbler")</f>
        <v>https://edmondsonsupply.com/collections/electricians-tools/products/klein-tools-55580-tradesman-tumbler</v>
      </c>
      <c r="B4192" s="3" t="str">
        <f>HYPERLINK("https://edmondsonsupply.com/products/klein-tools-55580-tradesman-tumbler", "https://edmondsonsupply.com/products/klein-tools-55580-tradesman-tumbler")</f>
        <v>https://edmondsonsupply.com/products/klein-tools-55580-tradesman-tumbler</v>
      </c>
      <c r="C4192" t="s">
        <v>1947</v>
      </c>
      <c r="D4192" t="s">
        <v>5200</v>
      </c>
      <c r="E4192" s="3" t="str">
        <f>HYPERLINK("https://www.amazon.com/Klein-Tools-KLEBE-55580-Slip-resistant/dp/B08DDWFFPW/ref=sr_1_1?keywords=Klein+Tools+55580+Tradesman+Tumbler&amp;qid=1695173884&amp;sr=8-1", "https://www.amazon.com/Klein-Tools-KLEBE-55580-Slip-resistant/dp/B08DDWFFPW/ref=sr_1_1?keywords=Klein+Tools+55580+Tradesman+Tumbler&amp;qid=1695173884&amp;sr=8-1")</f>
        <v>https://www.amazon.com/Klein-Tools-KLEBE-55580-Slip-resistant/dp/B08DDWFFPW/ref=sr_1_1?keywords=Klein+Tools+55580+Tradesman+Tumbler&amp;qid=1695173884&amp;sr=8-1</v>
      </c>
      <c r="F4192" t="s">
        <v>5201</v>
      </c>
      <c r="G4192" t="e">
        <f ca="1">_xludf.IMAGE("https://edmondsonsupply.com/cdn/shop/products/55580.jpg?v=1633030612")</f>
        <v>#NAME?</v>
      </c>
      <c r="H4192" t="e">
        <f ca="1">_xludf.IMAGE("https://m.media-amazon.com/images/I/51N6slkt0eL._AC_UL320_.jpg")</f>
        <v>#NAME?</v>
      </c>
      <c r="I4192" t="s">
        <v>824</v>
      </c>
      <c r="J4192">
        <v>25.33</v>
      </c>
      <c r="K4192" s="4">
        <v>-0.15479999999999999</v>
      </c>
      <c r="L4192">
        <v>4.8</v>
      </c>
      <c r="M4192">
        <v>2155</v>
      </c>
      <c r="O4192" t="s">
        <v>25</v>
      </c>
      <c r="P4192" t="s">
        <v>562</v>
      </c>
      <c r="Q4192" t="s">
        <v>1950</v>
      </c>
    </row>
    <row r="4193" spans="1:17" ht="15.5" x14ac:dyDescent="0.35">
      <c r="A4193"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4193" s="3" t="str">
        <f>HYPERLINK("https://edmondsonsupply.com/products/amprobe-thwd-3-relative-humidity-temperature-meter", "https://edmondsonsupply.com/products/amprobe-thwd-3-relative-humidity-temperature-meter")</f>
        <v>https://edmondsonsupply.com/products/amprobe-thwd-3-relative-humidity-temperature-meter</v>
      </c>
      <c r="C4193" t="s">
        <v>7258</v>
      </c>
      <c r="D4193" t="s">
        <v>8679</v>
      </c>
      <c r="E4193" s="3" t="str">
        <f>HYPERLINK("https://www.amazon.com/Amprobe-TH-3-Relative-Humidity-Temperature/dp/B0029XMTJ6/ref=sr_1_2?keywords=Amprobe+THWD-3+Relative+Humidity+Temperature+Meter&amp;qid=1695174239&amp;sr=8-2", "https://www.amazon.com/Amprobe-TH-3-Relative-Humidity-Temperature/dp/B0029XMTJ6/ref=sr_1_2?keywords=Amprobe+THWD-3+Relative+Humidity+Temperature+Meter&amp;qid=1695174239&amp;sr=8-2")</f>
        <v>https://www.amazon.com/Amprobe-TH-3-Relative-Humidity-Temperature/dp/B0029XMTJ6/ref=sr_1_2?keywords=Amprobe+THWD-3+Relative+Humidity+Temperature+Meter&amp;qid=1695174239&amp;sr=8-2</v>
      </c>
      <c r="F4193" t="s">
        <v>8680</v>
      </c>
      <c r="G4193" t="e">
        <f ca="1">_xludf.IMAGE("https://edmondsonsupply.com/cdn/shop/products/THWD-3.png?v=1633526329")</f>
        <v>#NAME?</v>
      </c>
      <c r="H4193" t="e">
        <f ca="1">_xludf.IMAGE("https://m.media-amazon.com/images/I/51Bf-3J0HbL._AC_UY218_.jpg")</f>
        <v>#NAME?</v>
      </c>
      <c r="I4193" t="s">
        <v>7261</v>
      </c>
      <c r="J4193">
        <v>149</v>
      </c>
      <c r="K4193" s="4">
        <v>-0.15509999999999999</v>
      </c>
      <c r="L4193">
        <v>4.2</v>
      </c>
      <c r="M4193">
        <v>28</v>
      </c>
      <c r="O4193" t="s">
        <v>25</v>
      </c>
      <c r="P4193" t="s">
        <v>4452</v>
      </c>
      <c r="Q4193" t="s">
        <v>7262</v>
      </c>
    </row>
    <row r="4194" spans="1:17" ht="15.5" x14ac:dyDescent="0.35">
      <c r="A4194"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194"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194" t="s">
        <v>2903</v>
      </c>
      <c r="D4194" t="s">
        <v>5202</v>
      </c>
      <c r="E4194" s="3" t="str">
        <f>HYPERLINK("https://www.amazon.com/Diablo-SDS-Max-4-Cutter-Carbide-Hammer/dp/B089LN5QN7/ref=sr_1_1?keywords=Diablo+Tools+DMAMX1300+1-1%2F4+in.+x+16+in.+x+21+in.+Rebar+Demon%E2%84%A2+SDS-Max+4-Cutter+Full+Carbide+Head+Hammer+Drill+Bit&amp;qid=1695173871&amp;sr=8-1", "https://www.amazon.com/Diablo-SDS-Max-4-Cutter-Carbide-Hammer/dp/B089LN5QN7/ref=sr_1_1?keywords=Diablo+Tools+DMAMX1300+1-1%2F4+in.+x+16+in.+x+21+in.+Rebar+Demon%E2%84%A2+SDS-Max+4-Cutter+Full+Carbide+Head+Hammer+Drill+Bit&amp;qid=1695173871&amp;sr=8-1")</f>
        <v>https://www.amazon.com/Diablo-SDS-Max-4-Cutter-Carbide-Hammer/dp/B089LN5QN7/ref=sr_1_1?keywords=Diablo+Tools+DMAMX1300+1-1%2F4+in.+x+16+in.+x+21+in.+Rebar+Demon%E2%84%A2+SDS-Max+4-Cutter+Full+Carbide+Head+Hammer+Drill+Bit&amp;qid=1695173871&amp;sr=8-1</v>
      </c>
      <c r="F4194" t="s">
        <v>5203</v>
      </c>
      <c r="G4194" t="e">
        <f ca="1">_xludf.IMAGE("https://edmondsonsupply.com/cdn/shop/files/immoyh7jjmbau4fzhuq6_7dd7fd73-2865-4c12-9443-da45b48dbd51.webp?v=1685465465")</f>
        <v>#NAME?</v>
      </c>
      <c r="H4194" t="e">
        <f ca="1">_xludf.IMAGE("https://m.media-amazon.com/images/I/6182PTqKZGL._AC_UL320_.jpg")</f>
        <v>#NAME?</v>
      </c>
      <c r="I4194" t="s">
        <v>2906</v>
      </c>
      <c r="J4194">
        <v>55.99</v>
      </c>
      <c r="K4194" s="4">
        <v>-0.15679999999999999</v>
      </c>
      <c r="L4194">
        <v>3.6</v>
      </c>
      <c r="M4194">
        <v>4</v>
      </c>
      <c r="O4194" t="s">
        <v>171</v>
      </c>
      <c r="P4194" t="s">
        <v>2907</v>
      </c>
      <c r="Q4194" t="s">
        <v>2908</v>
      </c>
    </row>
    <row r="4195" spans="1:17" ht="15.5" x14ac:dyDescent="0.35">
      <c r="A4195" s="3" t="str">
        <f>HYPERLINK("https://edmondsonsupply.com/collections/electricians-tools/products/diablo-tools-dou5-5-pc-universal-fit-general-purpose-oscillating-blade-set", "https://edmondsonsupply.com/collections/electricians-tools/products/diablo-tools-dou5-5-pc-universal-fit-general-purpose-oscillating-blade-set")</f>
        <v>https://edmondsonsupply.com/collections/electricians-tools/products/diablo-tools-dou5-5-pc-universal-fit-general-purpose-oscillating-blade-set</v>
      </c>
      <c r="B4195" s="3" t="str">
        <f>HYPERLINK("https://edmondsonsupply.com/products/diablo-tools-dou5-5-pc-universal-fit-general-purpose-oscillating-blade-set", "https://edmondsonsupply.com/products/diablo-tools-dou5-5-pc-universal-fit-general-purpose-oscillating-blade-set")</f>
        <v>https://edmondsonsupply.com/products/diablo-tools-dou5-5-pc-universal-fit-general-purpose-oscillating-blade-set</v>
      </c>
      <c r="C4195" t="s">
        <v>8681</v>
      </c>
      <c r="D4195" t="s">
        <v>8682</v>
      </c>
      <c r="E4195" s="3" t="str">
        <f>HYPERLINK("https://www.amazon.com/Diablo-Universal-General-Purpose-Oscillating/dp/B089LGBDQZ/ref=sr_1_2?keywords=Diablo+Tools+DOU5S+5+pc+Universal+Fit+General+Purpose+Oscillating+Blade+Set&amp;qid=1695174254&amp;sr=8-2", "https://www.amazon.com/Diablo-Universal-General-Purpose-Oscillating/dp/B089LGBDQZ/ref=sr_1_2?keywords=Diablo+Tools+DOU5S+5+pc+Universal+Fit+General+Purpose+Oscillating+Blade+Set&amp;qid=1695174254&amp;sr=8-2")</f>
        <v>https://www.amazon.com/Diablo-Universal-General-Purpose-Oscillating/dp/B089LGBDQZ/ref=sr_1_2?keywords=Diablo+Tools+DOU5S+5+pc+Universal+Fit+General+Purpose+Oscillating+Blade+Set&amp;qid=1695174254&amp;sr=8-2</v>
      </c>
      <c r="F4195" t="s">
        <v>8683</v>
      </c>
      <c r="G4195" t="e">
        <f ca="1">_xludf.IMAGE("https://edmondsonsupply.com/cdn/shop/products/DOU5S_Main-Image.png?v=1633031102")</f>
        <v>#NAME?</v>
      </c>
      <c r="H4195" t="e">
        <f ca="1">_xludf.IMAGE("https://m.media-amazon.com/images/I/71lYBgp1z8L._AC_UL320_.jpg")</f>
        <v>#NAME?</v>
      </c>
      <c r="I4195" t="s">
        <v>380</v>
      </c>
      <c r="J4195">
        <v>42</v>
      </c>
      <c r="K4195" s="4">
        <v>-0.1595</v>
      </c>
      <c r="L4195">
        <v>4.7</v>
      </c>
      <c r="M4195">
        <v>538</v>
      </c>
      <c r="O4195" t="s">
        <v>25</v>
      </c>
      <c r="P4195" t="s">
        <v>8684</v>
      </c>
      <c r="Q4195" t="s">
        <v>8685</v>
      </c>
    </row>
    <row r="4196" spans="1:17" ht="15.5" x14ac:dyDescent="0.35">
      <c r="A4196"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4196"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4196" t="s">
        <v>7545</v>
      </c>
      <c r="D4196" t="s">
        <v>8686</v>
      </c>
      <c r="E4196" s="3" t="str">
        <f>HYPERLINK("https://www.amazon.com/Klein-Tools-80124-Electrical-Thermocouple/dp/B0BDMTGCD3/ref=sr_1_8?keywords=Klein+Tools+CL320KIT+HVAC+Digital+Clamp+Meter+Electrical+Test+Kit&amp;qid=1695174178&amp;sr=8-8", "https://www.amazon.com/Klein-Tools-80124-Electrical-Thermocouple/dp/B0BDMTGCD3/ref=sr_1_8?keywords=Klein+Tools+CL320KIT+HVAC+Digital+Clamp+Meter+Electrical+Test+Kit&amp;qid=1695174178&amp;sr=8-8")</f>
        <v>https://www.amazon.com/Klein-Tools-80124-Electrical-Thermocouple/dp/B0BDMTGCD3/ref=sr_1_8?keywords=Klein+Tools+CL320KIT+HVAC+Digital+Clamp+Meter+Electrical+Test+Kit&amp;qid=1695174178&amp;sr=8-8</v>
      </c>
      <c r="F4196" t="s">
        <v>8687</v>
      </c>
      <c r="G4196" t="e">
        <f ca="1">_xludf.IMAGE("https://edmondsonsupply.com/cdn/shop/products/cl320kit_photo.jpg?v=1660753251")</f>
        <v>#NAME?</v>
      </c>
      <c r="H4196" t="e">
        <f ca="1">_xludf.IMAGE("https://m.media-amazon.com/images/I/61kj1vi1GeL._AC_UY218_.jpg")</f>
        <v>#NAME?</v>
      </c>
      <c r="I4196" t="s">
        <v>7548</v>
      </c>
      <c r="J4196">
        <v>99.99</v>
      </c>
      <c r="K4196" s="4">
        <v>-0.15970000000000001</v>
      </c>
      <c r="L4196">
        <v>4.7</v>
      </c>
      <c r="M4196">
        <v>15</v>
      </c>
      <c r="O4196" t="s">
        <v>25</v>
      </c>
      <c r="P4196" t="s">
        <v>7549</v>
      </c>
      <c r="Q4196" t="s">
        <v>7550</v>
      </c>
    </row>
    <row r="4197" spans="1:17" ht="15.5" x14ac:dyDescent="0.35">
      <c r="A4197"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4197" s="3" t="str">
        <f>HYPERLINK("https://edmondsonsupply.com/products/milwaukee-49-90-1900-hepa-filter", "https://edmondsonsupply.com/products/milwaukee-49-90-1900-hepa-filter")</f>
        <v>https://edmondsonsupply.com/products/milwaukee-49-90-1900-hepa-filter</v>
      </c>
      <c r="C4197" t="s">
        <v>5831</v>
      </c>
      <c r="D4197" t="s">
        <v>5928</v>
      </c>
      <c r="E4197" s="3" t="str">
        <f>HYPERLINK("https://www.amazon.com/Cabiclean-Replacement-Compatible-Milwaukee-49-90-1900/dp/B081V5362Z/ref=sr_1_1?keywords=Milwaukee+49-90-1900+HEPA+Filter&amp;qid=1695174010&amp;sr=8-1", "https://www.amazon.com/Cabiclean-Replacement-Compatible-Milwaukee-49-90-1900/dp/B081V5362Z/ref=sr_1_1?keywords=Milwaukee+49-90-1900+HEPA+Filter&amp;qid=1695174010&amp;sr=8-1")</f>
        <v>https://www.amazon.com/Cabiclean-Replacement-Compatible-Milwaukee-49-90-1900/dp/B081V5362Z/ref=sr_1_1?keywords=Milwaukee+49-90-1900+HEPA+Filter&amp;qid=1695174010&amp;sr=8-1</v>
      </c>
      <c r="F4197" t="s">
        <v>5929</v>
      </c>
      <c r="G4197" t="e">
        <f ca="1">_xludf.IMAGE("https://edmondsonsupply.com/cdn/shop/files/49-90-1900_1.png?v=1686234774")</f>
        <v>#NAME?</v>
      </c>
      <c r="H4197" t="e">
        <f ca="1">_xludf.IMAGE("https://m.media-amazon.com/images/I/617tGPzavaL._AC_UL320_.jpg")</f>
        <v>#NAME?</v>
      </c>
      <c r="I4197" t="s">
        <v>2170</v>
      </c>
      <c r="J4197">
        <v>20.96</v>
      </c>
      <c r="K4197" s="4">
        <v>-0.16089999999999999</v>
      </c>
      <c r="L4197">
        <v>4.7</v>
      </c>
      <c r="M4197">
        <v>724</v>
      </c>
      <c r="O4197" t="s">
        <v>25</v>
      </c>
      <c r="P4197" t="s">
        <v>2470</v>
      </c>
      <c r="Q4197" t="s">
        <v>5834</v>
      </c>
    </row>
    <row r="4198" spans="1:17" ht="15.5" x14ac:dyDescent="0.35">
      <c r="A4198" s="3" t="str">
        <f>HYPERLINK("https://edmondsonsupply.com/collections/electricians-tools/products/klein-tools-d213-9nett-pliers-high-leverage-side-cutters-tether-ring", "https://edmondsonsupply.com/collections/electricians-tools/products/klein-tools-d213-9nett-pliers-high-leverage-side-cutters-tether-ring")</f>
        <v>https://edmondsonsupply.com/collections/electricians-tools/products/klein-tools-d213-9nett-pliers-high-leverage-side-cutters-tether-ring</v>
      </c>
      <c r="B4198" s="3" t="str">
        <f>HYPERLINK("https://edmondsonsupply.com/products/klein-tools-d213-9nett-pliers-high-leverage-side-cutters-tether-ring", "https://edmondsonsupply.com/products/klein-tools-d213-9nett-pliers-high-leverage-side-cutters-tether-ring")</f>
        <v>https://edmondsonsupply.com/products/klein-tools-d213-9nett-pliers-high-leverage-side-cutters-tether-ring</v>
      </c>
      <c r="C4198" t="s">
        <v>8289</v>
      </c>
      <c r="D4198" t="s">
        <v>8688</v>
      </c>
      <c r="E4198" s="3" t="str">
        <f>HYPERLINK("https://www.amazon.com/Klein-Tools-D213-8NE-Linemans-Pliers/dp/B000UQ5QW6/ref=sr_1_6?keywords=Klein+Tools+D213-9NETT+Pliers%2C+High-Leverage+Side+Cutters%2C+Tether+Ring&amp;qid=1695174214&amp;sr=8-6", "https://www.amazon.com/Klein-Tools-D213-8NE-Linemans-Pliers/dp/B000UQ5QW6/ref=sr_1_6?keywords=Klein+Tools+D213-9NETT+Pliers%2C+High-Leverage+Side+Cutters%2C+Tether+Ring&amp;qid=1695174214&amp;sr=8-6")</f>
        <v>https://www.amazon.com/Klein-Tools-D213-8NE-Linemans-Pliers/dp/B000UQ5QW6/ref=sr_1_6?keywords=Klein+Tools+D213-9NETT+Pliers%2C+High-Leverage+Side+Cutters%2C+Tether+Ring&amp;qid=1695174214&amp;sr=8-6</v>
      </c>
      <c r="F4198" t="s">
        <v>8689</v>
      </c>
      <c r="G4198" t="e">
        <f ca="1">_xludf.IMAGE("https://edmondsonsupply.com/cdn/shop/products/d2139nett.jpg?v=1647394939")</f>
        <v>#NAME?</v>
      </c>
      <c r="H4198" t="e">
        <f ca="1">_xludf.IMAGE("https://m.media-amazon.com/images/I/51QNEEU4fsL._AC_UL320_.jpg")</f>
        <v>#NAME?</v>
      </c>
      <c r="I4198" t="s">
        <v>198</v>
      </c>
      <c r="J4198">
        <v>33.49</v>
      </c>
      <c r="K4198" s="4">
        <v>-0.16250000000000001</v>
      </c>
      <c r="L4198">
        <v>4.5999999999999996</v>
      </c>
      <c r="M4198">
        <v>417</v>
      </c>
      <c r="O4198" t="s">
        <v>25</v>
      </c>
      <c r="P4198" t="s">
        <v>8292</v>
      </c>
      <c r="Q4198" t="s">
        <v>8293</v>
      </c>
    </row>
    <row r="4199" spans="1:17" ht="15.5" x14ac:dyDescent="0.35">
      <c r="A4199"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4199" s="3" t="str">
        <f>HYPERLINK("https://edmondsonsupply.com/products/fluke-325-true-rms-clamp-meter", "https://edmondsonsupply.com/products/fluke-325-true-rms-clamp-meter")</f>
        <v>https://edmondsonsupply.com/products/fluke-325-true-rms-clamp-meter</v>
      </c>
      <c r="C4199" t="s">
        <v>7585</v>
      </c>
      <c r="D4199" t="s">
        <v>8690</v>
      </c>
      <c r="E4199" s="3" t="str">
        <f>HYPERLINK("https://www.amazon.com/Fluke-Clamp-Multimeter-AC-DC-TRMS/dp/B0091EXB2A/ref=sr_1_1?keywords=Fluke+325+True+RMS+Clamp+Meter&amp;qid=1695174241&amp;sr=8-1", "https://www.amazon.com/Fluke-Clamp-Multimeter-AC-DC-TRMS/dp/B0091EXB2A/ref=sr_1_1?keywords=Fluke+325+True+RMS+Clamp+Meter&amp;qid=1695174241&amp;sr=8-1")</f>
        <v>https://www.amazon.com/Fluke-Clamp-Multimeter-AC-DC-TRMS/dp/B0091EXB2A/ref=sr_1_1?keywords=Fluke+325+True+RMS+Clamp+Meter&amp;qid=1695174241&amp;sr=8-1</v>
      </c>
      <c r="F4199" t="s">
        <v>8691</v>
      </c>
      <c r="G4199" t="e">
        <f ca="1">_xludf.IMAGE("https://edmondsonsupply.com/cdn/shop/products/Fluke_325_clamp_meter_1280x873px_E_NR-14655.jpg?v=1688679209")</f>
        <v>#NAME?</v>
      </c>
      <c r="H4199" t="e">
        <f ca="1">_xludf.IMAGE("https://m.media-amazon.com/images/I/51VwXbOhWjL._AC_UY218_.jpg")</f>
        <v>#NAME?</v>
      </c>
      <c r="I4199" t="s">
        <v>7586</v>
      </c>
      <c r="J4199">
        <v>312.45999999999998</v>
      </c>
      <c r="K4199" s="4">
        <v>-0.16339999999999999</v>
      </c>
      <c r="L4199">
        <v>4.7</v>
      </c>
      <c r="M4199">
        <v>931</v>
      </c>
      <c r="O4199" t="s">
        <v>25</v>
      </c>
      <c r="P4199" t="s">
        <v>4069</v>
      </c>
      <c r="Q4199" t="s">
        <v>7587</v>
      </c>
    </row>
    <row r="4200" spans="1:17" ht="15.5" x14ac:dyDescent="0.35">
      <c r="A4200"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4200"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4200" t="s">
        <v>7423</v>
      </c>
      <c r="D4200" t="s">
        <v>7864</v>
      </c>
      <c r="E4200" s="3" t="str">
        <f>HYPERLINK("https://www.amazon.com/Klein-Tools-6844INS-Screwdriver-Cushion-Grip/dp/B0BF7L6BZ6/ref=sr_1_3?keywords=Klein+Tools+6846INS+Insulated+Screwdriver%2C+%232+Square+Tip%2C+6-Inch+Round+Shank&amp;qid=1695174148&amp;sr=8-3", "https://www.amazon.com/Klein-Tools-6844INS-Screwdriver-Cushion-Grip/dp/B0BF7L6BZ6/ref=sr_1_3?keywords=Klein+Tools+6846INS+Insulated+Screwdriver%2C+%232+Square+Tip%2C+6-Inch+Round+Shank&amp;qid=1695174148&amp;sr=8-3")</f>
        <v>https://www.amazon.com/Klein-Tools-6844INS-Screwdriver-Cushion-Grip/dp/B0BF7L6BZ6/ref=sr_1_3?keywords=Klein+Tools+6846INS+Insulated+Screwdriver%2C+%232+Square+Tip%2C+6-Inch+Round+Shank&amp;qid=1695174148&amp;sr=8-3</v>
      </c>
      <c r="F4200" t="s">
        <v>7865</v>
      </c>
      <c r="G4200" t="e">
        <f ca="1">_xludf.IMAGE("https://edmondsonsupply.com/cdn/shop/products/6846ins.jpg?v=1664817571")</f>
        <v>#NAME?</v>
      </c>
      <c r="H4200" t="e">
        <f ca="1">_xludf.IMAGE("https://m.media-amazon.com/images/I/41RKewAXjvL._AC_UL320_.jpg")</f>
        <v>#NAME?</v>
      </c>
      <c r="I4200" t="s">
        <v>6073</v>
      </c>
      <c r="J4200">
        <v>9.99</v>
      </c>
      <c r="K4200" s="4">
        <v>-0.16539999999999999</v>
      </c>
      <c r="L4200">
        <v>4.9000000000000004</v>
      </c>
      <c r="M4200">
        <v>205</v>
      </c>
      <c r="O4200" t="s">
        <v>25</v>
      </c>
      <c r="P4200" t="s">
        <v>6728</v>
      </c>
      <c r="Q4200" t="s">
        <v>7424</v>
      </c>
    </row>
    <row r="4201" spans="1:17" ht="15.5" x14ac:dyDescent="0.35">
      <c r="A4201"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4201"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4201" t="s">
        <v>6725</v>
      </c>
      <c r="D4201" t="s">
        <v>7866</v>
      </c>
      <c r="E4201" s="3" t="str">
        <f>HYPERLINK("https://www.amazon.com/Klein-Tools-6824INS-Screwdriver-Cushion-Grip/dp/B0BF78XBPX/ref=sr_1_3?keywords=Klein+Tools+6826INS+Insulated+Screwdriver%2C+1%2F4-Inch+Cabinet+Tip%2C+6-Inch+Shank&amp;qid=1695174154&amp;sr=8-3", "https://www.amazon.com/Klein-Tools-6824INS-Screwdriver-Cushion-Grip/dp/B0BF78XBPX/ref=sr_1_3?keywords=Klein+Tools+6826INS+Insulated+Screwdriver%2C+1%2F4-Inch+Cabinet+Tip%2C+6-Inch+Shank&amp;qid=1695174154&amp;sr=8-3")</f>
        <v>https://www.amazon.com/Klein-Tools-6824INS-Screwdriver-Cushion-Grip/dp/B0BF78XBPX/ref=sr_1_3?keywords=Klein+Tools+6826INS+Insulated+Screwdriver%2C+1%2F4-Inch+Cabinet+Tip%2C+6-Inch+Shank&amp;qid=1695174154&amp;sr=8-3</v>
      </c>
      <c r="F4201" t="s">
        <v>7867</v>
      </c>
      <c r="G4201" t="e">
        <f ca="1">_xludf.IMAGE("https://edmondsonsupply.com/cdn/shop/products/6826ins.jpg?v=1664814069")</f>
        <v>#NAME?</v>
      </c>
      <c r="H4201" t="e">
        <f ca="1">_xludf.IMAGE("https://m.media-amazon.com/images/I/410Gu3snLdL._AC_UL320_.jpg")</f>
        <v>#NAME?</v>
      </c>
      <c r="I4201" t="s">
        <v>6073</v>
      </c>
      <c r="J4201">
        <v>9.99</v>
      </c>
      <c r="K4201" s="4">
        <v>-0.16539999999999999</v>
      </c>
      <c r="L4201">
        <v>4.9000000000000004</v>
      </c>
      <c r="M4201">
        <v>205</v>
      </c>
      <c r="O4201" t="s">
        <v>25</v>
      </c>
      <c r="P4201" t="s">
        <v>6728</v>
      </c>
      <c r="Q4201" t="s">
        <v>6729</v>
      </c>
    </row>
    <row r="4202" spans="1:17" ht="15.5" x14ac:dyDescent="0.35">
      <c r="A4202" s="3" t="str">
        <f>HYPERLINK("https://edmondsonsupply.com/collections/electricians-tools/products/klein-tools-66050e-2-in-1-metric-impact-socket-set-12-point-5-piece", "https://edmondsonsupply.com/collections/electricians-tools/products/klein-tools-66050e-2-in-1-metric-impact-socket-set-12-point-5-piece")</f>
        <v>https://edmondsonsupply.com/collections/electricians-tools/products/klein-tools-66050e-2-in-1-metric-impact-socket-set-12-point-5-piece</v>
      </c>
      <c r="B4202" s="3" t="str">
        <f>HYPERLINK("https://edmondsonsupply.com/products/klein-tools-66050e-2-in-1-metric-impact-socket-set-12-point-5-piece", "https://edmondsonsupply.com/products/klein-tools-66050e-2-in-1-metric-impact-socket-set-12-point-5-piece")</f>
        <v>https://edmondsonsupply.com/products/klein-tools-66050e-2-in-1-metric-impact-socket-set-12-point-5-piece</v>
      </c>
      <c r="C4202" t="s">
        <v>7273</v>
      </c>
      <c r="D4202" t="s">
        <v>7974</v>
      </c>
      <c r="E4202" s="3" t="str">
        <f>HYPERLINK("https://www.amazon.com/Klein-Tools-5-Piece-6-Point-Sockets/dp/B08363H71P/ref=sr_1_2?keywords=Klein+Tools+66050E+2-in-1+Metric+Impact+Socket+Set%2C+12-Point%2C+5-Piece&amp;qid=1695174176&amp;sr=8-2", "https://www.amazon.com/Klein-Tools-5-Piece-6-Point-Sockets/dp/B08363H71P/ref=sr_1_2?keywords=Klein+Tools+66050E+2-in-1+Metric+Impact+Socket+Set%2C+12-Point%2C+5-Piece&amp;qid=1695174176&amp;sr=8-2")</f>
        <v>https://www.amazon.com/Klein-Tools-5-Piece-6-Point-Sockets/dp/B08363H71P/ref=sr_1_2?keywords=Klein+Tools+66050E+2-in-1+Metric+Impact+Socket+Set%2C+12-Point%2C+5-Piece&amp;qid=1695174176&amp;sr=8-2</v>
      </c>
      <c r="F4202" t="s">
        <v>7975</v>
      </c>
      <c r="G4202" t="e">
        <f ca="1">_xludf.IMAGE("https://edmondsonsupply.com/cdn/shop/products/66050e.jpg?v=1659120052")</f>
        <v>#NAME?</v>
      </c>
      <c r="H4202" t="e">
        <f ca="1">_xludf.IMAGE("https://m.media-amazon.com/images/I/618QcMhYqSL._AC_UL320_.jpg")</f>
        <v>#NAME?</v>
      </c>
      <c r="I4202" t="s">
        <v>7274</v>
      </c>
      <c r="J4202">
        <v>124.79</v>
      </c>
      <c r="K4202" s="4">
        <v>-0.16550000000000001</v>
      </c>
      <c r="L4202">
        <v>4.8</v>
      </c>
      <c r="M4202">
        <v>1158</v>
      </c>
      <c r="O4202" t="s">
        <v>25</v>
      </c>
      <c r="P4202" t="s">
        <v>7275</v>
      </c>
      <c r="Q4202" t="s">
        <v>7276</v>
      </c>
    </row>
    <row r="4203" spans="1:17" ht="15.5" x14ac:dyDescent="0.35">
      <c r="A4203" s="3" t="str">
        <f>HYPERLINK("https://edmondsonsupply.com/collections/electricians-tools/products/milwaukee-2553-22", "https://edmondsonsupply.com/collections/electricians-tools/products/milwaukee-2553-22")</f>
        <v>https://edmondsonsupply.com/collections/electricians-tools/products/milwaukee-2553-22</v>
      </c>
      <c r="B4203" s="3" t="str">
        <f>HYPERLINK("https://edmondsonsupply.com/products/milwaukee-2553-22", "https://edmondsonsupply.com/products/milwaukee-2553-22")</f>
        <v>https://edmondsonsupply.com/products/milwaukee-2553-22</v>
      </c>
      <c r="C4203" t="s">
        <v>6686</v>
      </c>
      <c r="D4203" t="s">
        <v>8692</v>
      </c>
      <c r="E4203" s="3" t="str">
        <f>HYPERLINK("https://www.amazon.com/Milwaukee-3453-22-Cordless-Lithium-Batteries/dp/B0BLT6PSKS/ref=sr_1_2?keywords=Milwaukee+2553-22+M12+FUEL%E2%84%A2+1%2F4%22+Hex+Impact+Driver+Kit&amp;qid=1695174118&amp;sr=8-2", "https://www.amazon.com/Milwaukee-3453-22-Cordless-Lithium-Batteries/dp/B0BLT6PSKS/ref=sr_1_2?keywords=Milwaukee+2553-22+M12+FUEL%E2%84%A2+1%2F4%22+Hex+Impact+Driver+Kit&amp;qid=1695174118&amp;sr=8-2")</f>
        <v>https://www.amazon.com/Milwaukee-3453-22-Cordless-Lithium-Batteries/dp/B0BLT6PSKS/ref=sr_1_2?keywords=Milwaukee+2553-22+M12+FUEL%E2%84%A2+1%2F4%22+Hex+Impact+Driver+Kit&amp;qid=1695174118&amp;sr=8-2</v>
      </c>
      <c r="F4203" t="s">
        <v>8693</v>
      </c>
      <c r="G4203" t="e">
        <f ca="1">_xludf.IMAGE("https://edmondsonsupply.com/cdn/shop/products/2553-22_Kit.webp?v=1668445129")</f>
        <v>#NAME?</v>
      </c>
      <c r="H4203" t="e">
        <f ca="1">_xludf.IMAGE("https://m.media-amazon.com/images/I/71EfdWfKpQL._AC_UL320_.jpg")</f>
        <v>#NAME?</v>
      </c>
      <c r="I4203" t="s">
        <v>6689</v>
      </c>
      <c r="J4203">
        <v>140.99</v>
      </c>
      <c r="K4203" s="4">
        <v>-0.16569999999999999</v>
      </c>
      <c r="L4203">
        <v>4.7</v>
      </c>
      <c r="M4203">
        <v>51</v>
      </c>
      <c r="O4203" t="s">
        <v>25</v>
      </c>
      <c r="P4203" t="s">
        <v>5012</v>
      </c>
      <c r="Q4203" t="s">
        <v>6690</v>
      </c>
    </row>
    <row r="4204" spans="1:17" ht="15.5" x14ac:dyDescent="0.35">
      <c r="A4204" s="3" t="str">
        <f>HYPERLINK("https://edmondsonsupply.com/collections/electricians-tools/products/klein-tools-ktsb15-step-drill-bit-15-double-fluted-7-8-to-1-3-8-inch", "https://edmondsonsupply.com/collections/electricians-tools/products/klein-tools-ktsb15-step-drill-bit-15-double-fluted-7-8-to-1-3-8-inch")</f>
        <v>https://edmondsonsupply.com/collections/electricians-tools/products/klein-tools-ktsb15-step-drill-bit-15-double-fluted-7-8-to-1-3-8-inch</v>
      </c>
      <c r="B4204" s="3" t="str">
        <f>HYPERLINK("https://edmondsonsupply.com/products/klein-tools-ktsb15-step-drill-bit-15-double-fluted-7-8-to-1-3-8-inch", "https://edmondsonsupply.com/products/klein-tools-ktsb15-step-drill-bit-15-double-fluted-7-8-to-1-3-8-inch")</f>
        <v>https://edmondsonsupply.com/products/klein-tools-ktsb15-step-drill-bit-15-double-fluted-7-8-to-1-3-8-inch</v>
      </c>
      <c r="C4204" t="s">
        <v>8694</v>
      </c>
      <c r="D4204" t="s">
        <v>8695</v>
      </c>
      <c r="E4204" s="3" t="str">
        <f>HYPERLINK("https://www.amazon.com/Klein-Tools-KTSB15-Double-Fluted/dp/B0171X0S0A/ref=sr_1_1?keywords=Klein+Tools+KTSB15+Step+Drill+Bit&amp;qid=1695174298&amp;sr=8-1", "https://www.amazon.com/Klein-Tools-KTSB15-Double-Fluted/dp/B0171X0S0A/ref=sr_1_1?keywords=Klein+Tools+KTSB15+Step+Drill+Bit&amp;qid=1695174298&amp;sr=8-1")</f>
        <v>https://www.amazon.com/Klein-Tools-KTSB15-Double-Fluted/dp/B0171X0S0A/ref=sr_1_1?keywords=Klein+Tools+KTSB15+Step+Drill+Bit&amp;qid=1695174298&amp;sr=8-1</v>
      </c>
      <c r="F4204" t="s">
        <v>8696</v>
      </c>
      <c r="G4204" t="e">
        <f ca="1">_xludf.IMAGE("https://edmondsonsupply.com/cdn/shop/products/ktsb15.jpg?v=1633030886")</f>
        <v>#NAME?</v>
      </c>
      <c r="H4204" t="e">
        <f ca="1">_xludf.IMAGE("https://m.media-amazon.com/images/I/511QhROPNmL._AC_UY218_.jpg")</f>
        <v>#NAME?</v>
      </c>
      <c r="I4204" t="s">
        <v>5197</v>
      </c>
      <c r="J4204">
        <v>49.99</v>
      </c>
      <c r="K4204" s="4">
        <v>-0.16639999999999999</v>
      </c>
      <c r="L4204">
        <v>4.7</v>
      </c>
      <c r="M4204">
        <v>1773</v>
      </c>
      <c r="O4204" t="s">
        <v>25</v>
      </c>
      <c r="P4204" t="s">
        <v>8697</v>
      </c>
      <c r="Q4204" t="s">
        <v>8698</v>
      </c>
    </row>
    <row r="4205" spans="1:17" ht="15.5" x14ac:dyDescent="0.35">
      <c r="A4205" s="3" t="str">
        <f>HYPERLINK("https://edmondsonsupply.com/collections/electricians-tools/products/copy-of-klein-tools-55918-tradesman-pro%E2%84%A2-modular-tool-belt", "https://edmondsonsupply.com/collections/electricians-tools/products/copy-of-klein-tools-55918-tradesman-pro%E2%84%A2-modular-tool-belt")</f>
        <v>https://edmondsonsupply.com/collections/electricians-tools/products/copy-of-klein-tools-55918-tradesman-pro%E2%84%A2-modular-tool-belt</v>
      </c>
      <c r="B4205"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4205" t="s">
        <v>1873</v>
      </c>
      <c r="D4205" t="s">
        <v>5204</v>
      </c>
      <c r="E4205" s="3" t="str">
        <f>HYPERLINK("https://www.amazon.com/Klein-Tools-Maintenance-Adjustable-Electrician/dp/B0BGJ61V5H/ref=sr_1_3?keywords=Klein+Tools+55919+Tradesman+Pro%E2%84%A2+Modular+Tool+Belt+-+L&amp;qid=1695173932&amp;sr=8-3", "https://www.amazon.com/Klein-Tools-Maintenance-Adjustable-Electrician/dp/B0BGJ61V5H/ref=sr_1_3?keywords=Klein+Tools+55919+Tradesman+Pro%E2%84%A2+Modular+Tool+Belt+-+L&amp;qid=1695173932&amp;sr=8-3")</f>
        <v>https://www.amazon.com/Klein-Tools-Maintenance-Adjustable-Electrician/dp/B0BGJ61V5H/ref=sr_1_3?keywords=Klein+Tools+55919+Tradesman+Pro%E2%84%A2+Modular+Tool+Belt+-+L&amp;qid=1695173932&amp;sr=8-3</v>
      </c>
      <c r="F4205" t="s">
        <v>5205</v>
      </c>
      <c r="G4205" t="e">
        <f ca="1">_xludf.IMAGE("https://edmondsonsupply.com/cdn/shop/products/55919_6b1c1646-91d8-4915-b7bf-b52c8c6994c7.jpg?v=1587143413")</f>
        <v>#NAME?</v>
      </c>
      <c r="H4205" t="e">
        <f ca="1">_xludf.IMAGE("https://m.media-amazon.com/images/I/514kIoy1IWL._AC_UL320_.jpg")</f>
        <v>#NAME?</v>
      </c>
      <c r="I4205" t="s">
        <v>261</v>
      </c>
      <c r="J4205">
        <v>30</v>
      </c>
      <c r="K4205" s="4">
        <v>-0.16639999999999999</v>
      </c>
      <c r="L4205">
        <v>4.5999999999999996</v>
      </c>
      <c r="M4205">
        <v>3</v>
      </c>
      <c r="O4205" t="s">
        <v>25</v>
      </c>
      <c r="P4205" t="s">
        <v>1876</v>
      </c>
      <c r="Q4205" t="s">
        <v>1877</v>
      </c>
    </row>
    <row r="4206" spans="1:17" ht="15.5" x14ac:dyDescent="0.35">
      <c r="A4206"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4206"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4206" t="s">
        <v>7296</v>
      </c>
      <c r="D4206" t="s">
        <v>2054</v>
      </c>
      <c r="E4206" s="3" t="str">
        <f>HYPERLINK("https://www.amazon.com/Driver-Metric-3-Inch-7-Piece-Klein/dp/B0009ORXQQ/ref=sr_1_5?keywords=Klein+Tools+631+Nut+Driver+Set%2C+3-Inch+Shafts%2C+Cushion+Grip%2C+7-Piece&amp;qid=1695174239&amp;sr=8-5", "https://www.amazon.com/Driver-Metric-3-Inch-7-Piece-Klein/dp/B0009ORXQQ/ref=sr_1_5?keywords=Klein+Tools+631+Nut+Driver+Set%2C+3-Inch+Shafts%2C+Cushion+Grip%2C+7-Piece&amp;qid=1695174239&amp;sr=8-5")</f>
        <v>https://www.amazon.com/Driver-Metric-3-Inch-7-Piece-Klein/dp/B0009ORXQQ/ref=sr_1_5?keywords=Klein+Tools+631+Nut+Driver+Set%2C+3-Inch+Shafts%2C+Cushion+Grip%2C+7-Piece&amp;qid=1695174239&amp;sr=8-5</v>
      </c>
      <c r="F4206" t="s">
        <v>2055</v>
      </c>
      <c r="G4206" t="e">
        <f ca="1">_xludf.IMAGE("https://edmondsonsupply.com/cdn/shop/products/631.jpg?v=1632441079")</f>
        <v>#NAME?</v>
      </c>
      <c r="H4206" t="e">
        <f ca="1">_xludf.IMAGE("https://m.media-amazon.com/images/I/61CnDJJyViL._AC_UL320_.jpg")</f>
        <v>#NAME?</v>
      </c>
      <c r="I4206" t="s">
        <v>905</v>
      </c>
      <c r="J4206">
        <v>49.99</v>
      </c>
      <c r="K4206" s="4">
        <v>-0.16669999999999999</v>
      </c>
      <c r="L4206">
        <v>4.8</v>
      </c>
      <c r="M4206">
        <v>588</v>
      </c>
      <c r="O4206" t="s">
        <v>25</v>
      </c>
      <c r="P4206" t="s">
        <v>7297</v>
      </c>
      <c r="Q4206" t="s">
        <v>7298</v>
      </c>
    </row>
    <row r="4207" spans="1:17" ht="15.5" x14ac:dyDescent="0.35">
      <c r="A4207"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4207"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4207" t="s">
        <v>8022</v>
      </c>
      <c r="D4207" t="s">
        <v>8381</v>
      </c>
      <c r="E4207" s="3" t="str">
        <f>HYPERLINK("https://www.amazon.com/Klein-Tools-32307-Tamperproof-Screwdriver/dp/B08KFL4QD4/ref=sr_1_3?keywords=Klein+Tools+32510+Magnetic+Screwdriver+with+32+Tamperproof+Bits&amp;qid=1695174211&amp;sr=8-3", "https://www.amazon.com/Klein-Tools-32307-Tamperproof-Screwdriver/dp/B08KFL4QD4/ref=sr_1_3?keywords=Klein+Tools+32510+Magnetic+Screwdriver+with+32+Tamperproof+Bits&amp;qid=1695174211&amp;sr=8-3")</f>
        <v>https://www.amazon.com/Klein-Tools-32307-Tamperproof-Screwdriver/dp/B08KFL4QD4/ref=sr_1_3?keywords=Klein+Tools+32510+Magnetic+Screwdriver+with+32+Tamperproof+Bits&amp;qid=1695174211&amp;sr=8-3</v>
      </c>
      <c r="F4207" t="s">
        <v>8382</v>
      </c>
      <c r="G4207" t="e">
        <f ca="1">_xludf.IMAGE("https://edmondsonsupply.com/cdn/shop/products/32510_alt2.jpg?v=1653267434")</f>
        <v>#NAME?</v>
      </c>
      <c r="H4207" t="e">
        <f ca="1">_xludf.IMAGE("https://m.media-amazon.com/images/I/51VWsu+sN9L._AC_UL320_.jpg")</f>
        <v>#NAME?</v>
      </c>
      <c r="I4207" t="s">
        <v>824</v>
      </c>
      <c r="J4207">
        <v>24.97</v>
      </c>
      <c r="K4207" s="4">
        <v>-0.1668</v>
      </c>
      <c r="L4207">
        <v>4.8</v>
      </c>
      <c r="M4207">
        <v>1628</v>
      </c>
      <c r="O4207" t="s">
        <v>25</v>
      </c>
      <c r="P4207" t="s">
        <v>8025</v>
      </c>
      <c r="Q4207" t="s">
        <v>8026</v>
      </c>
    </row>
    <row r="4208" spans="1:17" ht="15.5" x14ac:dyDescent="0.35">
      <c r="A4208"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4208" s="3" t="str">
        <f>HYPERLINK("https://edmondsonsupply.com/products/klein-tools-630-3-8-3-8-inch-nut-driver-with-3-inch-hollow-shaft", "https://edmondsonsupply.com/products/klein-tools-630-3-8-3-8-inch-nut-driver-with-3-inch-hollow-shaft")</f>
        <v>https://edmondsonsupply.com/products/klein-tools-630-3-8-3-8-inch-nut-driver-with-3-inch-hollow-shaft</v>
      </c>
      <c r="C4208" t="s">
        <v>6150</v>
      </c>
      <c r="D4208" t="s">
        <v>8699</v>
      </c>
      <c r="E4208" s="3" t="str">
        <f>HYPERLINK("https://www.amazon.com/8-Inch-Plastic-Klein-Tools-S12/dp/B00093D5J6/ref=sr_1_3?keywords=Klein+Tools+630-3%2F8+3%2F8-Inch+Nut+Driver+with+3-Inch+Hollow+Shaft&amp;qid=1695174289&amp;sr=8-3", "https://www.amazon.com/8-Inch-Plastic-Klein-Tools-S12/dp/B00093D5J6/ref=sr_1_3?keywords=Klein+Tools+630-3%2F8+3%2F8-Inch+Nut+Driver+with+3-Inch+Hollow+Shaft&amp;qid=1695174289&amp;sr=8-3")</f>
        <v>https://www.amazon.com/8-Inch-Plastic-Klein-Tools-S12/dp/B00093D5J6/ref=sr_1_3?keywords=Klein+Tools+630-3%2F8+3%2F8-Inch+Nut+Driver+with+3-Inch+Hollow+Shaft&amp;qid=1695174289&amp;sr=8-3</v>
      </c>
      <c r="F4208" t="s">
        <v>8700</v>
      </c>
      <c r="G4208" t="e">
        <f ca="1">_xludf.IMAGE("https://edmondsonsupply.com/cdn/shop/products/630-1-2_e23f9fbd-a282-44d7-b743-2cfe0f84edfa.jpg?v=1633030906")</f>
        <v>#NAME?</v>
      </c>
      <c r="H4208" t="e">
        <f ca="1">_xludf.IMAGE("https://m.media-amazon.com/images/I/51rLJLucC-L._AC_UL320_.jpg")</f>
        <v>#NAME?</v>
      </c>
      <c r="I4208" t="s">
        <v>924</v>
      </c>
      <c r="J4208">
        <v>7.49</v>
      </c>
      <c r="K4208" s="4">
        <v>-0.16689999999999999</v>
      </c>
      <c r="L4208">
        <v>4.5</v>
      </c>
      <c r="M4208">
        <v>225</v>
      </c>
      <c r="O4208" t="s">
        <v>25</v>
      </c>
      <c r="P4208" t="s">
        <v>6153</v>
      </c>
      <c r="Q4208" t="s">
        <v>6154</v>
      </c>
    </row>
    <row r="4209" spans="1:17" ht="15.5" x14ac:dyDescent="0.35">
      <c r="A4209"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4209" s="3" t="str">
        <f>HYPERLINK("https://edmondsonsupply.com/products/klein-tools-630-3-8-3-8-inch-nut-driver-with-3-inch-hollow-shaft", "https://edmondsonsupply.com/products/klein-tools-630-3-8-3-8-inch-nut-driver-with-3-inch-hollow-shaft")</f>
        <v>https://edmondsonsupply.com/products/klein-tools-630-3-8-3-8-inch-nut-driver-with-3-inch-hollow-shaft</v>
      </c>
      <c r="C4209" t="s">
        <v>6150</v>
      </c>
      <c r="D4209" t="s">
        <v>8701</v>
      </c>
      <c r="E4209" s="3" t="str">
        <f>HYPERLINK("https://www.amazon.com/8-Inch-Comfordome-Klein-Tools-S126/dp/B000936PDY/ref=sr_1_4?keywords=Klein+Tools+630-3%2F8+3%2F8-Inch+Nut+Driver+with+3-Inch+Hollow+Shaft&amp;qid=1695174289&amp;sr=8-4", "https://www.amazon.com/8-Inch-Comfordome-Klein-Tools-S126/dp/B000936PDY/ref=sr_1_4?keywords=Klein+Tools+630-3%2F8+3%2F8-Inch+Nut+Driver+with+3-Inch+Hollow+Shaft&amp;qid=1695174289&amp;sr=8-4")</f>
        <v>https://www.amazon.com/8-Inch-Comfordome-Klein-Tools-S126/dp/B000936PDY/ref=sr_1_4?keywords=Klein+Tools+630-3%2F8+3%2F8-Inch+Nut+Driver+with+3-Inch+Hollow+Shaft&amp;qid=1695174289&amp;sr=8-4</v>
      </c>
      <c r="F4209" t="s">
        <v>8702</v>
      </c>
      <c r="G4209" t="e">
        <f ca="1">_xludf.IMAGE("https://edmondsonsupply.com/cdn/shop/products/630-1-2_e23f9fbd-a282-44d7-b743-2cfe0f84edfa.jpg?v=1633030906")</f>
        <v>#NAME?</v>
      </c>
      <c r="H4209" t="e">
        <f ca="1">_xludf.IMAGE("https://m.media-amazon.com/images/I/414jM2ApGiL._AC_UL320_.jpg")</f>
        <v>#NAME?</v>
      </c>
      <c r="I4209" t="s">
        <v>924</v>
      </c>
      <c r="J4209">
        <v>7.49</v>
      </c>
      <c r="K4209" s="4">
        <v>-0.16689999999999999</v>
      </c>
      <c r="L4209">
        <v>4.5</v>
      </c>
      <c r="M4209">
        <v>151</v>
      </c>
      <c r="O4209" t="s">
        <v>25</v>
      </c>
      <c r="P4209" t="s">
        <v>6153</v>
      </c>
      <c r="Q4209" t="s">
        <v>6154</v>
      </c>
    </row>
    <row r="4210" spans="1:17" ht="15.5" x14ac:dyDescent="0.35">
      <c r="A4210" s="3" t="str">
        <f>HYPERLINK("https://edmondsonsupply.com/collections/electricians-tools/products/wiha-tools-66991-13-piece-magicring-ball-end-hex-l-key-set-inch", "https://edmondsonsupply.com/collections/electricians-tools/products/wiha-tools-66991-13-piece-magicring-ball-end-hex-l-key-set-inch")</f>
        <v>https://edmondsonsupply.com/collections/electricians-tools/products/wiha-tools-66991-13-piece-magicring-ball-end-hex-l-key-set-inch</v>
      </c>
      <c r="B4210" s="3" t="str">
        <f>HYPERLINK("https://edmondsonsupply.com/products/wiha-tools-66991-13-piece-magicring-ball-end-hex-l-key-set-inch", "https://edmondsonsupply.com/products/wiha-tools-66991-13-piece-magicring-ball-end-hex-l-key-set-inch")</f>
        <v>https://edmondsonsupply.com/products/wiha-tools-66991-13-piece-magicring-ball-end-hex-l-key-set-inch</v>
      </c>
      <c r="C4210" t="s">
        <v>6959</v>
      </c>
      <c r="D4210" t="s">
        <v>5358</v>
      </c>
      <c r="E4210" s="3" t="str">
        <f>HYPERLINK("https://www.amazon.com/Wiha-66988-ErgoStar-L-Key-13-Piece/dp/B00CJC51MO/ref=sr_1_2?keywords=Wiha+Tools+66991+13+Piece+MagicRing+Ball+End+Hex+L-Key+Set+-+Inch&amp;qid=1695173986&amp;sr=8-2", "https://www.amazon.com/Wiha-66988-ErgoStar-L-Key-13-Piece/dp/B00CJC51MO/ref=sr_1_2?keywords=Wiha+Tools+66991+13+Piece+MagicRing+Ball+End+Hex+L-Key+Set+-+Inch&amp;qid=1695173986&amp;sr=8-2")</f>
        <v>https://www.amazon.com/Wiha-66988-ErgoStar-L-Key-13-Piece/dp/B00CJC51MO/ref=sr_1_2?keywords=Wiha+Tools+66991+13+Piece+MagicRing+Ball+End+Hex+L-Key+Set+-+Inch&amp;qid=1695173986&amp;sr=8-2</v>
      </c>
      <c r="F4210" t="s">
        <v>5359</v>
      </c>
      <c r="G4210" t="e">
        <f ca="1">_xludf.IMAGE("https://edmondsonsupply.com/cdn/shop/files/203e9943d7bc6da0913f39b14430d97570f6257a_1000x_25f5521b-5db2-4e3a-9496-a87eed5e7da1.webp?v=1690841742")</f>
        <v>#NAME?</v>
      </c>
      <c r="H4210" t="e">
        <f ca="1">_xludf.IMAGE("https://m.media-amazon.com/images/I/61pC3xkuvsL._AC_UL320_.jpg")</f>
        <v>#NAME?</v>
      </c>
      <c r="I4210" t="s">
        <v>6960</v>
      </c>
      <c r="J4210">
        <v>40.39</v>
      </c>
      <c r="K4210" s="4">
        <v>-0.1691</v>
      </c>
      <c r="L4210">
        <v>4.7</v>
      </c>
      <c r="M4210">
        <v>152</v>
      </c>
      <c r="O4210" t="s">
        <v>25</v>
      </c>
      <c r="P4210" t="s">
        <v>6961</v>
      </c>
      <c r="Q4210" t="s">
        <v>6962</v>
      </c>
    </row>
    <row r="4211" spans="1:17" ht="15.5" x14ac:dyDescent="0.35">
      <c r="A4211"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4211" s="3" t="str">
        <f>HYPERLINK("https://edmondsonsupply.com/products/fluke-1587-fc-insulation-multimeter", "https://edmondsonsupply.com/products/fluke-1587-fc-insulation-multimeter")</f>
        <v>https://edmondsonsupply.com/products/fluke-1587-fc-insulation-multimeter</v>
      </c>
      <c r="C4211" t="s">
        <v>4074</v>
      </c>
      <c r="D4211" t="s">
        <v>5206</v>
      </c>
      <c r="E4211" s="3" t="str">
        <f>HYPERLINK("https://www.amazon.com/Fluke-Fluke-1587-2-Insulation-Multimeter/dp/B097RJ5RFC/ref=sr_1_3?keywords=Fluke+1587+FC+Insulation+Multimeter&amp;qid=1695173858&amp;sr=8-3", "https://www.amazon.com/Fluke-Fluke-1587-2-Insulation-Multimeter/dp/B097RJ5RFC/ref=sr_1_3?keywords=Fluke+1587+FC+Insulation+Multimeter&amp;qid=1695173858&amp;sr=8-3")</f>
        <v>https://www.amazon.com/Fluke-Fluke-1587-2-Insulation-Multimeter/dp/B097RJ5RFC/ref=sr_1_3?keywords=Fluke+1587+FC+Insulation+Multimeter&amp;qid=1695173858&amp;sr=8-3</v>
      </c>
      <c r="F4211" t="s">
        <v>5207</v>
      </c>
      <c r="G4211" t="e">
        <f ca="1">_xludf.IMAGE("https://edmondsonsupply.com/cdn/shop/products/Fluke_1587_FC_True-rms_Insulation_Multimeter__1280x1006px_E_NR-20298.jpg?v=1633031188")</f>
        <v>#NAME?</v>
      </c>
      <c r="H4211" t="e">
        <f ca="1">_xludf.IMAGE("https://m.media-amazon.com/images/I/61imMzzqBHS._AC_UL320_.jpg")</f>
        <v>#NAME?</v>
      </c>
      <c r="I4211" t="s">
        <v>4077</v>
      </c>
      <c r="J4211">
        <v>770.95</v>
      </c>
      <c r="K4211" s="4">
        <v>-0.17100000000000001</v>
      </c>
      <c r="L4211">
        <v>4.7</v>
      </c>
      <c r="M4211">
        <v>45</v>
      </c>
      <c r="O4211" t="s">
        <v>25</v>
      </c>
      <c r="P4211" t="s">
        <v>4078</v>
      </c>
      <c r="Q4211" t="s">
        <v>4079</v>
      </c>
    </row>
    <row r="4212" spans="1:17" ht="15.5" x14ac:dyDescent="0.35">
      <c r="A4212"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4212"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4212" t="s">
        <v>6529</v>
      </c>
      <c r="D4212" t="s">
        <v>4912</v>
      </c>
      <c r="E4212" s="3" t="str">
        <f>HYPERLINK("https://www.amazon.com/Klein-Tools-NCVT2PKIT-Non-Contact-Application/dp/B08FPHS6HL/ref=sr_1_9?keywords=Klein+Tools+NCVT3PKIT+Dual+Range+NCVT+and+AC%2FDC+Voltage+Tester+Electrical+Test+Kit&amp;qid=1695174124&amp;sr=8-9", "https://www.amazon.com/Klein-Tools-NCVT2PKIT-Non-Contact-Application/dp/B08FPHS6HL/ref=sr_1_9?keywords=Klein+Tools+NCVT3PKIT+Dual+Range+NCVT+and+AC%2FDC+Voltage+Tester+Electrical+Test+Kit&amp;qid=1695174124&amp;sr=8-9")</f>
        <v>https://www.amazon.com/Klein-Tools-NCVT2PKIT-Non-Contact-Application/dp/B08FPHS6HL/ref=sr_1_9?keywords=Klein+Tools+NCVT3PKIT+Dual+Range+NCVT+and+AC%2FDC+Voltage+Tester+Electrical+Test+Kit&amp;qid=1695174124&amp;sr=8-9</v>
      </c>
      <c r="F4212" t="s">
        <v>4913</v>
      </c>
      <c r="G4212" t="e">
        <f ca="1">_xludf.IMAGE("https://edmondsonsupply.com/cdn/shop/products/ncvt3pkit.jpg?v=1667228452")</f>
        <v>#NAME?</v>
      </c>
      <c r="H4212" t="e">
        <f ca="1">_xludf.IMAGE("https://m.media-amazon.com/images/I/511RscwJPxL._AC_UL320_.jpg")</f>
        <v>#NAME?</v>
      </c>
      <c r="I4212" t="s">
        <v>571</v>
      </c>
      <c r="J4212">
        <v>28.99</v>
      </c>
      <c r="K4212" s="4">
        <v>-0.17150000000000001</v>
      </c>
      <c r="L4212">
        <v>4.8</v>
      </c>
      <c r="M4212">
        <v>3262</v>
      </c>
      <c r="O4212" t="s">
        <v>25</v>
      </c>
      <c r="P4212" t="s">
        <v>6532</v>
      </c>
      <c r="Q4212" t="s">
        <v>6533</v>
      </c>
    </row>
    <row r="4213" spans="1:17" ht="15.5" x14ac:dyDescent="0.35">
      <c r="A4213"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4213"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4213" t="s">
        <v>6344</v>
      </c>
      <c r="D4213" t="s">
        <v>8314</v>
      </c>
      <c r="E4213" s="3" t="str">
        <f>HYPERLINK("https://www.amazon.com/Journeyman-T-Handle-Klein-Tools-JTH4E09/dp/B004ITO3H0/ref=sr_1_4?keywords=Klein+Tools+JTH9E09+9%2F64-Inch+Hex+Key%2C+Journeyman%E2%84%A2+T-Handle%2C+9-Inch&amp;qid=1695174053&amp;sr=8-4", "https://www.amazon.com/Journeyman-T-Handle-Klein-Tools-JTH4E09/dp/B004ITO3H0/ref=sr_1_4?keywords=Klein+Tools+JTH9E09+9%2F64-Inch+Hex+Key%2C+Journeyman%E2%84%A2+T-Handle%2C+9-Inch&amp;qid=1695174053&amp;sr=8-4")</f>
        <v>https://www.amazon.com/Journeyman-T-Handle-Klein-Tools-JTH4E09/dp/B004ITO3H0/ref=sr_1_4?keywords=Klein+Tools+JTH9E09+9%2F64-Inch+Hex+Key%2C+Journeyman%E2%84%A2+T-Handle%2C+9-Inch&amp;qid=1695174053&amp;sr=8-4</v>
      </c>
      <c r="F4213" t="s">
        <v>8315</v>
      </c>
      <c r="G4213" t="e">
        <f ca="1">_xludf.IMAGE("https://edmondsonsupply.com/cdn/shop/files/jth6e15_a82bd56b-ad18-4460-9ae1-33c48a111839.jpg?v=1684942468")</f>
        <v>#NAME?</v>
      </c>
      <c r="H4213" t="e">
        <f ca="1">_xludf.IMAGE("https://m.media-amazon.com/images/I/413bgBCbQLL._AC_UL320_.jpg")</f>
        <v>#NAME?</v>
      </c>
      <c r="I4213" t="s">
        <v>6122</v>
      </c>
      <c r="J4213">
        <v>3.72</v>
      </c>
      <c r="K4213" s="4">
        <v>-0.17150000000000001</v>
      </c>
      <c r="L4213">
        <v>4.8</v>
      </c>
      <c r="M4213">
        <v>2479</v>
      </c>
      <c r="O4213" t="s">
        <v>25</v>
      </c>
      <c r="P4213" t="s">
        <v>6123</v>
      </c>
      <c r="Q4213" t="s">
        <v>6345</v>
      </c>
    </row>
    <row r="4214" spans="1:17" ht="15.5" x14ac:dyDescent="0.35">
      <c r="A4214"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214"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214" t="s">
        <v>2903</v>
      </c>
      <c r="D4214" t="s">
        <v>8703</v>
      </c>
      <c r="E4214" s="3" t="str">
        <f>HYPERLINK("https://www.amazon.com/Diablo-SDS-Max-4-Cutter-Carbide-Hammer/dp/B089LG76YL/ref=sr_1_7?keywords=Diablo+Tools+DMAMX1300+1-1%2F4+in.+x+16+in.+x+21+in.+Rebar+Demon%E2%84%A2+SDS-Max+4-Cutter+Full+Carbide+Head+Hammer+Drill+Bit&amp;qid=1695173871&amp;sr=8-7", "https://www.amazon.com/Diablo-SDS-Max-4-Cutter-Carbide-Hammer/dp/B089LG76YL/ref=sr_1_7?keywords=Diablo+Tools+DMAMX1300+1-1%2F4+in.+x+16+in.+x+21+in.+Rebar+Demon%E2%84%A2+SDS-Max+4-Cutter+Full+Carbide+Head+Hammer+Drill+Bit&amp;qid=1695173871&amp;sr=8-7")</f>
        <v>https://www.amazon.com/Diablo-SDS-Max-4-Cutter-Carbide-Hammer/dp/B089LG76YL/ref=sr_1_7?keywords=Diablo+Tools+DMAMX1300+1-1%2F4+in.+x+16+in.+x+21+in.+Rebar+Demon%E2%84%A2+SDS-Max+4-Cutter+Full+Carbide+Head+Hammer+Drill+Bit&amp;qid=1695173871&amp;sr=8-7</v>
      </c>
      <c r="F4214" t="s">
        <v>8704</v>
      </c>
      <c r="G4214" t="e">
        <f ca="1">_xludf.IMAGE("https://edmondsonsupply.com/cdn/shop/files/immoyh7jjmbau4fzhuq6_7dd7fd73-2865-4c12-9443-da45b48dbd51.webp?v=1685465465")</f>
        <v>#NAME?</v>
      </c>
      <c r="H4214" t="e">
        <f ca="1">_xludf.IMAGE("https://m.media-amazon.com/images/I/61Q8G2EXOxL._AC_UL320_.jpg")</f>
        <v>#NAME?</v>
      </c>
      <c r="I4214" t="s">
        <v>2906</v>
      </c>
      <c r="J4214">
        <v>55</v>
      </c>
      <c r="K4214" s="4">
        <v>-0.17169999999999999</v>
      </c>
      <c r="L4214">
        <v>5</v>
      </c>
      <c r="M4214">
        <v>10</v>
      </c>
      <c r="O4214" t="s">
        <v>171</v>
      </c>
      <c r="P4214" t="s">
        <v>2907</v>
      </c>
      <c r="Q4214" t="s">
        <v>2908</v>
      </c>
    </row>
    <row r="4215" spans="1:17" ht="15.5" x14ac:dyDescent="0.35">
      <c r="A4215"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4215" s="3" t="str">
        <f>HYPERLINK("https://edmondsonsupply.com/products/milwaukee-49-90-1900-hepa-filter", "https://edmondsonsupply.com/products/milwaukee-49-90-1900-hepa-filter")</f>
        <v>https://edmondsonsupply.com/products/milwaukee-49-90-1900-hepa-filter</v>
      </c>
      <c r="C4215" t="s">
        <v>5831</v>
      </c>
      <c r="D4215" t="s">
        <v>5943</v>
      </c>
      <c r="E4215" s="3" t="str">
        <f>HYPERLINK("https://www.amazon.com/49-90-1900-Replacement-Compatible-Milwaukee-Cordless/dp/B07Y16WCJR/ref=sr_1_10?keywords=Milwaukee+49-90-1900+HEPA+Filter&amp;qid=1695174010&amp;sr=8-10", "https://www.amazon.com/49-90-1900-Replacement-Compatible-Milwaukee-Cordless/dp/B07Y16WCJR/ref=sr_1_10?keywords=Milwaukee+49-90-1900+HEPA+Filter&amp;qid=1695174010&amp;sr=8-10")</f>
        <v>https://www.amazon.com/49-90-1900-Replacement-Compatible-Milwaukee-Cordless/dp/B07Y16WCJR/ref=sr_1_10?keywords=Milwaukee+49-90-1900+HEPA+Filter&amp;qid=1695174010&amp;sr=8-10</v>
      </c>
      <c r="F4215" t="s">
        <v>8705</v>
      </c>
      <c r="G4215" t="e">
        <f ca="1">_xludf.IMAGE("https://edmondsonsupply.com/cdn/shop/files/49-90-1900_1.png?v=1686234774")</f>
        <v>#NAME?</v>
      </c>
      <c r="H4215" t="e">
        <f ca="1">_xludf.IMAGE("https://m.media-amazon.com/images/I/71yMxLPr6tL._AC_UL320_.jpg")</f>
        <v>#NAME?</v>
      </c>
      <c r="I4215" t="s">
        <v>2170</v>
      </c>
      <c r="J4215">
        <v>20.69</v>
      </c>
      <c r="K4215" s="4">
        <v>-0.17169999999999999</v>
      </c>
      <c r="L4215">
        <v>4.5999999999999996</v>
      </c>
      <c r="M4215">
        <v>704</v>
      </c>
      <c r="O4215" t="s">
        <v>25</v>
      </c>
      <c r="P4215" t="s">
        <v>2470</v>
      </c>
      <c r="Q4215" t="s">
        <v>5834</v>
      </c>
    </row>
    <row r="4216" spans="1:17" ht="15.5" x14ac:dyDescent="0.35">
      <c r="A4216"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4216" s="3" t="str">
        <f>HYPERLINK("https://edmondsonsupply.com/products/klein-tools-jth6m10-10-mm-hex-key-journeyman-t-handle-6-inch", "https://edmondsonsupply.com/products/klein-tools-jth6m10-10-mm-hex-key-journeyman-t-handle-6-inch")</f>
        <v>https://edmondsonsupply.com/products/klein-tools-jth6m10-10-mm-hex-key-journeyman-t-handle-6-inch</v>
      </c>
      <c r="C4216" t="s">
        <v>6945</v>
      </c>
      <c r="D4216" t="s">
        <v>3163</v>
      </c>
      <c r="E4216" s="3" t="str">
        <f>HYPERLINK("https://www.amazon.com/Journeyman-T-Handle-Klein-Tools-JTH9E14/dp/B004QVAH4I/ref=sr_1_6?keywords=Klein+Tools+JTH6M10+10+mm+Hex+Key+Journeyman+T-Handle+6-Inch&amp;qid=1695174255&amp;sr=8-6", "https://www.amazon.com/Journeyman-T-Handle-Klein-Tools-JTH9E14/dp/B004QVAH4I/ref=sr_1_6?keywords=Klein+Tools+JTH6M10+10+mm+Hex+Key+Journeyman+T-Handle+6-Inch&amp;qid=1695174255&amp;sr=8-6")</f>
        <v>https://www.amazon.com/Journeyman-T-Handle-Klein-Tools-JTH9E14/dp/B004QVAH4I/ref=sr_1_6?keywords=Klein+Tools+JTH6M10+10+mm+Hex+Key+Journeyman+T-Handle+6-Inch&amp;qid=1695174255&amp;sr=8-6</v>
      </c>
      <c r="F4216" t="s">
        <v>3164</v>
      </c>
      <c r="G4216" t="e">
        <f ca="1">_xludf.IMAGE("https://edmondsonsupply.com/cdn/shop/products/jth6m8_64c2c8d3-e13e-4b81-9b34-745be7fd837a.jpg?v=1627827117")</f>
        <v>#NAME?</v>
      </c>
      <c r="H4216" t="e">
        <f ca="1">_xludf.IMAGE("https://m.media-amazon.com/images/I/51Yb8h41vLL._AC_UL320_.jpg")</f>
        <v>#NAME?</v>
      </c>
      <c r="I4216" t="s">
        <v>924</v>
      </c>
      <c r="J4216">
        <v>7.44</v>
      </c>
      <c r="K4216" s="4">
        <v>-0.1724</v>
      </c>
      <c r="L4216">
        <v>4.8</v>
      </c>
      <c r="M4216">
        <v>114</v>
      </c>
      <c r="O4216" t="s">
        <v>25</v>
      </c>
      <c r="P4216" t="s">
        <v>6946</v>
      </c>
      <c r="Q4216" t="s">
        <v>6947</v>
      </c>
    </row>
    <row r="4217" spans="1:17" ht="15.5" x14ac:dyDescent="0.35">
      <c r="A4217" s="3" t="str">
        <f>HYPERLINK("https://edmondsonsupply.com/collections/electricians-tools/products/ma-line-ma-12816-a-analog-multimeter", "https://edmondsonsupply.com/collections/electricians-tools/products/ma-line-ma-12816-a-analog-multimeter")</f>
        <v>https://edmondsonsupply.com/collections/electricians-tools/products/ma-line-ma-12816-a-analog-multimeter</v>
      </c>
      <c r="B4217" s="3" t="str">
        <f>HYPERLINK("https://edmondsonsupply.com/products/ma-line-ma-12816-a-analog-multimeter", "https://edmondsonsupply.com/products/ma-line-ma-12816-a-analog-multimeter")</f>
        <v>https://edmondsonsupply.com/products/ma-line-ma-12816-a-analog-multimeter</v>
      </c>
      <c r="C4217" t="s">
        <v>5210</v>
      </c>
      <c r="D4217" t="s">
        <v>5211</v>
      </c>
      <c r="E4217" s="3" t="str">
        <f>HYPERLINK("https://www.amazon.com/YX360-TRD-7-Function-Multimeter-Capacitance-Estimation/dp/B00UN4CMPY/ref=sr_1_6?keywords=MA-Line+MA-12816-A+Analog+Multimeter&amp;qid=1695173940&amp;sr=8-6", "https://www.amazon.com/YX360-TRD-7-Function-Multimeter-Capacitance-Estimation/dp/B00UN4CMPY/ref=sr_1_6?keywords=MA-Line+MA-12816-A+Analog+Multimeter&amp;qid=1695173940&amp;sr=8-6")</f>
        <v>https://www.amazon.com/YX360-TRD-7-Function-Multimeter-Capacitance-Estimation/dp/B00UN4CMPY/ref=sr_1_6?keywords=MA-Line+MA-12816-A+Analog+Multimeter&amp;qid=1695173940&amp;sr=8-6</v>
      </c>
      <c r="F4217" t="s">
        <v>5212</v>
      </c>
      <c r="G4217" t="e">
        <f ca="1">_xludf.IMAGE("https://edmondsonsupply.com/cdn/shop/products/MA-12816-A.jpg?v=1587142675")</f>
        <v>#NAME?</v>
      </c>
      <c r="H4217" t="e">
        <f ca="1">_xludf.IMAGE("https://m.media-amazon.com/images/I/71D6cWc0xqL._AC_UL320_.jpg")</f>
        <v>#NAME?</v>
      </c>
      <c r="I4217" t="s">
        <v>5213</v>
      </c>
      <c r="J4217">
        <v>16.5</v>
      </c>
      <c r="K4217" s="4">
        <v>-0.17249999999999999</v>
      </c>
      <c r="L4217">
        <v>4</v>
      </c>
      <c r="M4217">
        <v>154</v>
      </c>
      <c r="O4217" t="s">
        <v>25</v>
      </c>
      <c r="P4217" t="s">
        <v>138</v>
      </c>
      <c r="Q4217" t="s">
        <v>5214</v>
      </c>
    </row>
    <row r="4218" spans="1:17" ht="15.5" x14ac:dyDescent="0.35">
      <c r="A4218"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4218"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4218" t="s">
        <v>6529</v>
      </c>
      <c r="D4218" t="s">
        <v>4914</v>
      </c>
      <c r="E4218" s="3" t="str">
        <f>HYPERLINK("https://www.amazon.com/Klein-Tools-NCVT-2-Standard-Protection/dp/B004FXJOQO/ref=sr_1_6?keywords=Klein+Tools+NCVT3PKIT+Dual+Range+NCVT+and+AC%2FDC+Voltage+Tester+Electrical+Test+Kit&amp;qid=1695174124&amp;sr=8-6", "https://www.amazon.com/Klein-Tools-NCVT-2-Standard-Protection/dp/B004FXJOQO/ref=sr_1_6?keywords=Klein+Tools+NCVT3PKIT+Dual+Range+NCVT+and+AC%2FDC+Voltage+Tester+Electrical+Test+Kit&amp;qid=1695174124&amp;sr=8-6")</f>
        <v>https://www.amazon.com/Klein-Tools-NCVT-2-Standard-Protection/dp/B004FXJOQO/ref=sr_1_6?keywords=Klein+Tools+NCVT3PKIT+Dual+Range+NCVT+and+AC%2FDC+Voltage+Tester+Electrical+Test+Kit&amp;qid=1695174124&amp;sr=8-6</v>
      </c>
      <c r="F4218" t="s">
        <v>4915</v>
      </c>
      <c r="G4218" t="e">
        <f ca="1">_xludf.IMAGE("https://edmondsonsupply.com/cdn/shop/products/ncvt3pkit.jpg?v=1667228452")</f>
        <v>#NAME?</v>
      </c>
      <c r="H4218" t="e">
        <f ca="1">_xludf.IMAGE("https://m.media-amazon.com/images/I/514tywDAdHL._AC_UL320_.jpg")</f>
        <v>#NAME?</v>
      </c>
      <c r="I4218" t="s">
        <v>571</v>
      </c>
      <c r="J4218">
        <v>28.95</v>
      </c>
      <c r="K4218" s="4">
        <v>-0.1726</v>
      </c>
      <c r="L4218">
        <v>4.5999999999999996</v>
      </c>
      <c r="M4218">
        <v>5762</v>
      </c>
      <c r="O4218" t="s">
        <v>25</v>
      </c>
      <c r="P4218" t="s">
        <v>6532</v>
      </c>
      <c r="Q4218" t="s">
        <v>6533</v>
      </c>
    </row>
    <row r="4219" spans="1:17" ht="15.5" x14ac:dyDescent="0.35">
      <c r="A4219"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4219"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4219" t="s">
        <v>6998</v>
      </c>
      <c r="D4219" t="s">
        <v>4945</v>
      </c>
      <c r="E4219" s="3" t="str">
        <f>HYPERLINK("https://www.amazon.com/Driver-16-Inch-Klein-Tools-65064/dp/B01N2S3D09/ref=sr_1_3?keywords=Klein+Tools+65131+2-in-1+Nut+Driver%2C+Hex+Head+Slide+Drive%E2%84%A2%2C+1-1%2F2-Inch&amp;qid=1695174203&amp;sr=8-3", "https://www.amazon.com/Driver-16-Inch-Klein-Tools-65064/dp/B01N2S3D09/ref=sr_1_3?keywords=Klein+Tools+65131+2-in-1+Nut+Driver%2C+Hex+Head+Slide+Drive%E2%84%A2%2C+1-1%2F2-Inch&amp;qid=1695174203&amp;sr=8-3")</f>
        <v>https://www.amazon.com/Driver-16-Inch-Klein-Tools-65064/dp/B01N2S3D09/ref=sr_1_3?keywords=Klein+Tools+65131+2-in-1+Nut+Driver%2C+Hex+Head+Slide+Drive%E2%84%A2%2C+1-1%2F2-Inch&amp;qid=1695174203&amp;sr=8-3</v>
      </c>
      <c r="F4219" t="s">
        <v>4946</v>
      </c>
      <c r="G4219" t="e">
        <f ca="1">_xludf.IMAGE("https://edmondsonsupply.com/cdn/shop/products/65131.jpg?v=1660742745")</f>
        <v>#NAME?</v>
      </c>
      <c r="H4219" t="e">
        <f ca="1">_xludf.IMAGE("https://m.media-amazon.com/images/I/51WqGb8KzpL._AC_UL320_.jpg")</f>
        <v>#NAME?</v>
      </c>
      <c r="I4219" t="s">
        <v>2101</v>
      </c>
      <c r="J4219">
        <v>15.27</v>
      </c>
      <c r="K4219" s="4">
        <v>-0.1741</v>
      </c>
      <c r="L4219">
        <v>4.8</v>
      </c>
      <c r="M4219">
        <v>1412</v>
      </c>
      <c r="O4219" t="s">
        <v>25</v>
      </c>
      <c r="P4219" t="s">
        <v>7001</v>
      </c>
      <c r="Q4219" t="s">
        <v>7002</v>
      </c>
    </row>
    <row r="4220" spans="1:17" ht="15.5" x14ac:dyDescent="0.35">
      <c r="A4220" s="3" t="str">
        <f>HYPERLINK("https://edmondsonsupply.com/collections/electricians-tools/products/klein-tools-56380-multi-groove-fiberglass-fish-tape-with-spiral-steel-leader-100-foot", "https://edmondsonsupply.com/collections/electricians-tools/products/klein-tools-56380-multi-groove-fiberglass-fish-tape-with-spiral-steel-leader-100-foot")</f>
        <v>https://edmondsonsupply.com/collections/electricians-tools/products/klein-tools-56380-multi-groove-fiberglass-fish-tape-with-spiral-steel-leader-100-foot</v>
      </c>
      <c r="B4220"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4220" t="s">
        <v>3273</v>
      </c>
      <c r="D4220" t="s">
        <v>5215</v>
      </c>
      <c r="E4220" s="3" t="str">
        <f>HYPERLINK("https://www.amazon.com/Klein-Tools-56383-Multi-Groove-Fiberglass/dp/B08222VGN8/ref=sr_1_6?keywords=Klein+Tools+56380+Multi-Groove+Fiberglass+Fish+Tape+with+Spiral+Steel+Leader%2C+100-Foot&amp;qid=1695173932&amp;sr=8-6", "https://www.amazon.com/Klein-Tools-56383-Multi-Groove-Fiberglass/dp/B08222VGN8/ref=sr_1_6?keywords=Klein+Tools+56380+Multi-Groove+Fiberglass+Fish+Tape+with+Spiral+Steel+Leader%2C+100-Foot&amp;qid=1695173932&amp;sr=8-6")</f>
        <v>https://www.amazon.com/Klein-Tools-56383-Multi-Groove-Fiberglass/dp/B08222VGN8/ref=sr_1_6?keywords=Klein+Tools+56380+Multi-Groove+Fiberglass+Fish+Tape+with+Spiral+Steel+Leader%2C+100-Foot&amp;qid=1695173932&amp;sr=8-6</v>
      </c>
      <c r="F4220" t="s">
        <v>5216</v>
      </c>
      <c r="G4220" t="e">
        <f ca="1">_xludf.IMAGE("https://edmondsonsupply.com/cdn/shop/products/56380.jpg?v=1587147762")</f>
        <v>#NAME?</v>
      </c>
      <c r="H4220" t="e">
        <f ca="1">_xludf.IMAGE("https://m.media-amazon.com/images/I/51Fs1Kjrk8L._AC_UL320_.jpg")</f>
        <v>#NAME?</v>
      </c>
      <c r="I4220" t="s">
        <v>3276</v>
      </c>
      <c r="J4220">
        <v>115.58</v>
      </c>
      <c r="K4220" s="4">
        <v>-0.1744</v>
      </c>
      <c r="L4220">
        <v>4.7</v>
      </c>
      <c r="M4220">
        <v>135</v>
      </c>
      <c r="O4220" t="s">
        <v>25</v>
      </c>
      <c r="P4220" t="s">
        <v>3277</v>
      </c>
      <c r="Q4220" t="s">
        <v>3278</v>
      </c>
    </row>
    <row r="4221" spans="1:17" ht="15.5" x14ac:dyDescent="0.35">
      <c r="A4221"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4221"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4221" t="s">
        <v>8581</v>
      </c>
      <c r="D4221" t="s">
        <v>8706</v>
      </c>
      <c r="E4221" s="3" t="str">
        <f>HYPERLINK("https://www.amazon.com/Milwaukee-2767-20-Torque-2-Inch-Friction/dp/B094RDL3QR/ref=sr_1_5?keywords=Milwaukee+2767-20+M18+FUEL%E2%84%A2+1%2F2%22+High+Torque+Impact+Wrench+with+Friction+Ring+%28Tool+Only%29&amp;qid=1695174206&amp;sr=8-5", "https://www.amazon.com/Milwaukee-2767-20-Torque-2-Inch-Friction/dp/B094RDL3QR/ref=sr_1_5?keywords=Milwaukee+2767-20+M18+FUEL%E2%84%A2+1%2F2%22+High+Torque+Impact+Wrench+with+Friction+Ring+%28Tool+Only%29&amp;qid=1695174206&amp;sr=8-5")</f>
        <v>https://www.amazon.com/Milwaukee-2767-20-Torque-2-Inch-Friction/dp/B094RDL3QR/ref=sr_1_5?keywords=Milwaukee+2767-20+M18+FUEL%E2%84%A2+1%2F2%22+High+Torque+Impact+Wrench+with+Friction+Ring+%28Tool+Only%29&amp;qid=1695174206&amp;sr=8-5</v>
      </c>
      <c r="F4221" t="s">
        <v>8707</v>
      </c>
      <c r="G4221" t="e">
        <f ca="1">_xludf.IMAGE("https://edmondsonsupply.com/cdn/shop/products/2767-20_1.webp?v=1668441181")</f>
        <v>#NAME?</v>
      </c>
      <c r="H4221" t="e">
        <f ca="1">_xludf.IMAGE("https://m.media-amazon.com/images/I/61aGjxU8yIL._AC_UL320_.jpg")</f>
        <v>#NAME?</v>
      </c>
      <c r="I4221" t="s">
        <v>698</v>
      </c>
      <c r="J4221">
        <v>229.98</v>
      </c>
      <c r="K4221" s="4">
        <v>-0.1757</v>
      </c>
      <c r="L4221">
        <v>4.7</v>
      </c>
      <c r="M4221">
        <v>67</v>
      </c>
      <c r="O4221" t="s">
        <v>25</v>
      </c>
      <c r="P4221" t="s">
        <v>8584</v>
      </c>
      <c r="Q4221" t="s">
        <v>8585</v>
      </c>
    </row>
    <row r="4222" spans="1:17" ht="15.5" x14ac:dyDescent="0.35">
      <c r="A4222" s="3" t="str">
        <f>HYPERLINK("https://edmondsonsupply.com/collections/electricians-tools/products/channellock-428", "https://edmondsonsupply.com/collections/electricians-tools/products/channellock-428")</f>
        <v>https://edmondsonsupply.com/collections/electricians-tools/products/channellock-428</v>
      </c>
      <c r="B4222" s="3" t="str">
        <f>HYPERLINK("https://edmondsonsupply.com/products/channellock-428", "https://edmondsonsupply.com/products/channellock-428")</f>
        <v>https://edmondsonsupply.com/products/channellock-428</v>
      </c>
      <c r="C4222" t="s">
        <v>1791</v>
      </c>
      <c r="D4222" t="s">
        <v>5223</v>
      </c>
      <c r="E4222" s="3" t="str">
        <f>HYPERLINK("https://www.amazon.com/CHANNELLOCK-412-6-5-inch-0-94-inch-Capacity/dp/B003GDIDMU/ref=sr_1_5?keywords=Channellock+428+8-Inch+Straight+Jaw+Tongue+%26+Groove+Pliers&amp;qid=1695173963&amp;sr=8-5", "https://www.amazon.com/CHANNELLOCK-412-6-5-inch-0-94-inch-Capacity/dp/B003GDIDMU/ref=sr_1_5?keywords=Channellock+428+8-Inch+Straight+Jaw+Tongue+%26+Groove+Pliers&amp;qid=1695173963&amp;sr=8-5")</f>
        <v>https://www.amazon.com/CHANNELLOCK-412-6-5-inch-0-94-inch-Capacity/dp/B003GDIDMU/ref=sr_1_5?keywords=Channellock+428+8-Inch+Straight+Jaw+Tongue+%26+Groove+Pliers&amp;qid=1695173963&amp;sr=8-5</v>
      </c>
      <c r="F4222" t="s">
        <v>5224</v>
      </c>
      <c r="G4222" t="e">
        <f ca="1">_xludf.IMAGE("https://edmondsonsupply.com/cdn/shop/products/428-683x1024.jpg?v=1587145854")</f>
        <v>#NAME?</v>
      </c>
      <c r="H4222" t="e">
        <f ca="1">_xludf.IMAGE("https://m.media-amazon.com/images/I/717wadbx-sL._AC_UL320_.jpg")</f>
        <v>#NAME?</v>
      </c>
      <c r="I4222" t="s">
        <v>1554</v>
      </c>
      <c r="J4222">
        <v>13.95</v>
      </c>
      <c r="K4222" s="4">
        <v>-0.17699999999999999</v>
      </c>
      <c r="L4222">
        <v>4.7</v>
      </c>
      <c r="M4222">
        <v>2314</v>
      </c>
      <c r="O4222" t="s">
        <v>25</v>
      </c>
      <c r="P4222" t="s">
        <v>1794</v>
      </c>
      <c r="Q4222" t="s">
        <v>1795</v>
      </c>
    </row>
    <row r="4223" spans="1:17" ht="15.5" x14ac:dyDescent="0.35">
      <c r="A4223"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4223" s="3" t="str">
        <f>HYPERLINK("https://edmondsonsupply.com/products/diablo-tools-dag3090-7-8-in-x-17-1-2-in-auger-bit", "https://edmondsonsupply.com/products/diablo-tools-dag3090-7-8-in-x-17-1-2-in-auger-bit")</f>
        <v>https://edmondsonsupply.com/products/diablo-tools-dag3090-7-8-in-x-17-1-2-in-auger-bit</v>
      </c>
      <c r="C4223" t="s">
        <v>7269</v>
      </c>
      <c r="D4223" t="s">
        <v>3903</v>
      </c>
      <c r="E4223" s="3" t="str">
        <f>HYPERLINK("https://www.amazon.com/Diablo-Freud-DAG1110-7-1-Auger/dp/B089KWR9F4/ref=sr_1_5?keywords=Diablo+Tools+DAG3090+7%2F8+in.+x+17-1%2F2+in.+Auger+Bit&amp;qid=1695174065&amp;sr=8-5", "https://www.amazon.com/Diablo-Freud-DAG1110-7-1-Auger/dp/B089KWR9F4/ref=sr_1_5?keywords=Diablo+Tools+DAG3090+7%2F8+in.+x+17-1%2F2+in.+Auger+Bit&amp;qid=1695174065&amp;sr=8-5")</f>
        <v>https://www.amazon.com/Diablo-Freud-DAG1110-7-1-Auger/dp/B089KWR9F4/ref=sr_1_5?keywords=Diablo+Tools+DAG3090+7%2F8+in.+x+17-1%2F2+in.+Auger+Bit&amp;qid=1695174065&amp;sr=8-5</v>
      </c>
      <c r="F4223" t="s">
        <v>3904</v>
      </c>
      <c r="G4223" t="e">
        <f ca="1">_xludf.IMAGE("https://edmondsonsupply.com/cdn/shop/products/aorgtpkivjubhtbiiau0.webp?v=1677256849")</f>
        <v>#NAME?</v>
      </c>
      <c r="H4223" t="e">
        <f ca="1">_xludf.IMAGE("https://m.media-amazon.com/images/I/61FgY3Jv5eL._AC_UL320_.jpg")</f>
        <v>#NAME?</v>
      </c>
      <c r="I4223" t="s">
        <v>1589</v>
      </c>
      <c r="J4223">
        <v>18.920000000000002</v>
      </c>
      <c r="K4223" s="4">
        <v>-0.17699999999999999</v>
      </c>
      <c r="L4223">
        <v>4.8</v>
      </c>
      <c r="M4223">
        <v>48</v>
      </c>
      <c r="O4223" t="s">
        <v>25</v>
      </c>
      <c r="P4223" t="s">
        <v>7270</v>
      </c>
      <c r="Q4223" t="s">
        <v>7271</v>
      </c>
    </row>
    <row r="4224" spans="1:17" ht="15.5" x14ac:dyDescent="0.35">
      <c r="A4224"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4224" s="3" t="str">
        <f>HYPERLINK("https://edmondsonsupply.com/products/diablo-tools-d0660x-6-1-2-in-x-60-tooth-ultra-finish-saw-blade", "https://edmondsonsupply.com/products/diablo-tools-d0660x-6-1-2-in-x-60-tooth-ultra-finish-saw-blade")</f>
        <v>https://edmondsonsupply.com/products/diablo-tools-d0660x-6-1-2-in-x-60-tooth-ultra-finish-saw-blade</v>
      </c>
      <c r="C4224" t="s">
        <v>6681</v>
      </c>
      <c r="D4224" t="s">
        <v>8427</v>
      </c>
      <c r="E4224" s="3" t="str">
        <f>HYPERLINK("https://www.amazon.com/Freud-D0760X-Diablo-Finish-4-Inch/dp/B001CZEU0S/ref=sr_1_7?keywords=Diablo+Tools+D0660X+6-1%2F2+in.+x+60+Tooth+Ultra+Finish+Saw+Blade&amp;qid=1695174055&amp;sr=8-7", "https://www.amazon.com/Freud-D0760X-Diablo-Finish-4-Inch/dp/B001CZEU0S/ref=sr_1_7?keywords=Diablo+Tools+D0660X+6-1%2F2+in.+x+60+Tooth+Ultra+Finish+Saw+Blade&amp;qid=1695174055&amp;sr=8-7")</f>
        <v>https://www.amazon.com/Freud-D0760X-Diablo-Finish-4-Inch/dp/B001CZEU0S/ref=sr_1_7?keywords=Diablo+Tools+D0660X+6-1%2F2+in.+x+60+Tooth+Ultra+Finish+Saw+Blade&amp;qid=1695174055&amp;sr=8-7</v>
      </c>
      <c r="F4224" t="s">
        <v>8428</v>
      </c>
      <c r="G4224" t="e">
        <f ca="1">_xludf.IMAGE("https://edmondsonsupply.com/cdn/shop/products/ma8p1gcmhxpwwhymtiim.webp?v=1678983644")</f>
        <v>#NAME?</v>
      </c>
      <c r="H4224" t="e">
        <f ca="1">_xludf.IMAGE("https://m.media-amazon.com/images/I/61aig0rMpZS._AC_UL320_.jpg")</f>
        <v>#NAME?</v>
      </c>
      <c r="I4224" t="s">
        <v>1716</v>
      </c>
      <c r="J4224">
        <v>18.899999999999999</v>
      </c>
      <c r="K4224" s="4">
        <v>-0.1772</v>
      </c>
      <c r="L4224">
        <v>4.8</v>
      </c>
      <c r="M4224">
        <v>1393</v>
      </c>
      <c r="O4224" t="s">
        <v>25</v>
      </c>
      <c r="P4224" t="s">
        <v>6682</v>
      </c>
      <c r="Q4224" t="s">
        <v>6683</v>
      </c>
    </row>
    <row r="4225" spans="1:17" ht="15.5" x14ac:dyDescent="0.35">
      <c r="A4225" s="3" t="str">
        <f>HYPERLINK("https://edmondsonsupply.com/collections/electricians-tools/products/wiha-tools-66991-13-piece-magicring-ball-end-hex-l-key-set-inch", "https://edmondsonsupply.com/collections/electricians-tools/products/wiha-tools-66991-13-piece-magicring-ball-end-hex-l-key-set-inch")</f>
        <v>https://edmondsonsupply.com/collections/electricians-tools/products/wiha-tools-66991-13-piece-magicring-ball-end-hex-l-key-set-inch</v>
      </c>
      <c r="B4225" s="3" t="str">
        <f>HYPERLINK("https://edmondsonsupply.com/products/wiha-tools-66991-13-piece-magicring-ball-end-hex-l-key-set-inch", "https://edmondsonsupply.com/products/wiha-tools-66991-13-piece-magicring-ball-end-hex-l-key-set-inch")</f>
        <v>https://edmondsonsupply.com/products/wiha-tools-66991-13-piece-magicring-ball-end-hex-l-key-set-inch</v>
      </c>
      <c r="C4225" t="s">
        <v>6959</v>
      </c>
      <c r="D4225" t="s">
        <v>4396</v>
      </c>
      <c r="E4225" s="3" t="str">
        <f>HYPERLINK("https://www.amazon.com/Wiha-66991-MagicRing-Holder-Piece/dp/B000WTAK2C/ref=sr_1_1?keywords=Wiha+Tools+66991+13+Piece+MagicRing+Ball+End+Hex+L-Key+Set+-+Inch&amp;qid=1695173986&amp;sr=8-1", "https://www.amazon.com/Wiha-66991-MagicRing-Holder-Piece/dp/B000WTAK2C/ref=sr_1_1?keywords=Wiha+Tools+66991+13+Piece+MagicRing+Ball+End+Hex+L-Key+Set+-+Inch&amp;qid=1695173986&amp;sr=8-1")</f>
        <v>https://www.amazon.com/Wiha-66991-MagicRing-Holder-Piece/dp/B000WTAK2C/ref=sr_1_1?keywords=Wiha+Tools+66991+13+Piece+MagicRing+Ball+End+Hex+L-Key+Set+-+Inch&amp;qid=1695173986&amp;sr=8-1</v>
      </c>
      <c r="F4225" t="s">
        <v>4397</v>
      </c>
      <c r="G4225" t="e">
        <f ca="1">_xludf.IMAGE("https://edmondsonsupply.com/cdn/shop/files/203e9943d7bc6da0913f39b14430d97570f6257a_1000x_25f5521b-5db2-4e3a-9496-a87eed5e7da1.webp?v=1690841742")</f>
        <v>#NAME?</v>
      </c>
      <c r="H4225" t="e">
        <f ca="1">_xludf.IMAGE("https://m.media-amazon.com/images/I/61jqxmDwZLL._AC_UL320_.jpg")</f>
        <v>#NAME?</v>
      </c>
      <c r="I4225" t="s">
        <v>6960</v>
      </c>
      <c r="J4225">
        <v>39.99</v>
      </c>
      <c r="K4225" s="4">
        <v>-0.17730000000000001</v>
      </c>
      <c r="L4225">
        <v>4.8</v>
      </c>
      <c r="M4225">
        <v>17</v>
      </c>
      <c r="O4225" t="s">
        <v>25</v>
      </c>
      <c r="P4225" t="s">
        <v>6961</v>
      </c>
      <c r="Q4225" t="s">
        <v>6962</v>
      </c>
    </row>
    <row r="4226" spans="1:17" ht="15.5" x14ac:dyDescent="0.35">
      <c r="A4226" s="3" t="str">
        <f>HYPERLINK("https://edmondsonsupply.com/collections/electricians-tools/products/tajima-jpr-265st-japan-pull%E2%84%A2265-short-16-tpi-blade", "https://edmondsonsupply.com/collections/electricians-tools/products/tajima-jpr-265st-japan-pull%E2%84%A2265-short-16-tpi-blade")</f>
        <v>https://edmondsonsupply.com/collections/electricians-tools/products/tajima-jpr-265st-japan-pull%E2%84%A2265-short-16-tpi-blade</v>
      </c>
      <c r="B4226" s="3" t="str">
        <f>HYPERLINK("https://edmondsonsupply.com/products/tajima-jpr-265st-japan-pull%e2%84%a2265-short-16-tpi-blade", "https://edmondsonsupply.com/products/tajima-jpr-265st-japan-pull%e2%84%a2265-short-16-tpi-blade")</f>
        <v>https://edmondsonsupply.com/products/tajima-jpr-265st-japan-pull%e2%84%a2265-short-16-tpi-blade</v>
      </c>
      <c r="C4226" t="s">
        <v>8708</v>
      </c>
      <c r="D4226" t="s">
        <v>7716</v>
      </c>
      <c r="E4226" s="3" t="str">
        <f>HYPERLINK("https://www.amazon.com/TAJIMA-Pull-Stroke-Saw-Quick-Release-Elastomer/dp/B00ID1PKD0/ref=sr_1_1?keywords=Tajima+JPR-265ST+Japan+Pull%E2%84%A2265+Short%2C+16+TPI+Blade&amp;qid=1695174224&amp;sr=8-1", "https://www.amazon.com/TAJIMA-Pull-Stroke-Saw-Quick-Release-Elastomer/dp/B00ID1PKD0/ref=sr_1_1?keywords=Tajima+JPR-265ST+Japan+Pull%E2%84%A2265+Short%2C+16+TPI+Blade&amp;qid=1695174224&amp;sr=8-1")</f>
        <v>https://www.amazon.com/TAJIMA-Pull-Stroke-Saw-Quick-Release-Elastomer/dp/B00ID1PKD0/ref=sr_1_1?keywords=Tajima+JPR-265ST+Japan+Pull%E2%84%A2265+Short%2C+16+TPI+Blade&amp;qid=1695174224&amp;sr=8-1</v>
      </c>
      <c r="F4226" t="s">
        <v>7717</v>
      </c>
      <c r="G4226" t="e">
        <f ca="1">_xludf.IMAGE("https://edmondsonsupply.com/cdn/shop/products/JPR-265ST.jpg?v=1655820362")</f>
        <v>#NAME?</v>
      </c>
      <c r="H4226" t="e">
        <f ca="1">_xludf.IMAGE("https://m.media-amazon.com/images/I/71cdoT0D2wL._AC_UL320_.jpg")</f>
        <v>#NAME?</v>
      </c>
      <c r="I4226" t="s">
        <v>8709</v>
      </c>
      <c r="J4226">
        <v>34.17</v>
      </c>
      <c r="K4226" s="4">
        <v>-0.17860000000000001</v>
      </c>
      <c r="L4226">
        <v>4.5</v>
      </c>
      <c r="M4226">
        <v>59</v>
      </c>
      <c r="O4226" t="s">
        <v>25</v>
      </c>
      <c r="P4226" t="s">
        <v>8710</v>
      </c>
      <c r="Q4226" t="s">
        <v>8711</v>
      </c>
    </row>
    <row r="4227" spans="1:17" ht="15.5" x14ac:dyDescent="0.35">
      <c r="A4227" s="3" t="str">
        <f>HYPERLINK("https://edmondsonsupply.com/collections/electricians-tools/products/klein-tools-d203-8-glw-pliers-long-nose-side-cutters-hi-viz-8-inch", "https://edmondsonsupply.com/collections/electricians-tools/products/klein-tools-d203-8-glw-pliers-long-nose-side-cutters-hi-viz-8-inch")</f>
        <v>https://edmondsonsupply.com/collections/electricians-tools/products/klein-tools-d203-8-glw-pliers-long-nose-side-cutters-hi-viz-8-inch</v>
      </c>
      <c r="B4227" s="3" t="str">
        <f>HYPERLINK("https://edmondsonsupply.com/products/klein-tools-d203-8-glw-pliers-long-nose-side-cutters-hi-viz-8-inch", "https://edmondsonsupply.com/products/klein-tools-d203-8-glw-pliers-long-nose-side-cutters-hi-viz-8-inch")</f>
        <v>https://edmondsonsupply.com/products/klein-tools-d203-8-glw-pliers-long-nose-side-cutters-hi-viz-8-inch</v>
      </c>
      <c r="C4227" t="s">
        <v>5225</v>
      </c>
      <c r="D4227" t="s">
        <v>5226</v>
      </c>
      <c r="E4227" s="3" t="str">
        <f>HYPERLINK("https://www.amazon.com/Linemans-Alligator-Klein-Tools-D203-8/dp/B0000302WQ/ref=sr_1_1?keywords=Klein+Tools+D203-8-GLW+Pliers%2C+Needle+Nose+Side-Cutters%2C+High-Visibility%2C+8-Inch&amp;qid=1695173858&amp;sr=8-1", "https://www.amazon.com/Linemans-Alligator-Klein-Tools-D203-8/dp/B0000302WQ/ref=sr_1_1?keywords=Klein+Tools+D203-8-GLW+Pliers%2C+Needle+Nose+Side-Cutters%2C+High-Visibility%2C+8-Inch&amp;qid=1695173858&amp;sr=8-1")</f>
        <v>https://www.amazon.com/Linemans-Alligator-Klein-Tools-D203-8/dp/B0000302WQ/ref=sr_1_1?keywords=Klein+Tools+D203-8-GLW+Pliers%2C+Needle+Nose+Side-Cutters%2C+High-Visibility%2C+8-Inch&amp;qid=1695173858&amp;sr=8-1</v>
      </c>
      <c r="F4227" t="s">
        <v>5227</v>
      </c>
      <c r="G4227" t="e">
        <f ca="1">_xludf.IMAGE("https://edmondsonsupply.com/cdn/shop/products/d2038glw.jpg?v=1587146455")</f>
        <v>#NAME?</v>
      </c>
      <c r="H4227" t="e">
        <f ca="1">_xludf.IMAGE("https://m.media-amazon.com/images/I/51Ifjz4aftL._AC_UL320_.jpg")</f>
        <v>#NAME?</v>
      </c>
      <c r="I4227" t="s">
        <v>571</v>
      </c>
      <c r="J4227">
        <v>28.74</v>
      </c>
      <c r="K4227" s="4">
        <v>-0.17860000000000001</v>
      </c>
      <c r="L4227">
        <v>4.8</v>
      </c>
      <c r="M4227">
        <v>935</v>
      </c>
      <c r="O4227" t="s">
        <v>25</v>
      </c>
      <c r="P4227" t="s">
        <v>5228</v>
      </c>
      <c r="Q4227" t="s">
        <v>5229</v>
      </c>
    </row>
    <row r="4228" spans="1:17" ht="15.5" x14ac:dyDescent="0.35">
      <c r="A4228" s="3" t="str">
        <f>HYPERLINK("https://edmondsonsupply.com/collections/electricians-tools/products/diablo-tools-dmamxcc5040-3-9-16-in-x-7-in-sds-max-carbide-tipped-core-bit", "https://edmondsonsupply.com/collections/electricians-tools/products/diablo-tools-dmamxcc5040-3-9-16-in-x-7-in-sds-max-carbide-tipped-core-bit")</f>
        <v>https://edmondsonsupply.com/collections/electricians-tools/products/diablo-tools-dmamxcc5040-3-9-16-in-x-7-in-sds-max-carbide-tipped-core-bit</v>
      </c>
      <c r="B4228" s="3" t="str">
        <f>HYPERLINK("https://edmondsonsupply.com/products/diablo-tools-dmamxcc5040-3-9-16-in-x-7-in-sds-max-carbide-tipped-core-bit", "https://edmondsonsupply.com/products/diablo-tools-dmamxcc5040-3-9-16-in-x-7-in-sds-max-carbide-tipped-core-bit")</f>
        <v>https://edmondsonsupply.com/products/diablo-tools-dmamxcc5040-3-9-16-in-x-7-in-sds-max-carbide-tipped-core-bit</v>
      </c>
      <c r="C4228" t="s">
        <v>5930</v>
      </c>
      <c r="D4228" t="s">
        <v>5900</v>
      </c>
      <c r="E4228" s="3" t="str">
        <f>HYPERLINK("https://www.amazon.com/Diablo-DMAMXCC5030-SDS-Max-Carbide-Tipped/dp/B089M8K3HG/ref=sr_1_1?keywords=Diablo+Tools+DMAMXCC5040+3-9%2F16+in.+x+7+in.+SDS-Max+Carbide+Tipped+Core+Bit&amp;qid=1695173998&amp;sr=8-1", "https://www.amazon.com/Diablo-DMAMXCC5030-SDS-Max-Carbide-Tipped/dp/B089M8K3HG/ref=sr_1_1?keywords=Diablo+Tools+DMAMXCC5040+3-9%2F16+in.+x+7+in.+SDS-Max+Carbide+Tipped+Core+Bit&amp;qid=1695173998&amp;sr=8-1")</f>
        <v>https://www.amazon.com/Diablo-DMAMXCC5030-SDS-Max-Carbide-Tipped/dp/B089M8K3HG/ref=sr_1_1?keywords=Diablo+Tools+DMAMXCC5040+3-9%2F16+in.+x+7+in.+SDS-Max+Carbide+Tipped+Core+Bit&amp;qid=1695173998&amp;sr=8-1</v>
      </c>
      <c r="F4228" t="s">
        <v>5901</v>
      </c>
      <c r="G4228" t="e">
        <f ca="1">_xludf.IMAGE("https://edmondsonsupply.com/cdn/shop/files/a3uovbbd2u7b0jmabzl1.webp?v=1686586245")</f>
        <v>#NAME?</v>
      </c>
      <c r="H4228" t="e">
        <f ca="1">_xludf.IMAGE("https://m.media-amazon.com/images/I/71U1Um--OXL._AC_UL320_.jpg")</f>
        <v>#NAME?</v>
      </c>
      <c r="I4228" t="s">
        <v>5931</v>
      </c>
      <c r="J4228">
        <v>110</v>
      </c>
      <c r="K4228" s="4">
        <v>-0.17899999999999999</v>
      </c>
      <c r="L4228">
        <v>5</v>
      </c>
      <c r="M4228">
        <v>3</v>
      </c>
      <c r="O4228" t="s">
        <v>25</v>
      </c>
      <c r="P4228" t="s">
        <v>5932</v>
      </c>
      <c r="Q4228" t="s">
        <v>5933</v>
      </c>
    </row>
    <row r="4229" spans="1:17" ht="15.5" x14ac:dyDescent="0.35">
      <c r="A4229"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4229"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4229" t="s">
        <v>7150</v>
      </c>
      <c r="D4229" t="s">
        <v>5231</v>
      </c>
      <c r="E4229" s="3" t="str">
        <f>HYPERLINK("https://www.amazon.com/Klein-Tools-CL320-Digital-Electrical/dp/B08DDTV5KG/ref=sr_1_4?keywords=Klein+Tools+CL390+AC%2FDC+Digital+Clamp+Meter%2C+Auto-Ranging+400+Amp&amp;qid=1695174165&amp;sr=8-4", "https://www.amazon.com/Klein-Tools-CL320-Digital-Electrical/dp/B08DDTV5KG/ref=sr_1_4?keywords=Klein+Tools+CL390+AC%2FDC+Digital+Clamp+Meter%2C+Auto-Ranging+400+Amp&amp;qid=1695174165&amp;sr=8-4")</f>
        <v>https://www.amazon.com/Klein-Tools-CL320-Digital-Electrical/dp/B08DDTV5KG/ref=sr_1_4?keywords=Klein+Tools+CL390+AC%2FDC+Digital+Clamp+Meter%2C+Auto-Ranging+400+Amp&amp;qid=1695174165&amp;sr=8-4</v>
      </c>
      <c r="F4229" t="s">
        <v>5232</v>
      </c>
      <c r="G4229" t="e">
        <f ca="1">_xludf.IMAGE("https://edmondsonsupply.com/cdn/shop/products/cl390.jpg?v=1662670722")</f>
        <v>#NAME?</v>
      </c>
      <c r="H4229" t="e">
        <f ca="1">_xludf.IMAGE("https://m.media-amazon.com/images/I/61qVZZBNj2L._AC_UY218_.jpg")</f>
        <v>#NAME?</v>
      </c>
      <c r="I4229" t="s">
        <v>545</v>
      </c>
      <c r="J4229">
        <v>81.99</v>
      </c>
      <c r="K4229" s="4">
        <v>-0.1799</v>
      </c>
      <c r="L4229">
        <v>4.8</v>
      </c>
      <c r="M4229">
        <v>994</v>
      </c>
      <c r="O4229" t="s">
        <v>25</v>
      </c>
      <c r="P4229" t="s">
        <v>7153</v>
      </c>
      <c r="Q4229" t="s">
        <v>7154</v>
      </c>
    </row>
    <row r="4230" spans="1:17" ht="15.5" x14ac:dyDescent="0.35">
      <c r="A4230"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4230" s="3" t="str">
        <f>HYPERLINK("https://edmondsonsupply.com/products/milwaukee-49-90-1900-hepa-filter", "https://edmondsonsupply.com/products/milwaukee-49-90-1900-hepa-filter")</f>
        <v>https://edmondsonsupply.com/products/milwaukee-49-90-1900-hepa-filter</v>
      </c>
      <c r="C4230" t="s">
        <v>5831</v>
      </c>
      <c r="D4230" t="s">
        <v>5934</v>
      </c>
      <c r="E4230" s="3" t="str">
        <f>HYPERLINK("https://www.amazon.com/Funmit-49-90-1900-Replacement-Milwaukee-Cordless/dp/B08QMJWVP1/ref=sr_1_6?keywords=Milwaukee+49-90-1900+HEPA+Filter&amp;qid=1695174010&amp;sr=8-6", "https://www.amazon.com/Funmit-49-90-1900-Replacement-Milwaukee-Cordless/dp/B08QMJWVP1/ref=sr_1_6?keywords=Milwaukee+49-90-1900+HEPA+Filter&amp;qid=1695174010&amp;sr=8-6")</f>
        <v>https://www.amazon.com/Funmit-49-90-1900-Replacement-Milwaukee-Cordless/dp/B08QMJWVP1/ref=sr_1_6?keywords=Milwaukee+49-90-1900+HEPA+Filter&amp;qid=1695174010&amp;sr=8-6</v>
      </c>
      <c r="F4230" t="s">
        <v>5935</v>
      </c>
      <c r="G4230" t="e">
        <f ca="1">_xludf.IMAGE("https://edmondsonsupply.com/cdn/shop/files/49-90-1900_1.png?v=1686234774")</f>
        <v>#NAME?</v>
      </c>
      <c r="H4230" t="e">
        <f ca="1">_xludf.IMAGE("https://m.media-amazon.com/images/I/718M0N1GX-L._AC_UL320_.jpg")</f>
        <v>#NAME?</v>
      </c>
      <c r="I4230" t="s">
        <v>2170</v>
      </c>
      <c r="J4230">
        <v>20.47</v>
      </c>
      <c r="K4230" s="4">
        <v>-0.18049999999999999</v>
      </c>
      <c r="L4230">
        <v>4.5</v>
      </c>
      <c r="M4230">
        <v>173</v>
      </c>
      <c r="O4230" t="s">
        <v>25</v>
      </c>
      <c r="P4230" t="s">
        <v>2470</v>
      </c>
      <c r="Q4230" t="s">
        <v>5834</v>
      </c>
    </row>
    <row r="4231" spans="1:17" ht="15.5" x14ac:dyDescent="0.35">
      <c r="A4231" s="3" t="str">
        <f>HYPERLINK("https://edmondsonsupply.com/collections/electricians-tools/products/klein-tools-j2000-9netp-linemans-pliers-fish-tape-pulling-9-inch", "https://edmondsonsupply.com/collections/electricians-tools/products/klein-tools-j2000-9netp-linemans-pliers-fish-tape-pulling-9-inch")</f>
        <v>https://edmondsonsupply.com/collections/electricians-tools/products/klein-tools-j2000-9netp-linemans-pliers-fish-tape-pulling-9-inch</v>
      </c>
      <c r="B4231" s="3" t="str">
        <f>HYPERLINK("https://edmondsonsupply.com/products/klein-tools-j2000-9netp-linemans-pliers-fish-tape-pulling-9-inch", "https://edmondsonsupply.com/products/klein-tools-j2000-9netp-linemans-pliers-fish-tape-pulling-9-inch")</f>
        <v>https://edmondsonsupply.com/products/klein-tools-j2000-9netp-linemans-pliers-fish-tape-pulling-9-inch</v>
      </c>
      <c r="C4231" t="s">
        <v>8712</v>
      </c>
      <c r="D4231" t="s">
        <v>8713</v>
      </c>
      <c r="E4231" s="3" t="str">
        <f>HYPERLINK("https://www.amazon.com/Klein-Tools-J213-9NETP-Journeyman-Leverage/dp/B000TK970K/ref=sr_1_3?keywords=Klein+Tools+J2000-9NETP+Lineman%27s+Pliers%2C+Fish+Tape+Pulling%2C+9-Inch&amp;qid=1695174247&amp;sr=8-3", "https://www.amazon.com/Klein-Tools-J213-9NETP-Journeyman-Leverage/dp/B000TK970K/ref=sr_1_3?keywords=Klein+Tools+J2000-9NETP+Lineman%27s+Pliers%2C+Fish+Tape+Pulling%2C+9-Inch&amp;qid=1695174247&amp;sr=8-3")</f>
        <v>https://www.amazon.com/Klein-Tools-J213-9NETP-Journeyman-Leverage/dp/B000TK970K/ref=sr_1_3?keywords=Klein+Tools+J2000-9NETP+Lineman%27s+Pliers%2C+Fish+Tape+Pulling%2C+9-Inch&amp;qid=1695174247&amp;sr=8-3</v>
      </c>
      <c r="F4231" t="s">
        <v>8714</v>
      </c>
      <c r="G4231" t="e">
        <f ca="1">_xludf.IMAGE("https://edmondsonsupply.com/cdn/shop/products/j20009netp.jpg?v=1633031134")</f>
        <v>#NAME?</v>
      </c>
      <c r="H4231" t="e">
        <f ca="1">_xludf.IMAGE("https://m.media-amazon.com/images/I/51Ux2OmUuAL._AC_UL320_.jpg")</f>
        <v>#NAME?</v>
      </c>
      <c r="I4231" t="s">
        <v>269</v>
      </c>
      <c r="J4231">
        <v>44.99</v>
      </c>
      <c r="K4231" s="4">
        <v>-0.18190000000000001</v>
      </c>
      <c r="L4231">
        <v>4.8</v>
      </c>
      <c r="M4231">
        <v>419</v>
      </c>
      <c r="O4231" t="s">
        <v>25</v>
      </c>
      <c r="P4231" t="s">
        <v>8100</v>
      </c>
      <c r="Q4231" t="s">
        <v>8715</v>
      </c>
    </row>
    <row r="4232" spans="1:17" ht="15.5" x14ac:dyDescent="0.35">
      <c r="A4232"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4232" s="3" t="str">
        <f>HYPERLINK("https://edmondsonsupply.com/products/klein-tools-j20017ne-heavy-duty-linemans-pliers-7-inch", "https://edmondsonsupply.com/products/klein-tools-j20017ne-heavy-duty-linemans-pliers-7-inch")</f>
        <v>https://edmondsonsupply.com/products/klein-tools-j20017ne-heavy-duty-linemans-pliers-7-inch</v>
      </c>
      <c r="C4232" t="s">
        <v>8097</v>
      </c>
      <c r="D4232" t="s">
        <v>8716</v>
      </c>
      <c r="E4232" s="3" t="str">
        <f>HYPERLINK("https://www.amazon.com/Cutters-Leverage-Klein-Tools-D2000-7/dp/B00093DXUW/ref=sr_1_2?keywords=Klein+Tools+J20017NE+Heavy-Duty+Lineman%27s+Pliers%2C+7-Inch&amp;qid=1695174165&amp;sr=8-2", "https://www.amazon.com/Cutters-Leverage-Klein-Tools-D2000-7/dp/B00093DXUW/ref=sr_1_2?keywords=Klein+Tools+J20017NE+Heavy-Duty+Lineman%27s+Pliers%2C+7-Inch&amp;qid=1695174165&amp;sr=8-2")</f>
        <v>https://www.amazon.com/Cutters-Leverage-Klein-Tools-D2000-7/dp/B00093DXUW/ref=sr_1_2?keywords=Klein+Tools+J20017NE+Heavy-Duty+Lineman%27s+Pliers%2C+7-Inch&amp;qid=1695174165&amp;sr=8-2</v>
      </c>
      <c r="F4232" t="s">
        <v>8717</v>
      </c>
      <c r="G4232" t="e">
        <f ca="1">_xludf.IMAGE("https://edmondsonsupply.com/cdn/shop/products/j20017ne.jpg?v=1662669673")</f>
        <v>#NAME?</v>
      </c>
      <c r="H4232" t="e">
        <f ca="1">_xludf.IMAGE("https://m.media-amazon.com/images/I/51qEoG92lmL._AC_UL320_.jpg")</f>
        <v>#NAME?</v>
      </c>
      <c r="I4232" t="s">
        <v>269</v>
      </c>
      <c r="J4232">
        <v>44.99</v>
      </c>
      <c r="K4232" s="4">
        <v>-0.18190000000000001</v>
      </c>
      <c r="L4232">
        <v>4.4000000000000004</v>
      </c>
      <c r="M4232">
        <v>48</v>
      </c>
      <c r="O4232" t="s">
        <v>25</v>
      </c>
      <c r="P4232" t="s">
        <v>8100</v>
      </c>
      <c r="Q4232" t="s">
        <v>8101</v>
      </c>
    </row>
    <row r="4233" spans="1:17" ht="15.5" x14ac:dyDescent="0.35">
      <c r="A4233" s="3" t="str">
        <f>HYPERLINK("https://edmondsonsupply.com/collections/electricians-tools/products/klein-tools-j2000-9netp-linemans-pliers-fish-tape-pulling-9-inch", "https://edmondsonsupply.com/collections/electricians-tools/products/klein-tools-j2000-9netp-linemans-pliers-fish-tape-pulling-9-inch")</f>
        <v>https://edmondsonsupply.com/collections/electricians-tools/products/klein-tools-j2000-9netp-linemans-pliers-fish-tape-pulling-9-inch</v>
      </c>
      <c r="B4233" s="3" t="str">
        <f>HYPERLINK("https://edmondsonsupply.com/products/klein-tools-j2000-9netp-linemans-pliers-fish-tape-pulling-9-inch", "https://edmondsonsupply.com/products/klein-tools-j2000-9netp-linemans-pliers-fish-tape-pulling-9-inch")</f>
        <v>https://edmondsonsupply.com/products/klein-tools-j2000-9netp-linemans-pliers-fish-tape-pulling-9-inch</v>
      </c>
      <c r="C4233" t="s">
        <v>8712</v>
      </c>
      <c r="D4233" t="s">
        <v>8718</v>
      </c>
      <c r="E4233" s="3" t="str">
        <f>HYPERLINK("https://www.amazon.com/Klein-Tools-D2000-9NETP-Linemans-Pulling/dp/B0002RI9G8/ref=sr_1_2?keywords=Klein+Tools+J2000-9NETP+Lineman%27s+Pliers%2C+Fish+Tape+Pulling%2C+9-Inch&amp;qid=1695174247&amp;sr=8-2", "https://www.amazon.com/Klein-Tools-D2000-9NETP-Linemans-Pulling/dp/B0002RI9G8/ref=sr_1_2?keywords=Klein+Tools+J2000-9NETP+Lineman%27s+Pliers%2C+Fish+Tape+Pulling%2C+9-Inch&amp;qid=1695174247&amp;sr=8-2")</f>
        <v>https://www.amazon.com/Klein-Tools-D2000-9NETP-Linemans-Pulling/dp/B0002RI9G8/ref=sr_1_2?keywords=Klein+Tools+J2000-9NETP+Lineman%27s+Pliers%2C+Fish+Tape+Pulling%2C+9-Inch&amp;qid=1695174247&amp;sr=8-2</v>
      </c>
      <c r="F4233" t="s">
        <v>8719</v>
      </c>
      <c r="G4233" t="e">
        <f ca="1">_xludf.IMAGE("https://edmondsonsupply.com/cdn/shop/products/j20009netp.jpg?v=1633031134")</f>
        <v>#NAME?</v>
      </c>
      <c r="H4233" t="e">
        <f ca="1">_xludf.IMAGE("https://m.media-amazon.com/images/I/41kGFR8FwvL._AC_UL320_.jpg")</f>
        <v>#NAME?</v>
      </c>
      <c r="I4233" t="s">
        <v>269</v>
      </c>
      <c r="J4233">
        <v>44.99</v>
      </c>
      <c r="K4233" s="4">
        <v>-0.18190000000000001</v>
      </c>
      <c r="L4233">
        <v>4.8</v>
      </c>
      <c r="M4233">
        <v>1734</v>
      </c>
      <c r="O4233" t="s">
        <v>25</v>
      </c>
      <c r="P4233" t="s">
        <v>8100</v>
      </c>
      <c r="Q4233" t="s">
        <v>8715</v>
      </c>
    </row>
    <row r="4234" spans="1:17" ht="15.5" x14ac:dyDescent="0.35">
      <c r="A4234"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4234" s="3" t="str">
        <f>HYPERLINK("https://edmondsonsupply.com/products/klein-tools-31932-bi-metal-hole-saw-2-inch", "https://edmondsonsupply.com/products/klein-tools-31932-bi-metal-hole-saw-2-inch")</f>
        <v>https://edmondsonsupply.com/products/klein-tools-31932-bi-metal-hole-saw-2-inch</v>
      </c>
      <c r="C4234" t="s">
        <v>6244</v>
      </c>
      <c r="D4234" t="s">
        <v>6049</v>
      </c>
      <c r="E4234" s="3" t="str">
        <f>HYPERLINK("https://www.amazon.com/Bi-Metal-8-Inch-Klein-Tools-31922/dp/B019874Q0K/ref=sr_1_4?keywords=Klein+Tools+31932+Bi-Metal+Hole+Saw%2C+2-Inch&amp;qid=1695174279&amp;sr=8-4", "https://www.amazon.com/Bi-Metal-8-Inch-Klein-Tools-31922/dp/B019874Q0K/ref=sr_1_4?keywords=Klein+Tools+31932+Bi-Metal+Hole+Saw%2C+2-Inch&amp;qid=1695174279&amp;sr=8-4")</f>
        <v>https://www.amazon.com/Bi-Metal-8-Inch-Klein-Tools-31922/dp/B019874Q0K/ref=sr_1_4?keywords=Klein+Tools+31932+Bi-Metal+Hole+Saw%2C+2-Inch&amp;qid=1695174279&amp;sr=8-4</v>
      </c>
      <c r="F4234" t="s">
        <v>7576</v>
      </c>
      <c r="G4234" t="e">
        <f ca="1">_xludf.IMAGE("https://edmondsonsupply.com/cdn/shop/products/31932.jpg?v=1633030939")</f>
        <v>#NAME?</v>
      </c>
      <c r="H4234" t="e">
        <f ca="1">_xludf.IMAGE("https://m.media-amazon.com/images/I/41GAmyLoB4L._AC_UL320_.jpg")</f>
        <v>#NAME?</v>
      </c>
      <c r="I4234" t="s">
        <v>6056</v>
      </c>
      <c r="J4234">
        <v>8.99</v>
      </c>
      <c r="K4234" s="4">
        <v>-0.182</v>
      </c>
      <c r="L4234">
        <v>4.5</v>
      </c>
      <c r="M4234">
        <v>366</v>
      </c>
      <c r="O4234" t="s">
        <v>25</v>
      </c>
      <c r="P4234" t="s">
        <v>1620</v>
      </c>
      <c r="Q4234" t="s">
        <v>6247</v>
      </c>
    </row>
    <row r="4235" spans="1:17" ht="15.5" x14ac:dyDescent="0.35">
      <c r="A4235" s="3" t="str">
        <f>HYPERLINK("https://edmondsonsupply.com/collections/electricians-tools/products/milwaukee-2840-20-m18-fuel%E2%84%A2-2-gallon-compact-quiet-compressor", "https://edmondsonsupply.com/collections/electricians-tools/products/milwaukee-2840-20-m18-fuel%E2%84%A2-2-gallon-compact-quiet-compressor")</f>
        <v>https://edmondsonsupply.com/collections/electricians-tools/products/milwaukee-2840-20-m18-fuel%E2%84%A2-2-gallon-compact-quiet-compressor</v>
      </c>
      <c r="B4235" s="3" t="str">
        <f>HYPERLINK("https://edmondsonsupply.com/products/milwaukee-2840-20-m18-fuel%e2%84%a2-2-gallon-compact-quiet-compressor", "https://edmondsonsupply.com/products/milwaukee-2840-20-m18-fuel%e2%84%a2-2-gallon-compact-quiet-compressor")</f>
        <v>https://edmondsonsupply.com/products/milwaukee-2840-20-m18-fuel%e2%84%a2-2-gallon-compact-quiet-compressor</v>
      </c>
      <c r="C4235" t="s">
        <v>8720</v>
      </c>
      <c r="D4235" t="s">
        <v>8721</v>
      </c>
      <c r="E4235" s="3" t="str">
        <f>HYPERLINK("https://www.amazon.com/Milwaukee-Gallon-Compact-Quiet-Compressor/dp/B09KP54SJB/ref=sr_1_1?keywords=Milwaukee+2840-20+M18+FUEL%E2%84%A2+2+Gallon+Compact+Quiet+Compressor&amp;qid=1695174058&amp;sr=8-1", "https://www.amazon.com/Milwaukee-Gallon-Compact-Quiet-Compressor/dp/B09KP54SJB/ref=sr_1_1?keywords=Milwaukee+2840-20+M18+FUEL%E2%84%A2+2+Gallon+Compact+Quiet+Compressor&amp;qid=1695174058&amp;sr=8-1")</f>
        <v>https://www.amazon.com/Milwaukee-Gallon-Compact-Quiet-Compressor/dp/B09KP54SJB/ref=sr_1_1?keywords=Milwaukee+2840-20+M18+FUEL%E2%84%A2+2+Gallon+Compact+Quiet+Compressor&amp;qid=1695174058&amp;sr=8-1</v>
      </c>
      <c r="F4235" t="s">
        <v>8722</v>
      </c>
      <c r="G4235" t="e">
        <f ca="1">_xludf.IMAGE("https://edmondsonsupply.com/cdn/shop/products/2840-20_4.webp?v=1678905365")</f>
        <v>#NAME?</v>
      </c>
      <c r="H4235" t="e">
        <f ca="1">_xludf.IMAGE("https://m.media-amazon.com/images/I/31nnGMwGAyL._AC_UL320_.jpg")</f>
        <v>#NAME?</v>
      </c>
      <c r="I4235" t="s">
        <v>8297</v>
      </c>
      <c r="J4235">
        <v>310</v>
      </c>
      <c r="K4235" s="4">
        <v>-0.18210000000000001</v>
      </c>
      <c r="L4235">
        <v>4.7</v>
      </c>
      <c r="M4235">
        <v>96</v>
      </c>
      <c r="O4235" t="s">
        <v>25</v>
      </c>
      <c r="P4235" t="s">
        <v>8298</v>
      </c>
      <c r="Q4235" t="s">
        <v>8723</v>
      </c>
    </row>
    <row r="4236" spans="1:17" ht="15.5" x14ac:dyDescent="0.35">
      <c r="A4236"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4236"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4236" t="s">
        <v>6976</v>
      </c>
      <c r="D4236" t="s">
        <v>3163</v>
      </c>
      <c r="E4236" s="3" t="str">
        <f>HYPERLINK("https://www.amazon.com/Journeyman-T-Handle-Klein-Tools-JTH9E14/dp/B004QVAH4I/ref=sr_1_6?keywords=Klein+Tools+JTH6E11BE+3%2F16-Inch+Ball+Hex+Key%2C+Journeyman+T-Handle+6-Inch&amp;qid=1695174298&amp;sr=8-6", "https://www.amazon.com/Journeyman-T-Handle-Klein-Tools-JTH9E14/dp/B004QVAH4I/ref=sr_1_6?keywords=Klein+Tools+JTH6E11BE+3%2F16-Inch+Ball+Hex+Key%2C+Journeyman+T-Handle+6-Inch&amp;qid=1695174298&amp;sr=8-6")</f>
        <v>https://www.amazon.com/Journeyman-T-Handle-Klein-Tools-JTH9E14/dp/B004QVAH4I/ref=sr_1_6?keywords=Klein+Tools+JTH6E11BE+3%2F16-Inch+Ball+Hex+Key%2C+Journeyman+T-Handle+6-Inch&amp;qid=1695174298&amp;sr=8-6</v>
      </c>
      <c r="F4236" t="s">
        <v>3164</v>
      </c>
      <c r="G4236" t="e">
        <f ca="1">_xludf.IMAGE("https://edmondsonsupply.com/cdn/shop/products/jth6e13be_9dba8a6a-8a07-4d76-a54f-fe57b92b3fea.jpg?v=1610659188")</f>
        <v>#NAME?</v>
      </c>
      <c r="H4236" t="e">
        <f ca="1">_xludf.IMAGE("https://m.media-amazon.com/images/I/51Yb8h41vLL._AC_UL320_.jpg")</f>
        <v>#NAME?</v>
      </c>
      <c r="I4236" t="s">
        <v>6464</v>
      </c>
      <c r="J4236">
        <v>7.44</v>
      </c>
      <c r="K4236" s="4">
        <v>-0.1842</v>
      </c>
      <c r="L4236">
        <v>4.8</v>
      </c>
      <c r="M4236">
        <v>114</v>
      </c>
      <c r="O4236" t="s">
        <v>25</v>
      </c>
      <c r="P4236" t="s">
        <v>138</v>
      </c>
      <c r="Q4236" t="s">
        <v>6977</v>
      </c>
    </row>
    <row r="4237" spans="1:17" ht="15.5" x14ac:dyDescent="0.35">
      <c r="A4237" s="3" t="str">
        <f>HYPERLINK("https://edmondsonsupply.com/collections/electricians-tools/products/supco-m500-insulation-tester-led-megohmmeter", "https://edmondsonsupply.com/collections/electricians-tools/products/supco-m500-insulation-tester-led-megohmmeter")</f>
        <v>https://edmondsonsupply.com/collections/electricians-tools/products/supco-m500-insulation-tester-led-megohmmeter</v>
      </c>
      <c r="B4237" s="3" t="str">
        <f>HYPERLINK("https://edmondsonsupply.com/products/supco-m500-insulation-tester-led-megohmmeter", "https://edmondsonsupply.com/products/supco-m500-insulation-tester-led-megohmmeter")</f>
        <v>https://edmondsonsupply.com/products/supco-m500-insulation-tester-led-megohmmeter</v>
      </c>
      <c r="C4237" t="s">
        <v>5235</v>
      </c>
      <c r="D4237" t="s">
        <v>5236</v>
      </c>
      <c r="E4237" s="3" t="str">
        <f>HYPERLINK("https://www.amazon.com/Supco-M500-Insulation-Electronic-Megohmmeter/dp/B004OMAWIA/ref=sr_1_1?keywords=Supco+M500+Insulation+Tester+%2F+LED+Megohmmeter&amp;qid=1695173855&amp;sr=8-1", "https://www.amazon.com/Supco-M500-Insulation-Electronic-Megohmmeter/dp/B004OMAWIA/ref=sr_1_1?keywords=Supco+M500+Insulation+Tester+%2F+LED+Megohmmeter&amp;qid=1695173855&amp;sr=8-1")</f>
        <v>https://www.amazon.com/Supco-M500-Insulation-Electronic-Megohmmeter/dp/B004OMAWIA/ref=sr_1_1?keywords=Supco+M500+Insulation+Tester+%2F+LED+Megohmmeter&amp;qid=1695173855&amp;sr=8-1</v>
      </c>
      <c r="F4237" t="s">
        <v>5237</v>
      </c>
      <c r="G4237" t="e">
        <f ca="1">_xludf.IMAGE("https://edmondsonsupply.com/cdn/shop/products/M500.jpg?v=1633030328")</f>
        <v>#NAME?</v>
      </c>
      <c r="H4237" t="e">
        <f ca="1">_xludf.IMAGE("https://m.media-amazon.com/images/I/91l8NQ5Jp5L._AC_UY218_.jpg")</f>
        <v>#NAME?</v>
      </c>
      <c r="I4237" t="s">
        <v>5238</v>
      </c>
      <c r="J4237">
        <v>95.35</v>
      </c>
      <c r="K4237" s="4">
        <v>-0.18459999999999999</v>
      </c>
      <c r="L4237">
        <v>4.7</v>
      </c>
      <c r="M4237">
        <v>1264</v>
      </c>
      <c r="O4237" t="s">
        <v>25</v>
      </c>
      <c r="P4237" t="s">
        <v>138</v>
      </c>
      <c r="Q4237" t="s">
        <v>5239</v>
      </c>
    </row>
    <row r="4238" spans="1:17" ht="15.5" x14ac:dyDescent="0.35">
      <c r="A4238"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4238" s="3" t="str">
        <f>HYPERLINK("https://edmondsonsupply.com/products/fluke-373-true-rms-ac-clamp-meter", "https://edmondsonsupply.com/products/fluke-373-true-rms-ac-clamp-meter")</f>
        <v>https://edmondsonsupply.com/products/fluke-373-true-rms-ac-clamp-meter</v>
      </c>
      <c r="C4238" t="s">
        <v>5826</v>
      </c>
      <c r="D4238" t="s">
        <v>5826</v>
      </c>
      <c r="E4238" s="3" t="str">
        <f>HYPERLINK("https://www.amazon.com/Fluke-373-True-RMS-Clamp-Meter/dp/B004DZCWIQ/ref=sr_1_1?keywords=Fluke+373+True-RMS+AC+Clamp+Meter&amp;qid=1695173996&amp;sr=8-1", "https://www.amazon.com/Fluke-373-True-RMS-Clamp-Meter/dp/B004DZCWIQ/ref=sr_1_1?keywords=Fluke+373+True-RMS+AC+Clamp+Meter&amp;qid=1695173996&amp;sr=8-1")</f>
        <v>https://www.amazon.com/Fluke-373-True-RMS-Clamp-Meter/dp/B004DZCWIQ/ref=sr_1_1?keywords=Fluke+373+True-RMS+AC+Clamp+Meter&amp;qid=1695173996&amp;sr=8-1</v>
      </c>
      <c r="F4238" t="s">
        <v>5936</v>
      </c>
      <c r="G4238" t="e">
        <f ca="1">_xludf.IMAGE("https://edmondsonsupply.com/cdn/shop/files/f-373-01d-1500x1000.webp?v=1689369435")</f>
        <v>#NAME?</v>
      </c>
      <c r="H4238" t="e">
        <f ca="1">_xludf.IMAGE("https://m.media-amazon.com/images/I/617BjfkzIaL._AC_UY218_.jpg")</f>
        <v>#NAME?</v>
      </c>
      <c r="I4238" t="s">
        <v>5829</v>
      </c>
      <c r="J4238">
        <v>236.46</v>
      </c>
      <c r="K4238" s="4">
        <v>-0.18479999999999999</v>
      </c>
      <c r="L4238">
        <v>4.7</v>
      </c>
      <c r="M4238">
        <v>84</v>
      </c>
      <c r="O4238" t="s">
        <v>25</v>
      </c>
      <c r="P4238" t="s">
        <v>138</v>
      </c>
      <c r="Q4238" t="s">
        <v>5830</v>
      </c>
    </row>
    <row r="4239" spans="1:17" ht="15.5" x14ac:dyDescent="0.35">
      <c r="A4239"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4239"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4239" t="s">
        <v>6976</v>
      </c>
      <c r="D4239" t="s">
        <v>3172</v>
      </c>
      <c r="E4239" s="3" t="str">
        <f>HYPERLINK("https://www.amazon.com/Journeyman-T-Handle-Klein-Tools-JTH6M5BE/dp/B005G3959S/ref=sr_1_4?keywords=Klein+Tools+JTH6E11BE+3%2F16-Inch+Ball+Hex+Key%2C+Journeyman+T-Handle+6-Inch&amp;qid=1695174298&amp;sr=8-4", "https://www.amazon.com/Journeyman-T-Handle-Klein-Tools-JTH6M5BE/dp/B005G3959S/ref=sr_1_4?keywords=Klein+Tools+JTH6E11BE+3%2F16-Inch+Ball+Hex+Key%2C+Journeyman+T-Handle+6-Inch&amp;qid=1695174298&amp;sr=8-4")</f>
        <v>https://www.amazon.com/Journeyman-T-Handle-Klein-Tools-JTH6M5BE/dp/B005G3959S/ref=sr_1_4?keywords=Klein+Tools+JTH6E11BE+3%2F16-Inch+Ball+Hex+Key%2C+Journeyman+T-Handle+6-Inch&amp;qid=1695174298&amp;sr=8-4</v>
      </c>
      <c r="F4239" t="s">
        <v>3173</v>
      </c>
      <c r="G4239" t="e">
        <f ca="1">_xludf.IMAGE("https://edmondsonsupply.com/cdn/shop/products/jth6e13be_9dba8a6a-8a07-4d76-a54f-fe57b92b3fea.jpg?v=1610659188")</f>
        <v>#NAME?</v>
      </c>
      <c r="H4239" t="e">
        <f ca="1">_xludf.IMAGE("https://m.media-amazon.com/images/I/51huXA+ij8L._AC_UL320_.jpg")</f>
        <v>#NAME?</v>
      </c>
      <c r="I4239" t="s">
        <v>6464</v>
      </c>
      <c r="J4239">
        <v>7.43</v>
      </c>
      <c r="K4239" s="4">
        <v>-0.18529999999999999</v>
      </c>
      <c r="L4239">
        <v>4.8</v>
      </c>
      <c r="M4239">
        <v>988</v>
      </c>
      <c r="O4239" t="s">
        <v>25</v>
      </c>
      <c r="P4239" t="s">
        <v>138</v>
      </c>
      <c r="Q4239" t="s">
        <v>6977</v>
      </c>
    </row>
    <row r="4240" spans="1:17" ht="15.5" x14ac:dyDescent="0.35">
      <c r="A4240"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4240"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4240" t="s">
        <v>6861</v>
      </c>
      <c r="D4240" t="s">
        <v>8724</v>
      </c>
      <c r="E4240" s="3" t="str">
        <f>HYPERLINK("https://www.amazon.com/Klein-Tools-CL120-Auto-Ranging-Measurements/dp/B08CP6GL49/ref=sr_1_7?keywords=Klein+Tools+CL220+Digital+Clamp+Meter%2C+AC+Auto-Ranging+400+Amp+with+Temp&amp;qid=1695174305&amp;sr=8-7", "https://www.amazon.com/Klein-Tools-CL120-Auto-Ranging-Measurements/dp/B08CP6GL49/ref=sr_1_7?keywords=Klein+Tools+CL220+Digital+Clamp+Meter%2C+AC+Auto-Ranging+400+Amp+with+Temp&amp;qid=1695174305&amp;sr=8-7")</f>
        <v>https://www.amazon.com/Klein-Tools-CL120-Auto-Ranging-Measurements/dp/B08CP6GL49/ref=sr_1_7?keywords=Klein+Tools+CL220+Digital+Clamp+Meter%2C+AC+Auto-Ranging+400+Amp+with+Temp&amp;qid=1695174305&amp;sr=8-7</v>
      </c>
      <c r="F4240" t="s">
        <v>8725</v>
      </c>
      <c r="G4240" t="e">
        <f ca="1">_xludf.IMAGE("https://edmondsonsupply.com/cdn/shop/products/cl220.jpg?v=1633030821")</f>
        <v>#NAME?</v>
      </c>
      <c r="H4240" t="e">
        <f ca="1">_xludf.IMAGE("https://m.media-amazon.com/images/I/61kcTqY2rFL._AC_UY218_.jpg")</f>
        <v>#NAME?</v>
      </c>
      <c r="I4240" t="s">
        <v>356</v>
      </c>
      <c r="J4240">
        <v>56.99</v>
      </c>
      <c r="K4240" s="4">
        <v>-0.1855</v>
      </c>
      <c r="L4240">
        <v>4.7</v>
      </c>
      <c r="M4240">
        <v>499</v>
      </c>
      <c r="O4240" t="s">
        <v>25</v>
      </c>
      <c r="P4240" t="s">
        <v>6864</v>
      </c>
      <c r="Q4240" t="s">
        <v>6865</v>
      </c>
    </row>
    <row r="4241" spans="1:17" ht="15.5" x14ac:dyDescent="0.35">
      <c r="A4241" s="3" t="str">
        <f>HYPERLINK("https://edmondsonsupply.com/collections/electricians-tools/products/greenlee-gsb02-1-2-step-bit-2", "https://edmondsonsupply.com/collections/electricians-tools/products/greenlee-gsb02-1-2-step-bit-2")</f>
        <v>https://edmondsonsupply.com/collections/electricians-tools/products/greenlee-gsb02-1-2-step-bit-2</v>
      </c>
      <c r="B4241" s="3" t="str">
        <f>HYPERLINK("https://edmondsonsupply.com/products/greenlee-gsb02-1-2-step-bit-2", "https://edmondsonsupply.com/products/greenlee-gsb02-1-2-step-bit-2")</f>
        <v>https://edmondsonsupply.com/products/greenlee-gsb02-1-2-step-bit-2</v>
      </c>
      <c r="C4241" t="s">
        <v>2882</v>
      </c>
      <c r="D4241" t="s">
        <v>4378</v>
      </c>
      <c r="E4241" s="3" t="str">
        <f>HYPERLINK("https://www.amazon.com/Greenlee-GSB04-Step-Bit/dp/B08TVF22W4/ref=sr_1_1?keywords=Greenlee+GSB02+1%2F2%22+Step+Bit+%28%232%29&amp;qid=1695173993&amp;sr=8-1", "https://www.amazon.com/Greenlee-GSB04-Step-Bit/dp/B08TVF22W4/ref=sr_1_1?keywords=Greenlee+GSB02+1%2F2%22+Step+Bit+%28%232%29&amp;qid=1695173993&amp;sr=8-1")</f>
        <v>https://www.amazon.com/Greenlee-GSB04-Step-Bit/dp/B08TVF22W4/ref=sr_1_1?keywords=Greenlee+GSB02+1%2F2%22+Step+Bit+%28%232%29&amp;qid=1695173993&amp;sr=8-1</v>
      </c>
      <c r="F4241" t="s">
        <v>4379</v>
      </c>
      <c r="G4241" t="e">
        <f ca="1">_xludf.IMAGE("https://edmondsonsupply.com/cdn/shop/files/GSB02_CAT1_72dpi.jpg?v=1687783943")</f>
        <v>#NAME?</v>
      </c>
      <c r="H4241" t="e">
        <f ca="1">_xludf.IMAGE("https://m.media-amazon.com/images/I/41FX4czhS0L._AC_UY218_.jpg")</f>
        <v>#NAME?</v>
      </c>
      <c r="I4241" t="s">
        <v>2883</v>
      </c>
      <c r="J4241">
        <v>32</v>
      </c>
      <c r="K4241" s="4">
        <v>-0.1855</v>
      </c>
      <c r="L4241">
        <v>5</v>
      </c>
      <c r="M4241">
        <v>7</v>
      </c>
      <c r="O4241" t="s">
        <v>25</v>
      </c>
      <c r="P4241" t="s">
        <v>2884</v>
      </c>
      <c r="Q4241" t="s">
        <v>2885</v>
      </c>
    </row>
    <row r="4242" spans="1:17" ht="15.5" x14ac:dyDescent="0.35">
      <c r="A4242" s="3" t="str">
        <f>HYPERLINK("https://edmondsonsupply.com/collections/electricians-tools/products/klein-tools-69406-tradesman-pro%E2%84%A2-carrying-case-small", "https://edmondsonsupply.com/collections/electricians-tools/products/klein-tools-69406-tradesman-pro%E2%84%A2-carrying-case-small")</f>
        <v>https://edmondsonsupply.com/collections/electricians-tools/products/klein-tools-69406-tradesman-pro%E2%84%A2-carrying-case-small</v>
      </c>
      <c r="B4242" s="3" t="str">
        <f>HYPERLINK("https://edmondsonsupply.com/products/klein-tools-69406-tradesman-pro%e2%84%a2-carrying-case-small", "https://edmondsonsupply.com/products/klein-tools-69406-tradesman-pro%e2%84%a2-carrying-case-small")</f>
        <v>https://edmondsonsupply.com/products/klein-tools-69406-tradesman-pro%e2%84%a2-carrying-case-small</v>
      </c>
      <c r="C4242" t="s">
        <v>8726</v>
      </c>
      <c r="D4242" t="s">
        <v>8727</v>
      </c>
      <c r="E4242" s="3" t="str">
        <f>HYPERLINK("https://www.amazon.com/Tradesman-Carrying-Klein-Tools-69406/dp/B00FZEO5V6/ref=sr_1_1?keywords=Klein+Tools+69406+Tradesman+Pro%E2%84%A2+Carrying+Case+Small&amp;qid=1695174037&amp;sr=8-1", "https://www.amazon.com/Tradesman-Carrying-Klein-Tools-69406/dp/B00FZEO5V6/ref=sr_1_1?keywords=Klein+Tools+69406+Tradesman+Pro%E2%84%A2+Carrying+Case+Small&amp;qid=1695174037&amp;sr=8-1")</f>
        <v>https://www.amazon.com/Tradesman-Carrying-Klein-Tools-69406/dp/B00FZEO5V6/ref=sr_1_1?keywords=Klein+Tools+69406+Tradesman+Pro%E2%84%A2+Carrying+Case+Small&amp;qid=1695174037&amp;sr=8-1</v>
      </c>
      <c r="F4242" t="s">
        <v>8728</v>
      </c>
      <c r="G4242" t="e">
        <f ca="1">_xludf.IMAGE("https://edmondsonsupply.com/cdn/shop/files/69406.jpg?v=1685457393")</f>
        <v>#NAME?</v>
      </c>
      <c r="H4242" t="e">
        <f ca="1">_xludf.IMAGE("https://m.media-amazon.com/images/I/61BS-7VeV1L._AC_UL320_.jpg")</f>
        <v>#NAME?</v>
      </c>
      <c r="I4242" t="s">
        <v>3207</v>
      </c>
      <c r="J4242">
        <v>22.79</v>
      </c>
      <c r="K4242" s="4">
        <v>-0.18579999999999999</v>
      </c>
      <c r="L4242">
        <v>4.7</v>
      </c>
      <c r="M4242">
        <v>191</v>
      </c>
      <c r="O4242" t="s">
        <v>25</v>
      </c>
      <c r="P4242" t="s">
        <v>8729</v>
      </c>
      <c r="Q4242" t="s">
        <v>8730</v>
      </c>
    </row>
    <row r="4243" spans="1:17" ht="15.5" x14ac:dyDescent="0.35">
      <c r="A4243" s="3" t="str">
        <f>HYPERLINK("https://edmondsonsupply.com/collections/electricians-tools/products/diablo-tools-dou250bw3-2-1-2-in-universal-fit-bi-metal-oscillating-blades-for-nail-embedded-wood-3-pack", "https://edmondsonsupply.com/collections/electricians-tools/products/diablo-tools-dou250bw3-2-1-2-in-universal-fit-bi-metal-oscillating-blades-for-nail-embedded-wood-3-pack")</f>
        <v>https://edmondsonsupply.com/collections/electricians-tools/products/diablo-tools-dou250bw3-2-1-2-in-universal-fit-bi-metal-oscillating-blades-for-nail-embedded-wood-3-pack</v>
      </c>
      <c r="B4243"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4243" t="s">
        <v>5937</v>
      </c>
      <c r="D4243" t="s">
        <v>5938</v>
      </c>
      <c r="E4243" s="3" t="str">
        <f>HYPERLINK("https://www.amazon.com/Diablo-Universal-Bi-Metal-Blades-Nail-Embedded/dp/B089KW2WVD/ref=sr_1_3?keywords=Diablo+Tools+DOU250BW3+2-1%2F2+in.+Universal+Fit+Bi-Metal+Oscillating+Blades+for+Nail-Embedded+Wood+%283+pack%29&amp;qid=1695174017&amp;sr=8-3", "https://www.amazon.com/Diablo-Universal-Bi-Metal-Blades-Nail-Embedded/dp/B089KW2WVD/ref=sr_1_3?keywords=Diablo+Tools+DOU250BW3+2-1%2F2+in.+Universal+Fit+Bi-Metal+Oscillating+Blades+for+Nail-Embedded+Wood+%283+pack%29&amp;qid=1695174017&amp;sr=8-3")</f>
        <v>https://www.amazon.com/Diablo-Universal-Bi-Metal-Blades-Nail-Embedded/dp/B089KW2WVD/ref=sr_1_3?keywords=Diablo+Tools+DOU250BW3+2-1%2F2+in.+Universal+Fit+Bi-Metal+Oscillating+Blades+for+Nail-Embedded+Wood+%283+pack%29&amp;qid=1695174017&amp;sr=8-3</v>
      </c>
      <c r="F4243" t="s">
        <v>5939</v>
      </c>
      <c r="G4243" t="e">
        <f ca="1">_xludf.IMAGE("https://edmondsonsupply.com/cdn/shop/files/xcched1uye7bv2s0ryod_fbd674d3-3cd9-4e2a-a920-451af57abfde.webp?v=1686149226")</f>
        <v>#NAME?</v>
      </c>
      <c r="H4243" t="e">
        <f ca="1">_xludf.IMAGE("https://m.media-amazon.com/images/I/613ig7mNjfL._AC_UL320_.jpg")</f>
        <v>#NAME?</v>
      </c>
      <c r="I4243" t="s">
        <v>5940</v>
      </c>
      <c r="J4243">
        <v>25.49</v>
      </c>
      <c r="K4243" s="4">
        <v>-0.18609999999999999</v>
      </c>
      <c r="L4243">
        <v>4.5999999999999996</v>
      </c>
      <c r="M4243">
        <v>148</v>
      </c>
      <c r="O4243" t="s">
        <v>25</v>
      </c>
      <c r="P4243" t="s">
        <v>5941</v>
      </c>
      <c r="Q4243" t="s">
        <v>5942</v>
      </c>
    </row>
    <row r="4244" spans="1:17" ht="15.5" x14ac:dyDescent="0.35">
      <c r="A4244"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4244"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4244" t="s">
        <v>8676</v>
      </c>
      <c r="D4244" t="s">
        <v>5938</v>
      </c>
      <c r="E4244" s="3" t="str">
        <f>HYPERLINK("https://www.amazon.com/Diablo-Universal-Bi-Metal-Blades-Nail-Embedded/dp/B089KW2WVD/ref=sr_1_3?keywords=Diablo+Tools+DOU250JBW3+2-1%2F2+in.+Universal+Fit+Bi-Metal+Oscillating+Blade+for+Clean+Wood+%283+pk%29&amp;qid=1695174010&amp;sr=8-3", "https://www.amazon.com/Diablo-Universal-Bi-Metal-Blades-Nail-Embedded/dp/B089KW2WVD/ref=sr_1_3?keywords=Diablo+Tools+DOU250JBW3+2-1%2F2+in.+Universal+Fit+Bi-Metal+Oscillating+Blade+for+Clean+Wood+%283+pk%29&amp;qid=1695174010&amp;sr=8-3")</f>
        <v>https://www.amazon.com/Diablo-Universal-Bi-Metal-Blades-Nail-Embedded/dp/B089KW2WVD/ref=sr_1_3?keywords=Diablo+Tools+DOU250JBW3+2-1%2F2+in.+Universal+Fit+Bi-Metal+Oscillating+Blade+for+Clean+Wood+%283+pk%29&amp;qid=1695174010&amp;sr=8-3</v>
      </c>
      <c r="F4244" t="s">
        <v>5939</v>
      </c>
      <c r="G4244" t="e">
        <f ca="1">_xludf.IMAGE("https://edmondsonsupply.com/cdn/shop/files/pycnap4eb1urn2hxvudq_1.webp?v=1685719587")</f>
        <v>#NAME?</v>
      </c>
      <c r="H4244" t="e">
        <f ca="1">_xludf.IMAGE("https://m.media-amazon.com/images/I/613ig7mNjfL._AC_UL320_.jpg")</f>
        <v>#NAME?</v>
      </c>
      <c r="I4244" t="s">
        <v>5940</v>
      </c>
      <c r="J4244">
        <v>25.49</v>
      </c>
      <c r="K4244" s="4">
        <v>-0.18609999999999999</v>
      </c>
      <c r="L4244">
        <v>4.5999999999999996</v>
      </c>
      <c r="M4244">
        <v>148</v>
      </c>
      <c r="O4244" t="s">
        <v>25</v>
      </c>
      <c r="P4244" t="s">
        <v>8677</v>
      </c>
      <c r="Q4244" t="s">
        <v>8678</v>
      </c>
    </row>
    <row r="4245" spans="1:17" ht="15.5" x14ac:dyDescent="0.35">
      <c r="A4245"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4245" s="3" t="str">
        <f>HYPERLINK("https://edmondsonsupply.com/products/milwaukee-2912-22-m18-fuel%e2%84%a2-1-sds-plus-rotary-hammer-kit", "https://edmondsonsupply.com/products/milwaukee-2912-22-m18-fuel%e2%84%a2-1-sds-plus-rotary-hammer-kit")</f>
        <v>https://edmondsonsupply.com/products/milwaukee-2912-22-m18-fuel%e2%84%a2-1-sds-plus-rotary-hammer-kit</v>
      </c>
      <c r="C4245" t="s">
        <v>3848</v>
      </c>
      <c r="D4245" t="s">
        <v>5240</v>
      </c>
      <c r="E4245" s="3" t="str">
        <f>HYPERLINK("https://www.amazon.com/Milwaukee-2912-22-Rotary-Battery-Charger/dp/B09PPQ5Q37/ref=sr_1_1?keywords=Milwaukee+2912-22+M18+FUEL%E2%84%A2+1%22+SDS+Plus+Rotary+Hammer+Kit&amp;qid=1695174040&amp;sr=8-1", "https://www.amazon.com/Milwaukee-2912-22-Rotary-Battery-Charger/dp/B09PPQ5Q37/ref=sr_1_1?keywords=Milwaukee+2912-22+M18+FUEL%E2%84%A2+1%22+SDS+Plus+Rotary+Hammer+Kit&amp;qid=1695174040&amp;sr=8-1")</f>
        <v>https://www.amazon.com/Milwaukee-2912-22-Rotary-Battery-Charger/dp/B09PPQ5Q37/ref=sr_1_1?keywords=Milwaukee+2912-22+M18+FUEL%E2%84%A2+1%22+SDS+Plus+Rotary+Hammer+Kit&amp;qid=1695174040&amp;sr=8-1</v>
      </c>
      <c r="F4245" t="s">
        <v>5241</v>
      </c>
      <c r="G4245" t="e">
        <f ca="1">_xludf.IMAGE("https://edmondsonsupply.com/cdn/shop/files/2912-20_1.webp?v=1686934956")</f>
        <v>#NAME?</v>
      </c>
      <c r="H4245" t="e">
        <f ca="1">_xludf.IMAGE("https://m.media-amazon.com/images/I/717KNJps25L._AC_UL320_.jpg")</f>
        <v>#NAME?</v>
      </c>
      <c r="I4245" t="s">
        <v>3851</v>
      </c>
      <c r="J4245">
        <v>487</v>
      </c>
      <c r="K4245" s="4">
        <v>-0.187</v>
      </c>
      <c r="L4245">
        <v>4.8</v>
      </c>
      <c r="M4245">
        <v>40</v>
      </c>
      <c r="O4245" t="s">
        <v>25</v>
      </c>
      <c r="P4245" t="s">
        <v>3852</v>
      </c>
      <c r="Q4245" t="s">
        <v>3853</v>
      </c>
    </row>
    <row r="4246" spans="1:17" ht="15.5" x14ac:dyDescent="0.35">
      <c r="A4246"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4246" s="3" t="str">
        <f>HYPERLINK("https://edmondsonsupply.com/products/fluke-393-solar-clamp-meter-cat-iii-1500-v", "https://edmondsonsupply.com/products/fluke-393-solar-clamp-meter-cat-iii-1500-v")</f>
        <v>https://edmondsonsupply.com/products/fluke-393-solar-clamp-meter-cat-iii-1500-v</v>
      </c>
      <c r="C4246" t="s">
        <v>6951</v>
      </c>
      <c r="D4246" t="s">
        <v>8731</v>
      </c>
      <c r="E4246" s="3" t="str">
        <f>HYPERLINK("https://www.amazon.com/Fluke-FC-IP54-Rated-Measurements-Continuity/dp/B09BHJNMZK/ref=sr_1_1?keywords=Fluke+393+FC+Solar+Clamp+Meter+CAT+III+1500+V&amp;qid=1695174164&amp;sr=8-1", "https://www.amazon.com/Fluke-FC-IP54-Rated-Measurements-Continuity/dp/B09BHJNMZK/ref=sr_1_1?keywords=Fluke+393+FC+Solar+Clamp+Meter+CAT+III+1500+V&amp;qid=1695174164&amp;sr=8-1")</f>
        <v>https://www.amazon.com/Fluke-FC-IP54-Rated-Measurements-Continuity/dp/B09BHJNMZK/ref=sr_1_1?keywords=Fluke+393+FC+Solar+Clamp+Meter+CAT+III+1500+V&amp;qid=1695174164&amp;sr=8-1</v>
      </c>
      <c r="F4246" t="s">
        <v>8732</v>
      </c>
      <c r="G4246" t="e">
        <f ca="1">_xludf.IMAGE("https://edmondsonsupply.com/cdn/shop/products/F-393fc_01a_w.webp?v=1662652371")</f>
        <v>#NAME?</v>
      </c>
      <c r="H4246" t="e">
        <f ca="1">_xludf.IMAGE("https://m.media-amazon.com/images/I/51m9zf0BY+L._AC_UY218_.jpg")</f>
        <v>#NAME?</v>
      </c>
      <c r="I4246" t="s">
        <v>6954</v>
      </c>
      <c r="J4246">
        <v>550.20000000000005</v>
      </c>
      <c r="K4246" s="4">
        <v>-0.187</v>
      </c>
      <c r="L4246">
        <v>4.8</v>
      </c>
      <c r="M4246">
        <v>26</v>
      </c>
      <c r="O4246" t="s">
        <v>25</v>
      </c>
      <c r="P4246" t="s">
        <v>6955</v>
      </c>
      <c r="Q4246" t="s">
        <v>6956</v>
      </c>
    </row>
    <row r="4247" spans="1:17" ht="15.5" x14ac:dyDescent="0.35">
      <c r="A4247" s="3" t="str">
        <f>HYPERLINK("https://edmondsonsupply.com/collections/electricians-tools/products/klein-tools-jth9e14-5-16-inch-hex-key-journeyman%E2%84%A2-t-handle-9-inch", "https://edmondsonsupply.com/collections/electricians-tools/products/klein-tools-jth9e14-5-16-inch-hex-key-journeyman%E2%84%A2-t-handle-9-inch")</f>
        <v>https://edmondsonsupply.com/collections/electricians-tools/products/klein-tools-jth9e14-5-16-inch-hex-key-journeyman%E2%84%A2-t-handle-9-inch</v>
      </c>
      <c r="B4247" s="3" t="str">
        <f>HYPERLINK("https://edmondsonsupply.com/products/klein-tools-jth9e14-5-16-inch-hex-key-journeyman%e2%84%a2-t-handle-9-inch", "https://edmondsonsupply.com/products/klein-tools-jth9e14-5-16-inch-hex-key-journeyman%e2%84%a2-t-handle-9-inch")</f>
        <v>https://edmondsonsupply.com/products/klein-tools-jth9e14-5-16-inch-hex-key-journeyman%e2%84%a2-t-handle-9-inch</v>
      </c>
      <c r="C4247" t="s">
        <v>6804</v>
      </c>
      <c r="D4247" t="s">
        <v>5025</v>
      </c>
      <c r="E4247" s="3" t="str">
        <f>HYPERLINK("https://www.amazon.com/Journeyman-T-Handle-Klein-Tools-JTH6E14/dp/B004ITSTL6/ref=sr_1_5?keywords=Klein+Tools+JTH9E14+5%2F16-Inch+Hex+Key%2C+Journeyman%E2%84%A2+T-Handle%2C+9-Inch&amp;qid=1695174141&amp;sr=8-5", "https://www.amazon.com/Journeyman-T-Handle-Klein-Tools-JTH6E14/dp/B004ITSTL6/ref=sr_1_5?keywords=Klein+Tools+JTH9E14+5%2F16-Inch+Hex+Key%2C+Journeyman%E2%84%A2+T-Handle%2C+9-Inch&amp;qid=1695174141&amp;sr=8-5")</f>
        <v>https://www.amazon.com/Journeyman-T-Handle-Klein-Tools-JTH6E14/dp/B004ITSTL6/ref=sr_1_5?keywords=Klein+Tools+JTH9E14+5%2F16-Inch+Hex+Key%2C+Journeyman%E2%84%A2+T-Handle%2C+9-Inch&amp;qid=1695174141&amp;sr=8-5</v>
      </c>
      <c r="F4247" t="s">
        <v>5026</v>
      </c>
      <c r="G4247" t="e">
        <f ca="1">_xludf.IMAGE("https://edmondsonsupply.com/cdn/shop/products/jth6e15_f4984146-222a-4a1f-9fb4-94d2ee6d0a9d.jpg?v=1665597420")</f>
        <v>#NAME?</v>
      </c>
      <c r="H4247" t="e">
        <f ca="1">_xludf.IMAGE("https://m.media-amazon.com/images/I/51FYt5m7vZL._AC_UL320_.jpg")</f>
        <v>#NAME?</v>
      </c>
      <c r="I4247" t="s">
        <v>1003</v>
      </c>
      <c r="J4247">
        <v>6.49</v>
      </c>
      <c r="K4247" s="4">
        <v>-0.18770000000000001</v>
      </c>
      <c r="L4247">
        <v>4.8</v>
      </c>
      <c r="M4247">
        <v>2479</v>
      </c>
      <c r="O4247" t="s">
        <v>25</v>
      </c>
      <c r="P4247" t="s">
        <v>6024</v>
      </c>
      <c r="Q4247" t="s">
        <v>6805</v>
      </c>
    </row>
    <row r="4248" spans="1:17" ht="15.5" x14ac:dyDescent="0.35">
      <c r="A4248" s="3" t="str">
        <f>HYPERLINK("https://edmondsonsupply.com/collections/electricians-tools/products/crescent-wiss-wc5ln-10-5-blade-hand-crimper", "https://edmondsonsupply.com/collections/electricians-tools/products/crescent-wiss-wc5ln-10-5-blade-hand-crimper")</f>
        <v>https://edmondsonsupply.com/collections/electricians-tools/products/crescent-wiss-wc5ln-10-5-blade-hand-crimper</v>
      </c>
      <c r="B4248" s="3" t="str">
        <f>HYPERLINK("https://edmondsonsupply.com/products/crescent-wiss-wc5ln-10-5-blade-hand-crimper", "https://edmondsonsupply.com/products/crescent-wiss-wc5ln-10-5-blade-hand-crimper")</f>
        <v>https://edmondsonsupply.com/products/crescent-wiss-wc5ln-10-5-blade-hand-crimper</v>
      </c>
      <c r="C4248" t="s">
        <v>8645</v>
      </c>
      <c r="D4248" t="s">
        <v>8733</v>
      </c>
      <c r="E4248" s="3" t="str">
        <f>HYPERLINK("https://www.amazon.com/Wiss-WC5SN-5-Blade-1-1-Depth/dp/B071VTSD3W/ref=sr_1_2?keywords=Crescent+Wiss+WC5LN+10%22+5-Blade+Hand+Crimper&amp;qid=1695174039&amp;sr=8-2", "https://www.amazon.com/Wiss-WC5SN-5-Blade-1-1-Depth/dp/B071VTSD3W/ref=sr_1_2?keywords=Crescent+Wiss+WC5LN+10%22+5-Blade+Hand+Crimper&amp;qid=1695174039&amp;sr=8-2")</f>
        <v>https://www.amazon.com/Wiss-WC5SN-5-Blade-1-1-Depth/dp/B071VTSD3W/ref=sr_1_2?keywords=Crescent+Wiss+WC5LN+10%22+5-Blade+Hand+Crimper&amp;qid=1695174039&amp;sr=8-2</v>
      </c>
      <c r="F4248" t="s">
        <v>8734</v>
      </c>
      <c r="G4248" t="e">
        <f ca="1">_xludf.IMAGE("https://edmondsonsupply.com/cdn/shop/products/WIS_WC5SN_IMG-MAIN.jpg?v=1679676845")</f>
        <v>#NAME?</v>
      </c>
      <c r="H4248" t="e">
        <f ca="1">_xludf.IMAGE("https://m.media-amazon.com/images/I/51yE81qV1rS._AC_UL320_.jpg")</f>
        <v>#NAME?</v>
      </c>
      <c r="I4248" t="s">
        <v>5940</v>
      </c>
      <c r="J4248">
        <v>25.42</v>
      </c>
      <c r="K4248" s="4">
        <v>-0.18840000000000001</v>
      </c>
      <c r="L4248">
        <v>4.3</v>
      </c>
      <c r="M4248">
        <v>1116</v>
      </c>
      <c r="O4248" t="s">
        <v>25</v>
      </c>
      <c r="P4248" t="s">
        <v>8648</v>
      </c>
      <c r="Q4248" t="s">
        <v>8649</v>
      </c>
    </row>
    <row r="4249" spans="1:17" ht="15.5" x14ac:dyDescent="0.35">
      <c r="A4249" s="3" t="str">
        <f>HYPERLINK("https://edmondsonsupply.com/collections/electricians-tools/products/klein-tools-mm720-digital-multimeter-trms-auto-ranging-1000v-temp-low-impedance", "https://edmondsonsupply.com/collections/electricians-tools/products/klein-tools-mm720-digital-multimeter-trms-auto-ranging-1000v-temp-low-impedance")</f>
        <v>https://edmondsonsupply.com/collections/electricians-tools/products/klein-tools-mm720-digital-multimeter-trms-auto-ranging-1000v-temp-low-impedance</v>
      </c>
      <c r="B4249" s="3" t="str">
        <f>HYPERLINK("https://edmondsonsupply.com/products/klein-tools-mm720-digital-multimeter-trms-auto-ranging-1000v-temp-low-impedance", "https://edmondsonsupply.com/products/klein-tools-mm720-digital-multimeter-trms-auto-ranging-1000v-temp-low-impedance")</f>
        <v>https://edmondsonsupply.com/products/klein-tools-mm720-digital-multimeter-trms-auto-ranging-1000v-temp-low-impedance</v>
      </c>
      <c r="C4249" t="s">
        <v>3861</v>
      </c>
      <c r="D4249" t="s">
        <v>4620</v>
      </c>
      <c r="E4249" s="3" t="str">
        <f>HYPERLINK("https://www.amazon.com/Multimeter-Auto-Ranging-Resistance-Klein-Tools/dp/B0B57PDQJC/ref=sr_1_1?keywords=Klein+Tools+MM720+Digital+Multimeter%2C+TRMS+Auto-Ranging%2C+1000V%2C+Temp%2C+Low+Impedance&amp;qid=1695173869&amp;sr=8-1", "https://www.amazon.com/Multimeter-Auto-Ranging-Resistance-Klein-Tools/dp/B0B57PDQJC/ref=sr_1_1?keywords=Klein+Tools+MM720+Digital+Multimeter%2C+TRMS+Auto-Ranging%2C+1000V%2C+Temp%2C+Low+Impedance&amp;qid=1695173869&amp;sr=8-1")</f>
        <v>https://www.amazon.com/Multimeter-Auto-Ranging-Resistance-Klein-Tools/dp/B0B57PDQJC/ref=sr_1_1?keywords=Klein+Tools+MM720+Digital+Multimeter%2C+TRMS+Auto-Ranging%2C+1000V%2C+Temp%2C+Low+Impedance&amp;qid=1695173869&amp;sr=8-1</v>
      </c>
      <c r="F4249" t="s">
        <v>4621</v>
      </c>
      <c r="G4249" t="e">
        <f ca="1">_xludf.IMAGE("https://edmondsonsupply.com/cdn/shop/products/mm720.jpg?v=1663609402")</f>
        <v>#NAME?</v>
      </c>
      <c r="H4249" t="e">
        <f ca="1">_xludf.IMAGE("https://m.media-amazon.com/images/I/61-a2-b+n7L._AC_UL320_.jpg")</f>
        <v>#NAME?</v>
      </c>
      <c r="I4249" t="s">
        <v>545</v>
      </c>
      <c r="J4249">
        <v>80.989999999999995</v>
      </c>
      <c r="K4249" s="4">
        <v>-0.18990000000000001</v>
      </c>
      <c r="L4249">
        <v>4.5999999999999996</v>
      </c>
      <c r="M4249">
        <v>878</v>
      </c>
      <c r="O4249" t="s">
        <v>25</v>
      </c>
      <c r="P4249" t="s">
        <v>3862</v>
      </c>
      <c r="Q4249" t="s">
        <v>3863</v>
      </c>
    </row>
    <row r="4250" spans="1:17" ht="15.5" x14ac:dyDescent="0.35">
      <c r="A4250" s="3" t="str">
        <f>HYPERLINK("https://edmondsonsupply.com/collections/electricians-tools/products/wiha-tools-32097-7-piece-insulated-softfinish-screwdriver-set", "https://edmondsonsupply.com/collections/electricians-tools/products/wiha-tools-32097-7-piece-insulated-softfinish-screwdriver-set")</f>
        <v>https://edmondsonsupply.com/collections/electricians-tools/products/wiha-tools-32097-7-piece-insulated-softfinish-screwdriver-set</v>
      </c>
      <c r="B4250" s="3" t="str">
        <f>HYPERLINK("https://edmondsonsupply.com/products/wiha-tools-32097-7-piece-insulated-softfinish-screwdriver-set", "https://edmondsonsupply.com/products/wiha-tools-32097-7-piece-insulated-softfinish-screwdriver-set")</f>
        <v>https://edmondsonsupply.com/products/wiha-tools-32097-7-piece-insulated-softfinish-screwdriver-set</v>
      </c>
      <c r="C4250" t="s">
        <v>5242</v>
      </c>
      <c r="D4250" t="s">
        <v>5243</v>
      </c>
      <c r="E4250" s="3" t="str">
        <f>HYPERLINK("https://www.amazon.com/32097-1000-Volt-Insulated-Screwdriver-7-Piece/dp/B07MWLL23S/ref=sr_1_1?keywords=Wiha+Tools+32097+7+Piece+Insulated+SoftFinish+Screwdriver+Set&amp;qid=1695173970&amp;sr=8-1", "https://www.amazon.com/32097-1000-Volt-Insulated-Screwdriver-7-Piece/dp/B07MWLL23S/ref=sr_1_1?keywords=Wiha+Tools+32097+7+Piece+Insulated+SoftFinish+Screwdriver+Set&amp;qid=1695173970&amp;sr=8-1")</f>
        <v>https://www.amazon.com/32097-1000-Volt-Insulated-Screwdriver-7-Piece/dp/B07MWLL23S/ref=sr_1_1?keywords=Wiha+Tools+32097+7+Piece+Insulated+SoftFinish+Screwdriver+Set&amp;qid=1695173970&amp;sr=8-1</v>
      </c>
      <c r="F4250" t="s">
        <v>5244</v>
      </c>
      <c r="G4250" t="e">
        <f ca="1">_xludf.IMAGE("https://edmondsonsupply.com/cdn/shop/files/xndhswuqt0f79n2sffke_1000x_1.webp?v=1690906671")</f>
        <v>#NAME?</v>
      </c>
      <c r="H4250" t="e">
        <f ca="1">_xludf.IMAGE("https://m.media-amazon.com/images/I/61Bm5SoX2pL._AC_UL320_.jpg")</f>
        <v>#NAME?</v>
      </c>
      <c r="I4250" t="s">
        <v>5245</v>
      </c>
      <c r="J4250">
        <v>43.33</v>
      </c>
      <c r="K4250" s="4">
        <v>-0.18990000000000001</v>
      </c>
      <c r="L4250">
        <v>4.8</v>
      </c>
      <c r="M4250">
        <v>870</v>
      </c>
      <c r="O4250" t="s">
        <v>25</v>
      </c>
      <c r="P4250" t="s">
        <v>5246</v>
      </c>
      <c r="Q4250" t="s">
        <v>5247</v>
      </c>
    </row>
    <row r="4251" spans="1:17" ht="15.5" x14ac:dyDescent="0.35">
      <c r="A4251"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4251"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4251" t="s">
        <v>8581</v>
      </c>
      <c r="D4251" t="s">
        <v>8706</v>
      </c>
      <c r="E4251" s="3" t="str">
        <f>HYPERLINK("https://www.amazon.com/Milwaukee-2767-20-Torque-2-Inch-Friction/dp/B095JXCRP6/ref=sr_1_2?keywords=Milwaukee+2767-20+M18+FUEL%E2%84%A2+1%2F2%22+High+Torque+Impact+Wrench+with+Friction+Ring+%28Tool+Only%29&amp;qid=1695174206&amp;sr=8-2", "https://www.amazon.com/Milwaukee-2767-20-Torque-2-Inch-Friction/dp/B095JXCRP6/ref=sr_1_2?keywords=Milwaukee+2767-20+M18+FUEL%E2%84%A2+1%2F2%22+High+Torque+Impact+Wrench+with+Friction+Ring+%28Tool+Only%29&amp;qid=1695174206&amp;sr=8-2")</f>
        <v>https://www.amazon.com/Milwaukee-2767-20-Torque-2-Inch-Friction/dp/B095JXCRP6/ref=sr_1_2?keywords=Milwaukee+2767-20+M18+FUEL%E2%84%A2+1%2F2%22+High+Torque+Impact+Wrench+with+Friction+Ring+%28Tool+Only%29&amp;qid=1695174206&amp;sr=8-2</v>
      </c>
      <c r="F4251" t="s">
        <v>8735</v>
      </c>
      <c r="G4251" t="e">
        <f ca="1">_xludf.IMAGE("https://edmondsonsupply.com/cdn/shop/products/2767-20_1.webp?v=1668441181")</f>
        <v>#NAME?</v>
      </c>
      <c r="H4251" t="e">
        <f ca="1">_xludf.IMAGE("https://m.media-amazon.com/images/I/61YswrZUT5S._AC_UL320_.jpg")</f>
        <v>#NAME?</v>
      </c>
      <c r="I4251" t="s">
        <v>698</v>
      </c>
      <c r="J4251">
        <v>225.95</v>
      </c>
      <c r="K4251" s="4">
        <v>-0.19009999999999999</v>
      </c>
      <c r="L4251">
        <v>4.7</v>
      </c>
      <c r="M4251">
        <v>506</v>
      </c>
      <c r="O4251" t="s">
        <v>25</v>
      </c>
      <c r="P4251" t="s">
        <v>8584</v>
      </c>
      <c r="Q4251" t="s">
        <v>8585</v>
      </c>
    </row>
    <row r="4252" spans="1:17" ht="15.5" x14ac:dyDescent="0.35">
      <c r="A4252"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4252" s="3" t="str">
        <f>HYPERLINK("https://edmondsonsupply.com/products/klein-tools-s8m-1-4-inch-magnetic-nut-driver-3-inch-shank", "https://edmondsonsupply.com/products/klein-tools-s8m-1-4-inch-magnetic-nut-driver-3-inch-shank")</f>
        <v>https://edmondsonsupply.com/products/klein-tools-s8m-1-4-inch-magnetic-nut-driver-3-inch-shank</v>
      </c>
      <c r="C4252" t="s">
        <v>3809</v>
      </c>
      <c r="D4252" t="s">
        <v>5078</v>
      </c>
      <c r="E4252" s="3" t="str">
        <f>HYPERLINK("https://www.amazon.com/Klein-S8-4-Inch-Hollow-Shank-Driver/dp/B0000302VS/ref=sr_1_10?keywords=Klein+Tools+S8M+1%2F4-Inch+Magnetic+Nut+Driver+3-Inch+Shank&amp;qid=1695174041&amp;sr=8-10", "https://www.amazon.com/Klein-S8-4-Inch-Hollow-Shank-Driver/dp/B0000302VS/ref=sr_1_10?keywords=Klein+Tools+S8M+1%2F4-Inch+Magnetic+Nut+Driver+3-Inch+Shank&amp;qid=1695174041&amp;sr=8-10")</f>
        <v>https://www.amazon.com/Klein-S8-4-Inch-Hollow-Shank-Driver/dp/B0000302VS/ref=sr_1_10?keywords=Klein+Tools+S8M+1%2F4-Inch+Magnetic+Nut+Driver+3-Inch+Shank&amp;qid=1695174041&amp;sr=8-10</v>
      </c>
      <c r="F4252" t="s">
        <v>5079</v>
      </c>
      <c r="G4252" t="e">
        <f ca="1">_xludf.IMAGE("https://edmondsonsupply.com/cdn/shop/products/s8m.jpg?v=1633030818")</f>
        <v>#NAME?</v>
      </c>
      <c r="H4252" t="e">
        <f ca="1">_xludf.IMAGE("https://m.media-amazon.com/images/I/41LI6wTa36L._AC_UL320_.jpg")</f>
        <v>#NAME?</v>
      </c>
      <c r="I4252" t="s">
        <v>924</v>
      </c>
      <c r="J4252">
        <v>7.28</v>
      </c>
      <c r="K4252" s="4">
        <v>-0.19020000000000001</v>
      </c>
      <c r="L4252">
        <v>4.5</v>
      </c>
      <c r="M4252">
        <v>225</v>
      </c>
      <c r="O4252" t="s">
        <v>25</v>
      </c>
      <c r="P4252" t="s">
        <v>3812</v>
      </c>
      <c r="Q4252" t="s">
        <v>3813</v>
      </c>
    </row>
    <row r="4253" spans="1:17" ht="15.5" x14ac:dyDescent="0.35">
      <c r="A4253"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4253" s="3" t="str">
        <f>HYPERLINK("https://edmondsonsupply.com/products/klein-tools-s8m-1-4-inch-magnetic-nut-driver-3-inch-shank", "https://edmondsonsupply.com/products/klein-tools-s8m-1-4-inch-magnetic-nut-driver-3-inch-shank")</f>
        <v>https://edmondsonsupply.com/products/klein-tools-s8m-1-4-inch-magnetic-nut-driver-3-inch-shank</v>
      </c>
      <c r="C4253" t="s">
        <v>3809</v>
      </c>
      <c r="D4253" t="s">
        <v>5248</v>
      </c>
      <c r="E4253" s="3" t="str">
        <f>HYPERLINK("https://www.amazon.com/Magnetic-Comfordome-Klein-Tools-S8M/dp/B00093GCW8/ref=sr_1_1?keywords=Klein+Tools+S8M+1%2F4-Inch+Magnetic+Nut+Driver+3-Inch+Shank&amp;qid=1695174041&amp;sr=8-1", "https://www.amazon.com/Magnetic-Comfordome-Klein-Tools-S8M/dp/B00093GCW8/ref=sr_1_1?keywords=Klein+Tools+S8M+1%2F4-Inch+Magnetic+Nut+Driver+3-Inch+Shank&amp;qid=1695174041&amp;sr=8-1")</f>
        <v>https://www.amazon.com/Magnetic-Comfordome-Klein-Tools-S8M/dp/B00093GCW8/ref=sr_1_1?keywords=Klein+Tools+S8M+1%2F4-Inch+Magnetic+Nut+Driver+3-Inch+Shank&amp;qid=1695174041&amp;sr=8-1</v>
      </c>
      <c r="F4253" t="s">
        <v>5249</v>
      </c>
      <c r="G4253" t="e">
        <f ca="1">_xludf.IMAGE("https://edmondsonsupply.com/cdn/shop/products/s8m.jpg?v=1633030818")</f>
        <v>#NAME?</v>
      </c>
      <c r="H4253" t="e">
        <f ca="1">_xludf.IMAGE("https://m.media-amazon.com/images/I/31hOuSIKl7L._AC_UL320_.jpg")</f>
        <v>#NAME?</v>
      </c>
      <c r="I4253" t="s">
        <v>924</v>
      </c>
      <c r="J4253">
        <v>7.28</v>
      </c>
      <c r="K4253" s="4">
        <v>-0.19020000000000001</v>
      </c>
      <c r="L4253">
        <v>3.8</v>
      </c>
      <c r="M4253">
        <v>8</v>
      </c>
      <c r="O4253" t="s">
        <v>25</v>
      </c>
      <c r="P4253" t="s">
        <v>3812</v>
      </c>
      <c r="Q4253" t="s">
        <v>3813</v>
      </c>
    </row>
    <row r="4254" spans="1:17" ht="15.5" x14ac:dyDescent="0.35">
      <c r="A4254"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4254"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4254" t="s">
        <v>8581</v>
      </c>
      <c r="D4254" t="s">
        <v>8736</v>
      </c>
      <c r="E4254" s="3" t="str">
        <f>HYPERLINK("https://www.amazon.com/Milwaukee-2767-20-Torque-Impact-Friction/dp/B08P4NX77N/ref=sr_1_1?keywords=Milwaukee+2767-20+M18+FUEL%E2%84%A2+1%2F2%22+High+Torque+Impact+Wrench+with+Friction+Ring+%28Tool+Only%29&amp;qid=1695174206&amp;sr=8-1", "https://www.amazon.com/Milwaukee-2767-20-Torque-Impact-Friction/dp/B08P4NX77N/ref=sr_1_1?keywords=Milwaukee+2767-20+M18+FUEL%E2%84%A2+1%2F2%22+High+Torque+Impact+Wrench+with+Friction+Ring+%28Tool+Only%29&amp;qid=1695174206&amp;sr=8-1")</f>
        <v>https://www.amazon.com/Milwaukee-2767-20-Torque-Impact-Friction/dp/B08P4NX77N/ref=sr_1_1?keywords=Milwaukee+2767-20+M18+FUEL%E2%84%A2+1%2F2%22+High+Torque+Impact+Wrench+with+Friction+Ring+%28Tool+Only%29&amp;qid=1695174206&amp;sr=8-1</v>
      </c>
      <c r="F4254" t="s">
        <v>8737</v>
      </c>
      <c r="G4254" t="e">
        <f ca="1">_xludf.IMAGE("https://edmondsonsupply.com/cdn/shop/products/2767-20_1.webp?v=1668441181")</f>
        <v>#NAME?</v>
      </c>
      <c r="H4254" t="e">
        <f ca="1">_xludf.IMAGE("https://m.media-amazon.com/images/I/51tLOArc4KL._AC_UL320_.jpg")</f>
        <v>#NAME?</v>
      </c>
      <c r="I4254" t="s">
        <v>698</v>
      </c>
      <c r="J4254">
        <v>225.93</v>
      </c>
      <c r="K4254" s="4">
        <v>-0.19020000000000001</v>
      </c>
      <c r="L4254">
        <v>4.5999999999999996</v>
      </c>
      <c r="M4254">
        <v>1678</v>
      </c>
      <c r="O4254" t="s">
        <v>25</v>
      </c>
      <c r="P4254" t="s">
        <v>8584</v>
      </c>
      <c r="Q4254" t="s">
        <v>8585</v>
      </c>
    </row>
    <row r="4255" spans="1:17" ht="15.5" x14ac:dyDescent="0.35">
      <c r="A4255"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4255" s="3" t="str">
        <f>HYPERLINK("https://edmondsonsupply.com/products/klein-tools-d507-8-adjustable-wrench-extra-capacity-8-inch", "https://edmondsonsupply.com/products/klein-tools-d507-8-adjustable-wrench-extra-capacity-8-inch")</f>
        <v>https://edmondsonsupply.com/products/klein-tools-d507-8-adjustable-wrench-extra-capacity-8-inch</v>
      </c>
      <c r="C4255" t="s">
        <v>6699</v>
      </c>
      <c r="D4255" t="s">
        <v>8738</v>
      </c>
      <c r="E4255" s="3" t="str">
        <f>HYPERLINK("https://www.amazon.com/Adjustable-Capacity-Klein-Tools-D507-8/dp/B00080FA6G/ref=sr_1_1?keywords=Klein+Tools+D507-8+Adjustable+Wrench%2C+Extra+Capacity+8-Inch&amp;qid=1695173949&amp;sr=8-1", "https://www.amazon.com/Adjustable-Capacity-Klein-Tools-D507-8/dp/B00080FA6G/ref=sr_1_1?keywords=Klein+Tools+D507-8+Adjustable+Wrench%2C+Extra+Capacity+8-Inch&amp;qid=1695173949&amp;sr=8-1")</f>
        <v>https://www.amazon.com/Adjustable-Capacity-Klein-Tools-D507-8/dp/B00080FA6G/ref=sr_1_1?keywords=Klein+Tools+D507-8+Adjustable+Wrench%2C+Extra+Capacity+8-Inch&amp;qid=1695173949&amp;sr=8-1</v>
      </c>
      <c r="F4255" t="s">
        <v>8739</v>
      </c>
      <c r="G4255" t="e">
        <f ca="1">_xludf.IMAGE("https://edmondsonsupply.com/cdn/shop/products/d5078_b.jpg?v=1666010497")</f>
        <v>#NAME?</v>
      </c>
      <c r="H4255" t="e">
        <f ca="1">_xludf.IMAGE("https://m.media-amazon.com/images/I/41ddIrvHP5L._AC_UL320_.jpg")</f>
        <v>#NAME?</v>
      </c>
      <c r="I4255" t="s">
        <v>26</v>
      </c>
      <c r="J4255">
        <v>24.28</v>
      </c>
      <c r="K4255" s="4">
        <v>-0.19040000000000001</v>
      </c>
      <c r="L4255">
        <v>4.8</v>
      </c>
      <c r="M4255">
        <v>684</v>
      </c>
      <c r="O4255" t="s">
        <v>25</v>
      </c>
      <c r="P4255" t="s">
        <v>1327</v>
      </c>
      <c r="Q4255" t="s">
        <v>6700</v>
      </c>
    </row>
    <row r="4256" spans="1:17" ht="15.5" x14ac:dyDescent="0.35">
      <c r="A4256"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4256" s="3" t="str">
        <f>HYPERLINK("https://edmondsonsupply.com/products/veto-pro-pac-tp-xxl-tool-pouch", "https://edmondsonsupply.com/products/veto-pro-pac-tp-xxl-tool-pouch")</f>
        <v>https://edmondsonsupply.com/products/veto-pro-pac-tp-xxl-tool-pouch</v>
      </c>
      <c r="C4256" t="s">
        <v>451</v>
      </c>
      <c r="D4256" t="s">
        <v>318</v>
      </c>
      <c r="E4256" s="3" t="str">
        <f>HYPERLINK("https://www.amazon.com/Veto-TP-XL-Extra-Large-Pouch/dp/B07WDL7SD3/ref=sr_1_2?keywords=Veto+Pro+Pac+TP-XXL+Tool+Pouch&amp;qid=1695173851&amp;sr=8-2", "https://www.amazon.com/Veto-TP-XL-Extra-Large-Pouch/dp/B07WDL7SD3/ref=sr_1_2?keywords=Veto+Pro+Pac+TP-XXL+Tool+Pouch&amp;qid=1695173851&amp;sr=8-2")</f>
        <v>https://www.amazon.com/Veto-TP-XL-Extra-Large-Pouch/dp/B07WDL7SD3/ref=sr_1_2?keywords=Veto+Pro+Pac+TP-XXL+Tool+Pouch&amp;qid=1695173851&amp;sr=8-2</v>
      </c>
      <c r="F4256" t="s">
        <v>319</v>
      </c>
      <c r="G4256" t="e">
        <f ca="1">_xludf.IMAGE("https://edmondsonsupply.com/cdn/shop/products/01_TP-XXL.jpg?v=1633031173")</f>
        <v>#NAME?</v>
      </c>
      <c r="H4256" t="e">
        <f ca="1">_xludf.IMAGE("https://m.media-amazon.com/images/I/91dIbPcb4XL._AC_UL320_.jpg")</f>
        <v>#NAME?</v>
      </c>
      <c r="I4256" t="s">
        <v>454</v>
      </c>
      <c r="J4256">
        <v>169.95</v>
      </c>
      <c r="K4256" s="4">
        <v>-0.19070000000000001</v>
      </c>
      <c r="L4256">
        <v>4.9000000000000004</v>
      </c>
      <c r="M4256">
        <v>1132</v>
      </c>
      <c r="O4256" t="s">
        <v>25</v>
      </c>
      <c r="P4256" t="s">
        <v>138</v>
      </c>
      <c r="Q4256" t="s">
        <v>455</v>
      </c>
    </row>
    <row r="4257" spans="1:17" ht="15.5" x14ac:dyDescent="0.35">
      <c r="A4257" s="3" t="str">
        <f>HYPERLINK("https://edmondsonsupply.com/collections/electricians-tools/products/reed-mfg-dhr12-1-1-4npt-r12-drophead-1-1-4-npt", "https://edmondsonsupply.com/collections/electricians-tools/products/reed-mfg-dhr12-1-1-4npt-r12-drophead-1-1-4-npt")</f>
        <v>https://edmondsonsupply.com/collections/electricians-tools/products/reed-mfg-dhr12-1-1-4npt-r12-drophead-1-1-4-npt</v>
      </c>
      <c r="B4257" s="3" t="str">
        <f>HYPERLINK("https://edmondsonsupply.com/products/reed-mfg-dhr12-1-1-4npt-r12-drophead-1-1-4-npt", "https://edmondsonsupply.com/products/reed-mfg-dhr12-1-1-4npt-r12-drophead-1-1-4-npt")</f>
        <v>https://edmondsonsupply.com/products/reed-mfg-dhr12-1-1-4npt-r12-drophead-1-1-4-npt</v>
      </c>
      <c r="C4257" t="s">
        <v>4384</v>
      </c>
      <c r="D4257" t="s">
        <v>5250</v>
      </c>
      <c r="E4257" s="3" t="str">
        <f>HYPERLINK("https://www.amazon.com/Reed-Tool-DHR12-4NPT-Drophead/dp/B000ZH6R3M/ref=sr_1_fkmr1_1?keywords=Reed+Mfg+DHR12+1+1%2F4NPT+R12%2B+Drophead%2C+1-1%2F4%22+NPT&amp;qid=1695173914&amp;sr=8-1-fkmr1", "https://www.amazon.com/Reed-Tool-DHR12-4NPT-Drophead/dp/B000ZH6R3M/ref=sr_1_fkmr1_1?keywords=Reed+Mfg+DHR12+1+1%2F4NPT+R12%2B+Drophead%2C+1-1%2F4%22+NPT&amp;qid=1695173914&amp;sr=8-1-fkmr1")</f>
        <v>https://www.amazon.com/Reed-Tool-DHR12-4NPT-Drophead/dp/B000ZH6R3M/ref=sr_1_fkmr1_1?keywords=Reed+Mfg+DHR12+1+1%2F4NPT+R12%2B+Drophead%2C+1-1%2F4%22+NPT&amp;qid=1695173914&amp;sr=8-1-fkmr1</v>
      </c>
      <c r="F4257" t="s">
        <v>5251</v>
      </c>
      <c r="G4257" t="e">
        <f ca="1">_xludf.IMAGE("https://edmondsonsupply.com/cdn/shop/products/05632-DHR121-1-4NPT-RGB.jpg?v=1633031013")</f>
        <v>#NAME?</v>
      </c>
      <c r="H4257" t="e">
        <f ca="1">_xludf.IMAGE("https://m.media-amazon.com/images/I/51I4FIWUu7L._AC_UY218_.jpg")</f>
        <v>#NAME?</v>
      </c>
      <c r="I4257" t="s">
        <v>4387</v>
      </c>
      <c r="J4257">
        <v>125.3</v>
      </c>
      <c r="K4257" s="4">
        <v>-0.19089999999999999</v>
      </c>
      <c r="L4257">
        <v>1</v>
      </c>
      <c r="M4257">
        <v>1</v>
      </c>
      <c r="O4257" t="s">
        <v>25</v>
      </c>
      <c r="P4257" t="s">
        <v>4388</v>
      </c>
      <c r="Q4257" t="s">
        <v>4389</v>
      </c>
    </row>
    <row r="4258" spans="1:17" ht="15.5" x14ac:dyDescent="0.35">
      <c r="A4258"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4258"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4258" t="s">
        <v>6304</v>
      </c>
      <c r="D4258" t="s">
        <v>5354</v>
      </c>
      <c r="E4258" s="3" t="str">
        <f>HYPERLINK("https://www.amazon.com/Klein-Tools-J203-7-Pliers-Side-Cutters/dp/B000G6CACO/ref=sr_1_6?keywords=Klein+Tools+2036EINS+Long+Nose+Side+Cutter+Pliers+6-Inch+Slim+Insulated&amp;qid=1695174256&amp;sr=8-6", "https://www.amazon.com/Klein-Tools-J203-7-Pliers-Side-Cutters/dp/B000G6CACO/ref=sr_1_6?keywords=Klein+Tools+2036EINS+Long+Nose+Side+Cutter+Pliers+6-Inch+Slim+Insulated&amp;qid=1695174256&amp;sr=8-6")</f>
        <v>https://www.amazon.com/Klein-Tools-J203-7-Pliers-Side-Cutters/dp/B000G6CACO/ref=sr_1_6?keywords=Klein+Tools+2036EINS+Long+Nose+Side+Cutter+Pliers+6-Inch+Slim+Insulated&amp;qid=1695174256&amp;sr=8-6</v>
      </c>
      <c r="F4258" t="s">
        <v>5355</v>
      </c>
      <c r="G4258" t="e">
        <f ca="1">_xludf.IMAGE("https://edmondsonsupply.com/cdn/shop/products/2036eins.jpg?v=1633031077")</f>
        <v>#NAME?</v>
      </c>
      <c r="H4258" t="e">
        <f ca="1">_xludf.IMAGE("https://m.media-amazon.com/images/I/511-SOSXaTL._AC_UL320_.jpg")</f>
        <v>#NAME?</v>
      </c>
      <c r="I4258" t="s">
        <v>6307</v>
      </c>
      <c r="J4258">
        <v>37.99</v>
      </c>
      <c r="K4258" s="4">
        <v>-0.1915</v>
      </c>
      <c r="L4258">
        <v>4.8</v>
      </c>
      <c r="M4258">
        <v>139</v>
      </c>
      <c r="O4258" t="s">
        <v>25</v>
      </c>
      <c r="P4258" t="s">
        <v>6308</v>
      </c>
      <c r="Q4258" t="s">
        <v>6309</v>
      </c>
    </row>
    <row r="4259" spans="1:17" ht="15.5" x14ac:dyDescent="0.35">
      <c r="A4259" s="3" t="str">
        <f>HYPERLINK("https://edmondsonsupply.com/collections/electricians-tools/products/tajima-gs-16-5mbw-gs-lock%E2%84%A2-standard-metric-scale-16-ft-5-m-x-1-in-25mm-steel-blade-tape-measure", "https://edmondsonsupply.com/collections/electricians-tools/products/tajima-gs-16-5mbw-gs-lock%E2%84%A2-standard-metric-scale-16-ft-5-m-x-1-in-25mm-steel-blade-tape-measure")</f>
        <v>https://edmondsonsupply.com/collections/electricians-tools/products/tajima-gs-16-5mbw-gs-lock%E2%84%A2-standard-metric-scale-16-ft-5-m-x-1-in-25mm-steel-blade-tape-measure</v>
      </c>
      <c r="B4259" s="3" t="str">
        <f>HYPERLINK("https://edmondsonsupply.com/products/tajima-gs-16-5mbw-gs-lock%e2%84%a2-standard-metric-scale-16-ft-5-m-x-1-in-25mm-steel-blade-tape-measure", "https://edmondsonsupply.com/products/tajima-gs-16-5mbw-gs-lock%e2%84%a2-standard-metric-scale-16-ft-5-m-x-1-in-25mm-steel-blade-tape-measure")</f>
        <v>https://edmondsonsupply.com/products/tajima-gs-16-5mbw-gs-lock%e2%84%a2-standard-metric-scale-16-ft-5-m-x-1-in-25mm-steel-blade-tape-measure</v>
      </c>
      <c r="C4259" t="s">
        <v>8012</v>
      </c>
      <c r="D4259" t="s">
        <v>8740</v>
      </c>
      <c r="E4259" s="3" t="str">
        <f>HYPERLINK("https://www.amazon.com/TAJIMA-Tape-Measure-G-Measuring/dp/B002DML0OI/ref=sr_1_1?keywords=Tajima+GS-16%2F5MBW+GS+Lock%E2%84%A2+Standard+%26+Metric+Scale%2C+16+ft%2F+5+m+x+1+in.%2F25mm+Steel+Blade+Tape+Measure&amp;qid=1695174194&amp;sr=8-1", "https://www.amazon.com/TAJIMA-Tape-Measure-G-Measuring/dp/B002DML0OI/ref=sr_1_1?keywords=Tajima+GS-16%2F5MBW+GS+Lock%E2%84%A2+Standard+%26+Metric+Scale%2C+16+ft%2F+5+m+x+1+in.%2F25mm+Steel+Blade+Tape+Measure&amp;qid=1695174194&amp;sr=8-1")</f>
        <v>https://www.amazon.com/TAJIMA-Tape-Measure-G-Measuring/dp/B002DML0OI/ref=sr_1_1?keywords=Tajima+GS-16%2F5MBW+GS+Lock%E2%84%A2+Standard+%26+Metric+Scale%2C+16+ft%2F+5+m+x+1+in.%2F25mm+Steel+Blade+Tape+Measure&amp;qid=1695174194&amp;sr=8-1</v>
      </c>
      <c r="F4259" t="s">
        <v>8741</v>
      </c>
      <c r="G4259" t="e">
        <f ca="1">_xludf.IMAGE("https://edmondsonsupply.com/cdn/shop/products/GS16-5MBW.jpg?v=1655829307")</f>
        <v>#NAME?</v>
      </c>
      <c r="H4259" t="e">
        <f ca="1">_xludf.IMAGE("https://m.media-amazon.com/images/I/81xYPoudDdL._AC_UL320_.jpg")</f>
        <v>#NAME?</v>
      </c>
      <c r="I4259" t="s">
        <v>8015</v>
      </c>
      <c r="J4259">
        <v>22.5</v>
      </c>
      <c r="K4259" s="4">
        <v>-0.19409999999999999</v>
      </c>
      <c r="L4259">
        <v>4.5999999999999996</v>
      </c>
      <c r="M4259">
        <v>85</v>
      </c>
      <c r="O4259" t="s">
        <v>25</v>
      </c>
      <c r="P4259" t="s">
        <v>8016</v>
      </c>
      <c r="Q4259" t="s">
        <v>8017</v>
      </c>
    </row>
    <row r="4260" spans="1:17" ht="15.5" x14ac:dyDescent="0.35">
      <c r="A4260" s="3" t="str">
        <f>HYPERLINK("https://edmondsonsupply.com/collections/electricians-tools/products/fluke-376", "https://edmondsonsupply.com/collections/electricians-tools/products/fluke-376")</f>
        <v>https://edmondsonsupply.com/collections/electricians-tools/products/fluke-376</v>
      </c>
      <c r="B4260" s="3" t="str">
        <f>HYPERLINK("https://edmondsonsupply.com/products/fluke-376", "https://edmondsonsupply.com/products/fluke-376")</f>
        <v>https://edmondsonsupply.com/products/fluke-376</v>
      </c>
      <c r="C4260" t="s">
        <v>3766</v>
      </c>
      <c r="D4260" t="s">
        <v>5260</v>
      </c>
      <c r="E4260" s="3" t="str">
        <f>HYPERLINK("https://www.amazon.com/Fluke-381-Remote-Display-True-RMS/dp/B004BF5ZEQ/ref=sr_1_5?keywords=Fluke+376+FC+Wireless+True-RMS+AC%2FDC+Clamp+Meter+with+iFlex&amp;qid=1695173895&amp;sr=8-5", "https://www.amazon.com/Fluke-381-Remote-Display-True-RMS/dp/B004BF5ZEQ/ref=sr_1_5?keywords=Fluke+376+FC+Wireless+True-RMS+AC%2FDC+Clamp+Meter+with+iFlex&amp;qid=1695173895&amp;sr=8-5")</f>
        <v>https://www.amazon.com/Fluke-381-Remote-Display-True-RMS/dp/B004BF5ZEQ/ref=sr_1_5?keywords=Fluke+376+FC+Wireless+True-RMS+AC%2FDC+Clamp+Meter+with+iFlex&amp;qid=1695173895&amp;sr=8-5</v>
      </c>
      <c r="F4260" t="s">
        <v>5261</v>
      </c>
      <c r="G4260" t="e">
        <f ca="1">_xludf.IMAGE("https://edmondsonsupply.com/cdn/shop/products/f-376fc-16a-1500x1000.jpg?v=1633030274")</f>
        <v>#NAME?</v>
      </c>
      <c r="H4260" t="e">
        <f ca="1">_xludf.IMAGE("https://m.media-amazon.com/images/I/617Nx0NswWL._AC_UY218_.jpg")</f>
        <v>#NAME?</v>
      </c>
      <c r="I4260" t="s">
        <v>3769</v>
      </c>
      <c r="J4260">
        <v>430</v>
      </c>
      <c r="K4260" s="4">
        <v>-0.1943</v>
      </c>
      <c r="L4260">
        <v>4.5</v>
      </c>
      <c r="M4260">
        <v>160</v>
      </c>
      <c r="O4260" t="s">
        <v>25</v>
      </c>
      <c r="P4260" t="s">
        <v>3770</v>
      </c>
      <c r="Q4260" t="s">
        <v>3771</v>
      </c>
    </row>
    <row r="4261" spans="1:17" ht="15.5" x14ac:dyDescent="0.35">
      <c r="A4261"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4261" s="3" t="str">
        <f>HYPERLINK("https://edmondsonsupply.com/products/milwaukee-48-22-0305-folding-jab-saw", "https://edmondsonsupply.com/products/milwaukee-48-22-0305-folding-jab-saw")</f>
        <v>https://edmondsonsupply.com/products/milwaukee-48-22-0305-folding-jab-saw</v>
      </c>
      <c r="C4261" t="s">
        <v>2139</v>
      </c>
      <c r="D4261" t="s">
        <v>5264</v>
      </c>
      <c r="E4261" s="3" t="str">
        <f>HYPERLINK("https://www.amazon.com/Milwaukee-48-22-0304-Drywall-Plaster-Rasping/dp/B003I85GTQ/ref=sr_1_7?keywords=Milwaukee+48-22-0305+Folding+Jab+Saw&amp;qid=1695173950&amp;sr=8-7", "https://www.amazon.com/Milwaukee-48-22-0304-Drywall-Plaster-Rasping/dp/B003I85GTQ/ref=sr_1_7?keywords=Milwaukee+48-22-0305+Folding+Jab+Saw&amp;qid=1695173950&amp;sr=8-7")</f>
        <v>https://www.amazon.com/Milwaukee-48-22-0304-Drywall-Plaster-Rasping/dp/B003I85GTQ/ref=sr_1_7?keywords=Milwaukee+48-22-0305+Folding+Jab+Saw&amp;qid=1695173950&amp;sr=8-7</v>
      </c>
      <c r="F4261" t="s">
        <v>5265</v>
      </c>
      <c r="G4261" t="e">
        <f ca="1">_xludf.IMAGE("https://edmondsonsupply.com/cdn/shop/products/49678_48-22-0305-lg.jpg?v=1587148349")</f>
        <v>#NAME?</v>
      </c>
      <c r="H4261" t="e">
        <f ca="1">_xludf.IMAGE("https://m.media-amazon.com/images/I/41AjNlagTPL._AC_UL320_.jpg")</f>
        <v>#NAME?</v>
      </c>
      <c r="I4261" t="s">
        <v>893</v>
      </c>
      <c r="J4261">
        <v>16.079999999999998</v>
      </c>
      <c r="K4261" s="4">
        <v>-0.1948</v>
      </c>
      <c r="L4261">
        <v>4.7</v>
      </c>
      <c r="M4261">
        <v>539</v>
      </c>
      <c r="O4261" t="s">
        <v>25</v>
      </c>
      <c r="P4261" t="s">
        <v>2142</v>
      </c>
      <c r="Q4261" t="s">
        <v>2143</v>
      </c>
    </row>
    <row r="4262" spans="1:17" ht="15.5" x14ac:dyDescent="0.35">
      <c r="A4262" s="3" t="str">
        <f>HYPERLINK("https://edmondsonsupply.com/collections/electricians-tools/products/milwaukee-2550-22-m12%E2%84%A2-rivet-tool-kit", "https://edmondsonsupply.com/collections/electricians-tools/products/milwaukee-2550-22-m12%E2%84%A2-rivet-tool-kit")</f>
        <v>https://edmondsonsupply.com/collections/electricians-tools/products/milwaukee-2550-22-m12%E2%84%A2-rivet-tool-kit</v>
      </c>
      <c r="B4262" s="3" t="str">
        <f>HYPERLINK("https://edmondsonsupply.com/products/milwaukee-2550-22-m12%e2%84%a2-rivet-tool-kit", "https://edmondsonsupply.com/products/milwaukee-2550-22-m12%e2%84%a2-rivet-tool-kit")</f>
        <v>https://edmondsonsupply.com/products/milwaukee-2550-22-m12%e2%84%a2-rivet-tool-kit</v>
      </c>
      <c r="C4262" t="s">
        <v>8742</v>
      </c>
      <c r="D4262" t="s">
        <v>8743</v>
      </c>
      <c r="E4262" s="3" t="str">
        <f>HYPERLINK("https://www.amazon.com/MILWAUKEE-ELECTRIC-TOOLS-CORP-2550-22/dp/B07BWPKWN6/ref=sr_1_1?keywords=Milwaukee+2550-22+M12%E2%84%A2+Rivet+Tool+Kit&amp;qid=1695174085&amp;sr=8-1", "https://www.amazon.com/MILWAUKEE-ELECTRIC-TOOLS-CORP-2550-22/dp/B07BWPKWN6/ref=sr_1_1?keywords=Milwaukee+2550-22+M12%E2%84%A2+Rivet+Tool+Kit&amp;qid=1695174085&amp;sr=8-1")</f>
        <v>https://www.amazon.com/MILWAUKEE-ELECTRIC-TOOLS-CORP-2550-22/dp/B07BWPKWN6/ref=sr_1_1?keywords=Milwaukee+2550-22+M12%E2%84%A2+Rivet+Tool+Kit&amp;qid=1695174085&amp;sr=8-1</v>
      </c>
      <c r="F4262" t="s">
        <v>8744</v>
      </c>
      <c r="G4262" t="e">
        <f ca="1">_xludf.IMAGE("https://edmondsonsupply.com/cdn/shop/products/2550-22_Kit.png?v=1672864826")</f>
        <v>#NAME?</v>
      </c>
      <c r="H4262" t="e">
        <f ca="1">_xludf.IMAGE("https://m.media-amazon.com/images/I/61CFN8IIEHL._AC_UL320_.jpg")</f>
        <v>#NAME?</v>
      </c>
      <c r="I4262" t="s">
        <v>8448</v>
      </c>
      <c r="J4262">
        <v>344.99</v>
      </c>
      <c r="K4262" s="4">
        <v>-0.1958</v>
      </c>
      <c r="L4262">
        <v>4.8</v>
      </c>
      <c r="M4262">
        <v>333</v>
      </c>
      <c r="O4262" t="s">
        <v>25</v>
      </c>
      <c r="P4262" t="s">
        <v>8745</v>
      </c>
      <c r="Q4262" t="s">
        <v>8746</v>
      </c>
    </row>
    <row r="4263" spans="1:17" ht="15.5" x14ac:dyDescent="0.35">
      <c r="A4263" s="3" t="str">
        <f>HYPERLINK("https://edmondsonsupply.com/collections/electricians-tools/products/milwaukee-48-22-3690-10-pc-torque-lock%E2%84%A2-locking-pliers-kit", "https://edmondsonsupply.com/collections/electricians-tools/products/milwaukee-48-22-3690-10-pc-torque-lock%E2%84%A2-locking-pliers-kit")</f>
        <v>https://edmondsonsupply.com/collections/electricians-tools/products/milwaukee-48-22-3690-10-pc-torque-lock%E2%84%A2-locking-pliers-kit</v>
      </c>
      <c r="B4263" s="3" t="str">
        <f>HYPERLINK("https://edmondsonsupply.com/products/milwaukee-48-22-3690-10-pc-torque-lock%e2%84%a2-locking-pliers-kit", "https://edmondsonsupply.com/products/milwaukee-48-22-3690-10-pc-torque-lock%e2%84%a2-locking-pliers-kit")</f>
        <v>https://edmondsonsupply.com/products/milwaukee-48-22-3690-10-pc-torque-lock%e2%84%a2-locking-pliers-kit</v>
      </c>
      <c r="C4263" t="s">
        <v>8747</v>
      </c>
      <c r="D4263" t="s">
        <v>8748</v>
      </c>
      <c r="E4263" s="3" t="str">
        <f>HYPERLINK("https://www.amazon.com/Milwaukee-MLW48223690-Locking-Plier-Auto/dp/B075GXS7WP/ref=sr_1_5?keywords=Milwaukee+48-22-3690+10+Pc.+TORQUE+LOCK%E2%84%A2+LOCKING+PLIERS+KIT&amp;qid=1695174083&amp;sr=8-5", "https://www.amazon.com/Milwaukee-MLW48223690-Locking-Plier-Auto/dp/B075GXS7WP/ref=sr_1_5?keywords=Milwaukee+48-22-3690+10+Pc.+TORQUE+LOCK%E2%84%A2+LOCKING+PLIERS+KIT&amp;qid=1695174083&amp;sr=8-5")</f>
        <v>https://www.amazon.com/Milwaukee-MLW48223690-Locking-Plier-Auto/dp/B075GXS7WP/ref=sr_1_5?keywords=Milwaukee+48-22-3690+10+Pc.+TORQUE+LOCK%E2%84%A2+LOCKING+PLIERS+KIT&amp;qid=1695174083&amp;sr=8-5</v>
      </c>
      <c r="F4263" t="s">
        <v>8749</v>
      </c>
      <c r="G4263" t="e">
        <f ca="1">_xludf.IMAGE("https://edmondsonsupply.com/cdn/shop/products/48-22-3690_2.png?v=1675698915")</f>
        <v>#NAME?</v>
      </c>
      <c r="H4263" t="e">
        <f ca="1">_xludf.IMAGE("https://m.media-amazon.com/images/I/417Wihc6yxL._AC_UL320_.jpg")</f>
        <v>#NAME?</v>
      </c>
      <c r="I4263" t="s">
        <v>8750</v>
      </c>
      <c r="J4263">
        <v>128.19999999999999</v>
      </c>
      <c r="K4263" s="4">
        <v>-0.1986</v>
      </c>
      <c r="L4263">
        <v>4.8</v>
      </c>
      <c r="M4263">
        <v>128</v>
      </c>
      <c r="O4263" t="s">
        <v>25</v>
      </c>
      <c r="P4263" t="s">
        <v>8751</v>
      </c>
      <c r="Q4263" t="s">
        <v>8752</v>
      </c>
    </row>
    <row r="4264" spans="1:17" ht="15.5" x14ac:dyDescent="0.35">
      <c r="A4264"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4264"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4264" t="s">
        <v>2430</v>
      </c>
      <c r="D4264" t="s">
        <v>5262</v>
      </c>
      <c r="E4264" s="3" t="str">
        <f>HYPERLINK("https://www.amazon.com/Cabinet-Screwdriver-Klein-Tools-608-6/dp/B001BQ20NC/ref=sr_1_4?keywords=Klein+Tools+605-6+1%2F4-Inch+Cabinet+Tip+Screwdriver%2C+Heavy+Duty%2C+6-Inch&amp;qid=1695173888&amp;sr=8-4", "https://www.amazon.com/Cabinet-Screwdriver-Klein-Tools-608-6/dp/B001BQ20NC/ref=sr_1_4?keywords=Klein+Tools+605-6+1%2F4-Inch+Cabinet+Tip+Screwdriver%2C+Heavy+Duty%2C+6-Inch&amp;qid=1695173888&amp;sr=8-4")</f>
        <v>https://www.amazon.com/Cabinet-Screwdriver-Klein-Tools-608-6/dp/B001BQ20NC/ref=sr_1_4?keywords=Klein+Tools+605-6+1%2F4-Inch+Cabinet+Tip+Screwdriver%2C+Heavy+Duty%2C+6-Inch&amp;qid=1695173888&amp;sr=8-4</v>
      </c>
      <c r="F4264" t="s">
        <v>5263</v>
      </c>
      <c r="G4264" t="e">
        <f ca="1">_xludf.IMAGE("https://edmondsonsupply.com/cdn/shop/products/605-6.jpg?v=1587149759")</f>
        <v>#NAME?</v>
      </c>
      <c r="H4264" t="e">
        <f ca="1">_xludf.IMAGE("https://m.media-amazon.com/images/I/31PYmazYuTL._AC_UL320_.jpg")</f>
        <v>#NAME?</v>
      </c>
      <c r="I4264" t="s">
        <v>2433</v>
      </c>
      <c r="J4264">
        <v>7.6</v>
      </c>
      <c r="K4264" s="4">
        <v>-0.19919999999999999</v>
      </c>
      <c r="L4264">
        <v>4.7</v>
      </c>
      <c r="M4264">
        <v>1360</v>
      </c>
      <c r="O4264" t="s">
        <v>25</v>
      </c>
      <c r="P4264" t="s">
        <v>2434</v>
      </c>
      <c r="Q4264" t="s">
        <v>2435</v>
      </c>
    </row>
    <row r="4265" spans="1:17" ht="15.5" x14ac:dyDescent="0.35">
      <c r="A4265"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4265" s="3" t="str">
        <f>HYPERLINK("https://edmondsonsupply.com/products/diablo-tools-d0760x-7-1-4-in-x-60-tooth-ultra-finish-saw-blade", "https://edmondsonsupply.com/products/diablo-tools-d0760x-7-1-4-in-x-60-tooth-ultra-finish-saw-blade")</f>
        <v>https://edmondsonsupply.com/products/diablo-tools-d0760x-7-1-4-in-x-60-tooth-ultra-finish-saw-blade</v>
      </c>
      <c r="C4265" t="s">
        <v>6011</v>
      </c>
      <c r="D4265" t="s">
        <v>7745</v>
      </c>
      <c r="E4265" s="3" t="str">
        <f>HYPERLINK("https://www.amazon.com/FOXBC-Circular-60-Tooth-Replacement-DWA171460/dp/B0C6L4CRY2/ref=sr_1_4?keywords=Diablo+Tools+D0760X+7-1%2F4+in.+x+60+Tooth+Ultra+Finish+Saw+Blade&amp;qid=1695174054&amp;sr=8-4", "https://www.amazon.com/FOXBC-Circular-60-Tooth-Replacement-DWA171460/dp/B0C6L4CRY2/ref=sr_1_4?keywords=Diablo+Tools+D0760X+7-1%2F4+in.+x+60+Tooth+Ultra+Finish+Saw+Blade&amp;qid=1695174054&amp;sr=8-4")</f>
        <v>https://www.amazon.com/FOXBC-Circular-60-Tooth-Replacement-DWA171460/dp/B0C6L4CRY2/ref=sr_1_4?keywords=Diablo+Tools+D0760X+7-1%2F4+in.+x+60+Tooth+Ultra+Finish+Saw+Blade&amp;qid=1695174054&amp;sr=8-4</v>
      </c>
      <c r="F4265" t="s">
        <v>7746</v>
      </c>
      <c r="G4265" t="e">
        <f ca="1">_xludf.IMAGE("https://edmondsonsupply.com/cdn/shop/products/vlfiqrihhfwf5bxirasx.webp?v=1678977162")</f>
        <v>#NAME?</v>
      </c>
      <c r="H4265" t="e">
        <f ca="1">_xludf.IMAGE("https://m.media-amazon.com/images/I/7198akWEx0L._AC_UL320_.jpg")</f>
        <v>#NAME?</v>
      </c>
      <c r="I4265" t="s">
        <v>893</v>
      </c>
      <c r="J4265">
        <v>15.99</v>
      </c>
      <c r="K4265" s="4">
        <v>-0.1993</v>
      </c>
      <c r="L4265">
        <v>4.8</v>
      </c>
      <c r="M4265">
        <v>31</v>
      </c>
      <c r="O4265" t="s">
        <v>25</v>
      </c>
      <c r="P4265" t="s">
        <v>6014</v>
      </c>
      <c r="Q4265" t="s">
        <v>6015</v>
      </c>
    </row>
    <row r="4266" spans="1:17" ht="15.5" x14ac:dyDescent="0.35">
      <c r="A4266"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4266"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4266" t="s">
        <v>6797</v>
      </c>
      <c r="D4266" t="s">
        <v>8753</v>
      </c>
      <c r="E4266" s="3" t="str">
        <f>HYPERLINK("https://www.amazon.com/High-Leverage-Diagonal-Cutting-Klein-Tools-D2000-28/dp/B0000302WR/ref=sr_1_2?keywords=Klein+Tools+D2000-48+Diagonal+Cutting+Pliers%2C+Angled+Head%2C+8-Inch&amp;qid=1695174171&amp;sr=8-2", "https://www.amazon.com/High-Leverage-Diagonal-Cutting-Klein-Tools-D2000-28/dp/B0000302WR/ref=sr_1_2?keywords=Klein+Tools+D2000-48+Diagonal+Cutting+Pliers%2C+Angled+Head%2C+8-Inch&amp;qid=1695174171&amp;sr=8-2")</f>
        <v>https://www.amazon.com/High-Leverage-Diagonal-Cutting-Klein-Tools-D2000-28/dp/B0000302WR/ref=sr_1_2?keywords=Klein+Tools+D2000-48+Diagonal+Cutting+Pliers%2C+Angled+Head%2C+8-Inch&amp;qid=1695174171&amp;sr=8-2</v>
      </c>
      <c r="F4266" t="s">
        <v>8754</v>
      </c>
      <c r="G4266" t="e">
        <f ca="1">_xludf.IMAGE("https://edmondsonsupply.com/cdn/shop/products/d200048.jpg?v=1660920588")</f>
        <v>#NAME?</v>
      </c>
      <c r="H4266" t="e">
        <f ca="1">_xludf.IMAGE("https://m.media-amazon.com/images/I/41VuWJ3z3QL._AC_UL320_.jpg")</f>
        <v>#NAME?</v>
      </c>
      <c r="I4266" t="s">
        <v>340</v>
      </c>
      <c r="J4266">
        <v>27.99</v>
      </c>
      <c r="K4266" s="4">
        <v>-0.1996</v>
      </c>
      <c r="L4266">
        <v>4.8</v>
      </c>
      <c r="M4266">
        <v>1451</v>
      </c>
      <c r="O4266" t="s">
        <v>25</v>
      </c>
      <c r="P4266" t="s">
        <v>6800</v>
      </c>
      <c r="Q4266" t="s">
        <v>6801</v>
      </c>
    </row>
    <row r="4267" spans="1:17" ht="15.5" x14ac:dyDescent="0.35">
      <c r="A4267"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4267" s="3" t="str">
        <f>HYPERLINK("https://edmondsonsupply.com/products/milwaukee-49-90-1900-hepa-filter", "https://edmondsonsupply.com/products/milwaukee-49-90-1900-hepa-filter")</f>
        <v>https://edmondsonsupply.com/products/milwaukee-49-90-1900-hepa-filter</v>
      </c>
      <c r="C4267" t="s">
        <v>5831</v>
      </c>
      <c r="D4267" t="s">
        <v>5943</v>
      </c>
      <c r="E4267" s="3" t="str">
        <f>HYPERLINK("https://www.amazon.com/49-90-1900-Replacement-Compatible-Milwaukee-Cordless/dp/B082Y7JPM4/ref=sr_1_9?keywords=Milwaukee+49-90-1900+HEPA+Filter&amp;qid=1695174010&amp;sr=8-9", "https://www.amazon.com/49-90-1900-Replacement-Compatible-Milwaukee-Cordless/dp/B082Y7JPM4/ref=sr_1_9?keywords=Milwaukee+49-90-1900+HEPA+Filter&amp;qid=1695174010&amp;sr=8-9")</f>
        <v>https://www.amazon.com/49-90-1900-Replacement-Compatible-Milwaukee-Cordless/dp/B082Y7JPM4/ref=sr_1_9?keywords=Milwaukee+49-90-1900+HEPA+Filter&amp;qid=1695174010&amp;sr=8-9</v>
      </c>
      <c r="F4267" t="s">
        <v>5944</v>
      </c>
      <c r="G4267" t="e">
        <f ca="1">_xludf.IMAGE("https://edmondsonsupply.com/cdn/shop/files/49-90-1900_1.png?v=1686234774")</f>
        <v>#NAME?</v>
      </c>
      <c r="H4267" t="e">
        <f ca="1">_xludf.IMAGE("https://m.media-amazon.com/images/I/61AU5p8goyL._AC_UL320_.jpg")</f>
        <v>#NAME?</v>
      </c>
      <c r="I4267" t="s">
        <v>2170</v>
      </c>
      <c r="J4267">
        <v>19.989999999999998</v>
      </c>
      <c r="K4267" s="4">
        <v>-0.19980000000000001</v>
      </c>
      <c r="L4267">
        <v>4.5</v>
      </c>
      <c r="M4267">
        <v>106</v>
      </c>
      <c r="O4267" t="s">
        <v>25</v>
      </c>
      <c r="P4267" t="s">
        <v>2470</v>
      </c>
      <c r="Q4267" t="s">
        <v>5834</v>
      </c>
    </row>
    <row r="4268" spans="1:17" ht="15.5" x14ac:dyDescent="0.35">
      <c r="A4268"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4268"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4268" t="s">
        <v>7872</v>
      </c>
      <c r="D4268" t="s">
        <v>6257</v>
      </c>
      <c r="E4268" s="3" t="str">
        <f>HYPERLINK("https://www.amazon.com/Klein-Tools-66001-12-Point-16-Inch/dp/B078NHVXWK/ref=sr_1_2?keywords=Klein+Tools+66030+2-in-1+Coated+Impact+Socket%2C+12-Point%2C+3%2F4+and+9%2F16-Inch&amp;qid=1695174140&amp;sr=8-2", "https://www.amazon.com/Klein-Tools-66001-12-Point-16-Inch/dp/B078NHVXWK/ref=sr_1_2?keywords=Klein+Tools+66030+2-in-1+Coated+Impact+Socket%2C+12-Point%2C+3%2F4+and+9%2F16-Inch&amp;qid=1695174140&amp;sr=8-2")</f>
        <v>https://www.amazon.com/Klein-Tools-66001-12-Point-16-Inch/dp/B078NHVXWK/ref=sr_1_2?keywords=Klein+Tools+66030+2-in-1+Coated+Impact+Socket%2C+12-Point%2C+3%2F4+and+9%2F16-Inch&amp;qid=1695174140&amp;sr=8-2</v>
      </c>
      <c r="F4268" t="s">
        <v>6258</v>
      </c>
      <c r="G4268" t="e">
        <f ca="1">_xludf.IMAGE("https://edmondsonsupply.com/cdn/shop/products/66030.jpg?v=1666027133")</f>
        <v>#NAME?</v>
      </c>
      <c r="H4268" t="e">
        <f ca="1">_xludf.IMAGE("https://m.media-amazon.com/images/I/31AlECG12iL._AC_UL320_.jpg")</f>
        <v>#NAME?</v>
      </c>
      <c r="I4268" t="s">
        <v>7792</v>
      </c>
      <c r="J4268">
        <v>39.99</v>
      </c>
      <c r="K4268" s="4">
        <v>-0.19989999999999999</v>
      </c>
      <c r="L4268">
        <v>4.8</v>
      </c>
      <c r="M4268">
        <v>753</v>
      </c>
      <c r="O4268" t="s">
        <v>25</v>
      </c>
      <c r="P4268" t="s">
        <v>7873</v>
      </c>
      <c r="Q4268" t="s">
        <v>7874</v>
      </c>
    </row>
    <row r="4269" spans="1:17" ht="15.5" x14ac:dyDescent="0.35">
      <c r="A4269"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4269"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4269" t="s">
        <v>7299</v>
      </c>
      <c r="D4269" t="s">
        <v>6101</v>
      </c>
      <c r="E4269" s="3" t="str">
        <f>HYPERLINK("https://www.amazon.com/Klein-Tools-51603-Conduit-Features/dp/B08W6GJTHW/ref=sr_1_5?keywords=Klein+Tools+51604+Iron+Conduit+Bender+Full+Assembly%2C+3%2F4-Inch+EMT+with+Angle+Setter%E2%84%A2&amp;qid=1695174174&amp;sr=8-5", "https://www.amazon.com/Klein-Tools-51603-Conduit-Features/dp/B08W6GJTHW/ref=sr_1_5?keywords=Klein+Tools+51604+Iron+Conduit+Bender+Full+Assembly%2C+3%2F4-Inch+EMT+with+Angle+Setter%E2%84%A2&amp;qid=1695174174&amp;sr=8-5")</f>
        <v>https://www.amazon.com/Klein-Tools-51603-Conduit-Features/dp/B08W6GJTHW/ref=sr_1_5?keywords=Klein+Tools+51604+Iron+Conduit+Bender+Full+Assembly%2C+3%2F4-Inch+EMT+with+Angle+Setter%E2%84%A2&amp;qid=1695174174&amp;sr=8-5</v>
      </c>
      <c r="F4269" t="s">
        <v>6102</v>
      </c>
      <c r="G4269" t="e">
        <f ca="1">_xludf.IMAGE("https://edmondsonsupply.com/cdn/shop/products/51603.jpg?v=1660829273")</f>
        <v>#NAME?</v>
      </c>
      <c r="H4269" t="e">
        <f ca="1">_xludf.IMAGE("https://m.media-amazon.com/images/I/31lf3y-9bSL._AC_UL320_.jpg")</f>
        <v>#NAME?</v>
      </c>
      <c r="I4269" t="s">
        <v>320</v>
      </c>
      <c r="J4269">
        <v>59.99</v>
      </c>
      <c r="K4269" s="4">
        <v>-0.2</v>
      </c>
      <c r="L4269">
        <v>4.9000000000000004</v>
      </c>
      <c r="M4269">
        <v>31</v>
      </c>
      <c r="O4269" t="s">
        <v>171</v>
      </c>
      <c r="P4269" t="s">
        <v>306</v>
      </c>
      <c r="Q4269" t="s">
        <v>7300</v>
      </c>
    </row>
    <row r="4270" spans="1:17" ht="15.5" x14ac:dyDescent="0.35">
      <c r="A4270" s="3" t="str">
        <f>HYPERLINK("https://edmondsonsupply.com/collections/electricians-tools/products/klein-tools-66031-3-in-1-slotted-impact-socket-12-point-3-4-and-9-16-inch", "https://edmondsonsupply.com/collections/electricians-tools/products/klein-tools-66031-3-in-1-slotted-impact-socket-12-point-3-4-and-9-16-inch")</f>
        <v>https://edmondsonsupply.com/collections/electricians-tools/products/klein-tools-66031-3-in-1-slotted-impact-socket-12-point-3-4-and-9-16-inch</v>
      </c>
      <c r="B4270" s="3" t="str">
        <f>HYPERLINK("https://edmondsonsupply.com/products/klein-tools-66031-3-in-1-slotted-impact-socket-12-point-3-4-and-9-16-inch", "https://edmondsonsupply.com/products/klein-tools-66031-3-in-1-slotted-impact-socket-12-point-3-4-and-9-16-inch")</f>
        <v>https://edmondsonsupply.com/products/klein-tools-66031-3-in-1-slotted-impact-socket-12-point-3-4-and-9-16-inch</v>
      </c>
      <c r="C4270" t="s">
        <v>8031</v>
      </c>
      <c r="D4270" t="s">
        <v>6257</v>
      </c>
      <c r="E4270" s="3" t="str">
        <f>HYPERLINK("https://www.amazon.com/Klein-Tools-66001-12-Point-16-Inch/dp/B078NHVXWK/ref=sr_1_4?keywords=Klein+Tools+66031+3-in-1+Slotted+Impact+Socket%2C+12-Point%2C+3%2F4+and+9%2F16-Inch&amp;qid=1695174174&amp;sr=8-4", "https://www.amazon.com/Klein-Tools-66001-12-Point-16-Inch/dp/B078NHVXWK/ref=sr_1_4?keywords=Klein+Tools+66031+3-in-1+Slotted+Impact+Socket%2C+12-Point%2C+3%2F4+and+9%2F16-Inch&amp;qid=1695174174&amp;sr=8-4")</f>
        <v>https://www.amazon.com/Klein-Tools-66001-12-Point-16-Inch/dp/B078NHVXWK/ref=sr_1_4?keywords=Klein+Tools+66031+3-in-1+Slotted+Impact+Socket%2C+12-Point%2C+3%2F4+and+9%2F16-Inch&amp;qid=1695174174&amp;sr=8-4</v>
      </c>
      <c r="F4270" t="s">
        <v>6258</v>
      </c>
      <c r="G4270" t="e">
        <f ca="1">_xludf.IMAGE("https://edmondsonsupply.com/cdn/shop/products/66031.jpg?v=1659389111")</f>
        <v>#NAME?</v>
      </c>
      <c r="H4270" t="e">
        <f ca="1">_xludf.IMAGE("https://m.media-amazon.com/images/I/31AlECG12iL._AC_UL320_.jpg")</f>
        <v>#NAME?</v>
      </c>
      <c r="I4270" t="s">
        <v>1931</v>
      </c>
      <c r="J4270">
        <v>39.99</v>
      </c>
      <c r="K4270" s="4">
        <v>-0.2</v>
      </c>
      <c r="L4270">
        <v>4.8</v>
      </c>
      <c r="M4270">
        <v>753</v>
      </c>
      <c r="O4270" t="s">
        <v>25</v>
      </c>
      <c r="P4270" t="s">
        <v>8032</v>
      </c>
      <c r="Q4270" t="s">
        <v>8033</v>
      </c>
    </row>
    <row r="4271" spans="1:17" ht="15.5" x14ac:dyDescent="0.35">
      <c r="A4271" s="3" t="str">
        <f>HYPERLINK("https://edmondsonsupply.com/collections/electricians-tools/products/klein-tools-d2000-28-diagonal-cutting-pliers-heavy-duty-high-leverage-8-inch", "https://edmondsonsupply.com/collections/electricians-tools/products/klein-tools-d2000-28-diagonal-cutting-pliers-heavy-duty-high-leverage-8-inch")</f>
        <v>https://edmondsonsupply.com/collections/electricians-tools/products/klein-tools-d2000-28-diagonal-cutting-pliers-heavy-duty-high-leverage-8-inch</v>
      </c>
      <c r="B4271" s="3" t="str">
        <f>HYPERLINK("https://edmondsonsupply.com/products/klein-tools-d2000-28-diagonal-cutting-pliers-heavy-duty-high-leverage-8-inch", "https://edmondsonsupply.com/products/klein-tools-d2000-28-diagonal-cutting-pliers-heavy-duty-high-leverage-8-inch")</f>
        <v>https://edmondsonsupply.com/products/klein-tools-d2000-28-diagonal-cutting-pliers-heavy-duty-high-leverage-8-inch</v>
      </c>
      <c r="C4271" t="s">
        <v>6737</v>
      </c>
      <c r="D4271" t="s">
        <v>8753</v>
      </c>
      <c r="E4271" s="3" t="str">
        <f>HYPERLINK("https://www.amazon.com/High-Leverage-Diagonal-Cutting-Klein-Tools-D2000-28/dp/B0000302WR/ref=sr_1_2?keywords=Klein+Tools+D2000-28+Diagonal+Cutting+Pliers%2C+Heavy-Duty%2C+High-Leverage%2C+8-Inch&amp;qid=1695174291&amp;sr=8-2", "https://www.amazon.com/High-Leverage-Diagonal-Cutting-Klein-Tools-D2000-28/dp/B0000302WR/ref=sr_1_2?keywords=Klein+Tools+D2000-28+Diagonal+Cutting+Pliers%2C+Heavy-Duty%2C+High-Leverage%2C+8-Inch&amp;qid=1695174291&amp;sr=8-2")</f>
        <v>https://www.amazon.com/High-Leverage-Diagonal-Cutting-Klein-Tools-D2000-28/dp/B0000302WR/ref=sr_1_2?keywords=Klein+Tools+D2000-28+Diagonal+Cutting+Pliers%2C+Heavy-Duty%2C+High-Leverage%2C+8-Inch&amp;qid=1695174291&amp;sr=8-2</v>
      </c>
      <c r="F4271" t="s">
        <v>8754</v>
      </c>
      <c r="G4271" t="e">
        <f ca="1">_xludf.IMAGE("https://edmondsonsupply.com/cdn/shop/products/d200028.jpg?v=1633030882")</f>
        <v>#NAME?</v>
      </c>
      <c r="H4271" t="e">
        <f ca="1">_xludf.IMAGE("https://m.media-amazon.com/images/I/41VuWJ3z3QL._AC_UL320_.jpg")</f>
        <v>#NAME?</v>
      </c>
      <c r="I4271" t="s">
        <v>571</v>
      </c>
      <c r="J4271">
        <v>27.99</v>
      </c>
      <c r="K4271" s="4">
        <v>-0.2001</v>
      </c>
      <c r="L4271">
        <v>4.8</v>
      </c>
      <c r="M4271">
        <v>1451</v>
      </c>
      <c r="O4271" t="s">
        <v>25</v>
      </c>
      <c r="P4271" t="s">
        <v>5228</v>
      </c>
      <c r="Q4271" t="s">
        <v>6740</v>
      </c>
    </row>
    <row r="4272" spans="1:17" ht="15.5" x14ac:dyDescent="0.35">
      <c r="A4272" s="3" t="str">
        <f>HYPERLINK("https://edmondsonsupply.com/collections/electricians-tools/products/rack-a-tiers-42680-4-1-4-round-multi-tool-hole-saw", "https://edmondsonsupply.com/collections/electricians-tools/products/rack-a-tiers-42680-4-1-4-round-multi-tool-hole-saw")</f>
        <v>https://edmondsonsupply.com/collections/electricians-tools/products/rack-a-tiers-42680-4-1-4-round-multi-tool-hole-saw</v>
      </c>
      <c r="B4272" s="3" t="str">
        <f>HYPERLINK("https://edmondsonsupply.com/products/rack-a-tiers-42680-4-1-4-round-multi-tool-hole-saw", "https://edmondsonsupply.com/products/rack-a-tiers-42680-4-1-4-round-multi-tool-hole-saw")</f>
        <v>https://edmondsonsupply.com/products/rack-a-tiers-42680-4-1-4-round-multi-tool-hole-saw</v>
      </c>
      <c r="C4272" t="s">
        <v>8755</v>
      </c>
      <c r="D4272" t="s">
        <v>8756</v>
      </c>
      <c r="E4272" s="3" t="str">
        <f>HYPERLINK("https://www.amazon.com/Rack-Tiers-Multi-Tool-recessed-oscillating/dp/B0BQP6TY6H/ref=sr_1_1?keywords=Rack-A-Tiers+42680+4+1%2F4%22+Round+Multi-Tool+Hole+Saw&amp;qid=1695174067&amp;sr=8-1", "https://www.amazon.com/Rack-Tiers-Multi-Tool-recessed-oscillating/dp/B0BQP6TY6H/ref=sr_1_1?keywords=Rack-A-Tiers+42680+4+1%2F4%22+Round+Multi-Tool+Hole+Saw&amp;qid=1695174067&amp;sr=8-1")</f>
        <v>https://www.amazon.com/Rack-Tiers-Multi-Tool-recessed-oscillating/dp/B0BQP6TY6H/ref=sr_1_1?keywords=Rack-A-Tiers+42680+4+1%2F4%22+Round+Multi-Tool+Hole+Saw&amp;qid=1695174067&amp;sr=8-1</v>
      </c>
      <c r="F4272" t="s">
        <v>8757</v>
      </c>
      <c r="G4272" t="e">
        <f ca="1">_xludf.IMAGE("https://edmondsonsupply.com/cdn/shop/products/IMG_4900_803f83ec-6151-4328-8dad-0552b90489bb.webp?v=1677014284")</f>
        <v>#NAME?</v>
      </c>
      <c r="H4272" t="e">
        <f ca="1">_xludf.IMAGE("https://m.media-amazon.com/images/I/51knAuGPAUL._AC_UL320_.jpg")</f>
        <v>#NAME?</v>
      </c>
      <c r="I4272" t="s">
        <v>571</v>
      </c>
      <c r="J4272">
        <v>27.99</v>
      </c>
      <c r="K4272" s="4">
        <v>-0.2001</v>
      </c>
      <c r="L4272">
        <v>3.6</v>
      </c>
      <c r="M4272">
        <v>11</v>
      </c>
      <c r="O4272" t="s">
        <v>25</v>
      </c>
      <c r="P4272" t="s">
        <v>3432</v>
      </c>
      <c r="Q4272" t="s">
        <v>8758</v>
      </c>
    </row>
    <row r="4273" spans="1:17" ht="15.5" x14ac:dyDescent="0.35">
      <c r="A4273"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4273"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4273" t="s">
        <v>6852</v>
      </c>
      <c r="D4273" t="s">
        <v>6708</v>
      </c>
      <c r="E4273" s="3" t="str">
        <f>HYPERLINK("https://www.amazon.com/Rechargeable-Flashlight-Worklight-Klein-Tools/dp/B0947YMH51/ref=sr_1_8?keywords=Klein+Tools+56413+Rechargeable+2-Color+LED+Flashlight+with+Holster&amp;qid=1695174149&amp;sr=8-8", "https://www.amazon.com/Rechargeable-Flashlight-Worklight-Klein-Tools/dp/B0947YMH51/ref=sr_1_8?keywords=Klein+Tools+56413+Rechargeable+2-Color+LED+Flashlight+with+Holster&amp;qid=1695174149&amp;sr=8-8")</f>
        <v>https://www.amazon.com/Rechargeable-Flashlight-Worklight-Klein-Tools/dp/B0947YMH51/ref=sr_1_8?keywords=Klein+Tools+56413+Rechargeable+2-Color+LED+Flashlight+with+Holster&amp;qid=1695174149&amp;sr=8-8</v>
      </c>
      <c r="F4273" t="s">
        <v>6709</v>
      </c>
      <c r="G4273" t="e">
        <f ca="1">_xludf.IMAGE("https://edmondsonsupply.com/cdn/shop/products/56413.jpg?v=1663954210")</f>
        <v>#NAME?</v>
      </c>
      <c r="H4273" t="e">
        <f ca="1">_xludf.IMAGE("https://m.media-amazon.com/images/I/51Of8ojN4aS._AC_UL320_.jpg")</f>
        <v>#NAME?</v>
      </c>
      <c r="I4273" t="s">
        <v>380</v>
      </c>
      <c r="J4273">
        <v>39.97</v>
      </c>
      <c r="K4273" s="4">
        <v>-0.2001</v>
      </c>
      <c r="L4273">
        <v>4.5999999999999996</v>
      </c>
      <c r="M4273">
        <v>424</v>
      </c>
      <c r="O4273" t="s">
        <v>25</v>
      </c>
      <c r="P4273" t="s">
        <v>6855</v>
      </c>
      <c r="Q4273" t="s">
        <v>6856</v>
      </c>
    </row>
    <row r="4274" spans="1:17" ht="15.5" x14ac:dyDescent="0.35">
      <c r="A4274"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4274"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4274" t="s">
        <v>3227</v>
      </c>
      <c r="D4274" t="s">
        <v>5272</v>
      </c>
      <c r="E4274" s="3" t="str">
        <f>HYPERLINK("https://www.amazon.com/Klein-Tools-69149P-Multimeter-Noncontact/dp/B09C6MGD7J/ref=sr_1_5?keywords=Klein+Tools+MM320KIT+Digital+Multimeter+Electrical+Test+Kit&amp;qid=1695173860&amp;sr=8-5", "https://www.amazon.com/Klein-Tools-69149P-Multimeter-Noncontact/dp/B09C6MGD7J/ref=sr_1_5?keywords=Klein+Tools+MM320KIT+Digital+Multimeter+Electrical+Test+Kit&amp;qid=1695173860&amp;sr=8-5")</f>
        <v>https://www.amazon.com/Klein-Tools-69149P-Multimeter-Noncontact/dp/B09C6MGD7J/ref=sr_1_5?keywords=Klein+Tools+MM320KIT+Digital+Multimeter+Electrical+Test+Kit&amp;qid=1695173860&amp;sr=8-5</v>
      </c>
      <c r="F4274" t="s">
        <v>5273</v>
      </c>
      <c r="G4274" t="e">
        <f ca="1">_xludf.IMAGE("https://edmondsonsupply.com/cdn/shop/products/mm320kit_photo.jpg?v=1660756496")</f>
        <v>#NAME?</v>
      </c>
      <c r="H4274" t="e">
        <f ca="1">_xludf.IMAGE("https://m.media-amazon.com/images/I/61+WhEXhVkL._AC_UL320_.jpg")</f>
        <v>#NAME?</v>
      </c>
      <c r="I4274" t="s">
        <v>380</v>
      </c>
      <c r="J4274">
        <v>39.97</v>
      </c>
      <c r="K4274" s="4">
        <v>-0.2001</v>
      </c>
      <c r="L4274">
        <v>4.7</v>
      </c>
      <c r="M4274">
        <v>1358</v>
      </c>
      <c r="O4274" t="s">
        <v>25</v>
      </c>
      <c r="P4274" t="s">
        <v>3230</v>
      </c>
      <c r="Q4274" t="s">
        <v>3231</v>
      </c>
    </row>
    <row r="4275" spans="1:17" ht="15.5" x14ac:dyDescent="0.35">
      <c r="A4275" s="3" t="str">
        <f>HYPERLINK("https://edmondsonsupply.com/collections/electricians-tools/products/klein-tools-56403-rechargeable-personal-worklight", "https://edmondsonsupply.com/collections/electricians-tools/products/klein-tools-56403-rechargeable-personal-worklight")</f>
        <v>https://edmondsonsupply.com/collections/electricians-tools/products/klein-tools-56403-rechargeable-personal-worklight</v>
      </c>
      <c r="B4275" s="3" t="str">
        <f>HYPERLINK("https://edmondsonsupply.com/products/klein-tools-56403-rechargeable-personal-worklight", "https://edmondsonsupply.com/products/klein-tools-56403-rechargeable-personal-worklight")</f>
        <v>https://edmondsonsupply.com/products/klein-tools-56403-rechargeable-personal-worklight</v>
      </c>
      <c r="C4275" t="s">
        <v>2537</v>
      </c>
      <c r="D4275" t="s">
        <v>5270</v>
      </c>
      <c r="E4275" s="3" t="str">
        <f>HYPERLINK("https://www.amazon.com/Klein-Tools-56403-Rechargeable-Illumination/dp/B07V4FTX6C/ref=sr_1_1?keywords=Klein+Tools+56403+Rechargeable+Personal+Worklight&amp;qid=1695173953&amp;sr=8-1", "https://www.amazon.com/Klein-Tools-56403-Rechargeable-Illumination/dp/B07V4FTX6C/ref=sr_1_1?keywords=Klein+Tools+56403+Rechargeable+Personal+Worklight&amp;qid=1695173953&amp;sr=8-1")</f>
        <v>https://www.amazon.com/Klein-Tools-56403-Rechargeable-Illumination/dp/B07V4FTX6C/ref=sr_1_1?keywords=Klein+Tools+56403+Rechargeable+Personal+Worklight&amp;qid=1695173953&amp;sr=8-1</v>
      </c>
      <c r="F4275" t="s">
        <v>5271</v>
      </c>
      <c r="G4275" t="e">
        <f ca="1">_xludf.IMAGE("https://edmondsonsupply.com/cdn/shop/products/56403.jpg?v=1587143308")</f>
        <v>#NAME?</v>
      </c>
      <c r="H4275" t="e">
        <f ca="1">_xludf.IMAGE("https://m.media-amazon.com/images/I/61Gs90A8wDL._AC_UL320_.jpg")</f>
        <v>#NAME?</v>
      </c>
      <c r="I4275" t="s">
        <v>380</v>
      </c>
      <c r="J4275">
        <v>39.97</v>
      </c>
      <c r="K4275" s="4">
        <v>-0.2001</v>
      </c>
      <c r="L4275">
        <v>4.8</v>
      </c>
      <c r="M4275">
        <v>2756</v>
      </c>
      <c r="O4275" t="s">
        <v>25</v>
      </c>
      <c r="P4275" t="s">
        <v>2540</v>
      </c>
      <c r="Q4275" t="s">
        <v>2541</v>
      </c>
    </row>
    <row r="4276" spans="1:17" ht="15.5" x14ac:dyDescent="0.35">
      <c r="A4276"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4276" s="3" t="str">
        <f>HYPERLINK("https://edmondsonsupply.com/products/klein-tools-vaco-s10m-5-16-magnetic-nut-driver-3-hollow-shaft", "https://edmondsonsupply.com/products/klein-tools-vaco-s10m-5-16-magnetic-nut-driver-3-hollow-shaft")</f>
        <v>https://edmondsonsupply.com/products/klein-tools-vaco-s10m-5-16-magnetic-nut-driver-3-hollow-shaft</v>
      </c>
      <c r="C4276" t="s">
        <v>6468</v>
      </c>
      <c r="D4276" t="s">
        <v>4684</v>
      </c>
      <c r="E4276" s="3" t="str">
        <f>HYPERLINK("https://www.amazon.com/Klein-Tools-S106-16-Inch-Driver/dp/B000936PDO/ref=sr_1_5?keywords=Klein+Tools+S10M+5%2F16-Inch+Magnetic+Nut+Driver+3-Inch+Shaft&amp;qid=1695174019&amp;sr=8-5", "https://www.amazon.com/Klein-Tools-S106-16-Inch-Driver/dp/B000936PDO/ref=sr_1_5?keywords=Klein+Tools+S10M+5%2F16-Inch+Magnetic+Nut+Driver+3-Inch+Shaft&amp;qid=1695174019&amp;sr=8-5")</f>
        <v>https://www.amazon.com/Klein-Tools-S106-16-Inch-Driver/dp/B000936PDO/ref=sr_1_5?keywords=Klein+Tools+S10M+5%2F16-Inch+Magnetic+Nut+Driver+3-Inch+Shaft&amp;qid=1695174019&amp;sr=8-5</v>
      </c>
      <c r="F4276" t="s">
        <v>4685</v>
      </c>
      <c r="G4276" t="e">
        <f ca="1">_xludf.IMAGE("https://edmondsonsupply.com/cdn/shop/products/s10m_alt2.jpg?v=1587143022")</f>
        <v>#NAME?</v>
      </c>
      <c r="H4276" t="e">
        <f ca="1">_xludf.IMAGE("https://m.media-amazon.com/images/I/41MR57vMQTL._AC_UL320_.jpg")</f>
        <v>#NAME?</v>
      </c>
      <c r="I4276" t="s">
        <v>2577</v>
      </c>
      <c r="J4276">
        <v>7.99</v>
      </c>
      <c r="K4276" s="4">
        <v>-0.20019999999999999</v>
      </c>
      <c r="L4276">
        <v>4.5</v>
      </c>
      <c r="M4276">
        <v>151</v>
      </c>
      <c r="O4276" t="s">
        <v>25</v>
      </c>
      <c r="P4276" t="s">
        <v>6469</v>
      </c>
      <c r="Q4276" t="s">
        <v>6470</v>
      </c>
    </row>
    <row r="4277" spans="1:17" ht="15.5" x14ac:dyDescent="0.35">
      <c r="A4277" s="3" t="str">
        <f>HYPERLINK("https://edmondsonsupply.com/collections/electricians-tools/products/klein-tools-sk234-screwdriver-set-slotted-screw-holding-3-piece", "https://edmondsonsupply.com/collections/electricians-tools/products/klein-tools-sk234-screwdriver-set-slotted-screw-holding-3-piece")</f>
        <v>https://edmondsonsupply.com/collections/electricians-tools/products/klein-tools-sk234-screwdriver-set-slotted-screw-holding-3-piece</v>
      </c>
      <c r="B4277" s="3" t="str">
        <f>HYPERLINK("https://edmondsonsupply.com/products/klein-tools-sk234-screwdriver-set-slotted-screw-holding-3-piece", "https://edmondsonsupply.com/products/klein-tools-sk234-screwdriver-set-slotted-screw-holding-3-piece")</f>
        <v>https://edmondsonsupply.com/products/klein-tools-sk234-screwdriver-set-slotted-screw-holding-3-piece</v>
      </c>
      <c r="C4277" t="s">
        <v>5276</v>
      </c>
      <c r="D4277" t="s">
        <v>3865</v>
      </c>
      <c r="E4277" s="3" t="str">
        <f>HYPERLINK("https://www.amazon.com/Klein-Tools-85153K-Screw-Holding-Screwdriver/dp/B0CFRP1K3L/ref=sr_1_2?keywords=Klein+Tools+SK234+Screwdriver+Set%2C+Slotted+Screw+Holding%2C+3-Piece&amp;qid=1695173862&amp;sr=8-2", "https://www.amazon.com/Klein-Tools-85153K-Screw-Holding-Screwdriver/dp/B0CFRP1K3L/ref=sr_1_2?keywords=Klein+Tools+SK234+Screwdriver+Set%2C+Slotted+Screw+Holding%2C+3-Piece&amp;qid=1695173862&amp;sr=8-2")</f>
        <v>https://www.amazon.com/Klein-Tools-85153K-Screw-Holding-Screwdriver/dp/B0CFRP1K3L/ref=sr_1_2?keywords=Klein+Tools+SK234+Screwdriver+Set%2C+Slotted+Screw+Holding%2C+3-Piece&amp;qid=1695173862&amp;sr=8-2</v>
      </c>
      <c r="F4277" t="s">
        <v>3866</v>
      </c>
      <c r="G4277" t="e">
        <f ca="1">_xludf.IMAGE("https://edmondsonsupply.com/cdn/shop/products/sk234.jpg?v=1587144984")</f>
        <v>#NAME?</v>
      </c>
      <c r="H4277" t="e">
        <f ca="1">_xludf.IMAGE("https://m.media-amazon.com/images/I/41KoRmOkBpL._AC_UL320_.jpg")</f>
        <v>#NAME?</v>
      </c>
      <c r="I4277" t="s">
        <v>824</v>
      </c>
      <c r="J4277">
        <v>23.97</v>
      </c>
      <c r="K4277" s="4">
        <v>-0.20019999999999999</v>
      </c>
      <c r="L4277">
        <v>5</v>
      </c>
      <c r="M4277">
        <v>1</v>
      </c>
      <c r="O4277" t="s">
        <v>171</v>
      </c>
      <c r="P4277" t="s">
        <v>5277</v>
      </c>
      <c r="Q4277" t="s">
        <v>5278</v>
      </c>
    </row>
    <row r="4278" spans="1:17" ht="15.5" x14ac:dyDescent="0.35">
      <c r="A4278" s="3" t="str">
        <f>HYPERLINK("https://edmondsonsupply.com/collections/electricians-tools/products/klein-tools-1010-long-nose-multi-purpose-tool", "https://edmondsonsupply.com/collections/electricians-tools/products/klein-tools-1010-long-nose-multi-purpose-tool")</f>
        <v>https://edmondsonsupply.com/collections/electricians-tools/products/klein-tools-1010-long-nose-multi-purpose-tool</v>
      </c>
      <c r="B4278" s="3" t="str">
        <f>HYPERLINK("https://edmondsonsupply.com/products/klein-tools-1010-long-nose-multi-purpose-tool", "https://edmondsonsupply.com/products/klein-tools-1010-long-nose-multi-purpose-tool")</f>
        <v>https://edmondsonsupply.com/products/klein-tools-1010-long-nose-multi-purpose-tool</v>
      </c>
      <c r="C4278" t="s">
        <v>5322</v>
      </c>
      <c r="D4278" t="s">
        <v>5512</v>
      </c>
      <c r="E4278" s="3" t="str">
        <f>HYPERLINK("https://www.amazon.com/Crimping-Stripping-Klein-Tools-1009/dp/B079T9Q9X8/ref=sr_1_2?keywords=Klein+Tools+1010+Long+Nose+Multi+Tool+Wire+Stripper%2C+Wire+Cutters%2C+Crimping+Tool&amp;qid=1695173933&amp;sr=8-2", "https://www.amazon.com/Crimping-Stripping-Klein-Tools-1009/dp/B079T9Q9X8/ref=sr_1_2?keywords=Klein+Tools+1010+Long+Nose+Multi+Tool+Wire+Stripper%2C+Wire+Cutters%2C+Crimping+Tool&amp;qid=1695173933&amp;sr=8-2")</f>
        <v>https://www.amazon.com/Crimping-Stripping-Klein-Tools-1009/dp/B079T9Q9X8/ref=sr_1_2?keywords=Klein+Tools+1010+Long+Nose+Multi+Tool+Wire+Stripper%2C+Wire+Cutters%2C+Crimping+Tool&amp;qid=1695173933&amp;sr=8-2</v>
      </c>
      <c r="F4278" t="s">
        <v>5513</v>
      </c>
      <c r="G4278" t="e">
        <f ca="1">_xludf.IMAGE("https://edmondsonsupply.com/cdn/shop/products/1010.jpg?v=1587145604")</f>
        <v>#NAME?</v>
      </c>
      <c r="H4278" t="e">
        <f ca="1">_xludf.IMAGE("https://m.media-amazon.com/images/I/51ktpyk63OL._AC_UL320_.jpg")</f>
        <v>#NAME?</v>
      </c>
      <c r="I4278" t="s">
        <v>859</v>
      </c>
      <c r="J4278">
        <v>19.97</v>
      </c>
      <c r="K4278" s="4">
        <v>-0.20019999999999999</v>
      </c>
      <c r="L4278">
        <v>4.7</v>
      </c>
      <c r="M4278">
        <v>627</v>
      </c>
      <c r="O4278" t="s">
        <v>25</v>
      </c>
      <c r="P4278" t="s">
        <v>5325</v>
      </c>
      <c r="Q4278" t="s">
        <v>5326</v>
      </c>
    </row>
    <row r="4279" spans="1:17" ht="15.5" x14ac:dyDescent="0.35">
      <c r="A4279" s="3" t="str">
        <f>HYPERLINK("https://edmondsonsupply.com/collections/electricians-tools/products/klein-tools-31907-replacement-pilot-bit-1-4-x-3-1-2-inch", "https://edmondsonsupply.com/collections/electricians-tools/products/klein-tools-31907-replacement-pilot-bit-1-4-x-3-1-2-inch")</f>
        <v>https://edmondsonsupply.com/collections/electricians-tools/products/klein-tools-31907-replacement-pilot-bit-1-4-x-3-1-2-inch</v>
      </c>
      <c r="B4279" s="3" t="str">
        <f>HYPERLINK("https://edmondsonsupply.com/products/klein-tools-31907-replacement-pilot-bit-1-4-x-3-1-2-inch", "https://edmondsonsupply.com/products/klein-tools-31907-replacement-pilot-bit-1-4-x-3-1-2-inch")</f>
        <v>https://edmondsonsupply.com/products/klein-tools-31907-replacement-pilot-bit-1-4-x-3-1-2-inch</v>
      </c>
      <c r="C4279" t="s">
        <v>8759</v>
      </c>
      <c r="D4279" t="s">
        <v>8759</v>
      </c>
      <c r="E4279" s="3" t="str">
        <f>HYPERLINK("https://www.amazon.com/Replacement-2-Inch-Klein-Tools-31907/dp/B019874KR4/ref=sr_1_1?keywords=Klein+Tools+31907+Replacement+Pilot+Bit%2C+1%2F4+x+3-1%2F2-Inch&amp;qid=1695174255&amp;sr=8-1", "https://www.amazon.com/Replacement-2-Inch-Klein-Tools-31907/dp/B019874KR4/ref=sr_1_1?keywords=Klein+Tools+31907+Replacement+Pilot+Bit%2C+1%2F4+x+3-1%2F2-Inch&amp;qid=1695174255&amp;sr=8-1")</f>
        <v>https://www.amazon.com/Replacement-2-Inch-Klein-Tools-31907/dp/B019874KR4/ref=sr_1_1?keywords=Klein+Tools+31907+Replacement+Pilot+Bit%2C+1%2F4+x+3-1%2F2-Inch&amp;qid=1695174255&amp;sr=8-1</v>
      </c>
      <c r="F4279" t="s">
        <v>8760</v>
      </c>
      <c r="G4279" t="e">
        <f ca="1">_xludf.IMAGE("https://edmondsonsupply.com/cdn/shop/products/31907.jpg?v=1633031111")</f>
        <v>#NAME?</v>
      </c>
      <c r="H4279" t="e">
        <f ca="1">_xludf.IMAGE("https://m.media-amazon.com/images/I/412mZa2387L._AC_UL320_.jpg")</f>
        <v>#NAME?</v>
      </c>
      <c r="I4279" t="s">
        <v>2388</v>
      </c>
      <c r="J4279">
        <v>3.99</v>
      </c>
      <c r="K4279" s="4">
        <v>-0.20039999999999999</v>
      </c>
      <c r="L4279">
        <v>4.5</v>
      </c>
      <c r="M4279">
        <v>102</v>
      </c>
      <c r="O4279" t="s">
        <v>25</v>
      </c>
      <c r="P4279" t="s">
        <v>8761</v>
      </c>
      <c r="Q4279" t="s">
        <v>8762</v>
      </c>
    </row>
    <row r="4280" spans="1:17" ht="15.5" x14ac:dyDescent="0.35">
      <c r="A4280"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280" s="3" t="str">
        <f>HYPERLINK("https://edmondsonsupply.com/products/klein-tools-d2000-28glw-diagonal-cutting-pliers-hi-viz-8-inch", "https://edmondsonsupply.com/products/klein-tools-d2000-28glw-diagonal-cutting-pliers-hi-viz-8-inch")</f>
        <v>https://edmondsonsupply.com/products/klein-tools-d2000-28glw-diagonal-cutting-pliers-hi-viz-8-inch</v>
      </c>
      <c r="C4280" t="s">
        <v>4233</v>
      </c>
      <c r="D4280" t="s">
        <v>5457</v>
      </c>
      <c r="E4280" s="3" t="str">
        <f>HYPERLINK("https://www.amazon.com/Diagonal-Ironworker-Klein-Tools-D248-9ST/dp/B0009ZAT1G/ref=sr_1_8?keywords=Klein+Tools+D200028GLW+Diagonal+Cutting+Pliers%2C+High-Visibility%2C+8-Inch&amp;qid=1695173928&amp;sr=8-8", "https://www.amazon.com/Diagonal-Ironworker-Klein-Tools-D248-9ST/dp/B0009ZAT1G/ref=sr_1_8?keywords=Klein+Tools+D200028GLW+Diagonal+Cutting+Pliers%2C+High-Visibility%2C+8-Inch&amp;qid=1695173928&amp;sr=8-8")</f>
        <v>https://www.amazon.com/Diagonal-Ironworker-Klein-Tools-D248-9ST/dp/B0009ZAT1G/ref=sr_1_8?keywords=Klein+Tools+D200028GLW+Diagonal+Cutting+Pliers%2C+High-Visibility%2C+8-Inch&amp;qid=1695173928&amp;sr=8-8</v>
      </c>
      <c r="F4280" t="s">
        <v>5458</v>
      </c>
      <c r="G4280" t="e">
        <f ca="1">_xludf.IMAGE("https://edmondsonsupply.com/cdn/shop/products/d200028glw.jpg?v=1633030701")</f>
        <v>#NAME?</v>
      </c>
      <c r="H4280" t="e">
        <f ca="1">_xludf.IMAGE("https://m.media-amazon.com/images/I/41QcUzpmIlL._AC_UL320_.jpg")</f>
        <v>#NAME?</v>
      </c>
      <c r="I4280" t="s">
        <v>67</v>
      </c>
      <c r="J4280">
        <v>29.97</v>
      </c>
      <c r="K4280" s="4">
        <v>-0.2006</v>
      </c>
      <c r="L4280">
        <v>4.8</v>
      </c>
      <c r="M4280">
        <v>5530</v>
      </c>
      <c r="O4280" t="s">
        <v>25</v>
      </c>
      <c r="P4280" t="s">
        <v>4236</v>
      </c>
      <c r="Q4280" t="s">
        <v>4237</v>
      </c>
    </row>
    <row r="4281" spans="1:17" ht="15.5" x14ac:dyDescent="0.35">
      <c r="A4281"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4281" s="3" t="str">
        <f>HYPERLINK("https://edmondsonsupply.com/products/klein-tools-12098-eins-combination-pliers-insulated", "https://edmondsonsupply.com/products/klein-tools-12098-eins-combination-pliers-insulated")</f>
        <v>https://edmondsonsupply.com/products/klein-tools-12098-eins-combination-pliers-insulated</v>
      </c>
      <c r="C4281" t="s">
        <v>8623</v>
      </c>
      <c r="D4281" t="s">
        <v>8763</v>
      </c>
      <c r="E4281" s="3" t="str">
        <f>HYPERLINK("https://www.amazon.com/Klein-Tools-200048EINS-Diagonal-Cutting/dp/B00JGG5Q26/ref=sr_1_8?keywords=Klein+Tools+12098-EINS+Combination+Pliers%2C+Insulated&amp;qid=1695174273&amp;sr=8-8", "https://www.amazon.com/Klein-Tools-200048EINS-Diagonal-Cutting/dp/B00JGG5Q26/ref=sr_1_8?keywords=Klein+Tools+12098-EINS+Combination+Pliers%2C+Insulated&amp;qid=1695174273&amp;sr=8-8")</f>
        <v>https://www.amazon.com/Klein-Tools-200048EINS-Diagonal-Cutting/dp/B00JGG5Q26/ref=sr_1_8?keywords=Klein+Tools+12098-EINS+Combination+Pliers%2C+Insulated&amp;qid=1695174273&amp;sr=8-8</v>
      </c>
      <c r="F4281" t="s">
        <v>8764</v>
      </c>
      <c r="G4281" t="e">
        <f ca="1">_xludf.IMAGE("https://edmondsonsupply.com/cdn/shop/products/12098eins.jpg?v=1633031039")</f>
        <v>#NAME?</v>
      </c>
      <c r="H4281" t="e">
        <f ca="1">_xludf.IMAGE("https://m.media-amazon.com/images/I/61xRtnUJzIL._AC_UL320_.jpg")</f>
        <v>#NAME?</v>
      </c>
      <c r="I4281" t="s">
        <v>320</v>
      </c>
      <c r="J4281">
        <v>59.9</v>
      </c>
      <c r="K4281" s="4">
        <v>-0.20119999999999999</v>
      </c>
      <c r="L4281">
        <v>4.8</v>
      </c>
      <c r="M4281">
        <v>111</v>
      </c>
      <c r="O4281" t="s">
        <v>25</v>
      </c>
      <c r="P4281" t="s">
        <v>8624</v>
      </c>
      <c r="Q4281" t="s">
        <v>8625</v>
      </c>
    </row>
    <row r="4282" spans="1:17" ht="15.5" x14ac:dyDescent="0.35">
      <c r="A4282"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4282"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4282" t="s">
        <v>6957</v>
      </c>
      <c r="D4282" t="s">
        <v>8765</v>
      </c>
      <c r="E4282" s="3" t="str">
        <f>HYPERLINK("https://www.amazon.com/Screwdriver-Comfordome-Klein-Tools-BD156/dp/B000G1QOMQ/ref=sr_1_10?keywords=Klein+Tools+602-6+5%2F16-Inch+Keystone+Tip+Screwdriver%2C+Cushion+Grip%2C+6-Inch&amp;qid=1695174298&amp;sr=8-10", "https://www.amazon.com/Screwdriver-Comfordome-Klein-Tools-BD156/dp/B000G1QOMQ/ref=sr_1_10?keywords=Klein+Tools+602-6+5%2F16-Inch+Keystone+Tip+Screwdriver%2C+Cushion+Grip%2C+6-Inch&amp;qid=1695174298&amp;sr=8-10")</f>
        <v>https://www.amazon.com/Screwdriver-Comfordome-Klein-Tools-BD156/dp/B000G1QOMQ/ref=sr_1_10?keywords=Klein+Tools+602-6+5%2F16-Inch+Keystone+Tip+Screwdriver%2C+Cushion+Grip%2C+6-Inch&amp;qid=1695174298&amp;sr=8-10</v>
      </c>
      <c r="F4282" t="s">
        <v>8766</v>
      </c>
      <c r="G4282" t="e">
        <f ca="1">_xludf.IMAGE("https://edmondsonsupply.com/cdn/shop/products/602-6_162e3283-acea-47de-aecf-2a25f009fdcb.jpg?v=1633030880")</f>
        <v>#NAME?</v>
      </c>
      <c r="H4282" t="e">
        <f ca="1">_xludf.IMAGE("https://m.media-amazon.com/images/I/31Jat2OaC-L._AC_UL320_.jpg")</f>
        <v>#NAME?</v>
      </c>
      <c r="I4282" t="s">
        <v>2337</v>
      </c>
      <c r="J4282">
        <v>9.57</v>
      </c>
      <c r="K4282" s="4">
        <v>-0.20180000000000001</v>
      </c>
      <c r="L4282">
        <v>4.8</v>
      </c>
      <c r="M4282">
        <v>22</v>
      </c>
      <c r="O4282" t="s">
        <v>25</v>
      </c>
      <c r="P4282" t="s">
        <v>1212</v>
      </c>
      <c r="Q4282" t="s">
        <v>6958</v>
      </c>
    </row>
    <row r="4283" spans="1:17" ht="15.5" x14ac:dyDescent="0.35">
      <c r="A4283"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4283"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4283" t="s">
        <v>6932</v>
      </c>
      <c r="D4283" t="s">
        <v>8767</v>
      </c>
      <c r="E4283" s="3" t="str">
        <f>HYPERLINK("https://www.amazon.com/Diablo-Freud-DOU125JBW-Universal-Oscillating/dp/B089KV62LL/ref=sr_1_1?keywords=Diablo+Tools+DOU250JBW+2-1%2F2+in.+Universal+Fit+Bi-Metal+Oscillating+Blade+for+Clean+Wood&amp;qid=1695174020&amp;sr=8-1", "https://www.amazon.com/Diablo-Freud-DOU125JBW-Universal-Oscillating/dp/B089KV62LL/ref=sr_1_1?keywords=Diablo+Tools+DOU250JBW+2-1%2F2+in.+Universal+Fit+Bi-Metal+Oscillating+Blade+for+Clean+Wood&amp;qid=1695174020&amp;sr=8-1")</f>
        <v>https://www.amazon.com/Diablo-Freud-DOU125JBW-Universal-Oscillating/dp/B089KV62LL/ref=sr_1_1?keywords=Diablo+Tools+DOU250JBW+2-1%2F2+in.+Universal+Fit+Bi-Metal+Oscillating+Blade+for+Clean+Wood&amp;qid=1695174020&amp;sr=8-1</v>
      </c>
      <c r="F4283" t="s">
        <v>8768</v>
      </c>
      <c r="G4283" t="e">
        <f ca="1">_xludf.IMAGE("https://edmondsonsupply.com/cdn/shop/files/pycnap4eb1urn2hxvudq.webp?v=1685718789")</f>
        <v>#NAME?</v>
      </c>
      <c r="H4283" t="e">
        <f ca="1">_xludf.IMAGE("https://m.media-amazon.com/images/I/61wFHtmEH5L._AC_UL320_.jpg")</f>
        <v>#NAME?</v>
      </c>
      <c r="I4283" t="s">
        <v>6935</v>
      </c>
      <c r="J4283">
        <v>12.49</v>
      </c>
      <c r="K4283" s="4">
        <v>-0.2019</v>
      </c>
      <c r="L4283">
        <v>4.8</v>
      </c>
      <c r="M4283">
        <v>12</v>
      </c>
      <c r="O4283" t="s">
        <v>25</v>
      </c>
      <c r="P4283" t="s">
        <v>6936</v>
      </c>
      <c r="Q4283" t="s">
        <v>6937</v>
      </c>
    </row>
    <row r="4284" spans="1:17" ht="15.5" x14ac:dyDescent="0.35">
      <c r="A4284" s="3" t="str">
        <f>HYPERLINK("https://edmondsonsupply.com/collections/electricians-tools/products/klein-tools-85153k-slotted-screw-holding-driver-kit-3-16-inch-and-1-4-inch", "https://edmondsonsupply.com/collections/electricians-tools/products/klein-tools-85153k-slotted-screw-holding-driver-kit-3-16-inch-and-1-4-inch")</f>
        <v>https://edmondsonsupply.com/collections/electricians-tools/products/klein-tools-85153k-slotted-screw-holding-driver-kit-3-16-inch-and-1-4-inch</v>
      </c>
      <c r="B4284"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4284" t="s">
        <v>3864</v>
      </c>
      <c r="D4284" t="s">
        <v>5279</v>
      </c>
      <c r="E4284" s="3" t="str">
        <f>HYPERLINK("https://www.amazon.com/Screw-Holding-Screwdriver-Klein-Tools-K48/dp/B00093GCWI/ref=sr_1_6?keywords=Klein+Tools+85153K+Slotted+Screw+Holding+Driver+Kit%2C+3%2F16-Inch+and+1%2F4-Inch&amp;qid=1695173961&amp;sr=8-6", "https://www.amazon.com/Screw-Holding-Screwdriver-Klein-Tools-K48/dp/B00093GCWI/ref=sr_1_6?keywords=Klein+Tools+85153K+Slotted+Screw+Holding+Driver+Kit%2C+3%2F16-Inch+and+1%2F4-Inch&amp;qid=1695173961&amp;sr=8-6")</f>
        <v>https://www.amazon.com/Screw-Holding-Screwdriver-Klein-Tools-K48/dp/B00093GCWI/ref=sr_1_6?keywords=Klein+Tools+85153K+Slotted+Screw+Holding+Driver+Kit%2C+3%2F16-Inch+and+1%2F4-Inch&amp;qid=1695173961&amp;sr=8-6</v>
      </c>
      <c r="F4284" t="s">
        <v>5280</v>
      </c>
      <c r="G4284" t="e">
        <f ca="1">_xludf.IMAGE("https://edmondsonsupply.com/cdn/shop/files/85153k.jpg?v=1693933663")</f>
        <v>#NAME?</v>
      </c>
      <c r="H4284" t="e">
        <f ca="1">_xludf.IMAGE("https://m.media-amazon.com/images/I/61A3V+ZpcRL._AC_UL320_.jpg")</f>
        <v>#NAME?</v>
      </c>
      <c r="I4284" t="s">
        <v>3867</v>
      </c>
      <c r="J4284">
        <v>15.94</v>
      </c>
      <c r="K4284" s="4">
        <v>-0.20219999999999999</v>
      </c>
      <c r="L4284">
        <v>4.7</v>
      </c>
      <c r="M4284">
        <v>69</v>
      </c>
      <c r="O4284" t="s">
        <v>25</v>
      </c>
      <c r="P4284" t="s">
        <v>3068</v>
      </c>
      <c r="Q4284" t="s">
        <v>3868</v>
      </c>
    </row>
    <row r="4285" spans="1:17" ht="15.5" x14ac:dyDescent="0.35">
      <c r="A4285" s="3" t="str">
        <f>HYPERLINK("https://edmondsonsupply.com/collections/electricians-tools/products/diablo-tools-dos5s-5-pc-starlock-general-purpose-oscillating-blade-set", "https://edmondsonsupply.com/collections/electricians-tools/products/diablo-tools-dos5s-5-pc-starlock-general-purpose-oscillating-blade-set")</f>
        <v>https://edmondsonsupply.com/collections/electricians-tools/products/diablo-tools-dos5s-5-pc-starlock-general-purpose-oscillating-blade-set</v>
      </c>
      <c r="B4285" s="3" t="str">
        <f>HYPERLINK("https://edmondsonsupply.com/products/diablo-tools-dos5s-5-pc-starlock-general-purpose-oscillating-blade-set", "https://edmondsonsupply.com/products/diablo-tools-dos5s-5-pc-starlock-general-purpose-oscillating-blade-set")</f>
        <v>https://edmondsonsupply.com/products/diablo-tools-dos5s-5-pc-starlock-general-purpose-oscillating-blade-set</v>
      </c>
      <c r="C4285" t="s">
        <v>8769</v>
      </c>
      <c r="D4285" t="s">
        <v>8682</v>
      </c>
      <c r="E4285" s="3" t="str">
        <f>HYPERLINK("https://www.amazon.com/Diablo-Universal-General-Purpose-Oscillating/dp/B089LGBDQZ/ref=sr_1_4?keywords=Diablo+Tools+DOS5S+5+pc+Starlock+General+Purpose+Oscillating+Blade+Set&amp;qid=1695174253&amp;sr=8-4", "https://www.amazon.com/Diablo-Universal-General-Purpose-Oscillating/dp/B089LGBDQZ/ref=sr_1_4?keywords=Diablo+Tools+DOS5S+5+pc+Starlock+General+Purpose+Oscillating+Blade+Set&amp;qid=1695174253&amp;sr=8-4")</f>
        <v>https://www.amazon.com/Diablo-Universal-General-Purpose-Oscillating/dp/B089LGBDQZ/ref=sr_1_4?keywords=Diablo+Tools+DOS5S+5+pc+Starlock+General+Purpose+Oscillating+Blade+Set&amp;qid=1695174253&amp;sr=8-4</v>
      </c>
      <c r="F4285" t="s">
        <v>8683</v>
      </c>
      <c r="G4285" t="e">
        <f ca="1">_xludf.IMAGE("https://edmondsonsupply.com/cdn/shop/products/DOS5S_Main-Image.png?v=1633031110")</f>
        <v>#NAME?</v>
      </c>
      <c r="H4285" t="e">
        <f ca="1">_xludf.IMAGE("https://m.media-amazon.com/images/I/71lYBgp1z8L._AC_UL320_.jpg")</f>
        <v>#NAME?</v>
      </c>
      <c r="I4285" t="s">
        <v>380</v>
      </c>
      <c r="J4285">
        <v>39.85</v>
      </c>
      <c r="K4285" s="4">
        <v>-0.20250000000000001</v>
      </c>
      <c r="L4285">
        <v>4.7</v>
      </c>
      <c r="M4285">
        <v>538</v>
      </c>
      <c r="O4285" t="s">
        <v>25</v>
      </c>
      <c r="P4285" t="s">
        <v>8770</v>
      </c>
      <c r="Q4285" t="s">
        <v>8771</v>
      </c>
    </row>
    <row r="4286" spans="1:17" ht="15.5" x14ac:dyDescent="0.35">
      <c r="A4286" s="3" t="str">
        <f>HYPERLINK("https://edmondsonsupply.com/collections/electricians-tools/products/fluke-tl223-suregrip%E2%84%A2-electrical-test-lead-set", "https://edmondsonsupply.com/collections/electricians-tools/products/fluke-tl223-suregrip%E2%84%A2-electrical-test-lead-set")</f>
        <v>https://edmondsonsupply.com/collections/electricians-tools/products/fluke-tl223-suregrip%E2%84%A2-electrical-test-lead-set</v>
      </c>
      <c r="B4286" s="3" t="str">
        <f>HYPERLINK("https://edmondsonsupply.com/products/fluke-tl223-suregrip%e2%84%a2-electrical-test-lead-set", "https://edmondsonsupply.com/products/fluke-tl223-suregrip%e2%84%a2-electrical-test-lead-set")</f>
        <v>https://edmondsonsupply.com/products/fluke-tl223-suregrip%e2%84%a2-electrical-test-lead-set</v>
      </c>
      <c r="C4286" t="s">
        <v>8514</v>
      </c>
      <c r="D4286" t="s">
        <v>8772</v>
      </c>
      <c r="E4286" s="3" t="str">
        <f>HYPERLINK("https://www.amazon.com/Fluke-TL223-1-SureGrip-Electrical-Insulated/dp/B007VC2WXS/ref=sr_1_2?keywords=Fluke+TL223+SureGrip%E2%84%A2+Electrical+Test+Lead+Set&amp;qid=1695174242&amp;sr=8-2", "https://www.amazon.com/Fluke-TL223-1-SureGrip-Electrical-Insulated/dp/B007VC2WXS/ref=sr_1_2?keywords=Fluke+TL223+SureGrip%E2%84%A2+Electrical+Test+Lead+Set&amp;qid=1695174242&amp;sr=8-2")</f>
        <v>https://www.amazon.com/Fluke-TL223-1-SureGrip-Electrical-Insulated/dp/B007VC2WXS/ref=sr_1_2?keywords=Fluke+TL223+SureGrip%E2%84%A2+Electrical+Test+Lead+Set&amp;qid=1695174242&amp;sr=8-2</v>
      </c>
      <c r="F4286" t="s">
        <v>8773</v>
      </c>
      <c r="G4286" t="e">
        <f ca="1">_xludf.IMAGE("https://edmondsonsupply.com/cdn/shop/products/223.png?v=1633540843")</f>
        <v>#NAME?</v>
      </c>
      <c r="H4286" t="e">
        <f ca="1">_xludf.IMAGE("https://m.media-amazon.com/images/I/41QgRZcgJ+L._AC_UY218_.jpg")</f>
        <v>#NAME?</v>
      </c>
      <c r="I4286" t="s">
        <v>8517</v>
      </c>
      <c r="J4286">
        <v>82.71</v>
      </c>
      <c r="K4286" s="4">
        <v>-0.2031</v>
      </c>
      <c r="L4286">
        <v>4.7</v>
      </c>
      <c r="M4286">
        <v>223</v>
      </c>
      <c r="O4286" t="s">
        <v>25</v>
      </c>
      <c r="P4286" t="s">
        <v>138</v>
      </c>
      <c r="Q4286" t="s">
        <v>8518</v>
      </c>
    </row>
    <row r="4287" spans="1:17" ht="15.5" x14ac:dyDescent="0.35">
      <c r="A4287" s="3" t="str">
        <f>HYPERLINK("https://edmondsonsupply.com/collections/electricians-tools/products/fluke-376", "https://edmondsonsupply.com/collections/electricians-tools/products/fluke-376")</f>
        <v>https://edmondsonsupply.com/collections/electricians-tools/products/fluke-376</v>
      </c>
      <c r="B4287" s="3" t="str">
        <f>HYPERLINK("https://edmondsonsupply.com/products/fluke-376", "https://edmondsonsupply.com/products/fluke-376")</f>
        <v>https://edmondsonsupply.com/products/fluke-376</v>
      </c>
      <c r="C4287" t="s">
        <v>3766</v>
      </c>
      <c r="D4287" t="s">
        <v>5281</v>
      </c>
      <c r="E4287" s="3" t="str">
        <f>HYPERLINK("https://www.amazon.com/Fluke-1000A-Wireless-Clamp-Iflex/dp/B017OVC2QM/ref=sr_1_2?keywords=Fluke+376+FC+Wireless+True-RMS+AC%2FDC+Clamp+Meter+with+iFlex&amp;qid=1695173895&amp;sr=8-2", "https://www.amazon.com/Fluke-1000A-Wireless-Clamp-Iflex/dp/B017OVC2QM/ref=sr_1_2?keywords=Fluke+376+FC+Wireless+True-RMS+AC%2FDC+Clamp+Meter+with+iFlex&amp;qid=1695173895&amp;sr=8-2")</f>
        <v>https://www.amazon.com/Fluke-1000A-Wireless-Clamp-Iflex/dp/B017OVC2QM/ref=sr_1_2?keywords=Fluke+376+FC+Wireless+True-RMS+AC%2FDC+Clamp+Meter+with+iFlex&amp;qid=1695173895&amp;sr=8-2</v>
      </c>
      <c r="F4287" t="s">
        <v>5282</v>
      </c>
      <c r="G4287" t="e">
        <f ca="1">_xludf.IMAGE("https://edmondsonsupply.com/cdn/shop/products/f-376fc-16a-1500x1000.jpg?v=1633030274")</f>
        <v>#NAME?</v>
      </c>
      <c r="H4287" t="e">
        <f ca="1">_xludf.IMAGE("https://m.media-amazon.com/images/I/6115AX2aVFL._AC_UY218_.jpg")</f>
        <v>#NAME?</v>
      </c>
      <c r="I4287" t="s">
        <v>3769</v>
      </c>
      <c r="J4287">
        <v>424.99</v>
      </c>
      <c r="K4287" s="4">
        <v>-0.20369999999999999</v>
      </c>
      <c r="L4287">
        <v>4.7</v>
      </c>
      <c r="M4287">
        <v>710</v>
      </c>
      <c r="O4287" t="s">
        <v>25</v>
      </c>
      <c r="P4287" t="s">
        <v>3770</v>
      </c>
      <c r="Q4287" t="s">
        <v>3771</v>
      </c>
    </row>
    <row r="4288" spans="1:17" ht="15.5" x14ac:dyDescent="0.35">
      <c r="A4288"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4288"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4288" t="s">
        <v>6231</v>
      </c>
      <c r="D4288" t="s">
        <v>5283</v>
      </c>
      <c r="E4288" s="3" t="str">
        <f>HYPERLINK("https://www.amazon.com/Klein-Tools-NCVT1XTKIT-Non-Contact-Detector/dp/B0BNLRMNF2/ref=sr_1_5?keywords=Klein+Tools+NCVT1PKIT+Non-Contact+Voltage+and+GFCI+Receptacle+Test+Kit&amp;qid=1695174067&amp;sr=8-5", "https://www.amazon.com/Klein-Tools-NCVT1XTKIT-Non-Contact-Detector/dp/B0BNLRMNF2/ref=sr_1_5?keywords=Klein+Tools+NCVT1PKIT+Non-Contact+Voltage+and+GFCI+Receptacle+Test+Kit&amp;qid=1695174067&amp;sr=8-5")</f>
        <v>https://www.amazon.com/Klein-Tools-NCVT1XTKIT-Non-Contact-Detector/dp/B0BNLRMNF2/ref=sr_1_5?keywords=Klein+Tools+NCVT1PKIT+Non-Contact+Voltage+and+GFCI+Receptacle+Test+Kit&amp;qid=1695174067&amp;sr=8-5</v>
      </c>
      <c r="F4288" t="s">
        <v>5284</v>
      </c>
      <c r="G4288" t="e">
        <f ca="1">_xludf.IMAGE("https://edmondsonsupply.com/cdn/shop/products/ncvt1pkit.jpg?v=1677682920")</f>
        <v>#NAME?</v>
      </c>
      <c r="H4288" t="e">
        <f ca="1">_xludf.IMAGE("https://m.media-amazon.com/images/I/51enmFcuhEL._AC_UL320_.jpg")</f>
        <v>#NAME?</v>
      </c>
      <c r="I4288" t="s">
        <v>859</v>
      </c>
      <c r="J4288">
        <v>19.88</v>
      </c>
      <c r="K4288" s="4">
        <v>-0.20380000000000001</v>
      </c>
      <c r="L4288">
        <v>4.7</v>
      </c>
      <c r="M4288">
        <v>4231</v>
      </c>
      <c r="O4288" t="s">
        <v>25</v>
      </c>
      <c r="P4288" t="s">
        <v>6234</v>
      </c>
      <c r="Q4288" t="s">
        <v>6235</v>
      </c>
    </row>
    <row r="4289" spans="1:17" ht="15.5" x14ac:dyDescent="0.35">
      <c r="A4289"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4289"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4289" t="s">
        <v>5906</v>
      </c>
      <c r="D4289" t="s">
        <v>5891</v>
      </c>
      <c r="E4289" s="3" t="str">
        <f>HYPERLINK("https://www.amazon.com/Diablo-DMAMXCC5020-SDS-Max-Carbide-Tipped/dp/B089M7TYBC/ref=sr_1_4?keywords=Diablo+Tools+DMAMXCC5050+4+in.+x+7+in.+SDS-Max+Carbide+Tipped+Core+Bit&amp;qid=1695174004&amp;sr=8-4", "https://www.amazon.com/Diablo-DMAMXCC5020-SDS-Max-Carbide-Tipped/dp/B089M7TYBC/ref=sr_1_4?keywords=Diablo+Tools+DMAMXCC5050+4+in.+x+7+in.+SDS-Max+Carbide+Tipped+Core+Bit&amp;qid=1695174004&amp;sr=8-4")</f>
        <v>https://www.amazon.com/Diablo-DMAMXCC5020-SDS-Max-Carbide-Tipped/dp/B089M7TYBC/ref=sr_1_4?keywords=Diablo+Tools+DMAMXCC5050+4+in.+x+7+in.+SDS-Max+Carbide+Tipped+Core+Bit&amp;qid=1695174004&amp;sr=8-4</v>
      </c>
      <c r="F4289" t="s">
        <v>5892</v>
      </c>
      <c r="G4289" t="e">
        <f ca="1">_xludf.IMAGE("https://edmondsonsupply.com/cdn/shop/files/yghx7uqdjxchri5fikny.webp?v=1686586834")</f>
        <v>#NAME?</v>
      </c>
      <c r="H4289" t="e">
        <f ca="1">_xludf.IMAGE("https://m.media-amazon.com/images/I/61fu3xDsk5L._AC_UL320_.jpg")</f>
        <v>#NAME?</v>
      </c>
      <c r="I4289" t="s">
        <v>5907</v>
      </c>
      <c r="J4289">
        <v>120.46</v>
      </c>
      <c r="K4289" s="4">
        <v>-0.2044</v>
      </c>
      <c r="L4289">
        <v>4.8</v>
      </c>
      <c r="M4289">
        <v>5</v>
      </c>
      <c r="O4289" t="s">
        <v>25</v>
      </c>
      <c r="P4289" t="s">
        <v>5908</v>
      </c>
      <c r="Q4289" t="s">
        <v>5909</v>
      </c>
    </row>
    <row r="4290" spans="1:17" ht="15.5" x14ac:dyDescent="0.35">
      <c r="A4290"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4290"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4290" t="s">
        <v>2155</v>
      </c>
      <c r="D4290" t="s">
        <v>5283</v>
      </c>
      <c r="E4290" s="3" t="str">
        <f>HYPERLINK("https://www.amazon.com/Klein-Tools-NCVT1XTKIT-Non-Contact-Detector/dp/B0BNLRMNF2/ref=sr_1_1?keywords=Klein+Tools+NCVT1XTKIT+Non-Contact+Voltage+and+GFCI+Receptacle+Premium+Test+Kit&amp;qid=1695173872&amp;sr=8-1", "https://www.amazon.com/Klein-Tools-NCVT1XTKIT-Non-Contact-Detector/dp/B0BNLRMNF2/ref=sr_1_1?keywords=Klein+Tools+NCVT1XTKIT+Non-Contact+Voltage+and+GFCI+Receptacle+Premium+Test+Kit&amp;qid=1695173872&amp;sr=8-1")</f>
        <v>https://www.amazon.com/Klein-Tools-NCVT1XTKIT-Non-Contact-Detector/dp/B0BNLRMNF2/ref=sr_1_1?keywords=Klein+Tools+NCVT1XTKIT+Non-Contact+Voltage+and+GFCI+Receptacle+Premium+Test+Kit&amp;qid=1695173872&amp;sr=8-1</v>
      </c>
      <c r="F4290" t="s">
        <v>5284</v>
      </c>
      <c r="G4290" t="e">
        <f ca="1">_xludf.IMAGE("https://edmondsonsupply.com/cdn/shop/products/ncvt1xtkit.jpg?v=1674497102")</f>
        <v>#NAME?</v>
      </c>
      <c r="H4290" t="e">
        <f ca="1">_xludf.IMAGE("https://m.media-amazon.com/images/I/51enmFcuhEL._AC_UL320_.jpg")</f>
        <v>#NAME?</v>
      </c>
      <c r="I4290" t="s">
        <v>471</v>
      </c>
      <c r="J4290">
        <v>19.88</v>
      </c>
      <c r="K4290" s="4">
        <v>-0.20449999999999999</v>
      </c>
      <c r="L4290">
        <v>4.7</v>
      </c>
      <c r="M4290">
        <v>4231</v>
      </c>
      <c r="O4290" t="s">
        <v>25</v>
      </c>
      <c r="P4290" t="s">
        <v>2158</v>
      </c>
      <c r="Q4290" t="s">
        <v>2159</v>
      </c>
    </row>
    <row r="4291" spans="1:17" ht="15.5" x14ac:dyDescent="0.35">
      <c r="A4291" s="3" t="str">
        <f>HYPERLINK("https://edmondsonsupply.com/collections/electricians-tools/products/wiha-tools-66992-22-piece-magicring-ball-end-hex-l-key-set-inch-metric", "https://edmondsonsupply.com/collections/electricians-tools/products/wiha-tools-66992-22-piece-magicring-ball-end-hex-l-key-set-inch-metric")</f>
        <v>https://edmondsonsupply.com/collections/electricians-tools/products/wiha-tools-66992-22-piece-magicring-ball-end-hex-l-key-set-inch-metric</v>
      </c>
      <c r="B4291"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4291" t="s">
        <v>4919</v>
      </c>
      <c r="D4291" t="s">
        <v>5287</v>
      </c>
      <c r="E4291" s="3" t="str">
        <f>HYPERLINK("https://www.amazon.com/66982-ErgoStar-L-Key-Metric-22-Piece/dp/B009461IMA/ref=sr_1_5?keywords=Wiha+Tools+66992+22+Piece+MagicRing+Ball+End+Hex+L-Key+Set+-+Inch+-+Metric&amp;qid=1695173977&amp;sr=8-5", "https://www.amazon.com/66982-ErgoStar-L-Key-Metric-22-Piece/dp/B009461IMA/ref=sr_1_5?keywords=Wiha+Tools+66992+22+Piece+MagicRing+Ball+End+Hex+L-Key+Set+-+Inch+-+Metric&amp;qid=1695173977&amp;sr=8-5")</f>
        <v>https://www.amazon.com/66982-ErgoStar-L-Key-Metric-22-Piece/dp/B009461IMA/ref=sr_1_5?keywords=Wiha+Tools+66992+22+Piece+MagicRing+Ball+End+Hex+L-Key+Set+-+Inch+-+Metric&amp;qid=1695173977&amp;sr=8-5</v>
      </c>
      <c r="F4291" t="s">
        <v>5288</v>
      </c>
      <c r="G4291" t="e">
        <f ca="1">_xludf.IMAGE("https://edmondsonsupply.com/cdn/shop/files/29417a271125353d697d01cfdfb24cc6e99901ce_1000x_6829985f-7f40-4410-b5be-ba7bc87b2a14.webp?v=1690840271")</f>
        <v>#NAME?</v>
      </c>
      <c r="H4291" t="e">
        <f ca="1">_xludf.IMAGE("https://m.media-amazon.com/images/I/71nWPeuV9HL._AC_UL320_.jpg")</f>
        <v>#NAME?</v>
      </c>
      <c r="I4291" t="s">
        <v>4922</v>
      </c>
      <c r="J4291">
        <v>66.739999999999995</v>
      </c>
      <c r="K4291" s="4">
        <v>-0.20730000000000001</v>
      </c>
      <c r="L4291">
        <v>4.8</v>
      </c>
      <c r="M4291">
        <v>945</v>
      </c>
      <c r="O4291" t="s">
        <v>25</v>
      </c>
      <c r="P4291" t="s">
        <v>4923</v>
      </c>
      <c r="Q4291" t="s">
        <v>4924</v>
      </c>
    </row>
    <row r="4292" spans="1:17" ht="15.5" x14ac:dyDescent="0.35">
      <c r="A4292"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4292" s="3" t="str">
        <f>HYPERLINK("https://edmondsonsupply.com/products/diablo-tools-d0704dh-7-1-4-in-x-4-tooth-fiber-cement", "https://edmondsonsupply.com/products/diablo-tools-d0704dh-7-1-4-in-x-4-tooth-fiber-cement")</f>
        <v>https://edmondsonsupply.com/products/diablo-tools-d0704dh-7-1-4-in-x-4-tooth-fiber-cement</v>
      </c>
      <c r="C4292" t="s">
        <v>6285</v>
      </c>
      <c r="D4292" t="s">
        <v>8774</v>
      </c>
      <c r="E4292" s="3" t="str">
        <f>HYPERLINK("https://www.amazon.com/D0704DH-Diablo-4-Inch-4-Tooth-Polycrystalline/dp/B00155SPKQ/ref=sr_1_1?keywords=Diablo+Tools+D0704DH+7-1%2F4+in.+x+4+Tooth+Fiber+Cement&amp;qid=1695174050&amp;sr=8-1", "https://www.amazon.com/D0704DH-Diablo-4-Inch-4-Tooth-Polycrystalline/dp/B00155SPKQ/ref=sr_1_1?keywords=Diablo+Tools+D0704DH+7-1%2F4+in.+x+4+Tooth+Fiber+Cement&amp;qid=1695174050&amp;sr=8-1")</f>
        <v>https://www.amazon.com/D0704DH-Diablo-4-Inch-4-Tooth-Polycrystalline/dp/B00155SPKQ/ref=sr_1_1?keywords=Diablo+Tools+D0704DH+7-1%2F4+in.+x+4+Tooth+Fiber+Cement&amp;qid=1695174050&amp;sr=8-1</v>
      </c>
      <c r="F4292" t="s">
        <v>8775</v>
      </c>
      <c r="G4292" t="e">
        <f ca="1">_xludf.IMAGE("https://edmondsonsupply.com/cdn/shop/products/baadnmj6vhmqufio7ofn.webp?v=1679325375")</f>
        <v>#NAME?</v>
      </c>
      <c r="H4292" t="e">
        <f ca="1">_xludf.IMAGE("https://m.media-amazon.com/images/I/61bZQ749tAL._AC_UL320_.jpg")</f>
        <v>#NAME?</v>
      </c>
      <c r="I4292" t="s">
        <v>4108</v>
      </c>
      <c r="J4292">
        <v>35.630000000000003</v>
      </c>
      <c r="K4292" s="4">
        <v>-0.2077</v>
      </c>
      <c r="L4292">
        <v>4.5999999999999996</v>
      </c>
      <c r="M4292">
        <v>1572</v>
      </c>
      <c r="O4292" t="s">
        <v>25</v>
      </c>
      <c r="P4292" t="s">
        <v>3833</v>
      </c>
      <c r="Q4292" t="s">
        <v>6288</v>
      </c>
    </row>
    <row r="4293" spans="1:17" ht="15.5" x14ac:dyDescent="0.35">
      <c r="A4293"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4293"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4293" t="s">
        <v>8776</v>
      </c>
      <c r="D4293" t="s">
        <v>7073</v>
      </c>
      <c r="E4293" s="3" t="str">
        <f>HYPERLINK("https://www.amazon.com/Diablo-Starlock-Bi-Metal-Oscillating-Nail-Embedded/dp/B089KX5FJS/ref=sr_1_1?keywords=Diablo+Tools+DOS125BW3+1-1%2F4+in.+Starlock+Bi-Metal+Oscillating+Blades+for+Nail-Embedded+Wood&amp;qid=1695174253&amp;sr=8-1", "https://www.amazon.com/Diablo-Starlock-Bi-Metal-Oscillating-Nail-Embedded/dp/B089KX5FJS/ref=sr_1_1?keywords=Diablo+Tools+DOS125BW3+1-1%2F4+in.+Starlock+Bi-Metal+Oscillating+Blades+for+Nail-Embedded+Wood&amp;qid=1695174253&amp;sr=8-1")</f>
        <v>https://www.amazon.com/Diablo-Starlock-Bi-Metal-Oscillating-Nail-Embedded/dp/B089KX5FJS/ref=sr_1_1?keywords=Diablo+Tools+DOS125BW3+1-1%2F4+in.+Starlock+Bi-Metal+Oscillating+Blades+for+Nail-Embedded+Wood&amp;qid=1695174253&amp;sr=8-1</v>
      </c>
      <c r="F4293" t="s">
        <v>7074</v>
      </c>
      <c r="G4293" t="e">
        <f ca="1">_xludf.IMAGE("https://edmondsonsupply.com/cdn/shop/products/DOS125BW3_Main-Image.png?v=1633031100")</f>
        <v>#NAME?</v>
      </c>
      <c r="H4293" t="e">
        <f ca="1">_xludf.IMAGE("https://m.media-amazon.com/images/I/717H6O1AhYL._AC_UL320_.jpg")</f>
        <v>#NAME?</v>
      </c>
      <c r="I4293" t="s">
        <v>340</v>
      </c>
      <c r="J4293">
        <v>27.69</v>
      </c>
      <c r="K4293" s="4">
        <v>-0.2082</v>
      </c>
      <c r="L4293">
        <v>4.7</v>
      </c>
      <c r="M4293">
        <v>65</v>
      </c>
      <c r="O4293" t="s">
        <v>25</v>
      </c>
      <c r="P4293" t="s">
        <v>8777</v>
      </c>
      <c r="Q4293" t="s">
        <v>8778</v>
      </c>
    </row>
    <row r="4294" spans="1:17" ht="15.5" x14ac:dyDescent="0.35">
      <c r="A4294" s="3" t="str">
        <f>HYPERLINK("https://edmondsonsupply.com/collections/electricians-tools/products/uei-dl589combo-600a-trms-clamp-meter-w-dc-amps-inrush-magnet-with-attpc4-pipe-clamps", "https://edmondsonsupply.com/collections/electricians-tools/products/uei-dl589combo-600a-trms-clamp-meter-w-dc-amps-inrush-magnet-with-attpc4-pipe-clamps")</f>
        <v>https://edmondsonsupply.com/collections/electricians-tools/products/uei-dl589combo-600a-trms-clamp-meter-w-dc-amps-inrush-magnet-with-attpc4-pipe-clamps</v>
      </c>
      <c r="B4294" s="3" t="str">
        <f>HYPERLINK("https://edmondsonsupply.com/products/uei-dl589combo-600a-trms-clamp-meter-w-dc-amps-inrush-magnet-with-attpc4-pipe-clamps", "https://edmondsonsupply.com/products/uei-dl589combo-600a-trms-clamp-meter-w-dc-amps-inrush-magnet-with-attpc4-pipe-clamps")</f>
        <v>https://edmondsonsupply.com/products/uei-dl589combo-600a-trms-clamp-meter-w-dc-amps-inrush-magnet-with-attpc4-pipe-clamps</v>
      </c>
      <c r="C4294" t="s">
        <v>8779</v>
      </c>
      <c r="D4294" t="s">
        <v>7758</v>
      </c>
      <c r="E4294" s="3" t="str">
        <f>HYPERLINK("https://www.amazon.com/UEi-DL589-600A-Clamp-Inrush-Magnet/dp/B0BCVNJ8KW/ref=sr_1_2?keywords=UEi+DL589COMBO+600A+TRMS+Clamp+Meter+w%2F+DC+Amps%2C+Inrush%2C+Magnet+with+ATTPC4+Pipe+Clamps&amp;qid=1695174177&amp;sr=8-2", "https://www.amazon.com/UEi-DL589-600A-Clamp-Inrush-Magnet/dp/B0BCVNJ8KW/ref=sr_1_2?keywords=UEi+DL589COMBO+600A+TRMS+Clamp+Meter+w%2F+DC+Amps%2C+Inrush%2C+Magnet+with+ATTPC4+Pipe+Clamps&amp;qid=1695174177&amp;sr=8-2")</f>
        <v>https://www.amazon.com/UEi-DL589-600A-Clamp-Inrush-Magnet/dp/B0BCVNJ8KW/ref=sr_1_2?keywords=UEi+DL589COMBO+600A+TRMS+Clamp+Meter+w%2F+DC+Amps%2C+Inrush%2C+Magnet+with+ATTPC4+Pipe+Clamps&amp;qid=1695174177&amp;sr=8-2</v>
      </c>
      <c r="F4294" t="s">
        <v>7759</v>
      </c>
      <c r="G4294" t="e">
        <f ca="1">_xludf.IMAGE("https://edmondsonsupply.com/cdn/shop/products/DL589COMBO-1.png?v=1658755345")</f>
        <v>#NAME?</v>
      </c>
      <c r="H4294" t="e">
        <f ca="1">_xludf.IMAGE("https://m.media-amazon.com/images/I/41hAo1NFGGL._AC_UY218_.jpg")</f>
        <v>#NAME?</v>
      </c>
      <c r="I4294" t="s">
        <v>8780</v>
      </c>
      <c r="J4294">
        <v>215.33</v>
      </c>
      <c r="K4294" s="4">
        <v>-0.2082</v>
      </c>
      <c r="L4294">
        <v>5</v>
      </c>
      <c r="M4294">
        <v>1</v>
      </c>
      <c r="O4294" t="s">
        <v>25</v>
      </c>
      <c r="P4294" t="s">
        <v>8781</v>
      </c>
      <c r="Q4294" t="s">
        <v>8782</v>
      </c>
    </row>
    <row r="4295" spans="1:17" ht="15.5" x14ac:dyDescent="0.35">
      <c r="A4295"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4295"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4295" t="s">
        <v>1566</v>
      </c>
      <c r="D4295" t="s">
        <v>5294</v>
      </c>
      <c r="E4295" s="3" t="str">
        <f>HYPERLINK("https://www.amazon.com/Klein-Tools-NCVT2P-12-1000V-Flashing/dp/B07L5N8ZWS/ref=sr_1_1?keywords=Klein+Tools+NCVT-2PKIT+Dual+Range+Non-Contact+Voltage+Tester+with+Receptacle+Tester&amp;qid=1695173953&amp;sr=8-1", "https://www.amazon.com/Klein-Tools-NCVT2P-12-1000V-Flashing/dp/B07L5N8ZWS/ref=sr_1_1?keywords=Klein+Tools+NCVT-2PKIT+Dual+Range+Non-Contact+Voltage+Tester+with+Receptacle+Tester&amp;qid=1695173953&amp;sr=8-1")</f>
        <v>https://www.amazon.com/Klein-Tools-NCVT2P-12-1000V-Flashing/dp/B07L5N8ZWS/ref=sr_1_1?keywords=Klein+Tools+NCVT-2PKIT+Dual+Range+Non-Contact+Voltage+Tester+with+Receptacle+Tester&amp;qid=1695173953&amp;sr=8-1</v>
      </c>
      <c r="F4295" t="s">
        <v>5295</v>
      </c>
      <c r="G4295" t="e">
        <f ca="1">_xludf.IMAGE("https://edmondsonsupply.com/cdn/shop/products/ncvt2pkit.jpg?v=1633030827")</f>
        <v>#NAME?</v>
      </c>
      <c r="H4295" t="e">
        <f ca="1">_xludf.IMAGE("https://m.media-amazon.com/images/I/51GASnKpZ1L._AC_UL320_.jpg")</f>
        <v>#NAME?</v>
      </c>
      <c r="I4295" t="s">
        <v>26</v>
      </c>
      <c r="J4295">
        <v>23.74</v>
      </c>
      <c r="K4295" s="4">
        <v>-0.2084</v>
      </c>
      <c r="L4295">
        <v>4.7</v>
      </c>
      <c r="M4295">
        <v>639</v>
      </c>
      <c r="O4295" t="s">
        <v>25</v>
      </c>
      <c r="P4295" t="s">
        <v>1569</v>
      </c>
      <c r="Q4295" t="s">
        <v>1570</v>
      </c>
    </row>
    <row r="4296" spans="1:17" ht="15.5" x14ac:dyDescent="0.35">
      <c r="A4296"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4296" s="3" t="str">
        <f>HYPERLINK("https://edmondsonsupply.com/products/fluke-1587-fc-insulation-multimeter", "https://edmondsonsupply.com/products/fluke-1587-fc-insulation-multimeter")</f>
        <v>https://edmondsonsupply.com/products/fluke-1587-fc-insulation-multimeter</v>
      </c>
      <c r="C4296" t="s">
        <v>4074</v>
      </c>
      <c r="D4296" t="s">
        <v>5296</v>
      </c>
      <c r="E4296" s="3" t="str">
        <f>HYPERLINK("https://www.amazon.com/FLUKE-1587-FC-Insulation-Multimeter/dp/B017OVC2UI/ref=sr_1_1?keywords=Fluke+1587+FC+Insulation+Multimeter&amp;qid=1695173858&amp;sr=8-1", "https://www.amazon.com/FLUKE-1587-FC-Insulation-Multimeter/dp/B017OVC2UI/ref=sr_1_1?keywords=Fluke+1587+FC+Insulation+Multimeter&amp;qid=1695173858&amp;sr=8-1")</f>
        <v>https://www.amazon.com/FLUKE-1587-FC-Insulation-Multimeter/dp/B017OVC2UI/ref=sr_1_1?keywords=Fluke+1587+FC+Insulation+Multimeter&amp;qid=1695173858&amp;sr=8-1</v>
      </c>
      <c r="F4296" t="s">
        <v>5297</v>
      </c>
      <c r="G4296" t="e">
        <f ca="1">_xludf.IMAGE("https://edmondsonsupply.com/cdn/shop/products/Fluke_1587_FC_True-rms_Insulation_Multimeter__1280x1006px_E_NR-20298.jpg?v=1633031188")</f>
        <v>#NAME?</v>
      </c>
      <c r="H4296" t="e">
        <f ca="1">_xludf.IMAGE("https://m.media-amazon.com/images/I/61MrkJbYVOL._AC_UL320_.jpg")</f>
        <v>#NAME?</v>
      </c>
      <c r="I4296" t="s">
        <v>4077</v>
      </c>
      <c r="J4296">
        <v>736.13</v>
      </c>
      <c r="K4296" s="4">
        <v>-0.20849999999999999</v>
      </c>
      <c r="L4296">
        <v>4.7</v>
      </c>
      <c r="M4296">
        <v>172</v>
      </c>
      <c r="O4296" t="s">
        <v>25</v>
      </c>
      <c r="P4296" t="s">
        <v>4078</v>
      </c>
      <c r="Q4296" t="s">
        <v>4079</v>
      </c>
    </row>
    <row r="4297" spans="1:17" ht="15.5" x14ac:dyDescent="0.35">
      <c r="A4297"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297" s="3" t="str">
        <f>HYPERLINK("https://edmondsonsupply.com/products/klein-tools-635-1-4-1-4-inch-nut-driver-magnetic-tip-4-inch-shaft", "https://edmondsonsupply.com/products/klein-tools-635-1-4-1-4-inch-nut-driver-magnetic-tip-4-inch-shaft")</f>
        <v>https://edmondsonsupply.com/products/klein-tools-635-1-4-1-4-inch-nut-driver-magnetic-tip-4-inch-shaft</v>
      </c>
      <c r="C4297" t="s">
        <v>6817</v>
      </c>
      <c r="D4297" t="s">
        <v>3884</v>
      </c>
      <c r="E4297" s="3" t="str">
        <f>HYPERLINK("https://www.amazon.com/Magnetic-Cushion-Klein-610-1-4M/dp/B00093GE3A/ref=sr_1_4?keywords=Klein+Tools+635-1%2F4+1%2F4-Inch+Nut+Driver%2C+Magnetic+Tip%2C+4-Inch+Shaft&amp;qid=1695174156&amp;sr=8-4", "https://www.amazon.com/Magnetic-Cushion-Klein-610-1-4M/dp/B00093GE3A/ref=sr_1_4?keywords=Klein+Tools+635-1%2F4+1%2F4-Inch+Nut+Driver%2C+Magnetic+Tip%2C+4-Inch+Shaft&amp;qid=1695174156&amp;sr=8-4")</f>
        <v>https://www.amazon.com/Magnetic-Cushion-Klein-610-1-4M/dp/B00093GE3A/ref=sr_1_4?keywords=Klein+Tools+635-1%2F4+1%2F4-Inch+Nut+Driver%2C+Magnetic+Tip%2C+4-Inch+Shaft&amp;qid=1695174156&amp;sr=8-4</v>
      </c>
      <c r="F4297" t="s">
        <v>3885</v>
      </c>
      <c r="G4297" t="e">
        <f ca="1">_xludf.IMAGE("https://edmondsonsupply.com/cdn/shop/products/635-1-4.jpg?v=1666811523")</f>
        <v>#NAME?</v>
      </c>
      <c r="H4297" t="e">
        <f ca="1">_xludf.IMAGE("https://m.media-amazon.com/images/I/41piyjqJVeL._AC_UL320_.jpg")</f>
        <v>#NAME?</v>
      </c>
      <c r="I4297" t="s">
        <v>2337</v>
      </c>
      <c r="J4297">
        <v>9.49</v>
      </c>
      <c r="K4297" s="4">
        <v>-0.20849999999999999</v>
      </c>
      <c r="L4297">
        <v>4.8</v>
      </c>
      <c r="M4297">
        <v>260</v>
      </c>
      <c r="O4297" t="s">
        <v>25</v>
      </c>
      <c r="P4297" t="s">
        <v>1212</v>
      </c>
      <c r="Q4297" t="s">
        <v>6818</v>
      </c>
    </row>
    <row r="4298" spans="1:17" ht="15.5" x14ac:dyDescent="0.35">
      <c r="A4298"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298"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298" t="s">
        <v>2903</v>
      </c>
      <c r="D4298" t="s">
        <v>5298</v>
      </c>
      <c r="E4298" s="3" t="str">
        <f>HYPERLINK("https://www.amazon.com/Diablo-SDS-Max-4-Cutter-Carbide-Hammer/dp/B089KWFF8B/ref=sr_1_3?keywords=Diablo+Tools+DMAMX1300+1-1%2F4+in.+x+16+in.+x+21+in.+Rebar+Demon%E2%84%A2+SDS-Max+4-Cutter+Full+Carbide+Head+Hammer+Drill+Bit&amp;qid=1695173871&amp;sr=8-3", "https://www.amazon.com/Diablo-SDS-Max-4-Cutter-Carbide-Hammer/dp/B089KWFF8B/ref=sr_1_3?keywords=Diablo+Tools+DMAMX1300+1-1%2F4+in.+x+16+in.+x+21+in.+Rebar+Demon%E2%84%A2+SDS-Max+4-Cutter+Full+Carbide+Head+Hammer+Drill+Bit&amp;qid=1695173871&amp;sr=8-3")</f>
        <v>https://www.amazon.com/Diablo-SDS-Max-4-Cutter-Carbide-Hammer/dp/B089KWFF8B/ref=sr_1_3?keywords=Diablo+Tools+DMAMX1300+1-1%2F4+in.+x+16+in.+x+21+in.+Rebar+Demon%E2%84%A2+SDS-Max+4-Cutter+Full+Carbide+Head+Hammer+Drill+Bit&amp;qid=1695173871&amp;sr=8-3</v>
      </c>
      <c r="F4298" t="s">
        <v>5299</v>
      </c>
      <c r="G4298" t="e">
        <f ca="1">_xludf.IMAGE("https://edmondsonsupply.com/cdn/shop/files/immoyh7jjmbau4fzhuq6_7dd7fd73-2865-4c12-9443-da45b48dbd51.webp?v=1685465465")</f>
        <v>#NAME?</v>
      </c>
      <c r="H4298" t="e">
        <f ca="1">_xludf.IMAGE("https://m.media-amazon.com/images/I/611fTcYRNFL._AC_UL320_.jpg")</f>
        <v>#NAME?</v>
      </c>
      <c r="I4298" t="s">
        <v>2906</v>
      </c>
      <c r="J4298">
        <v>52.51</v>
      </c>
      <c r="K4298" s="4">
        <v>-0.2092</v>
      </c>
      <c r="L4298">
        <v>3.5</v>
      </c>
      <c r="M4298">
        <v>3</v>
      </c>
      <c r="O4298" t="s">
        <v>171</v>
      </c>
      <c r="P4298" t="s">
        <v>2907</v>
      </c>
      <c r="Q4298" t="s">
        <v>2908</v>
      </c>
    </row>
    <row r="4299" spans="1:17" ht="15.5" x14ac:dyDescent="0.35">
      <c r="A4299"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4299"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4299" t="s">
        <v>5852</v>
      </c>
      <c r="D4299" t="s">
        <v>8783</v>
      </c>
      <c r="E4299" s="3" t="str">
        <f>HYPERLINK("https://www.amazon.com/Diablo-Freud-DMAPL4190-SDS-Plus-4-Cutter/dp/B089LJZ25M/ref=sr_1_9?keywords=Diablo+Tools+DMAPL4250+3%2F4+in.+x+8+in.+x+10+in.+Rebar+Demon%E2%84%A2+SDS-Plus+4-Cutter+Full+Carbide+Head+Hammer+Drill+Bit&amp;qid=1695174039&amp;sr=8-9", "https://www.amazon.com/Diablo-Freud-DMAPL4190-SDS-Plus-4-Cutter/dp/B089LJZ25M/ref=sr_1_9?keywords=Diablo+Tools+DMAPL4250+3%2F4+in.+x+8+in.+x+10+in.+Rebar+Demon%E2%84%A2+SDS-Plus+4-Cutter+Full+Carbide+Head+Hammer+Drill+Bit&amp;qid=1695174039&amp;sr=8-9")</f>
        <v>https://www.amazon.com/Diablo-Freud-DMAPL4190-SDS-Plus-4-Cutter/dp/B089LJZ25M/ref=sr_1_9?keywords=Diablo+Tools+DMAPL4250+3%2F4+in.+x+8+in.+x+10+in.+Rebar+Demon%E2%84%A2+SDS-Plus+4-Cutter+Full+Carbide+Head+Hammer+Drill+Bit&amp;qid=1695174039&amp;sr=8-9</v>
      </c>
      <c r="F4299" t="s">
        <v>8784</v>
      </c>
      <c r="G4299" t="e">
        <f ca="1">_xludf.IMAGE("https://edmondsonsupply.com/cdn/shop/files/rltcbi253wmfv6otmtz6.webp?v=1686576913")</f>
        <v>#NAME?</v>
      </c>
      <c r="H4299" t="e">
        <f ca="1">_xludf.IMAGE("https://m.media-amazon.com/images/I/61dzudnwI8L._AC_UL320_.jpg")</f>
        <v>#NAME?</v>
      </c>
      <c r="I4299" t="s">
        <v>5853</v>
      </c>
      <c r="J4299">
        <v>19.32</v>
      </c>
      <c r="K4299" s="4">
        <v>-0.21049999999999999</v>
      </c>
      <c r="L4299">
        <v>4.5999999999999996</v>
      </c>
      <c r="M4299">
        <v>43</v>
      </c>
      <c r="O4299" t="s">
        <v>25</v>
      </c>
      <c r="P4299" t="s">
        <v>5854</v>
      </c>
      <c r="Q4299" t="s">
        <v>5855</v>
      </c>
    </row>
    <row r="4300" spans="1:17" ht="15.5" x14ac:dyDescent="0.35">
      <c r="A4300"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4300" s="3" t="str">
        <f>HYPERLINK("https://edmondsonsupply.com/products/klein-tools-pnd-12-5-1-2-inch-power-nut-driver-5-inch-length", "https://edmondsonsupply.com/products/klein-tools-pnd-12-5-1-2-inch-power-nut-driver-5-inch-length")</f>
        <v>https://edmondsonsupply.com/products/klein-tools-pnd-12-5-1-2-inch-power-nut-driver-5-inch-length</v>
      </c>
      <c r="C4300" t="s">
        <v>1684</v>
      </c>
      <c r="D4300" t="s">
        <v>5306</v>
      </c>
      <c r="E4300" s="3" t="str">
        <f>HYPERLINK("https://www.amazon.com/2-Inch-Heavy-Duty-Driver-Klein-Tools/dp/B01D6CWLG4/ref=sr_1_4?keywords=Klein+Tools+PND-12-5+1%2F2-Inch+Power+Nut+Driver+5-Inch+Length&amp;qid=1695173880&amp;sr=8-4", "https://www.amazon.com/2-Inch-Heavy-Duty-Driver-Klein-Tools/dp/B01D6CWLG4/ref=sr_1_4?keywords=Klein+Tools+PND-12-5+1%2F2-Inch+Power+Nut+Driver+5-Inch+Length&amp;qid=1695173880&amp;sr=8-4")</f>
        <v>https://www.amazon.com/2-Inch-Heavy-Duty-Driver-Klein-Tools/dp/B01D6CWLG4/ref=sr_1_4?keywords=Klein+Tools+PND-12-5+1%2F2-Inch+Power+Nut+Driver+5-Inch+Length&amp;qid=1695173880&amp;sr=8-4</v>
      </c>
      <c r="F4300" t="s">
        <v>5307</v>
      </c>
      <c r="G4300" t="e">
        <f ca="1">_xludf.IMAGE("https://edmondsonsupply.com/cdn/shop/products/pnd125.jpg?v=1633031028")</f>
        <v>#NAME?</v>
      </c>
      <c r="H4300" t="e">
        <f ca="1">_xludf.IMAGE("https://m.media-amazon.com/images/I/41C1xU9OvML._AC_UL320_.jpg")</f>
        <v>#NAME?</v>
      </c>
      <c r="I4300" t="s">
        <v>1687</v>
      </c>
      <c r="J4300">
        <v>14.99</v>
      </c>
      <c r="K4300" s="4">
        <v>-0.21060000000000001</v>
      </c>
      <c r="L4300">
        <v>4.7</v>
      </c>
      <c r="M4300">
        <v>971</v>
      </c>
      <c r="O4300" t="s">
        <v>25</v>
      </c>
      <c r="P4300" t="s">
        <v>1688</v>
      </c>
      <c r="Q4300" t="s">
        <v>1689</v>
      </c>
    </row>
    <row r="4301" spans="1:17" ht="15.5" x14ac:dyDescent="0.35">
      <c r="A4301"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301" s="3" t="str">
        <f>HYPERLINK("https://edmondsonsupply.com/products/klein-tools-635-1-4-1-4-inch-nut-driver-magnetic-tip-4-inch-shaft", "https://edmondsonsupply.com/products/klein-tools-635-1-4-1-4-inch-nut-driver-magnetic-tip-4-inch-shaft")</f>
        <v>https://edmondsonsupply.com/products/klein-tools-635-1-4-1-4-inch-nut-driver-magnetic-tip-4-inch-shaft</v>
      </c>
      <c r="C4301" t="s">
        <v>6817</v>
      </c>
      <c r="D4301" t="s">
        <v>3895</v>
      </c>
      <c r="E4301" s="3" t="str">
        <f>HYPERLINK("https://www.amazon.com/Magnetic-Klein-Tools-630-1-4M/dp/B00093GE6M/ref=sr_1_5?keywords=Klein+Tools+635-1%2F4+1%2F4-Inch+Nut+Driver%2C+Magnetic+Tip%2C+4-Inch+Shaft&amp;qid=1695174156&amp;sr=8-5", "https://www.amazon.com/Magnetic-Klein-Tools-630-1-4M/dp/B00093GE6M/ref=sr_1_5?keywords=Klein+Tools+635-1%2F4+1%2F4-Inch+Nut+Driver%2C+Magnetic+Tip%2C+4-Inch+Shaft&amp;qid=1695174156&amp;sr=8-5")</f>
        <v>https://www.amazon.com/Magnetic-Klein-Tools-630-1-4M/dp/B00093GE6M/ref=sr_1_5?keywords=Klein+Tools+635-1%2F4+1%2F4-Inch+Nut+Driver%2C+Magnetic+Tip%2C+4-Inch+Shaft&amp;qid=1695174156&amp;sr=8-5</v>
      </c>
      <c r="F4301" t="s">
        <v>3896</v>
      </c>
      <c r="G4301" t="e">
        <f ca="1">_xludf.IMAGE("https://edmondsonsupply.com/cdn/shop/products/635-1-4.jpg?v=1666811523")</f>
        <v>#NAME?</v>
      </c>
      <c r="H4301" t="e">
        <f ca="1">_xludf.IMAGE("https://m.media-amazon.com/images/I/51TXA1qvEdL._AC_UL320_.jpg")</f>
        <v>#NAME?</v>
      </c>
      <c r="I4301" t="s">
        <v>2337</v>
      </c>
      <c r="J4301">
        <v>9.4499999999999993</v>
      </c>
      <c r="K4301" s="4">
        <v>-0.21179999999999999</v>
      </c>
      <c r="L4301">
        <v>4.7</v>
      </c>
      <c r="M4301">
        <v>1574</v>
      </c>
      <c r="O4301" t="s">
        <v>25</v>
      </c>
      <c r="P4301" t="s">
        <v>1212</v>
      </c>
      <c r="Q4301" t="s">
        <v>6818</v>
      </c>
    </row>
    <row r="4302" spans="1:17" ht="15.5" x14ac:dyDescent="0.35">
      <c r="A4302"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4302" s="3" t="str">
        <f>HYPERLINK("https://edmondsonsupply.com/products/klein-tools-d2000-28glw-diagonal-cutting-pliers-hi-viz-8-inch", "https://edmondsonsupply.com/products/klein-tools-d2000-28glw-diagonal-cutting-pliers-hi-viz-8-inch")</f>
        <v>https://edmondsonsupply.com/products/klein-tools-d2000-28glw-diagonal-cutting-pliers-hi-viz-8-inch</v>
      </c>
      <c r="C4302" t="s">
        <v>4233</v>
      </c>
      <c r="D4302" t="s">
        <v>5314</v>
      </c>
      <c r="E4302" s="3" t="str">
        <f>HYPERLINK("https://www.amazon.com/Klein-Tools-D248-8-Leverage-Diagonal/dp/B0000302W8/ref=sr_1_7?keywords=Klein+Tools+D200028GLW+Diagonal+Cutting+Pliers%2C+High-Visibility%2C+8-Inch&amp;qid=1695173928&amp;sr=8-7", "https://www.amazon.com/Klein-Tools-D248-8-Leverage-Diagonal/dp/B0000302W8/ref=sr_1_7?keywords=Klein+Tools+D200028GLW+Diagonal+Cutting+Pliers%2C+High-Visibility%2C+8-Inch&amp;qid=1695173928&amp;sr=8-7")</f>
        <v>https://www.amazon.com/Klein-Tools-D248-8-Leverage-Diagonal/dp/B0000302W8/ref=sr_1_7?keywords=Klein+Tools+D200028GLW+Diagonal+Cutting+Pliers%2C+High-Visibility%2C+8-Inch&amp;qid=1695173928&amp;sr=8-7</v>
      </c>
      <c r="F4302" t="s">
        <v>5315</v>
      </c>
      <c r="G4302" t="e">
        <f ca="1">_xludf.IMAGE("https://edmondsonsupply.com/cdn/shop/products/d200028glw.jpg?v=1633030701")</f>
        <v>#NAME?</v>
      </c>
      <c r="H4302" t="e">
        <f ca="1">_xludf.IMAGE("https://m.media-amazon.com/images/I/41KAmcIzVBL._AC_UL320_.jpg")</f>
        <v>#NAME?</v>
      </c>
      <c r="I4302" t="s">
        <v>67</v>
      </c>
      <c r="J4302">
        <v>29.38</v>
      </c>
      <c r="K4302" s="4">
        <v>-0.21629999999999999</v>
      </c>
      <c r="L4302">
        <v>4.8</v>
      </c>
      <c r="M4302">
        <v>2417</v>
      </c>
      <c r="O4302" t="s">
        <v>25</v>
      </c>
      <c r="P4302" t="s">
        <v>4236</v>
      </c>
      <c r="Q4302" t="s">
        <v>4237</v>
      </c>
    </row>
    <row r="4303" spans="1:17" ht="15.5" x14ac:dyDescent="0.35">
      <c r="A4303"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303"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303" t="s">
        <v>2903</v>
      </c>
      <c r="D4303" t="s">
        <v>5316</v>
      </c>
      <c r="E4303" s="3" t="str">
        <f>HYPERLINK("https://www.amazon.com/Diablo-SDS-Max-4-Cutter-Carbide-Hammer/dp/B089KWP4WK/ref=sr_1_4?keywords=Diablo+Tools+DMAMX1300+1-1%2F4+in.+x+16+in.+x+21+in.+Rebar+Demon%E2%84%A2+SDS-Max+4-Cutter+Full+Carbide+Head+Hammer+Drill+Bit&amp;qid=1695173871&amp;sr=8-4", "https://www.amazon.com/Diablo-SDS-Max-4-Cutter-Carbide-Hammer/dp/B089KWP4WK/ref=sr_1_4?keywords=Diablo+Tools+DMAMX1300+1-1%2F4+in.+x+16+in.+x+21+in.+Rebar+Demon%E2%84%A2+SDS-Max+4-Cutter+Full+Carbide+Head+Hammer+Drill+Bit&amp;qid=1695173871&amp;sr=8-4")</f>
        <v>https://www.amazon.com/Diablo-SDS-Max-4-Cutter-Carbide-Hammer/dp/B089KWP4WK/ref=sr_1_4?keywords=Diablo+Tools+DMAMX1300+1-1%2F4+in.+x+16+in.+x+21+in.+Rebar+Demon%E2%84%A2+SDS-Max+4-Cutter+Full+Carbide+Head+Hammer+Drill+Bit&amp;qid=1695173871&amp;sr=8-4</v>
      </c>
      <c r="F4303" t="s">
        <v>5317</v>
      </c>
      <c r="G4303" t="e">
        <f ca="1">_xludf.IMAGE("https://edmondsonsupply.com/cdn/shop/files/immoyh7jjmbau4fzhuq6_7dd7fd73-2865-4c12-9443-da45b48dbd51.webp?v=1685465465")</f>
        <v>#NAME?</v>
      </c>
      <c r="H4303" t="e">
        <f ca="1">_xludf.IMAGE("https://m.media-amazon.com/images/I/61yWWNP1xrL._AC_UL320_.jpg")</f>
        <v>#NAME?</v>
      </c>
      <c r="I4303" t="s">
        <v>2906</v>
      </c>
      <c r="J4303">
        <v>51.96</v>
      </c>
      <c r="K4303" s="4">
        <v>-0.2175</v>
      </c>
      <c r="L4303">
        <v>5</v>
      </c>
      <c r="M4303">
        <v>9</v>
      </c>
      <c r="O4303" t="s">
        <v>171</v>
      </c>
      <c r="P4303" t="s">
        <v>2907</v>
      </c>
      <c r="Q4303" t="s">
        <v>2908</v>
      </c>
    </row>
    <row r="4304" spans="1:17" ht="15.5" x14ac:dyDescent="0.35">
      <c r="A4304" s="3" t="str">
        <f>HYPERLINK("https://edmondsonsupply.com/collections/electricians-tools/products/milwaukee-2744-21", "https://edmondsonsupply.com/collections/electricians-tools/products/milwaukee-2744-21")</f>
        <v>https://edmondsonsupply.com/collections/electricians-tools/products/milwaukee-2744-21</v>
      </c>
      <c r="B4304" s="3" t="str">
        <f>HYPERLINK("https://edmondsonsupply.com/products/milwaukee-2744-21", "https://edmondsonsupply.com/products/milwaukee-2744-21")</f>
        <v>https://edmondsonsupply.com/products/milwaukee-2744-21</v>
      </c>
      <c r="C4304" t="s">
        <v>8150</v>
      </c>
      <c r="D4304" t="s">
        <v>8295</v>
      </c>
      <c r="E4304" s="3" t="str">
        <f>HYPERLINK("https://www.amazon.com/LMParts-mMilwaukee-2744-20-21-Degree-Framing/dp/B09MC9RWK3/ref=sr_1_8?keywords=Milwaukee+2744-21+M18+FUEL%E2%84%A2+21+Degree+Framing+Nailer+Kit&amp;qid=1695174142&amp;sr=8-8", "https://www.amazon.com/LMParts-mMilwaukee-2744-20-21-Degree-Framing/dp/B09MC9RWK3/ref=sr_1_8?keywords=Milwaukee+2744-21+M18+FUEL%E2%84%A2+21+Degree+Framing+Nailer+Kit&amp;qid=1695174142&amp;sr=8-8")</f>
        <v>https://www.amazon.com/LMParts-mMilwaukee-2744-20-21-Degree-Framing/dp/B09MC9RWK3/ref=sr_1_8?keywords=Milwaukee+2744-21+M18+FUEL%E2%84%A2+21+Degree+Framing+Nailer+Kit&amp;qid=1695174142&amp;sr=8-8</v>
      </c>
      <c r="F4304" t="s">
        <v>8296</v>
      </c>
      <c r="G4304" t="e">
        <f ca="1">_xludf.IMAGE("https://edmondsonsupply.com/cdn/shop/products/2744-21_1.webp?v=1664901456")</f>
        <v>#NAME?</v>
      </c>
      <c r="H4304" t="e">
        <f ca="1">_xludf.IMAGE("https://m.media-amazon.com/images/I/41B9q5GCKVL._AC_UL320_.jpg")</f>
        <v>#NAME?</v>
      </c>
      <c r="I4304" t="s">
        <v>8153</v>
      </c>
      <c r="J4304">
        <v>373.83</v>
      </c>
      <c r="K4304" s="4">
        <v>-0.21959999999999999</v>
      </c>
      <c r="L4304">
        <v>4.7</v>
      </c>
      <c r="M4304">
        <v>25</v>
      </c>
      <c r="O4304" t="s">
        <v>171</v>
      </c>
      <c r="P4304" t="s">
        <v>8154</v>
      </c>
      <c r="Q4304" t="s">
        <v>8155</v>
      </c>
    </row>
    <row r="4305" spans="1:17" ht="15.5" x14ac:dyDescent="0.35">
      <c r="A4305" s="3" t="str">
        <f>HYPERLINK("https://edmondsonsupply.com/collections/electricians-tools/products/klein-tools-2138neeins-insulated-pliers-slim-handle-side-cutters-8-inch", "https://edmondsonsupply.com/collections/electricians-tools/products/klein-tools-2138neeins-insulated-pliers-slim-handle-side-cutters-8-inch")</f>
        <v>https://edmondsonsupply.com/collections/electricians-tools/products/klein-tools-2138neeins-insulated-pliers-slim-handle-side-cutters-8-inch</v>
      </c>
      <c r="B4305"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4305" t="s">
        <v>5004</v>
      </c>
      <c r="D4305" t="s">
        <v>5320</v>
      </c>
      <c r="E4305" s="3" t="str">
        <f>HYPERLINK("https://www.amazon.com/Klein-Tools-200028EINS-Electricians-Insulated/dp/B00JGG5P86/ref=sr_1_3?keywords=Klein+Tools+2138NEEINS+Insulated+Pliers%2C+Slim+Handle+Side+Cutters%2C+8-Inch&amp;qid=1695173956&amp;sr=8-3", "https://www.amazon.com/Klein-Tools-200028EINS-Electricians-Insulated/dp/B00JGG5P86/ref=sr_1_3?keywords=Klein+Tools+2138NEEINS+Insulated+Pliers%2C+Slim+Handle+Side+Cutters%2C+8-Inch&amp;qid=1695173956&amp;sr=8-3")</f>
        <v>https://www.amazon.com/Klein-Tools-200028EINS-Electricians-Insulated/dp/B00JGG5P86/ref=sr_1_3?keywords=Klein+Tools+2138NEEINS+Insulated+Pliers%2C+Slim+Handle+Side+Cutters%2C+8-Inch&amp;qid=1695173956&amp;sr=8-3</v>
      </c>
      <c r="F4305" t="s">
        <v>5321</v>
      </c>
      <c r="G4305" t="e">
        <f ca="1">_xludf.IMAGE("https://edmondsonsupply.com/cdn/shop/files/2138neeins.jpg?v=1694611719")</f>
        <v>#NAME?</v>
      </c>
      <c r="H4305" t="e">
        <f ca="1">_xludf.IMAGE("https://m.media-amazon.com/images/I/51cA-etI6LL._AC_UL320_.jpg")</f>
        <v>#NAME?</v>
      </c>
      <c r="I4305" t="s">
        <v>588</v>
      </c>
      <c r="J4305">
        <v>54.55</v>
      </c>
      <c r="K4305" s="4">
        <v>-0.22059999999999999</v>
      </c>
      <c r="L4305">
        <v>4.4000000000000004</v>
      </c>
      <c r="M4305">
        <v>68</v>
      </c>
      <c r="O4305" t="s">
        <v>25</v>
      </c>
      <c r="P4305" t="s">
        <v>5007</v>
      </c>
      <c r="Q4305" t="s">
        <v>5008</v>
      </c>
    </row>
    <row r="4306" spans="1:17" ht="15.5" x14ac:dyDescent="0.35">
      <c r="A4306" s="3" t="str">
        <f>HYPERLINK("https://edmondsonsupply.com/collections/electricians-tools/products/diablo-tools-dou3cs-3-pc-universal-fit-carbide-oscillating-blade-set", "https://edmondsonsupply.com/collections/electricians-tools/products/diablo-tools-dou3cs-3-pc-universal-fit-carbide-oscillating-blade-set")</f>
        <v>https://edmondsonsupply.com/collections/electricians-tools/products/diablo-tools-dou3cs-3-pc-universal-fit-carbide-oscillating-blade-set</v>
      </c>
      <c r="B4306" s="3" t="str">
        <f>HYPERLINK("https://edmondsonsupply.com/products/diablo-tools-dou3cs-3-pc-universal-fit-carbide-oscillating-blade-set", "https://edmondsonsupply.com/products/diablo-tools-dou3cs-3-pc-universal-fit-carbide-oscillating-blade-set")</f>
        <v>https://edmondsonsupply.com/products/diablo-tools-dou3cs-3-pc-universal-fit-carbide-oscillating-blade-set</v>
      </c>
      <c r="C4306" t="s">
        <v>8785</v>
      </c>
      <c r="D4306" t="s">
        <v>8491</v>
      </c>
      <c r="E4306" s="3" t="str">
        <f>HYPERLINK("https://www.amazon.com/Diablo-Freud-DOU3CS-Universal-Oscillating/dp/B089LLB6C4/ref=sr_1_1?keywords=Diablo+Tools+DOU3CS+3+pc+Universal+Fit+Carbide+Oscillating+Blade+Set&amp;qid=1695174015&amp;sr=8-1", "https://www.amazon.com/Diablo-Freud-DOU3CS-Universal-Oscillating/dp/B089LLB6C4/ref=sr_1_1?keywords=Diablo+Tools+DOU3CS+3+pc+Universal+Fit+Carbide+Oscillating+Blade+Set&amp;qid=1695174015&amp;sr=8-1")</f>
        <v>https://www.amazon.com/Diablo-Freud-DOU3CS-Universal-Oscillating/dp/B089LLB6C4/ref=sr_1_1?keywords=Diablo+Tools+DOU3CS+3+pc+Universal+Fit+Carbide+Oscillating+Blade+Set&amp;qid=1695174015&amp;sr=8-1</v>
      </c>
      <c r="F4306" t="s">
        <v>8492</v>
      </c>
      <c r="G4306" t="e">
        <f ca="1">_xludf.IMAGE("https://edmondsonsupply.com/cdn/shop/files/xyfhzl826p3zscosyxtm.webp?v=1685721758")</f>
        <v>#NAME?</v>
      </c>
      <c r="H4306" t="e">
        <f ca="1">_xludf.IMAGE("https://m.media-amazon.com/images/I/711kdXnfvhL._AC_UL320_.jpg")</f>
        <v>#NAME?</v>
      </c>
      <c r="I4306" t="s">
        <v>4108</v>
      </c>
      <c r="J4306">
        <v>34.99</v>
      </c>
      <c r="K4306" s="4">
        <v>-0.22189999999999999</v>
      </c>
      <c r="L4306">
        <v>4.5999999999999996</v>
      </c>
      <c r="M4306">
        <v>91</v>
      </c>
      <c r="O4306" t="s">
        <v>25</v>
      </c>
      <c r="P4306" t="s">
        <v>8786</v>
      </c>
      <c r="Q4306" t="s">
        <v>8787</v>
      </c>
    </row>
    <row r="4307" spans="1:17" ht="15.5" x14ac:dyDescent="0.35">
      <c r="A4307" s="3" t="str">
        <f>HYPERLINK("https://edmondsonsupply.com/collections/electricians-tools/products/milwaukee-0910-20-m18-fuel%E2%84%A2-6-gallon-wet-dry-vacuum", "https://edmondsonsupply.com/collections/electricians-tools/products/milwaukee-0910-20-m18-fuel%E2%84%A2-6-gallon-wet-dry-vacuum")</f>
        <v>https://edmondsonsupply.com/collections/electricians-tools/products/milwaukee-0910-20-m18-fuel%E2%84%A2-6-gallon-wet-dry-vacuum</v>
      </c>
      <c r="B4307" s="3" t="str">
        <f>HYPERLINK("https://edmondsonsupply.com/products/milwaukee-0910-20-m18-fuel%e2%84%a2-6-gallon-wet-dry-vacuum", "https://edmondsonsupply.com/products/milwaukee-0910-20-m18-fuel%e2%84%a2-6-gallon-wet-dry-vacuum")</f>
        <v>https://edmondsonsupply.com/products/milwaukee-0910-20-m18-fuel%e2%84%a2-6-gallon-wet-dry-vacuum</v>
      </c>
      <c r="C4307" t="s">
        <v>8788</v>
      </c>
      <c r="D4307" t="s">
        <v>4883</v>
      </c>
      <c r="E4307" s="3" t="str">
        <f>HYPERLINK("https://www.amazon.com/Milwaukee-0970-20-PACKOUT-Gallon-Vacuum/dp/B09RQ6WNZ8/ref=sr_1_8?keywords=Milwaukee+0910-20+M18+FUEL%E2%84%A2+6+Gallon+Wet%2FDry+Vacuum&amp;qid=1695174155&amp;sr=8-8", "https://www.amazon.com/Milwaukee-0970-20-PACKOUT-Gallon-Vacuum/dp/B09RQ6WNZ8/ref=sr_1_8?keywords=Milwaukee+0910-20+M18+FUEL%E2%84%A2+6+Gallon+Wet%2FDry+Vacuum&amp;qid=1695174155&amp;sr=8-8")</f>
        <v>https://www.amazon.com/Milwaukee-0970-20-PACKOUT-Gallon-Vacuum/dp/B09RQ6WNZ8/ref=sr_1_8?keywords=Milwaukee+0910-20+M18+FUEL%E2%84%A2+6+Gallon+Wet%2FDry+Vacuum&amp;qid=1695174155&amp;sr=8-8</v>
      </c>
      <c r="F4307" t="s">
        <v>4884</v>
      </c>
      <c r="G4307" t="e">
        <f ca="1">_xludf.IMAGE("https://edmondsonsupply.com/cdn/shop/products/0910-20_2.webp?v=1663607323")</f>
        <v>#NAME?</v>
      </c>
      <c r="H4307" t="e">
        <f ca="1">_xludf.IMAGE("https://m.media-amazon.com/images/I/71yMHJwu0eL._AC_UL320_.jpg")</f>
        <v>#NAME?</v>
      </c>
      <c r="I4307" t="s">
        <v>8789</v>
      </c>
      <c r="J4307">
        <v>193.69</v>
      </c>
      <c r="K4307" s="4">
        <v>-0.22209999999999999</v>
      </c>
      <c r="L4307">
        <v>4.5999999999999996</v>
      </c>
      <c r="M4307">
        <v>76</v>
      </c>
      <c r="O4307" t="s">
        <v>171</v>
      </c>
      <c r="P4307" t="s">
        <v>8790</v>
      </c>
      <c r="Q4307" t="s">
        <v>8791</v>
      </c>
    </row>
    <row r="4308" spans="1:17" ht="15.5" x14ac:dyDescent="0.35">
      <c r="A4308"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4308"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4308" t="s">
        <v>4105</v>
      </c>
      <c r="D4308" t="s">
        <v>5015</v>
      </c>
      <c r="E4308" s="3" t="str">
        <f>HYPERLINK("https://www.amazon.com/Diagonal-Linemans-Klein-Tools-D2000-48/dp/B0000302WZ/ref=sr_1_5?keywords=Klein+Tools+D20009NEGLW+High-Visibility+Side-Cutting+Pliers+High-Leverage&amp;qid=1695173949&amp;sr=8-5", "https://www.amazon.com/Diagonal-Linemans-Klein-Tools-D2000-48/dp/B0000302WZ/ref=sr_1_5?keywords=Klein+Tools+D20009NEGLW+High-Visibility+Side-Cutting+Pliers+High-Leverage&amp;qid=1695173949&amp;sr=8-5")</f>
        <v>https://www.amazon.com/Diagonal-Linemans-Klein-Tools-D2000-48/dp/B0000302WZ/ref=sr_1_5?keywords=Klein+Tools+D20009NEGLW+High-Visibility+Side-Cutting+Pliers+High-Leverage&amp;qid=1695173949&amp;sr=8-5</v>
      </c>
      <c r="F4308" t="s">
        <v>5016</v>
      </c>
      <c r="G4308" t="e">
        <f ca="1">_xludf.IMAGE("https://edmondsonsupply.com/cdn/shop/products/d20009neglw.jpg?v=1587144933")</f>
        <v>#NAME?</v>
      </c>
      <c r="H4308" t="e">
        <f ca="1">_xludf.IMAGE("https://m.media-amazon.com/images/I/41Y+q+BsIsL._AC_UL320_.jpg")</f>
        <v>#NAME?</v>
      </c>
      <c r="I4308" t="s">
        <v>4108</v>
      </c>
      <c r="J4308">
        <v>34.97</v>
      </c>
      <c r="K4308" s="4">
        <v>-0.22239999999999999</v>
      </c>
      <c r="L4308">
        <v>4.7</v>
      </c>
      <c r="M4308">
        <v>530</v>
      </c>
      <c r="O4308" t="s">
        <v>25</v>
      </c>
      <c r="P4308" t="s">
        <v>4109</v>
      </c>
      <c r="Q4308" t="s">
        <v>4110</v>
      </c>
    </row>
    <row r="4309" spans="1:17" ht="15.5" x14ac:dyDescent="0.35">
      <c r="A4309" s="3" t="str">
        <f>HYPERLINK("https://edmondsonsupply.com/collections/electricians-tools/products/klein-tools-2139nerins-insulated-pliers-side-cutters-9-inch", "https://edmondsonsupply.com/collections/electricians-tools/products/klein-tools-2139nerins-insulated-pliers-side-cutters-9-inch")</f>
        <v>https://edmondsonsupply.com/collections/electricians-tools/products/klein-tools-2139nerins-insulated-pliers-side-cutters-9-inch</v>
      </c>
      <c r="B4309" s="3" t="str">
        <f>HYPERLINK("https://edmondsonsupply.com/products/klein-tools-2139nerins-insulated-pliers-side-cutters-9-inch", "https://edmondsonsupply.com/products/klein-tools-2139nerins-insulated-pliers-side-cutters-9-inch")</f>
        <v>https://edmondsonsupply.com/products/klein-tools-2139nerins-insulated-pliers-side-cutters-9-inch</v>
      </c>
      <c r="C4309" t="s">
        <v>7163</v>
      </c>
      <c r="D4309" t="s">
        <v>5332</v>
      </c>
      <c r="E4309" s="3" t="str">
        <f>HYPERLINK("https://www.amazon.com/Leverage-46-Percent-Gripping-Klein-Tools/dp/B0000302W6/ref=sr_1_3?keywords=Klein+Tools+2139NERINS+Insulated+Pliers%2C+Side+Cutters%2C+9-Inch&amp;qid=1695174127&amp;sr=8-3", "https://www.amazon.com/Leverage-46-Percent-Gripping-Klein-Tools/dp/B0000302W6/ref=sr_1_3?keywords=Klein+Tools+2139NERINS+Insulated+Pliers%2C+Side+Cutters%2C+9-Inch&amp;qid=1695174127&amp;sr=8-3")</f>
        <v>https://www.amazon.com/Leverage-46-Percent-Gripping-Klein-Tools/dp/B0000302W6/ref=sr_1_3?keywords=Klein+Tools+2139NERINS+Insulated+Pliers%2C+Side+Cutters%2C+9-Inch&amp;qid=1695174127&amp;sr=8-3</v>
      </c>
      <c r="F4309" t="s">
        <v>5333</v>
      </c>
      <c r="G4309" t="e">
        <f ca="1">_xludf.IMAGE("https://edmondsonsupply.com/cdn/shop/products/2139nerins.jpg?v=1667237928")</f>
        <v>#NAME?</v>
      </c>
      <c r="H4309" t="e">
        <f ca="1">_xludf.IMAGE("https://m.media-amazon.com/images/I/51D7tdNTj7L._AC_UL320_.jpg")</f>
        <v>#NAME?</v>
      </c>
      <c r="I4309" t="s">
        <v>4108</v>
      </c>
      <c r="J4309">
        <v>34.97</v>
      </c>
      <c r="K4309" s="4">
        <v>-0.22239999999999999</v>
      </c>
      <c r="L4309">
        <v>4.8</v>
      </c>
      <c r="M4309">
        <v>4121</v>
      </c>
      <c r="O4309" t="s">
        <v>25</v>
      </c>
      <c r="P4309" t="s">
        <v>7164</v>
      </c>
      <c r="Q4309" t="s">
        <v>7165</v>
      </c>
    </row>
    <row r="4310" spans="1:17" ht="15.5" x14ac:dyDescent="0.35">
      <c r="A4310"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4310"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4310" t="s">
        <v>4105</v>
      </c>
      <c r="D4310" t="s">
        <v>5332</v>
      </c>
      <c r="E4310" s="3" t="str">
        <f>HYPERLINK("https://www.amazon.com/Leverage-46-Percent-Gripping-Klein-Tools/dp/B0000302W6/ref=sr_1_2?keywords=Klein+Tools+D20009NEGLW+High-Visibility+Side-Cutting+Pliers+High-Leverage&amp;qid=1695173949&amp;sr=8-2", "https://www.amazon.com/Leverage-46-Percent-Gripping-Klein-Tools/dp/B0000302W6/ref=sr_1_2?keywords=Klein+Tools+D20009NEGLW+High-Visibility+Side-Cutting+Pliers+High-Leverage&amp;qid=1695173949&amp;sr=8-2")</f>
        <v>https://www.amazon.com/Leverage-46-Percent-Gripping-Klein-Tools/dp/B0000302W6/ref=sr_1_2?keywords=Klein+Tools+D20009NEGLW+High-Visibility+Side-Cutting+Pliers+High-Leverage&amp;qid=1695173949&amp;sr=8-2</v>
      </c>
      <c r="F4310" t="s">
        <v>5333</v>
      </c>
      <c r="G4310" t="e">
        <f ca="1">_xludf.IMAGE("https://edmondsonsupply.com/cdn/shop/products/d20009neglw.jpg?v=1587144933")</f>
        <v>#NAME?</v>
      </c>
      <c r="H4310" t="e">
        <f ca="1">_xludf.IMAGE("https://m.media-amazon.com/images/I/51D7tdNTj7L._AC_UL320_.jpg")</f>
        <v>#NAME?</v>
      </c>
      <c r="I4310" t="s">
        <v>4108</v>
      </c>
      <c r="J4310">
        <v>34.97</v>
      </c>
      <c r="K4310" s="4">
        <v>-0.22239999999999999</v>
      </c>
      <c r="L4310">
        <v>4.8</v>
      </c>
      <c r="M4310">
        <v>4121</v>
      </c>
      <c r="O4310" t="s">
        <v>25</v>
      </c>
      <c r="P4310" t="s">
        <v>4109</v>
      </c>
      <c r="Q4310" t="s">
        <v>4110</v>
      </c>
    </row>
    <row r="4311" spans="1:17" ht="15.5" x14ac:dyDescent="0.35">
      <c r="A4311"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4311" s="3" t="str">
        <f>HYPERLINK("https://edmondsonsupply.com/products/klein-tools-s8m-1-4-inch-magnetic-nut-driver-3-inch-shank", "https://edmondsonsupply.com/products/klein-tools-s8m-1-4-inch-magnetic-nut-driver-3-inch-shank")</f>
        <v>https://edmondsonsupply.com/products/klein-tools-s8m-1-4-inch-magnetic-nut-driver-3-inch-shank</v>
      </c>
      <c r="C4311" t="s">
        <v>3809</v>
      </c>
      <c r="D4311" t="s">
        <v>5334</v>
      </c>
      <c r="E4311" s="3" t="str">
        <f>HYPERLINK("https://www.amazon.com/Magnetic-Drivers-Klein-Tools-86600/dp/B0043GVDX0/ref=sr_1_8?keywords=Klein+Tools+S8M+1%2F4-Inch+Magnetic+Nut+Driver+3-Inch+Shank&amp;qid=1695174041&amp;sr=8-8", "https://www.amazon.com/Magnetic-Drivers-Klein-Tools-86600/dp/B0043GVDX0/ref=sr_1_8?keywords=Klein+Tools+S8M+1%2F4-Inch+Magnetic+Nut+Driver+3-Inch+Shank&amp;qid=1695174041&amp;sr=8-8")</f>
        <v>https://www.amazon.com/Magnetic-Drivers-Klein-Tools-86600/dp/B0043GVDX0/ref=sr_1_8?keywords=Klein+Tools+S8M+1%2F4-Inch+Magnetic+Nut+Driver+3-Inch+Shank&amp;qid=1695174041&amp;sr=8-8</v>
      </c>
      <c r="F4311" t="s">
        <v>5335</v>
      </c>
      <c r="G4311" t="e">
        <f ca="1">_xludf.IMAGE("https://edmondsonsupply.com/cdn/shop/products/s8m.jpg?v=1633030818")</f>
        <v>#NAME?</v>
      </c>
      <c r="H4311" t="e">
        <f ca="1">_xludf.IMAGE("https://m.media-amazon.com/images/I/6147J4xgyLL._AC_UL320_.jpg")</f>
        <v>#NAME?</v>
      </c>
      <c r="I4311" t="s">
        <v>924</v>
      </c>
      <c r="J4311">
        <v>6.99</v>
      </c>
      <c r="K4311" s="4">
        <v>-0.2225</v>
      </c>
      <c r="L4311">
        <v>4.7</v>
      </c>
      <c r="M4311">
        <v>1164</v>
      </c>
      <c r="O4311" t="s">
        <v>25</v>
      </c>
      <c r="P4311" t="s">
        <v>3812</v>
      </c>
      <c r="Q4311" t="s">
        <v>3813</v>
      </c>
    </row>
    <row r="4312" spans="1:17" ht="15.5" x14ac:dyDescent="0.35">
      <c r="A4312"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4312" s="3" t="str">
        <f>HYPERLINK("https://edmondsonsupply.com/products/greenlee-dtap1-4-20-drill-tap-1-4-20", "https://edmondsonsupply.com/products/greenlee-dtap1-4-20-drill-tap-1-4-20")</f>
        <v>https://edmondsonsupply.com/products/greenlee-dtap1-4-20-drill-tap-1-4-20</v>
      </c>
      <c r="C4312" t="s">
        <v>2854</v>
      </c>
      <c r="D4312" t="s">
        <v>5336</v>
      </c>
      <c r="E4312" s="3" t="str">
        <f>HYPERLINK("https://www.amazon.com/4-20-Drill-Klein-Tools-32242/dp/B019874QJQ/ref=sr_1_5?keywords=Greenlee+DTAP1%2F4-20+Drill%2FTap%2C+1%2F4-20&amp;qid=1695173937&amp;sr=8-5", "https://www.amazon.com/4-20-Drill-Klein-Tools-32242/dp/B019874QJQ/ref=sr_1_5?keywords=Greenlee+DTAP1%2F4-20+Drill%2FTap%2C+1%2F4-20&amp;qid=1695173937&amp;sr=8-5")</f>
        <v>https://www.amazon.com/4-20-Drill-Klein-Tools-32242/dp/B019874QJQ/ref=sr_1_5?keywords=Greenlee+DTAP1%2F4-20+Drill%2FTap%2C+1%2F4-20&amp;qid=1695173937&amp;sr=8-5</v>
      </c>
      <c r="F4312" t="s">
        <v>5337</v>
      </c>
      <c r="G4312" t="e">
        <f ca="1">_xludf.IMAGE("https://edmondsonsupply.com/cdn/shop/products/DTAP1-4-20.jpg?v=1587151009")</f>
        <v>#NAME?</v>
      </c>
      <c r="H4312" t="e">
        <f ca="1">_xludf.IMAGE("https://m.media-amazon.com/images/I/419OEbztcTL._AC_UL320_.jpg")</f>
        <v>#NAME?</v>
      </c>
      <c r="I4312" t="s">
        <v>924</v>
      </c>
      <c r="J4312">
        <v>6.99</v>
      </c>
      <c r="K4312" s="4">
        <v>-0.2225</v>
      </c>
      <c r="L4312">
        <v>4.5999999999999996</v>
      </c>
      <c r="M4312">
        <v>828</v>
      </c>
      <c r="O4312" t="s">
        <v>25</v>
      </c>
      <c r="P4312" t="s">
        <v>2857</v>
      </c>
      <c r="Q4312" t="s">
        <v>2858</v>
      </c>
    </row>
    <row r="4313" spans="1:17" ht="15.5" x14ac:dyDescent="0.35">
      <c r="A4313"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4313" s="3" t="str">
        <f>HYPERLINK("https://edmondsonsupply.com/products/fluke-373-true-rms-ac-clamp-meter", "https://edmondsonsupply.com/products/fluke-373-true-rms-ac-clamp-meter")</f>
        <v>https://edmondsonsupply.com/products/fluke-373-true-rms-ac-clamp-meter</v>
      </c>
      <c r="C4313" t="s">
        <v>5826</v>
      </c>
      <c r="D4313" t="s">
        <v>5947</v>
      </c>
      <c r="E4313" s="3" t="str">
        <f>HYPERLINK("https://www.amazon.com/Fluke-365-Detachable-True-RMS-Clamp/dp/B004I2ZSLC/ref=sr_1_5?keywords=Fluke+373+True-RMS+AC+Clamp+Meter&amp;qid=1695173996&amp;sr=8-5", "https://www.amazon.com/Fluke-365-Detachable-True-RMS-Clamp/dp/B004I2ZSLC/ref=sr_1_5?keywords=Fluke+373+True-RMS+AC+Clamp+Meter&amp;qid=1695173996&amp;sr=8-5")</f>
        <v>https://www.amazon.com/Fluke-365-Detachable-True-RMS-Clamp/dp/B004I2ZSLC/ref=sr_1_5?keywords=Fluke+373+True-RMS+AC+Clamp+Meter&amp;qid=1695173996&amp;sr=8-5</v>
      </c>
      <c r="F4313" t="s">
        <v>5948</v>
      </c>
      <c r="G4313" t="e">
        <f ca="1">_xludf.IMAGE("https://edmondsonsupply.com/cdn/shop/files/f-373-01d-1500x1000.webp?v=1689369435")</f>
        <v>#NAME?</v>
      </c>
      <c r="H4313" t="e">
        <f ca="1">_xludf.IMAGE("https://m.media-amazon.com/images/I/61gtdMPNAyL._AC_UY218_.jpg")</f>
        <v>#NAME?</v>
      </c>
      <c r="I4313" t="s">
        <v>5829</v>
      </c>
      <c r="J4313">
        <v>225</v>
      </c>
      <c r="K4313" s="4">
        <v>-0.2243</v>
      </c>
      <c r="L4313">
        <v>4.5999999999999996</v>
      </c>
      <c r="M4313">
        <v>121</v>
      </c>
      <c r="O4313" t="s">
        <v>25</v>
      </c>
      <c r="P4313" t="s">
        <v>138</v>
      </c>
      <c r="Q4313" t="s">
        <v>5830</v>
      </c>
    </row>
    <row r="4314" spans="1:17" ht="15.5" x14ac:dyDescent="0.35">
      <c r="A4314"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4314"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4314" t="s">
        <v>6932</v>
      </c>
      <c r="D4314" t="s">
        <v>5970</v>
      </c>
      <c r="E4314" s="3" t="str">
        <f>HYPERLINK("https://www.amazon.com/Diablo-Universal-Bi-Metal-Oscillating-Nail-Embedded/dp/B089LDN2LT/ref=sr_1_6?keywords=Diablo+Tools+DOU250JBW+2-1%2F2+in.+Universal+Fit+Bi-Metal+Oscillating+Blade+for+Clean+Wood&amp;qid=1695174020&amp;sr=8-6", "https://www.amazon.com/Diablo-Universal-Bi-Metal-Oscillating-Nail-Embedded/dp/B089LDN2LT/ref=sr_1_6?keywords=Diablo+Tools+DOU250JBW+2-1%2F2+in.+Universal+Fit+Bi-Metal+Oscillating+Blade+for+Clean+Wood&amp;qid=1695174020&amp;sr=8-6")</f>
        <v>https://www.amazon.com/Diablo-Universal-Bi-Metal-Oscillating-Nail-Embedded/dp/B089LDN2LT/ref=sr_1_6?keywords=Diablo+Tools+DOU250JBW+2-1%2F2+in.+Universal+Fit+Bi-Metal+Oscillating+Blade+for+Clean+Wood&amp;qid=1695174020&amp;sr=8-6</v>
      </c>
      <c r="F4314" t="s">
        <v>5971</v>
      </c>
      <c r="G4314" t="e">
        <f ca="1">_xludf.IMAGE("https://edmondsonsupply.com/cdn/shop/files/pycnap4eb1urn2hxvudq.webp?v=1685718789")</f>
        <v>#NAME?</v>
      </c>
      <c r="H4314" t="e">
        <f ca="1">_xludf.IMAGE("https://m.media-amazon.com/images/I/613ig7mNjfL._AC_UL320_.jpg")</f>
        <v>#NAME?</v>
      </c>
      <c r="I4314" t="s">
        <v>6935</v>
      </c>
      <c r="J4314">
        <v>12.14</v>
      </c>
      <c r="K4314" s="4">
        <v>-0.2243</v>
      </c>
      <c r="L4314">
        <v>4.8</v>
      </c>
      <c r="M4314">
        <v>12</v>
      </c>
      <c r="O4314" t="s">
        <v>25</v>
      </c>
      <c r="P4314" t="s">
        <v>6936</v>
      </c>
      <c r="Q4314" t="s">
        <v>6937</v>
      </c>
    </row>
    <row r="4315" spans="1:17" ht="15.5" x14ac:dyDescent="0.35">
      <c r="A4315" s="3" t="str">
        <f>HYPERLINK("https://edmondsonsupply.com/collections/electricians-tools/products/milwaukee-2863-22r-m18-fuel%E2%84%A2-w-one-key%E2%84%A2-high-torque-impact-wrench-1-2-friction-ring-kit", "https://edmondsonsupply.com/collections/electricians-tools/products/milwaukee-2863-22r-m18-fuel%E2%84%A2-w-one-key%E2%84%A2-high-torque-impact-wrench-1-2-friction-ring-kit")</f>
        <v>https://edmondsonsupply.com/collections/electricians-tools/products/milwaukee-2863-22r-m18-fuel%E2%84%A2-w-one-key%E2%84%A2-high-torque-impact-wrench-1-2-friction-ring-kit</v>
      </c>
      <c r="B4315" s="3" t="str">
        <f>HYPERLINK("https://edmondsonsupply.com/products/milwaukee-2863-22r-m18-fuel%e2%84%a2-w-one-key%e2%84%a2-high-torque-impact-wrench-1-2-friction-ring-kit", "https://edmondsonsupply.com/products/milwaukee-2863-22r-m18-fuel%e2%84%a2-w-one-key%e2%84%a2-high-torque-impact-wrench-1-2-friction-ring-kit")</f>
        <v>https://edmondsonsupply.com/products/milwaukee-2863-22r-m18-fuel%e2%84%a2-w-one-key%e2%84%a2-high-torque-impact-wrench-1-2-friction-ring-kit</v>
      </c>
      <c r="C4315" t="s">
        <v>8361</v>
      </c>
      <c r="D4315" t="s">
        <v>8792</v>
      </c>
      <c r="E4315" s="3" t="str">
        <f>HYPERLINK("https://www.amazon.com/Milwaukee-2767-22R-Torque-Impact-Friction/dp/B0BPVF9TX4/ref=sr_1_2?keywords=Milwaukee+2863-22R+M18+FUEL%E2%84%A2+w%2F+ONE-KEY%E2%84%A2+High+Torque+Impact+Wrench+1%2F2%22+Friction+Ring+Kit&amp;qid=1695174108&amp;sr=8-2", "https://www.amazon.com/Milwaukee-2767-22R-Torque-Impact-Friction/dp/B0BPVF9TX4/ref=sr_1_2?keywords=Milwaukee+2863-22R+M18+FUEL%E2%84%A2+w%2F+ONE-KEY%E2%84%A2+High+Torque+Impact+Wrench+1%2F2%22+Friction+Ring+Kit&amp;qid=1695174108&amp;sr=8-2")</f>
        <v>https://www.amazon.com/Milwaukee-2767-22R-Torque-Impact-Friction/dp/B0BPVF9TX4/ref=sr_1_2?keywords=Milwaukee+2863-22R+M18+FUEL%E2%84%A2+w%2F+ONE-KEY%E2%84%A2+High+Torque+Impact+Wrench+1%2F2%22+Friction+Ring+Kit&amp;qid=1695174108&amp;sr=8-2</v>
      </c>
      <c r="F4315" t="s">
        <v>8793</v>
      </c>
      <c r="G4315" t="e">
        <f ca="1">_xludf.IMAGE("https://edmondsonsupply.com/cdn/shop/products/2863-22R_Kit_102.png?v=1671644124")</f>
        <v>#NAME?</v>
      </c>
      <c r="H4315" t="e">
        <f ca="1">_xludf.IMAGE("https://m.media-amazon.com/images/I/71gSKRvxyuL._AC_UL320_.jpg")</f>
        <v>#NAME?</v>
      </c>
      <c r="I4315" t="s">
        <v>8362</v>
      </c>
      <c r="J4315">
        <v>439.73</v>
      </c>
      <c r="K4315" s="4">
        <v>-0.22720000000000001</v>
      </c>
      <c r="L4315">
        <v>4.8</v>
      </c>
      <c r="M4315">
        <v>9</v>
      </c>
      <c r="O4315" t="s">
        <v>25</v>
      </c>
      <c r="P4315" t="s">
        <v>8363</v>
      </c>
      <c r="Q4315" t="s">
        <v>8364</v>
      </c>
    </row>
    <row r="4316" spans="1:17" ht="15.5" x14ac:dyDescent="0.35">
      <c r="A4316" s="3" t="str">
        <f>HYPERLINK("https://edmondsonsupply.com/collections/electricians-tools/products/fluke-378-fc-non-contact-voltage-true-rms-ac-dc-clamp-meter-with-iflex", "https://edmondsonsupply.com/collections/electricians-tools/products/fluke-378-fc-non-contact-voltage-true-rms-ac-dc-clamp-meter-with-iflex")</f>
        <v>https://edmondsonsupply.com/collections/electricians-tools/products/fluke-378-fc-non-contact-voltage-true-rms-ac-dc-clamp-meter-with-iflex</v>
      </c>
      <c r="B4316" s="3" t="str">
        <f>HYPERLINK("https://edmondsonsupply.com/products/fluke-378-fc-non-contact-voltage-true-rms-ac-dc-clamp-meter-with-iflex", "https://edmondsonsupply.com/products/fluke-378-fc-non-contact-voltage-true-rms-ac-dc-clamp-meter-with-iflex")</f>
        <v>https://edmondsonsupply.com/products/fluke-378-fc-non-contact-voltage-true-rms-ac-dc-clamp-meter-with-iflex</v>
      </c>
      <c r="C4316" t="s">
        <v>4438</v>
      </c>
      <c r="D4316" t="s">
        <v>5346</v>
      </c>
      <c r="E4316" s="3" t="str">
        <f>HYPERLINK("https://www.amazon.com/Fluke-377FC-Non-Contact-Voltage-Wireless/dp/B0916LXCWW/ref=sr_1_5?keywords=Fluke+378+FC+Non-Contact+Voltage+True-RMS+AC%2FDC+Clamp+Meter+with+iFlex&amp;qid=1695173847&amp;sr=8-5", "https://www.amazon.com/Fluke-377FC-Non-Contact-Voltage-Wireless/dp/B0916LXCWW/ref=sr_1_5?keywords=Fluke+378+FC+Non-Contact+Voltage+True-RMS+AC%2FDC+Clamp+Meter+with+iFlex&amp;qid=1695173847&amp;sr=8-5")</f>
        <v>https://www.amazon.com/Fluke-377FC-Non-Contact-Voltage-Wireless/dp/B0916LXCWW/ref=sr_1_5?keywords=Fluke+378+FC+Non-Contact+Voltage+True-RMS+AC%2FDC+Clamp+Meter+with+iFlex&amp;qid=1695173847&amp;sr=8-5</v>
      </c>
      <c r="F4316" t="s">
        <v>5347</v>
      </c>
      <c r="G4316" t="e">
        <f ca="1">_xludf.IMAGE("https://edmondsonsupply.com/cdn/shop/products/378_FC_72dpi_499x1024px_E_NR-27689.jpg?v=1633031120")</f>
        <v>#NAME?</v>
      </c>
      <c r="H4316" t="e">
        <f ca="1">_xludf.IMAGE("https://m.media-amazon.com/images/I/7112bqFKTjL._AC_UY218_.jpg")</f>
        <v>#NAME?</v>
      </c>
      <c r="I4316" t="s">
        <v>4441</v>
      </c>
      <c r="J4316">
        <v>600</v>
      </c>
      <c r="K4316" s="4">
        <v>-0.22750000000000001</v>
      </c>
      <c r="L4316">
        <v>4.4000000000000004</v>
      </c>
      <c r="M4316">
        <v>39</v>
      </c>
      <c r="O4316" t="s">
        <v>171</v>
      </c>
      <c r="P4316" t="s">
        <v>4442</v>
      </c>
      <c r="Q4316" t="s">
        <v>4443</v>
      </c>
    </row>
    <row r="4317" spans="1:17" ht="15.5" x14ac:dyDescent="0.35">
      <c r="A4317"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317"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317" t="s">
        <v>8519</v>
      </c>
      <c r="D4317" t="s">
        <v>7101</v>
      </c>
      <c r="E4317" s="3" t="str">
        <f>HYPERLINK("https://www.amazon.com/Diablo-DOS125JBW3-Starlock-Bi-Metal-Oscillating/dp/B089KWG9Z3/ref=sr_1_10?keywords=Diablo+Tools+DOU125JBW3+1-1%2F4+in.+Universal+Fit+Bi-Metal+Oscillating+Blades+for+Clean+Wood&amp;qid=1695174271&amp;sr=8-10", "https://www.amazon.com/Diablo-DOS125JBW3-Starlock-Bi-Metal-Oscillating/dp/B089KWG9Z3/ref=sr_1_10?keywords=Diablo+Tools+DOU125JBW3+1-1%2F4+in.+Universal+Fit+Bi-Metal+Oscillating+Blades+for+Clean+Wood&amp;qid=1695174271&amp;sr=8-10")</f>
        <v>https://www.amazon.com/Diablo-DOS125JBW3-Starlock-Bi-Metal-Oscillating/dp/B089KWG9Z3/ref=sr_1_10?keywords=Diablo+Tools+DOU125JBW3+1-1%2F4+in.+Universal+Fit+Bi-Metal+Oscillating+Blades+for+Clean+Wood&amp;qid=1695174271&amp;sr=8-10</v>
      </c>
      <c r="F4317" t="s">
        <v>7102</v>
      </c>
      <c r="G4317" t="e">
        <f ca="1">_xludf.IMAGE("https://edmondsonsupply.com/cdn/shop/products/DOU125JBW3_Main-Image.png?v=1633031095")</f>
        <v>#NAME?</v>
      </c>
      <c r="H4317" t="e">
        <f ca="1">_xludf.IMAGE("https://m.media-amazon.com/images/I/61pZ45bX2GL._AC_UL320_.jpg")</f>
        <v>#NAME?</v>
      </c>
      <c r="I4317" t="s">
        <v>340</v>
      </c>
      <c r="J4317">
        <v>27</v>
      </c>
      <c r="K4317" s="4">
        <v>-0.22789999999999999</v>
      </c>
      <c r="L4317">
        <v>4.4000000000000004</v>
      </c>
      <c r="M4317">
        <v>46</v>
      </c>
      <c r="O4317" t="s">
        <v>25</v>
      </c>
      <c r="P4317" t="s">
        <v>8520</v>
      </c>
      <c r="Q4317" t="s">
        <v>8521</v>
      </c>
    </row>
    <row r="4318" spans="1:17" ht="15.5" x14ac:dyDescent="0.35">
      <c r="A4318"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4318"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4318" t="s">
        <v>8776</v>
      </c>
      <c r="D4318" t="s">
        <v>7101</v>
      </c>
      <c r="E4318" s="3" t="str">
        <f>HYPERLINK("https://www.amazon.com/Diablo-DOS125JBW3-Starlock-Bi-Metal-Oscillating/dp/B089KWG9Z3/ref=sr_1_5?keywords=Diablo+Tools+DOS125BW3+1-1%2F4+in.+Starlock+Bi-Metal+Oscillating+Blades+for+Nail-Embedded+Wood&amp;qid=1695174253&amp;sr=8-5", "https://www.amazon.com/Diablo-DOS125JBW3-Starlock-Bi-Metal-Oscillating/dp/B089KWG9Z3/ref=sr_1_5?keywords=Diablo+Tools+DOS125BW3+1-1%2F4+in.+Starlock+Bi-Metal+Oscillating+Blades+for+Nail-Embedded+Wood&amp;qid=1695174253&amp;sr=8-5")</f>
        <v>https://www.amazon.com/Diablo-DOS125JBW3-Starlock-Bi-Metal-Oscillating/dp/B089KWG9Z3/ref=sr_1_5?keywords=Diablo+Tools+DOS125BW3+1-1%2F4+in.+Starlock+Bi-Metal+Oscillating+Blades+for+Nail-Embedded+Wood&amp;qid=1695174253&amp;sr=8-5</v>
      </c>
      <c r="F4318" t="s">
        <v>7102</v>
      </c>
      <c r="G4318" t="e">
        <f ca="1">_xludf.IMAGE("https://edmondsonsupply.com/cdn/shop/products/DOS125BW3_Main-Image.png?v=1633031100")</f>
        <v>#NAME?</v>
      </c>
      <c r="H4318" t="e">
        <f ca="1">_xludf.IMAGE("https://m.media-amazon.com/images/I/61pZ45bX2GL._AC_UL320_.jpg")</f>
        <v>#NAME?</v>
      </c>
      <c r="I4318" t="s">
        <v>340</v>
      </c>
      <c r="J4318">
        <v>27</v>
      </c>
      <c r="K4318" s="4">
        <v>-0.22789999999999999</v>
      </c>
      <c r="L4318">
        <v>4.4000000000000004</v>
      </c>
      <c r="M4318">
        <v>46</v>
      </c>
      <c r="O4318" t="s">
        <v>25</v>
      </c>
      <c r="P4318" t="s">
        <v>8777</v>
      </c>
      <c r="Q4318" t="s">
        <v>8778</v>
      </c>
    </row>
    <row r="4319" spans="1:17" ht="15.5" x14ac:dyDescent="0.35">
      <c r="A4319" s="3" t="str">
        <f>HYPERLINK("https://edmondsonsupply.com/collections/electricians-tools/products/klein-tools-44001-blk-black-lightweight-lockback-knife-2-1-2-inch", "https://edmondsonsupply.com/collections/electricians-tools/products/klein-tools-44001-blk-black-lightweight-lockback-knife-2-1-2-inch")</f>
        <v>https://edmondsonsupply.com/collections/electricians-tools/products/klein-tools-44001-blk-black-lightweight-lockback-knife-2-1-2-inch</v>
      </c>
      <c r="B4319" s="3" t="str">
        <f>HYPERLINK("https://edmondsonsupply.com/products/klein-tools-44001-blk-black-lightweight-lockback-knife-2-1-2-inch", "https://edmondsonsupply.com/products/klein-tools-44001-blk-black-lightweight-lockback-knife-2-1-2-inch")</f>
        <v>https://edmondsonsupply.com/products/klein-tools-44001-blk-black-lightweight-lockback-knife-2-1-2-inch</v>
      </c>
      <c r="C4319" t="s">
        <v>7786</v>
      </c>
      <c r="D4319" t="s">
        <v>8794</v>
      </c>
      <c r="E4319" s="3" t="str">
        <f>HYPERLINK("https://www.amazon.com/Lightweight-Drop-Point-Klein-Tools-44000-BLK/dp/B0026TDUMS/ref=sr_1_2?keywords=Klein+Tools+44001-BLK+Black+Lightweight+Lockback+Knife%2C+2-1%2F2-Inch&amp;qid=1695174306&amp;sr=8-2", "https://www.amazon.com/Lightweight-Drop-Point-Klein-Tools-44000-BLK/dp/B0026TDUMS/ref=sr_1_2?keywords=Klein+Tools+44001-BLK+Black+Lightweight+Lockback+Knife%2C+2-1%2F2-Inch&amp;qid=1695174306&amp;sr=8-2")</f>
        <v>https://www.amazon.com/Lightweight-Drop-Point-Klein-Tools-44000-BLK/dp/B0026TDUMS/ref=sr_1_2?keywords=Klein+Tools+44001-BLK+Black+Lightweight+Lockback+Knife%2C+2-1%2F2-Inch&amp;qid=1695174306&amp;sr=8-2</v>
      </c>
      <c r="F4319" t="s">
        <v>8795</v>
      </c>
      <c r="G4319" t="e">
        <f ca="1">_xludf.IMAGE("https://edmondsonsupply.com/cdn/shop/products/44001-blk.jpg?v=1633030819")</f>
        <v>#NAME?</v>
      </c>
      <c r="H4319" t="e">
        <f ca="1">_xludf.IMAGE("https://m.media-amazon.com/images/I/41ZZ37Tc5yS._AC_UL320_.jpg")</f>
        <v>#NAME?</v>
      </c>
      <c r="I4319" t="s">
        <v>3436</v>
      </c>
      <c r="J4319">
        <v>36.99</v>
      </c>
      <c r="K4319" s="4">
        <v>-0.22919999999999999</v>
      </c>
      <c r="L4319">
        <v>4.3</v>
      </c>
      <c r="M4319">
        <v>93</v>
      </c>
      <c r="O4319" t="s">
        <v>25</v>
      </c>
      <c r="P4319" t="s">
        <v>7787</v>
      </c>
      <c r="Q4319" t="s">
        <v>7788</v>
      </c>
    </row>
    <row r="4320" spans="1:17" ht="15.5" x14ac:dyDescent="0.35">
      <c r="A4320"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4320" s="3" t="str">
        <f>HYPERLINK("https://edmondsonsupply.com/products/klein-tools-60184-lightweight-gel-knee-pads", "https://edmondsonsupply.com/products/klein-tools-60184-lightweight-gel-knee-pads")</f>
        <v>https://edmondsonsupply.com/products/klein-tools-60184-lightweight-gel-knee-pads</v>
      </c>
      <c r="C4320" t="s">
        <v>908</v>
      </c>
      <c r="D4320" t="s">
        <v>1166</v>
      </c>
      <c r="E4320" s="3" t="str">
        <f>HYPERLINK("https://www.amazon.com/Klein-Tools-60614-Lightweight-Slip-Resistant/dp/B0BW9WHCRJ/ref=sr_1_5?keywords=Klein+Tools+60184+Lightweight+Gel+Knee+Pads&amp;qid=1695173931&amp;sr=8-5", "https://www.amazon.com/Klein-Tools-60614-Lightweight-Slip-Resistant/dp/B0BW9WHCRJ/ref=sr_1_5?keywords=Klein+Tools+60184+Lightweight+Gel+Knee+Pads&amp;qid=1695173931&amp;sr=8-5")</f>
        <v>https://www.amazon.com/Klein-Tools-60614-Lightweight-Slip-Resistant/dp/B0BW9WHCRJ/ref=sr_1_5?keywords=Klein+Tools+60184+Lightweight+Gel+Knee+Pads&amp;qid=1695173931&amp;sr=8-5</v>
      </c>
      <c r="F4320" t="s">
        <v>1167</v>
      </c>
      <c r="G4320" t="e">
        <f ca="1">_xludf.IMAGE("https://edmondsonsupply.com/cdn/shop/products/60184.jpg?v=1633030246")</f>
        <v>#NAME?</v>
      </c>
      <c r="H4320" t="e">
        <f ca="1">_xludf.IMAGE("https://m.media-amazon.com/images/I/61pjcWSwQcL._AC_UL320_.jpg")</f>
        <v>#NAME?</v>
      </c>
      <c r="I4320" t="s">
        <v>911</v>
      </c>
      <c r="J4320">
        <v>19.989999999999998</v>
      </c>
      <c r="K4320" s="4">
        <v>-0.2303</v>
      </c>
      <c r="L4320">
        <v>4.5</v>
      </c>
      <c r="M4320">
        <v>192</v>
      </c>
      <c r="O4320" t="s">
        <v>25</v>
      </c>
      <c r="P4320" t="s">
        <v>912</v>
      </c>
      <c r="Q4320" t="s">
        <v>913</v>
      </c>
    </row>
    <row r="4321" spans="1:17" ht="15.5" x14ac:dyDescent="0.35">
      <c r="A4321"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4321" s="3" t="str">
        <f>HYPERLINK("https://edmondsonsupply.com/products/diablo-tools-dmapl2530-1-in-x-16-in-x-18-in-sds-plus-2-cutter", "https://edmondsonsupply.com/products/diablo-tools-dmapl2530-1-in-x-16-in-x-18-in-sds-plus-2-cutter")</f>
        <v>https://edmondsonsupply.com/products/diablo-tools-dmapl2530-1-in-x-16-in-x-18-in-sds-plus-2-cutter</v>
      </c>
      <c r="C4321" t="s">
        <v>7435</v>
      </c>
      <c r="D4321" t="s">
        <v>8796</v>
      </c>
      <c r="E4321" s="3" t="str">
        <f>HYPERLINK("https://www.amazon.com/Sabre-Tools-Rotary-Carbide-Concrete/dp/B0BL1LGYZK/ref=sr_1_5?keywords=Diablo+Tools+DMAPL2530+1+in.+x+16+in.+x+18+in.+SDS-Plus+2-Cutter&amp;qid=1695174263&amp;sr=8-5", "https://www.amazon.com/Sabre-Tools-Rotary-Carbide-Concrete/dp/B0BL1LGYZK/ref=sr_1_5?keywords=Diablo+Tools+DMAPL2530+1+in.+x+16+in.+x+18+in.+SDS-Plus+2-Cutter&amp;qid=1695174263&amp;sr=8-5")</f>
        <v>https://www.amazon.com/Sabre-Tools-Rotary-Carbide-Concrete/dp/B0BL1LGYZK/ref=sr_1_5?keywords=Diablo+Tools+DMAPL2530+1+in.+x+16+in.+x+18+in.+SDS-Plus+2-Cutter&amp;qid=1695174263&amp;sr=8-5</v>
      </c>
      <c r="F4321" t="s">
        <v>8797</v>
      </c>
      <c r="G4321" t="e">
        <f ca="1">_xludf.IMAGE("https://edmondsonsupply.com/cdn/shop/products/DMAPL2530_Main-Image20200703.png?v=1627068300")</f>
        <v>#NAME?</v>
      </c>
      <c r="H4321" t="e">
        <f ca="1">_xludf.IMAGE("https://m.media-amazon.com/images/I/61D3l9KJTDL._AC_UL320_.jpg")</f>
        <v>#NAME?</v>
      </c>
      <c r="I4321" t="s">
        <v>7436</v>
      </c>
      <c r="J4321">
        <v>29.99</v>
      </c>
      <c r="K4321" s="4">
        <v>-0.23039999999999999</v>
      </c>
      <c r="L4321">
        <v>4.5999999999999996</v>
      </c>
      <c r="M4321">
        <v>402</v>
      </c>
      <c r="O4321" t="s">
        <v>25</v>
      </c>
      <c r="P4321" t="s">
        <v>7437</v>
      </c>
      <c r="Q4321" t="s">
        <v>7438</v>
      </c>
    </row>
    <row r="4322" spans="1:17" ht="15.5" x14ac:dyDescent="0.35">
      <c r="A4322" s="3" t="str">
        <f>HYPERLINK("https://edmondsonsupply.com/collections/electricians-tools/products/crescent-tools-ccp8v-2-in-1-combo-dual-material-linesmans-pliers-and-wire-stripper", "https://edmondsonsupply.com/collections/electricians-tools/products/crescent-tools-ccp8v-2-in-1-combo-dual-material-linesmans-pliers-and-wire-stripper")</f>
        <v>https://edmondsonsupply.com/collections/electricians-tools/products/crescent-tools-ccp8v-2-in-1-combo-dual-material-linesmans-pliers-and-wire-stripper</v>
      </c>
      <c r="B4322" s="3" t="str">
        <f>HYPERLINK("https://edmondsonsupply.com/products/crescent-tools-ccp8v-2-in-1-combo-dual-material-linesmans-pliers-and-wire-stripper", "https://edmondsonsupply.com/products/crescent-tools-ccp8v-2-in-1-combo-dual-material-linesmans-pliers-and-wire-stripper")</f>
        <v>https://edmondsonsupply.com/products/crescent-tools-ccp8v-2-in-1-combo-dual-material-linesmans-pliers-and-wire-stripper</v>
      </c>
      <c r="C4322" t="s">
        <v>8798</v>
      </c>
      <c r="D4322" t="s">
        <v>8799</v>
      </c>
      <c r="E4322" s="3" t="str">
        <f>HYPERLINK("https://www.amazon.com/Crescent-CCP8V-Material-Linesmans-Stripper/dp/B01CDJEDLW/ref=sr_1_1?keywords=Crescent+Tools+CCP8V+2-in-1+Combo+Dual+Material+Linesmans+Pliers+and+Wire+Stripper&amp;qid=1695174079&amp;sr=8-1", "https://www.amazon.com/Crescent-CCP8V-Material-Linesmans-Stripper/dp/B01CDJEDLW/ref=sr_1_1?keywords=Crescent+Tools+CCP8V+2-in-1+Combo+Dual+Material+Linesmans+Pliers+and+Wire+Stripper&amp;qid=1695174079&amp;sr=8-1")</f>
        <v>https://www.amazon.com/Crescent-CCP8V-Material-Linesmans-Stripper/dp/B01CDJEDLW/ref=sr_1_1?keywords=Crescent+Tools+CCP8V+2-in-1+Combo+Dual+Material+Linesmans+Pliers+and+Wire+Stripper&amp;qid=1695174079&amp;sr=8-1</v>
      </c>
      <c r="F4322" t="s">
        <v>8800</v>
      </c>
      <c r="G4322" t="e">
        <f ca="1">_xludf.IMAGE("https://edmondsonsupply.com/cdn/shop/products/CRS_CCP8V_IMG-MAIN.jpg?v=1678655204")</f>
        <v>#NAME?</v>
      </c>
      <c r="H4322" t="e">
        <f ca="1">_xludf.IMAGE("https://m.media-amazon.com/images/I/71Wl3sH00DL._AC_UL320_.jpg")</f>
        <v>#NAME?</v>
      </c>
      <c r="I4322" t="s">
        <v>8801</v>
      </c>
      <c r="J4322">
        <v>26.3</v>
      </c>
      <c r="K4322" s="4">
        <v>-0.23080000000000001</v>
      </c>
      <c r="L4322">
        <v>4.0999999999999996</v>
      </c>
      <c r="M4322">
        <v>516</v>
      </c>
      <c r="O4322" t="s">
        <v>25</v>
      </c>
      <c r="P4322" t="s">
        <v>8802</v>
      </c>
      <c r="Q4322" t="s">
        <v>8803</v>
      </c>
    </row>
    <row r="4323" spans="1:17" ht="15.5" x14ac:dyDescent="0.35">
      <c r="A4323" s="3" t="str">
        <f>HYPERLINK("https://edmondsonsupply.com/collections/electricians-tools/products/klein-tools-ncvt1p-non-contact-voltage-tester-pen-50-to-1000v-ac", "https://edmondsonsupply.com/collections/electricians-tools/products/klein-tools-ncvt1p-non-contact-voltage-tester-pen-50-to-1000v-ac")</f>
        <v>https://edmondsonsupply.com/collections/electricians-tools/products/klein-tools-ncvt1p-non-contact-voltage-tester-pen-50-to-1000v-ac</v>
      </c>
      <c r="B4323" s="3" t="str">
        <f>HYPERLINK("https://edmondsonsupply.com/products/klein-tools-ncvt1p-non-contact-voltage-tester-pen-50-to-1000v-ac", "https://edmondsonsupply.com/products/klein-tools-ncvt1p-non-contact-voltage-tester-pen-50-to-1000v-ac")</f>
        <v>https://edmondsonsupply.com/products/klein-tools-ncvt1p-non-contact-voltage-tester-pen-50-to-1000v-ac</v>
      </c>
      <c r="C4323" t="s">
        <v>8804</v>
      </c>
      <c r="D4323" t="s">
        <v>7063</v>
      </c>
      <c r="E4323" s="3" t="str">
        <f>HYPERLINK("https://www.amazon.com/Non-Contact-Detector-Klein-Tools-NCVT1P/dp/B099SJ6469/ref=sr_1_fkmr0_1?keywords=Klein+Tools+NCVT1P+Non-Contact+Voltage+Tester+Pen%2C+50+to+1000V+AC&amp;qid=1695174140&amp;sr=8-1-fkmr0", "https://www.amazon.com/Non-Contact-Detector-Klein-Tools-NCVT1P/dp/B099SJ6469/ref=sr_1_fkmr0_1?keywords=Klein+Tools+NCVT1P+Non-Contact+Voltage+Tester+Pen%2C+50+to+1000V+AC&amp;qid=1695174140&amp;sr=8-1-fkmr0")</f>
        <v>https://www.amazon.com/Non-Contact-Detector-Klein-Tools-NCVT1P/dp/B099SJ6469/ref=sr_1_fkmr0_1?keywords=Klein+Tools+NCVT1P+Non-Contact+Voltage+Tester+Pen%2C+50+to+1000V+AC&amp;qid=1695174140&amp;sr=8-1-fkmr0</v>
      </c>
      <c r="F4323" t="s">
        <v>7064</v>
      </c>
      <c r="G4323" t="e">
        <f ca="1">_xludf.IMAGE("https://edmondsonsupply.com/cdn/shop/products/ncvt1p.jpg?v=1665668632")</f>
        <v>#NAME?</v>
      </c>
      <c r="H4323" t="e">
        <f ca="1">_xludf.IMAGE("https://m.media-amazon.com/images/I/412nrsDmOxL._AC_UL320_.jpg")</f>
        <v>#NAME?</v>
      </c>
      <c r="I4323" t="s">
        <v>893</v>
      </c>
      <c r="J4323">
        <v>15.36</v>
      </c>
      <c r="K4323" s="4">
        <v>-0.23080000000000001</v>
      </c>
      <c r="L4323">
        <v>4.5999999999999996</v>
      </c>
      <c r="M4323">
        <v>3435</v>
      </c>
      <c r="O4323" t="s">
        <v>25</v>
      </c>
      <c r="P4323" t="s">
        <v>6347</v>
      </c>
      <c r="Q4323" t="s">
        <v>8805</v>
      </c>
    </row>
    <row r="4324" spans="1:17" ht="15.5" x14ac:dyDescent="0.35">
      <c r="A4324"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4324"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4324" t="s">
        <v>7470</v>
      </c>
      <c r="D4324" t="s">
        <v>8806</v>
      </c>
      <c r="E4324" s="3" t="str">
        <f>HYPERLINK("https://www.amazon.com/Crescent-Lufkin-Command-Control-Measure/dp/B09PGZ5TMN/ref=sr_1_4?keywords=Crescent+Lufkin+L1025C-02+1-3%2F16%22+x+25%27+Command+Control+Series%E2%84%A2+Yellow+Clad+Tape+Measure&amp;qid=1695174033&amp;sr=8-4", "https://www.amazon.com/Crescent-Lufkin-Command-Control-Measure/dp/B09PGZ5TMN/ref=sr_1_4?keywords=Crescent+Lufkin+L1025C-02+1-3%2F16%22+x+25%27+Command+Control+Series%E2%84%A2+Yellow+Clad+Tape+Measure&amp;qid=1695174033&amp;sr=8-4")</f>
        <v>https://www.amazon.com/Crescent-Lufkin-Command-Control-Measure/dp/B09PGZ5TMN/ref=sr_1_4?keywords=Crescent+Lufkin+L1025C-02+1-3%2F16%22+x+25%27+Command+Control+Series%E2%84%A2+Yellow+Clad+Tape+Measure&amp;qid=1695174033&amp;sr=8-4</v>
      </c>
      <c r="F4324" t="s">
        <v>8807</v>
      </c>
      <c r="G4324" t="e">
        <f ca="1">_xludf.IMAGE("https://edmondsonsupply.com/cdn/shop/products/LFK_L1025C_4-SIDES_IMG-MAIN1.jpg?v=1680013140")</f>
        <v>#NAME?</v>
      </c>
      <c r="H4324" t="e">
        <f ca="1">_xludf.IMAGE("https://m.media-amazon.com/images/I/71NBwAiNcdL._AC_UL320_.jpg")</f>
        <v>#NAME?</v>
      </c>
      <c r="I4324" t="s">
        <v>7473</v>
      </c>
      <c r="J4324">
        <v>11.99</v>
      </c>
      <c r="K4324" s="4">
        <v>-0.23089999999999999</v>
      </c>
      <c r="L4324">
        <v>3.8</v>
      </c>
      <c r="M4324">
        <v>36</v>
      </c>
      <c r="O4324" t="s">
        <v>25</v>
      </c>
      <c r="P4324" t="s">
        <v>6822</v>
      </c>
      <c r="Q4324" t="s">
        <v>7474</v>
      </c>
    </row>
    <row r="4325" spans="1:17" ht="15.5" x14ac:dyDescent="0.35">
      <c r="A4325"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4325" s="3" t="str">
        <f>HYPERLINK("https://edmondsonsupply.com/products/klein-tools-60184-lightweight-gel-knee-pads", "https://edmondsonsupply.com/products/klein-tools-60184-lightweight-gel-knee-pads")</f>
        <v>https://edmondsonsupply.com/products/klein-tools-60184-lightweight-gel-knee-pads</v>
      </c>
      <c r="C4325" t="s">
        <v>908</v>
      </c>
      <c r="D4325" t="s">
        <v>1142</v>
      </c>
      <c r="E4325" s="3" t="str">
        <f>HYPERLINK("https://www.amazon.com/Klein-Tools-60592-Lightweight-Slip-Resistant/dp/B0B622FRN8/ref=sr_1_4?keywords=Klein+Tools+60184+Lightweight+Gel+Knee+Pads&amp;qid=1695173931&amp;sr=8-4", "https://www.amazon.com/Klein-Tools-60592-Lightweight-Slip-Resistant/dp/B0B622FRN8/ref=sr_1_4?keywords=Klein+Tools+60184+Lightweight+Gel+Knee+Pads&amp;qid=1695173931&amp;sr=8-4")</f>
        <v>https://www.amazon.com/Klein-Tools-60592-Lightweight-Slip-Resistant/dp/B0B622FRN8/ref=sr_1_4?keywords=Klein+Tools+60184+Lightweight+Gel+Knee+Pads&amp;qid=1695173931&amp;sr=8-4</v>
      </c>
      <c r="F4325" t="s">
        <v>1143</v>
      </c>
      <c r="G4325" t="e">
        <f ca="1">_xludf.IMAGE("https://edmondsonsupply.com/cdn/shop/products/60184.jpg?v=1633030246")</f>
        <v>#NAME?</v>
      </c>
      <c r="H4325" t="e">
        <f ca="1">_xludf.IMAGE("https://m.media-amazon.com/images/I/61SeDj1bXKL._AC_UL320_.jpg")</f>
        <v>#NAME?</v>
      </c>
      <c r="I4325" t="s">
        <v>911</v>
      </c>
      <c r="J4325">
        <v>19.97</v>
      </c>
      <c r="K4325" s="4">
        <v>-0.23100000000000001</v>
      </c>
      <c r="L4325">
        <v>4.0999999999999996</v>
      </c>
      <c r="M4325">
        <v>147</v>
      </c>
      <c r="O4325" t="s">
        <v>25</v>
      </c>
      <c r="P4325" t="s">
        <v>912</v>
      </c>
      <c r="Q4325" t="s">
        <v>913</v>
      </c>
    </row>
    <row r="4326" spans="1:17" ht="15.5" x14ac:dyDescent="0.35">
      <c r="A4326"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4326" s="3" t="str">
        <f>HYPERLINK("https://edmondsonsupply.com/products/klein-tools-32307-27-in-1-multi-bit-tamperproof-screwdriver", "https://edmondsonsupply.com/products/klein-tools-32307-27-in-1-multi-bit-tamperproof-screwdriver")</f>
        <v>https://edmondsonsupply.com/products/klein-tools-32307-27-in-1-multi-bit-tamperproof-screwdriver</v>
      </c>
      <c r="C4326" t="s">
        <v>6847</v>
      </c>
      <c r="D4326" t="s">
        <v>8808</v>
      </c>
      <c r="E4326" s="3" t="str">
        <f>HYPERLINK("https://www.amazon.com/Klein-Tools-Multi-bit-Screwdriver-Adjustable/dp/B08KFM8833/ref=sr_1_9?keywords=Klein+Tools+32307+27-in-1+Multi-Bit+Tamperproof+Screwdriver&amp;qid=1695174232&amp;sr=8-9", "https://www.amazon.com/Klein-Tools-Multi-bit-Screwdriver-Adjustable/dp/B08KFM8833/ref=sr_1_9?keywords=Klein+Tools+32307+27-in-1+Multi-Bit+Tamperproof+Screwdriver&amp;qid=1695174232&amp;sr=8-9")</f>
        <v>https://www.amazon.com/Klein-Tools-Multi-bit-Screwdriver-Adjustable/dp/B08KFM8833/ref=sr_1_9?keywords=Klein+Tools+32307+27-in-1+Multi-Bit+Tamperproof+Screwdriver&amp;qid=1695174232&amp;sr=8-9</v>
      </c>
      <c r="F4326" t="s">
        <v>8809</v>
      </c>
      <c r="G4326" t="e">
        <f ca="1">_xludf.IMAGE("https://edmondsonsupply.com/cdn/shop/products/32307.jpg?v=1647347524")</f>
        <v>#NAME?</v>
      </c>
      <c r="H4326" t="e">
        <f ca="1">_xludf.IMAGE("https://m.media-amazon.com/images/I/51MWPRqx3sL._AC_UL320_.jpg")</f>
        <v>#NAME?</v>
      </c>
      <c r="I4326" t="s">
        <v>911</v>
      </c>
      <c r="J4326">
        <v>19.97</v>
      </c>
      <c r="K4326" s="4">
        <v>-0.23100000000000001</v>
      </c>
      <c r="L4326">
        <v>4.5999999999999996</v>
      </c>
      <c r="M4326">
        <v>2712</v>
      </c>
      <c r="O4326" t="s">
        <v>25</v>
      </c>
      <c r="P4326" t="s">
        <v>6850</v>
      </c>
      <c r="Q4326" t="s">
        <v>6851</v>
      </c>
    </row>
    <row r="4327" spans="1:17" ht="15.5" x14ac:dyDescent="0.35">
      <c r="A4327"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4327" s="3" t="str">
        <f>HYPERLINK("https://edmondsonsupply.com/products/klein-tools-32307-27-in-1-multi-bit-tamperproof-screwdriver", "https://edmondsonsupply.com/products/klein-tools-32307-27-in-1-multi-bit-tamperproof-screwdriver")</f>
        <v>https://edmondsonsupply.com/products/klein-tools-32307-27-in-1-multi-bit-tamperproof-screwdriver</v>
      </c>
      <c r="C4327" t="s">
        <v>6847</v>
      </c>
      <c r="D4327" t="s">
        <v>8810</v>
      </c>
      <c r="E4327" s="3" t="str">
        <f>HYPERLINK("https://www.amazon.com/Klein-Tools-32328-Screwdriver-Rare-Earth/dp/B09Z78CPK3/ref=sr_1_8?keywords=Klein+Tools+32307+27-in-1+Multi-Bit+Tamperproof+Screwdriver&amp;qid=1695174232&amp;sr=8-8", "https://www.amazon.com/Klein-Tools-32328-Screwdriver-Rare-Earth/dp/B09Z78CPK3/ref=sr_1_8?keywords=Klein+Tools+32307+27-in-1+Multi-Bit+Tamperproof+Screwdriver&amp;qid=1695174232&amp;sr=8-8")</f>
        <v>https://www.amazon.com/Klein-Tools-32328-Screwdriver-Rare-Earth/dp/B09Z78CPK3/ref=sr_1_8?keywords=Klein+Tools+32307+27-in-1+Multi-Bit+Tamperproof+Screwdriver&amp;qid=1695174232&amp;sr=8-8</v>
      </c>
      <c r="F4327" t="s">
        <v>8811</v>
      </c>
      <c r="G4327" t="e">
        <f ca="1">_xludf.IMAGE("https://edmondsonsupply.com/cdn/shop/products/32307.jpg?v=1647347524")</f>
        <v>#NAME?</v>
      </c>
      <c r="H4327" t="e">
        <f ca="1">_xludf.IMAGE("https://m.media-amazon.com/images/I/41AMJw8sOTL._AC_UL320_.jpg")</f>
        <v>#NAME?</v>
      </c>
      <c r="I4327" t="s">
        <v>911</v>
      </c>
      <c r="J4327">
        <v>19.97</v>
      </c>
      <c r="K4327" s="4">
        <v>-0.23100000000000001</v>
      </c>
      <c r="L4327">
        <v>4.8</v>
      </c>
      <c r="M4327">
        <v>545</v>
      </c>
      <c r="O4327" t="s">
        <v>25</v>
      </c>
      <c r="P4327" t="s">
        <v>6850</v>
      </c>
      <c r="Q4327" t="s">
        <v>6851</v>
      </c>
    </row>
    <row r="4328" spans="1:17" ht="15.5" x14ac:dyDescent="0.35">
      <c r="A4328"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4328" s="3" t="str">
        <f>HYPERLINK("https://edmondsonsupply.com/products/klein-tools-32307-27-in-1-multi-bit-tamperproof-screwdriver", "https://edmondsonsupply.com/products/klein-tools-32307-27-in-1-multi-bit-tamperproof-screwdriver")</f>
        <v>https://edmondsonsupply.com/products/klein-tools-32307-27-in-1-multi-bit-tamperproof-screwdriver</v>
      </c>
      <c r="C4328" t="s">
        <v>6847</v>
      </c>
      <c r="D4328" t="s">
        <v>8812</v>
      </c>
      <c r="E4328" s="3" t="str">
        <f>HYPERLINK("https://www.amazon.com/Klein-Tools-Precision-Screwdriver-Tamperproof/dp/B09SVP9NDQ/ref=sr_1_4?keywords=Klein+Tools+32307+27-in-1+Multi-Bit+Tamperproof+Screwdriver&amp;qid=1695174232&amp;sr=8-4", "https://www.amazon.com/Klein-Tools-Precision-Screwdriver-Tamperproof/dp/B09SVP9NDQ/ref=sr_1_4?keywords=Klein+Tools+32307+27-in-1+Multi-Bit+Tamperproof+Screwdriver&amp;qid=1695174232&amp;sr=8-4")</f>
        <v>https://www.amazon.com/Klein-Tools-Precision-Screwdriver-Tamperproof/dp/B09SVP9NDQ/ref=sr_1_4?keywords=Klein+Tools+32307+27-in-1+Multi-Bit+Tamperproof+Screwdriver&amp;qid=1695174232&amp;sr=8-4</v>
      </c>
      <c r="F4328" t="s">
        <v>8813</v>
      </c>
      <c r="G4328" t="e">
        <f ca="1">_xludf.IMAGE("https://edmondsonsupply.com/cdn/shop/products/32307.jpg?v=1647347524")</f>
        <v>#NAME?</v>
      </c>
      <c r="H4328" t="e">
        <f ca="1">_xludf.IMAGE("https://m.media-amazon.com/images/I/41eUHzyQqQL._AC_UL320_.jpg")</f>
        <v>#NAME?</v>
      </c>
      <c r="I4328" t="s">
        <v>911</v>
      </c>
      <c r="J4328">
        <v>19.97</v>
      </c>
      <c r="K4328" s="4">
        <v>-0.23100000000000001</v>
      </c>
      <c r="L4328">
        <v>4.7</v>
      </c>
      <c r="M4328">
        <v>764</v>
      </c>
      <c r="O4328" t="s">
        <v>25</v>
      </c>
      <c r="P4328" t="s">
        <v>6850</v>
      </c>
      <c r="Q4328" t="s">
        <v>6851</v>
      </c>
    </row>
    <row r="4329" spans="1:17" ht="15.5" x14ac:dyDescent="0.35">
      <c r="A4329" s="3" t="str">
        <f>HYPERLINK("https://edmondsonsupply.com/collections/electricians-tools/products/klein-tools-66077-flip-impact-socket-7-16-and-3-8-inch", "https://edmondsonsupply.com/collections/electricians-tools/products/klein-tools-66077-flip-impact-socket-7-16-and-3-8-inch")</f>
        <v>https://edmondsonsupply.com/collections/electricians-tools/products/klein-tools-66077-flip-impact-socket-7-16-and-3-8-inch</v>
      </c>
      <c r="B4329" s="3" t="str">
        <f>HYPERLINK("https://edmondsonsupply.com/products/klein-tools-66077-flip-impact-socket-7-16-and-3-8-inch", "https://edmondsonsupply.com/products/klein-tools-66077-flip-impact-socket-7-16-and-3-8-inch")</f>
        <v>https://edmondsonsupply.com/products/klein-tools-66077-flip-impact-socket-7-16-and-3-8-inch</v>
      </c>
      <c r="C4329" t="s">
        <v>8814</v>
      </c>
      <c r="D4329" t="s">
        <v>8815</v>
      </c>
      <c r="E4329" s="3" t="str">
        <f>HYPERLINK("https://www.amazon.com/Klein-Tools-32766-16-Inch-Drivers/dp/B09R2L4GFJ/ref=sr_1_6?keywords=Klein+Tools+66077+Flip+Impact+Socket%2C+7%2F16+and+3%2F8-Inch&amp;qid=1695174166&amp;sr=8-6", "https://www.amazon.com/Klein-Tools-32766-16-Inch-Drivers/dp/B09R2L4GFJ/ref=sr_1_6?keywords=Klein+Tools+66077+Flip+Impact+Socket%2C+7%2F16+and+3%2F8-Inch&amp;qid=1695174166&amp;sr=8-6")</f>
        <v>https://www.amazon.com/Klein-Tools-32766-16-Inch-Drivers/dp/B09R2L4GFJ/ref=sr_1_6?keywords=Klein+Tools+66077+Flip+Impact+Socket%2C+7%2F16+and+3%2F8-Inch&amp;qid=1695174166&amp;sr=8-6</v>
      </c>
      <c r="F4329" t="s">
        <v>8816</v>
      </c>
      <c r="G4329" t="e">
        <f ca="1">_xludf.IMAGE("https://edmondsonsupply.com/cdn/shop/products/66077.jpg?v=1663082226")</f>
        <v>#NAME?</v>
      </c>
      <c r="H4329" t="e">
        <f ca="1">_xludf.IMAGE("https://m.media-amazon.com/images/I/41MLWTR6goL._AC_UL320_.jpg")</f>
        <v>#NAME?</v>
      </c>
      <c r="I4329" t="s">
        <v>8817</v>
      </c>
      <c r="J4329">
        <v>7.99</v>
      </c>
      <c r="K4329" s="4">
        <v>-0.2339</v>
      </c>
      <c r="L4329">
        <v>4.5</v>
      </c>
      <c r="M4329">
        <v>1251</v>
      </c>
      <c r="O4329" t="s">
        <v>25</v>
      </c>
      <c r="P4329" t="s">
        <v>8818</v>
      </c>
      <c r="Q4329" t="s">
        <v>8819</v>
      </c>
    </row>
    <row r="4330" spans="1:17" ht="15.5" x14ac:dyDescent="0.35">
      <c r="A4330" s="3" t="str">
        <f>HYPERLINK("https://edmondsonsupply.com/collections/electricians-tools/products/dewalt-dg5142-led-pro-contractor-business-portfolio", "https://edmondsonsupply.com/collections/electricians-tools/products/dewalt-dg5142-led-pro-contractor-business-portfolio")</f>
        <v>https://edmondsonsupply.com/collections/electricians-tools/products/dewalt-dg5142-led-pro-contractor-business-portfolio</v>
      </c>
      <c r="B4330" s="3" t="str">
        <f>HYPERLINK("https://edmondsonsupply.com/products/dewalt-dg5142-led-pro-contractor-business-portfolio", "https://edmondsonsupply.com/products/dewalt-dg5142-led-pro-contractor-business-portfolio")</f>
        <v>https://edmondsonsupply.com/products/dewalt-dg5142-led-pro-contractor-business-portfolio</v>
      </c>
      <c r="C4330" t="s">
        <v>8600</v>
      </c>
      <c r="D4330" t="s">
        <v>8820</v>
      </c>
      <c r="E4330" s="3" t="str">
        <f>HYPERLINK("https://www.amazon.com/DEWALT-DG5142-Contractors-Flex-Light-Calculator/dp/B009QYZP5G/ref=sr_1_1?keywords=DeWalt+DG5142+LED+Pro+Contractor+Business+Portfolio&amp;qid=1695174259&amp;sr=8-1", "https://www.amazon.com/DEWALT-DG5142-Contractors-Flex-Light-Calculator/dp/B009QYZP5G/ref=sr_1_1?keywords=DeWalt+DG5142+LED+Pro+Contractor+Business+Portfolio&amp;qid=1695174259&amp;sr=8-1")</f>
        <v>https://www.amazon.com/DEWALT-DG5142-Contractors-Flex-Light-Calculator/dp/B009QYZP5G/ref=sr_1_1?keywords=DeWalt+DG5142+LED+Pro+Contractor+Business+Portfolio&amp;qid=1695174259&amp;sr=8-1</v>
      </c>
      <c r="F4330" t="s">
        <v>8821</v>
      </c>
      <c r="G4330" t="e">
        <f ca="1">_xludf.IMAGE("https://edmondsonsupply.com/cdn/shop/products/Screenshot2021-07-17133543.png?v=1633031080")</f>
        <v>#NAME?</v>
      </c>
      <c r="H4330" t="e">
        <f ca="1">_xludf.IMAGE("https://m.media-amazon.com/images/I/91e4whFlBTL._AC_UL320_.jpg")</f>
        <v>#NAME?</v>
      </c>
      <c r="I4330" t="s">
        <v>1307</v>
      </c>
      <c r="J4330">
        <v>30.6</v>
      </c>
      <c r="K4330" s="4">
        <v>-0.23400000000000001</v>
      </c>
      <c r="L4330">
        <v>4.5999999999999996</v>
      </c>
      <c r="M4330">
        <v>841</v>
      </c>
      <c r="O4330" t="s">
        <v>25</v>
      </c>
      <c r="P4330" t="s">
        <v>618</v>
      </c>
      <c r="Q4330" t="s">
        <v>8603</v>
      </c>
    </row>
    <row r="4331" spans="1:17" ht="15.5" x14ac:dyDescent="0.35">
      <c r="A4331"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4331"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4331" t="s">
        <v>7104</v>
      </c>
      <c r="D4331" t="s">
        <v>4945</v>
      </c>
      <c r="E4331" s="3" t="str">
        <f>HYPERLINK("https://www.amazon.com/Driver-16-Inch-Klein-Tools-65064/dp/B01N2S3D09/ref=sr_1_3?keywords=Klein+Tools+65129+2-in-1+Nut+Driver%2C+Hex+Head+Slide+Drive%E2%84%A2%2C+6-Inch&amp;qid=1695174155&amp;sr=8-3", "https://www.amazon.com/Driver-16-Inch-Klein-Tools-65064/dp/B01N2S3D09/ref=sr_1_3?keywords=Klein+Tools+65129+2-in-1+Nut+Driver%2C+Hex+Head+Slide+Drive%E2%84%A2%2C+6-Inch&amp;qid=1695174155&amp;sr=8-3")</f>
        <v>https://www.amazon.com/Driver-16-Inch-Klein-Tools-65064/dp/B01N2S3D09/ref=sr_1_3?keywords=Klein+Tools+65129+2-in-1+Nut+Driver%2C+Hex+Head+Slide+Drive%E2%84%A2%2C+6-Inch&amp;qid=1695174155&amp;sr=8-3</v>
      </c>
      <c r="F4331" t="s">
        <v>4946</v>
      </c>
      <c r="G4331" t="e">
        <f ca="1">_xludf.IMAGE("https://edmondsonsupply.com/cdn/shop/products/65129.jpg?v=1664459800")</f>
        <v>#NAME?</v>
      </c>
      <c r="H4331" t="e">
        <f ca="1">_xludf.IMAGE("https://m.media-amazon.com/images/I/51WqGb8KzpL._AC_UL320_.jpg")</f>
        <v>#NAME?</v>
      </c>
      <c r="I4331" t="s">
        <v>893</v>
      </c>
      <c r="J4331">
        <v>15.27</v>
      </c>
      <c r="K4331" s="4">
        <v>-0.2354</v>
      </c>
      <c r="L4331">
        <v>4.8</v>
      </c>
      <c r="M4331">
        <v>1412</v>
      </c>
      <c r="O4331" t="s">
        <v>25</v>
      </c>
      <c r="P4331" t="s">
        <v>7105</v>
      </c>
      <c r="Q4331" t="s">
        <v>7106</v>
      </c>
    </row>
    <row r="4332" spans="1:17" ht="15.5" x14ac:dyDescent="0.35">
      <c r="A4332"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4332"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4332" t="s">
        <v>6870</v>
      </c>
      <c r="D4332" t="s">
        <v>5025</v>
      </c>
      <c r="E4332" s="3" t="str">
        <f>HYPERLINK("https://www.amazon.com/Journeyman-T-Handle-Klein-Tools-JTH6E14/dp/B004ITSTL6/ref=sr_1_3?keywords=Klein+Tools+JTH6E14BE+5%2F16-Inch+Ball+End+Hex+Key+with+T-Handle%2C+6-Inch&amp;qid=1695174246&amp;sr=8-3", "https://www.amazon.com/Journeyman-T-Handle-Klein-Tools-JTH6E14/dp/B004ITSTL6/ref=sr_1_3?keywords=Klein+Tools+JTH6E14BE+5%2F16-Inch+Ball+End+Hex+Key+with+T-Handle%2C+6-Inch&amp;qid=1695174246&amp;sr=8-3")</f>
        <v>https://www.amazon.com/Journeyman-T-Handle-Klein-Tools-JTH6E14/dp/B004ITSTL6/ref=sr_1_3?keywords=Klein+Tools+JTH6E14BE+5%2F16-Inch+Ball+End+Hex+Key+with+T-Handle%2C+6-Inch&amp;qid=1695174246&amp;sr=8-3</v>
      </c>
      <c r="F4332" t="s">
        <v>5026</v>
      </c>
      <c r="G4332" t="e">
        <f ca="1">_xludf.IMAGE("https://edmondsonsupply.com/cdn/shop/products/jth6e13be_0da4cca6-ce15-419c-bc75-cd610bd9637f.jpg?v=1629825198")</f>
        <v>#NAME?</v>
      </c>
      <c r="H4332" t="e">
        <f ca="1">_xludf.IMAGE("https://m.media-amazon.com/images/I/51FYt5m7vZL._AC_UL320_.jpg")</f>
        <v>#NAME?</v>
      </c>
      <c r="I4332" t="s">
        <v>6394</v>
      </c>
      <c r="J4332">
        <v>6.49</v>
      </c>
      <c r="K4332" s="4">
        <v>-0.2356</v>
      </c>
      <c r="L4332">
        <v>4.8</v>
      </c>
      <c r="M4332">
        <v>2479</v>
      </c>
      <c r="O4332" t="s">
        <v>25</v>
      </c>
      <c r="P4332" t="s">
        <v>6871</v>
      </c>
      <c r="Q4332" t="s">
        <v>6872</v>
      </c>
    </row>
    <row r="4333" spans="1:17" ht="15.5" x14ac:dyDescent="0.35">
      <c r="A4333" s="3" t="str">
        <f>HYPERLINK("https://edmondsonsupply.com/collections/electricians-tools/products/crescent-wiss-ws4n-3-offset-handle-hand-seamer", "https://edmondsonsupply.com/collections/electricians-tools/products/crescent-wiss-ws4n-3-offset-handle-hand-seamer")</f>
        <v>https://edmondsonsupply.com/collections/electricians-tools/products/crescent-wiss-ws4n-3-offset-handle-hand-seamer</v>
      </c>
      <c r="B4333" s="3" t="str">
        <f>HYPERLINK("https://edmondsonsupply.com/products/crescent-wiss-ws4n-3-offset-handle-hand-seamer", "https://edmondsonsupply.com/products/crescent-wiss-ws4n-3-offset-handle-hand-seamer")</f>
        <v>https://edmondsonsupply.com/products/crescent-wiss-ws4n-3-offset-handle-hand-seamer</v>
      </c>
      <c r="C4333" t="s">
        <v>8822</v>
      </c>
      <c r="D4333" t="s">
        <v>8823</v>
      </c>
      <c r="E4333" s="3" t="str">
        <f>HYPERLINK("https://www.amazon.com/Wiss-WS4N-3-Offset-Handle/dp/B06XCD6HMC/ref=sr_1_1?keywords=Crescent+Wiss+WS4N+3%22+Offset+Handle+Hand+Seamer&amp;qid=1695174032&amp;sr=8-1", "https://www.amazon.com/Wiss-WS4N-3-Offset-Handle/dp/B06XCD6HMC/ref=sr_1_1?keywords=Crescent+Wiss+WS4N+3%22+Offset+Handle+Hand+Seamer&amp;qid=1695174032&amp;sr=8-1")</f>
        <v>https://www.amazon.com/Wiss-WS4N-3-Offset-Handle/dp/B06XCD6HMC/ref=sr_1_1?keywords=Crescent+Wiss+WS4N+3%22+Offset+Handle+Hand+Seamer&amp;qid=1695174032&amp;sr=8-1</v>
      </c>
      <c r="F4333" t="s">
        <v>8824</v>
      </c>
      <c r="G4333" t="e">
        <f ca="1">_xludf.IMAGE("https://edmondsonsupply.com/cdn/shop/products/WIS_WS4N_IMG-MAIN.jpg?v=1679679084")</f>
        <v>#NAME?</v>
      </c>
      <c r="H4333" t="e">
        <f ca="1">_xludf.IMAGE("https://m.media-amazon.com/images/I/71gylJxkzUL._AC_UL320_.jpg")</f>
        <v>#NAME?</v>
      </c>
      <c r="I4333" t="s">
        <v>8825</v>
      </c>
      <c r="J4333">
        <v>39.97</v>
      </c>
      <c r="K4333" s="4">
        <v>-0.23619999999999999</v>
      </c>
      <c r="L4333">
        <v>4.5</v>
      </c>
      <c r="M4333">
        <v>335</v>
      </c>
      <c r="O4333" t="s">
        <v>25</v>
      </c>
      <c r="P4333" t="s">
        <v>8434</v>
      </c>
      <c r="Q4333" t="s">
        <v>8826</v>
      </c>
    </row>
    <row r="4334" spans="1:17" ht="15.5" x14ac:dyDescent="0.35">
      <c r="A4334"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4334"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4334" t="s">
        <v>6932</v>
      </c>
      <c r="D4334" t="s">
        <v>8827</v>
      </c>
      <c r="E4334" s="3" t="str">
        <f>HYPERLINK("https://www.amazon.com/Diablo-Freud-DOU125BF-Universal-Oscillating/dp/B089KV143Y/ref=sr_1_8?keywords=Diablo+Tools+DOU250JBW+2-1%2F2+in.+Universal+Fit+Bi-Metal+Oscillating+Blade+for+Clean+Wood&amp;qid=1695174020&amp;sr=8-8", "https://www.amazon.com/Diablo-Freud-DOU125BF-Universal-Oscillating/dp/B089KV143Y/ref=sr_1_8?keywords=Diablo+Tools+DOU250JBW+2-1%2F2+in.+Universal+Fit+Bi-Metal+Oscillating+Blade+for+Clean+Wood&amp;qid=1695174020&amp;sr=8-8")</f>
        <v>https://www.amazon.com/Diablo-Freud-DOU125BF-Universal-Oscillating/dp/B089KV143Y/ref=sr_1_8?keywords=Diablo+Tools+DOU250JBW+2-1%2F2+in.+Universal+Fit+Bi-Metal+Oscillating+Blade+for+Clean+Wood&amp;qid=1695174020&amp;sr=8-8</v>
      </c>
      <c r="F4334" t="s">
        <v>8828</v>
      </c>
      <c r="G4334" t="e">
        <f ca="1">_xludf.IMAGE("https://edmondsonsupply.com/cdn/shop/files/pycnap4eb1urn2hxvudq.webp?v=1685718789")</f>
        <v>#NAME?</v>
      </c>
      <c r="H4334" t="e">
        <f ca="1">_xludf.IMAGE("https://m.media-amazon.com/images/I/61mZfXlj-XL._AC_UL320_.jpg")</f>
        <v>#NAME?</v>
      </c>
      <c r="I4334" t="s">
        <v>6935</v>
      </c>
      <c r="J4334">
        <v>11.95</v>
      </c>
      <c r="K4334" s="4">
        <v>-0.2364</v>
      </c>
      <c r="L4334">
        <v>3.7</v>
      </c>
      <c r="M4334">
        <v>8</v>
      </c>
      <c r="O4334" t="s">
        <v>25</v>
      </c>
      <c r="P4334" t="s">
        <v>6936</v>
      </c>
      <c r="Q4334" t="s">
        <v>6937</v>
      </c>
    </row>
    <row r="4335" spans="1:17" ht="15.5" x14ac:dyDescent="0.35">
      <c r="A4335" s="3" t="str">
        <f>HYPERLINK("https://edmondsonsupply.com/collections/electricians-tools/products/milwaukee-2729-20-m18-fuel%E2%84%A2-deep-cut-band-saw-tool-only", "https://edmondsonsupply.com/collections/electricians-tools/products/milwaukee-2729-20-m18-fuel%E2%84%A2-deep-cut-band-saw-tool-only")</f>
        <v>https://edmondsonsupply.com/collections/electricians-tools/products/milwaukee-2729-20-m18-fuel%E2%84%A2-deep-cut-band-saw-tool-only</v>
      </c>
      <c r="B4335" s="3" t="str">
        <f>HYPERLINK("https://edmondsonsupply.com/products/milwaukee-2729-20-m18-fuel%e2%84%a2-deep-cut-band-saw-tool-only", "https://edmondsonsupply.com/products/milwaukee-2729-20-m18-fuel%e2%84%a2-deep-cut-band-saw-tool-only")</f>
        <v>https://edmondsonsupply.com/products/milwaukee-2729-20-m18-fuel%e2%84%a2-deep-cut-band-saw-tool-only</v>
      </c>
      <c r="C4335" t="s">
        <v>8829</v>
      </c>
      <c r="D4335" t="s">
        <v>8830</v>
      </c>
      <c r="E4335" s="3" t="str">
        <f>HYPERLINK("https://www.amazon.com/Milwaukee-2729-20-Fuel-Deep-Band/dp/B00LBHJ688/ref=sr_1_1?keywords=Milwaukee+2729-20+M18+FUEL%E2%84%A2+Deep+Cut+Band+Saw+%28Tool+Only%29&amp;qid=1695173876&amp;sr=8-1", "https://www.amazon.com/Milwaukee-2729-20-Fuel-Deep-Band/dp/B00LBHJ688/ref=sr_1_1?keywords=Milwaukee+2729-20+M18+FUEL%E2%84%A2+Deep+Cut+Band+Saw+%28Tool+Only%29&amp;qid=1695173876&amp;sr=8-1")</f>
        <v>https://www.amazon.com/Milwaukee-2729-20-Fuel-Deep-Band/dp/B00LBHJ688/ref=sr_1_1?keywords=Milwaukee+2729-20+M18+FUEL%E2%84%A2+Deep+Cut+Band+Saw+%28Tool+Only%29&amp;qid=1695173876&amp;sr=8-1</v>
      </c>
      <c r="F4335" t="s">
        <v>8831</v>
      </c>
      <c r="G4335" t="e">
        <f ca="1">_xludf.IMAGE("https://edmondsonsupply.com/cdn/shop/products/2729-20_1.webp?v=1661700605")</f>
        <v>#NAME?</v>
      </c>
      <c r="H4335" t="e">
        <f ca="1">_xludf.IMAGE("https://m.media-amazon.com/images/I/81MBdLmrZgL._AC_UL320_.jpg")</f>
        <v>#NAME?</v>
      </c>
      <c r="I4335" t="s">
        <v>8297</v>
      </c>
      <c r="J4335">
        <v>289</v>
      </c>
      <c r="K4335" s="4">
        <v>-0.23749999999999999</v>
      </c>
      <c r="L4335">
        <v>4.8</v>
      </c>
      <c r="M4335">
        <v>453</v>
      </c>
      <c r="O4335" t="s">
        <v>25</v>
      </c>
      <c r="P4335" t="s">
        <v>5031</v>
      </c>
      <c r="Q4335" t="s">
        <v>8832</v>
      </c>
    </row>
    <row r="4336" spans="1:17" ht="15.5" x14ac:dyDescent="0.35">
      <c r="A4336" s="3" t="str">
        <f>HYPERLINK("https://edmondsonsupply.com/collections/electricians-tools/products/klein-tools-203-7-eins-long-nose-side-cut-pliers-7-inch-slim-insulated", "https://edmondsonsupply.com/collections/electricians-tools/products/klein-tools-203-7-eins-long-nose-side-cut-pliers-7-inch-slim-insulated")</f>
        <v>https://edmondsonsupply.com/collections/electricians-tools/products/klein-tools-203-7-eins-long-nose-side-cut-pliers-7-inch-slim-insulated</v>
      </c>
      <c r="B4336" s="3" t="str">
        <f>HYPERLINK("https://edmondsonsupply.com/products/klein-tools-203-7-eins-long-nose-side-cut-pliers-7-inch-slim-insulated", "https://edmondsonsupply.com/products/klein-tools-203-7-eins-long-nose-side-cut-pliers-7-inch-slim-insulated")</f>
        <v>https://edmondsonsupply.com/products/klein-tools-203-7-eins-long-nose-side-cut-pliers-7-inch-slim-insulated</v>
      </c>
      <c r="C4336" t="s">
        <v>5130</v>
      </c>
      <c r="D4336" t="s">
        <v>5354</v>
      </c>
      <c r="E4336" s="3" t="str">
        <f>HYPERLINK("https://www.amazon.com/Klein-Tools-J203-7-Pliers-Side-Cutters/dp/B000G6CACO/ref=sr_1_4?keywords=Klein+Tools+2037EINS+Long+Nose+Side+Cut+Pliers%2C+7-Inch+Slim+Insulated+%28203-7-EINS%29&amp;qid=1695173934&amp;sr=8-4", "https://www.amazon.com/Klein-Tools-J203-7-Pliers-Side-Cutters/dp/B000G6CACO/ref=sr_1_4?keywords=Klein+Tools+2037EINS+Long+Nose+Side+Cut+Pliers%2C+7-Inch+Slim+Insulated+%28203-7-EINS%29&amp;qid=1695173934&amp;sr=8-4")</f>
        <v>https://www.amazon.com/Klein-Tools-J203-7-Pliers-Side-Cutters/dp/B000G6CACO/ref=sr_1_4?keywords=Klein+Tools+2037EINS+Long+Nose+Side+Cut+Pliers%2C+7-Inch+Slim+Insulated+%28203-7-EINS%29&amp;qid=1695173934&amp;sr=8-4</v>
      </c>
      <c r="F4336" t="s">
        <v>5355</v>
      </c>
      <c r="G4336" t="e">
        <f ca="1">_xludf.IMAGE("https://edmondsonsupply.com/cdn/shop/products/2037eins.jpg?v=1587146909")</f>
        <v>#NAME?</v>
      </c>
      <c r="H4336" t="e">
        <f ca="1">_xludf.IMAGE("https://m.media-amazon.com/images/I/511-SOSXaTL._AC_UL320_.jpg")</f>
        <v>#NAME?</v>
      </c>
      <c r="I4336" t="s">
        <v>1931</v>
      </c>
      <c r="J4336">
        <v>37.99</v>
      </c>
      <c r="K4336" s="4">
        <v>-0.24</v>
      </c>
      <c r="L4336">
        <v>4.8</v>
      </c>
      <c r="M4336">
        <v>139</v>
      </c>
      <c r="O4336" t="s">
        <v>25</v>
      </c>
      <c r="P4336" t="s">
        <v>4509</v>
      </c>
      <c r="Q4336" t="s">
        <v>5133</v>
      </c>
    </row>
    <row r="4337" spans="1:17" ht="15.5" x14ac:dyDescent="0.35">
      <c r="A4337" s="3" t="str">
        <f>HYPERLINK("https://edmondsonsupply.com/collections/electricians-tools/products/milwaukee-48-22-7318-cheater-aluminum-adaptable-pipe-wrench", "https://edmondsonsupply.com/collections/electricians-tools/products/milwaukee-48-22-7318-cheater-aluminum-adaptable-pipe-wrench")</f>
        <v>https://edmondsonsupply.com/collections/electricians-tools/products/milwaukee-48-22-7318-cheater-aluminum-adaptable-pipe-wrench</v>
      </c>
      <c r="B4337" s="3" t="str">
        <f>HYPERLINK("https://edmondsonsupply.com/products/milwaukee-48-22-7318-cheater-aluminum-adaptable-pipe-wrench", "https://edmondsonsupply.com/products/milwaukee-48-22-7318-cheater-aluminum-adaptable-pipe-wrench")</f>
        <v>https://edmondsonsupply.com/products/milwaukee-48-22-7318-cheater-aluminum-adaptable-pipe-wrench</v>
      </c>
      <c r="C4337" t="s">
        <v>8833</v>
      </c>
      <c r="D4337" t="s">
        <v>8834</v>
      </c>
      <c r="E4337" s="3" t="str">
        <f>HYPERLINK("https://www.amazon.com/Milwaukee-48-22-7314-MILWAUKEE/dp/B01CRHGIYA/ref=sr_1_3?keywords=Milwaukee+48-22-7318+CHEATER+Aluminum+Adaptable+Pipe+Wrench&amp;qid=1695174123&amp;sr=8-3", "https://www.amazon.com/Milwaukee-48-22-7314-MILWAUKEE/dp/B01CRHGIYA/ref=sr_1_3?keywords=Milwaukee+48-22-7318+CHEATER+Aluminum+Adaptable+Pipe+Wrench&amp;qid=1695174123&amp;sr=8-3")</f>
        <v>https://www.amazon.com/Milwaukee-48-22-7314-MILWAUKEE/dp/B01CRHGIYA/ref=sr_1_3?keywords=Milwaukee+48-22-7318+CHEATER+Aluminum+Adaptable+Pipe+Wrench&amp;qid=1695174123&amp;sr=8-3</v>
      </c>
      <c r="F4337" t="s">
        <v>8835</v>
      </c>
      <c r="G4337" t="e">
        <f ca="1">_xludf.IMAGE("https://edmondsonsupply.com/cdn/shop/products/48-22-7318_1.png?v=1668536591")</f>
        <v>#NAME?</v>
      </c>
      <c r="H4337" t="e">
        <f ca="1">_xludf.IMAGE("https://m.media-amazon.com/images/I/71ziG8yXW9L._AC_UL320_.jpg")</f>
        <v>#NAME?</v>
      </c>
      <c r="I4337" t="s">
        <v>8836</v>
      </c>
      <c r="J4337">
        <v>94.97</v>
      </c>
      <c r="K4337" s="4">
        <v>-0.24010000000000001</v>
      </c>
      <c r="L4337">
        <v>4.7</v>
      </c>
      <c r="M4337">
        <v>297</v>
      </c>
      <c r="O4337" t="s">
        <v>25</v>
      </c>
      <c r="P4337" t="s">
        <v>8837</v>
      </c>
      <c r="Q4337" t="s">
        <v>8838</v>
      </c>
    </row>
    <row r="4338" spans="1:17" ht="15.5" x14ac:dyDescent="0.35">
      <c r="A4338" s="3" t="str">
        <f>HYPERLINK("https://edmondsonsupply.com/collections/electricians-tools/products/milwaukee-2836-20-m18-fuel%E2%84%A2-oscillating-multi-tool", "https://edmondsonsupply.com/collections/electricians-tools/products/milwaukee-2836-20-m18-fuel%E2%84%A2-oscillating-multi-tool")</f>
        <v>https://edmondsonsupply.com/collections/electricians-tools/products/milwaukee-2836-20-m18-fuel%E2%84%A2-oscillating-multi-tool</v>
      </c>
      <c r="B4338" s="3" t="str">
        <f>HYPERLINK("https://edmondsonsupply.com/products/milwaukee-2836-20-m18-fuel%e2%84%a2-oscillating-multi-tool", "https://edmondsonsupply.com/products/milwaukee-2836-20-m18-fuel%e2%84%a2-oscillating-multi-tool")</f>
        <v>https://edmondsonsupply.com/products/milwaukee-2836-20-m18-fuel%e2%84%a2-oscillating-multi-tool</v>
      </c>
      <c r="C4338" t="s">
        <v>8839</v>
      </c>
      <c r="D4338" t="s">
        <v>8840</v>
      </c>
      <c r="E4338" s="3" t="str">
        <f>HYPERLINK("https://www.amazon.com/Milwaukee-2836-20-Lithium-Ion-Oscillating-Multi-Tool/dp/B09RXZXR4R/ref=sr_1_1?keywords=Milwaukee+2836-20+M18+FUEL%E2%84%A2+Oscillating+Multi-Tool&amp;qid=1695174121&amp;sr=8-1", "https://www.amazon.com/Milwaukee-2836-20-Lithium-Ion-Oscillating-Multi-Tool/dp/B09RXZXR4R/ref=sr_1_1?keywords=Milwaukee+2836-20+M18+FUEL%E2%84%A2+Oscillating+Multi-Tool&amp;qid=1695174121&amp;sr=8-1")</f>
        <v>https://www.amazon.com/Milwaukee-2836-20-Lithium-Ion-Oscillating-Multi-Tool/dp/B09RXZXR4R/ref=sr_1_1?keywords=Milwaukee+2836-20+M18+FUEL%E2%84%A2+Oscillating+Multi-Tool&amp;qid=1695174121&amp;sr=8-1</v>
      </c>
      <c r="F4338" t="s">
        <v>8841</v>
      </c>
      <c r="G4338" t="e">
        <f ca="1">_xludf.IMAGE("https://edmondsonsupply.com/cdn/shop/products/2836-20_1.webp?v=1674150495")</f>
        <v>#NAME?</v>
      </c>
      <c r="H4338" t="e">
        <f ca="1">_xludf.IMAGE("https://m.media-amazon.com/images/I/71YLpR-uiiL._AC_UL320_.jpg")</f>
        <v>#NAME?</v>
      </c>
      <c r="I4338" t="s">
        <v>5220</v>
      </c>
      <c r="J4338">
        <v>174</v>
      </c>
      <c r="K4338" s="4">
        <v>-0.2402</v>
      </c>
      <c r="L4338">
        <v>4.7</v>
      </c>
      <c r="M4338">
        <v>225</v>
      </c>
      <c r="O4338" t="s">
        <v>25</v>
      </c>
      <c r="P4338" t="s">
        <v>8842</v>
      </c>
      <c r="Q4338" t="s">
        <v>8843</v>
      </c>
    </row>
    <row r="4339" spans="1:17" ht="15.5" x14ac:dyDescent="0.35">
      <c r="A4339" s="3" t="str">
        <f>HYPERLINK("https://edmondsonsupply.com/collections/electricians-tools/products/dewalt-dgl523-57", "https://edmondsonsupply.com/collections/electricians-tools/products/dewalt-dgl523-57")</f>
        <v>https://edmondsonsupply.com/collections/electricians-tools/products/dewalt-dgl523-57</v>
      </c>
      <c r="B4339" s="3" t="str">
        <f>HYPERLINK("https://edmondsonsupply.com/products/dewalt-dgl523-57", "https://edmondsonsupply.com/products/dewalt-dgl523-57")</f>
        <v>https://edmondsonsupply.com/products/dewalt-dgl523-57</v>
      </c>
      <c r="C4339" t="s">
        <v>736</v>
      </c>
      <c r="D4339" t="s">
        <v>737</v>
      </c>
      <c r="E4339" s="3" t="str">
        <f>HYPERLINK("https://www.amazon.com/DEWALT-DGL523-Lighted-Backpack-57-Pockets/dp/B00QNTVVOG/ref=sr_1_1?keywords=CLC+DeWALT+DGL523+57-Pocket+Lighted+Tool+Backpack+Bag&amp;qid=1695173918&amp;sr=8-1", "https://www.amazon.com/DEWALT-DGL523-Lighted-Backpack-57-Pockets/dp/B00QNTVVOG/ref=sr_1_1?keywords=CLC+DeWALT+DGL523+57-Pocket+Lighted+Tool+Backpack+Bag&amp;qid=1695173918&amp;sr=8-1")</f>
        <v>https://www.amazon.com/DEWALT-DGL523-Lighted-Backpack-57-Pockets/dp/B00QNTVVOG/ref=sr_1_1?keywords=CLC+DeWALT+DGL523+57-Pocket+Lighted+Tool+Backpack+Bag&amp;qid=1695173918&amp;sr=8-1</v>
      </c>
      <c r="F4339" t="s">
        <v>738</v>
      </c>
      <c r="G4339" t="e">
        <f ca="1">_xludf.IMAGE("https://edmondsonsupply.com/cdn/shop/products/DGL523-2.png?v=1671056065")</f>
        <v>#NAME?</v>
      </c>
      <c r="H4339" t="e">
        <f ca="1">_xludf.IMAGE("https://m.media-amazon.com/images/I/91ecNgAjh0L._AC_UL320_.jpg")</f>
        <v>#NAME?</v>
      </c>
      <c r="I4339" t="s">
        <v>739</v>
      </c>
      <c r="J4339">
        <v>97.88</v>
      </c>
      <c r="K4339" s="4">
        <v>-0.2412</v>
      </c>
      <c r="L4339">
        <v>4.7</v>
      </c>
      <c r="M4339">
        <v>3760</v>
      </c>
      <c r="O4339" t="s">
        <v>25</v>
      </c>
      <c r="P4339" t="s">
        <v>707</v>
      </c>
      <c r="Q4339" t="s">
        <v>740</v>
      </c>
    </row>
    <row r="4340" spans="1:17" ht="15.5" x14ac:dyDescent="0.35">
      <c r="A4340"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4340" s="3" t="str">
        <f>HYPERLINK("https://edmondsonsupply.com/products/milwaukee-2953-22-m18-fuel%e2%84%a2-1-4-hex-impact-driver-kit", "https://edmondsonsupply.com/products/milwaukee-2953-22-m18-fuel%e2%84%a2-1-4-hex-impact-driver-kit")</f>
        <v>https://edmondsonsupply.com/products/milwaukee-2953-22-m18-fuel%e2%84%a2-1-4-hex-impact-driver-kit</v>
      </c>
      <c r="C4340" t="s">
        <v>7565</v>
      </c>
      <c r="D4340" t="s">
        <v>8844</v>
      </c>
      <c r="E4340" s="3" t="str">
        <f>HYPERLINK("https://www.amazon.com/Milwaukee-2953-22-Cordless-Brushless-Batteries/dp/B0BB86J415/ref=sr_1_5?keywords=Milwaukee+2953-22+M18+FUEL%E2%84%A2+1%2F4%22+Hex+Impact+Driver+Kit&amp;qid=1695174155&amp;sr=8-5", "https://www.amazon.com/Milwaukee-2953-22-Cordless-Brushless-Batteries/dp/B0BB86J415/ref=sr_1_5?keywords=Milwaukee+2953-22+M18+FUEL%E2%84%A2+1%2F4%22+Hex+Impact+Driver+Kit&amp;qid=1695174155&amp;sr=8-5")</f>
        <v>https://www.amazon.com/Milwaukee-2953-22-Cordless-Brushless-Batteries/dp/B0BB86J415/ref=sr_1_5?keywords=Milwaukee+2953-22+M18+FUEL%E2%84%A2+1%2F4%22+Hex+Impact+Driver+Kit&amp;qid=1695174155&amp;sr=8-5</v>
      </c>
      <c r="F4340" t="s">
        <v>8845</v>
      </c>
      <c r="G4340" t="e">
        <f ca="1">_xludf.IMAGE("https://edmondsonsupply.com/cdn/shop/products/29532022ImageReel2.webp?v=1663599746")</f>
        <v>#NAME?</v>
      </c>
      <c r="H4340" t="e">
        <f ca="1">_xludf.IMAGE("https://m.media-amazon.com/images/I/61sqc+wUkvL._AC_UL320_.jpg")</f>
        <v>#NAME?</v>
      </c>
      <c r="I4340" t="s">
        <v>5012</v>
      </c>
      <c r="J4340">
        <v>226.68</v>
      </c>
      <c r="K4340" s="4">
        <v>-0.2419</v>
      </c>
      <c r="L4340">
        <v>4.7</v>
      </c>
      <c r="M4340">
        <v>99</v>
      </c>
      <c r="O4340" t="s">
        <v>25</v>
      </c>
      <c r="P4340" t="s">
        <v>7566</v>
      </c>
      <c r="Q4340" t="s">
        <v>7567</v>
      </c>
    </row>
    <row r="4341" spans="1:17" ht="15.5" x14ac:dyDescent="0.35">
      <c r="A4341"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341"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341" t="s">
        <v>8519</v>
      </c>
      <c r="D4341" t="s">
        <v>6933</v>
      </c>
      <c r="E4341" s="3" t="str">
        <f>HYPERLINK("https://www.amazon.com/Diablo-Freud-DOU125JBW3-Universal-Oscillating/dp/B089KX3SWM/ref=sr_1_1?keywords=Diablo+Tools+DOU125JBW3+1-1%2F4+in.+Universal+Fit+Bi-Metal+Oscillating+Blades+for+Clean+Wood&amp;qid=1695174271&amp;sr=8-1", "https://www.amazon.com/Diablo-Freud-DOU125JBW3-Universal-Oscillating/dp/B089KX3SWM/ref=sr_1_1?keywords=Diablo+Tools+DOU125JBW3+1-1%2F4+in.+Universal+Fit+Bi-Metal+Oscillating+Blades+for+Clean+Wood&amp;qid=1695174271&amp;sr=8-1")</f>
        <v>https://www.amazon.com/Diablo-Freud-DOU125JBW3-Universal-Oscillating/dp/B089KX3SWM/ref=sr_1_1?keywords=Diablo+Tools+DOU125JBW3+1-1%2F4+in.+Universal+Fit+Bi-Metal+Oscillating+Blades+for+Clean+Wood&amp;qid=1695174271&amp;sr=8-1</v>
      </c>
      <c r="F4341" t="s">
        <v>6934</v>
      </c>
      <c r="G4341" t="e">
        <f ca="1">_xludf.IMAGE("https://edmondsonsupply.com/cdn/shop/products/DOU125JBW3_Main-Image.png?v=1633031095")</f>
        <v>#NAME?</v>
      </c>
      <c r="H4341" t="e">
        <f ca="1">_xludf.IMAGE("https://m.media-amazon.com/images/I/61wFHtmEH5L._AC_UL320_.jpg")</f>
        <v>#NAME?</v>
      </c>
      <c r="I4341" t="s">
        <v>340</v>
      </c>
      <c r="J4341">
        <v>26.5</v>
      </c>
      <c r="K4341" s="4">
        <v>-0.2422</v>
      </c>
      <c r="L4341">
        <v>4.5</v>
      </c>
      <c r="M4341">
        <v>48</v>
      </c>
      <c r="O4341" t="s">
        <v>25</v>
      </c>
      <c r="P4341" t="s">
        <v>8520</v>
      </c>
      <c r="Q4341" t="s">
        <v>8521</v>
      </c>
    </row>
    <row r="4342" spans="1:17" ht="15.5" x14ac:dyDescent="0.35">
      <c r="A4342"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342"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342" t="s">
        <v>8522</v>
      </c>
      <c r="D4342" t="s">
        <v>6933</v>
      </c>
      <c r="E4342" s="3" t="str">
        <f>HYPERLINK("https://www.amazon.com/Diablo-Freud-DOU125JBW3-Universal-Oscillating/dp/B089KX3SWM/ref=sr_1_2?keywords=Diablo+Tools+DOU125BF3+1-1%2F4+in.+Universal+Fit+Bi-Metal+Oscillating+Blade+for+Metal+%283+pack%29&amp;qid=1695174014&amp;sr=8-2", "https://www.amazon.com/Diablo-Freud-DOU125JBW3-Universal-Oscillating/dp/B089KX3SWM/ref=sr_1_2?keywords=Diablo+Tools+DOU125BF3+1-1%2F4+in.+Universal+Fit+Bi-Metal+Oscillating+Blade+for+Metal+%283+pack%29&amp;qid=1695174014&amp;sr=8-2")</f>
        <v>https://www.amazon.com/Diablo-Freud-DOU125JBW3-Universal-Oscillating/dp/B089KX3SWM/ref=sr_1_2?keywords=Diablo+Tools+DOU125BF3+1-1%2F4+in.+Universal+Fit+Bi-Metal+Oscillating+Blade+for+Metal+%283+pack%29&amp;qid=1695174014&amp;sr=8-2</v>
      </c>
      <c r="F4342" t="s">
        <v>6934</v>
      </c>
      <c r="G4342" t="e">
        <f ca="1">_xludf.IMAGE("https://edmondsonsupply.com/cdn/shop/files/k1d1qiwmm4npznsdbwtg_4dc7bdf3-43a4-4863-8a1d-f71b60bc7c6d.webp?v=1685468179")</f>
        <v>#NAME?</v>
      </c>
      <c r="H4342" t="e">
        <f ca="1">_xludf.IMAGE("https://m.media-amazon.com/images/I/61wFHtmEH5L._AC_UL320_.jpg")</f>
        <v>#NAME?</v>
      </c>
      <c r="I4342" t="s">
        <v>340</v>
      </c>
      <c r="J4342">
        <v>26.5</v>
      </c>
      <c r="K4342" s="4">
        <v>-0.2422</v>
      </c>
      <c r="L4342">
        <v>4.5</v>
      </c>
      <c r="M4342">
        <v>48</v>
      </c>
      <c r="O4342" t="s">
        <v>25</v>
      </c>
      <c r="P4342" t="s">
        <v>8520</v>
      </c>
      <c r="Q4342" t="s">
        <v>8523</v>
      </c>
    </row>
    <row r="4343" spans="1:17" ht="15.5" x14ac:dyDescent="0.35">
      <c r="A4343"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4343" s="3" t="str">
        <f>HYPERLINK("https://edmondsonsupply.com/products/klein-tools-56059-multi-groove-fiberglass-fish-tape-200-foot", "https://edmondsonsupply.com/products/klein-tools-56059-multi-groove-fiberglass-fish-tape-200-foot")</f>
        <v>https://edmondsonsupply.com/products/klein-tools-56059-multi-groove-fiberglass-fish-tape-200-foot</v>
      </c>
      <c r="C4343" t="s">
        <v>7681</v>
      </c>
      <c r="D4343" t="s">
        <v>4511</v>
      </c>
      <c r="E4343" s="3" t="str">
        <f>HYPERLINK("https://www.amazon.com/Klein-Tools-56380-Multi-Groove-Fiberglass/dp/B0822229DW/ref=sr_1_5?keywords=Klein+Tools+56059+Multi-Groove+Fiberglass+Fish+Tape+200-Foot&amp;qid=1695174221&amp;sr=8-5", "https://www.amazon.com/Klein-Tools-56380-Multi-Groove-Fiberglass/dp/B0822229DW/ref=sr_1_5?keywords=Klein+Tools+56059+Multi-Groove+Fiberglass+Fish+Tape+200-Foot&amp;qid=1695174221&amp;sr=8-5")</f>
        <v>https://www.amazon.com/Klein-Tools-56380-Multi-Groove-Fiberglass/dp/B0822229DW/ref=sr_1_5?keywords=Klein+Tools+56059+Multi-Groove+Fiberglass+Fish+Tape+200-Foot&amp;qid=1695174221&amp;sr=8-5</v>
      </c>
      <c r="F4343" t="s">
        <v>4512</v>
      </c>
      <c r="G4343" t="e">
        <f ca="1">_xludf.IMAGE("https://edmondsonsupply.com/cdn/shop/products/56059.jpg?v=1648938340")</f>
        <v>#NAME?</v>
      </c>
      <c r="H4343" t="e">
        <f ca="1">_xludf.IMAGE("https://m.media-amazon.com/images/I/51m05Po5U+L._AC_UL320_.jpg")</f>
        <v>#NAME?</v>
      </c>
      <c r="I4343" t="s">
        <v>7682</v>
      </c>
      <c r="J4343">
        <v>139.99</v>
      </c>
      <c r="K4343" s="4">
        <v>-0.24329999999999999</v>
      </c>
      <c r="L4343">
        <v>4.7</v>
      </c>
      <c r="M4343">
        <v>87</v>
      </c>
      <c r="O4343" t="s">
        <v>25</v>
      </c>
      <c r="P4343" t="s">
        <v>7683</v>
      </c>
      <c r="Q4343" t="s">
        <v>7684</v>
      </c>
    </row>
    <row r="4344" spans="1:17" ht="15.5" x14ac:dyDescent="0.35">
      <c r="A4344"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4344" s="3" t="str">
        <f>HYPERLINK("https://edmondsonsupply.com/products/gorilla-glue-107450-original-gorilla-glue-20z-bottle", "https://edmondsonsupply.com/products/gorilla-glue-107450-original-gorilla-glue-20z-bottle")</f>
        <v>https://edmondsonsupply.com/products/gorilla-glue-107450-original-gorilla-glue-20z-bottle</v>
      </c>
      <c r="C4344" t="s">
        <v>6030</v>
      </c>
      <c r="D4344" t="s">
        <v>8846</v>
      </c>
      <c r="E4344" s="3" t="str">
        <f>HYPERLINK("https://www.amazon.com/Gorilla-Original-Waterproof-Polyurethane-Bottle/dp/B0000DD5EN/ref=sr_1_1?keywords=Gorilla+Glue+107450+Original+Gorilla+Glue%2C+2oz.+bottle&amp;qid=1695174069&amp;sr=8-1", "https://www.amazon.com/Gorilla-Original-Waterproof-Polyurethane-Bottle/dp/B0000DD5EN/ref=sr_1_1?keywords=Gorilla+Glue+107450+Original+Gorilla+Glue%2C+2oz.+bottle&amp;qid=1695174069&amp;sr=8-1")</f>
        <v>https://www.amazon.com/Gorilla-Original-Waterproof-Polyurethane-Bottle/dp/B0000DD5EN/ref=sr_1_1?keywords=Gorilla+Glue+107450+Original+Gorilla+Glue%2C+2oz.+bottle&amp;qid=1695174069&amp;sr=8-1</v>
      </c>
      <c r="F4344" t="s">
        <v>8847</v>
      </c>
      <c r="G4344" t="e">
        <f ca="1">_xludf.IMAGE("https://edmondsonsupply.com/cdn/shop/products/original_gorilla_glue_white_bg_v2-450x450-c-default.webp?v=1678801122")</f>
        <v>#NAME?</v>
      </c>
      <c r="H4344" t="e">
        <f ca="1">_xludf.IMAGE("https://m.media-amazon.com/images/I/81chOUAWyvL._AC_UY218_.jpg")</f>
        <v>#NAME?</v>
      </c>
      <c r="I4344" t="s">
        <v>6033</v>
      </c>
      <c r="J4344">
        <v>5.28</v>
      </c>
      <c r="K4344" s="4">
        <v>-0.24360000000000001</v>
      </c>
      <c r="L4344">
        <v>4.5999999999999996</v>
      </c>
      <c r="M4344">
        <v>2729</v>
      </c>
      <c r="O4344" t="s">
        <v>25</v>
      </c>
      <c r="P4344" t="s">
        <v>138</v>
      </c>
      <c r="Q4344" t="s">
        <v>6034</v>
      </c>
    </row>
    <row r="4345" spans="1:17" ht="15.5" x14ac:dyDescent="0.35">
      <c r="A4345" s="3" t="str">
        <f>HYPERLINK("https://edmondsonsupply.com/collections/electricians-tools/products/wiha-tools-66981-13-piece-ball-end-color-coded-hex-l-key-set-inch", "https://edmondsonsupply.com/collections/electricians-tools/products/wiha-tools-66981-13-piece-ball-end-color-coded-hex-l-key-set-inch")</f>
        <v>https://edmondsonsupply.com/collections/electricians-tools/products/wiha-tools-66981-13-piece-ball-end-color-coded-hex-l-key-set-inch</v>
      </c>
      <c r="B4345"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4345" t="s">
        <v>4747</v>
      </c>
      <c r="D4345" t="s">
        <v>5358</v>
      </c>
      <c r="E4345" s="3" t="str">
        <f>HYPERLINK("https://www.amazon.com/Wiha-66988-ErgoStar-L-Key-13-Piece/dp/B00CJC51MO/ref=sr_1_2?keywords=Wiha+Tools+66981+13+Piece+Ball+End+Color+Coded+Hex+L-Key+Set+-+Inch&amp;qid=1695173978&amp;sr=8-2", "https://www.amazon.com/Wiha-66988-ErgoStar-L-Key-13-Piece/dp/B00CJC51MO/ref=sr_1_2?keywords=Wiha+Tools+66981+13+Piece+Ball+End+Color+Coded+Hex+L-Key+Set+-+Inch&amp;qid=1695173978&amp;sr=8-2")</f>
        <v>https://www.amazon.com/Wiha-66988-ErgoStar-L-Key-13-Piece/dp/B00CJC51MO/ref=sr_1_2?keywords=Wiha+Tools+66981+13+Piece+Ball+End+Color+Coded+Hex+L-Key+Set+-+Inch&amp;qid=1695173978&amp;sr=8-2</v>
      </c>
      <c r="F4345" t="s">
        <v>5359</v>
      </c>
      <c r="G4345" t="e">
        <f ca="1">_xludf.IMAGE("https://edmondsonsupply.com/cdn/shop/files/d46e6f2ecefba25ae78922fd12be8f1dc56b6ee6_1000x_1d9d5bc7-c590-4e82-817a-f70a00b88949.webp?v=1690834995")</f>
        <v>#NAME?</v>
      </c>
      <c r="H4345" t="e">
        <f ca="1">_xludf.IMAGE("https://m.media-amazon.com/images/I/61pC3xkuvsL._AC_UL320_.jpg")</f>
        <v>#NAME?</v>
      </c>
      <c r="I4345" t="s">
        <v>4750</v>
      </c>
      <c r="J4345">
        <v>40.39</v>
      </c>
      <c r="K4345" s="4">
        <v>-0.24390000000000001</v>
      </c>
      <c r="L4345">
        <v>4.7</v>
      </c>
      <c r="M4345">
        <v>152</v>
      </c>
      <c r="O4345" t="s">
        <v>25</v>
      </c>
      <c r="P4345" t="s">
        <v>4751</v>
      </c>
      <c r="Q4345" t="s">
        <v>4752</v>
      </c>
    </row>
    <row r="4346" spans="1:17" ht="15.5" x14ac:dyDescent="0.35">
      <c r="A4346" s="3" t="str">
        <f>HYPERLINK("https://edmondsonsupply.com/collections/electricians-tools/products/tajima-g-25bw-g-series-standard-scale-25-ft-x-1-in-steel-blade-tape-measure", "https://edmondsonsupply.com/collections/electricians-tools/products/tajima-g-25bw-g-series-standard-scale-25-ft-x-1-in-steel-blade-tape-measure")</f>
        <v>https://edmondsonsupply.com/collections/electricians-tools/products/tajima-g-25bw-g-series-standard-scale-25-ft-x-1-in-steel-blade-tape-measure</v>
      </c>
      <c r="B4346" s="3" t="str">
        <f>HYPERLINK("https://edmondsonsupply.com/products/tajima-g-25bw-g-series-standard-scale-25-ft-x-1-in-steel-blade-tape-measure", "https://edmondsonsupply.com/products/tajima-g-25bw-g-series-standard-scale-25-ft-x-1-in-steel-blade-tape-measure")</f>
        <v>https://edmondsonsupply.com/products/tajima-g-25bw-g-series-standard-scale-25-ft-x-1-in-steel-blade-tape-measure</v>
      </c>
      <c r="C4346" t="s">
        <v>8848</v>
      </c>
      <c r="D4346" t="s">
        <v>8544</v>
      </c>
      <c r="E4346" s="3" t="str">
        <f>HYPERLINK("https://www.amazon.com/Tajima-SSSF-25BW-Standard-Measure-Safety/dp/B08J5ML1ZM/ref=sr_1_5?keywords=Tajima+G-25BW+G-Series%2C+Standard+Scale%2C+25+ft+x+1+in.+Steel+Blade%2C+Tape+Measure&amp;qid=1695174250&amp;sr=8-5", "https://www.amazon.com/Tajima-SSSF-25BW-Standard-Measure-Safety/dp/B08J5ML1ZM/ref=sr_1_5?keywords=Tajima+G-25BW+G-Series%2C+Standard+Scale%2C+25+ft+x+1+in.+Steel+Blade%2C+Tape+Measure&amp;qid=1695174250&amp;sr=8-5")</f>
        <v>https://www.amazon.com/Tajima-SSSF-25BW-Standard-Measure-Safety/dp/B08J5ML1ZM/ref=sr_1_5?keywords=Tajima+G-25BW+G-Series%2C+Standard+Scale%2C+25+ft+x+1+in.+Steel+Blade%2C+Tape+Measure&amp;qid=1695174250&amp;sr=8-5</v>
      </c>
      <c r="F4346" t="s">
        <v>8545</v>
      </c>
      <c r="G4346" t="e">
        <f ca="1">_xludf.IMAGE("https://edmondsonsupply.com/cdn/shop/products/G-25BW.jpg?v=1633031142")</f>
        <v>#NAME?</v>
      </c>
      <c r="H4346" t="e">
        <f ca="1">_xludf.IMAGE("https://m.media-amazon.com/images/I/51oDpFYnqaL._AC_UL320_.jpg")</f>
        <v>#NAME?</v>
      </c>
      <c r="I4346" t="s">
        <v>5106</v>
      </c>
      <c r="J4346">
        <v>21.37</v>
      </c>
      <c r="K4346" s="4">
        <v>-0.24460000000000001</v>
      </c>
      <c r="L4346">
        <v>4.5999999999999996</v>
      </c>
      <c r="M4346">
        <v>138</v>
      </c>
      <c r="O4346" t="s">
        <v>25</v>
      </c>
      <c r="P4346" t="s">
        <v>138</v>
      </c>
      <c r="Q4346" t="s">
        <v>8849</v>
      </c>
    </row>
    <row r="4347" spans="1:17" ht="15.5" x14ac:dyDescent="0.35">
      <c r="A4347" s="3" t="str">
        <f>HYPERLINK("https://edmondsonsupply.com/collections/electricians-tools/products/fieldpiece-adk7-deluxe-silicone-test-lead-kit", "https://edmondsonsupply.com/collections/electricians-tools/products/fieldpiece-adk7-deluxe-silicone-test-lead-kit")</f>
        <v>https://edmondsonsupply.com/collections/electricians-tools/products/fieldpiece-adk7-deluxe-silicone-test-lead-kit</v>
      </c>
      <c r="B4347" s="3" t="str">
        <f>HYPERLINK("https://edmondsonsupply.com/products/fieldpiece-adk7-deluxe-silicone-test-lead-kit", "https://edmondsonsupply.com/products/fieldpiece-adk7-deluxe-silicone-test-lead-kit")</f>
        <v>https://edmondsonsupply.com/products/fieldpiece-adk7-deluxe-silicone-test-lead-kit</v>
      </c>
      <c r="C4347" t="s">
        <v>8455</v>
      </c>
      <c r="D4347" t="s">
        <v>8850</v>
      </c>
      <c r="E4347" s="3" t="str">
        <f>HYPERLINK("https://www.amazon.com/Fieldpiece-ADLS2-Deluxe-Silicone-Leads/dp/B001415IWE/ref=sr_1_2?keywords=Fieldpiece+ADK7+Deluxe+Silicone+Test+Lead+Kit&amp;qid=1695174263&amp;sr=8-2", "https://www.amazon.com/Fieldpiece-ADLS2-Deluxe-Silicone-Leads/dp/B001415IWE/ref=sr_1_2?keywords=Fieldpiece+ADK7+Deluxe+Silicone+Test+Lead+Kit&amp;qid=1695174263&amp;sr=8-2")</f>
        <v>https://www.amazon.com/Fieldpiece-ADLS2-Deluxe-Silicone-Leads/dp/B001415IWE/ref=sr_1_2?keywords=Fieldpiece+ADK7+Deluxe+Silicone+Test+Lead+Kit&amp;qid=1695174263&amp;sr=8-2</v>
      </c>
      <c r="F4347" t="s">
        <v>8851</v>
      </c>
      <c r="G4347" t="e">
        <f ca="1">_xludf.IMAGE("https://edmondsonsupply.com/cdn/shop/products/adk7.png?v=1633031044")</f>
        <v>#NAME?</v>
      </c>
      <c r="H4347" t="e">
        <f ca="1">_xludf.IMAGE("https://m.media-amazon.com/images/I/71I6eVTSheL._AC_UY218_.jpg")</f>
        <v>#NAME?</v>
      </c>
      <c r="I4347" t="s">
        <v>8457</v>
      </c>
      <c r="J4347">
        <v>29.5</v>
      </c>
      <c r="K4347" s="4">
        <v>-0.2455</v>
      </c>
      <c r="L4347">
        <v>4.8</v>
      </c>
      <c r="M4347">
        <v>177</v>
      </c>
      <c r="O4347" t="s">
        <v>25</v>
      </c>
      <c r="P4347" t="s">
        <v>5662</v>
      </c>
      <c r="Q4347" t="s">
        <v>8458</v>
      </c>
    </row>
    <row r="4348" spans="1:17" ht="15.5" x14ac:dyDescent="0.35">
      <c r="A4348" s="3" t="str">
        <f>HYPERLINK("https://edmondsonsupply.com/collections/electricians-tools/products/klein-tools-33736ins", "https://edmondsonsupply.com/collections/electricians-tools/products/klein-tools-33736ins")</f>
        <v>https://edmondsonsupply.com/collections/electricians-tools/products/klein-tools-33736ins</v>
      </c>
      <c r="B4348" s="3" t="str">
        <f>HYPERLINK("https://edmondsonsupply.com/products/klein-tools-33736ins", "https://edmondsonsupply.com/products/klein-tools-33736ins")</f>
        <v>https://edmondsonsupply.com/products/klein-tools-33736ins</v>
      </c>
      <c r="C4348" t="s">
        <v>1928</v>
      </c>
      <c r="D4348" t="s">
        <v>2798</v>
      </c>
      <c r="E4348" s="3" t="str">
        <f>HYPERLINK("https://www.amazon.com/Klein-Tools-33734INS-Insulated-Screwdriver/dp/B088NQ1D2B/ref=sr_1_5?keywords=Klein+Tools+33736INS+Screwdriver+Set%2C+1000V+Slim-Tip+Insulated+and+Magnetizer%2C+6-Piece&amp;qid=1695173911&amp;sr=8-5", "https://www.amazon.com/Klein-Tools-33734INS-Insulated-Screwdriver/dp/B088NQ1D2B/ref=sr_1_5?keywords=Klein+Tools+33736INS+Screwdriver+Set%2C+1000V+Slim-Tip+Insulated+and+Magnetizer%2C+6-Piece&amp;qid=1695173911&amp;sr=8-5")</f>
        <v>https://www.amazon.com/Klein-Tools-33734INS-Insulated-Screwdriver/dp/B088NQ1D2B/ref=sr_1_5?keywords=Klein+Tools+33736INS+Screwdriver+Set%2C+1000V+Slim-Tip+Insulated+and+Magnetizer%2C+6-Piece&amp;qid=1695173911&amp;sr=8-5</v>
      </c>
      <c r="F4348" t="s">
        <v>2799</v>
      </c>
      <c r="G4348" t="e">
        <f ca="1">_xludf.IMAGE("https://edmondsonsupply.com/cdn/shop/products/33736ins.jpg?v=1664807705")</f>
        <v>#NAME?</v>
      </c>
      <c r="H4348" t="e">
        <f ca="1">_xludf.IMAGE("https://m.media-amazon.com/images/I/41+LCtq0IpL._AC_UL320_.jpg")</f>
        <v>#NAME?</v>
      </c>
      <c r="I4348" t="s">
        <v>1931</v>
      </c>
      <c r="J4348">
        <v>37.700000000000003</v>
      </c>
      <c r="K4348" s="4">
        <v>-0.24579999999999999</v>
      </c>
      <c r="L4348">
        <v>4.8</v>
      </c>
      <c r="M4348">
        <v>1361</v>
      </c>
      <c r="O4348" t="s">
        <v>25</v>
      </c>
      <c r="P4348" t="s">
        <v>1932</v>
      </c>
      <c r="Q4348" t="s">
        <v>1933</v>
      </c>
    </row>
    <row r="4349" spans="1:17" ht="15.5" x14ac:dyDescent="0.35">
      <c r="A4349" s="3" t="str">
        <f>HYPERLINK("https://edmondsonsupply.com/collections/electricians-tools/products/diablo-tools-dou3cs-3-pc-universal-fit-carbide-oscillating-blade-set", "https://edmondsonsupply.com/collections/electricians-tools/products/diablo-tools-dou3cs-3-pc-universal-fit-carbide-oscillating-blade-set")</f>
        <v>https://edmondsonsupply.com/collections/electricians-tools/products/diablo-tools-dou3cs-3-pc-universal-fit-carbide-oscillating-blade-set</v>
      </c>
      <c r="B4349" s="3" t="str">
        <f>HYPERLINK("https://edmondsonsupply.com/products/diablo-tools-dou3cs-3-pc-universal-fit-carbide-oscillating-blade-set", "https://edmondsonsupply.com/products/diablo-tools-dou3cs-3-pc-universal-fit-carbide-oscillating-blade-set")</f>
        <v>https://edmondsonsupply.com/products/diablo-tools-dou3cs-3-pc-universal-fit-carbide-oscillating-blade-set</v>
      </c>
      <c r="C4349" t="s">
        <v>8785</v>
      </c>
      <c r="D4349" t="s">
        <v>8594</v>
      </c>
      <c r="E4349" s="3" t="str">
        <f>HYPERLINK("https://www.amazon.com/Diablo-Freud-DOU3BS-Universal-Oscillating/dp/B089LKV4R1/ref=sr_1_3?keywords=Diablo+Tools+DOU3CS+3+pc+Universal+Fit+Carbide+Oscillating+Blade+Set&amp;qid=1695174015&amp;sr=8-3", "https://www.amazon.com/Diablo-Freud-DOU3BS-Universal-Oscillating/dp/B089LKV4R1/ref=sr_1_3?keywords=Diablo+Tools+DOU3CS+3+pc+Universal+Fit+Carbide+Oscillating+Blade+Set&amp;qid=1695174015&amp;sr=8-3")</f>
        <v>https://www.amazon.com/Diablo-Freud-DOU3BS-Universal-Oscillating/dp/B089LKV4R1/ref=sr_1_3?keywords=Diablo+Tools+DOU3CS+3+pc+Universal+Fit+Carbide+Oscillating+Blade+Set&amp;qid=1695174015&amp;sr=8-3</v>
      </c>
      <c r="F4349" t="s">
        <v>8595</v>
      </c>
      <c r="G4349" t="e">
        <f ca="1">_xludf.IMAGE("https://edmondsonsupply.com/cdn/shop/files/xyfhzl826p3zscosyxtm.webp?v=1685721758")</f>
        <v>#NAME?</v>
      </c>
      <c r="H4349" t="e">
        <f ca="1">_xludf.IMAGE("https://m.media-amazon.com/images/I/71Kp5BKb9OL._AC_UL320_.jpg")</f>
        <v>#NAME?</v>
      </c>
      <c r="I4349" t="s">
        <v>4108</v>
      </c>
      <c r="J4349">
        <v>33.89</v>
      </c>
      <c r="K4349" s="4">
        <v>-0.24640000000000001</v>
      </c>
      <c r="L4349">
        <v>4.5</v>
      </c>
      <c r="M4349">
        <v>29</v>
      </c>
      <c r="O4349" t="s">
        <v>25</v>
      </c>
      <c r="P4349" t="s">
        <v>8786</v>
      </c>
      <c r="Q4349" t="s">
        <v>8787</v>
      </c>
    </row>
    <row r="4350" spans="1:17" ht="15.5" x14ac:dyDescent="0.35">
      <c r="A4350"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4350"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4350" t="s">
        <v>7824</v>
      </c>
      <c r="D4350" t="s">
        <v>5314</v>
      </c>
      <c r="E4350" s="3" t="str">
        <f>HYPERLINK("https://www.amazon.com/Klein-Tools-D248-8-Leverage-Diagonal/dp/B0000302W8/ref=sr_1_6?keywords=Klein+Tools+D2000-49+Diagonal+Cutting+Pliers%2C+Angled+Head%2C+9-Inch&amp;qid=1695174302&amp;sr=8-6", "https://www.amazon.com/Klein-Tools-D248-8-Leverage-Diagonal/dp/B0000302W8/ref=sr_1_6?keywords=Klein+Tools+D2000-49+Diagonal+Cutting+Pliers%2C+Angled+Head%2C+9-Inch&amp;qid=1695174302&amp;sr=8-6")</f>
        <v>https://www.amazon.com/Klein-Tools-D248-8-Leverage-Diagonal/dp/B0000302W8/ref=sr_1_6?keywords=Klein+Tools+D2000-49+Diagonal+Cutting+Pliers%2C+Angled+Head%2C+9-Inch&amp;qid=1695174302&amp;sr=8-6</v>
      </c>
      <c r="F4350" t="s">
        <v>5315</v>
      </c>
      <c r="G4350" t="e">
        <f ca="1">_xludf.IMAGE("https://edmondsonsupply.com/cdn/shop/products/d2000-49.jpg?v=1633030811")</f>
        <v>#NAME?</v>
      </c>
      <c r="H4350" t="e">
        <f ca="1">_xludf.IMAGE("https://m.media-amazon.com/images/I/41KAmcIzVBL._AC_UL320_.jpg")</f>
        <v>#NAME?</v>
      </c>
      <c r="I4350" t="s">
        <v>3930</v>
      </c>
      <c r="J4350">
        <v>29.38</v>
      </c>
      <c r="K4350" s="4">
        <v>-0.2465</v>
      </c>
      <c r="L4350">
        <v>4.8</v>
      </c>
      <c r="M4350">
        <v>2417</v>
      </c>
      <c r="O4350" t="s">
        <v>25</v>
      </c>
      <c r="P4350" t="s">
        <v>7825</v>
      </c>
      <c r="Q4350" t="s">
        <v>7826</v>
      </c>
    </row>
    <row r="4351" spans="1:17" ht="15.5" x14ac:dyDescent="0.35">
      <c r="A4351"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4351" s="3" t="str">
        <f>HYPERLINK("https://edmondsonsupply.com/products/klein-tools-j203-8-pliers-needle-nose-side-cutters-8-inch", "https://edmondsonsupply.com/products/klein-tools-j203-8-pliers-needle-nose-side-cutters-8-inch")</f>
        <v>https://edmondsonsupply.com/products/klein-tools-j203-8-pliers-needle-nose-side-cutters-8-inch</v>
      </c>
      <c r="C4351" t="s">
        <v>6516</v>
      </c>
      <c r="D4351" t="s">
        <v>8852</v>
      </c>
      <c r="E4351" s="3" t="str">
        <f>HYPERLINK("https://www.amazon.com/Klein-Tools-J203-6-Pliers-Side-Cutters/dp/B000FH289O/ref=sr_1_5?keywords=Klein+Tools+J203-8+Pliers%2C+Needle+Nose+Side-Cutters%2C+8-Inch&amp;qid=1695174221&amp;sr=8-5", "https://www.amazon.com/Klein-Tools-J203-6-Pliers-Side-Cutters/dp/B000FH289O/ref=sr_1_5?keywords=Klein+Tools+J203-8+Pliers%2C+Needle+Nose+Side-Cutters%2C+8-Inch&amp;qid=1695174221&amp;sr=8-5")</f>
        <v>https://www.amazon.com/Klein-Tools-J203-6-Pliers-Side-Cutters/dp/B000FH289O/ref=sr_1_5?keywords=Klein+Tools+J203-8+Pliers%2C+Needle+Nose+Side-Cutters%2C+8-Inch&amp;qid=1695174221&amp;sr=8-5</v>
      </c>
      <c r="F4351" t="s">
        <v>8853</v>
      </c>
      <c r="G4351" t="e">
        <f ca="1">_xludf.IMAGE("https://edmondsonsupply.com/cdn/shop/products/j2038.jpg?v=1644709677")</f>
        <v>#NAME?</v>
      </c>
      <c r="H4351" t="e">
        <f ca="1">_xludf.IMAGE("https://m.media-amazon.com/images/I/514ud2Pt0TL._AC_UL320_.jpg")</f>
        <v>#NAME?</v>
      </c>
      <c r="I4351" t="s">
        <v>6519</v>
      </c>
      <c r="J4351">
        <v>28.99</v>
      </c>
      <c r="K4351" s="4">
        <v>-0.24679999999999999</v>
      </c>
      <c r="L4351">
        <v>4.7</v>
      </c>
      <c r="M4351">
        <v>106</v>
      </c>
      <c r="O4351" t="s">
        <v>25</v>
      </c>
      <c r="P4351" t="s">
        <v>6520</v>
      </c>
      <c r="Q4351" t="s">
        <v>6521</v>
      </c>
    </row>
    <row r="4352" spans="1:17" ht="15.5" x14ac:dyDescent="0.35">
      <c r="A4352"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4352" s="3" t="str">
        <f>HYPERLINK("https://edmondsonsupply.com/products/diablo-tools-d0604dh-6-1-2-in-x-4-tooth-fiber-cement", "https://edmondsonsupply.com/products/diablo-tools-d0604dh-6-1-2-in-x-4-tooth-fiber-cement")</f>
        <v>https://edmondsonsupply.com/products/diablo-tools-d0604dh-6-1-2-in-x-4-tooth-fiber-cement</v>
      </c>
      <c r="C4352" t="s">
        <v>6483</v>
      </c>
      <c r="D4352" t="s">
        <v>8854</v>
      </c>
      <c r="E4352" s="3" t="str">
        <f>HYPERLINK("https://www.amazon.com/Norske-Tools-NCSBP281-Polycrystalline-Diamond/dp/B07DYML1Q5/ref=sr_1_4?keywords=Diablo+Tools+D0604DH+6-1%2F2+in.+x+4+Tooth+Fiber+Cement&amp;qid=1695174076&amp;sr=8-4", "https://www.amazon.com/Norske-Tools-NCSBP281-Polycrystalline-Diamond/dp/B07DYML1Q5/ref=sr_1_4?keywords=Diablo+Tools+D0604DH+6-1%2F2+in.+x+4+Tooth+Fiber+Cement&amp;qid=1695174076&amp;sr=8-4")</f>
        <v>https://www.amazon.com/Norske-Tools-NCSBP281-Polycrystalline-Diamond/dp/B07DYML1Q5/ref=sr_1_4?keywords=Diablo+Tools+D0604DH+6-1%2F2+in.+x+4+Tooth+Fiber+Cement&amp;qid=1695174076&amp;sr=8-4</v>
      </c>
      <c r="F4352" t="s">
        <v>8855</v>
      </c>
      <c r="G4352" t="e">
        <f ca="1">_xludf.IMAGE("https://edmondsonsupply.com/cdn/shop/products/b97gznmuns4ffl0mabzf.webp?v=1679319668")</f>
        <v>#NAME?</v>
      </c>
      <c r="H4352" t="e">
        <f ca="1">_xludf.IMAGE("https://m.media-amazon.com/images/I/71Q7oNmMkdL._AC_UL320_.jpg")</f>
        <v>#NAME?</v>
      </c>
      <c r="I4352" t="s">
        <v>380</v>
      </c>
      <c r="J4352">
        <v>37.549999999999997</v>
      </c>
      <c r="K4352" s="4">
        <v>-0.2485</v>
      </c>
      <c r="L4352">
        <v>4.5</v>
      </c>
      <c r="M4352">
        <v>369</v>
      </c>
      <c r="O4352" t="s">
        <v>25</v>
      </c>
      <c r="P4352" t="s">
        <v>6486</v>
      </c>
      <c r="Q4352" t="s">
        <v>6487</v>
      </c>
    </row>
    <row r="4353" spans="1:17" ht="15.5" x14ac:dyDescent="0.35">
      <c r="A4353" s="3" t="str">
        <f>HYPERLINK("https://edmondsonsupply.com/collections/electricians-tools/products/klein-tools-55421bp-14-tradesman-pro%E2%84%A2-tool-bag-backpack-39-pockets-black-14-inch", "https://edmondsonsupply.com/collections/electricians-tools/products/klein-tools-55421bp-14-tradesman-pro%E2%84%A2-tool-bag-backpack-39-pockets-black-14-inch")</f>
        <v>https://edmondsonsupply.com/collections/electricians-tools/products/klein-tools-55421bp-14-tradesman-pro%E2%84%A2-tool-bag-backpack-39-pockets-black-14-inch</v>
      </c>
      <c r="B4353"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4353" t="s">
        <v>542</v>
      </c>
      <c r="D4353" t="s">
        <v>746</v>
      </c>
      <c r="E4353" s="3" t="str">
        <f>HYPERLINK("https://www.amazon.com/Electrician-Tradesman-Klein-Tools-55421BP14CAMO/dp/B00VX5P8XK/ref=sr_1_2?keywords=Klein+Tools+55421BP-14+Tradesman+Pro%E2%84%A2+Tool+Bag+Backpack%2C+39+Pockets%2C+Black%2C+14-Inch&amp;qid=1695173876&amp;sr=8-2", "https://www.amazon.com/Electrician-Tradesman-Klein-Tools-55421BP14CAMO/dp/B00VX5P8XK/ref=sr_1_2?keywords=Klein+Tools+55421BP-14+Tradesman+Pro%E2%84%A2+Tool+Bag+Backpack%2C+39+Pockets%2C+Black%2C+14-Inch&amp;qid=1695173876&amp;sr=8-2")</f>
        <v>https://www.amazon.com/Electrician-Tradesman-Klein-Tools-55421BP14CAMO/dp/B00VX5P8XK/ref=sr_1_2?keywords=Klein+Tools+55421BP-14+Tradesman+Pro%E2%84%A2+Tool+Bag+Backpack%2C+39+Pockets%2C+Black%2C+14-Inch&amp;qid=1695173876&amp;sr=8-2</v>
      </c>
      <c r="F4353" t="s">
        <v>747</v>
      </c>
      <c r="G4353" t="e">
        <f ca="1">_xludf.IMAGE("https://edmondsonsupply.com/cdn/shop/products/55421bp-14_photo.jpg?v=1660827337")</f>
        <v>#NAME?</v>
      </c>
      <c r="H4353" t="e">
        <f ca="1">_xludf.IMAGE("https://m.media-amazon.com/images/I/71tSAVLDR+L._AC_UL320_.jpg")</f>
        <v>#NAME?</v>
      </c>
      <c r="I4353" t="s">
        <v>545</v>
      </c>
      <c r="J4353">
        <v>75</v>
      </c>
      <c r="K4353" s="4">
        <v>-0.24979999999999999</v>
      </c>
      <c r="L4353">
        <v>4.8</v>
      </c>
      <c r="M4353">
        <v>1763</v>
      </c>
      <c r="O4353" t="s">
        <v>25</v>
      </c>
      <c r="P4353" t="s">
        <v>546</v>
      </c>
      <c r="Q4353" t="s">
        <v>547</v>
      </c>
    </row>
    <row r="4354" spans="1:17" ht="15.5" x14ac:dyDescent="0.35">
      <c r="A4354"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4354"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4354" t="s">
        <v>7911</v>
      </c>
      <c r="D4354" t="s">
        <v>6047</v>
      </c>
      <c r="E4354" s="3" t="str">
        <f>HYPERLINK("https://www.amazon.com/Conduit-Features-Klein-Tools-51604/dp/B08V8YVWH1/ref=sr_1_3?keywords=Klein+Tools+51605+Iron+Conduit+Bender+Full+Assembly%2C+1-Inch+EMT+with+Angle+Setter%E2%84%A2&amp;qid=1695174157&amp;sr=8-3", "https://www.amazon.com/Conduit-Features-Klein-Tools-51604/dp/B08V8YVWH1/ref=sr_1_3?keywords=Klein+Tools+51605+Iron+Conduit+Bender+Full+Assembly%2C+1-Inch+EMT+with+Angle+Setter%E2%84%A2&amp;qid=1695174157&amp;sr=8-3")</f>
        <v>https://www.amazon.com/Conduit-Features-Klein-Tools-51604/dp/B08V8YVWH1/ref=sr_1_3?keywords=Klein+Tools+51605+Iron+Conduit+Bender+Full+Assembly%2C+1-Inch+EMT+with+Angle+Setter%E2%84%A2&amp;qid=1695174157&amp;sr=8-3</v>
      </c>
      <c r="F4354" t="s">
        <v>6048</v>
      </c>
      <c r="G4354" t="e">
        <f ca="1">_xludf.IMAGE("https://edmondsonsupply.com/cdn/shop/products/51605.jpg?v=1663938749")</f>
        <v>#NAME?</v>
      </c>
      <c r="H4354" t="e">
        <f ca="1">_xludf.IMAGE("https://m.media-amazon.com/images/I/41DkDVmyczL._AC_UL320_.jpg")</f>
        <v>#NAME?</v>
      </c>
      <c r="I4354" t="s">
        <v>545</v>
      </c>
      <c r="J4354">
        <v>74.989999999999995</v>
      </c>
      <c r="K4354" s="4">
        <v>-0.24990000000000001</v>
      </c>
      <c r="L4354">
        <v>4.8</v>
      </c>
      <c r="M4354">
        <v>43</v>
      </c>
      <c r="O4354" t="s">
        <v>25</v>
      </c>
      <c r="P4354" t="s">
        <v>2225</v>
      </c>
      <c r="Q4354" t="s">
        <v>7912</v>
      </c>
    </row>
    <row r="4355" spans="1:17" ht="15.5" x14ac:dyDescent="0.35">
      <c r="A4355"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4355"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4355" t="s">
        <v>7911</v>
      </c>
      <c r="D4355" t="s">
        <v>6043</v>
      </c>
      <c r="E4355" s="3" t="str">
        <f>HYPERLINK("https://www.amazon.com/Conduit-Bender-Klein-Tools-51610/dp/B08V8J5CX4/ref=sr_1_6?keywords=Klein+Tools+51605+Iron+Conduit+Bender+Full+Assembly%2C+1-Inch+EMT+with+Angle+Setter%E2%84%A2&amp;qid=1695174157&amp;sr=8-6", "https://www.amazon.com/Conduit-Bender-Klein-Tools-51610/dp/B08V8J5CX4/ref=sr_1_6?keywords=Klein+Tools+51605+Iron+Conduit+Bender+Full+Assembly%2C+1-Inch+EMT+with+Angle+Setter%E2%84%A2&amp;qid=1695174157&amp;sr=8-6")</f>
        <v>https://www.amazon.com/Conduit-Bender-Klein-Tools-51610/dp/B08V8J5CX4/ref=sr_1_6?keywords=Klein+Tools+51605+Iron+Conduit+Bender+Full+Assembly%2C+1-Inch+EMT+with+Angle+Setter%E2%84%A2&amp;qid=1695174157&amp;sr=8-6</v>
      </c>
      <c r="F4355" t="s">
        <v>6044</v>
      </c>
      <c r="G4355" t="e">
        <f ca="1">_xludf.IMAGE("https://edmondsonsupply.com/cdn/shop/products/51605.jpg?v=1663938749")</f>
        <v>#NAME?</v>
      </c>
      <c r="H4355" t="e">
        <f ca="1">_xludf.IMAGE("https://m.media-amazon.com/images/I/61jmGqozuVL._AC_UL320_.jpg")</f>
        <v>#NAME?</v>
      </c>
      <c r="I4355" t="s">
        <v>545</v>
      </c>
      <c r="J4355">
        <v>74.989999999999995</v>
      </c>
      <c r="K4355" s="4">
        <v>-0.24990000000000001</v>
      </c>
      <c r="L4355">
        <v>4.8</v>
      </c>
      <c r="M4355">
        <v>11</v>
      </c>
      <c r="O4355" t="s">
        <v>25</v>
      </c>
      <c r="P4355" t="s">
        <v>2225</v>
      </c>
      <c r="Q4355" t="s">
        <v>7912</v>
      </c>
    </row>
    <row r="4356" spans="1:17" ht="15.5" x14ac:dyDescent="0.35">
      <c r="A4356"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4356"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4356" t="s">
        <v>6963</v>
      </c>
      <c r="D4356" t="s">
        <v>6176</v>
      </c>
      <c r="E4356" s="3" t="str">
        <f>HYPERLINK("https://www.amazon.com/Aluminum-Benchmark-Technology-Klein-Tools/dp/B08L41G5G5/ref=sr_1_4?keywords=Klein+Tools+51603+Iron+Conduit+Bender+Full+Assembly%2C+1%2F2-Inch+EMT+with+Angle+Setter%E2%84%A2&amp;qid=1695173919&amp;sr=8-4", "https://www.amazon.com/Aluminum-Benchmark-Technology-Klein-Tools/dp/B08L41G5G5/ref=sr_1_4?keywords=Klein+Tools+51603+Iron+Conduit+Bender+Full+Assembly%2C+1%2F2-Inch+EMT+with+Angle+Setter%E2%84%A2&amp;qid=1695173919&amp;sr=8-4")</f>
        <v>https://www.amazon.com/Aluminum-Benchmark-Technology-Klein-Tools/dp/B08L41G5G5/ref=sr_1_4?keywords=Klein+Tools+51603+Iron+Conduit+Bender+Full+Assembly%2C+1%2F2-Inch+EMT+with+Angle+Setter%E2%84%A2&amp;qid=1695173919&amp;sr=8-4</v>
      </c>
      <c r="F4356" t="s">
        <v>6177</v>
      </c>
      <c r="G4356" t="e">
        <f ca="1">_xludf.IMAGE("https://edmondsonsupply.com/cdn/shop/products/51604.jpg?v=1663940749")</f>
        <v>#NAME?</v>
      </c>
      <c r="H4356" t="e">
        <f ca="1">_xludf.IMAGE("https://m.media-amazon.com/images/I/419ZjlOD69L._AC_UL320_.jpg")</f>
        <v>#NAME?</v>
      </c>
      <c r="I4356" t="s">
        <v>905</v>
      </c>
      <c r="J4356">
        <v>44.99</v>
      </c>
      <c r="K4356" s="4">
        <v>-0.25</v>
      </c>
      <c r="L4356">
        <v>4.7</v>
      </c>
      <c r="M4356">
        <v>343</v>
      </c>
      <c r="O4356" t="s">
        <v>25</v>
      </c>
      <c r="P4356" t="s">
        <v>6964</v>
      </c>
      <c r="Q4356" t="s">
        <v>6965</v>
      </c>
    </row>
    <row r="4357" spans="1:17" ht="15.5" x14ac:dyDescent="0.35">
      <c r="A4357"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4357" s="3" t="str">
        <f>HYPERLINK("https://edmondsonsupply.com/products/klein-tools-51609-3-4-inch-iron-conduit-bender-head", "https://edmondsonsupply.com/products/klein-tools-51609-3-4-inch-iron-conduit-bender-head")</f>
        <v>https://edmondsonsupply.com/products/klein-tools-51609-3-4-inch-iron-conduit-bender-head</v>
      </c>
      <c r="C4357" t="s">
        <v>6966</v>
      </c>
      <c r="D4357" t="s">
        <v>6176</v>
      </c>
      <c r="E4357" s="3" t="str">
        <f>HYPERLINK("https://www.amazon.com/Aluminum-Benchmark-Technology-Klein-Tools/dp/B08L41G5G5/ref=sr_1_5?keywords=Klein+Tools+51609+3%2F4-Inch+Iron+Conduit+Bender+Head&amp;qid=1695174173&amp;sr=8-5", "https://www.amazon.com/Aluminum-Benchmark-Technology-Klein-Tools/dp/B08L41G5G5/ref=sr_1_5?keywords=Klein+Tools+51609+3%2F4-Inch+Iron+Conduit+Bender+Head&amp;qid=1695174173&amp;sr=8-5")</f>
        <v>https://www.amazon.com/Aluminum-Benchmark-Technology-Klein-Tools/dp/B08L41G5G5/ref=sr_1_5?keywords=Klein+Tools+51609+3%2F4-Inch+Iron+Conduit+Bender+Head&amp;qid=1695174173&amp;sr=8-5</v>
      </c>
      <c r="F4357" t="s">
        <v>6177</v>
      </c>
      <c r="G4357" t="e">
        <f ca="1">_xludf.IMAGE("https://edmondsonsupply.com/cdn/shop/products/51609.jpg?v=1661867147")</f>
        <v>#NAME?</v>
      </c>
      <c r="H4357" t="e">
        <f ca="1">_xludf.IMAGE("https://m.media-amazon.com/images/I/419ZjlOD69L._AC_UL320_.jpg")</f>
        <v>#NAME?</v>
      </c>
      <c r="I4357" t="s">
        <v>905</v>
      </c>
      <c r="J4357">
        <v>44.99</v>
      </c>
      <c r="K4357" s="4">
        <v>-0.25</v>
      </c>
      <c r="L4357">
        <v>4.7</v>
      </c>
      <c r="M4357">
        <v>343</v>
      </c>
      <c r="O4357" t="s">
        <v>25</v>
      </c>
      <c r="P4357" t="s">
        <v>6967</v>
      </c>
      <c r="Q4357" t="s">
        <v>6968</v>
      </c>
    </row>
    <row r="4358" spans="1:17" ht="15.5" x14ac:dyDescent="0.35">
      <c r="A4358"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4358" s="3" t="str">
        <f>HYPERLINK("https://edmondsonsupply.com/products/klein-tools-51609-3-4-inch-iron-conduit-bender-head", "https://edmondsonsupply.com/products/klein-tools-51609-3-4-inch-iron-conduit-bender-head")</f>
        <v>https://edmondsonsupply.com/products/klein-tools-51609-3-4-inch-iron-conduit-bender-head</v>
      </c>
      <c r="C4358" t="s">
        <v>6966</v>
      </c>
      <c r="D4358" t="s">
        <v>6178</v>
      </c>
      <c r="E4358" s="3" t="str">
        <f>HYPERLINK("https://www.amazon.com/Conduit-Bender-Klein-Tools-51609/dp/B08VYFHL9J/ref=sr_1_1?keywords=Klein+Tools+51609+3%2F4-Inch+Iron+Conduit+Bender+Head&amp;qid=1695174173&amp;sr=8-1", "https://www.amazon.com/Conduit-Bender-Klein-Tools-51609/dp/B08VYFHL9J/ref=sr_1_1?keywords=Klein+Tools+51609+3%2F4-Inch+Iron+Conduit+Bender+Head&amp;qid=1695174173&amp;sr=8-1")</f>
        <v>https://www.amazon.com/Conduit-Bender-Klein-Tools-51609/dp/B08VYFHL9J/ref=sr_1_1?keywords=Klein+Tools+51609+3%2F4-Inch+Iron+Conduit+Bender+Head&amp;qid=1695174173&amp;sr=8-1</v>
      </c>
      <c r="F4358" t="s">
        <v>6179</v>
      </c>
      <c r="G4358" t="e">
        <f ca="1">_xludf.IMAGE("https://edmondsonsupply.com/cdn/shop/products/51609.jpg?v=1661867147")</f>
        <v>#NAME?</v>
      </c>
      <c r="H4358" t="e">
        <f ca="1">_xludf.IMAGE("https://m.media-amazon.com/images/I/61KifnC2xML._AC_UL320_.jpg")</f>
        <v>#NAME?</v>
      </c>
      <c r="I4358" t="s">
        <v>905</v>
      </c>
      <c r="J4358">
        <v>44.99</v>
      </c>
      <c r="K4358" s="4">
        <v>-0.25</v>
      </c>
      <c r="L4358">
        <v>4.2</v>
      </c>
      <c r="M4358">
        <v>31</v>
      </c>
      <c r="O4358" t="s">
        <v>25</v>
      </c>
      <c r="P4358" t="s">
        <v>6967</v>
      </c>
      <c r="Q4358" t="s">
        <v>6968</v>
      </c>
    </row>
    <row r="4359" spans="1:17" ht="15.5" x14ac:dyDescent="0.35">
      <c r="A4359"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4359"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4359" t="s">
        <v>6921</v>
      </c>
      <c r="D4359" t="s">
        <v>8856</v>
      </c>
      <c r="E4359" s="3" t="str">
        <f>HYPERLINK("https://www.amazon.com/Wiss-M3R-MetalMaster-Capacity-Straight/dp/B00002N5KQ/ref=sr_1_6?keywords=Crescent+Wiss+M2P+9-3%2F4%22+Compound+Action+Straight+and+Right+Cut+Aviation+Snips&amp;qid=1695174052&amp;sr=8-6", "https://www.amazon.com/Wiss-M3R-MetalMaster-Capacity-Straight/dp/B00002N5KQ/ref=sr_1_6?keywords=Crescent+Wiss+M2P+9-3%2F4%22+Compound+Action+Straight+and+Right+Cut+Aviation+Snips&amp;qid=1695174052&amp;sr=8-6")</f>
        <v>https://www.amazon.com/Wiss-M3R-MetalMaster-Capacity-Straight/dp/B00002N5KQ/ref=sr_1_6?keywords=Crescent+Wiss+M2P+9-3%2F4%22+Compound+Action+Straight+and+Right+Cut+Aviation+Snips&amp;qid=1695174052&amp;sr=8-6</v>
      </c>
      <c r="F4359" t="s">
        <v>8857</v>
      </c>
      <c r="G4359" t="e">
        <f ca="1">_xludf.IMAGE("https://edmondsonsupply.com/cdn/shop/products/WIS_M2P_IMG_ANG_01.jpg?v=1679674099")</f>
        <v>#NAME?</v>
      </c>
      <c r="H4359" t="e">
        <f ca="1">_xludf.IMAGE("https://m.media-amazon.com/images/I/61eKN-YXrOL._AC_UL320_.jpg")</f>
        <v>#NAME?</v>
      </c>
      <c r="I4359" t="s">
        <v>577</v>
      </c>
      <c r="J4359">
        <v>14.99</v>
      </c>
      <c r="K4359" s="4">
        <v>-0.25009999999999999</v>
      </c>
      <c r="L4359">
        <v>4.5999999999999996</v>
      </c>
      <c r="M4359">
        <v>7466</v>
      </c>
      <c r="O4359" t="s">
        <v>25</v>
      </c>
      <c r="P4359" t="s">
        <v>6924</v>
      </c>
      <c r="Q4359" t="s">
        <v>6925</v>
      </c>
    </row>
    <row r="4360" spans="1:17" ht="15.5" x14ac:dyDescent="0.35">
      <c r="A4360"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4360"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4360" t="s">
        <v>7120</v>
      </c>
      <c r="D4360" t="s">
        <v>8856</v>
      </c>
      <c r="E4360" s="3" t="str">
        <f>HYPERLINK("https://www.amazon.com/Wiss-M3R-MetalMaster-Capacity-Straight/dp/B00002N5KQ/ref=sr_1_4?keywords=Crescent+Wiss+M3P+9-3%2F4%22+Compound+Action+Straight%2C+Left+and+Right+Cut+Snips&amp;qid=1695174052&amp;sr=8-4", "https://www.amazon.com/Wiss-M3R-MetalMaster-Capacity-Straight/dp/B00002N5KQ/ref=sr_1_4?keywords=Crescent+Wiss+M3P+9-3%2F4%22+Compound+Action+Straight%2C+Left+and+Right+Cut+Snips&amp;qid=1695174052&amp;sr=8-4")</f>
        <v>https://www.amazon.com/Wiss-M3R-MetalMaster-Capacity-Straight/dp/B00002N5KQ/ref=sr_1_4?keywords=Crescent+Wiss+M3P+9-3%2F4%22+Compound+Action+Straight%2C+Left+and+Right+Cut+Snips&amp;qid=1695174052&amp;sr=8-4</v>
      </c>
      <c r="F4360" t="s">
        <v>8857</v>
      </c>
      <c r="G4360" t="e">
        <f ca="1">_xludf.IMAGE("https://edmondsonsupply.com/cdn/shop/products/WIS_M3P_IMG_ANG_01.jpg?v=1679675102")</f>
        <v>#NAME?</v>
      </c>
      <c r="H4360" t="e">
        <f ca="1">_xludf.IMAGE("https://m.media-amazon.com/images/I/61eKN-YXrOL._AC_UL320_.jpg")</f>
        <v>#NAME?</v>
      </c>
      <c r="I4360" t="s">
        <v>577</v>
      </c>
      <c r="J4360">
        <v>14.99</v>
      </c>
      <c r="K4360" s="4">
        <v>-0.25009999999999999</v>
      </c>
      <c r="L4360">
        <v>4.5999999999999996</v>
      </c>
      <c r="M4360">
        <v>7466</v>
      </c>
      <c r="O4360" t="s">
        <v>25</v>
      </c>
      <c r="P4360" t="s">
        <v>6924</v>
      </c>
      <c r="Q4360" t="s">
        <v>7121</v>
      </c>
    </row>
    <row r="4361" spans="1:17" ht="15.5" x14ac:dyDescent="0.35">
      <c r="A4361"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4361"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4361" t="s">
        <v>8170</v>
      </c>
      <c r="D4361" t="s">
        <v>8858</v>
      </c>
      <c r="E4361" s="3" t="str">
        <f>HYPERLINK("https://www.amazon.com/Diagonal-Leverage-Klein-Tools-D228-8/dp/B0000302VW/ref=sr_1_4?keywords=Klein+Tools+2288RINS+Diagonal+Cutting+Pliers%2C+Insulated%2C+High+Leverage%2C+8-Inch&amp;qid=1695174127&amp;sr=8-4", "https://www.amazon.com/Diagonal-Leverage-Klein-Tools-D228-8/dp/B0000302VW/ref=sr_1_4?keywords=Klein+Tools+2288RINS+Diagonal+Cutting+Pliers%2C+Insulated%2C+High+Leverage%2C+8-Inch&amp;qid=1695174127&amp;sr=8-4")</f>
        <v>https://www.amazon.com/Diagonal-Leverage-Klein-Tools-D228-8/dp/B0000302VW/ref=sr_1_4?keywords=Klein+Tools+2288RINS+Diagonal+Cutting+Pliers%2C+Insulated%2C+High+Leverage%2C+8-Inch&amp;qid=1695174127&amp;sr=8-4</v>
      </c>
      <c r="F4361" t="s">
        <v>8859</v>
      </c>
      <c r="G4361" t="e">
        <f ca="1">_xludf.IMAGE("https://edmondsonsupply.com/cdn/shop/products/2288rins.jpg?v=1667238570")</f>
        <v>#NAME?</v>
      </c>
      <c r="H4361" t="e">
        <f ca="1">_xludf.IMAGE("https://m.media-amazon.com/images/I/51-72gFSPtL._AC_UL320_.jpg")</f>
        <v>#NAME?</v>
      </c>
      <c r="I4361" t="s">
        <v>246</v>
      </c>
      <c r="J4361">
        <v>29.97</v>
      </c>
      <c r="K4361" s="4">
        <v>-0.25019999999999998</v>
      </c>
      <c r="L4361">
        <v>4.8</v>
      </c>
      <c r="M4361">
        <v>2875</v>
      </c>
      <c r="O4361" t="s">
        <v>25</v>
      </c>
      <c r="P4361" t="s">
        <v>1027</v>
      </c>
      <c r="Q4361" t="s">
        <v>8171</v>
      </c>
    </row>
    <row r="4362" spans="1:17" ht="15.5" x14ac:dyDescent="0.35">
      <c r="A4362"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4362"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4362" t="s">
        <v>8170</v>
      </c>
      <c r="D4362" t="s">
        <v>5457</v>
      </c>
      <c r="E4362" s="3" t="str">
        <f>HYPERLINK("https://www.amazon.com/Diagonal-Ironworker-Klein-Tools-D248-9ST/dp/B0009ZAT1G/ref=sr_1_6?keywords=Klein+Tools+2288RINS+Diagonal+Cutting+Pliers%2C+Insulated%2C+High+Leverage%2C+8-Inch&amp;qid=1695174127&amp;sr=8-6", "https://www.amazon.com/Diagonal-Ironworker-Klein-Tools-D248-9ST/dp/B0009ZAT1G/ref=sr_1_6?keywords=Klein+Tools+2288RINS+Diagonal+Cutting+Pliers%2C+Insulated%2C+High+Leverage%2C+8-Inch&amp;qid=1695174127&amp;sr=8-6")</f>
        <v>https://www.amazon.com/Diagonal-Ironworker-Klein-Tools-D248-9ST/dp/B0009ZAT1G/ref=sr_1_6?keywords=Klein+Tools+2288RINS+Diagonal+Cutting+Pliers%2C+Insulated%2C+High+Leverage%2C+8-Inch&amp;qid=1695174127&amp;sr=8-6</v>
      </c>
      <c r="F4362" t="s">
        <v>5458</v>
      </c>
      <c r="G4362" t="e">
        <f ca="1">_xludf.IMAGE("https://edmondsonsupply.com/cdn/shop/products/2288rins.jpg?v=1667238570")</f>
        <v>#NAME?</v>
      </c>
      <c r="H4362" t="e">
        <f ca="1">_xludf.IMAGE("https://m.media-amazon.com/images/I/41QcUzpmIlL._AC_UL320_.jpg")</f>
        <v>#NAME?</v>
      </c>
      <c r="I4362" t="s">
        <v>246</v>
      </c>
      <c r="J4362">
        <v>29.97</v>
      </c>
      <c r="K4362" s="4">
        <v>-0.25019999999999998</v>
      </c>
      <c r="L4362">
        <v>4.8</v>
      </c>
      <c r="M4362">
        <v>5530</v>
      </c>
      <c r="O4362" t="s">
        <v>25</v>
      </c>
      <c r="P4362" t="s">
        <v>1027</v>
      </c>
      <c r="Q4362" t="s">
        <v>8171</v>
      </c>
    </row>
    <row r="4363" spans="1:17" ht="15.5" x14ac:dyDescent="0.35">
      <c r="A4363"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4363"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4363" t="s">
        <v>3174</v>
      </c>
      <c r="D4363" t="s">
        <v>5178</v>
      </c>
      <c r="E4363" s="3" t="str">
        <f>HYPERLINK("https://www.amazon.com/Stripper-Electrical-Klein-Tools-11063W/dp/B00BC39YFQ/ref=sr_1_6?keywords=Klein+Tools+K12065CR+Klein-Kurve%C2%AE+Heavy-Duty+Wire+Stripper+%2F+Cutter+%2F+Crimper+Multi+Tool%2C+8-20+AWG&amp;qid=1695173857&amp;sr=8-6", "https://www.amazon.com/Stripper-Electrical-Klein-Tools-11063W/dp/B00BC39YFQ/ref=sr_1_6?keywords=Klein+Tools+K12065CR+Klein-Kurve%C2%AE+Heavy-Duty+Wire+Stripper+%2F+Cutter+%2F+Crimper+Multi+Tool%2C+8-20+AWG&amp;qid=1695173857&amp;sr=8-6")</f>
        <v>https://www.amazon.com/Stripper-Electrical-Klein-Tools-11063W/dp/B00BC39YFQ/ref=sr_1_6?keywords=Klein+Tools+K12065CR+Klein-Kurve%C2%AE+Heavy-Duty+Wire+Stripper+%2F+Cutter+%2F+Crimper+Multi+Tool%2C+8-20+AWG&amp;qid=1695173857&amp;sr=8-6</v>
      </c>
      <c r="F4363" t="s">
        <v>5179</v>
      </c>
      <c r="G4363" t="e">
        <f ca="1">_xludf.IMAGE("https://edmondsonsupply.com/cdn/shop/products/k12065cr_b.jpg?v=1650066835")</f>
        <v>#NAME?</v>
      </c>
      <c r="H4363" t="e">
        <f ca="1">_xludf.IMAGE("https://m.media-amazon.com/images/I/51cWJR-r31L._AC_UL320_.jpg")</f>
        <v>#NAME?</v>
      </c>
      <c r="I4363" t="s">
        <v>246</v>
      </c>
      <c r="J4363">
        <v>29.97</v>
      </c>
      <c r="K4363" s="4">
        <v>-0.25019999999999998</v>
      </c>
      <c r="L4363">
        <v>4.8</v>
      </c>
      <c r="M4363">
        <v>9121</v>
      </c>
      <c r="O4363" t="s">
        <v>25</v>
      </c>
      <c r="P4363" t="s">
        <v>3177</v>
      </c>
      <c r="Q4363" t="s">
        <v>3178</v>
      </c>
    </row>
    <row r="4364" spans="1:17" ht="15.5" x14ac:dyDescent="0.35">
      <c r="A4364"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4364" s="3" t="str">
        <f>HYPERLINK("https://edmondsonsupply.com/products/fluke-st120-gfci-socket-tester-with-beeper", "https://edmondsonsupply.com/products/fluke-st120-gfci-socket-tester-with-beeper")</f>
        <v>https://edmondsonsupply.com/products/fluke-st120-gfci-socket-tester-with-beeper</v>
      </c>
      <c r="C4364" t="s">
        <v>8860</v>
      </c>
      <c r="D4364" t="s">
        <v>8352</v>
      </c>
      <c r="E4364" s="3" t="str">
        <f>HYPERLINK("https://www.amazon.com/Fluke-Socket-Tester-Without-Beeper/dp/B0B3VC2W6X/ref=sr_1_2?keywords=Fluke+ST120%2B+GFCI+Socket+Tester+with+Beeper&amp;qid=1695174161&amp;sr=8-2", "https://www.amazon.com/Fluke-Socket-Tester-Without-Beeper/dp/B0B3VC2W6X/ref=sr_1_2?keywords=Fluke+ST120%2B+GFCI+Socket+Tester+with+Beeper&amp;qid=1695174161&amp;sr=8-2")</f>
        <v>https://www.amazon.com/Fluke-Socket-Tester-Without-Beeper/dp/B0B3VC2W6X/ref=sr_1_2?keywords=Fluke+ST120%2B+GFCI+Socket+Tester+with+Beeper&amp;qid=1695174161&amp;sr=8-2</v>
      </c>
      <c r="F4364" t="s">
        <v>8353</v>
      </c>
      <c r="G4364" t="e">
        <f ca="1">_xludf.IMAGE("https://edmondsonsupply.com/cdn/shop/products/F-st120-plus_01a_w.webp?v=1662582919")</f>
        <v>#NAME?</v>
      </c>
      <c r="H4364" t="e">
        <f ca="1">_xludf.IMAGE("https://m.media-amazon.com/images/I/81hERZs6wNL._AC_UL320_.jpg")</f>
        <v>#NAME?</v>
      </c>
      <c r="I4364" t="s">
        <v>577</v>
      </c>
      <c r="J4364">
        <v>14.98</v>
      </c>
      <c r="K4364" s="4">
        <v>-0.25059999999999999</v>
      </c>
      <c r="L4364">
        <v>4.8</v>
      </c>
      <c r="M4364">
        <v>116</v>
      </c>
      <c r="O4364" t="s">
        <v>25</v>
      </c>
      <c r="P4364" t="s">
        <v>1158</v>
      </c>
      <c r="Q4364" t="s">
        <v>8861</v>
      </c>
    </row>
    <row r="4365" spans="1:17" ht="15.5" x14ac:dyDescent="0.35">
      <c r="A4365"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4365" s="3" t="str">
        <f>HYPERLINK("https://edmondsonsupply.com/products/fluke-st120-gfci-socket-tester-with-beeper", "https://edmondsonsupply.com/products/fluke-st120-gfci-socket-tester-with-beeper")</f>
        <v>https://edmondsonsupply.com/products/fluke-st120-gfci-socket-tester-with-beeper</v>
      </c>
      <c r="C4365" t="s">
        <v>8860</v>
      </c>
      <c r="D4365" t="s">
        <v>8355</v>
      </c>
      <c r="E4365" s="3" t="str">
        <f>HYPERLINK("https://www.amazon.com/Fluke-ST120-Socket-Tester-Audible/dp/B0B3VCZ4XK/ref=sr_1_1?keywords=Fluke+ST120%2B+GFCI+Socket+Tester+with+Beeper&amp;qid=1695174161&amp;sr=8-1", "https://www.amazon.com/Fluke-ST120-Socket-Tester-Audible/dp/B0B3VCZ4XK/ref=sr_1_1?keywords=Fluke+ST120%2B+GFCI+Socket+Tester+with+Beeper&amp;qid=1695174161&amp;sr=8-1")</f>
        <v>https://www.amazon.com/Fluke-ST120-Socket-Tester-Audible/dp/B0B3VCZ4XK/ref=sr_1_1?keywords=Fluke+ST120%2B+GFCI+Socket+Tester+with+Beeper&amp;qid=1695174161&amp;sr=8-1</v>
      </c>
      <c r="F4365" t="s">
        <v>8356</v>
      </c>
      <c r="G4365" t="e">
        <f ca="1">_xludf.IMAGE("https://edmondsonsupply.com/cdn/shop/products/F-st120-plus_01a_w.webp?v=1662582919")</f>
        <v>#NAME?</v>
      </c>
      <c r="H4365" t="e">
        <f ca="1">_xludf.IMAGE("https://m.media-amazon.com/images/I/816n049-GKL._AC_UL320_.jpg")</f>
        <v>#NAME?</v>
      </c>
      <c r="I4365" t="s">
        <v>577</v>
      </c>
      <c r="J4365">
        <v>14.98</v>
      </c>
      <c r="K4365" s="4">
        <v>-0.25059999999999999</v>
      </c>
      <c r="L4365">
        <v>4.8</v>
      </c>
      <c r="M4365">
        <v>641</v>
      </c>
      <c r="O4365" t="s">
        <v>25</v>
      </c>
      <c r="P4365" t="s">
        <v>1158</v>
      </c>
      <c r="Q4365" t="s">
        <v>8861</v>
      </c>
    </row>
    <row r="4366" spans="1:17" ht="15.5" x14ac:dyDescent="0.35">
      <c r="A4366" s="3" t="str">
        <f>HYPERLINK("https://edmondsonsupply.com/collections/electricians-tools/products/wiha-tools-66981-13-piece-ball-end-color-coded-hex-l-key-set-inch", "https://edmondsonsupply.com/collections/electricians-tools/products/wiha-tools-66981-13-piece-ball-end-color-coded-hex-l-key-set-inch")</f>
        <v>https://edmondsonsupply.com/collections/electricians-tools/products/wiha-tools-66981-13-piece-ball-end-color-coded-hex-l-key-set-inch</v>
      </c>
      <c r="B4366"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4366" t="s">
        <v>4747</v>
      </c>
      <c r="D4366" t="s">
        <v>4396</v>
      </c>
      <c r="E4366" s="3" t="str">
        <f>HYPERLINK("https://www.amazon.com/Wiha-66991-MagicRing-Holder-Piece/dp/B000WTAK2C/ref=sr_1_5?keywords=Wiha+Tools+66981+13+Piece+Ball+End+Color+Coded+Hex+L-Key+Set+-+Inch&amp;qid=1695173978&amp;sr=8-5", "https://www.amazon.com/Wiha-66991-MagicRing-Holder-Piece/dp/B000WTAK2C/ref=sr_1_5?keywords=Wiha+Tools+66981+13+Piece+Ball+End+Color+Coded+Hex+L-Key+Set+-+Inch&amp;qid=1695173978&amp;sr=8-5")</f>
        <v>https://www.amazon.com/Wiha-66991-MagicRing-Holder-Piece/dp/B000WTAK2C/ref=sr_1_5?keywords=Wiha+Tools+66981+13+Piece+Ball+End+Color+Coded+Hex+L-Key+Set+-+Inch&amp;qid=1695173978&amp;sr=8-5</v>
      </c>
      <c r="F4366" t="s">
        <v>4397</v>
      </c>
      <c r="G4366" t="e">
        <f ca="1">_xludf.IMAGE("https://edmondsonsupply.com/cdn/shop/files/d46e6f2ecefba25ae78922fd12be8f1dc56b6ee6_1000x_1d9d5bc7-c590-4e82-817a-f70a00b88949.webp?v=1690834995")</f>
        <v>#NAME?</v>
      </c>
      <c r="H4366" t="e">
        <f ca="1">_xludf.IMAGE("https://m.media-amazon.com/images/I/61jqxmDwZLL._AC_UL320_.jpg")</f>
        <v>#NAME?</v>
      </c>
      <c r="I4366" t="s">
        <v>4750</v>
      </c>
      <c r="J4366">
        <v>39.99</v>
      </c>
      <c r="K4366" s="4">
        <v>-0.25140000000000001</v>
      </c>
      <c r="L4366">
        <v>4.8</v>
      </c>
      <c r="M4366">
        <v>17</v>
      </c>
      <c r="O4366" t="s">
        <v>25</v>
      </c>
      <c r="P4366" t="s">
        <v>4751</v>
      </c>
      <c r="Q4366" t="s">
        <v>4752</v>
      </c>
    </row>
    <row r="4367" spans="1:17" ht="15.5" x14ac:dyDescent="0.35">
      <c r="A4367"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4367" s="3" t="str">
        <f>HYPERLINK("https://edmondsonsupply.com/products/klein-tools-66060-2-in-1-impact-socket-set-6-point-6-piece", "https://edmondsonsupply.com/products/klein-tools-66060-2-in-1-impact-socket-set-6-point-6-piece")</f>
        <v>https://edmondsonsupply.com/products/klein-tools-66060-2-in-1-impact-socket-set-6-point-6-piece</v>
      </c>
      <c r="C4367" t="s">
        <v>8124</v>
      </c>
      <c r="D4367" t="s">
        <v>7522</v>
      </c>
      <c r="E4367" s="3" t="str">
        <f>HYPERLINK("https://www.amazon.com/Klein-Tools-66050E-12-Point-Carrying/dp/B08R138PF6/ref=sr_1_10?keywords=Klein+Tools+66060+2-in-1+Impact+Socket+Set%2C+6-Point%2C+6-Piece&amp;qid=1695174139&amp;sr=8-10", "https://www.amazon.com/Klein-Tools-66050E-12-Point-Carrying/dp/B08R138PF6/ref=sr_1_10?keywords=Klein+Tools+66060+2-in-1+Impact+Socket+Set%2C+6-Point%2C+6-Piece&amp;qid=1695174139&amp;sr=8-10")</f>
        <v>https://www.amazon.com/Klein-Tools-66050E-12-Point-Carrying/dp/B08R138PF6/ref=sr_1_10?keywords=Klein+Tools+66060+2-in-1+Impact+Socket+Set%2C+6-Point%2C+6-Piece&amp;qid=1695174139&amp;sr=8-10</v>
      </c>
      <c r="F4367" t="s">
        <v>7523</v>
      </c>
      <c r="G4367" t="e">
        <f ca="1">_xludf.IMAGE("https://edmondsonsupply.com/cdn/shop/products/66060.jpg?v=1665592747")</f>
        <v>#NAME?</v>
      </c>
      <c r="H4367" t="e">
        <f ca="1">_xludf.IMAGE("https://m.media-amazon.com/images/I/61HXSd9dQWL._AC_UL320_.jpg")</f>
        <v>#NAME?</v>
      </c>
      <c r="I4367" t="s">
        <v>400</v>
      </c>
      <c r="J4367">
        <v>149.54</v>
      </c>
      <c r="K4367" s="4">
        <v>-0.25230000000000002</v>
      </c>
      <c r="L4367">
        <v>4.3</v>
      </c>
      <c r="M4367">
        <v>6</v>
      </c>
      <c r="O4367" t="s">
        <v>25</v>
      </c>
      <c r="P4367" t="s">
        <v>8125</v>
      </c>
      <c r="Q4367" t="s">
        <v>8126</v>
      </c>
    </row>
    <row r="4368" spans="1:17" ht="15.5" x14ac:dyDescent="0.35">
      <c r="A4368" s="3" t="str">
        <f>HYPERLINK("https://edmondsonsupply.com/collections/electricians-tools/products/klein-tools-rt250kit-premium-dual-range-ncvt-and-gfci-receptacle-tester-electrical-test-kit", "https://edmondsonsupply.com/collections/electricians-tools/products/klein-tools-rt250kit-premium-dual-range-ncvt-and-gfci-receptacle-tester-electrical-test-kit")</f>
        <v>https://edmondsonsupply.com/collections/electricians-tools/products/klein-tools-rt250kit-premium-dual-range-ncvt-and-gfci-receptacle-tester-electrical-test-kit</v>
      </c>
      <c r="B4368" s="3" t="str">
        <f>HYPERLINK("https://edmondsonsupply.com/products/klein-tools-rt250kit-premium-dual-range-ncvt-and-gfci-receptacle-tester-electrical-test-kit", "https://edmondsonsupply.com/products/klein-tools-rt250kit-premium-dual-range-ncvt-and-gfci-receptacle-tester-electrical-test-kit")</f>
        <v>https://edmondsonsupply.com/products/klein-tools-rt250kit-premium-dual-range-ncvt-and-gfci-receptacle-tester-electrical-test-kit</v>
      </c>
      <c r="C4368" t="s">
        <v>7592</v>
      </c>
      <c r="D4368" t="s">
        <v>3872</v>
      </c>
      <c r="E4368" s="3" t="str">
        <f>HYPERLINK("https://www.amazon.com/Klein-Tools-Receptacle-Standard-Electrical/dp/B0BC861K3W/ref=sr_1_2?keywords=Klein+Tools+RT250KIT+Premium+Dual-Range+NCVT+and+GFCI+Receptacle+Tester+Electrical+Test+Kit&amp;qid=1695174169&amp;sr=8-2", "https://www.amazon.com/Klein-Tools-Receptacle-Standard-Electrical/dp/B0BC861K3W/ref=sr_1_2?keywords=Klein+Tools+RT250KIT+Premium+Dual-Range+NCVT+and+GFCI+Receptacle+Tester+Electrical+Test+Kit&amp;qid=1695174169&amp;sr=8-2")</f>
        <v>https://www.amazon.com/Klein-Tools-Receptacle-Standard-Electrical/dp/B0BC861K3W/ref=sr_1_2?keywords=Klein+Tools+RT250KIT+Premium+Dual-Range+NCVT+and+GFCI+Receptacle+Tester+Electrical+Test+Kit&amp;qid=1695174169&amp;sr=8-2</v>
      </c>
      <c r="F4368" t="s">
        <v>3873</v>
      </c>
      <c r="G4368" t="e">
        <f ca="1">_xludf.IMAGE("https://edmondsonsupply.com/cdn/shop/products/rt250kit.jpg?v=1660755074")</f>
        <v>#NAME?</v>
      </c>
      <c r="H4368" t="e">
        <f ca="1">_xludf.IMAGE("https://m.media-amazon.com/images/I/5145pmsV9+L._AC_UL320_.jpg")</f>
        <v>#NAME?</v>
      </c>
      <c r="I4368" t="s">
        <v>198</v>
      </c>
      <c r="J4368">
        <v>29.88</v>
      </c>
      <c r="K4368" s="4">
        <v>-0.25280000000000002</v>
      </c>
      <c r="L4368">
        <v>4.5</v>
      </c>
      <c r="M4368">
        <v>14</v>
      </c>
      <c r="O4368" t="s">
        <v>25</v>
      </c>
      <c r="P4368" t="s">
        <v>4236</v>
      </c>
      <c r="Q4368" t="s">
        <v>7593</v>
      </c>
    </row>
    <row r="4369" spans="1:17" ht="15.5" x14ac:dyDescent="0.35">
      <c r="A4369"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4369" s="3" t="str">
        <f>HYPERLINK("https://edmondsonsupply.com/products/klein-tools-j203-8-pliers-needle-nose-side-cutters-8-inch", "https://edmondsonsupply.com/products/klein-tools-j203-8-pliers-needle-nose-side-cutters-8-inch")</f>
        <v>https://edmondsonsupply.com/products/klein-tools-j203-8-pliers-needle-nose-side-cutters-8-inch</v>
      </c>
      <c r="C4369" t="s">
        <v>6516</v>
      </c>
      <c r="D4369" t="s">
        <v>5226</v>
      </c>
      <c r="E4369" s="3" t="str">
        <f>HYPERLINK("https://www.amazon.com/Linemans-Alligator-Klein-Tools-D203-8/dp/B0000302WQ/ref=sr_1_2?keywords=Klein+Tools+J203-8+Pliers%2C+Needle+Nose+Side-Cutters%2C+8-Inch&amp;qid=1695174221&amp;sr=8-2", "https://www.amazon.com/Linemans-Alligator-Klein-Tools-D203-8/dp/B0000302WQ/ref=sr_1_2?keywords=Klein+Tools+J203-8+Pliers%2C+Needle+Nose+Side-Cutters%2C+8-Inch&amp;qid=1695174221&amp;sr=8-2")</f>
        <v>https://www.amazon.com/Linemans-Alligator-Klein-Tools-D203-8/dp/B0000302WQ/ref=sr_1_2?keywords=Klein+Tools+J203-8+Pliers%2C+Needle+Nose+Side-Cutters%2C+8-Inch&amp;qid=1695174221&amp;sr=8-2</v>
      </c>
      <c r="F4369" t="s">
        <v>5227</v>
      </c>
      <c r="G4369" t="e">
        <f ca="1">_xludf.IMAGE("https://edmondsonsupply.com/cdn/shop/products/j2038.jpg?v=1644709677")</f>
        <v>#NAME?</v>
      </c>
      <c r="H4369" t="e">
        <f ca="1">_xludf.IMAGE("https://m.media-amazon.com/images/I/51Ifjz4aftL._AC_UL320_.jpg")</f>
        <v>#NAME?</v>
      </c>
      <c r="I4369" t="s">
        <v>6519</v>
      </c>
      <c r="J4369">
        <v>28.74</v>
      </c>
      <c r="K4369" s="4">
        <v>-0.25330000000000003</v>
      </c>
      <c r="L4369">
        <v>4.8</v>
      </c>
      <c r="M4369">
        <v>935</v>
      </c>
      <c r="O4369" t="s">
        <v>25</v>
      </c>
      <c r="P4369" t="s">
        <v>6520</v>
      </c>
      <c r="Q4369" t="s">
        <v>6521</v>
      </c>
    </row>
    <row r="4370" spans="1:17" ht="15.5" x14ac:dyDescent="0.35">
      <c r="A4370"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4370"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4370" t="s">
        <v>5906</v>
      </c>
      <c r="D4370" t="s">
        <v>5920</v>
      </c>
      <c r="E4370" s="3" t="str">
        <f>HYPERLINK("https://www.amazon.com/Diablo-DMAMXCC5040-SDS-Max-Carbide-Tipped/dp/B089M9SDDV/ref=sr_1_5?keywords=Diablo+Tools+DMAMXCC5050+4+in.+x+7+in.+SDS-Max+Carbide+Tipped+Core+Bit&amp;qid=1695174004&amp;sr=8-5", "https://www.amazon.com/Diablo-DMAMXCC5040-SDS-Max-Carbide-Tipped/dp/B089M9SDDV/ref=sr_1_5?keywords=Diablo+Tools+DMAMXCC5050+4+in.+x+7+in.+SDS-Max+Carbide+Tipped+Core+Bit&amp;qid=1695174004&amp;sr=8-5")</f>
        <v>https://www.amazon.com/Diablo-DMAMXCC5040-SDS-Max-Carbide-Tipped/dp/B089M9SDDV/ref=sr_1_5?keywords=Diablo+Tools+DMAMXCC5050+4+in.+x+7+in.+SDS-Max+Carbide+Tipped+Core+Bit&amp;qid=1695174004&amp;sr=8-5</v>
      </c>
      <c r="F4370" t="s">
        <v>5921</v>
      </c>
      <c r="G4370" t="e">
        <f ca="1">_xludf.IMAGE("https://edmondsonsupply.com/cdn/shop/files/yghx7uqdjxchri5fikny.webp?v=1686586834")</f>
        <v>#NAME?</v>
      </c>
      <c r="H4370" t="e">
        <f ca="1">_xludf.IMAGE("https://m.media-amazon.com/images/I/71hVl4OIfrL._AC_UL320_.jpg")</f>
        <v>#NAME?</v>
      </c>
      <c r="I4370" t="s">
        <v>5907</v>
      </c>
      <c r="J4370">
        <v>112.99</v>
      </c>
      <c r="K4370" s="4">
        <v>-0.25369999999999998</v>
      </c>
      <c r="L4370">
        <v>4</v>
      </c>
      <c r="M4370">
        <v>1</v>
      </c>
      <c r="O4370" t="s">
        <v>25</v>
      </c>
      <c r="P4370" t="s">
        <v>5908</v>
      </c>
      <c r="Q4370" t="s">
        <v>5909</v>
      </c>
    </row>
    <row r="4371" spans="1:17" ht="15.5" x14ac:dyDescent="0.35">
      <c r="A4371"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4371" s="3" t="str">
        <f>HYPERLINK("https://edmondsonsupply.com/products/klein-tools-66076-flip-impact-socket-9-16-and-1-2-inch", "https://edmondsonsupply.com/products/klein-tools-66076-flip-impact-socket-9-16-and-1-2-inch")</f>
        <v>https://edmondsonsupply.com/products/klein-tools-66076-flip-impact-socket-9-16-and-1-2-inch</v>
      </c>
      <c r="C4371" t="s">
        <v>6085</v>
      </c>
      <c r="D4371" t="s">
        <v>8815</v>
      </c>
      <c r="E4371" s="3" t="str">
        <f>HYPERLINK("https://www.amazon.com/Klein-Tools-32766-16-Inch-Drivers/dp/B09R2L4GFJ/ref=sr_1_9?keywords=Klein+Tools+66076+Flip+Impact+Socket%2C+9%2F16+and+1%2F2-Inch&amp;qid=1695174172&amp;sr=8-9", "https://www.amazon.com/Klein-Tools-32766-16-Inch-Drivers/dp/B09R2L4GFJ/ref=sr_1_9?keywords=Klein+Tools+66076+Flip+Impact+Socket%2C+9%2F16+and+1%2F2-Inch&amp;qid=1695174172&amp;sr=8-9")</f>
        <v>https://www.amazon.com/Klein-Tools-32766-16-Inch-Drivers/dp/B09R2L4GFJ/ref=sr_1_9?keywords=Klein+Tools+66076+Flip+Impact+Socket%2C+9%2F16+and+1%2F2-Inch&amp;qid=1695174172&amp;sr=8-9</v>
      </c>
      <c r="F4371" t="s">
        <v>8816</v>
      </c>
      <c r="G4371" t="e">
        <f ca="1">_xludf.IMAGE("https://edmondsonsupply.com/cdn/shop/products/66076.jpg?v=1663083814")</f>
        <v>#NAME?</v>
      </c>
      <c r="H4371" t="e">
        <f ca="1">_xludf.IMAGE("https://m.media-amazon.com/images/I/41MLWTR6goL._AC_UL320_.jpg")</f>
        <v>#NAME?</v>
      </c>
      <c r="I4371" t="s">
        <v>6086</v>
      </c>
      <c r="J4371">
        <v>7.99</v>
      </c>
      <c r="K4371" s="4">
        <v>-0.254</v>
      </c>
      <c r="L4371">
        <v>4.5</v>
      </c>
      <c r="M4371">
        <v>1251</v>
      </c>
      <c r="O4371" t="s">
        <v>25</v>
      </c>
      <c r="P4371" t="s">
        <v>6087</v>
      </c>
      <c r="Q4371" t="s">
        <v>6088</v>
      </c>
    </row>
    <row r="4372" spans="1:17" ht="15.5" x14ac:dyDescent="0.35">
      <c r="A4372"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4372"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4372" t="s">
        <v>6827</v>
      </c>
      <c r="D4372" t="s">
        <v>4269</v>
      </c>
      <c r="E4372" s="3" t="str">
        <f>HYPERLINK("https://www.amazon.com/Diablo-Freud-DMAMX1300-4-Cutter-Carbide-Tipped/dp/B089KX2QSQ/ref=sr_1_4?keywords=Diablo+Tools+DMAMX1360+1-1%2F2+in.+x+16+in.+x+21+in.+Rebar+Demon%E2%84%A2+SDS-Max+4-Cutter+Carbide-Tipped+Hammer+Drill+Bit&amp;qid=1695174071&amp;sr=8-4", "https://www.amazon.com/Diablo-Freud-DMAMX1300-4-Cutter-Carbide-Tipped/dp/B089KX2QSQ/ref=sr_1_4?keywords=Diablo+Tools+DMAMX1360+1-1%2F2+in.+x+16+in.+x+21+in.+Rebar+Demon%E2%84%A2+SDS-Max+4-Cutter+Carbide-Tipped+Hammer+Drill+Bit&amp;qid=1695174071&amp;sr=8-4")</f>
        <v>https://www.amazon.com/Diablo-Freud-DMAMX1300-4-Cutter-Carbide-Tipped/dp/B089KX2QSQ/ref=sr_1_4?keywords=Diablo+Tools+DMAMX1360+1-1%2F2+in.+x+16+in.+x+21+in.+Rebar+Demon%E2%84%A2+SDS-Max+4-Cutter+Carbide-Tipped+Hammer+Drill+Bit&amp;qid=1695174071&amp;sr=8-4</v>
      </c>
      <c r="F4372" t="s">
        <v>4270</v>
      </c>
      <c r="G4372" t="e">
        <f ca="1">_xludf.IMAGE("https://edmondsonsupply.com/cdn/shop/products/z2umcsdaj3y4uvsfnxoh.webp?v=1677257156")</f>
        <v>#NAME?</v>
      </c>
      <c r="H4372" t="e">
        <f ca="1">_xludf.IMAGE("https://m.media-amazon.com/images/I/61pgqdG9SfL._AC_UL320_.jpg")</f>
        <v>#NAME?</v>
      </c>
      <c r="I4372" t="s">
        <v>6830</v>
      </c>
      <c r="J4372">
        <v>70</v>
      </c>
      <c r="K4372" s="4">
        <v>-0.25430000000000003</v>
      </c>
      <c r="L4372">
        <v>5</v>
      </c>
      <c r="M4372">
        <v>2</v>
      </c>
      <c r="O4372" t="s">
        <v>25</v>
      </c>
      <c r="P4372" t="s">
        <v>6831</v>
      </c>
      <c r="Q4372" t="s">
        <v>6832</v>
      </c>
    </row>
    <row r="4373" spans="1:17" ht="15.5" x14ac:dyDescent="0.35">
      <c r="A4373"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4373"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4373" t="s">
        <v>6358</v>
      </c>
      <c r="D4373" t="s">
        <v>8470</v>
      </c>
      <c r="E4373" s="3" t="str">
        <f>HYPERLINK("https://www.amazon.com/Journeyman-T-Handle-Klein-Tools-JTH6E06BE/dp/B004QVX826/ref=sr_1_2?keywords=Klein+Tools+JTH6M3BE+3+mm+Ball+Hex+Key+Journeyman+T-Handle+6-Inch&amp;qid=1695174181&amp;sr=8-2", "https://www.amazon.com/Journeyman-T-Handle-Klein-Tools-JTH6E06BE/dp/B004QVX826/ref=sr_1_2?keywords=Klein+Tools+JTH6M3BE+3+mm+Ball+Hex+Key+Journeyman+T-Handle+6-Inch&amp;qid=1695174181&amp;sr=8-2")</f>
        <v>https://www.amazon.com/Journeyman-T-Handle-Klein-Tools-JTH6E06BE/dp/B004QVX826/ref=sr_1_2?keywords=Klein+Tools+JTH6M3BE+3+mm+Ball+Hex+Key+Journeyman+T-Handle+6-Inch&amp;qid=1695174181&amp;sr=8-2</v>
      </c>
      <c r="F4373" t="s">
        <v>8471</v>
      </c>
      <c r="G4373" t="e">
        <f ca="1">_xludf.IMAGE("https://edmondsonsupply.com/cdn/shop/products/jth6m8be_1b0aeba1-6d03-4a46-99d8-f6853368c71f.jpg?v=1655941616")</f>
        <v>#NAME?</v>
      </c>
      <c r="H4373" t="e">
        <f ca="1">_xludf.IMAGE("https://m.media-amazon.com/images/I/51f9vBFVXgL._AC_UL320_.jpg")</f>
        <v>#NAME?</v>
      </c>
      <c r="I4373" t="s">
        <v>2388</v>
      </c>
      <c r="J4373">
        <v>3.72</v>
      </c>
      <c r="K4373" s="4">
        <v>-0.2545</v>
      </c>
      <c r="L4373">
        <v>4.8</v>
      </c>
      <c r="M4373">
        <v>456</v>
      </c>
      <c r="O4373" t="s">
        <v>25</v>
      </c>
      <c r="P4373" t="s">
        <v>2392</v>
      </c>
      <c r="Q4373" t="s">
        <v>6359</v>
      </c>
    </row>
    <row r="4374" spans="1:17" ht="15.5" x14ac:dyDescent="0.35">
      <c r="A4374"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4374"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4374" t="s">
        <v>6355</v>
      </c>
      <c r="D4374" t="s">
        <v>8470</v>
      </c>
      <c r="E4374" s="3" t="str">
        <f>HYPERLINK("https://www.amazon.com/Journeyman-T-Handle-Klein-Tools-JTH6E06BE/dp/B004QVX826/ref=sr_1_1?keywords=Klein+Tools+JTH6E06BE+3%2F32-Inch+Ball+End+Hex+Key+with+T-Handle%2C+6-Inch&amp;qid=1695174255&amp;sr=8-1", "https://www.amazon.com/Journeyman-T-Handle-Klein-Tools-JTH6E06BE/dp/B004QVX826/ref=sr_1_1?keywords=Klein+Tools+JTH6E06BE+3%2F32-Inch+Ball+End+Hex+Key+with+T-Handle%2C+6-Inch&amp;qid=1695174255&amp;sr=8-1")</f>
        <v>https://www.amazon.com/Journeyman-T-Handle-Klein-Tools-JTH6E06BE/dp/B004QVX826/ref=sr_1_1?keywords=Klein+Tools+JTH6E06BE+3%2F32-Inch+Ball+End+Hex+Key+with+T-Handle%2C+6-Inch&amp;qid=1695174255&amp;sr=8-1</v>
      </c>
      <c r="F4374" t="s">
        <v>8471</v>
      </c>
      <c r="G4374" t="e">
        <f ca="1">_xludf.IMAGE("https://edmondsonsupply.com/cdn/shop/products/jth6e13be_f61308c8-99eb-44df-aac2-25c9159d6b6d.jpg?v=1633031148")</f>
        <v>#NAME?</v>
      </c>
      <c r="H4374" t="e">
        <f ca="1">_xludf.IMAGE("https://m.media-amazon.com/images/I/51f9vBFVXgL._AC_UL320_.jpg")</f>
        <v>#NAME?</v>
      </c>
      <c r="I4374" t="s">
        <v>2388</v>
      </c>
      <c r="J4374">
        <v>3.72</v>
      </c>
      <c r="K4374" s="4">
        <v>-0.2545</v>
      </c>
      <c r="L4374">
        <v>4.8</v>
      </c>
      <c r="M4374">
        <v>456</v>
      </c>
      <c r="O4374" t="s">
        <v>25</v>
      </c>
      <c r="P4374" t="s">
        <v>6356</v>
      </c>
      <c r="Q4374" t="s">
        <v>6357</v>
      </c>
    </row>
    <row r="4375" spans="1:17" ht="15.5" x14ac:dyDescent="0.35">
      <c r="A4375" s="3" t="str">
        <f>HYPERLINK("https://edmondsonsupply.com/collections/electricians-tools/products/milwaukee-48-59-1806-m18%E2%84%A2-six-pack-sequential-charger", "https://edmondsonsupply.com/collections/electricians-tools/products/milwaukee-48-59-1806-m18%E2%84%A2-six-pack-sequential-charger")</f>
        <v>https://edmondsonsupply.com/collections/electricians-tools/products/milwaukee-48-59-1806-m18%E2%84%A2-six-pack-sequential-charger</v>
      </c>
      <c r="B4375" s="3" t="str">
        <f>HYPERLINK("https://edmondsonsupply.com/products/milwaukee-48-59-1806-m18%e2%84%a2-six-pack-sequential-charger", "https://edmondsonsupply.com/products/milwaukee-48-59-1806-m18%e2%84%a2-six-pack-sequential-charger")</f>
        <v>https://edmondsonsupply.com/products/milwaukee-48-59-1806-m18%e2%84%a2-six-pack-sequential-charger</v>
      </c>
      <c r="C4375" t="s">
        <v>8862</v>
      </c>
      <c r="D4375" t="s">
        <v>8863</v>
      </c>
      <c r="E4375" s="3" t="str">
        <f>HYPERLINK("https://www.amazon.com/DSANKE-48-59-1806-M18-Charger-Replacement/dp/B0BQ6LKZTW/ref=sr_1_2?keywords=Milwaukee+48-59-1806+M18%E2%84%A2+Six+Pack+Sequential+Charger&amp;qid=1695174187&amp;sr=8-2", "https://www.amazon.com/DSANKE-48-59-1806-M18-Charger-Replacement/dp/B0BQ6LKZTW/ref=sr_1_2?keywords=Milwaukee+48-59-1806+M18%E2%84%A2+Six+Pack+Sequential+Charger&amp;qid=1695174187&amp;sr=8-2")</f>
        <v>https://www.amazon.com/DSANKE-48-59-1806-M18-Charger-Replacement/dp/B0BQ6LKZTW/ref=sr_1_2?keywords=Milwaukee+48-59-1806+M18%E2%84%A2+Six+Pack+Sequential+Charger&amp;qid=1695174187&amp;sr=8-2</v>
      </c>
      <c r="F4375" t="s">
        <v>8864</v>
      </c>
      <c r="G4375" t="e">
        <f ca="1">_xludf.IMAGE("https://edmondsonsupply.com/cdn/shop/products/48-59-1806_4.webp?v=1656531026")</f>
        <v>#NAME?</v>
      </c>
      <c r="H4375" t="e">
        <f ca="1">_xludf.IMAGE("https://m.media-amazon.com/images/I/71jgf-XUv2L._AC_UL320_.jpg")</f>
        <v>#NAME?</v>
      </c>
      <c r="I4375" t="s">
        <v>739</v>
      </c>
      <c r="J4375">
        <v>95.99</v>
      </c>
      <c r="K4375" s="4">
        <v>-0.25590000000000002</v>
      </c>
      <c r="L4375">
        <v>4.5999999999999996</v>
      </c>
      <c r="M4375">
        <v>1487</v>
      </c>
      <c r="O4375" t="s">
        <v>25</v>
      </c>
      <c r="P4375" t="s">
        <v>283</v>
      </c>
      <c r="Q4375" t="s">
        <v>8865</v>
      </c>
    </row>
    <row r="4376" spans="1:17" ht="15.5" x14ac:dyDescent="0.35">
      <c r="A4376" s="3" t="str">
        <f>HYPERLINK("https://edmondsonsupply.com/collections/electricians-tools/products/klein-tools-1550-44-pocket-knife-2-5-8-inch-hawkbill-slitting-blade", "https://edmondsonsupply.com/collections/electricians-tools/products/klein-tools-1550-44-pocket-knife-2-5-8-inch-hawkbill-slitting-blade")</f>
        <v>https://edmondsonsupply.com/collections/electricians-tools/products/klein-tools-1550-44-pocket-knife-2-5-8-inch-hawkbill-slitting-blade</v>
      </c>
      <c r="B4376" s="3" t="str">
        <f>HYPERLINK("https://edmondsonsupply.com/products/klein-tools-1550-44-pocket-knife-2-5-8-inch-hawkbill-slitting-blade", "https://edmondsonsupply.com/products/klein-tools-1550-44-pocket-knife-2-5-8-inch-hawkbill-slitting-blade")</f>
        <v>https://edmondsonsupply.com/products/klein-tools-1550-44-pocket-knife-2-5-8-inch-hawkbill-slitting-blade</v>
      </c>
      <c r="C4376" t="s">
        <v>6747</v>
      </c>
      <c r="D4376" t="s">
        <v>8866</v>
      </c>
      <c r="E4376" s="3" t="str">
        <f>HYPERLINK("https://www.amazon.com/Klein-Tools-1550-44-Stainless-Hawkbill/dp/B00093DYPQ/ref=sr_1_1?keywords=Klein+Tools+1550-44+Pocket+Knife%2C+2-5%2F8-Inch+Hawkbill+Slitting+Blade&amp;qid=1695174173&amp;sr=8-1", "https://www.amazon.com/Klein-Tools-1550-44-Stainless-Hawkbill/dp/B00093DYPQ/ref=sr_1_1?keywords=Klein+Tools+1550-44+Pocket+Knife%2C+2-5%2F8-Inch+Hawkbill+Slitting+Blade&amp;qid=1695174173&amp;sr=8-1")</f>
        <v>https://www.amazon.com/Klein-Tools-1550-44-Stainless-Hawkbill/dp/B00093DYPQ/ref=sr_1_1?keywords=Klein+Tools+1550-44+Pocket+Knife%2C+2-5%2F8-Inch+Hawkbill+Slitting+Blade&amp;qid=1695174173&amp;sr=8-1</v>
      </c>
      <c r="F4376" t="s">
        <v>8867</v>
      </c>
      <c r="G4376" t="e">
        <f ca="1">_xludf.IMAGE("https://edmondsonsupply.com/cdn/shop/products/155044_c.jpg?v=1662662355")</f>
        <v>#NAME?</v>
      </c>
      <c r="H4376" t="e">
        <f ca="1">_xludf.IMAGE("https://m.media-amazon.com/images/I/41N-7HDOB1L._AC_UL320_.jpg")</f>
        <v>#NAME?</v>
      </c>
      <c r="I4376" t="s">
        <v>6750</v>
      </c>
      <c r="J4376">
        <v>22.99</v>
      </c>
      <c r="K4376" s="4">
        <v>-0.25669999999999998</v>
      </c>
      <c r="L4376">
        <v>4.5</v>
      </c>
      <c r="M4376">
        <v>411</v>
      </c>
      <c r="O4376" t="s">
        <v>25</v>
      </c>
      <c r="P4376" t="s">
        <v>6751</v>
      </c>
      <c r="Q4376" t="s">
        <v>6752</v>
      </c>
    </row>
    <row r="4377" spans="1:17" ht="15.5" x14ac:dyDescent="0.35">
      <c r="A4377" s="3" t="str">
        <f>HYPERLINK("https://edmondsonsupply.com/collections/electricians-tools/products/diablo-tools-dmamx1220", "https://edmondsonsupply.com/collections/electricians-tools/products/diablo-tools-dmamx1220")</f>
        <v>https://edmondsonsupply.com/collections/electricians-tools/products/diablo-tools-dmamx1220</v>
      </c>
      <c r="B4377" s="3" t="str">
        <f>HYPERLINK("https://edmondsonsupply.com/products/diablo-tools-dmamx1220", "https://edmondsonsupply.com/products/diablo-tools-dmamx1220")</f>
        <v>https://edmondsonsupply.com/products/diablo-tools-dmamx1220</v>
      </c>
      <c r="C4377" t="s">
        <v>7454</v>
      </c>
      <c r="D4377" t="s">
        <v>5560</v>
      </c>
      <c r="E4377" s="3" t="str">
        <f>HYPERLINK("https://www.amazon.com/Diablo-Freud-DMAPL4300-SDS-Plus-4-Cutter/dp/B089LL8JD8/ref=sr_1_6?keywords=Diablo+Tools+DMAMX1220+1+in.+x+16+in.+x+21+in.+Rebar+Demon%E2%84%A2+SDS-Max+4-Cutter+Full+Carbide+Head+Hammer+Drill+Bit&amp;qid=1695174109&amp;sr=8-6", "https://www.amazon.com/Diablo-Freud-DMAPL4300-SDS-Plus-4-Cutter/dp/B089LL8JD8/ref=sr_1_6?keywords=Diablo+Tools+DMAMX1220+1+in.+x+16+in.+x+21+in.+Rebar+Demon%E2%84%A2+SDS-Max+4-Cutter+Full+Carbide+Head+Hammer+Drill+Bit&amp;qid=1695174109&amp;sr=8-6")</f>
        <v>https://www.amazon.com/Diablo-Freud-DMAPL4300-SDS-Plus-4-Cutter/dp/B089LL8JD8/ref=sr_1_6?keywords=Diablo+Tools+DMAMX1220+1+in.+x+16+in.+x+21+in.+Rebar+Demon%E2%84%A2+SDS-Max+4-Cutter+Full+Carbide+Head+Hammer+Drill+Bit&amp;qid=1695174109&amp;sr=8-6</v>
      </c>
      <c r="F4377" t="s">
        <v>5561</v>
      </c>
      <c r="G4377" t="e">
        <f ca="1">_xludf.IMAGE("https://edmondsonsupply.com/cdn/shop/products/immoyh7jjmbau4fzhuq6.webp?v=1670431066")</f>
        <v>#NAME?</v>
      </c>
      <c r="H4377" t="e">
        <f ca="1">_xludf.IMAGE("https://m.media-amazon.com/images/I/616UiJGsK1L._AC_UL320_.jpg")</f>
        <v>#NAME?</v>
      </c>
      <c r="I4377" t="s">
        <v>7455</v>
      </c>
      <c r="J4377">
        <v>33.950000000000003</v>
      </c>
      <c r="K4377" s="4">
        <v>-0.25690000000000002</v>
      </c>
      <c r="L4377">
        <v>4.5</v>
      </c>
      <c r="M4377">
        <v>16</v>
      </c>
      <c r="O4377" t="s">
        <v>25</v>
      </c>
      <c r="P4377" t="s">
        <v>7456</v>
      </c>
      <c r="Q4377" t="s">
        <v>7457</v>
      </c>
    </row>
    <row r="4378" spans="1:17" ht="15.5" x14ac:dyDescent="0.35">
      <c r="A4378"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4378" s="3" t="str">
        <f>HYPERLINK("https://edmondsonsupply.com/products/klein-tools-69190-magnetic-hanger", "https://edmondsonsupply.com/products/klein-tools-69190-magnetic-hanger")</f>
        <v>https://edmondsonsupply.com/products/klein-tools-69190-magnetic-hanger</v>
      </c>
      <c r="C4378" t="s">
        <v>7906</v>
      </c>
      <c r="D4378" t="s">
        <v>4874</v>
      </c>
      <c r="E4378" s="3" t="str">
        <f>HYPERLINK("https://www.amazon.com/Klein-Tools-69445-Magnetic-Multimeters/dp/B08CP568HY/ref=sr_1_4?keywords=Klein+Tools+69190+Magnetic+Hanger&amp;qid=1695174256&amp;sr=8-4", "https://www.amazon.com/Klein-Tools-69445-Magnetic-Multimeters/dp/B08CP568HY/ref=sr_1_4?keywords=Klein+Tools+69190+Magnetic+Hanger&amp;qid=1695174256&amp;sr=8-4")</f>
        <v>https://www.amazon.com/Klein-Tools-69445-Magnetic-Multimeters/dp/B08CP568HY/ref=sr_1_4?keywords=Klein+Tools+69190+Magnetic+Hanger&amp;qid=1695174256&amp;sr=8-4</v>
      </c>
      <c r="F4378" t="s">
        <v>4875</v>
      </c>
      <c r="G4378" t="e">
        <f ca="1">_xludf.IMAGE("https://edmondsonsupply.com/cdn/shop/products/69190.jpg?v=1633031095")</f>
        <v>#NAME?</v>
      </c>
      <c r="H4378" t="e">
        <f ca="1">_xludf.IMAGE("https://m.media-amazon.com/images/I/61xhBmfQ1SL._AC_UL320_.jpg")</f>
        <v>#NAME?</v>
      </c>
      <c r="I4378" t="s">
        <v>3185</v>
      </c>
      <c r="J4378">
        <v>15.59</v>
      </c>
      <c r="K4378" s="4">
        <v>-0.25729999999999997</v>
      </c>
      <c r="L4378">
        <v>4.8</v>
      </c>
      <c r="M4378">
        <v>403</v>
      </c>
      <c r="O4378" t="s">
        <v>25</v>
      </c>
      <c r="P4378" t="s">
        <v>7909</v>
      </c>
      <c r="Q4378" t="s">
        <v>7910</v>
      </c>
    </row>
    <row r="4379" spans="1:17" ht="15.5" x14ac:dyDescent="0.35">
      <c r="A4379" s="3" t="str">
        <f>HYPERLINK("https://edmondsonsupply.com/collections/electricians-tools/products/amprobe-st-102b-receptacle-tester-with-gfci", "https://edmondsonsupply.com/collections/electricians-tools/products/amprobe-st-102b-receptacle-tester-with-gfci")</f>
        <v>https://edmondsonsupply.com/collections/electricians-tools/products/amprobe-st-102b-receptacle-tester-with-gfci</v>
      </c>
      <c r="B4379" s="3" t="str">
        <f>HYPERLINK("https://edmondsonsupply.com/products/amprobe-st-102b-receptacle-tester-with-gfci", "https://edmondsonsupply.com/products/amprobe-st-102b-receptacle-tester-with-gfci")</f>
        <v>https://edmondsonsupply.com/products/amprobe-st-102b-receptacle-tester-with-gfci</v>
      </c>
      <c r="C4379" t="s">
        <v>7388</v>
      </c>
      <c r="D4379" t="s">
        <v>8868</v>
      </c>
      <c r="E4379" s="3" t="str">
        <f>HYPERLINK("https://www.amazon.com/Xin-Tester-Receptacle-Electrical-Detecting/dp/B0BZHY3N87/ref=sr_1_9?keywords=Amprobe+ST-102B+Receptacle+Tester+with+GFCI&amp;qid=1695174172&amp;sr=8-9", "https://www.amazon.com/Xin-Tester-Receptacle-Electrical-Detecting/dp/B0BZHY3N87/ref=sr_1_9?keywords=Amprobe+ST-102B+Receptacle+Tester+with+GFCI&amp;qid=1695174172&amp;sr=8-9")</f>
        <v>https://www.amazon.com/Xin-Tester-Receptacle-Electrical-Detecting/dp/B0BZHY3N87/ref=sr_1_9?keywords=Amprobe+ST-102B+Receptacle+Tester+with+GFCI&amp;qid=1695174172&amp;sr=8-9</v>
      </c>
      <c r="F4379" t="s">
        <v>8869</v>
      </c>
      <c r="G4379" t="e">
        <f ca="1">_xludf.IMAGE("https://edmondsonsupply.com/cdn/shop/products/PD_ST102B1.jpg?v=1662641155")</f>
        <v>#NAME?</v>
      </c>
      <c r="H4379" t="e">
        <f ca="1">_xludf.IMAGE("https://m.media-amazon.com/images/I/61xIHoxxAEL._AC_UL320_.jpg")</f>
        <v>#NAME?</v>
      </c>
      <c r="I4379" t="s">
        <v>7391</v>
      </c>
      <c r="J4379">
        <v>12.99</v>
      </c>
      <c r="K4379" s="4">
        <v>-0.25729999999999997</v>
      </c>
      <c r="L4379">
        <v>4.5</v>
      </c>
      <c r="M4379">
        <v>27</v>
      </c>
      <c r="O4379" t="s">
        <v>25</v>
      </c>
      <c r="P4379" t="s">
        <v>577</v>
      </c>
      <c r="Q4379" t="s">
        <v>7392</v>
      </c>
    </row>
    <row r="4380" spans="1:17" ht="15.5" x14ac:dyDescent="0.35">
      <c r="A4380" s="3" t="str">
        <f>HYPERLINK("https://edmondsonsupply.com/collections/electricians-tools/products/clc-1528-11", "https://edmondsonsupply.com/collections/electricians-tools/products/clc-1528-11")</f>
        <v>https://edmondsonsupply.com/collections/electricians-tools/products/clc-1528-11</v>
      </c>
      <c r="B4380" s="3" t="str">
        <f>HYPERLINK("https://edmondsonsupply.com/products/clc-1528-11", "https://edmondsonsupply.com/products/clc-1528-11")</f>
        <v>https://edmondsonsupply.com/products/clc-1528-11</v>
      </c>
      <c r="C4380" t="s">
        <v>389</v>
      </c>
      <c r="D4380" t="s">
        <v>752</v>
      </c>
      <c r="E4380" s="3" t="str">
        <f>HYPERLINK("https://www.amazon.com/Custom-LeatherCraft-1528-Electrical-Maintenance/dp/B0000DYVHS/ref=sr_1_1?keywords=CLC+1528+11%22+Electrical+%26+Maintenance+Tool+Carrier&amp;qid=1695173922&amp;sr=8-1", "https://www.amazon.com/Custom-LeatherCraft-1528-Electrical-Maintenance/dp/B0000DYVHS/ref=sr_1_1?keywords=CLC+1528+11%22+Electrical+%26+Maintenance+Tool+Carrier&amp;qid=1695173922&amp;sr=8-1")</f>
        <v>https://www.amazon.com/Custom-LeatherCraft-1528-Electrical-Maintenance/dp/B0000DYVHS/ref=sr_1_1?keywords=CLC+1528+11%22+Electrical+%26+Maintenance+Tool+Carrier&amp;qid=1695173922&amp;sr=8-1</v>
      </c>
      <c r="F4380" t="s">
        <v>753</v>
      </c>
      <c r="G4380" t="e">
        <f ca="1">_xludf.IMAGE("https://edmondsonsupply.com/cdn/shop/products/clc-1528__1_321x_3x.progressive_bf390c4e-ab2d-4119-a706-a1ca10a9b643.jpg?v=1609778372")</f>
        <v>#NAME?</v>
      </c>
      <c r="H4380" t="e">
        <f ca="1">_xludf.IMAGE("https://m.media-amazon.com/images/I/814upkO6TBL._AC_UL320_.jpg")</f>
        <v>#NAME?</v>
      </c>
      <c r="I4380" t="s">
        <v>392</v>
      </c>
      <c r="J4380">
        <v>51.8</v>
      </c>
      <c r="K4380" s="4">
        <v>-0.25950000000000001</v>
      </c>
      <c r="L4380">
        <v>4.7</v>
      </c>
      <c r="M4380">
        <v>1541</v>
      </c>
      <c r="O4380" t="s">
        <v>25</v>
      </c>
      <c r="P4380" t="s">
        <v>393</v>
      </c>
      <c r="Q4380" t="s">
        <v>394</v>
      </c>
    </row>
    <row r="4381" spans="1:17" ht="15.5" x14ac:dyDescent="0.35">
      <c r="A4381"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4381"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4381" t="s">
        <v>8050</v>
      </c>
      <c r="D4381" t="s">
        <v>3909</v>
      </c>
      <c r="E4381" s="3" t="str">
        <f>HYPERLINK("https://www.amazon.com/Channellock-430-Straight-Heat-Treated-Reinforcing/dp/B00002N5JF/ref=sr_1_2?keywords=Channellock+430X+10-Inch+SPEEDGRIP%E2%84%A2+Straight+Jaw+Tongue+%26+Groove+Pliers&amp;qid=1695174216&amp;sr=8-2", "https://www.amazon.com/Channellock-430-Straight-Heat-Treated-Reinforcing/dp/B00002N5JF/ref=sr_1_2?keywords=Channellock+430X+10-Inch+SPEEDGRIP%E2%84%A2+Straight+Jaw+Tongue+%26+Groove+Pliers&amp;qid=1695174216&amp;sr=8-2")</f>
        <v>https://www.amazon.com/Channellock-430-Straight-Heat-Treated-Reinforcing/dp/B00002N5JF/ref=sr_1_2?keywords=Channellock+430X+10-Inch+SPEEDGRIP%E2%84%A2+Straight+Jaw+Tongue+%26+Groove+Pliers&amp;qid=1695174216&amp;sr=8-2</v>
      </c>
      <c r="F4381" t="s">
        <v>3910</v>
      </c>
      <c r="G4381" t="e">
        <f ca="1">_xludf.IMAGE("https://edmondsonsupply.com/cdn/shop/products/430X.jpg?v=1647100497")</f>
        <v>#NAME?</v>
      </c>
      <c r="H4381" t="e">
        <f ca="1">_xludf.IMAGE("https://m.media-amazon.com/images/I/71JqgqffnnL._AC_UL320_.jpg")</f>
        <v>#NAME?</v>
      </c>
      <c r="I4381" t="s">
        <v>5375</v>
      </c>
      <c r="J4381">
        <v>19.95</v>
      </c>
      <c r="K4381" s="4">
        <v>-0.25969999999999999</v>
      </c>
      <c r="L4381">
        <v>4.8</v>
      </c>
      <c r="M4381">
        <v>2191</v>
      </c>
      <c r="O4381" t="s">
        <v>25</v>
      </c>
      <c r="P4381" t="s">
        <v>8051</v>
      </c>
      <c r="Q4381" t="s">
        <v>8052</v>
      </c>
    </row>
    <row r="4382" spans="1:17" ht="15.5" x14ac:dyDescent="0.35">
      <c r="A4382" s="3" t="str">
        <f>HYPERLINK("https://edmondsonsupply.com/collections/electricians-tools/products/channellock-430cb", "https://edmondsonsupply.com/collections/electricians-tools/products/channellock-430cb")</f>
        <v>https://edmondsonsupply.com/collections/electricians-tools/products/channellock-430cb</v>
      </c>
      <c r="B4382" s="3" t="str">
        <f>HYPERLINK("https://edmondsonsupply.com/products/channellock-430cb", "https://edmondsonsupply.com/products/channellock-430cb")</f>
        <v>https://edmondsonsupply.com/products/channellock-430cb</v>
      </c>
      <c r="C4382" t="s">
        <v>5374</v>
      </c>
      <c r="D4382" t="s">
        <v>3909</v>
      </c>
      <c r="E4382" s="3" t="str">
        <f>HYPERLINK("https://www.amazon.com/Channellock-430-Straight-Heat-Treated-Reinforcing/dp/B00002N5JF/ref=sr_1_2?keywords=Channellock+430CB+10%22+Code+Blue+Straight+Jaw+Tongue+%26+Groove+Pliers&amp;qid=1695173895&amp;sr=8-2", "https://www.amazon.com/Channellock-430-Straight-Heat-Treated-Reinforcing/dp/B00002N5JF/ref=sr_1_2?keywords=Channellock+430CB+10%22+Code+Blue+Straight+Jaw+Tongue+%26+Groove+Pliers&amp;qid=1695173895&amp;sr=8-2")</f>
        <v>https://www.amazon.com/Channellock-430-Straight-Heat-Treated-Reinforcing/dp/B00002N5JF/ref=sr_1_2?keywords=Channellock+430CB+10%22+Code+Blue+Straight+Jaw+Tongue+%26+Groove+Pliers&amp;qid=1695173895&amp;sr=8-2</v>
      </c>
      <c r="F4382" t="s">
        <v>3910</v>
      </c>
      <c r="G4382" t="e">
        <f ca="1">_xludf.IMAGE("https://edmondsonsupply.com/cdn/shop/products/430CB-683x1024.jpg?v=1587147133")</f>
        <v>#NAME?</v>
      </c>
      <c r="H4382" t="e">
        <f ca="1">_xludf.IMAGE("https://m.media-amazon.com/images/I/71JqgqffnnL._AC_UL320_.jpg")</f>
        <v>#NAME?</v>
      </c>
      <c r="I4382" t="s">
        <v>5375</v>
      </c>
      <c r="J4382">
        <v>19.95</v>
      </c>
      <c r="K4382" s="4">
        <v>-0.25969999999999999</v>
      </c>
      <c r="L4382">
        <v>4.8</v>
      </c>
      <c r="M4382">
        <v>2191</v>
      </c>
      <c r="O4382" t="s">
        <v>25</v>
      </c>
      <c r="P4382" t="s">
        <v>5376</v>
      </c>
      <c r="Q4382" t="s">
        <v>5377</v>
      </c>
    </row>
    <row r="4383" spans="1:17" ht="15.5" x14ac:dyDescent="0.35">
      <c r="A4383"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4383" s="3" t="str">
        <f>HYPERLINK("https://edmondsonsupply.com/products/klein-tools-605-4-1-4-inch-cabinet-tip-screwdriver-4-inch-shank", "https://edmondsonsupply.com/products/klein-tools-605-4-1-4-inch-cabinet-tip-screwdriver-4-inch-shank")</f>
        <v>https://edmondsonsupply.com/products/klein-tools-605-4-1-4-inch-cabinet-tip-screwdriver-4-inch-shank</v>
      </c>
      <c r="C4383" t="s">
        <v>6418</v>
      </c>
      <c r="D4383" t="s">
        <v>8870</v>
      </c>
      <c r="E4383" s="3" t="str">
        <f>HYPERLINK("https://www.amazon.com/Cabinet-Tip-Screwdriver-Klein-Tools-A216-4/dp/B00093GC28/ref=sr_1_7?keywords=Klein+Tools+605-4+1%2F4-Inch+Cabinet+Tip+Screwdriver+4-Inch+Shank&amp;qid=1695174135&amp;sr=8-7", "https://www.amazon.com/Cabinet-Tip-Screwdriver-Klein-Tools-A216-4/dp/B00093GC28/ref=sr_1_7?keywords=Klein+Tools+605-4+1%2F4-Inch+Cabinet+Tip+Screwdriver+4-Inch+Shank&amp;qid=1695174135&amp;sr=8-7")</f>
        <v>https://www.amazon.com/Cabinet-Tip-Screwdriver-Klein-Tools-A216-4/dp/B00093GC28/ref=sr_1_7?keywords=Klein+Tools+605-4+1%2F4-Inch+Cabinet+Tip+Screwdriver+4-Inch+Shank&amp;qid=1695174135&amp;sr=8-7</v>
      </c>
      <c r="F4383" t="s">
        <v>8871</v>
      </c>
      <c r="G4383" t="e">
        <f ca="1">_xludf.IMAGE("https://edmondsonsupply.com/cdn/shop/products/605-6_ac5e56ca-920d-4d55-842f-c7dc8361f892.jpg?v=1665688377")</f>
        <v>#NAME?</v>
      </c>
      <c r="H4383" t="e">
        <f ca="1">_xludf.IMAGE("https://m.media-amazon.com/images/I/414kKbGezfL._AC_UL320_.jpg")</f>
        <v>#NAME?</v>
      </c>
      <c r="I4383" t="s">
        <v>924</v>
      </c>
      <c r="J4383">
        <v>6.65</v>
      </c>
      <c r="K4383" s="4">
        <v>-0.26029999999999998</v>
      </c>
      <c r="L4383">
        <v>4.7</v>
      </c>
      <c r="M4383">
        <v>172</v>
      </c>
      <c r="O4383" t="s">
        <v>25</v>
      </c>
      <c r="P4383" t="s">
        <v>6421</v>
      </c>
      <c r="Q4383" t="s">
        <v>6422</v>
      </c>
    </row>
    <row r="4384" spans="1:17" ht="15.5" x14ac:dyDescent="0.35">
      <c r="A4384" s="3" t="str">
        <f>HYPERLINK("https://edmondsonsupply.com/collections/electricians-tools/products/diablo-tools-dou125cf-1-1-4-universal-fit-carbide-oscillating-blade-for-metal", "https://edmondsonsupply.com/collections/electricians-tools/products/diablo-tools-dou125cf-1-1-4-universal-fit-carbide-oscillating-blade-for-metal")</f>
        <v>https://edmondsonsupply.com/collections/electricians-tools/products/diablo-tools-dou125cf-1-1-4-universal-fit-carbide-oscillating-blade-for-metal</v>
      </c>
      <c r="B4384" s="3" t="str">
        <f>HYPERLINK("https://edmondsonsupply.com/products/diablo-tools-dou125cf-1-1-4-universal-fit-carbide-oscillating-blade-for-metal", "https://edmondsonsupply.com/products/diablo-tools-dou125cf-1-1-4-universal-fit-carbide-oscillating-blade-for-metal")</f>
        <v>https://edmondsonsupply.com/products/diablo-tools-dou125cf-1-1-4-universal-fit-carbide-oscillating-blade-for-metal</v>
      </c>
      <c r="C4384" t="s">
        <v>7236</v>
      </c>
      <c r="D4384" t="s">
        <v>8586</v>
      </c>
      <c r="E4384" s="3" t="str">
        <f>HYPERLINK("https://www.amazon.com/Diablo-Universal-Carbide-Oscillating-Blade/dp/B089LHKRPN/ref=sr_1_1?keywords=Diablo+Tools+DOU125CF+1-1%2F4%22+Universal+Fit+Carbide+Oscillating+Blade+for+Metal&amp;qid=1695174236&amp;sr=8-1", "https://www.amazon.com/Diablo-Universal-Carbide-Oscillating-Blade/dp/B089LHKRPN/ref=sr_1_1?keywords=Diablo+Tools+DOU125CF+1-1%2F4%22+Universal+Fit+Carbide+Oscillating+Blade+for+Metal&amp;qid=1695174236&amp;sr=8-1")</f>
        <v>https://www.amazon.com/Diablo-Universal-Carbide-Oscillating-Blade/dp/B089LHKRPN/ref=sr_1_1?keywords=Diablo+Tools+DOU125CF+1-1%2F4%22+Universal+Fit+Carbide+Oscillating+Blade+for+Metal&amp;qid=1695174236&amp;sr=8-1</v>
      </c>
      <c r="F4384" t="s">
        <v>8587</v>
      </c>
      <c r="G4384" t="e">
        <f ca="1">_xludf.IMAGE("https://edmondsonsupply.com/cdn/shop/products/DOU125CF_Main-Image.png?v=1633637708")</f>
        <v>#NAME?</v>
      </c>
      <c r="H4384" t="e">
        <f ca="1">_xludf.IMAGE("https://m.media-amazon.com/images/I/71izb0UUOkL._AC_UL320_.jpg")</f>
        <v>#NAME?</v>
      </c>
      <c r="I4384" t="s">
        <v>1716</v>
      </c>
      <c r="J4384">
        <v>16.989999999999998</v>
      </c>
      <c r="K4384" s="4">
        <v>-0.26029999999999998</v>
      </c>
      <c r="L4384">
        <v>4.3</v>
      </c>
      <c r="M4384">
        <v>19</v>
      </c>
      <c r="O4384" t="s">
        <v>25</v>
      </c>
      <c r="P4384" t="s">
        <v>7237</v>
      </c>
      <c r="Q4384" t="s">
        <v>7238</v>
      </c>
    </row>
    <row r="4385" spans="1:17" ht="15.5" x14ac:dyDescent="0.35">
      <c r="A4385"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4385"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4385" t="s">
        <v>7146</v>
      </c>
      <c r="D4385" t="s">
        <v>8666</v>
      </c>
      <c r="E4385" s="3" t="str">
        <f>HYPERLINK("https://www.amazon.com/M7R-Metalmaster-Offset-Snips-Straight/dp/B00002N5LS/ref=sr_1_2?keywords=Crescent+Wiss+M6P+9-1%2F4%22+Offset+Straight+and+Left+Cut+Aviation+Snips&amp;qid=1695174043&amp;sr=8-2", "https://www.amazon.com/M7R-Metalmaster-Offset-Snips-Straight/dp/B00002N5LS/ref=sr_1_2?keywords=Crescent+Wiss+M6P+9-1%2F4%22+Offset+Straight+and+Left+Cut+Aviation+Snips&amp;qid=1695174043&amp;sr=8-2")</f>
        <v>https://www.amazon.com/M7R-Metalmaster-Offset-Snips-Straight/dp/B00002N5LS/ref=sr_1_2?keywords=Crescent+Wiss+M6P+9-1%2F4%22+Offset+Straight+and+Left+Cut+Aviation+Snips&amp;qid=1695174043&amp;sr=8-2</v>
      </c>
      <c r="F4385" t="s">
        <v>8667</v>
      </c>
      <c r="G4385" t="e">
        <f ca="1">_xludf.IMAGE("https://edmondsonsupply.com/cdn/shop/products/WIS_M6P_IMG_MAIN_01.jpg?v=1679497499")</f>
        <v>#NAME?</v>
      </c>
      <c r="H4385" t="e">
        <f ca="1">_xludf.IMAGE("https://m.media-amazon.com/images/I/518irscT5TL._AC_UL320_.jpg")</f>
        <v>#NAME?</v>
      </c>
      <c r="I4385" t="s">
        <v>1589</v>
      </c>
      <c r="J4385">
        <v>16.989999999999998</v>
      </c>
      <c r="K4385" s="4">
        <v>-0.26100000000000001</v>
      </c>
      <c r="L4385">
        <v>4.4000000000000004</v>
      </c>
      <c r="M4385">
        <v>1401</v>
      </c>
      <c r="O4385" t="s">
        <v>25</v>
      </c>
      <c r="P4385" t="s">
        <v>7144</v>
      </c>
      <c r="Q4385" t="s">
        <v>7147</v>
      </c>
    </row>
    <row r="4386" spans="1:17" ht="15.5" x14ac:dyDescent="0.35">
      <c r="A4386" s="3" t="str">
        <f>HYPERLINK("https://edmondsonsupply.com/collections/electricians-tools/products/crescent-wiss-m8p-9-4-5-offset-straight-left-and-right-cut-aviation-snips", "https://edmondsonsupply.com/collections/electricians-tools/products/crescent-wiss-m8p-9-4-5-offset-straight-left-and-right-cut-aviation-snips")</f>
        <v>https://edmondsonsupply.com/collections/electricians-tools/products/crescent-wiss-m8p-9-4-5-offset-straight-left-and-right-cut-aviation-snips</v>
      </c>
      <c r="B4386" s="3" t="str">
        <f>HYPERLINK("https://edmondsonsupply.com/products/crescent-wiss-m8p-9-4-5-offset-straight-left-and-right-cut-aviation-snips", "https://edmondsonsupply.com/products/crescent-wiss-m8p-9-4-5-offset-straight-left-and-right-cut-aviation-snips")</f>
        <v>https://edmondsonsupply.com/products/crescent-wiss-m8p-9-4-5-offset-straight-left-and-right-cut-aviation-snips</v>
      </c>
      <c r="C4386" t="s">
        <v>7143</v>
      </c>
      <c r="D4386" t="s">
        <v>8666</v>
      </c>
      <c r="E4386" s="3" t="str">
        <f>HYPERLINK("https://www.amazon.com/M7R-Metalmaster-Offset-Snips-Straight/dp/B00002N5LS/ref=sr_1_2?keywords=Crescent+Wiss+M8P+9-4%2F5%22+Offset+Straight%2C+Left+and+Right+Cut+Aviation+Snips&amp;qid=1695174053&amp;sr=8-2", "https://www.amazon.com/M7R-Metalmaster-Offset-Snips-Straight/dp/B00002N5LS/ref=sr_1_2?keywords=Crescent+Wiss+M8P+9-4%2F5%22+Offset+Straight%2C+Left+and+Right+Cut+Aviation+Snips&amp;qid=1695174053&amp;sr=8-2")</f>
        <v>https://www.amazon.com/M7R-Metalmaster-Offset-Snips-Straight/dp/B00002N5LS/ref=sr_1_2?keywords=Crescent+Wiss+M8P+9-4%2F5%22+Offset+Straight%2C+Left+and+Right+Cut+Aviation+Snips&amp;qid=1695174053&amp;sr=8-2</v>
      </c>
      <c r="F4386" t="s">
        <v>8667</v>
      </c>
      <c r="G4386" t="e">
        <f ca="1">_xludf.IMAGE("https://edmondsonsupply.com/cdn/shop/products/WIS_M8P_IMG_ANG_01.jpg?v=1679676030")</f>
        <v>#NAME?</v>
      </c>
      <c r="H4386" t="e">
        <f ca="1">_xludf.IMAGE("https://m.media-amazon.com/images/I/518irscT5TL._AC_UL320_.jpg")</f>
        <v>#NAME?</v>
      </c>
      <c r="I4386" t="s">
        <v>1589</v>
      </c>
      <c r="J4386">
        <v>16.989999999999998</v>
      </c>
      <c r="K4386" s="4">
        <v>-0.26100000000000001</v>
      </c>
      <c r="L4386">
        <v>4.4000000000000004</v>
      </c>
      <c r="M4386">
        <v>1401</v>
      </c>
      <c r="O4386" t="s">
        <v>25</v>
      </c>
      <c r="P4386" t="s">
        <v>7144</v>
      </c>
      <c r="Q4386" t="s">
        <v>7145</v>
      </c>
    </row>
    <row r="4387" spans="1:17" ht="15.5" x14ac:dyDescent="0.35">
      <c r="A4387"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4387"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4387" t="s">
        <v>7148</v>
      </c>
      <c r="D4387" t="s">
        <v>8666</v>
      </c>
      <c r="E4387" s="3" t="str">
        <f>HYPERLINK("https://www.amazon.com/M7R-Metalmaster-Offset-Snips-Straight/dp/B00002N5LS/ref=sr_1_1?keywords=Crescent+Wiss+M7P+9-1%2F4%22+Offset+Straight+and+Right+Cut+Aviation+Snips&amp;qid=1695174041&amp;sr=8-1", "https://www.amazon.com/M7R-Metalmaster-Offset-Snips-Straight/dp/B00002N5LS/ref=sr_1_1?keywords=Crescent+Wiss+M7P+9-1%2F4%22+Offset+Straight+and+Right+Cut+Aviation+Snips&amp;qid=1695174041&amp;sr=8-1")</f>
        <v>https://www.amazon.com/M7R-Metalmaster-Offset-Snips-Straight/dp/B00002N5LS/ref=sr_1_1?keywords=Crescent+Wiss+M7P+9-1%2F4%22+Offset+Straight+and+Right+Cut+Aviation+Snips&amp;qid=1695174041&amp;sr=8-1</v>
      </c>
      <c r="F4387" t="s">
        <v>8667</v>
      </c>
      <c r="G4387" t="e">
        <f ca="1">_xludf.IMAGE("https://edmondsonsupply.com/cdn/shop/products/WIS_M7P_IMG_ANG_01.jpg?v=1679669941")</f>
        <v>#NAME?</v>
      </c>
      <c r="H4387" t="e">
        <f ca="1">_xludf.IMAGE("https://m.media-amazon.com/images/I/518irscT5TL._AC_UL320_.jpg")</f>
        <v>#NAME?</v>
      </c>
      <c r="I4387" t="s">
        <v>1589</v>
      </c>
      <c r="J4387">
        <v>16.989999999999998</v>
      </c>
      <c r="K4387" s="4">
        <v>-0.26100000000000001</v>
      </c>
      <c r="L4387">
        <v>4.4000000000000004</v>
      </c>
      <c r="M4387">
        <v>1401</v>
      </c>
      <c r="O4387" t="s">
        <v>25</v>
      </c>
      <c r="P4387" t="s">
        <v>7144</v>
      </c>
      <c r="Q4387" t="s">
        <v>7149</v>
      </c>
    </row>
    <row r="4388" spans="1:17" ht="15.5" x14ac:dyDescent="0.35">
      <c r="A4388"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4388" s="3" t="str">
        <f>HYPERLINK("https://edmondsonsupply.com/products/diablo-tools-d0704dh-7-1-4-in-x-4-tooth-fiber-cement", "https://edmondsonsupply.com/products/diablo-tools-d0704dh-7-1-4-in-x-4-tooth-fiber-cement")</f>
        <v>https://edmondsonsupply.com/products/diablo-tools-d0704dh-7-1-4-in-x-4-tooth-fiber-cement</v>
      </c>
      <c r="C4388" t="s">
        <v>6285</v>
      </c>
      <c r="D4388" t="s">
        <v>8872</v>
      </c>
      <c r="E4388" s="3" t="str">
        <f>HYPERLINK("https://www.amazon.com/Freud-D0704DH-Diablo-Hardie-Cement/dp/B09BQJL4PT/ref=sr_1_2?keywords=Diablo+Tools+D0704DH+7-1%2F4+in.+x+4+Tooth+Fiber+Cement&amp;qid=1695174050&amp;sr=8-2", "https://www.amazon.com/Freud-D0704DH-Diablo-Hardie-Cement/dp/B09BQJL4PT/ref=sr_1_2?keywords=Diablo+Tools+D0704DH+7-1%2F4+in.+x+4+Tooth+Fiber+Cement&amp;qid=1695174050&amp;sr=8-2")</f>
        <v>https://www.amazon.com/Freud-D0704DH-Diablo-Hardie-Cement/dp/B09BQJL4PT/ref=sr_1_2?keywords=Diablo+Tools+D0704DH+7-1%2F4+in.+x+4+Tooth+Fiber+Cement&amp;qid=1695174050&amp;sr=8-2</v>
      </c>
      <c r="F4388" t="s">
        <v>8873</v>
      </c>
      <c r="G4388" t="e">
        <f ca="1">_xludf.IMAGE("https://edmondsonsupply.com/cdn/shop/products/baadnmj6vhmqufio7ofn.webp?v=1679325375")</f>
        <v>#NAME?</v>
      </c>
      <c r="H4388" t="e">
        <f ca="1">_xludf.IMAGE("https://m.media-amazon.com/images/I/615anyFfV9L._AC_UL320_.jpg")</f>
        <v>#NAME?</v>
      </c>
      <c r="I4388" t="s">
        <v>4108</v>
      </c>
      <c r="J4388">
        <v>33.200000000000003</v>
      </c>
      <c r="K4388" s="4">
        <v>-0.26169999999999999</v>
      </c>
      <c r="L4388">
        <v>4.5999999999999996</v>
      </c>
      <c r="M4388">
        <v>32</v>
      </c>
      <c r="O4388" t="s">
        <v>25</v>
      </c>
      <c r="P4388" t="s">
        <v>3833</v>
      </c>
      <c r="Q4388" t="s">
        <v>6288</v>
      </c>
    </row>
    <row r="4389" spans="1:17" ht="15.5" x14ac:dyDescent="0.35">
      <c r="A4389" s="3" t="str">
        <f>HYPERLINK("https://edmondsonsupply.com/collections/electricians-tools/products/fluke-376", "https://edmondsonsupply.com/collections/electricians-tools/products/fluke-376")</f>
        <v>https://edmondsonsupply.com/collections/electricians-tools/products/fluke-376</v>
      </c>
      <c r="B4389" s="3" t="str">
        <f>HYPERLINK("https://edmondsonsupply.com/products/fluke-376", "https://edmondsonsupply.com/products/fluke-376")</f>
        <v>https://edmondsonsupply.com/products/fluke-376</v>
      </c>
      <c r="C4389" t="s">
        <v>3766</v>
      </c>
      <c r="D4389" t="s">
        <v>5378</v>
      </c>
      <c r="E4389" s="3" t="str">
        <f>HYPERLINK("https://www.amazon.com/Fluke-True-Clamp-Meter-iFlex/dp/B0086963VC/ref=sr_1_3?keywords=Fluke+376+FC+Wireless+True-RMS+AC%2FDC+Clamp+Meter+with+iFlex&amp;qid=1695173895&amp;sr=8-3", "https://www.amazon.com/Fluke-True-Clamp-Meter-iFlex/dp/B0086963VC/ref=sr_1_3?keywords=Fluke+376+FC+Wireless+True-RMS+AC%2FDC+Clamp+Meter+with+iFlex&amp;qid=1695173895&amp;sr=8-3")</f>
        <v>https://www.amazon.com/Fluke-True-Clamp-Meter-iFlex/dp/B0086963VC/ref=sr_1_3?keywords=Fluke+376+FC+Wireless+True-RMS+AC%2FDC+Clamp+Meter+with+iFlex&amp;qid=1695173895&amp;sr=8-3</v>
      </c>
      <c r="F4389" t="s">
        <v>5379</v>
      </c>
      <c r="G4389" t="e">
        <f ca="1">_xludf.IMAGE("https://edmondsonsupply.com/cdn/shop/products/f-376fc-16a-1500x1000.jpg?v=1633030274")</f>
        <v>#NAME?</v>
      </c>
      <c r="H4389" t="e">
        <f ca="1">_xludf.IMAGE("https://m.media-amazon.com/images/I/51g0DI2hCPL._AC_UY218_.jpg")</f>
        <v>#NAME?</v>
      </c>
      <c r="I4389" t="s">
        <v>3769</v>
      </c>
      <c r="J4389">
        <v>393</v>
      </c>
      <c r="K4389" s="4">
        <v>-0.2636</v>
      </c>
      <c r="L4389">
        <v>4.5</v>
      </c>
      <c r="M4389">
        <v>102</v>
      </c>
      <c r="O4389" t="s">
        <v>25</v>
      </c>
      <c r="P4389" t="s">
        <v>3770</v>
      </c>
      <c r="Q4389" t="s">
        <v>3771</v>
      </c>
    </row>
    <row r="4390" spans="1:17" ht="15.5" x14ac:dyDescent="0.35">
      <c r="A4390"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4390"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4390" t="s">
        <v>6674</v>
      </c>
      <c r="D4390" t="s">
        <v>3905</v>
      </c>
      <c r="E4390" s="3" t="str">
        <f>HYPERLINK("https://www.amazon.com/Journeyman-T-Handle-Klein-Tools-JTH9M3/dp/B005G3HJ28/ref=sr_1_6?keywords=Klein+Tools+JTH9M8+8+mm+Hex+Key%2C+Journeyman%E2%84%A2+T-Handle%2C+9-Inch&amp;qid=1695174169&amp;sr=8-6", "https://www.amazon.com/Journeyman-T-Handle-Klein-Tools-JTH9M3/dp/B005G3HJ28/ref=sr_1_6?keywords=Klein+Tools+JTH9M8+8+mm+Hex+Key%2C+Journeyman%E2%84%A2+T-Handle%2C+9-Inch&amp;qid=1695174169&amp;sr=8-6")</f>
        <v>https://www.amazon.com/Journeyman-T-Handle-Klein-Tools-JTH9M3/dp/B005G3HJ28/ref=sr_1_6?keywords=Klein+Tools+JTH9M8+8+mm+Hex+Key%2C+Journeyman%E2%84%A2+T-Handle%2C+9-Inch&amp;qid=1695174169&amp;sr=8-6</v>
      </c>
      <c r="F4390" t="s">
        <v>3906</v>
      </c>
      <c r="G4390" t="e">
        <f ca="1">_xludf.IMAGE("https://edmondsonsupply.com/cdn/shop/products/jth6m8_03ba3d30-ff38-4b9e-93e7-b0fc6da199d0.jpg?v=1662658324")</f>
        <v>#NAME?</v>
      </c>
      <c r="H4390" t="e">
        <f ca="1">_xludf.IMAGE("https://m.media-amazon.com/images/I/51MZtGjDOtL._AC_UL320_.jpg")</f>
        <v>#NAME?</v>
      </c>
      <c r="I4390" t="s">
        <v>1003</v>
      </c>
      <c r="J4390">
        <v>5.88</v>
      </c>
      <c r="K4390" s="4">
        <v>-0.2641</v>
      </c>
      <c r="L4390">
        <v>4.5999999999999996</v>
      </c>
      <c r="M4390">
        <v>179</v>
      </c>
      <c r="O4390" t="s">
        <v>25</v>
      </c>
      <c r="P4390" t="s">
        <v>1481</v>
      </c>
      <c r="Q4390" t="s">
        <v>6675</v>
      </c>
    </row>
    <row r="4391" spans="1:17" ht="15.5" x14ac:dyDescent="0.35">
      <c r="A4391"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4391" s="3" t="str">
        <f>HYPERLINK("https://edmondsonsupply.com/products/milwaukee-2953-22-m18-fuel%e2%84%a2-1-4-hex-impact-driver-kit", "https://edmondsonsupply.com/products/milwaukee-2953-22-m18-fuel%e2%84%a2-1-4-hex-impact-driver-kit")</f>
        <v>https://edmondsonsupply.com/products/milwaukee-2953-22-m18-fuel%e2%84%a2-1-4-hex-impact-driver-kit</v>
      </c>
      <c r="C4391" t="s">
        <v>7565</v>
      </c>
      <c r="D4391" t="s">
        <v>8874</v>
      </c>
      <c r="E4391" s="3" t="str">
        <f>HYPERLINK("https://www.amazon.com/Milwaukee-2760-22CT-SURGE-Hydraulic-Driver/dp/B07G9HDMFJ/ref=sr_1_3?keywords=Milwaukee+2953-22+M18+FUEL%E2%84%A2+1%2F4%22+Hex+Impact+Driver+Kit&amp;qid=1695174155&amp;sr=8-3", "https://www.amazon.com/Milwaukee-2760-22CT-SURGE-Hydraulic-Driver/dp/B07G9HDMFJ/ref=sr_1_3?keywords=Milwaukee+2953-22+M18+FUEL%E2%84%A2+1%2F4%22+Hex+Impact+Driver+Kit&amp;qid=1695174155&amp;sr=8-3")</f>
        <v>https://www.amazon.com/Milwaukee-2760-22CT-SURGE-Hydraulic-Driver/dp/B07G9HDMFJ/ref=sr_1_3?keywords=Milwaukee+2953-22+M18+FUEL%E2%84%A2+1%2F4%22+Hex+Impact+Driver+Kit&amp;qid=1695174155&amp;sr=8-3</v>
      </c>
      <c r="F4391" t="s">
        <v>8875</v>
      </c>
      <c r="G4391" t="e">
        <f ca="1">_xludf.IMAGE("https://edmondsonsupply.com/cdn/shop/products/29532022ImageReel2.webp?v=1663599746")</f>
        <v>#NAME?</v>
      </c>
      <c r="H4391" t="e">
        <f ca="1">_xludf.IMAGE("https://m.media-amazon.com/images/I/61cIAc2Oa7L._AC_UL320_.jpg")</f>
        <v>#NAME?</v>
      </c>
      <c r="I4391" t="s">
        <v>5012</v>
      </c>
      <c r="J4391">
        <v>219.88</v>
      </c>
      <c r="K4391" s="4">
        <v>-0.2646</v>
      </c>
      <c r="L4391">
        <v>4</v>
      </c>
      <c r="M4391">
        <v>1</v>
      </c>
      <c r="O4391" t="s">
        <v>25</v>
      </c>
      <c r="P4391" t="s">
        <v>7566</v>
      </c>
      <c r="Q4391" t="s">
        <v>7567</v>
      </c>
    </row>
    <row r="4392" spans="1:17" ht="15.5" x14ac:dyDescent="0.35">
      <c r="A4392" s="3" t="str">
        <f>HYPERLINK("https://edmondsonsupply.com/collections/electricians-tools/products/milwaukee-2830-20-m18-fuel%E2%84%A2-rear-handle-7-1-4-circular-saw-tool-only", "https://edmondsonsupply.com/collections/electricians-tools/products/milwaukee-2830-20-m18-fuel%E2%84%A2-rear-handle-7-1-4-circular-saw-tool-only")</f>
        <v>https://edmondsonsupply.com/collections/electricians-tools/products/milwaukee-2830-20-m18-fuel%E2%84%A2-rear-handle-7-1-4-circular-saw-tool-only</v>
      </c>
      <c r="B4392" s="3" t="str">
        <f>HYPERLINK("https://edmondsonsupply.com/products/milwaukee-2830-20-m18-fuel%e2%84%a2-rear-handle-7-1-4-circular-saw-tool-only", "https://edmondsonsupply.com/products/milwaukee-2830-20-m18-fuel%e2%84%a2-rear-handle-7-1-4-circular-saw-tool-only")</f>
        <v>https://edmondsonsupply.com/products/milwaukee-2830-20-m18-fuel%e2%84%a2-rear-handle-7-1-4-circular-saw-tool-only</v>
      </c>
      <c r="C4392" t="s">
        <v>8876</v>
      </c>
      <c r="D4392" t="s">
        <v>8877</v>
      </c>
      <c r="E4392" s="3" t="str">
        <f>HYPERLINK("https://www.amazon.com/M18-7-1-Rear-Handle-Circular/dp/B07VWKR5YN/ref=sr_1_1?keywords=Milwaukee+2830-20+M18+FUEL%E2%84%A2+Rear+Handle+7-1%2F4%22+Circular+Saw+-+Tool+Only&amp;qid=1695174075&amp;sr=8-1", "https://www.amazon.com/M18-7-1-Rear-Handle-Circular/dp/B07VWKR5YN/ref=sr_1_1?keywords=Milwaukee+2830-20+M18+FUEL%E2%84%A2+Rear+Handle+7-1%2F4%22+Circular+Saw+-+Tool+Only&amp;qid=1695174075&amp;sr=8-1")</f>
        <v>https://www.amazon.com/M18-7-1-Rear-Handle-Circular/dp/B07VWKR5YN/ref=sr_1_1?keywords=Milwaukee+2830-20+M18+FUEL%E2%84%A2+Rear+Handle+7-1%2F4%22+Circular+Saw+-+Tool+Only&amp;qid=1695174075&amp;sr=8-1</v>
      </c>
      <c r="F4392" t="s">
        <v>8878</v>
      </c>
      <c r="G4392" t="e">
        <f ca="1">_xludf.IMAGE("https://edmondsonsupply.com/cdn/shop/products/2830-20_1_Web.webp?v=1675363302")</f>
        <v>#NAME?</v>
      </c>
      <c r="H4392" t="e">
        <f ca="1">_xludf.IMAGE("https://m.media-amazon.com/images/I/51-ok8l5coL._AC_UL320_.jpg")</f>
        <v>#NAME?</v>
      </c>
      <c r="I4392" t="s">
        <v>698</v>
      </c>
      <c r="J4392">
        <v>205</v>
      </c>
      <c r="K4392" s="4">
        <v>-0.26519999999999999</v>
      </c>
      <c r="L4392">
        <v>4.7</v>
      </c>
      <c r="M4392">
        <v>841</v>
      </c>
      <c r="O4392" t="s">
        <v>171</v>
      </c>
      <c r="P4392" t="s">
        <v>8584</v>
      </c>
      <c r="Q4392" t="s">
        <v>8879</v>
      </c>
    </row>
    <row r="4393" spans="1:17" ht="15.5" x14ac:dyDescent="0.35">
      <c r="A4393" s="3" t="str">
        <f>HYPERLINK("https://edmondsonsupply.com/collections/electricians-tools/products/klein-tools-9230-tape-measure-30-foot-magnetic-double-hook", "https://edmondsonsupply.com/collections/electricians-tools/products/klein-tools-9230-tape-measure-30-foot-magnetic-double-hook")</f>
        <v>https://edmondsonsupply.com/collections/electricians-tools/products/klein-tools-9230-tape-measure-30-foot-magnetic-double-hook</v>
      </c>
      <c r="B4393" s="3" t="str">
        <f>HYPERLINK("https://edmondsonsupply.com/products/klein-tools-9230-tape-measure-30-foot-magnetic-double-hook", "https://edmondsonsupply.com/products/klein-tools-9230-tape-measure-30-foot-magnetic-double-hook")</f>
        <v>https://edmondsonsupply.com/products/klein-tools-9230-tape-measure-30-foot-magnetic-double-hook</v>
      </c>
      <c r="C4393" t="s">
        <v>5073</v>
      </c>
      <c r="D4393" t="s">
        <v>5380</v>
      </c>
      <c r="E4393" s="3" t="str">
        <f>HYPERLINK("https://www.amazon.com/Klein-Tools-Measure-Magnetic-Double-Hook/dp/B07WF9TKNN/ref=sr_1_3?keywords=Klein+Tools+9230+Tape+Measure%2C+30-Foot+Magnetic+Double-Hook&amp;qid=1695173934&amp;sr=8-3", "https://www.amazon.com/Klein-Tools-Measure-Magnetic-Double-Hook/dp/B07WF9TKNN/ref=sr_1_3?keywords=Klein+Tools+9230+Tape+Measure%2C+30-Foot+Magnetic+Double-Hook&amp;qid=1695173934&amp;sr=8-3")</f>
        <v>https://www.amazon.com/Klein-Tools-Measure-Magnetic-Double-Hook/dp/B07WF9TKNN/ref=sr_1_3?keywords=Klein+Tools+9230+Tape+Measure%2C+30-Foot+Magnetic+Double-Hook&amp;qid=1695173934&amp;sr=8-3</v>
      </c>
      <c r="F4393" t="s">
        <v>5381</v>
      </c>
      <c r="G4393" t="e">
        <f ca="1">_xludf.IMAGE("https://edmondsonsupply.com/cdn/shop/products/9230_photo.jpg?v=1587150845")</f>
        <v>#NAME?</v>
      </c>
      <c r="H4393" t="e">
        <f ca="1">_xludf.IMAGE("https://m.media-amazon.com/images/I/51-QFLUv4EL._AC_UL320_.jpg")</f>
        <v>#NAME?</v>
      </c>
      <c r="I4393" t="s">
        <v>4310</v>
      </c>
      <c r="J4393">
        <v>24.97</v>
      </c>
      <c r="K4393" s="4">
        <v>-0.26540000000000002</v>
      </c>
      <c r="L4393">
        <v>4.5999999999999996</v>
      </c>
      <c r="M4393">
        <v>1948</v>
      </c>
      <c r="O4393" t="s">
        <v>25</v>
      </c>
      <c r="P4393" t="s">
        <v>5076</v>
      </c>
      <c r="Q4393" t="s">
        <v>5077</v>
      </c>
    </row>
    <row r="4394" spans="1:17" ht="15.5" x14ac:dyDescent="0.35">
      <c r="A4394" s="3" t="str">
        <f>HYPERLINK("https://edmondsonsupply.com/collections/electricians-tools/products/reed-mfg-dhr12-1-1-2npt-r12-drophead-1-1-2-npt", "https://edmondsonsupply.com/collections/electricians-tools/products/reed-mfg-dhr12-1-1-2npt-r12-drophead-1-1-2-npt")</f>
        <v>https://edmondsonsupply.com/collections/electricians-tools/products/reed-mfg-dhr12-1-1-2npt-r12-drophead-1-1-2-npt</v>
      </c>
      <c r="B4394" s="3" t="str">
        <f>HYPERLINK("https://edmondsonsupply.com/products/reed-mfg-dhr12-1-1-2npt-r12-drophead-1-1-2-npt", "https://edmondsonsupply.com/products/reed-mfg-dhr12-1-1-2npt-r12-drophead-1-1-2-npt")</f>
        <v>https://edmondsonsupply.com/products/reed-mfg-dhr12-1-1-2npt-r12-drophead-1-1-2-npt</v>
      </c>
      <c r="C4394" t="s">
        <v>7847</v>
      </c>
      <c r="D4394" t="s">
        <v>5250</v>
      </c>
      <c r="E4394" s="3" t="str">
        <f>HYPERLINK("https://www.amazon.com/Reed-Tool-DHR12-4NPT-Drophead/dp/B000ZH6R3M/ref=sr_1_fkmr1_1?keywords=Reed+Mfg+DHR12+1+1%2F2NPT+R12%2B+Drophead%2C+1-1%2F2%22+NPT&amp;qid=1695174267&amp;sr=8-1-fkmr1", "https://www.amazon.com/Reed-Tool-DHR12-4NPT-Drophead/dp/B000ZH6R3M/ref=sr_1_fkmr1_1?keywords=Reed+Mfg+DHR12+1+1%2F2NPT+R12%2B+Drophead%2C+1-1%2F2%22+NPT&amp;qid=1695174267&amp;sr=8-1-fkmr1")</f>
        <v>https://www.amazon.com/Reed-Tool-DHR12-4NPT-Drophead/dp/B000ZH6R3M/ref=sr_1_fkmr1_1?keywords=Reed+Mfg+DHR12+1+1%2F2NPT+R12%2B+Drophead%2C+1-1%2F2%22+NPT&amp;qid=1695174267&amp;sr=8-1-fkmr1</v>
      </c>
      <c r="F4394" t="s">
        <v>5251</v>
      </c>
      <c r="G4394" t="e">
        <f ca="1">_xludf.IMAGE("https://edmondsonsupply.com/cdn/shop/products/57_1_43919434-23d1-4a38-ae34-862e7aaca453.jpg?v=1633031013")</f>
        <v>#NAME?</v>
      </c>
      <c r="H4394" t="e">
        <f ca="1">_xludf.IMAGE("https://m.media-amazon.com/images/I/51I4FIWUu7L._AC_UY218_.jpg")</f>
        <v>#NAME?</v>
      </c>
      <c r="I4394" t="s">
        <v>7848</v>
      </c>
      <c r="J4394">
        <v>125.3</v>
      </c>
      <c r="K4394" s="4">
        <v>-0.26600000000000001</v>
      </c>
      <c r="L4394">
        <v>1</v>
      </c>
      <c r="M4394">
        <v>1</v>
      </c>
      <c r="O4394" t="s">
        <v>25</v>
      </c>
      <c r="P4394" t="s">
        <v>7849</v>
      </c>
      <c r="Q4394" t="s">
        <v>7850</v>
      </c>
    </row>
    <row r="4395" spans="1:17" ht="15.5" x14ac:dyDescent="0.35">
      <c r="A4395"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4395"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4395" t="s">
        <v>8022</v>
      </c>
      <c r="D4395" t="s">
        <v>8880</v>
      </c>
      <c r="E4395" s="3" t="str">
        <f>HYPERLINK("https://www.amazon.com/Tamperproof-Screwdriver-Klein-Tools-32525/dp/B0015S4JRG/ref=sr_1_4?keywords=Klein+Tools+32510+Magnetic+Screwdriver+with+32+Tamperproof+Bits&amp;qid=1695174211&amp;sr=8-4", "https://www.amazon.com/Tamperproof-Screwdriver-Klein-Tools-32525/dp/B0015S4JRG/ref=sr_1_4?keywords=Klein+Tools+32510+Magnetic+Screwdriver+with+32+Tamperproof+Bits&amp;qid=1695174211&amp;sr=8-4")</f>
        <v>https://www.amazon.com/Tamperproof-Screwdriver-Klein-Tools-32525/dp/B0015S4JRG/ref=sr_1_4?keywords=Klein+Tools+32510+Magnetic+Screwdriver+with+32+Tamperproof+Bits&amp;qid=1695174211&amp;sr=8-4</v>
      </c>
      <c r="F4395" t="s">
        <v>8881</v>
      </c>
      <c r="G4395" t="e">
        <f ca="1">_xludf.IMAGE("https://edmondsonsupply.com/cdn/shop/products/32510_alt2.jpg?v=1653267434")</f>
        <v>#NAME?</v>
      </c>
      <c r="H4395" t="e">
        <f ca="1">_xludf.IMAGE("https://m.media-amazon.com/images/I/61wuklUkIbL._AC_UL320_.jpg")</f>
        <v>#NAME?</v>
      </c>
      <c r="I4395" t="s">
        <v>824</v>
      </c>
      <c r="J4395">
        <v>21.99</v>
      </c>
      <c r="K4395" s="4">
        <v>-0.26629999999999998</v>
      </c>
      <c r="L4395">
        <v>4.7</v>
      </c>
      <c r="M4395">
        <v>649</v>
      </c>
      <c r="O4395" t="s">
        <v>25</v>
      </c>
      <c r="P4395" t="s">
        <v>8025</v>
      </c>
      <c r="Q4395" t="s">
        <v>8026</v>
      </c>
    </row>
    <row r="4396" spans="1:17" ht="15.5" x14ac:dyDescent="0.35">
      <c r="A4396"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4396"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4396" t="s">
        <v>8452</v>
      </c>
      <c r="D4396" t="s">
        <v>5914</v>
      </c>
      <c r="E4396" s="3" t="str">
        <f>HYPERLINK("https://www.amazon.com/Diablo-Universal-Carbide-Oscillating-General/dp/B089LHJYGQ/ref=sr_1_1?keywords=Diablo+Tools+DOU275RCGP+2-3%2F4+in.+Universal+Fit+Carbide+Oscillating+Blade+for+General+Purpose+Cuts&amp;qid=1695174011&amp;sr=8-1", "https://www.amazon.com/Diablo-Universal-Carbide-Oscillating-General/dp/B089LHJYGQ/ref=sr_1_1?keywords=Diablo+Tools+DOU275RCGP+2-3%2F4+in.+Universal+Fit+Carbide+Oscillating+Blade+for+General+Purpose+Cuts&amp;qid=1695174011&amp;sr=8-1")</f>
        <v>https://www.amazon.com/Diablo-Universal-Carbide-Oscillating-General/dp/B089LHJYGQ/ref=sr_1_1?keywords=Diablo+Tools+DOU275RCGP+2-3%2F4+in.+Universal+Fit+Carbide+Oscillating+Blade+for+General+Purpose+Cuts&amp;qid=1695174011&amp;sr=8-1</v>
      </c>
      <c r="F4396" t="s">
        <v>5915</v>
      </c>
      <c r="G4396" t="e">
        <f ca="1">_xludf.IMAGE("https://edmondsonsupply.com/cdn/shop/files/kukkli8nylq54bgtz0o5.webp?v=1685720266")</f>
        <v>#NAME?</v>
      </c>
      <c r="H4396" t="e">
        <f ca="1">_xludf.IMAGE("https://m.media-amazon.com/images/I/71wZoc77rAL._AC_UL320_.jpg")</f>
        <v>#NAME?</v>
      </c>
      <c r="I4396" t="s">
        <v>824</v>
      </c>
      <c r="J4396">
        <v>21.95</v>
      </c>
      <c r="K4396" s="4">
        <v>-0.2676</v>
      </c>
      <c r="L4396">
        <v>4.5</v>
      </c>
      <c r="M4396">
        <v>30</v>
      </c>
      <c r="O4396" t="s">
        <v>25</v>
      </c>
      <c r="P4396" t="s">
        <v>8453</v>
      </c>
      <c r="Q4396" t="s">
        <v>8454</v>
      </c>
    </row>
    <row r="4397" spans="1:17" ht="15.5" x14ac:dyDescent="0.35">
      <c r="A4397" s="3" t="str">
        <f>HYPERLINK("https://edmondsonsupply.com/collections/electricians-tools/products/channellock-tool-roll-6lc-6pc-little-champ%C2%AEtool-roll", "https://edmondsonsupply.com/collections/electricians-tools/products/channellock-tool-roll-6lc-6pc-little-champ%C2%AEtool-roll")</f>
        <v>https://edmondsonsupply.com/collections/electricians-tools/products/channellock-tool-roll-6lc-6pc-little-champ%C2%AEtool-roll</v>
      </c>
      <c r="B4397" s="3" t="str">
        <f>HYPERLINK("https://edmondsonsupply.com/products/channellock-tool-roll-6lc-6pc-little-champ%c2%aetool-roll", "https://edmondsonsupply.com/products/channellock-tool-roll-6lc-6pc-little-champ%c2%aetool-roll")</f>
        <v>https://edmondsonsupply.com/products/channellock-tool-roll-6lc-6pc-little-champ%c2%aetool-roll</v>
      </c>
      <c r="C4397" t="s">
        <v>5382</v>
      </c>
      <c r="D4397" t="s">
        <v>5383</v>
      </c>
      <c r="E4397" s="3" t="str">
        <f>HYPERLINK("https://www.amazon.com/Channellock-GP-7-Blue-Tool-Roll/dp/B0029PENOI/ref=sr_1_1?keywords=Channellock+Tool+Roll-6LC+6pc+LITTLE+CHAMP%C2%AETool+Set+with+Tool+Roll&amp;qid=1695173861&amp;sr=8-1", "https://www.amazon.com/Channellock-GP-7-Blue-Tool-Roll/dp/B0029PENOI/ref=sr_1_1?keywords=Channellock+Tool+Roll-6LC+6pc+LITTLE+CHAMP%C2%AETool+Set+with+Tool+Roll&amp;qid=1695173861&amp;sr=8-1")</f>
        <v>https://www.amazon.com/Channellock-GP-7-Blue-Tool-Roll/dp/B0029PENOI/ref=sr_1_1?keywords=Channellock+Tool+Roll-6LC+6pc+LITTLE+CHAMP%C2%AETool+Set+with+Tool+Roll&amp;qid=1695173861&amp;sr=8-1</v>
      </c>
      <c r="F4397" t="s">
        <v>5384</v>
      </c>
      <c r="G4397" t="e">
        <f ca="1">_xludf.IMAGE("https://edmondsonsupply.com/cdn/shop/products/TOOL-ROLL-6LC-6PC.jpg?v=1633030531")</f>
        <v>#NAME?</v>
      </c>
      <c r="H4397" t="e">
        <f ca="1">_xludf.IMAGE("https://m.media-amazon.com/images/I/81Fq+rjCiOL._AC_UL320_.jpg")</f>
        <v>#NAME?</v>
      </c>
      <c r="I4397" t="s">
        <v>5385</v>
      </c>
      <c r="J4397">
        <v>94.95</v>
      </c>
      <c r="K4397" s="4">
        <v>-0.26929999999999998</v>
      </c>
      <c r="L4397">
        <v>4.5</v>
      </c>
      <c r="M4397">
        <v>38</v>
      </c>
      <c r="O4397" t="s">
        <v>171</v>
      </c>
      <c r="P4397" t="s">
        <v>5386</v>
      </c>
      <c r="Q4397" t="s">
        <v>5387</v>
      </c>
    </row>
    <row r="4398" spans="1:17" ht="15.5" x14ac:dyDescent="0.35">
      <c r="A4398" s="3" t="str">
        <f>HYPERLINK("https://edmondsonsupply.com/collections/electricians-tools/products/milwaukee-2729-20-m18-fuel%E2%84%A2-deep-cut-band-saw-tool-only", "https://edmondsonsupply.com/collections/electricians-tools/products/milwaukee-2729-20-m18-fuel%E2%84%A2-deep-cut-band-saw-tool-only")</f>
        <v>https://edmondsonsupply.com/collections/electricians-tools/products/milwaukee-2729-20-m18-fuel%E2%84%A2-deep-cut-band-saw-tool-only</v>
      </c>
      <c r="B4398" s="3" t="str">
        <f>HYPERLINK("https://edmondsonsupply.com/products/milwaukee-2729-20-m18-fuel%e2%84%a2-deep-cut-band-saw-tool-only", "https://edmondsonsupply.com/products/milwaukee-2729-20-m18-fuel%e2%84%a2-deep-cut-band-saw-tool-only")</f>
        <v>https://edmondsonsupply.com/products/milwaukee-2729-20-m18-fuel%e2%84%a2-deep-cut-band-saw-tool-only</v>
      </c>
      <c r="C4398" t="s">
        <v>8829</v>
      </c>
      <c r="D4398" t="s">
        <v>8882</v>
      </c>
      <c r="E4398" s="3" t="str">
        <f>HYPERLINK("https://www.amazon.com/Milwaukee-2729-20-FUEL-Deep-Model/dp/B013P2ZGK8/ref=sr_1_2?keywords=Milwaukee+2729-20+M18+FUEL%E2%84%A2+Deep+Cut+Band+Saw+%28Tool+Only%29&amp;qid=1695173876&amp;sr=8-2", "https://www.amazon.com/Milwaukee-2729-20-FUEL-Deep-Model/dp/B013P2ZGK8/ref=sr_1_2?keywords=Milwaukee+2729-20+M18+FUEL%E2%84%A2+Deep+Cut+Band+Saw+%28Tool+Only%29&amp;qid=1695173876&amp;sr=8-2")</f>
        <v>https://www.amazon.com/Milwaukee-2729-20-FUEL-Deep-Model/dp/B013P2ZGK8/ref=sr_1_2?keywords=Milwaukee+2729-20+M18+FUEL%E2%84%A2+Deep+Cut+Band+Saw+%28Tool+Only%29&amp;qid=1695173876&amp;sr=8-2</v>
      </c>
      <c r="F4398" t="s">
        <v>8883</v>
      </c>
      <c r="G4398" t="e">
        <f ca="1">_xludf.IMAGE("https://edmondsonsupply.com/cdn/shop/products/2729-20_1.webp?v=1661700605")</f>
        <v>#NAME?</v>
      </c>
      <c r="H4398" t="e">
        <f ca="1">_xludf.IMAGE("https://m.media-amazon.com/images/I/51VhcKqlfwL._AC_UL320_.jpg")</f>
        <v>#NAME?</v>
      </c>
      <c r="I4398" t="s">
        <v>8297</v>
      </c>
      <c r="J4398">
        <v>276.85000000000002</v>
      </c>
      <c r="K4398" s="4">
        <v>-0.26950000000000002</v>
      </c>
      <c r="L4398">
        <v>4.8</v>
      </c>
      <c r="M4398">
        <v>446</v>
      </c>
      <c r="O4398" t="s">
        <v>25</v>
      </c>
      <c r="P4398" t="s">
        <v>5031</v>
      </c>
      <c r="Q4398" t="s">
        <v>8832</v>
      </c>
    </row>
    <row r="4399" spans="1:17" ht="15.5" x14ac:dyDescent="0.35">
      <c r="A4399"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399"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399" t="s">
        <v>2903</v>
      </c>
      <c r="D4399" t="s">
        <v>5388</v>
      </c>
      <c r="E4399" s="3" t="str">
        <f>HYPERLINK("https://www.amazon.com/Diablo-DMAPL4310-SDS-Plus-4-Cutter-Carbide/dp/B089KX2VKR/ref=sr_1_9?keywords=Diablo+Tools+DMAMX1300+1-1%2F4+in.+x+16+in.+x+21+in.+Rebar+Demon%E2%84%A2+SDS-Max+4-Cutter+Full+Carbide+Head+Hammer+Drill+Bit&amp;qid=1695173871&amp;sr=8-9", "https://www.amazon.com/Diablo-DMAPL4310-SDS-Plus-4-Cutter-Carbide/dp/B089KX2VKR/ref=sr_1_9?keywords=Diablo+Tools+DMAMX1300+1-1%2F4+in.+x+16+in.+x+21+in.+Rebar+Demon%E2%84%A2+SDS-Max+4-Cutter+Full+Carbide+Head+Hammer+Drill+Bit&amp;qid=1695173871&amp;sr=8-9")</f>
        <v>https://www.amazon.com/Diablo-DMAPL4310-SDS-Plus-4-Cutter-Carbide/dp/B089KX2VKR/ref=sr_1_9?keywords=Diablo+Tools+DMAMX1300+1-1%2F4+in.+x+16+in.+x+21+in.+Rebar+Demon%E2%84%A2+SDS-Max+4-Cutter+Full+Carbide+Head+Hammer+Drill+Bit&amp;qid=1695173871&amp;sr=8-9</v>
      </c>
      <c r="F4399" t="s">
        <v>5389</v>
      </c>
      <c r="G4399" t="e">
        <f ca="1">_xludf.IMAGE("https://edmondsonsupply.com/cdn/shop/files/immoyh7jjmbau4fzhuq6_7dd7fd73-2865-4c12-9443-da45b48dbd51.webp?v=1685465465")</f>
        <v>#NAME?</v>
      </c>
      <c r="H4399" t="e">
        <f ca="1">_xludf.IMAGE("https://m.media-amazon.com/images/I/61iwxfqG2VL._AC_UL320_.jpg")</f>
        <v>#NAME?</v>
      </c>
      <c r="I4399" t="s">
        <v>2906</v>
      </c>
      <c r="J4399">
        <v>48.49</v>
      </c>
      <c r="K4399" s="4">
        <v>-0.2697</v>
      </c>
      <c r="L4399">
        <v>4.5</v>
      </c>
      <c r="M4399">
        <v>32</v>
      </c>
      <c r="O4399" t="s">
        <v>171</v>
      </c>
      <c r="P4399" t="s">
        <v>2907</v>
      </c>
      <c r="Q4399" t="s">
        <v>2908</v>
      </c>
    </row>
    <row r="4400" spans="1:17" ht="15.5" x14ac:dyDescent="0.35">
      <c r="A4400"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4400" s="3" t="str">
        <f>HYPERLINK("https://edmondsonsupply.com/products/fluke-373-true-rms-ac-clamp-meter", "https://edmondsonsupply.com/products/fluke-373-true-rms-ac-clamp-meter")</f>
        <v>https://edmondsonsupply.com/products/fluke-373-true-rms-ac-clamp-meter</v>
      </c>
      <c r="C4400" t="s">
        <v>5826</v>
      </c>
      <c r="D4400" t="s">
        <v>5951</v>
      </c>
      <c r="E4400" s="3" t="str">
        <f>HYPERLINK("https://www.amazon.com/Fluke-324-Temperature-Capacitance-Measurements/dp/B009AZ0TXE/ref=sr_1_2?keywords=Fluke+373+True-RMS+AC+Clamp+Meter&amp;qid=1695173996&amp;sr=8-2", "https://www.amazon.com/Fluke-324-Temperature-Capacitance-Measurements/dp/B009AZ0TXE/ref=sr_1_2?keywords=Fluke+373+True-RMS+AC+Clamp+Meter&amp;qid=1695173996&amp;sr=8-2")</f>
        <v>https://www.amazon.com/Fluke-324-Temperature-Capacitance-Measurements/dp/B009AZ0TXE/ref=sr_1_2?keywords=Fluke+373+True-RMS+AC+Clamp+Meter&amp;qid=1695173996&amp;sr=8-2</v>
      </c>
      <c r="F4400" t="s">
        <v>5952</v>
      </c>
      <c r="G4400" t="e">
        <f ca="1">_xludf.IMAGE("https://edmondsonsupply.com/cdn/shop/files/f-373-01d-1500x1000.webp?v=1689369435")</f>
        <v>#NAME?</v>
      </c>
      <c r="H4400" t="e">
        <f ca="1">_xludf.IMAGE("https://m.media-amazon.com/images/I/51R3UJ4M4OL._AC_UY218_.jpg")</f>
        <v>#NAME?</v>
      </c>
      <c r="I4400" t="s">
        <v>5829</v>
      </c>
      <c r="J4400">
        <v>211.68</v>
      </c>
      <c r="K4400" s="4">
        <v>-0.2702</v>
      </c>
      <c r="L4400">
        <v>4.7</v>
      </c>
      <c r="M4400">
        <v>1254</v>
      </c>
      <c r="O4400" t="s">
        <v>25</v>
      </c>
      <c r="P4400" t="s">
        <v>138</v>
      </c>
      <c r="Q4400" t="s">
        <v>5830</v>
      </c>
    </row>
    <row r="4401" spans="1:17" ht="15.5" x14ac:dyDescent="0.35">
      <c r="A4401"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401"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401" t="s">
        <v>8522</v>
      </c>
      <c r="D4401" t="s">
        <v>5938</v>
      </c>
      <c r="E4401" s="3" t="str">
        <f>HYPERLINK("https://www.amazon.com/Diablo-Universal-Bi-Metal-Blades-Nail-Embedded/dp/B089KW2WVD/ref=sr_1_5?keywords=Diablo+Tools+DOU125BF3+1-1%2F4+in.+Universal+Fit+Bi-Metal+Oscillating+Blade+for+Metal+%283+pack%29&amp;qid=1695174014&amp;sr=8-5", "https://www.amazon.com/Diablo-Universal-Bi-Metal-Blades-Nail-Embedded/dp/B089KW2WVD/ref=sr_1_5?keywords=Diablo+Tools+DOU125BF3+1-1%2F4+in.+Universal+Fit+Bi-Metal+Oscillating+Blade+for+Metal+%283+pack%29&amp;qid=1695174014&amp;sr=8-5")</f>
        <v>https://www.amazon.com/Diablo-Universal-Bi-Metal-Blades-Nail-Embedded/dp/B089KW2WVD/ref=sr_1_5?keywords=Diablo+Tools+DOU125BF3+1-1%2F4+in.+Universal+Fit+Bi-Metal+Oscillating+Blade+for+Metal+%283+pack%29&amp;qid=1695174014&amp;sr=8-5</v>
      </c>
      <c r="F4401" t="s">
        <v>5939</v>
      </c>
      <c r="G4401" t="e">
        <f ca="1">_xludf.IMAGE("https://edmondsonsupply.com/cdn/shop/files/k1d1qiwmm4npznsdbwtg_4dc7bdf3-43a4-4863-8a1d-f71b60bc7c6d.webp?v=1685468179")</f>
        <v>#NAME?</v>
      </c>
      <c r="H4401" t="e">
        <f ca="1">_xludf.IMAGE("https://m.media-amazon.com/images/I/613ig7mNjfL._AC_UL320_.jpg")</f>
        <v>#NAME?</v>
      </c>
      <c r="I4401" t="s">
        <v>340</v>
      </c>
      <c r="J4401">
        <v>25.49</v>
      </c>
      <c r="K4401" s="4">
        <v>-0.27110000000000001</v>
      </c>
      <c r="L4401">
        <v>4.5999999999999996</v>
      </c>
      <c r="M4401">
        <v>148</v>
      </c>
      <c r="O4401" t="s">
        <v>25</v>
      </c>
      <c r="P4401" t="s">
        <v>8520</v>
      </c>
      <c r="Q4401" t="s">
        <v>8523</v>
      </c>
    </row>
    <row r="4402" spans="1:17" ht="15.5" x14ac:dyDescent="0.35">
      <c r="A4402"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4402"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4402" t="s">
        <v>8776</v>
      </c>
      <c r="D4402" t="s">
        <v>5938</v>
      </c>
      <c r="E4402" s="3" t="str">
        <f>HYPERLINK("https://www.amazon.com/Diablo-Universal-Bi-Metal-Blades-Nail-Embedded/dp/B089KW2WVD/ref=sr_1_3?keywords=Diablo+Tools+DOS125BW3+1-1%2F4+in.+Starlock+Bi-Metal+Oscillating+Blades+for+Nail-Embedded+Wood&amp;qid=1695174253&amp;sr=8-3", "https://www.amazon.com/Diablo-Universal-Bi-Metal-Blades-Nail-Embedded/dp/B089KW2WVD/ref=sr_1_3?keywords=Diablo+Tools+DOS125BW3+1-1%2F4+in.+Starlock+Bi-Metal+Oscillating+Blades+for+Nail-Embedded+Wood&amp;qid=1695174253&amp;sr=8-3")</f>
        <v>https://www.amazon.com/Diablo-Universal-Bi-Metal-Blades-Nail-Embedded/dp/B089KW2WVD/ref=sr_1_3?keywords=Diablo+Tools+DOS125BW3+1-1%2F4+in.+Starlock+Bi-Metal+Oscillating+Blades+for+Nail-Embedded+Wood&amp;qid=1695174253&amp;sr=8-3</v>
      </c>
      <c r="F4402" t="s">
        <v>5939</v>
      </c>
      <c r="G4402" t="e">
        <f ca="1">_xludf.IMAGE("https://edmondsonsupply.com/cdn/shop/products/DOS125BW3_Main-Image.png?v=1633031100")</f>
        <v>#NAME?</v>
      </c>
      <c r="H4402" t="e">
        <f ca="1">_xludf.IMAGE("https://m.media-amazon.com/images/I/613ig7mNjfL._AC_UL320_.jpg")</f>
        <v>#NAME?</v>
      </c>
      <c r="I4402" t="s">
        <v>340</v>
      </c>
      <c r="J4402">
        <v>25.49</v>
      </c>
      <c r="K4402" s="4">
        <v>-0.27110000000000001</v>
      </c>
      <c r="L4402">
        <v>4.5999999999999996</v>
      </c>
      <c r="M4402">
        <v>148</v>
      </c>
      <c r="O4402" t="s">
        <v>25</v>
      </c>
      <c r="P4402" t="s">
        <v>8777</v>
      </c>
      <c r="Q4402" t="s">
        <v>8778</v>
      </c>
    </row>
    <row r="4403" spans="1:17" ht="15.5" x14ac:dyDescent="0.35">
      <c r="A4403"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403"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403" t="s">
        <v>8519</v>
      </c>
      <c r="D4403" t="s">
        <v>5938</v>
      </c>
      <c r="E4403" s="3" t="str">
        <f>HYPERLINK("https://www.amazon.com/Diablo-Universal-Bi-Metal-Blades-Nail-Embedded/dp/B089KW2WVD/ref=sr_1_5?keywords=Diablo+Tools+DOU125JBW3+1-1%2F4+in.+Universal+Fit+Bi-Metal+Oscillating+Blades+for+Clean+Wood&amp;qid=1695174271&amp;sr=8-5", "https://www.amazon.com/Diablo-Universal-Bi-Metal-Blades-Nail-Embedded/dp/B089KW2WVD/ref=sr_1_5?keywords=Diablo+Tools+DOU125JBW3+1-1%2F4+in.+Universal+Fit+Bi-Metal+Oscillating+Blades+for+Clean+Wood&amp;qid=1695174271&amp;sr=8-5")</f>
        <v>https://www.amazon.com/Diablo-Universal-Bi-Metal-Blades-Nail-Embedded/dp/B089KW2WVD/ref=sr_1_5?keywords=Diablo+Tools+DOU125JBW3+1-1%2F4+in.+Universal+Fit+Bi-Metal+Oscillating+Blades+for+Clean+Wood&amp;qid=1695174271&amp;sr=8-5</v>
      </c>
      <c r="F4403" t="s">
        <v>5939</v>
      </c>
      <c r="G4403" t="e">
        <f ca="1">_xludf.IMAGE("https://edmondsonsupply.com/cdn/shop/products/DOU125JBW3_Main-Image.png?v=1633031095")</f>
        <v>#NAME?</v>
      </c>
      <c r="H4403" t="e">
        <f ca="1">_xludf.IMAGE("https://m.media-amazon.com/images/I/613ig7mNjfL._AC_UL320_.jpg")</f>
        <v>#NAME?</v>
      </c>
      <c r="I4403" t="s">
        <v>340</v>
      </c>
      <c r="J4403">
        <v>25.49</v>
      </c>
      <c r="K4403" s="4">
        <v>-0.27110000000000001</v>
      </c>
      <c r="L4403">
        <v>4.5999999999999996</v>
      </c>
      <c r="M4403">
        <v>148</v>
      </c>
      <c r="O4403" t="s">
        <v>25</v>
      </c>
      <c r="P4403" t="s">
        <v>8520</v>
      </c>
      <c r="Q4403" t="s">
        <v>8521</v>
      </c>
    </row>
    <row r="4404" spans="1:17" ht="15.5" x14ac:dyDescent="0.35">
      <c r="A4404"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4404" s="3" t="str">
        <f>HYPERLINK("https://edmondsonsupply.com/products/klein-tools-vaco-s10m-5-16-magnetic-nut-driver-3-hollow-shaft", "https://edmondsonsupply.com/products/klein-tools-vaco-s10m-5-16-magnetic-nut-driver-3-hollow-shaft")</f>
        <v>https://edmondsonsupply.com/products/klein-tools-vaco-s10m-5-16-magnetic-nut-driver-3-hollow-shaft</v>
      </c>
      <c r="C4404" t="s">
        <v>6468</v>
      </c>
      <c r="D4404" t="s">
        <v>5248</v>
      </c>
      <c r="E4404" s="3" t="str">
        <f>HYPERLINK("https://www.amazon.com/Magnetic-Comfordome-Klein-Tools-S8M/dp/B00093GCW8/ref=sr_1_3?keywords=Klein+Tools+S10M+5%2F16-Inch+Magnetic+Nut+Driver+3-Inch+Shaft&amp;qid=1695174019&amp;sr=8-3", "https://www.amazon.com/Magnetic-Comfordome-Klein-Tools-S8M/dp/B00093GCW8/ref=sr_1_3?keywords=Klein+Tools+S10M+5%2F16-Inch+Magnetic+Nut+Driver+3-Inch+Shaft&amp;qid=1695174019&amp;sr=8-3")</f>
        <v>https://www.amazon.com/Magnetic-Comfordome-Klein-Tools-S8M/dp/B00093GCW8/ref=sr_1_3?keywords=Klein+Tools+S10M+5%2F16-Inch+Magnetic+Nut+Driver+3-Inch+Shaft&amp;qid=1695174019&amp;sr=8-3</v>
      </c>
      <c r="F4404" t="s">
        <v>5249</v>
      </c>
      <c r="G4404" t="e">
        <f ca="1">_xludf.IMAGE("https://edmondsonsupply.com/cdn/shop/products/s10m_alt2.jpg?v=1587143022")</f>
        <v>#NAME?</v>
      </c>
      <c r="H4404" t="e">
        <f ca="1">_xludf.IMAGE("https://m.media-amazon.com/images/I/31hOuSIKl7L._AC_UL320_.jpg")</f>
        <v>#NAME?</v>
      </c>
      <c r="I4404" t="s">
        <v>2577</v>
      </c>
      <c r="J4404">
        <v>7.28</v>
      </c>
      <c r="K4404" s="4">
        <v>-0.27129999999999999</v>
      </c>
      <c r="L4404">
        <v>3.8</v>
      </c>
      <c r="M4404">
        <v>8</v>
      </c>
      <c r="O4404" t="s">
        <v>25</v>
      </c>
      <c r="P4404" t="s">
        <v>6469</v>
      </c>
      <c r="Q4404" t="s">
        <v>6470</v>
      </c>
    </row>
    <row r="4405" spans="1:17" ht="15.5" x14ac:dyDescent="0.35">
      <c r="A4405" s="3" t="str">
        <f>HYPERLINK("https://edmondsonsupply.com/collections/electricians-tools/products/diablo-tools-dou125cf3-1-1-4-universal-fit-carbide-oscillating-blades-for-metal", "https://edmondsonsupply.com/collections/electricians-tools/products/diablo-tools-dou125cf3-1-1-4-universal-fit-carbide-oscillating-blades-for-metal")</f>
        <v>https://edmondsonsupply.com/collections/electricians-tools/products/diablo-tools-dou125cf3-1-1-4-universal-fit-carbide-oscillating-blades-for-metal</v>
      </c>
      <c r="B4405" s="3" t="str">
        <f>HYPERLINK("https://edmondsonsupply.com/products/diablo-tools-dou125cf3-1-1-4-universal-fit-carbide-oscillating-blades-for-metal", "https://edmondsonsupply.com/products/diablo-tools-dou125cf3-1-1-4-universal-fit-carbide-oscillating-blades-for-metal")</f>
        <v>https://edmondsonsupply.com/products/diablo-tools-dou125cf3-1-1-4-universal-fit-carbide-oscillating-blades-for-metal</v>
      </c>
      <c r="C4405" t="s">
        <v>8884</v>
      </c>
      <c r="D4405" t="s">
        <v>6941</v>
      </c>
      <c r="E4405" s="3" t="str">
        <f>HYPERLINK("https://www.amazon.com/Diablo-Freud-DOU125CF3-Universal-Oscillating/dp/B089LKXD7L/ref=sr_1_1?keywords=Diablo+Tools+DOU125CF3+1-1%2F4%22+Universal+Fit+Carbide+Oscillating+Blades+for+Metal&amp;qid=1695174254&amp;sr=8-1", "https://www.amazon.com/Diablo-Freud-DOU125CF3-Universal-Oscillating/dp/B089LKXD7L/ref=sr_1_1?keywords=Diablo+Tools+DOU125CF3+1-1%2F4%22+Universal+Fit+Carbide+Oscillating+Blades+for+Metal&amp;qid=1695174254&amp;sr=8-1")</f>
        <v>https://www.amazon.com/Diablo-Freud-DOU125CF3-Universal-Oscillating/dp/B089LKXD7L/ref=sr_1_1?keywords=Diablo+Tools+DOU125CF3+1-1%2F4%22+Universal+Fit+Carbide+Oscillating+Blades+for+Metal&amp;qid=1695174254&amp;sr=8-1</v>
      </c>
      <c r="F4405" t="s">
        <v>6942</v>
      </c>
      <c r="G4405" t="e">
        <f ca="1">_xludf.IMAGE("https://edmondsonsupply.com/cdn/shop/products/DOU125CF3_Main-Image.png?v=1633031100")</f>
        <v>#NAME?</v>
      </c>
      <c r="H4405" t="e">
        <f ca="1">_xludf.IMAGE("https://m.media-amazon.com/images/I/71izb0UUOkL._AC_UL320_.jpg")</f>
        <v>#NAME?</v>
      </c>
      <c r="I4405" t="s">
        <v>8885</v>
      </c>
      <c r="J4405">
        <v>32</v>
      </c>
      <c r="K4405" s="4">
        <v>-0.2722</v>
      </c>
      <c r="L4405">
        <v>4.5</v>
      </c>
      <c r="M4405">
        <v>164</v>
      </c>
      <c r="O4405" t="s">
        <v>25</v>
      </c>
      <c r="P4405" t="s">
        <v>1876</v>
      </c>
      <c r="Q4405" t="s">
        <v>8886</v>
      </c>
    </row>
    <row r="4406" spans="1:17" ht="15.5" x14ac:dyDescent="0.35">
      <c r="A4406"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4406" s="3" t="str">
        <f>HYPERLINK("https://edmondsonsupply.com/products/klein-tools-12098-eins-combination-pliers-insulated", "https://edmondsonsupply.com/products/klein-tools-12098-eins-combination-pliers-insulated")</f>
        <v>https://edmondsonsupply.com/products/klein-tools-12098-eins-combination-pliers-insulated</v>
      </c>
      <c r="C4406" t="s">
        <v>8623</v>
      </c>
      <c r="D4406" t="s">
        <v>5320</v>
      </c>
      <c r="E4406" s="3" t="str">
        <f>HYPERLINK("https://www.amazon.com/Klein-Tools-200028EINS-Electricians-Insulated/dp/B00JGG5P86/ref=sr_1_5?keywords=Klein+Tools+12098-EINS+Combination+Pliers%2C+Insulated&amp;qid=1695174273&amp;sr=8-5", "https://www.amazon.com/Klein-Tools-200028EINS-Electricians-Insulated/dp/B00JGG5P86/ref=sr_1_5?keywords=Klein+Tools+12098-EINS+Combination+Pliers%2C+Insulated&amp;qid=1695174273&amp;sr=8-5")</f>
        <v>https://www.amazon.com/Klein-Tools-200028EINS-Electricians-Insulated/dp/B00JGG5P86/ref=sr_1_5?keywords=Klein+Tools+12098-EINS+Combination+Pliers%2C+Insulated&amp;qid=1695174273&amp;sr=8-5</v>
      </c>
      <c r="F4406" t="s">
        <v>5321</v>
      </c>
      <c r="G4406" t="e">
        <f ca="1">_xludf.IMAGE("https://edmondsonsupply.com/cdn/shop/products/12098eins.jpg?v=1633031039")</f>
        <v>#NAME?</v>
      </c>
      <c r="H4406" t="e">
        <f ca="1">_xludf.IMAGE("https://m.media-amazon.com/images/I/51cA-etI6LL._AC_UL320_.jpg")</f>
        <v>#NAME?</v>
      </c>
      <c r="I4406" t="s">
        <v>320</v>
      </c>
      <c r="J4406">
        <v>54.55</v>
      </c>
      <c r="K4406" s="4">
        <v>-0.27260000000000001</v>
      </c>
      <c r="L4406">
        <v>4.4000000000000004</v>
      </c>
      <c r="M4406">
        <v>68</v>
      </c>
      <c r="O4406" t="s">
        <v>25</v>
      </c>
      <c r="P4406" t="s">
        <v>8624</v>
      </c>
      <c r="Q4406" t="s">
        <v>8625</v>
      </c>
    </row>
    <row r="4407" spans="1:17" ht="15.5" x14ac:dyDescent="0.35">
      <c r="A4407"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4407" s="3" t="str">
        <f>HYPERLINK("https://edmondsonsupply.com/products/klein-tools-j20017ne-heavy-duty-linemans-pliers-7-inch", "https://edmondsonsupply.com/products/klein-tools-j20017ne-heavy-duty-linemans-pliers-7-inch")</f>
        <v>https://edmondsonsupply.com/products/klein-tools-j20017ne-heavy-duty-linemans-pliers-7-inch</v>
      </c>
      <c r="C4407" t="s">
        <v>8097</v>
      </c>
      <c r="D4407" t="s">
        <v>8887</v>
      </c>
      <c r="E4407" s="3" t="str">
        <f>HYPERLINK("https://www.amazon.com/Ironworker-Cutters-Klein-Tools-D201-7CST/dp/B0000302WO/ref=sr_1_8?keywords=Klein+Tools+J20017NE+Heavy-Duty+Lineman%27s+Pliers%2C+7-Inch&amp;qid=1695174165&amp;sr=8-8", "https://www.amazon.com/Ironworker-Cutters-Klein-Tools-D201-7CST/dp/B0000302WO/ref=sr_1_8?keywords=Klein+Tools+J20017NE+Heavy-Duty+Lineman%27s+Pliers%2C+7-Inch&amp;qid=1695174165&amp;sr=8-8")</f>
        <v>https://www.amazon.com/Ironworker-Cutters-Klein-Tools-D201-7CST/dp/B0000302WO/ref=sr_1_8?keywords=Klein+Tools+J20017NE+Heavy-Duty+Lineman%27s+Pliers%2C+7-Inch&amp;qid=1695174165&amp;sr=8-8</v>
      </c>
      <c r="F4407" t="s">
        <v>8888</v>
      </c>
      <c r="G4407" t="e">
        <f ca="1">_xludf.IMAGE("https://edmondsonsupply.com/cdn/shop/products/j20017ne.jpg?v=1662669673")</f>
        <v>#NAME?</v>
      </c>
      <c r="H4407" t="e">
        <f ca="1">_xludf.IMAGE("https://m.media-amazon.com/images/I/41zFQhOjmsL._AC_UL320_.jpg")</f>
        <v>#NAME?</v>
      </c>
      <c r="I4407" t="s">
        <v>269</v>
      </c>
      <c r="J4407">
        <v>39.99</v>
      </c>
      <c r="K4407" s="4">
        <v>-0.27279999999999999</v>
      </c>
      <c r="L4407">
        <v>4.5999999999999996</v>
      </c>
      <c r="M4407">
        <v>534</v>
      </c>
      <c r="O4407" t="s">
        <v>25</v>
      </c>
      <c r="P4407" t="s">
        <v>8100</v>
      </c>
      <c r="Q4407" t="s">
        <v>8101</v>
      </c>
    </row>
    <row r="4408" spans="1:17" ht="15.5" x14ac:dyDescent="0.35">
      <c r="A4408"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4408"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4408" t="s">
        <v>5906</v>
      </c>
      <c r="D4408" t="s">
        <v>5900</v>
      </c>
      <c r="E4408" s="3" t="str">
        <f>HYPERLINK("https://www.amazon.com/Diablo-DMAMXCC5030-SDS-Max-Carbide-Tipped/dp/B089M8K3HG/ref=sr_1_2?keywords=Diablo+Tools+DMAMXCC5050+4+in.+x+7+in.+SDS-Max+Carbide+Tipped+Core+Bit&amp;qid=1695174004&amp;sr=8-2", "https://www.amazon.com/Diablo-DMAMXCC5030-SDS-Max-Carbide-Tipped/dp/B089M8K3HG/ref=sr_1_2?keywords=Diablo+Tools+DMAMXCC5050+4+in.+x+7+in.+SDS-Max+Carbide+Tipped+Core+Bit&amp;qid=1695174004&amp;sr=8-2")</f>
        <v>https://www.amazon.com/Diablo-DMAMXCC5030-SDS-Max-Carbide-Tipped/dp/B089M8K3HG/ref=sr_1_2?keywords=Diablo+Tools+DMAMXCC5050+4+in.+x+7+in.+SDS-Max+Carbide+Tipped+Core+Bit&amp;qid=1695174004&amp;sr=8-2</v>
      </c>
      <c r="F4408" t="s">
        <v>5901</v>
      </c>
      <c r="G4408" t="e">
        <f ca="1">_xludf.IMAGE("https://edmondsonsupply.com/cdn/shop/files/yghx7uqdjxchri5fikny.webp?v=1686586834")</f>
        <v>#NAME?</v>
      </c>
      <c r="H4408" t="e">
        <f ca="1">_xludf.IMAGE("https://m.media-amazon.com/images/I/71U1Um--OXL._AC_UL320_.jpg")</f>
        <v>#NAME?</v>
      </c>
      <c r="I4408" t="s">
        <v>5907</v>
      </c>
      <c r="J4408">
        <v>110</v>
      </c>
      <c r="K4408" s="4">
        <v>-0.27339999999999998</v>
      </c>
      <c r="L4408">
        <v>5</v>
      </c>
      <c r="M4408">
        <v>3</v>
      </c>
      <c r="O4408" t="s">
        <v>25</v>
      </c>
      <c r="P4408" t="s">
        <v>5908</v>
      </c>
      <c r="Q4408" t="s">
        <v>5909</v>
      </c>
    </row>
    <row r="4409" spans="1:17" ht="15.5" x14ac:dyDescent="0.35">
      <c r="A4409" s="3" t="str">
        <f>HYPERLINK("https://edmondsonsupply.com/collections/electricians-tools/products/klein-tools-j2000-9netp-linemans-pliers-fish-tape-pulling-9-inch", "https://edmondsonsupply.com/collections/electricians-tools/products/klein-tools-j2000-9netp-linemans-pliers-fish-tape-pulling-9-inch")</f>
        <v>https://edmondsonsupply.com/collections/electricians-tools/products/klein-tools-j2000-9netp-linemans-pliers-fish-tape-pulling-9-inch</v>
      </c>
      <c r="B4409" s="3" t="str">
        <f>HYPERLINK("https://edmondsonsupply.com/products/klein-tools-j2000-9netp-linemans-pliers-fish-tape-pulling-9-inch", "https://edmondsonsupply.com/products/klein-tools-j2000-9netp-linemans-pliers-fish-tape-pulling-9-inch")</f>
        <v>https://edmondsonsupply.com/products/klein-tools-j2000-9netp-linemans-pliers-fish-tape-pulling-9-inch</v>
      </c>
      <c r="C4409" t="s">
        <v>8712</v>
      </c>
      <c r="D4409" t="s">
        <v>8889</v>
      </c>
      <c r="E4409" s="3" t="str">
        <f>HYPERLINK("https://www.amazon.com/Klein-Tools-D213-9NETP-Linemans-Pulling/dp/B000BOA2GC/ref=sr_1_1?keywords=Klein+Tools+J2000-9NETP+Lineman%27s+Pliers%2C+Fish+Tape+Pulling%2C+9-Inch&amp;qid=1695174247&amp;sr=8-1", "https://www.amazon.com/Klein-Tools-D213-9NETP-Linemans-Pulling/dp/B000BOA2GC/ref=sr_1_1?keywords=Klein+Tools+J2000-9NETP+Lineman%27s+Pliers%2C+Fish+Tape+Pulling%2C+9-Inch&amp;qid=1695174247&amp;sr=8-1")</f>
        <v>https://www.amazon.com/Klein-Tools-D213-9NETP-Linemans-Pulling/dp/B000BOA2GC/ref=sr_1_1?keywords=Klein+Tools+J2000-9NETP+Lineman%27s+Pliers%2C+Fish+Tape+Pulling%2C+9-Inch&amp;qid=1695174247&amp;sr=8-1</v>
      </c>
      <c r="F4409" t="s">
        <v>8890</v>
      </c>
      <c r="G4409" t="e">
        <f ca="1">_xludf.IMAGE("https://edmondsonsupply.com/cdn/shop/products/j20009netp.jpg?v=1633031134")</f>
        <v>#NAME?</v>
      </c>
      <c r="H4409" t="e">
        <f ca="1">_xludf.IMAGE("https://m.media-amazon.com/images/I/41zLHfcbp+L._AC_UL320_.jpg")</f>
        <v>#NAME?</v>
      </c>
      <c r="I4409" t="s">
        <v>269</v>
      </c>
      <c r="J4409">
        <v>39.880000000000003</v>
      </c>
      <c r="K4409" s="4">
        <v>-0.27479999999999999</v>
      </c>
      <c r="L4409">
        <v>4.8</v>
      </c>
      <c r="M4409">
        <v>4121</v>
      </c>
      <c r="O4409" t="s">
        <v>25</v>
      </c>
      <c r="P4409" t="s">
        <v>8100</v>
      </c>
      <c r="Q4409" t="s">
        <v>8715</v>
      </c>
    </row>
    <row r="4410" spans="1:17" ht="15.5" x14ac:dyDescent="0.35">
      <c r="A4410" s="3" t="str">
        <f>HYPERLINK("https://edmondsonsupply.com/collections/electricians-tools/products/veto-pro-pac-tech-pac-wheeler-backpack-tool-bag", "https://edmondsonsupply.com/collections/electricians-tools/products/veto-pro-pac-tech-pac-wheeler-backpack-tool-bag")</f>
        <v>https://edmondsonsupply.com/collections/electricians-tools/products/veto-pro-pac-tech-pac-wheeler-backpack-tool-bag</v>
      </c>
      <c r="B4410" s="3" t="str">
        <f>HYPERLINK("https://edmondsonsupply.com/products/veto-pro-pac-tech-pac-wheeler-backpack-tool-bag", "https://edmondsonsupply.com/products/veto-pro-pac-tech-pac-wheeler-backpack-tool-bag")</f>
        <v>https://edmondsonsupply.com/products/veto-pro-pac-tech-pac-wheeler-backpack-tool-bag</v>
      </c>
      <c r="C4410" t="s">
        <v>756</v>
      </c>
      <c r="D4410" t="s">
        <v>512</v>
      </c>
      <c r="E4410" s="3" t="str">
        <f>HYPERLINK("https://www.amazon.com/VETO-PRO-PAC-Tech-Pac/dp/B00WZLTCHO/ref=sr_1_3?keywords=Veto+Pro+Pac+TECH+PAC+WHEELER+Backpack+Tool+Bag&amp;qid=1695173855&amp;sr=8-3", "https://www.amazon.com/VETO-PRO-PAC-Tech-Pac/dp/B00WZLTCHO/ref=sr_1_3?keywords=Veto+Pro+Pac+TECH+PAC+WHEELER+Backpack+Tool+Bag&amp;qid=1695173855&amp;sr=8-3")</f>
        <v>https://www.amazon.com/VETO-PRO-PAC-Tech-Pac/dp/B00WZLTCHO/ref=sr_1_3?keywords=Veto+Pro+Pac+TECH+PAC+WHEELER+Backpack+Tool+Bag&amp;qid=1695173855&amp;sr=8-3</v>
      </c>
      <c r="F4410" t="s">
        <v>513</v>
      </c>
      <c r="G4410" t="e">
        <f ca="1">_xludf.IMAGE("https://edmondsonsupply.com/cdn/shop/products/01_TECH-PAC-WHEELER.jpg?v=1633031176")</f>
        <v>#NAME?</v>
      </c>
      <c r="H4410" t="e">
        <f ca="1">_xludf.IMAGE("https://m.media-amazon.com/images/I/61uz-pihn8L._AC_UL320_.jpg")</f>
        <v>#NAME?</v>
      </c>
      <c r="I4410" t="s">
        <v>42</v>
      </c>
      <c r="J4410">
        <v>289.95</v>
      </c>
      <c r="K4410" s="4">
        <v>-0.27510000000000001</v>
      </c>
      <c r="L4410">
        <v>4.7</v>
      </c>
      <c r="M4410">
        <v>285</v>
      </c>
      <c r="O4410" t="s">
        <v>25</v>
      </c>
      <c r="P4410" t="s">
        <v>138</v>
      </c>
      <c r="Q4410" t="s">
        <v>757</v>
      </c>
    </row>
    <row r="4411" spans="1:17" ht="15.5" x14ac:dyDescent="0.35">
      <c r="A4411"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4411" s="3" t="str">
        <f>HYPERLINK("https://edmondsonsupply.com/products/klein-tools-vaco-s10m-5-16-magnetic-nut-driver-3-hollow-shaft", "https://edmondsonsupply.com/products/klein-tools-vaco-s10m-5-16-magnetic-nut-driver-3-hollow-shaft")</f>
        <v>https://edmondsonsupply.com/products/klein-tools-vaco-s10m-5-16-magnetic-nut-driver-3-hollow-shaft</v>
      </c>
      <c r="C4411" t="s">
        <v>6468</v>
      </c>
      <c r="D4411" t="s">
        <v>8540</v>
      </c>
      <c r="E4411" s="3" t="str">
        <f>HYPERLINK("https://www.amazon.com/16-Inch-Comfordome-Klein-Tools-S10/dp/B0000302VV/ref=sr_1_8?keywords=Klein+Tools+S10M+5%2F16-Inch+Magnetic+Nut+Driver+3-Inch+Shaft&amp;qid=1695174019&amp;sr=8-8", "https://www.amazon.com/16-Inch-Comfordome-Klein-Tools-S10/dp/B0000302VV/ref=sr_1_8?keywords=Klein+Tools+S10M+5%2F16-Inch+Magnetic+Nut+Driver+3-Inch+Shaft&amp;qid=1695174019&amp;sr=8-8")</f>
        <v>https://www.amazon.com/16-Inch-Comfordome-Klein-Tools-S10/dp/B0000302VV/ref=sr_1_8?keywords=Klein+Tools+S10M+5%2F16-Inch+Magnetic+Nut+Driver+3-Inch+Shaft&amp;qid=1695174019&amp;sr=8-8</v>
      </c>
      <c r="F4411" t="s">
        <v>8541</v>
      </c>
      <c r="G4411" t="e">
        <f ca="1">_xludf.IMAGE("https://edmondsonsupply.com/cdn/shop/products/s10m_alt2.jpg?v=1587143022")</f>
        <v>#NAME?</v>
      </c>
      <c r="H4411" t="e">
        <f ca="1">_xludf.IMAGE("https://m.media-amazon.com/images/I/41Nb5OKrySL._AC_UL320_.jpg")</f>
        <v>#NAME?</v>
      </c>
      <c r="I4411" t="s">
        <v>2577</v>
      </c>
      <c r="J4411">
        <v>7.24</v>
      </c>
      <c r="K4411" s="4">
        <v>-0.27529999999999999</v>
      </c>
      <c r="L4411">
        <v>4.5</v>
      </c>
      <c r="M4411">
        <v>225</v>
      </c>
      <c r="O4411" t="s">
        <v>25</v>
      </c>
      <c r="P4411" t="s">
        <v>6469</v>
      </c>
      <c r="Q4411" t="s">
        <v>6470</v>
      </c>
    </row>
    <row r="4412" spans="1:17" ht="15.5" x14ac:dyDescent="0.35">
      <c r="A4412"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4412"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4412" t="s">
        <v>2659</v>
      </c>
      <c r="D4412" t="s">
        <v>5409</v>
      </c>
      <c r="E4412" s="3" t="str">
        <f>HYPERLINK("https://www.amazon.com/Folding-Nine-Key-Klein-Tools-70591/dp/B0002RI8RS/ref=sr_1_3?keywords=Klein+Tools+70550+Pro+Folding+Hex+Key+Set%2C+11-Key%2C+SAE+Sizes&amp;qid=1695173950&amp;sr=8-3", "https://www.amazon.com/Folding-Nine-Key-Klein-Tools-70591/dp/B0002RI8RS/ref=sr_1_3?keywords=Klein+Tools+70550+Pro+Folding+Hex+Key+Set%2C+11-Key%2C+SAE+Sizes&amp;qid=1695173950&amp;sr=8-3")</f>
        <v>https://www.amazon.com/Folding-Nine-Key-Klein-Tools-70591/dp/B0002RI8RS/ref=sr_1_3?keywords=Klein+Tools+70550+Pro+Folding+Hex+Key+Set%2C+11-Key%2C+SAE+Sizes&amp;qid=1695173950&amp;sr=8-3</v>
      </c>
      <c r="F4412" t="s">
        <v>5410</v>
      </c>
      <c r="G4412" t="e">
        <f ca="1">_xludf.IMAGE("https://edmondsonsupply.com/cdn/shop/products/70550.jpg?v=1587145237")</f>
        <v>#NAME?</v>
      </c>
      <c r="H4412" t="e">
        <f ca="1">_xludf.IMAGE("https://m.media-amazon.com/images/I/61QIa+2yMTL._AC_UL320_.jpg")</f>
        <v>#NAME?</v>
      </c>
      <c r="I4412" t="s">
        <v>893</v>
      </c>
      <c r="J4412">
        <v>14.46</v>
      </c>
      <c r="K4412" s="4">
        <v>-0.27589999999999998</v>
      </c>
      <c r="L4412">
        <v>4.7</v>
      </c>
      <c r="M4412">
        <v>3168</v>
      </c>
      <c r="O4412" t="s">
        <v>25</v>
      </c>
      <c r="P4412" t="s">
        <v>2662</v>
      </c>
      <c r="Q4412" t="s">
        <v>2663</v>
      </c>
    </row>
    <row r="4413" spans="1:17" ht="15.5" x14ac:dyDescent="0.35">
      <c r="A4413" s="3" t="str">
        <f>HYPERLINK("https://edmondsonsupply.com/collections/electricians-tools/products/diablo-tools-dmans1050-3-8-in-tile-stone-carbide-tipped-drill-bit", "https://edmondsonsupply.com/collections/electricians-tools/products/diablo-tools-dmans1050-3-8-in-tile-stone-carbide-tipped-drill-bit")</f>
        <v>https://edmondsonsupply.com/collections/electricians-tools/products/diablo-tools-dmans1050-3-8-in-tile-stone-carbide-tipped-drill-bit</v>
      </c>
      <c r="B4413" s="3" t="str">
        <f>HYPERLINK("https://edmondsonsupply.com/products/diablo-tools-dmans1050-3-8-in-tile-stone-carbide-tipped-drill-bit", "https://edmondsonsupply.com/products/diablo-tools-dmans1050-3-8-in-tile-stone-carbide-tipped-drill-bit")</f>
        <v>https://edmondsonsupply.com/products/diablo-tools-dmans1050-3-8-in-tile-stone-carbide-tipped-drill-bit</v>
      </c>
      <c r="C4413" t="s">
        <v>8891</v>
      </c>
      <c r="D4413" t="s">
        <v>8892</v>
      </c>
      <c r="E4413" s="3" t="str">
        <f>HYPERLINK("https://www.amazon.com/Diablo-DMANS1050-Stone-Carbide-Tipped/dp/B089KX54KP/ref=sr_1_1?keywords=Diablo+Tools+DMANS1050+3%2F8+in.+Tile&amp;qid=1695174213&amp;sr=8-1", "https://www.amazon.com/Diablo-DMANS1050-Stone-Carbide-Tipped/dp/B089KX54KP/ref=sr_1_1?keywords=Diablo+Tools+DMANS1050+3%2F8+in.+Tile&amp;qid=1695174213&amp;sr=8-1")</f>
        <v>https://www.amazon.com/Diablo-DMANS1050-Stone-Carbide-Tipped/dp/B089KX54KP/ref=sr_1_1?keywords=Diablo+Tools+DMANS1050+3%2F8+in.+Tile&amp;qid=1695174213&amp;sr=8-1</v>
      </c>
      <c r="F4413" t="s">
        <v>8893</v>
      </c>
      <c r="G4413" t="e">
        <f ca="1">_xludf.IMAGE("https://edmondsonsupply.com/cdn/shop/products/1050.webp?v=1647637874")</f>
        <v>#NAME?</v>
      </c>
      <c r="H4413" t="e">
        <f ca="1">_xludf.IMAGE("https://m.media-amazon.com/images/I/61+diWSK+wL._AC_UL320_.jpg")</f>
        <v>#NAME?</v>
      </c>
      <c r="I4413" t="s">
        <v>2784</v>
      </c>
      <c r="J4413">
        <v>10.83</v>
      </c>
      <c r="K4413" s="4">
        <v>-0.27660000000000001</v>
      </c>
      <c r="L4413">
        <v>5</v>
      </c>
      <c r="M4413">
        <v>2</v>
      </c>
      <c r="O4413" t="s">
        <v>25</v>
      </c>
      <c r="P4413" t="s">
        <v>138</v>
      </c>
      <c r="Q4413" t="s">
        <v>8894</v>
      </c>
    </row>
    <row r="4414" spans="1:17" ht="15.5" x14ac:dyDescent="0.35">
      <c r="A4414"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414"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414" t="s">
        <v>2903</v>
      </c>
      <c r="D4414" t="s">
        <v>5413</v>
      </c>
      <c r="E4414" s="3" t="str">
        <f>HYPERLINK("https://www.amazon.com/Diablo-DMAMX1100-SDS-Max-4-Cutter-Carbide/dp/B089LCPW7V/ref=sr_1_5?keywords=Diablo+Tools+DMAMX1300+1-1%2F4+in.+x+16+in.+x+21+in.+Rebar+Demon%E2%84%A2+SDS-Max+4-Cutter+Full+Carbide+Head+Hammer+Drill+Bit&amp;qid=1695173871&amp;sr=8-5", "https://www.amazon.com/Diablo-DMAMX1100-SDS-Max-4-Cutter-Carbide/dp/B089LCPW7V/ref=sr_1_5?keywords=Diablo+Tools+DMAMX1300+1-1%2F4+in.+x+16+in.+x+21+in.+Rebar+Demon%E2%84%A2+SDS-Max+4-Cutter+Full+Carbide+Head+Hammer+Drill+Bit&amp;qid=1695173871&amp;sr=8-5")</f>
        <v>https://www.amazon.com/Diablo-DMAMX1100-SDS-Max-4-Cutter-Carbide/dp/B089LCPW7V/ref=sr_1_5?keywords=Diablo+Tools+DMAMX1300+1-1%2F4+in.+x+16+in.+x+21+in.+Rebar+Demon%E2%84%A2+SDS-Max+4-Cutter+Full+Carbide+Head+Hammer+Drill+Bit&amp;qid=1695173871&amp;sr=8-5</v>
      </c>
      <c r="F4414" t="s">
        <v>5414</v>
      </c>
      <c r="G4414" t="e">
        <f ca="1">_xludf.IMAGE("https://edmondsonsupply.com/cdn/shop/files/immoyh7jjmbau4fzhuq6_7dd7fd73-2865-4c12-9443-da45b48dbd51.webp?v=1685465465")</f>
        <v>#NAME?</v>
      </c>
      <c r="H4414" t="e">
        <f ca="1">_xludf.IMAGE("https://m.media-amazon.com/images/I/618JNJF7eyL._AC_UL320_.jpg")</f>
        <v>#NAME?</v>
      </c>
      <c r="I4414" t="s">
        <v>2906</v>
      </c>
      <c r="J4414">
        <v>47.99</v>
      </c>
      <c r="K4414" s="4">
        <v>-0.27729999999999999</v>
      </c>
      <c r="L4414">
        <v>4.0999999999999996</v>
      </c>
      <c r="M4414">
        <v>4</v>
      </c>
      <c r="O4414" t="s">
        <v>171</v>
      </c>
      <c r="P4414" t="s">
        <v>2907</v>
      </c>
      <c r="Q4414" t="s">
        <v>2908</v>
      </c>
    </row>
    <row r="4415" spans="1:17" ht="15.5" x14ac:dyDescent="0.35">
      <c r="A4415"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4415" s="3" t="str">
        <f>HYPERLINK("https://edmondsonsupply.com/products/klein-tools-44005c-hawkbill-lockback-knife-with-clip", "https://edmondsonsupply.com/products/klein-tools-44005c-hawkbill-lockback-knife-with-clip")</f>
        <v>https://edmondsonsupply.com/products/klein-tools-44005c-hawkbill-lockback-knife-with-clip</v>
      </c>
      <c r="C4415" t="s">
        <v>7808</v>
      </c>
      <c r="D4415" t="s">
        <v>8895</v>
      </c>
      <c r="E4415" s="3" t="str">
        <f>HYPERLINK("https://www.amazon.com/Klein-Tools-Lightweight-Lockback-Stainless/dp/B007OX52NG/ref=sr_1_4?keywords=Klein+Tools+44005C+Hawkbill+Lockback+Knife+with+Clip&amp;qid=1695174149&amp;sr=8-4", "https://www.amazon.com/Klein-Tools-Lightweight-Lockback-Stainless/dp/B007OX52NG/ref=sr_1_4?keywords=Klein+Tools+44005C+Hawkbill+Lockback+Knife+with+Clip&amp;qid=1695174149&amp;sr=8-4")</f>
        <v>https://www.amazon.com/Klein-Tools-Lightweight-Lockback-Stainless/dp/B007OX52NG/ref=sr_1_4?keywords=Klein+Tools+44005C+Hawkbill+Lockback+Knife+with+Clip&amp;qid=1695174149&amp;sr=8-4</v>
      </c>
      <c r="F4415" t="s">
        <v>8896</v>
      </c>
      <c r="G4415" t="e">
        <f ca="1">_xludf.IMAGE("https://edmondsonsupply.com/cdn/shop/products/44005c.jpg?v=1664810854")</f>
        <v>#NAME?</v>
      </c>
      <c r="H4415" t="e">
        <f ca="1">_xludf.IMAGE("https://m.media-amazon.com/images/I/41WEUbazsDS._AC_UL320_.jpg")</f>
        <v>#NAME?</v>
      </c>
      <c r="I4415" t="s">
        <v>1931</v>
      </c>
      <c r="J4415">
        <v>35.99</v>
      </c>
      <c r="K4415" s="4">
        <v>-0.28010000000000002</v>
      </c>
      <c r="L4415">
        <v>4.7</v>
      </c>
      <c r="M4415">
        <v>338</v>
      </c>
      <c r="O4415" t="s">
        <v>25</v>
      </c>
      <c r="P4415" t="s">
        <v>7811</v>
      </c>
      <c r="Q4415" t="s">
        <v>7812</v>
      </c>
    </row>
    <row r="4416" spans="1:17" ht="15.5" x14ac:dyDescent="0.35">
      <c r="A4416"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4416"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4416" t="s">
        <v>6969</v>
      </c>
      <c r="D4416" t="s">
        <v>8897</v>
      </c>
      <c r="E4416" s="3" t="str">
        <f>HYPERLINK("https://www.amazon.com/Klein-Tools-1550-11-Pocket-4-Inch/dp/B0002RI4Y0/ref=sr_1_2?keywords=Klein+Tools+1550-2+2+Blade+Pocket+Knife%2C+Steel%2C+2-1%2F2-Inch+Blade&amp;qid=1695174176&amp;sr=8-2", "https://www.amazon.com/Klein-Tools-1550-11-Pocket-4-Inch/dp/B0002RI4Y0/ref=sr_1_2?keywords=Klein+Tools+1550-2+2+Blade+Pocket+Knife%2C+Steel%2C+2-1%2F2-Inch+Blade&amp;qid=1695174176&amp;sr=8-2")</f>
        <v>https://www.amazon.com/Klein-Tools-1550-11-Pocket-4-Inch/dp/B0002RI4Y0/ref=sr_1_2?keywords=Klein+Tools+1550-2+2+Blade+Pocket+Knife%2C+Steel%2C+2-1%2F2-Inch+Blade&amp;qid=1695174176&amp;sr=8-2</v>
      </c>
      <c r="F4416" t="s">
        <v>8898</v>
      </c>
      <c r="G4416" t="e">
        <f ca="1">_xludf.IMAGE("https://edmondsonsupply.com/cdn/shop/products/15502_b.jpg?v=1658020543")</f>
        <v>#NAME?</v>
      </c>
      <c r="H4416" t="e">
        <f ca="1">_xludf.IMAGE("https://m.media-amazon.com/images/I/41qd2GwDA4L._AC_UL320_.jpg")</f>
        <v>#NAME?</v>
      </c>
      <c r="I4416" t="s">
        <v>26</v>
      </c>
      <c r="J4416">
        <v>21.59</v>
      </c>
      <c r="K4416" s="4">
        <v>-0.28010000000000002</v>
      </c>
      <c r="L4416">
        <v>4.5</v>
      </c>
      <c r="M4416">
        <v>411</v>
      </c>
      <c r="O4416" t="s">
        <v>25</v>
      </c>
      <c r="P4416" t="s">
        <v>6972</v>
      </c>
      <c r="Q4416" t="s">
        <v>6973</v>
      </c>
    </row>
    <row r="4417" spans="1:17" ht="15.5" x14ac:dyDescent="0.35">
      <c r="A4417"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4417" s="3" t="str">
        <f>HYPERLINK("https://edmondsonsupply.com/products/klein-tools-66070-flip-impact-socket-set-7-piece", "https://edmondsonsupply.com/products/klein-tools-66070-flip-impact-socket-set-7-piece")</f>
        <v>https://edmondsonsupply.com/products/klein-tools-66070-flip-impact-socket-set-7-piece</v>
      </c>
      <c r="C4417" t="s">
        <v>6659</v>
      </c>
      <c r="D4417" t="s">
        <v>180</v>
      </c>
      <c r="E4417" s="3" t="str">
        <f>HYPERLINK("https://www.amazon.com/Klein-Tools-Ratchet-5-Piece-Impact/dp/B0BNL31N8K/ref=sr_1_9?keywords=Klein+Tools+66070+Flip+Impact+Socket+Set%2C+7-Piece&amp;qid=1695173845&amp;sr=8-9", "https://www.amazon.com/Klein-Tools-Ratchet-5-Piece-Impact/dp/B0BNL31N8K/ref=sr_1_9?keywords=Klein+Tools+66070+Flip+Impact+Socket+Set%2C+7-Piece&amp;qid=1695173845&amp;sr=8-9")</f>
        <v>https://www.amazon.com/Klein-Tools-Ratchet-5-Piece-Impact/dp/B0BNL31N8K/ref=sr_1_9?keywords=Klein+Tools+66070+Flip+Impact+Socket+Set%2C+7-Piece&amp;qid=1695173845&amp;sr=8-9</v>
      </c>
      <c r="F4417" t="s">
        <v>181</v>
      </c>
      <c r="G4417" t="e">
        <f ca="1">_xludf.IMAGE("https://edmondsonsupply.com/cdn/shop/products/66070_b.jpg?v=1663251434")</f>
        <v>#NAME?</v>
      </c>
      <c r="H4417" t="e">
        <f ca="1">_xludf.IMAGE("https://m.media-amazon.com/images/I/41JD1cfUw6L._AC_UL320_.jpg")</f>
        <v>#NAME?</v>
      </c>
      <c r="I4417" t="s">
        <v>380</v>
      </c>
      <c r="J4417">
        <v>35.950000000000003</v>
      </c>
      <c r="K4417" s="4">
        <v>-0.28060000000000002</v>
      </c>
      <c r="L4417">
        <v>4.9000000000000004</v>
      </c>
      <c r="M4417">
        <v>10</v>
      </c>
      <c r="O4417" t="s">
        <v>25</v>
      </c>
      <c r="P4417" t="s">
        <v>1114</v>
      </c>
      <c r="Q4417" t="s">
        <v>6662</v>
      </c>
    </row>
    <row r="4418" spans="1:17" ht="15.5" x14ac:dyDescent="0.35">
      <c r="A4418" s="3" t="str">
        <f>HYPERLINK("https://edmondsonsupply.com/collections/electricians-tools/products/diablo-tools-dmamx1050-9-16-in-x-8-in-x-13-in-rebar-demon%E2%84%A2-sds-max-4-cutter-full-carbide-head-hammer-drill-bit", "https://edmondsonsupply.com/collections/electricians-tools/products/diablo-tools-dmamx1050-9-16-in-x-8-in-x-13-in-rebar-demon%E2%84%A2-sds-max-4-cutter-full-carbide-head-hammer-drill-bit")</f>
        <v>https://edmondsonsupply.com/collections/electricians-tools/products/diablo-tools-dmamx1050-9-16-in-x-8-in-x-13-in-rebar-demon%E2%84%A2-sds-max-4-cutter-full-carbide-head-hammer-drill-bit</v>
      </c>
      <c r="B4418" s="3" t="str">
        <f>HYPERLINK("https://edmondsonsupply.com/products/diablo-tools-dmamx1050-9-16-in-x-8-in-x-13-in-rebar-demon%e2%84%a2-sds-max-4-cutter-full-carbide-head-hammer-drill-bit", "https://edmondsonsupply.com/products/diablo-tools-dmamx1050-9-16-in-x-8-in-x-13-in-rebar-demon%e2%84%a2-sds-max-4-cutter-full-carbide-head-hammer-drill-bit")</f>
        <v>https://edmondsonsupply.com/products/diablo-tools-dmamx1050-9-16-in-x-8-in-x-13-in-rebar-demon%e2%84%a2-sds-max-4-cutter-full-carbide-head-hammer-drill-bit</v>
      </c>
      <c r="C4418" t="s">
        <v>7491</v>
      </c>
      <c r="D4418" t="s">
        <v>8899</v>
      </c>
      <c r="E4418" s="3" t="str">
        <f>HYPERLINK("https://www.amazon.com/Diablo-SDS-Max-4-Cutter-Carbide-Hammer/dp/B089LK4F2D/ref=sr_1_1?keywords=Diablo+Tools+DMAMX1050+9%2F16+in.+x+8+in.+x+13+in.+Rebar+Demon%E2%84%A2+SDS-Max+4-Cutter+Full+Carbide+Head+Hammer+Drill+Bit&amp;qid=1695174267&amp;sr=8-1", "https://www.amazon.com/Diablo-SDS-Max-4-Cutter-Carbide-Hammer/dp/B089LK4F2D/ref=sr_1_1?keywords=Diablo+Tools+DMAMX1050+9%2F16+in.+x+8+in.+x+13+in.+Rebar+Demon%E2%84%A2+SDS-Max+4-Cutter+Full+Carbide+Head+Hammer+Drill+Bit&amp;qid=1695174267&amp;sr=8-1")</f>
        <v>https://www.amazon.com/Diablo-SDS-Max-4-Cutter-Carbide-Hammer/dp/B089LK4F2D/ref=sr_1_1?keywords=Diablo+Tools+DMAMX1050+9%2F16+in.+x+8+in.+x+13+in.+Rebar+Demon%E2%84%A2+SDS-Max+4-Cutter+Full+Carbide+Head+Hammer+Drill+Bit&amp;qid=1695174267&amp;sr=8-1</v>
      </c>
      <c r="F4418" t="s">
        <v>8900</v>
      </c>
      <c r="G4418" t="e">
        <f ca="1">_xludf.IMAGE("https://edmondsonsupply.com/cdn/shop/products/DMAMX1050_Main-Image20200701.png?v=1633031097")</f>
        <v>#NAME?</v>
      </c>
      <c r="H4418" t="e">
        <f ca="1">_xludf.IMAGE("https://m.media-amazon.com/images/I/61jYhd4-UbL._AC_UL320_.jpg")</f>
        <v>#NAME?</v>
      </c>
      <c r="I4418" t="s">
        <v>7494</v>
      </c>
      <c r="J4418">
        <v>20.99</v>
      </c>
      <c r="K4418" s="4">
        <v>-0.28089999999999998</v>
      </c>
      <c r="L4418">
        <v>5</v>
      </c>
      <c r="M4418">
        <v>1</v>
      </c>
      <c r="O4418" t="s">
        <v>25</v>
      </c>
      <c r="P4418" t="s">
        <v>7495</v>
      </c>
      <c r="Q4418" t="s">
        <v>7496</v>
      </c>
    </row>
    <row r="4419" spans="1:17" ht="15.5" x14ac:dyDescent="0.35">
      <c r="A4419"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4419"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4419" t="s">
        <v>7824</v>
      </c>
      <c r="D4419" t="s">
        <v>8753</v>
      </c>
      <c r="E4419" s="3" t="str">
        <f>HYPERLINK("https://www.amazon.com/High-Leverage-Diagonal-Cutting-Klein-Tools-D2000-28/dp/B0000302WR/ref=sr_1_2?keywords=Klein+Tools+D2000-49+Diagonal+Cutting+Pliers%2C+Angled+Head%2C+9-Inch&amp;qid=1695174302&amp;sr=8-2", "https://www.amazon.com/High-Leverage-Diagonal-Cutting-Klein-Tools-D2000-28/dp/B0000302WR/ref=sr_1_2?keywords=Klein+Tools+D2000-49+Diagonal+Cutting+Pliers%2C+Angled+Head%2C+9-Inch&amp;qid=1695174302&amp;sr=8-2")</f>
        <v>https://www.amazon.com/High-Leverage-Diagonal-Cutting-Klein-Tools-D2000-28/dp/B0000302WR/ref=sr_1_2?keywords=Klein+Tools+D2000-49+Diagonal+Cutting+Pliers%2C+Angled+Head%2C+9-Inch&amp;qid=1695174302&amp;sr=8-2</v>
      </c>
      <c r="F4419" t="s">
        <v>8754</v>
      </c>
      <c r="G4419" t="e">
        <f ca="1">_xludf.IMAGE("https://edmondsonsupply.com/cdn/shop/products/d2000-49.jpg?v=1633030811")</f>
        <v>#NAME?</v>
      </c>
      <c r="H4419" t="e">
        <f ca="1">_xludf.IMAGE("https://m.media-amazon.com/images/I/41VuWJ3z3QL._AC_UL320_.jpg")</f>
        <v>#NAME?</v>
      </c>
      <c r="I4419" t="s">
        <v>3930</v>
      </c>
      <c r="J4419">
        <v>27.99</v>
      </c>
      <c r="K4419" s="4">
        <v>-0.28210000000000002</v>
      </c>
      <c r="L4419">
        <v>4.8</v>
      </c>
      <c r="M4419">
        <v>1451</v>
      </c>
      <c r="O4419" t="s">
        <v>25</v>
      </c>
      <c r="P4419" t="s">
        <v>7825</v>
      </c>
      <c r="Q4419" t="s">
        <v>7826</v>
      </c>
    </row>
    <row r="4420" spans="1:17" ht="15.5" x14ac:dyDescent="0.35">
      <c r="A4420"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4420"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4420" t="s">
        <v>6755</v>
      </c>
      <c r="D4420" t="s">
        <v>7098</v>
      </c>
      <c r="E4420" s="3" t="str">
        <f>HYPERLINK("https://www.amazon.com/Klein-Tools-6926INS-Screwdriver-Cushion-Grip/dp/B09GL1X5SZ/ref=sr_1_10?keywords=Klein+Tools+602-4-INS+1%2F4-Inch+Cabinet+Tip+Insulated+Screwdriver%2C+4-Inch&amp;qid=1695174266&amp;sr=8-10", "https://www.amazon.com/Klein-Tools-6926INS-Screwdriver-Cushion-Grip/dp/B09GL1X5SZ/ref=sr_1_10?keywords=Klein+Tools+602-4-INS+1%2F4-Inch+Cabinet+Tip+Insulated+Screwdriver%2C+4-Inch&amp;qid=1695174266&amp;sr=8-10")</f>
        <v>https://www.amazon.com/Klein-Tools-6926INS-Screwdriver-Cushion-Grip/dp/B09GL1X5SZ/ref=sr_1_10?keywords=Klein+Tools+602-4-INS+1%2F4-Inch+Cabinet+Tip+Insulated+Screwdriver%2C+4-Inch&amp;qid=1695174266&amp;sr=8-10</v>
      </c>
      <c r="F4420" t="s">
        <v>7099</v>
      </c>
      <c r="G4420" t="e">
        <f ca="1">_xludf.IMAGE("https://edmondsonsupply.com/cdn/shop/products/602-4-ins-photo.jpg?v=1633031051")</f>
        <v>#NAME?</v>
      </c>
      <c r="H4420" t="e">
        <f ca="1">_xludf.IMAGE("https://m.media-amazon.com/images/I/41JbepP5oGL._AC_UL320_.jpg")</f>
        <v>#NAME?</v>
      </c>
      <c r="I4420" t="s">
        <v>3185</v>
      </c>
      <c r="J4420">
        <v>14.99</v>
      </c>
      <c r="K4420" s="4">
        <v>-0.28589999999999999</v>
      </c>
      <c r="L4420">
        <v>4.8</v>
      </c>
      <c r="M4420">
        <v>85</v>
      </c>
      <c r="O4420" t="s">
        <v>25</v>
      </c>
      <c r="P4420" t="s">
        <v>6758</v>
      </c>
      <c r="Q4420" t="s">
        <v>6759</v>
      </c>
    </row>
    <row r="4421" spans="1:17" ht="15.5" x14ac:dyDescent="0.35">
      <c r="A4421"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4421" s="3" t="str">
        <f>HYPERLINK("https://edmondsonsupply.com/products/klein-tools-31940-bi-metal-hole-saw-2-1-2-inch", "https://edmondsonsupply.com/products/klein-tools-31940-bi-metal-hole-saw-2-1-2-inch")</f>
        <v>https://edmondsonsupply.com/products/klein-tools-31940-bi-metal-hole-saw-2-1-2-inch</v>
      </c>
      <c r="C4421" t="s">
        <v>6842</v>
      </c>
      <c r="D4421" t="s">
        <v>8901</v>
      </c>
      <c r="E4421" s="3" t="str">
        <f>HYPERLINK("https://www.amazon.com/Bi-Metal-Cutter-Mandrel-Cutting-Aluminium/dp/B0977DCR5Z/ref=sr_1_5?keywords=Klein+Tools+31940+Bi-Metal+Hole+Saw%2C+2-1%2F2-Inch&amp;qid=1695174215&amp;sr=8-5", "https://www.amazon.com/Bi-Metal-Cutter-Mandrel-Cutting-Aluminium/dp/B0977DCR5Z/ref=sr_1_5?keywords=Klein+Tools+31940+Bi-Metal+Hole+Saw%2C+2-1%2F2-Inch&amp;qid=1695174215&amp;sr=8-5")</f>
        <v>https://www.amazon.com/Bi-Metal-Cutter-Mandrel-Cutting-Aluminium/dp/B0977DCR5Z/ref=sr_1_5?keywords=Klein+Tools+31940+Bi-Metal+Hole+Saw%2C+2-1%2F2-Inch&amp;qid=1695174215&amp;sr=8-5</v>
      </c>
      <c r="F4421" t="s">
        <v>8902</v>
      </c>
      <c r="G4421" t="e">
        <f ca="1">_xludf.IMAGE("https://edmondsonsupply.com/cdn/shop/products/31940.jpg?v=1649380086")</f>
        <v>#NAME?</v>
      </c>
      <c r="H4421" t="e">
        <f ca="1">_xludf.IMAGE("https://m.media-amazon.com/images/I/41GTKV4WTLL._AC_UL320_.jpg")</f>
        <v>#NAME?</v>
      </c>
      <c r="I4421" t="s">
        <v>288</v>
      </c>
      <c r="J4421">
        <v>9.99</v>
      </c>
      <c r="K4421" s="4">
        <v>-0.28589999999999999</v>
      </c>
      <c r="L4421">
        <v>4.4000000000000004</v>
      </c>
      <c r="M4421">
        <v>297</v>
      </c>
      <c r="O4421" t="s">
        <v>25</v>
      </c>
      <c r="P4421" t="s">
        <v>6845</v>
      </c>
      <c r="Q4421" t="s">
        <v>6846</v>
      </c>
    </row>
    <row r="4422" spans="1:17" ht="15.5" x14ac:dyDescent="0.35">
      <c r="A4422"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4422"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4422" t="s">
        <v>7732</v>
      </c>
      <c r="D4422" t="s">
        <v>8131</v>
      </c>
      <c r="E4422" s="3" t="str">
        <f>HYPERLINK("https://www.amazon.com/Klein-Tools-6884INS-Screwdriver-Cushion-Grip/dp/B0BF7K2YSW/ref=sr_1_5?keywords=Klein+Tools+6984INS+Slim-Tip+1000V+Insulated+Screwdriver%2C+%231+Square%2C+4-Inch+Round+Shank&amp;qid=1695174144&amp;sr=8-5", "https://www.amazon.com/Klein-Tools-6884INS-Screwdriver-Cushion-Grip/dp/B0BF7K2YSW/ref=sr_1_5?keywords=Klein+Tools+6984INS+Slim-Tip+1000V+Insulated+Screwdriver%2C+%231+Square%2C+4-Inch+Round+Shank&amp;qid=1695174144&amp;sr=8-5")</f>
        <v>https://www.amazon.com/Klein-Tools-6884INS-Screwdriver-Cushion-Grip/dp/B0BF7K2YSW/ref=sr_1_5?keywords=Klein+Tools+6984INS+Slim-Tip+1000V+Insulated+Screwdriver%2C+%231+Square%2C+4-Inch+Round+Shank&amp;qid=1695174144&amp;sr=8-5</v>
      </c>
      <c r="F4422" t="s">
        <v>8132</v>
      </c>
      <c r="G4422" t="e">
        <f ca="1">_xludf.IMAGE("https://edmondsonsupply.com/cdn/shop/products/6984ins.jpg?v=1664806448")</f>
        <v>#NAME?</v>
      </c>
      <c r="H4422" t="e">
        <f ca="1">_xludf.IMAGE("https://m.media-amazon.com/images/I/41avq0kPXJL._AC_UL320_.jpg")</f>
        <v>#NAME?</v>
      </c>
      <c r="I4422" t="s">
        <v>288</v>
      </c>
      <c r="J4422">
        <v>9.9700000000000006</v>
      </c>
      <c r="K4422" s="4">
        <v>-0.2873</v>
      </c>
      <c r="L4422">
        <v>4.8</v>
      </c>
      <c r="M4422">
        <v>419</v>
      </c>
      <c r="O4422" t="s">
        <v>25</v>
      </c>
      <c r="P4422" t="s">
        <v>7730</v>
      </c>
      <c r="Q4422" t="s">
        <v>7733</v>
      </c>
    </row>
    <row r="4423" spans="1:17" ht="15.5" x14ac:dyDescent="0.35">
      <c r="A4423" s="3" t="str">
        <f>HYPERLINK("https://edmondsonsupply.com/collections/electricians-tools/products/milwaukee-2366-20-m18%E2%84%A2-rover%E2%84%A2-dual-power-flood-light", "https://edmondsonsupply.com/collections/electricians-tools/products/milwaukee-2366-20-m18%E2%84%A2-rover%E2%84%A2-dual-power-flood-light")</f>
        <v>https://edmondsonsupply.com/collections/electricians-tools/products/milwaukee-2366-20-m18%E2%84%A2-rover%E2%84%A2-dual-power-flood-light</v>
      </c>
      <c r="B4423" s="3" t="str">
        <f>HYPERLINK("https://edmondsonsupply.com/products/milwaukee-2366-20-m18%e2%84%a2-rover%e2%84%a2-dual-power-flood-light", "https://edmondsonsupply.com/products/milwaukee-2366-20-m18%e2%84%a2-rover%e2%84%a2-dual-power-flood-light")</f>
        <v>https://edmondsonsupply.com/products/milwaukee-2366-20-m18%e2%84%a2-rover%e2%84%a2-dual-power-flood-light</v>
      </c>
      <c r="C4423" t="s">
        <v>5419</v>
      </c>
      <c r="D4423" t="s">
        <v>5420</v>
      </c>
      <c r="E4423" s="3" t="str">
        <f>HYPERLINK("https://www.amazon.com/Milwaukee-2366-20-Compact-Lithium-Ion-Cordless/dp/B08YS6CXG6/ref=sr_1_1?keywords=Milwaukee+2366-20+M18%E2%84%A2+ROVER%E2%84%A2+Dual+Power+Flood+Light&amp;qid=1695173876&amp;sr=8-1", "https://www.amazon.com/Milwaukee-2366-20-Compact-Lithium-Ion-Cordless/dp/B08YS6CXG6/ref=sr_1_1?keywords=Milwaukee+2366-20+M18%E2%84%A2+ROVER%E2%84%A2+Dual+Power+Flood+Light&amp;qid=1695173876&amp;sr=8-1")</f>
        <v>https://www.amazon.com/Milwaukee-2366-20-Compact-Lithium-Ion-Cordless/dp/B08YS6CXG6/ref=sr_1_1?keywords=Milwaukee+2366-20+M18%E2%84%A2+ROVER%E2%84%A2+Dual+Power+Flood+Light&amp;qid=1695173876&amp;sr=8-1</v>
      </c>
      <c r="F4423" t="s">
        <v>5421</v>
      </c>
      <c r="G4423" t="e">
        <f ca="1">_xludf.IMAGE("https://edmondsonsupply.com/cdn/shop/products/2366-20_1.png?v=1657210550")</f>
        <v>#NAME?</v>
      </c>
      <c r="H4423" t="e">
        <f ca="1">_xludf.IMAGE("https://m.media-amazon.com/images/I/51po+g4rqNL._AC_UL320_.jpg")</f>
        <v>#NAME?</v>
      </c>
      <c r="I4423" t="s">
        <v>692</v>
      </c>
      <c r="J4423">
        <v>105.99</v>
      </c>
      <c r="K4423" s="4">
        <v>-0.28870000000000001</v>
      </c>
      <c r="L4423">
        <v>4.9000000000000004</v>
      </c>
      <c r="M4423">
        <v>154</v>
      </c>
      <c r="O4423" t="s">
        <v>25</v>
      </c>
      <c r="P4423" t="s">
        <v>5422</v>
      </c>
      <c r="Q4423" t="s">
        <v>5423</v>
      </c>
    </row>
    <row r="4424" spans="1:17" ht="15.5" x14ac:dyDescent="0.35">
      <c r="A4424"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4424"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4424" t="s">
        <v>4105</v>
      </c>
      <c r="D4424" t="s">
        <v>5424</v>
      </c>
      <c r="E4424" s="3" t="str">
        <f>HYPERLINK("https://www.amazon.com/Leverage-Side-Cutters-Klein-Tools-213-9NE/dp/B000KM95C2/ref=sr_1_3?keywords=Klein+Tools+D20009NEGLW+High-Visibility+Side-Cutting+Pliers+High-Leverage&amp;qid=1695173949&amp;sr=8-3", "https://www.amazon.com/Leverage-Side-Cutters-Klein-Tools-213-9NE/dp/B000KM95C2/ref=sr_1_3?keywords=Klein+Tools+D20009NEGLW+High-Visibility+Side-Cutting+Pliers+High-Leverage&amp;qid=1695173949&amp;sr=8-3")</f>
        <v>https://www.amazon.com/Leverage-Side-Cutters-Klein-Tools-213-9NE/dp/B000KM95C2/ref=sr_1_3?keywords=Klein+Tools+D20009NEGLW+High-Visibility+Side-Cutting+Pliers+High-Leverage&amp;qid=1695173949&amp;sr=8-3</v>
      </c>
      <c r="F4424" t="s">
        <v>5425</v>
      </c>
      <c r="G4424" t="e">
        <f ca="1">_xludf.IMAGE("https://edmondsonsupply.com/cdn/shop/products/d20009neglw.jpg?v=1587144933")</f>
        <v>#NAME?</v>
      </c>
      <c r="H4424" t="e">
        <f ca="1">_xludf.IMAGE("https://m.media-amazon.com/images/I/51NAqyWqRmL._AC_UL320_.jpg")</f>
        <v>#NAME?</v>
      </c>
      <c r="I4424" t="s">
        <v>4108</v>
      </c>
      <c r="J4424">
        <v>31.97</v>
      </c>
      <c r="K4424" s="4">
        <v>-0.28910000000000002</v>
      </c>
      <c r="L4424">
        <v>4.5999999999999996</v>
      </c>
      <c r="M4424">
        <v>26</v>
      </c>
      <c r="O4424" t="s">
        <v>25</v>
      </c>
      <c r="P4424" t="s">
        <v>4109</v>
      </c>
      <c r="Q4424" t="s">
        <v>4110</v>
      </c>
    </row>
    <row r="4425" spans="1:17" ht="15.5" x14ac:dyDescent="0.35">
      <c r="A4425" s="3" t="str">
        <f>HYPERLINK("https://edmondsonsupply.com/collections/electricians-tools/products/veto-pro-pac-tp-xxl-blackout-tool-pouch", "https://edmondsonsupply.com/collections/electricians-tools/products/veto-pro-pac-tp-xxl-blackout-tool-pouch")</f>
        <v>https://edmondsonsupply.com/collections/electricians-tools/products/veto-pro-pac-tp-xxl-blackout-tool-pouch</v>
      </c>
      <c r="B4425" s="3" t="str">
        <f>HYPERLINK("https://edmondsonsupply.com/products/veto-pro-pac-tp-xxl-blackout-tool-pouch", "https://edmondsonsupply.com/products/veto-pro-pac-tp-xxl-blackout-tool-pouch")</f>
        <v>https://edmondsonsupply.com/products/veto-pro-pac-tp-xxl-blackout-tool-pouch</v>
      </c>
      <c r="C4425" t="s">
        <v>758</v>
      </c>
      <c r="D4425" t="s">
        <v>318</v>
      </c>
      <c r="E4425" s="3" t="str">
        <f>HYPERLINK("https://www.amazon.com/Veto-TP-XL-Extra-Large-Pouch/dp/B07WDL7SD3/ref=sr_1_8?keywords=Veto+Pro+Pac+TP-XXL+Blackout+Tool+Pouch&amp;qid=1695173885&amp;sr=8-8", "https://www.amazon.com/Veto-TP-XL-Extra-Large-Pouch/dp/B07WDL7SD3/ref=sr_1_8?keywords=Veto+Pro+Pac+TP-XXL+Blackout+Tool+Pouch&amp;qid=1695173885&amp;sr=8-8")</f>
        <v>https://www.amazon.com/Veto-TP-XL-Extra-Large-Pouch/dp/B07WDL7SD3/ref=sr_1_8?keywords=Veto+Pro+Pac+TP-XXL+Blackout+Tool+Pouch&amp;qid=1695173885&amp;sr=8-8</v>
      </c>
      <c r="F4425" t="s">
        <v>319</v>
      </c>
      <c r="G4425" t="e">
        <f ca="1">_xludf.IMAGE("https://edmondsonsupply.com/cdn/shop/files/TP-xxl_blackout_600x830_0000_TP-XXL_BLACKOUT_0379.jpg?v=1685736106")</f>
        <v>#NAME?</v>
      </c>
      <c r="H4425" t="e">
        <f ca="1">_xludf.IMAGE("https://m.media-amazon.com/images/I/91dIbPcb4XL._AC_UL320_.jpg")</f>
        <v>#NAME?</v>
      </c>
      <c r="I4425" t="s">
        <v>759</v>
      </c>
      <c r="J4425">
        <v>169.95</v>
      </c>
      <c r="K4425" s="4">
        <v>-0.2918</v>
      </c>
      <c r="L4425">
        <v>4.9000000000000004</v>
      </c>
      <c r="M4425">
        <v>1132</v>
      </c>
      <c r="O4425" t="s">
        <v>171</v>
      </c>
      <c r="P4425" t="s">
        <v>138</v>
      </c>
      <c r="Q4425" t="s">
        <v>760</v>
      </c>
    </row>
    <row r="4426" spans="1:17" ht="15.5" x14ac:dyDescent="0.35">
      <c r="A4426"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4426" s="3" t="str">
        <f>HYPERLINK("https://edmondsonsupply.com/products/klein-tools-d504-10-classic-klaw%e2%84%a2-pump-pliers-10-inch", "https://edmondsonsupply.com/products/klein-tools-d504-10-classic-klaw%e2%84%a2-pump-pliers-10-inch")</f>
        <v>https://edmondsonsupply.com/products/klein-tools-d504-10-classic-klaw%e2%84%a2-pump-pliers-10-inch</v>
      </c>
      <c r="C4426" t="s">
        <v>3718</v>
      </c>
      <c r="D4426" t="s">
        <v>5426</v>
      </c>
      <c r="E4426" s="3" t="str">
        <f>HYPERLINK("https://www.amazon.com/Pliers-10-Inch-Klein-Tools-D502-10/dp/B0000302WC/ref=sr_1_3?keywords=Klein+Tools+D504-10+Classic+Klaw%E2%84%A2+Pump+Pliers%2C+10-Inch&amp;qid=1695173948&amp;sr=8-3", "https://www.amazon.com/Pliers-10-Inch-Klein-Tools-D502-10/dp/B0000302WC/ref=sr_1_3?keywords=Klein+Tools+D504-10+Classic+Klaw%E2%84%A2+Pump+Pliers%2C+10-Inch&amp;qid=1695173948&amp;sr=8-3")</f>
        <v>https://www.amazon.com/Pliers-10-Inch-Klein-Tools-D502-10/dp/B0000302WC/ref=sr_1_3?keywords=Klein+Tools+D504-10+Classic+Klaw%E2%84%A2+Pump+Pliers%2C+10-Inch&amp;qid=1695173948&amp;sr=8-3</v>
      </c>
      <c r="F4426" t="s">
        <v>5427</v>
      </c>
      <c r="G4426" t="e">
        <f ca="1">_xludf.IMAGE("https://edmondsonsupply.com/cdn/shop/products/d504-10.jpg?v=1587142942")</f>
        <v>#NAME?</v>
      </c>
      <c r="H4426" t="e">
        <f ca="1">_xludf.IMAGE("https://m.media-amazon.com/images/I/418n0XM7PlL._AC_UL320_.jpg")</f>
        <v>#NAME?</v>
      </c>
      <c r="I4426" t="s">
        <v>3721</v>
      </c>
      <c r="J4426">
        <v>23.99</v>
      </c>
      <c r="K4426" s="4">
        <v>-0.29380000000000001</v>
      </c>
      <c r="L4426">
        <v>4.7</v>
      </c>
      <c r="M4426">
        <v>228</v>
      </c>
      <c r="O4426" t="s">
        <v>25</v>
      </c>
      <c r="P4426" t="s">
        <v>3722</v>
      </c>
      <c r="Q4426" t="s">
        <v>3723</v>
      </c>
    </row>
    <row r="4427" spans="1:17" ht="15.5" x14ac:dyDescent="0.35">
      <c r="A4427"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4427" s="3" t="str">
        <f>HYPERLINK("https://edmondsonsupply.com/products/klein-tools-12098-eins-combination-pliers-insulated", "https://edmondsonsupply.com/products/klein-tools-12098-eins-combination-pliers-insulated")</f>
        <v>https://edmondsonsupply.com/products/klein-tools-12098-eins-combination-pliers-insulated</v>
      </c>
      <c r="C4427" t="s">
        <v>8623</v>
      </c>
      <c r="D4427" t="s">
        <v>8903</v>
      </c>
      <c r="E4427" s="3" t="str">
        <f>HYPERLINK("https://www.amazon.com/Klein-Tools-20009NEEINS-Cutting-Insulated/dp/B00JGG5SAQ/ref=sr_1_7?keywords=Klein+Tools+12098-EINS+Combination+Pliers%2C+Insulated&amp;qid=1695174273&amp;sr=8-7", "https://www.amazon.com/Klein-Tools-20009NEEINS-Cutting-Insulated/dp/B00JGG5SAQ/ref=sr_1_7?keywords=Klein+Tools+12098-EINS+Combination+Pliers%2C+Insulated&amp;qid=1695174273&amp;sr=8-7")</f>
        <v>https://www.amazon.com/Klein-Tools-20009NEEINS-Cutting-Insulated/dp/B00JGG5SAQ/ref=sr_1_7?keywords=Klein+Tools+12098-EINS+Combination+Pliers%2C+Insulated&amp;qid=1695174273&amp;sr=8-7</v>
      </c>
      <c r="F4427" t="s">
        <v>8904</v>
      </c>
      <c r="G4427" t="e">
        <f ca="1">_xludf.IMAGE("https://edmondsonsupply.com/cdn/shop/products/12098eins.jpg?v=1633031039")</f>
        <v>#NAME?</v>
      </c>
      <c r="H4427" t="e">
        <f ca="1">_xludf.IMAGE("https://m.media-amazon.com/images/I/41Bo6v3C9-L._AC_UL320_.jpg")</f>
        <v>#NAME?</v>
      </c>
      <c r="I4427" t="s">
        <v>320</v>
      </c>
      <c r="J4427">
        <v>52.9</v>
      </c>
      <c r="K4427" s="4">
        <v>-0.29459999999999997</v>
      </c>
      <c r="L4427">
        <v>4.7</v>
      </c>
      <c r="M4427">
        <v>242</v>
      </c>
      <c r="O4427" t="s">
        <v>25</v>
      </c>
      <c r="P4427" t="s">
        <v>8624</v>
      </c>
      <c r="Q4427" t="s">
        <v>8625</v>
      </c>
    </row>
    <row r="4428" spans="1:17" ht="15.5" x14ac:dyDescent="0.35">
      <c r="A4428"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4428" s="3" t="str">
        <f>HYPERLINK("https://edmondsonsupply.com/products/diablo-tools-dag3090-7-8-in-x-17-1-2-in-auger-bit", "https://edmondsonsupply.com/products/diablo-tools-dag3090-7-8-in-x-17-1-2-in-auger-bit")</f>
        <v>https://edmondsonsupply.com/products/diablo-tools-dag3090-7-8-in-x-17-1-2-in-auger-bit</v>
      </c>
      <c r="C4428" t="s">
        <v>7269</v>
      </c>
      <c r="D4428" t="s">
        <v>8476</v>
      </c>
      <c r="E4428" s="3" t="str">
        <f>HYPERLINK("https://www.amazon.com/Diablo-DAG3020-17-1-Auger-Bit/dp/B089LGWKFF/ref=sr_1_7?keywords=Diablo+Tools+DAG3090+7%2F8+in.+x+17-1%2F2+in.+Auger+Bit&amp;qid=1695174065&amp;sr=8-7", "https://www.amazon.com/Diablo-DAG3020-17-1-Auger-Bit/dp/B089LGWKFF/ref=sr_1_7?keywords=Diablo+Tools+DAG3090+7%2F8+in.+x+17-1%2F2+in.+Auger+Bit&amp;qid=1695174065&amp;sr=8-7")</f>
        <v>https://www.amazon.com/Diablo-DAG3020-17-1-Auger-Bit/dp/B089LGWKFF/ref=sr_1_7?keywords=Diablo+Tools+DAG3090+7%2F8+in.+x+17-1%2F2+in.+Auger+Bit&amp;qid=1695174065&amp;sr=8-7</v>
      </c>
      <c r="F4428" t="s">
        <v>8477</v>
      </c>
      <c r="G4428" t="e">
        <f ca="1">_xludf.IMAGE("https://edmondsonsupply.com/cdn/shop/products/aorgtpkivjubhtbiiau0.webp?v=1677256849")</f>
        <v>#NAME?</v>
      </c>
      <c r="H4428" t="e">
        <f ca="1">_xludf.IMAGE("https://m.media-amazon.com/images/I/61XUUNTev0L._AC_UL320_.jpg")</f>
        <v>#NAME?</v>
      </c>
      <c r="I4428" t="s">
        <v>1589</v>
      </c>
      <c r="J4428">
        <v>16.21</v>
      </c>
      <c r="K4428" s="4">
        <v>-0.2949</v>
      </c>
      <c r="L4428">
        <v>5</v>
      </c>
      <c r="M4428">
        <v>2</v>
      </c>
      <c r="O4428" t="s">
        <v>25</v>
      </c>
      <c r="P4428" t="s">
        <v>7270</v>
      </c>
      <c r="Q4428" t="s">
        <v>7271</v>
      </c>
    </row>
    <row r="4429" spans="1:17" ht="15.5" x14ac:dyDescent="0.35">
      <c r="A4429"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4429"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4429" t="s">
        <v>8905</v>
      </c>
      <c r="D4429" t="s">
        <v>8906</v>
      </c>
      <c r="E4429" s="3" t="str">
        <f>HYPERLINK("https://www.amazon.com/Milwaukee-48-11-2411-M12-Lithium-Ion-Battery/dp/B0916HCLDW/ref=sr_1_7?keywords=Milwaukee+48-11-2411+M12+REDLITHIUM%E2%84%A2+Compact+Battery+Two+Pack&amp;qid=1695174226&amp;sr=8-7", "https://www.amazon.com/Milwaukee-48-11-2411-M12-Lithium-Ion-Battery/dp/B0916HCLDW/ref=sr_1_7?keywords=Milwaukee+48-11-2411+M12+REDLITHIUM%E2%84%A2+Compact+Battery+Two+Pack&amp;qid=1695174226&amp;sr=8-7")</f>
        <v>https://www.amazon.com/Milwaukee-48-11-2411-M12-Lithium-Ion-Battery/dp/B0916HCLDW/ref=sr_1_7?keywords=Milwaukee+48-11-2411+M12+REDLITHIUM%E2%84%A2+Compact+Battery+Two+Pack&amp;qid=1695174226&amp;sr=8-7</v>
      </c>
      <c r="F4429" t="s">
        <v>8907</v>
      </c>
      <c r="G4429" t="e">
        <f ca="1">_xludf.IMAGE("https://edmondsonsupply.com/cdn/shop/products/65014_48-11-2411-lg.jpg?v=1655484824")</f>
        <v>#NAME?</v>
      </c>
      <c r="H4429" t="e">
        <f ca="1">_xludf.IMAGE("https://m.media-amazon.com/images/I/61ZHex5zArL._AC_UL320_.jpg")</f>
        <v>#NAME?</v>
      </c>
      <c r="I4429" t="s">
        <v>3253</v>
      </c>
      <c r="J4429">
        <v>62.6</v>
      </c>
      <c r="K4429" s="4">
        <v>-0.29659999999999997</v>
      </c>
      <c r="L4429">
        <v>4.5</v>
      </c>
      <c r="M4429">
        <v>109</v>
      </c>
      <c r="O4429" t="s">
        <v>171</v>
      </c>
      <c r="P4429" t="s">
        <v>8908</v>
      </c>
      <c r="Q4429" t="s">
        <v>8909</v>
      </c>
    </row>
    <row r="4430" spans="1:17" ht="15.5" x14ac:dyDescent="0.35">
      <c r="A4430" s="3" t="str">
        <f>HYPERLINK("https://edmondsonsupply.com/collections/electricians-tools/products/milwaukee-2746-21ct-m18-fuel%E2%84%A2-18-gauge-brad-nailer-kit", "https://edmondsonsupply.com/collections/electricians-tools/products/milwaukee-2746-21ct-m18-fuel%E2%84%A2-18-gauge-brad-nailer-kit")</f>
        <v>https://edmondsonsupply.com/collections/electricians-tools/products/milwaukee-2746-21ct-m18-fuel%E2%84%A2-18-gauge-brad-nailer-kit</v>
      </c>
      <c r="B4430" s="3" t="str">
        <f>HYPERLINK("https://edmondsonsupply.com/products/milwaukee-2746-21ct-m18-fuel%e2%84%a2-18-gauge-brad-nailer-kit", "https://edmondsonsupply.com/products/milwaukee-2746-21ct-m18-fuel%e2%84%a2-18-gauge-brad-nailer-kit")</f>
        <v>https://edmondsonsupply.com/products/milwaukee-2746-21ct-m18-fuel%e2%84%a2-18-gauge-brad-nailer-kit</v>
      </c>
      <c r="C4430" t="s">
        <v>8910</v>
      </c>
      <c r="D4430" t="s">
        <v>8440</v>
      </c>
      <c r="E4430" s="3" t="str">
        <f>HYPERLINK("https://www.amazon.com/Milwaukee-2746-20-FUEL-Gauge-Nailer/dp/B07VYJQ1KP/ref=sr_1_2?keywords=Milwaukee+2746-21CT+M18+FUEL%E2%84%A2+18+Gauge+Brad+Nailer+Kit&amp;qid=1695174106&amp;sr=8-2", "https://www.amazon.com/Milwaukee-2746-20-FUEL-Gauge-Nailer/dp/B07VYJQ1KP/ref=sr_1_2?keywords=Milwaukee+2746-21CT+M18+FUEL%E2%84%A2+18+Gauge+Brad+Nailer+Kit&amp;qid=1695174106&amp;sr=8-2")</f>
        <v>https://www.amazon.com/Milwaukee-2746-20-FUEL-Gauge-Nailer/dp/B07VYJQ1KP/ref=sr_1_2?keywords=Milwaukee+2746-21CT+M18+FUEL%E2%84%A2+18+Gauge+Brad+Nailer+Kit&amp;qid=1695174106&amp;sr=8-2</v>
      </c>
      <c r="F4430" t="s">
        <v>8441</v>
      </c>
      <c r="G4430" t="e">
        <f ca="1">_xludf.IMAGE("https://edmondsonsupply.com/cdn/shop/products/2746-21CT_KIT.webp?v=1671649531")</f>
        <v>#NAME?</v>
      </c>
      <c r="H4430" t="e">
        <f ca="1">_xludf.IMAGE("https://m.media-amazon.com/images/I/71UbSbRsStL._AC_UL320_.jpg")</f>
        <v>#NAME?</v>
      </c>
      <c r="I4430" t="s">
        <v>4208</v>
      </c>
      <c r="J4430">
        <v>280</v>
      </c>
      <c r="K4430" s="4">
        <v>-0.29820000000000002</v>
      </c>
      <c r="L4430">
        <v>4.7</v>
      </c>
      <c r="M4430">
        <v>673</v>
      </c>
      <c r="O4430" t="s">
        <v>25</v>
      </c>
      <c r="P4430" t="s">
        <v>8911</v>
      </c>
      <c r="Q4430" t="s">
        <v>8912</v>
      </c>
    </row>
    <row r="4431" spans="1:17" ht="15.5" x14ac:dyDescent="0.35">
      <c r="A4431"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4431"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4431" t="s">
        <v>7150</v>
      </c>
      <c r="D4431" t="s">
        <v>7931</v>
      </c>
      <c r="E4431" s="3" t="str">
        <f>HYPERLINK("https://www.amazon.com/Klein-Tools-CL220-Auto-Ranging-Temperature/dp/B08CFWMYYY/ref=sr_1_2?keywords=Klein+Tools+CL390+AC%2FDC+Digital+Clamp+Meter%2C+Auto-Ranging+400+Amp&amp;qid=1695174165&amp;sr=8-2", "https://www.amazon.com/Klein-Tools-CL220-Auto-Ranging-Temperature/dp/B08CFWMYYY/ref=sr_1_2?keywords=Klein+Tools+CL390+AC%2FDC+Digital+Clamp+Meter%2C+Auto-Ranging+400+Amp&amp;qid=1695174165&amp;sr=8-2")</f>
        <v>https://www.amazon.com/Klein-Tools-CL220-Auto-Ranging-Temperature/dp/B08CFWMYYY/ref=sr_1_2?keywords=Klein+Tools+CL390+AC%2FDC+Digital+Clamp+Meter%2C+Auto-Ranging+400+Amp&amp;qid=1695174165&amp;sr=8-2</v>
      </c>
      <c r="F4431" t="s">
        <v>7932</v>
      </c>
      <c r="G4431" t="e">
        <f ca="1">_xludf.IMAGE("https://edmondsonsupply.com/cdn/shop/products/cl390.jpg?v=1662670722")</f>
        <v>#NAME?</v>
      </c>
      <c r="H4431" t="e">
        <f ca="1">_xludf.IMAGE("https://m.media-amazon.com/images/I/61PTwVjeWtL._AC_UY218_.jpg")</f>
        <v>#NAME?</v>
      </c>
      <c r="I4431" t="s">
        <v>545</v>
      </c>
      <c r="J4431">
        <v>69.97</v>
      </c>
      <c r="K4431" s="4">
        <v>-0.30009999999999998</v>
      </c>
      <c r="L4431">
        <v>4.7</v>
      </c>
      <c r="M4431">
        <v>811</v>
      </c>
      <c r="O4431" t="s">
        <v>25</v>
      </c>
      <c r="P4431" t="s">
        <v>7153</v>
      </c>
      <c r="Q4431" t="s">
        <v>7154</v>
      </c>
    </row>
    <row r="4432" spans="1:17" ht="15.5" x14ac:dyDescent="0.35">
      <c r="A4432"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4432"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4432" t="s">
        <v>960</v>
      </c>
      <c r="D4432" t="s">
        <v>974</v>
      </c>
      <c r="E4432" s="3" t="str">
        <f>HYPERLINK("https://www.amazon.com/Klein-Tools-60537-Professional-Protective/dp/B0BLQM26TJ/ref=sr_1_4?keywords=Klein+Tools+60539+Professional+Safety+Glasses%2C+Full+Frame%2C+Polarized+Lens&amp;qid=1695174102&amp;sr=8-4", "https://www.amazon.com/Klein-Tools-60537-Professional-Protective/dp/B0BLQM26TJ/ref=sr_1_4?keywords=Klein+Tools+60539+Professional+Safety+Glasses%2C+Full+Frame%2C+Polarized+Lens&amp;qid=1695174102&amp;sr=8-4")</f>
        <v>https://www.amazon.com/Klein-Tools-60537-Professional-Protective/dp/B0BLQM26TJ/ref=sr_1_4?keywords=Klein+Tools+60539+Professional+Safety+Glasses%2C+Full+Frame%2C+Polarized+Lens&amp;qid=1695174102&amp;sr=8-4</v>
      </c>
      <c r="F4432" t="s">
        <v>975</v>
      </c>
      <c r="G4432" t="e">
        <f ca="1">_xludf.IMAGE("https://edmondsonsupply.com/cdn/shop/products/60539.jpg?v=1670948006")</f>
        <v>#NAME?</v>
      </c>
      <c r="H4432" t="e">
        <f ca="1">_xludf.IMAGE("https://m.media-amazon.com/images/I/41ZbdEu2lCL._AC_UL320_.jpg")</f>
        <v>#NAME?</v>
      </c>
      <c r="I4432" t="s">
        <v>26</v>
      </c>
      <c r="J4432">
        <v>20.99</v>
      </c>
      <c r="K4432" s="4">
        <v>-0.30009999999999998</v>
      </c>
      <c r="L4432">
        <v>4.5</v>
      </c>
      <c r="M4432">
        <v>15</v>
      </c>
      <c r="O4432" t="s">
        <v>25</v>
      </c>
      <c r="P4432" t="s">
        <v>562</v>
      </c>
      <c r="Q4432" t="s">
        <v>961</v>
      </c>
    </row>
    <row r="4433" spans="1:17" ht="15.5" x14ac:dyDescent="0.35">
      <c r="A4433"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4433" s="3" t="str">
        <f>HYPERLINK("https://edmondsonsupply.com/products/fluke-st120-gfci-socket-tester-with-beeper", "https://edmondsonsupply.com/products/fluke-st120-gfci-socket-tester-with-beeper")</f>
        <v>https://edmondsonsupply.com/products/fluke-st120-gfci-socket-tester-with-beeper</v>
      </c>
      <c r="C4433" t="s">
        <v>8860</v>
      </c>
      <c r="D4433" t="s">
        <v>8551</v>
      </c>
      <c r="E4433" s="3" t="str">
        <f>HYPERLINK("https://www.amazon.com/FBLFOBELI-Carrying-Compatible-Audible-Beeper%EF%BC%8CShockproof/dp/B0BN4XRLXJ/ref=sr_1_4?keywords=Fluke+ST120%2B+GFCI+Socket+Tester+with+Beeper&amp;qid=1695174161&amp;sr=8-4", "https://www.amazon.com/FBLFOBELI-Carrying-Compatible-Audible-Beeper%EF%BC%8CShockproof/dp/B0BN4XRLXJ/ref=sr_1_4?keywords=Fluke+ST120%2B+GFCI+Socket+Tester+with+Beeper&amp;qid=1695174161&amp;sr=8-4")</f>
        <v>https://www.amazon.com/FBLFOBELI-Carrying-Compatible-Audible-Beeper%EF%BC%8CShockproof/dp/B0BN4XRLXJ/ref=sr_1_4?keywords=Fluke+ST120%2B+GFCI+Socket+Tester+with+Beeper&amp;qid=1695174161&amp;sr=8-4</v>
      </c>
      <c r="F4433" t="s">
        <v>8552</v>
      </c>
      <c r="G4433" t="e">
        <f ca="1">_xludf.IMAGE("https://edmondsonsupply.com/cdn/shop/products/F-st120-plus_01a_w.webp?v=1662582919")</f>
        <v>#NAME?</v>
      </c>
      <c r="H4433" t="e">
        <f ca="1">_xludf.IMAGE("https://m.media-amazon.com/images/I/719YjA+Nx8L._AC_UL320_.jpg")</f>
        <v>#NAME?</v>
      </c>
      <c r="I4433" t="s">
        <v>577</v>
      </c>
      <c r="J4433">
        <v>13.99</v>
      </c>
      <c r="K4433" s="4">
        <v>-0.30020000000000002</v>
      </c>
      <c r="L4433">
        <v>5</v>
      </c>
      <c r="M4433">
        <v>1</v>
      </c>
      <c r="O4433" t="s">
        <v>25</v>
      </c>
      <c r="P4433" t="s">
        <v>1158</v>
      </c>
      <c r="Q4433" t="s">
        <v>8861</v>
      </c>
    </row>
    <row r="4434" spans="1:17" ht="15.5" x14ac:dyDescent="0.35">
      <c r="A4434"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4434" s="3" t="str">
        <f>HYPERLINK("https://edmondsonsupply.com/products/fluke-st120-gfci-socket-tester-with-beeper", "https://edmondsonsupply.com/products/fluke-st120-gfci-socket-tester-with-beeper")</f>
        <v>https://edmondsonsupply.com/products/fluke-st120-gfci-socket-tester-with-beeper</v>
      </c>
      <c r="C4434" t="s">
        <v>8860</v>
      </c>
      <c r="D4434" t="s">
        <v>8549</v>
      </c>
      <c r="E4434" s="3" t="str">
        <f>HYPERLINK("https://www.amazon.com/Tourmate-Compatible-Fluke-Socket-Tester/dp/B0BPXRYTQQ/ref=sr_1_10?keywords=Fluke+ST120%2B+GFCI+Socket+Tester+with+Beeper&amp;qid=1695174161&amp;sr=8-10", "https://www.amazon.com/Tourmate-Compatible-Fluke-Socket-Tester/dp/B0BPXRYTQQ/ref=sr_1_10?keywords=Fluke+ST120%2B+GFCI+Socket+Tester+with+Beeper&amp;qid=1695174161&amp;sr=8-10")</f>
        <v>https://www.amazon.com/Tourmate-Compatible-Fluke-Socket-Tester/dp/B0BPXRYTQQ/ref=sr_1_10?keywords=Fluke+ST120%2B+GFCI+Socket+Tester+with+Beeper&amp;qid=1695174161&amp;sr=8-10</v>
      </c>
      <c r="F4434" t="s">
        <v>8550</v>
      </c>
      <c r="G4434" t="e">
        <f ca="1">_xludf.IMAGE("https://edmondsonsupply.com/cdn/shop/products/F-st120-plus_01a_w.webp?v=1662582919")</f>
        <v>#NAME?</v>
      </c>
      <c r="H4434" t="e">
        <f ca="1">_xludf.IMAGE("https://m.media-amazon.com/images/I/7120nRtCXWL._AC_UL320_.jpg")</f>
        <v>#NAME?</v>
      </c>
      <c r="I4434" t="s">
        <v>577</v>
      </c>
      <c r="J4434">
        <v>13.99</v>
      </c>
      <c r="K4434" s="4">
        <v>-0.30020000000000002</v>
      </c>
      <c r="L4434">
        <v>3.4</v>
      </c>
      <c r="M4434">
        <v>3</v>
      </c>
      <c r="O4434" t="s">
        <v>25</v>
      </c>
      <c r="P4434" t="s">
        <v>1158</v>
      </c>
      <c r="Q4434" t="s">
        <v>8861</v>
      </c>
    </row>
    <row r="4435" spans="1:17" ht="15.5" x14ac:dyDescent="0.35">
      <c r="A4435"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4435"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4435" t="s">
        <v>7055</v>
      </c>
      <c r="D4435" t="s">
        <v>4572</v>
      </c>
      <c r="E4435" s="3" t="str">
        <f>HYPERLINK("https://www.amazon.com/Klein-Tools-1019-Connectors-Terminals/dp/B07GFYBW4V/ref=sr_1_4?keywords=Klein+Tools+11055RINS+Insulated+Klein-Kurve%C2%AE+Wire+Stripper+and+Cutter&amp;qid=1695174134&amp;sr=8-4", "https://www.amazon.com/Klein-Tools-1019-Connectors-Terminals/dp/B07GFYBW4V/ref=sr_1_4?keywords=Klein+Tools+11055RINS+Insulated+Klein-Kurve%C2%AE+Wire+Stripper+and+Cutter&amp;qid=1695174134&amp;sr=8-4")</f>
        <v>https://www.amazon.com/Klein-Tools-1019-Connectors-Terminals/dp/B07GFYBW4V/ref=sr_1_4?keywords=Klein+Tools+11055RINS+Insulated+Klein-Kurve%C2%AE+Wire+Stripper+and+Cutter&amp;qid=1695174134&amp;sr=8-4</v>
      </c>
      <c r="F4435" t="s">
        <v>4573</v>
      </c>
      <c r="G4435" t="e">
        <f ca="1">_xludf.IMAGE("https://edmondsonsupply.com/cdn/shop/products/11055rins.jpg?v=1667236979")</f>
        <v>#NAME?</v>
      </c>
      <c r="H4435" t="e">
        <f ca="1">_xludf.IMAGE("https://m.media-amazon.com/images/I/41CdFsk2lFL._AC_UL320_.jpg")</f>
        <v>#NAME?</v>
      </c>
      <c r="I4435" t="s">
        <v>824</v>
      </c>
      <c r="J4435">
        <v>20.97</v>
      </c>
      <c r="K4435" s="4">
        <v>-0.30030000000000001</v>
      </c>
      <c r="L4435">
        <v>4.7</v>
      </c>
      <c r="M4435">
        <v>1802</v>
      </c>
      <c r="O4435" t="s">
        <v>25</v>
      </c>
      <c r="P4435" t="s">
        <v>562</v>
      </c>
      <c r="Q4435" t="s">
        <v>7056</v>
      </c>
    </row>
    <row r="4436" spans="1:17" ht="15.5" x14ac:dyDescent="0.35">
      <c r="A4436"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4436"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4436" t="s">
        <v>7055</v>
      </c>
      <c r="D4436" t="s">
        <v>4576</v>
      </c>
      <c r="E4436" s="3" t="str">
        <f>HYPERLINK("https://www.amazon.com/Klein-Kurve-Stripper-Klein-Tools-11053/dp/B000MKH0YC/ref=sr_1_3?keywords=Klein+Tools+11055RINS+Insulated+Klein-Kurve%C2%AE+Wire+Stripper+and+Cutter&amp;qid=1695174134&amp;sr=8-3", "https://www.amazon.com/Klein-Kurve-Stripper-Klein-Tools-11053/dp/B000MKH0YC/ref=sr_1_3?keywords=Klein+Tools+11055RINS+Insulated+Klein-Kurve%C2%AE+Wire+Stripper+and+Cutter&amp;qid=1695174134&amp;sr=8-3")</f>
        <v>https://www.amazon.com/Klein-Kurve-Stripper-Klein-Tools-11053/dp/B000MKH0YC/ref=sr_1_3?keywords=Klein+Tools+11055RINS+Insulated+Klein-Kurve%C2%AE+Wire+Stripper+and+Cutter&amp;qid=1695174134&amp;sr=8-3</v>
      </c>
      <c r="F4436" t="s">
        <v>4577</v>
      </c>
      <c r="G4436" t="e">
        <f ca="1">_xludf.IMAGE("https://edmondsonsupply.com/cdn/shop/products/11055rins.jpg?v=1667236979")</f>
        <v>#NAME?</v>
      </c>
      <c r="H4436" t="e">
        <f ca="1">_xludf.IMAGE("https://m.media-amazon.com/images/I/51eHDSucYhL._AC_UL320_.jpg")</f>
        <v>#NAME?</v>
      </c>
      <c r="I4436" t="s">
        <v>824</v>
      </c>
      <c r="J4436">
        <v>20.97</v>
      </c>
      <c r="K4436" s="4">
        <v>-0.30030000000000001</v>
      </c>
      <c r="L4436">
        <v>4.8</v>
      </c>
      <c r="M4436">
        <v>2989</v>
      </c>
      <c r="O4436" t="s">
        <v>25</v>
      </c>
      <c r="P4436" t="s">
        <v>562</v>
      </c>
      <c r="Q4436" t="s">
        <v>7056</v>
      </c>
    </row>
    <row r="4437" spans="1:17" ht="15.5" x14ac:dyDescent="0.35">
      <c r="A4437"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4437" s="3" t="str">
        <f>HYPERLINK("https://edmondsonsupply.com/products/diablo-tools-dag1110-7-8-in-x-7-1-2-in-auger-bit", "https://edmondsonsupply.com/products/diablo-tools-dag1110-7-8-in-x-7-1-2-in-auger-bit")</f>
        <v>https://edmondsonsupply.com/products/diablo-tools-dag1110-7-8-in-x-7-1-2-in-auger-bit</v>
      </c>
      <c r="C4437" t="s">
        <v>6839</v>
      </c>
      <c r="D4437" t="s">
        <v>5407</v>
      </c>
      <c r="E4437" s="3" t="str">
        <f>HYPERLINK("https://www.amazon.com/Diablo-DAG1010-7-1-Auger-Bit/dp/B089LG7B4D/ref=sr_1_7?keywords=Diablo+Tools+DAG1110+7%2F8+in.+x+7-1%2F2+in.+Auger+Bit&amp;qid=1695174030&amp;sr=8-7", "https://www.amazon.com/Diablo-DAG1010-7-1-Auger-Bit/dp/B089LG7B4D/ref=sr_1_7?keywords=Diablo+Tools+DAG1110+7%2F8+in.+x+7-1%2F2+in.+Auger+Bit&amp;qid=1695174030&amp;sr=8-7")</f>
        <v>https://www.amazon.com/Diablo-DAG1010-7-1-Auger-Bit/dp/B089LG7B4D/ref=sr_1_7?keywords=Diablo+Tools+DAG1110+7%2F8+in.+x+7-1%2F2+in.+Auger+Bit&amp;qid=1695174030&amp;sr=8-7</v>
      </c>
      <c r="F4437" t="s">
        <v>5408</v>
      </c>
      <c r="G4437" t="e">
        <f ca="1">_xludf.IMAGE("https://edmondsonsupply.com/cdn/shop/products/yel7mbaiyy08ii0assd5.webp?v=1680187136")</f>
        <v>#NAME?</v>
      </c>
      <c r="H4437" t="e">
        <f ca="1">_xludf.IMAGE("https://m.media-amazon.com/images/I/618M4WXOShL._AC_UL320_.jpg")</f>
        <v>#NAME?</v>
      </c>
      <c r="I4437" t="s">
        <v>4985</v>
      </c>
      <c r="J4437">
        <v>11.86</v>
      </c>
      <c r="K4437" s="4">
        <v>-0.30109999999999998</v>
      </c>
      <c r="L4437">
        <v>3.2</v>
      </c>
      <c r="M4437">
        <v>5</v>
      </c>
      <c r="O4437" t="s">
        <v>25</v>
      </c>
      <c r="P4437" t="s">
        <v>6840</v>
      </c>
      <c r="Q4437" t="s">
        <v>6841</v>
      </c>
    </row>
    <row r="4438" spans="1:17" ht="15.5" x14ac:dyDescent="0.35">
      <c r="A4438" s="3" t="str">
        <f>HYPERLINK("https://edmondsonsupply.com/collections/electricians-tools/products/tajima-gp-16bw-g-plus%E2%84%A2-standard-scale-16-ft-x-1-in-steel-blade-tape-measure", "https://edmondsonsupply.com/collections/electricians-tools/products/tajima-gp-16bw-g-plus%E2%84%A2-standard-scale-16-ft-x-1-in-steel-blade-tape-measure")</f>
        <v>https://edmondsonsupply.com/collections/electricians-tools/products/tajima-gp-16bw-g-plus%E2%84%A2-standard-scale-16-ft-x-1-in-steel-blade-tape-measure</v>
      </c>
      <c r="B4438" s="3" t="str">
        <f>HYPERLINK("https://edmondsonsupply.com/products/tajima-gp-16bw-g-plus%e2%84%a2-standard-scale-16-ft-x-1-in-steel-blade-tape-measure", "https://edmondsonsupply.com/products/tajima-gp-16bw-g-plus%e2%84%a2-standard-scale-16-ft-x-1-in-steel-blade-tape-measure")</f>
        <v>https://edmondsonsupply.com/products/tajima-gp-16bw-g-plus%e2%84%a2-standard-scale-16-ft-x-1-in-steel-blade-tape-measure</v>
      </c>
      <c r="C4438" t="s">
        <v>8407</v>
      </c>
      <c r="D4438" t="s">
        <v>8913</v>
      </c>
      <c r="E4438" s="3" t="str">
        <f>HYPERLINK("https://www.amazon.com/Tajima-SSSF-16BW-Standard-Measure-Safety/dp/B08J5LNKRM/ref=sr_1_3?keywords=Tajima+GP-16BW+G-PLUS%E2%84%A2+Standard+Scale%2C+16+ft+x+1+in.+Steel+Blade+Tape+Measure&amp;qid=1695174198&amp;sr=8-3", "https://www.amazon.com/Tajima-SSSF-16BW-Standard-Measure-Safety/dp/B08J5LNKRM/ref=sr_1_3?keywords=Tajima+GP-16BW+G-PLUS%E2%84%A2+Standard+Scale%2C+16+ft+x+1+in.+Steel+Blade+Tape+Measure&amp;qid=1695174198&amp;sr=8-3")</f>
        <v>https://www.amazon.com/Tajima-SSSF-16BW-Standard-Measure-Safety/dp/B08J5LNKRM/ref=sr_1_3?keywords=Tajima+GP-16BW+G-PLUS%E2%84%A2+Standard+Scale%2C+16+ft+x+1+in.+Steel+Blade+Tape+Measure&amp;qid=1695174198&amp;sr=8-3</v>
      </c>
      <c r="F4438" t="s">
        <v>8914</v>
      </c>
      <c r="G4438" t="e">
        <f ca="1">_xludf.IMAGE("https://edmondsonsupply.com/cdn/shop/products/GP-16BW_s-2.jpg?v=1655821133")</f>
        <v>#NAME?</v>
      </c>
      <c r="H4438" t="e">
        <f ca="1">_xludf.IMAGE("https://m.media-amazon.com/images/I/613rTXdWSyL._AC_UL320_.jpg")</f>
        <v>#NAME?</v>
      </c>
      <c r="I4438" t="s">
        <v>8410</v>
      </c>
      <c r="J4438">
        <v>21.37</v>
      </c>
      <c r="K4438" s="4">
        <v>-0.3014</v>
      </c>
      <c r="L4438">
        <v>4.5999999999999996</v>
      </c>
      <c r="M4438">
        <v>138</v>
      </c>
      <c r="O4438" t="s">
        <v>25</v>
      </c>
      <c r="P4438" t="s">
        <v>138</v>
      </c>
      <c r="Q4438" t="s">
        <v>8411</v>
      </c>
    </row>
    <row r="4439" spans="1:17" ht="15.5" x14ac:dyDescent="0.35">
      <c r="A4439" s="3" t="str">
        <f>HYPERLINK("https://edmondsonsupply.com/collections/electricians-tools/products/milwaukee-48-22-0335-35ft-compact-wide-blade-magnetic-tape-measure", "https://edmondsonsupply.com/collections/electricians-tools/products/milwaukee-48-22-0335-35ft-compact-wide-blade-magnetic-tape-measure")</f>
        <v>https://edmondsonsupply.com/collections/electricians-tools/products/milwaukee-48-22-0335-35ft-compact-wide-blade-magnetic-tape-measure</v>
      </c>
      <c r="B4439" s="3" t="str">
        <f>HYPERLINK("https://edmondsonsupply.com/products/milwaukee-48-22-0335-35ft-compact-wide-blade-magnetic-tape-measure", "https://edmondsonsupply.com/products/milwaukee-48-22-0335-35ft-compact-wide-blade-magnetic-tape-measure")</f>
        <v>https://edmondsonsupply.com/products/milwaukee-48-22-0335-35ft-compact-wide-blade-magnetic-tape-measure</v>
      </c>
      <c r="C4439" t="s">
        <v>5437</v>
      </c>
      <c r="D4439" t="s">
        <v>5438</v>
      </c>
      <c r="E4439" s="3" t="str">
        <f>HYPERLINK("https://www.amazon.com/Milwaukee-48-22-0325-Compact-Magnetic-Measures/dp/B082L6Q7WV/ref=sr_1_1?keywords=Milwaukee+48-22-0335+35ft+Compact+Wide+Blade+Magnetic+Tape+Measure&amp;qid=1695173978&amp;sr=8-1", "https://www.amazon.com/Milwaukee-48-22-0325-Compact-Magnetic-Measures/dp/B082L6Q7WV/ref=sr_1_1?keywords=Milwaukee+48-22-0335+35ft+Compact+Wide+Blade+Magnetic+Tape+Measure&amp;qid=1695173978&amp;sr=8-1")</f>
        <v>https://www.amazon.com/Milwaukee-48-22-0325-Compact-Magnetic-Measures/dp/B082L6Q7WV/ref=sr_1_1?keywords=Milwaukee+48-22-0335+35ft+Compact+Wide+Blade+Magnetic+Tape+Measure&amp;qid=1695173978&amp;sr=8-1</v>
      </c>
      <c r="F4439" t="s">
        <v>5439</v>
      </c>
      <c r="G4439" t="e">
        <f ca="1">_xludf.IMAGE("https://edmondsonsupply.com/cdn/shop/files/48-22-0335_1.png?v=1690302822")</f>
        <v>#NAME?</v>
      </c>
      <c r="H4439" t="e">
        <f ca="1">_xludf.IMAGE("https://m.media-amazon.com/images/I/41gSokc+0RL._AC_UL320_.jpg")</f>
        <v>#NAME?</v>
      </c>
      <c r="I4439" t="s">
        <v>5440</v>
      </c>
      <c r="J4439">
        <v>22.97</v>
      </c>
      <c r="K4439" s="4">
        <v>-0.30330000000000001</v>
      </c>
      <c r="L4439">
        <v>4.5</v>
      </c>
      <c r="M4439">
        <v>206</v>
      </c>
      <c r="O4439" t="s">
        <v>25</v>
      </c>
      <c r="P4439" t="s">
        <v>5441</v>
      </c>
      <c r="Q4439" t="s">
        <v>5442</v>
      </c>
    </row>
    <row r="4440" spans="1:17" ht="15.5" x14ac:dyDescent="0.35">
      <c r="A4440" s="3" t="str">
        <f>HYPERLINK("https://edmondsonsupply.com/collections/electricians-tools/products/tajima-gs-25bw-gs-lock%E2%84%A2-standard-scale-25-ft-x-1-in-steel-blade-tape-measure", "https://edmondsonsupply.com/collections/electricians-tools/products/tajima-gs-25bw-gs-lock%E2%84%A2-standard-scale-25-ft-x-1-in-steel-blade-tape-measure")</f>
        <v>https://edmondsonsupply.com/collections/electricians-tools/products/tajima-gs-25bw-gs-lock%E2%84%A2-standard-scale-25-ft-x-1-in-steel-blade-tape-measure</v>
      </c>
      <c r="B4440" s="3" t="str">
        <f>HYPERLINK("https://edmondsonsupply.com/products/tajima-gs-25bw-gs-lock%e2%84%a2-standard-scale-25-ft-x-1-in-steel-blade-tape-measure", "https://edmondsonsupply.com/products/tajima-gs-25bw-gs-lock%e2%84%a2-standard-scale-25-ft-x-1-in-steel-blade-tape-measure")</f>
        <v>https://edmondsonsupply.com/products/tajima-gs-25bw-gs-lock%e2%84%a2-standard-scale-25-ft-x-1-in-steel-blade-tape-measure</v>
      </c>
      <c r="C4440" t="s">
        <v>7634</v>
      </c>
      <c r="D4440" t="s">
        <v>8915</v>
      </c>
      <c r="E4440" s="3" t="str">
        <f>HYPERLINK("https://www.amazon.com/TAJIMA-Tape-Measure-Measuring-Resistant/dp/B07KK41D2P/ref=sr_1_3?keywords=Tajima+GS-25BW+GS+Lock%E2%84%A2+Standard+Scale%2C+25+ft+x+1-1%2F16+in.+Steel+Blade+Tape+Measure&amp;qid=1695174184&amp;sr=8-3", "https://www.amazon.com/TAJIMA-Tape-Measure-Measuring-Resistant/dp/B07KK41D2P/ref=sr_1_3?keywords=Tajima+GS-25BW+GS+Lock%E2%84%A2+Standard+Scale%2C+25+ft+x+1-1%2F16+in.+Steel+Blade+Tape+Measure&amp;qid=1695174184&amp;sr=8-3")</f>
        <v>https://www.amazon.com/TAJIMA-Tape-Measure-Measuring-Resistant/dp/B07KK41D2P/ref=sr_1_3?keywords=Tajima+GS-25BW+GS+Lock%E2%84%A2+Standard+Scale%2C+25+ft+x+1-1%2F16+in.+Steel+Blade+Tape+Measure&amp;qid=1695174184&amp;sr=8-3</v>
      </c>
      <c r="F4440" t="s">
        <v>8916</v>
      </c>
      <c r="G4440" t="e">
        <f ca="1">_xludf.IMAGE("https://edmondsonsupply.com/cdn/shop/products/GS25BW.jpg?v=1655828685")</f>
        <v>#NAME?</v>
      </c>
      <c r="H4440" t="e">
        <f ca="1">_xludf.IMAGE("https://m.media-amazon.com/images/I/41wNZHxS7bL._AC_UL320_.jpg")</f>
        <v>#NAME?</v>
      </c>
      <c r="I4440" t="s">
        <v>7637</v>
      </c>
      <c r="J4440">
        <v>27.92</v>
      </c>
      <c r="K4440" s="4">
        <v>-0.3034</v>
      </c>
      <c r="L4440">
        <v>4.5</v>
      </c>
      <c r="M4440">
        <v>136</v>
      </c>
      <c r="O4440" t="s">
        <v>25</v>
      </c>
      <c r="P4440" t="s">
        <v>7638</v>
      </c>
      <c r="Q4440" t="s">
        <v>7639</v>
      </c>
    </row>
    <row r="4441" spans="1:17" ht="15.5" x14ac:dyDescent="0.35">
      <c r="A4441"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4441"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4441" t="s">
        <v>8905</v>
      </c>
      <c r="D4441" t="s">
        <v>8917</v>
      </c>
      <c r="E4441" s="3" t="str">
        <f>HYPERLINK("https://www.amazon.com/Milwaukee-48-11-2420-REDLITHIUM-Compact-Battery/dp/B00IITE2JU/ref=sr_1_3?keywords=Milwaukee+48-11-2411+M12+REDLITHIUM%E2%84%A2+Compact+Battery+Two+Pack&amp;qid=1695174226&amp;sr=8-3", "https://www.amazon.com/Milwaukee-48-11-2420-REDLITHIUM-Compact-Battery/dp/B00IITE2JU/ref=sr_1_3?keywords=Milwaukee+48-11-2411+M12+REDLITHIUM%E2%84%A2+Compact+Battery+Two+Pack&amp;qid=1695174226&amp;sr=8-3")</f>
        <v>https://www.amazon.com/Milwaukee-48-11-2420-REDLITHIUM-Compact-Battery/dp/B00IITE2JU/ref=sr_1_3?keywords=Milwaukee+48-11-2411+M12+REDLITHIUM%E2%84%A2+Compact+Battery+Two+Pack&amp;qid=1695174226&amp;sr=8-3</v>
      </c>
      <c r="F4441" t="s">
        <v>8918</v>
      </c>
      <c r="G4441" t="e">
        <f ca="1">_xludf.IMAGE("https://edmondsonsupply.com/cdn/shop/products/65014_48-11-2411-lg.jpg?v=1655484824")</f>
        <v>#NAME?</v>
      </c>
      <c r="H4441" t="e">
        <f ca="1">_xludf.IMAGE("https://m.media-amazon.com/images/I/81jbPQMz4eL._AC_UL320_.jpg")</f>
        <v>#NAME?</v>
      </c>
      <c r="I4441" t="s">
        <v>3253</v>
      </c>
      <c r="J4441">
        <v>61.99</v>
      </c>
      <c r="K4441" s="4">
        <v>-0.30349999999999999</v>
      </c>
      <c r="L4441">
        <v>4.7</v>
      </c>
      <c r="M4441">
        <v>1360</v>
      </c>
      <c r="O4441" t="s">
        <v>171</v>
      </c>
      <c r="P4441" t="s">
        <v>8908</v>
      </c>
      <c r="Q4441" t="s">
        <v>8909</v>
      </c>
    </row>
    <row r="4442" spans="1:17" ht="15.5" x14ac:dyDescent="0.35">
      <c r="A4442" s="3" t="str">
        <f>HYPERLINK("https://edmondsonsupply.com/collections/electricians-tools/products/diablo-tools-dou125bw", "https://edmondsonsupply.com/collections/electricians-tools/products/diablo-tools-dou125bw")</f>
        <v>https://edmondsonsupply.com/collections/electricians-tools/products/diablo-tools-dou125bw</v>
      </c>
      <c r="B4442" s="3" t="str">
        <f>HYPERLINK("https://edmondsonsupply.com/products/diablo-tools-dou125bw", "https://edmondsonsupply.com/products/diablo-tools-dou125bw")</f>
        <v>https://edmondsonsupply.com/products/diablo-tools-dou125bw</v>
      </c>
      <c r="C4442" t="s">
        <v>6906</v>
      </c>
      <c r="D4442" t="s">
        <v>8767</v>
      </c>
      <c r="E4442" s="3" t="str">
        <f>HYPERLINK("https://www.amazon.com/Diablo-Freud-DOU125JBW-Universal-Oscillating/dp/B089KV62LL/ref=sr_1_10?keywords=Diablo+Tools+DOU125BW+1-1%2F4+in.+Universal+Fit+Bi-Metal+Oscillating+Blade+for+Nail-Embedded+Wood&amp;qid=1695174264&amp;sr=8-10", "https://www.amazon.com/Diablo-Freud-DOU125JBW-Universal-Oscillating/dp/B089KV62LL/ref=sr_1_10?keywords=Diablo+Tools+DOU125BW+1-1%2F4+in.+Universal+Fit+Bi-Metal+Oscillating+Blade+for+Nail-Embedded+Wood&amp;qid=1695174264&amp;sr=8-10")</f>
        <v>https://www.amazon.com/Diablo-Freud-DOU125JBW-Universal-Oscillating/dp/B089KV62LL/ref=sr_1_10?keywords=Diablo+Tools+DOU125BW+1-1%2F4+in.+Universal+Fit+Bi-Metal+Oscillating+Blade+for+Nail-Embedded+Wood&amp;qid=1695174264&amp;sr=8-10</v>
      </c>
      <c r="F4442" t="s">
        <v>8768</v>
      </c>
      <c r="G4442" t="e">
        <f ca="1">_xludf.IMAGE("https://edmondsonsupply.com/cdn/shop/products/gnn0wpqc8veb3qhldcrb.webp?v=1676040020")</f>
        <v>#NAME?</v>
      </c>
      <c r="H4442" t="e">
        <f ca="1">_xludf.IMAGE("https://m.media-amazon.com/images/I/61wFHtmEH5L._AC_UL320_.jpg")</f>
        <v>#NAME?</v>
      </c>
      <c r="I4442" t="s">
        <v>2586</v>
      </c>
      <c r="J4442">
        <v>12.49</v>
      </c>
      <c r="K4442" s="4">
        <v>-0.30499999999999999</v>
      </c>
      <c r="L4442">
        <v>4.8</v>
      </c>
      <c r="M4442">
        <v>12</v>
      </c>
      <c r="O4442" t="s">
        <v>25</v>
      </c>
      <c r="P4442" t="s">
        <v>2152</v>
      </c>
      <c r="Q4442" t="s">
        <v>6909</v>
      </c>
    </row>
    <row r="4443" spans="1:17" ht="15.5" x14ac:dyDescent="0.35">
      <c r="A4443"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4443"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4443" t="s">
        <v>7100</v>
      </c>
      <c r="D4443" t="s">
        <v>8767</v>
      </c>
      <c r="E4443" s="3" t="str">
        <f>HYPERLINK("https://www.amazon.com/Diablo-Freud-DOU125JBW-Universal-Oscillating/dp/B089KV62LL/ref=sr_1_1?keywords=Diablo+Tools+DOU125JBW+1-1%2F4+in.+Universal+Fit+Bi-Metal+Oscillating+Blades+for+Clean+Wood&amp;qid=1695174246&amp;sr=8-1", "https://www.amazon.com/Diablo-Freud-DOU125JBW-Universal-Oscillating/dp/B089KV62LL/ref=sr_1_1?keywords=Diablo+Tools+DOU125JBW+1-1%2F4+in.+Universal+Fit+Bi-Metal+Oscillating+Blades+for+Clean+Wood&amp;qid=1695174246&amp;sr=8-1")</f>
        <v>https://www.amazon.com/Diablo-Freud-DOU125JBW-Universal-Oscillating/dp/B089KV62LL/ref=sr_1_1?keywords=Diablo+Tools+DOU125JBW+1-1%2F4+in.+Universal+Fit+Bi-Metal+Oscillating+Blades+for+Clean+Wood&amp;qid=1695174246&amp;sr=8-1</v>
      </c>
      <c r="F4443" t="s">
        <v>8768</v>
      </c>
      <c r="G4443" t="e">
        <f ca="1">_xludf.IMAGE("https://edmondsonsupply.com/cdn/shop/products/DOU125JBW_Main-Image.png?v=1633638363")</f>
        <v>#NAME?</v>
      </c>
      <c r="H4443" t="e">
        <f ca="1">_xludf.IMAGE("https://m.media-amazon.com/images/I/61wFHtmEH5L._AC_UL320_.jpg")</f>
        <v>#NAME?</v>
      </c>
      <c r="I4443" t="s">
        <v>2586</v>
      </c>
      <c r="J4443">
        <v>12.49</v>
      </c>
      <c r="K4443" s="4">
        <v>-0.30499999999999999</v>
      </c>
      <c r="L4443">
        <v>4.8</v>
      </c>
      <c r="M4443">
        <v>12</v>
      </c>
      <c r="O4443" t="s">
        <v>25</v>
      </c>
      <c r="P4443" t="s">
        <v>6943</v>
      </c>
      <c r="Q4443" t="s">
        <v>7103</v>
      </c>
    </row>
    <row r="4444" spans="1:17" ht="15.5" x14ac:dyDescent="0.35">
      <c r="A4444" s="3" t="str">
        <f>HYPERLINK("https://edmondsonsupply.com/collections/electricians-tools/products/klein-tools-60344-hinged-gel-knee-pads", "https://edmondsonsupply.com/collections/electricians-tools/products/klein-tools-60344-hinged-gel-knee-pads")</f>
        <v>https://edmondsonsupply.com/collections/electricians-tools/products/klein-tools-60344-hinged-gel-knee-pads</v>
      </c>
      <c r="B4444" s="3" t="str">
        <f>HYPERLINK("https://edmondsonsupply.com/products/klein-tools-60344-hinged-gel-knee-pads", "https://edmondsonsupply.com/products/klein-tools-60344-hinged-gel-knee-pads")</f>
        <v>https://edmondsonsupply.com/products/klein-tools-60344-hinged-gel-knee-pads</v>
      </c>
      <c r="C4444" t="s">
        <v>1125</v>
      </c>
      <c r="D4444" t="s">
        <v>1248</v>
      </c>
      <c r="E4444" s="3" t="str">
        <f>HYPERLINK("https://www.amazon.com/Klein-Tools-60184-Lightweight-Resistant/dp/B088N5Q59S/ref=sr_1_3?keywords=Klein+Tools+60344+Hinged+Gel+Knee+Pads&amp;qid=1695174150&amp;sr=8-3", "https://www.amazon.com/Klein-Tools-60184-Lightweight-Resistant/dp/B088N5Q59S/ref=sr_1_3?keywords=Klein+Tools+60344+Hinged+Gel+Knee+Pads&amp;qid=1695174150&amp;sr=8-3")</f>
        <v>https://www.amazon.com/Klein-Tools-60184-Lightweight-Resistant/dp/B088N5Q59S/ref=sr_1_3?keywords=Klein+Tools+60344+Hinged+Gel+Knee+Pads&amp;qid=1695174150&amp;sr=8-3</v>
      </c>
      <c r="F4444" t="s">
        <v>1249</v>
      </c>
      <c r="G4444" t="e">
        <f ca="1">_xludf.IMAGE("https://edmondsonsupply.com/cdn/shop/products/60344.jpg?v=1664386765")</f>
        <v>#NAME?</v>
      </c>
      <c r="H4444" t="e">
        <f ca="1">_xludf.IMAGE("https://m.media-amazon.com/images/I/71vmG1tRBLL._AC_UL320_.jpg")</f>
        <v>#NAME?</v>
      </c>
      <c r="I4444" t="s">
        <v>261</v>
      </c>
      <c r="J4444">
        <v>24.97</v>
      </c>
      <c r="K4444" s="4">
        <v>-0.30620000000000003</v>
      </c>
      <c r="L4444">
        <v>4.2</v>
      </c>
      <c r="M4444">
        <v>156</v>
      </c>
      <c r="O4444" t="s">
        <v>25</v>
      </c>
      <c r="P4444" t="s">
        <v>1128</v>
      </c>
      <c r="Q4444" t="s">
        <v>1129</v>
      </c>
    </row>
    <row r="4445" spans="1:17" ht="15.5" x14ac:dyDescent="0.35">
      <c r="A4445"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4445"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4445" t="s">
        <v>6276</v>
      </c>
      <c r="D4445" t="s">
        <v>5118</v>
      </c>
      <c r="E4445" s="3" t="str">
        <f>HYPERLINK("https://www.amazon.com/Journeyman-T-Handle-Klein-Tools-JTH9E10/dp/B004QV8H90/ref=sr_1_6?keywords=Klein+Tools+JTH9E13+1%2F4-Inch+Hex+Key+with+Journeyman+T-Handle%2C+9-Inch&amp;qid=1695174307&amp;sr=8-6", "https://www.amazon.com/Journeyman-T-Handle-Klein-Tools-JTH9E10/dp/B004QV8H90/ref=sr_1_6?keywords=Klein+Tools+JTH9E13+1%2F4-Inch+Hex+Key+with+Journeyman+T-Handle%2C+9-Inch&amp;qid=1695174307&amp;sr=8-6")</f>
        <v>https://www.amazon.com/Journeyman-T-Handle-Klein-Tools-JTH9E10/dp/B004QV8H90/ref=sr_1_6?keywords=Klein+Tools+JTH9E13+1%2F4-Inch+Hex+Key+with+Journeyman+T-Handle%2C+9-Inch&amp;qid=1695174307&amp;sr=8-6</v>
      </c>
      <c r="F4445" t="s">
        <v>5119</v>
      </c>
      <c r="G4445" t="e">
        <f ca="1">_xludf.IMAGE("https://edmondsonsupply.com/cdn/shop/products/jth9e12_7dcdbf9a-5acd-4824-8919-6aeb4a790072.jpg?v=1604060723")</f>
        <v>#NAME?</v>
      </c>
      <c r="H4445" t="e">
        <f ca="1">_xludf.IMAGE("https://m.media-amazon.com/images/I/51Yb8h41vLL._AC_UL320_.jpg")</f>
        <v>#NAME?</v>
      </c>
      <c r="I4445" t="s">
        <v>4617</v>
      </c>
      <c r="J4445">
        <v>4.49</v>
      </c>
      <c r="K4445" s="4">
        <v>-0.30819999999999997</v>
      </c>
      <c r="L4445">
        <v>4.8</v>
      </c>
      <c r="M4445">
        <v>294</v>
      </c>
      <c r="O4445" t="s">
        <v>25</v>
      </c>
      <c r="P4445" t="s">
        <v>6277</v>
      </c>
      <c r="Q4445" t="s">
        <v>6278</v>
      </c>
    </row>
    <row r="4446" spans="1:17" ht="15.5" x14ac:dyDescent="0.35">
      <c r="A4446" s="3" t="str">
        <f>HYPERLINK("https://edmondsonsupply.com/collections/electricians-tools/products/diablo-tools-dag", "https://edmondsonsupply.com/collections/electricians-tools/products/diablo-tools-dag")</f>
        <v>https://edmondsonsupply.com/collections/electricians-tools/products/diablo-tools-dag</v>
      </c>
      <c r="B4446" s="3" t="str">
        <f>HYPERLINK("https://edmondsonsupply.com/products/diablo-tools-dag", "https://edmondsonsupply.com/products/diablo-tools-dag")</f>
        <v>https://edmondsonsupply.com/products/diablo-tools-dag</v>
      </c>
      <c r="C4446" t="s">
        <v>6819</v>
      </c>
      <c r="D4446" t="s">
        <v>8919</v>
      </c>
      <c r="E4446" s="3" t="str">
        <f>HYPERLINK("https://www.amazon.com/Diablo-Freud-DAG1030-7-1-Auger/dp/B089KWZ4C4/ref=sr_1_6?keywords=Diablo+Tools+DAG3010+3%2F8+in.+x+17-1%2F2+in.+Auger+Bit&amp;qid=1695174114&amp;sr=8-6", "https://www.amazon.com/Diablo-Freud-DAG1030-7-1-Auger/dp/B089KWZ4C4/ref=sr_1_6?keywords=Diablo+Tools+DAG3010+3%2F8+in.+x+17-1%2F2+in.+Auger+Bit&amp;qid=1695174114&amp;sr=8-6")</f>
        <v>https://www.amazon.com/Diablo-Freud-DAG1030-7-1-Auger/dp/B089KWZ4C4/ref=sr_1_6?keywords=Diablo+Tools+DAG3010+3%2F8+in.+x+17-1%2F2+in.+Auger+Bit&amp;qid=1695174114&amp;sr=8-6</v>
      </c>
      <c r="F4446" t="s">
        <v>8920</v>
      </c>
      <c r="G4446" t="e">
        <f ca="1">_xludf.IMAGE("https://edmondsonsupply.com/cdn/shop/products/xfctdbahz5wx3g461fm8.webp?v=1669991052")</f>
        <v>#NAME?</v>
      </c>
      <c r="H4446" t="e">
        <f ca="1">_xludf.IMAGE("https://m.media-amazon.com/images/I/615E8KqWW3L._AC_UL320_.jpg")</f>
        <v>#NAME?</v>
      </c>
      <c r="I4446" t="s">
        <v>5147</v>
      </c>
      <c r="J4446">
        <v>12</v>
      </c>
      <c r="K4446" s="4">
        <v>-0.31309999999999999</v>
      </c>
      <c r="L4446">
        <v>4.0999999999999996</v>
      </c>
      <c r="M4446">
        <v>15</v>
      </c>
      <c r="O4446" t="s">
        <v>25</v>
      </c>
      <c r="P4446" t="s">
        <v>6822</v>
      </c>
      <c r="Q4446" t="s">
        <v>6823</v>
      </c>
    </row>
    <row r="4447" spans="1:17" ht="15.5" x14ac:dyDescent="0.35">
      <c r="A4447"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4447"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4447" t="s">
        <v>7872</v>
      </c>
      <c r="D4447" t="s">
        <v>8921</v>
      </c>
      <c r="E4447" s="3" t="str">
        <f>HYPERLINK("https://www.amazon.com/Impact-Rated-Oxidized-Spring-Loaded-Socket/dp/B07Y3YB87Z/ref=sr_1_6?keywords=Klein+Tools+66030+2-in-1+Coated+Impact+Socket%2C+12-Point%2C+3%2F4+and+9%2F16-Inch&amp;qid=1695174140&amp;sr=8-6", "https://www.amazon.com/Impact-Rated-Oxidized-Spring-Loaded-Socket/dp/B07Y3YB87Z/ref=sr_1_6?keywords=Klein+Tools+66030+2-in-1+Coated+Impact+Socket%2C+12-Point%2C+3%2F4+and+9%2F16-Inch&amp;qid=1695174140&amp;sr=8-6")</f>
        <v>https://www.amazon.com/Impact-Rated-Oxidized-Spring-Loaded-Socket/dp/B07Y3YB87Z/ref=sr_1_6?keywords=Klein+Tools+66030+2-in-1+Coated+Impact+Socket%2C+12-Point%2C+3%2F4+and+9%2F16-Inch&amp;qid=1695174140&amp;sr=8-6</v>
      </c>
      <c r="F4447" t="s">
        <v>8922</v>
      </c>
      <c r="G4447" t="e">
        <f ca="1">_xludf.IMAGE("https://edmondsonsupply.com/cdn/shop/products/66030.jpg?v=1666027133")</f>
        <v>#NAME?</v>
      </c>
      <c r="H4447" t="e">
        <f ca="1">_xludf.IMAGE("https://m.media-amazon.com/images/I/51icv2N-igL._AC_UL320_.jpg")</f>
        <v>#NAME?</v>
      </c>
      <c r="I4447" t="s">
        <v>7792</v>
      </c>
      <c r="J4447">
        <v>34.200000000000003</v>
      </c>
      <c r="K4447" s="4">
        <v>-0.31569999999999998</v>
      </c>
      <c r="L4447">
        <v>4.7</v>
      </c>
      <c r="M4447">
        <v>336</v>
      </c>
      <c r="O4447" t="s">
        <v>25</v>
      </c>
      <c r="P4447" t="s">
        <v>7873</v>
      </c>
      <c r="Q4447" t="s">
        <v>7874</v>
      </c>
    </row>
    <row r="4448" spans="1:17" ht="15.5" x14ac:dyDescent="0.35">
      <c r="A4448"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4448"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4448" t="s">
        <v>4395</v>
      </c>
      <c r="D4448" t="s">
        <v>5443</v>
      </c>
      <c r="E4448" s="3" t="str">
        <f>HYPERLINK("https://www.amazon.com/Wiha-66994-9-Piece-Metric-L-Key/dp/B002S0O7TK/ref=sr_1_2?keywords=Wiha+Tools+66990+9+Piece+MagicRing+Ball+End+Long+Arm+Hex+L-Key+Set+-+Metric&amp;qid=1695173977&amp;sr=8-2", "https://www.amazon.com/Wiha-66994-9-Piece-Metric-L-Key/dp/B002S0O7TK/ref=sr_1_2?keywords=Wiha+Tools+66990+9+Piece+MagicRing+Ball+End+Long+Arm+Hex+L-Key+Set+-+Metric&amp;qid=1695173977&amp;sr=8-2")</f>
        <v>https://www.amazon.com/Wiha-66994-9-Piece-Metric-L-Key/dp/B002S0O7TK/ref=sr_1_2?keywords=Wiha+Tools+66990+9+Piece+MagicRing+Ball+End+Long+Arm+Hex+L-Key+Set+-+Metric&amp;qid=1695173977&amp;sr=8-2</v>
      </c>
      <c r="F4448" t="s">
        <v>5444</v>
      </c>
      <c r="G4448" t="e">
        <f ca="1">_xludf.IMAGE("https://edmondsonsupply.com/cdn/shop/files/13e958aad91c16597a10bc35346fe94965ff7cc5_1000x_585c36ae-bd90-4c7e-95df-eb1519527f63.webp?v=1690841217")</f>
        <v>#NAME?</v>
      </c>
      <c r="H4448" t="e">
        <f ca="1">_xludf.IMAGE("https://m.media-amazon.com/images/I/61tUR1OSo0L._AC_UL320_.jpg")</f>
        <v>#NAME?</v>
      </c>
      <c r="I4448" t="s">
        <v>4398</v>
      </c>
      <c r="J4448">
        <v>26.78</v>
      </c>
      <c r="K4448" s="4">
        <v>-0.31790000000000002</v>
      </c>
      <c r="L4448">
        <v>4.8</v>
      </c>
      <c r="M4448">
        <v>145</v>
      </c>
      <c r="O4448" t="s">
        <v>25</v>
      </c>
      <c r="P4448" t="s">
        <v>4399</v>
      </c>
      <c r="Q4448" t="s">
        <v>4400</v>
      </c>
    </row>
    <row r="4449" spans="1:17" ht="15.5" x14ac:dyDescent="0.35">
      <c r="A4449"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4449"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4449" t="s">
        <v>6963</v>
      </c>
      <c r="D4449" t="s">
        <v>6204</v>
      </c>
      <c r="E4449" s="3" t="str">
        <f>HYPERLINK("https://www.amazon.com/Conduit-Compatible-Klein-Tools-51608/dp/B08VYJMT3R/ref=sr_1_7?keywords=Klein+Tools+51603+Iron+Conduit+Bender+Full+Assembly%2C+1%2F2-Inch+EMT+with+Angle+Setter%E2%84%A2&amp;qid=1695173919&amp;sr=8-7", "https://www.amazon.com/Conduit-Compatible-Klein-Tools-51608/dp/B08VYJMT3R/ref=sr_1_7?keywords=Klein+Tools+51603+Iron+Conduit+Bender+Full+Assembly%2C+1%2F2-Inch+EMT+with+Angle+Setter%E2%84%A2&amp;qid=1695173919&amp;sr=8-7")</f>
        <v>https://www.amazon.com/Conduit-Compatible-Klein-Tools-51608/dp/B08VYJMT3R/ref=sr_1_7?keywords=Klein+Tools+51603+Iron+Conduit+Bender+Full+Assembly%2C+1%2F2-Inch+EMT+with+Angle+Setter%E2%84%A2&amp;qid=1695173919&amp;sr=8-7</v>
      </c>
      <c r="F4449" t="s">
        <v>6205</v>
      </c>
      <c r="G4449" t="e">
        <f ca="1">_xludf.IMAGE("https://edmondsonsupply.com/cdn/shop/products/51604.jpg?v=1663940749")</f>
        <v>#NAME?</v>
      </c>
      <c r="H4449" t="e">
        <f ca="1">_xludf.IMAGE("https://m.media-amazon.com/images/I/61mnVTiX18L._AC_UL320_.jpg")</f>
        <v>#NAME?</v>
      </c>
      <c r="I4449" t="s">
        <v>905</v>
      </c>
      <c r="J4449">
        <v>40.909999999999997</v>
      </c>
      <c r="K4449" s="4">
        <v>-0.31809999999999999</v>
      </c>
      <c r="L4449">
        <v>4.3</v>
      </c>
      <c r="M4449">
        <v>17</v>
      </c>
      <c r="O4449" t="s">
        <v>25</v>
      </c>
      <c r="P4449" t="s">
        <v>6964</v>
      </c>
      <c r="Q4449" t="s">
        <v>6965</v>
      </c>
    </row>
    <row r="4450" spans="1:17" ht="15.5" x14ac:dyDescent="0.35">
      <c r="A4450"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4450" s="3" t="str">
        <f>HYPERLINK("https://edmondsonsupply.com/products/klein-tools-51609-3-4-inch-iron-conduit-bender-head", "https://edmondsonsupply.com/products/klein-tools-51609-3-4-inch-iron-conduit-bender-head")</f>
        <v>https://edmondsonsupply.com/products/klein-tools-51609-3-4-inch-iron-conduit-bender-head</v>
      </c>
      <c r="C4450" t="s">
        <v>6966</v>
      </c>
      <c r="D4450" t="s">
        <v>6204</v>
      </c>
      <c r="E4450" s="3" t="str">
        <f>HYPERLINK("https://www.amazon.com/Conduit-Compatible-Klein-Tools-51608/dp/B08VYJMT3R/ref=sr_1_7?keywords=Klein+Tools+51609+3%2F4-Inch+Iron+Conduit+Bender+Head&amp;qid=1695174173&amp;sr=8-7", "https://www.amazon.com/Conduit-Compatible-Klein-Tools-51608/dp/B08VYJMT3R/ref=sr_1_7?keywords=Klein+Tools+51609+3%2F4-Inch+Iron+Conduit+Bender+Head&amp;qid=1695174173&amp;sr=8-7")</f>
        <v>https://www.amazon.com/Conduit-Compatible-Klein-Tools-51608/dp/B08VYJMT3R/ref=sr_1_7?keywords=Klein+Tools+51609+3%2F4-Inch+Iron+Conduit+Bender+Head&amp;qid=1695174173&amp;sr=8-7</v>
      </c>
      <c r="F4450" t="s">
        <v>6205</v>
      </c>
      <c r="G4450" t="e">
        <f ca="1">_xludf.IMAGE("https://edmondsonsupply.com/cdn/shop/products/51609.jpg?v=1661867147")</f>
        <v>#NAME?</v>
      </c>
      <c r="H4450" t="e">
        <f ca="1">_xludf.IMAGE("https://m.media-amazon.com/images/I/61mnVTiX18L._AC_UL320_.jpg")</f>
        <v>#NAME?</v>
      </c>
      <c r="I4450" t="s">
        <v>905</v>
      </c>
      <c r="J4450">
        <v>40.909999999999997</v>
      </c>
      <c r="K4450" s="4">
        <v>-0.31809999999999999</v>
      </c>
      <c r="L4450">
        <v>4.3</v>
      </c>
      <c r="M4450">
        <v>17</v>
      </c>
      <c r="O4450" t="s">
        <v>25</v>
      </c>
      <c r="P4450" t="s">
        <v>6967</v>
      </c>
      <c r="Q4450" t="s">
        <v>6968</v>
      </c>
    </row>
    <row r="4451" spans="1:17" ht="15.5" x14ac:dyDescent="0.35">
      <c r="A4451"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4451"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4451" t="s">
        <v>8334</v>
      </c>
      <c r="D4451" t="s">
        <v>5560</v>
      </c>
      <c r="E4451" s="3" t="str">
        <f>HYPERLINK("https://www.amazon.com/Diablo-Freud-DMAPL4300-SDS-Plus-4-Cutter/dp/B089LL8JD8/ref=sr_1_8?keywords=Diablo+Tools+DMAPL4310+1+in.+x+16+in.+x+18+in.+Rebar+Demon%E2%84%A2+SDS-Plus+4-Cutter+Full+Carbide+Head+Hammer+Drill+Bit&amp;qid=1695174259&amp;sr=8-8", "https://www.amazon.com/Diablo-Freud-DMAPL4300-SDS-Plus-4-Cutter/dp/B089LL8JD8/ref=sr_1_8?keywords=Diablo+Tools+DMAPL4310+1+in.+x+16+in.+x+18+in.+Rebar+Demon%E2%84%A2+SDS-Plus+4-Cutter+Full+Carbide+Head+Hammer+Drill+Bit&amp;qid=1695174259&amp;sr=8-8")</f>
        <v>https://www.amazon.com/Diablo-Freud-DMAPL4300-SDS-Plus-4-Cutter/dp/B089LL8JD8/ref=sr_1_8?keywords=Diablo+Tools+DMAPL4310+1+in.+x+16+in.+x+18+in.+Rebar+Demon%E2%84%A2+SDS-Plus+4-Cutter+Full+Carbide+Head+Hammer+Drill+Bit&amp;qid=1695174259&amp;sr=8-8</v>
      </c>
      <c r="F4451" t="s">
        <v>5561</v>
      </c>
      <c r="G4451" t="e">
        <f ca="1">_xludf.IMAGE("https://edmondsonsupply.com/cdn/shop/products/DMAPL4310_Main-Image20200701.png?v=1633031094")</f>
        <v>#NAME?</v>
      </c>
      <c r="H4451" t="e">
        <f ca="1">_xludf.IMAGE("https://m.media-amazon.com/images/I/616UiJGsK1L._AC_UL320_.jpg")</f>
        <v>#NAME?</v>
      </c>
      <c r="I4451" t="s">
        <v>380</v>
      </c>
      <c r="J4451">
        <v>33.99</v>
      </c>
      <c r="K4451" s="4">
        <v>-0.31979999999999997</v>
      </c>
      <c r="L4451">
        <v>4.5</v>
      </c>
      <c r="M4451">
        <v>16</v>
      </c>
      <c r="O4451" t="s">
        <v>25</v>
      </c>
      <c r="P4451" t="s">
        <v>8335</v>
      </c>
      <c r="Q4451" t="s">
        <v>8336</v>
      </c>
    </row>
    <row r="4452" spans="1:17" ht="15.5" x14ac:dyDescent="0.35">
      <c r="A4452"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4452"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4452" t="s">
        <v>8334</v>
      </c>
      <c r="D4452" t="s">
        <v>8592</v>
      </c>
      <c r="E4452" s="3" t="str">
        <f>HYPERLINK("https://www.amazon.com/Diablo-SDS-Plus-4-Cutter-Carbide-Hammer/dp/B089LDNZSN/ref=sr_1_9?keywords=Diablo+Tools+DMAPL4310+1+in.+x+16+in.+x+18+in.+Rebar+Demon%E2%84%A2+SDS-Plus+4-Cutter+Full+Carbide+Head+Hammer+Drill+Bit&amp;qid=1695174259&amp;sr=8-9", "https://www.amazon.com/Diablo-SDS-Plus-4-Cutter-Carbide-Hammer/dp/B089LDNZSN/ref=sr_1_9?keywords=Diablo+Tools+DMAPL4310+1+in.+x+16+in.+x+18+in.+Rebar+Demon%E2%84%A2+SDS-Plus+4-Cutter+Full+Carbide+Head+Hammer+Drill+Bit&amp;qid=1695174259&amp;sr=8-9")</f>
        <v>https://www.amazon.com/Diablo-SDS-Plus-4-Cutter-Carbide-Hammer/dp/B089LDNZSN/ref=sr_1_9?keywords=Diablo+Tools+DMAPL4310+1+in.+x+16+in.+x+18+in.+Rebar+Demon%E2%84%A2+SDS-Plus+4-Cutter+Full+Carbide+Head+Hammer+Drill+Bit&amp;qid=1695174259&amp;sr=8-9</v>
      </c>
      <c r="F4452" t="s">
        <v>8593</v>
      </c>
      <c r="G4452" t="e">
        <f ca="1">_xludf.IMAGE("https://edmondsonsupply.com/cdn/shop/products/DMAPL4310_Main-Image20200701.png?v=1633031094")</f>
        <v>#NAME?</v>
      </c>
      <c r="H4452" t="e">
        <f ca="1">_xludf.IMAGE("https://m.media-amazon.com/images/I/61Vv8Hsfp5L._AC_UL320_.jpg")</f>
        <v>#NAME?</v>
      </c>
      <c r="I4452" t="s">
        <v>380</v>
      </c>
      <c r="J4452">
        <v>33.979999999999997</v>
      </c>
      <c r="K4452" s="4">
        <v>-0.32</v>
      </c>
      <c r="L4452">
        <v>4.5999999999999996</v>
      </c>
      <c r="M4452">
        <v>10</v>
      </c>
      <c r="O4452" t="s">
        <v>25</v>
      </c>
      <c r="P4452" t="s">
        <v>8335</v>
      </c>
      <c r="Q4452" t="s">
        <v>8336</v>
      </c>
    </row>
    <row r="4453" spans="1:17" ht="15.5" x14ac:dyDescent="0.35">
      <c r="A4453" s="3" t="str">
        <f>HYPERLINK("https://edmondsonsupply.com/collections/electricians-tools/products/klein-tools-55437-tradesman-pro%E2%84%A2-work-light", "https://edmondsonsupply.com/collections/electricians-tools/products/klein-tools-55437-tradesman-pro%E2%84%A2-work-light")</f>
        <v>https://edmondsonsupply.com/collections/electricians-tools/products/klein-tools-55437-tradesman-pro%E2%84%A2-work-light</v>
      </c>
      <c r="B4453" s="3" t="str">
        <f>HYPERLINK("https://edmondsonsupply.com/products/klein-tools-55437-tradesman-pro%e2%84%a2-work-light", "https://edmondsonsupply.com/products/klein-tools-55437-tradesman-pro%e2%84%a2-work-light")</f>
        <v>https://edmondsonsupply.com/products/klein-tools-55437-tradesman-pro%e2%84%a2-work-light</v>
      </c>
      <c r="C4453" t="s">
        <v>1388</v>
      </c>
      <c r="D4453" t="s">
        <v>5445</v>
      </c>
      <c r="E4453" s="3" t="str">
        <f>HYPERLINK("https://www.amazon.com/Tradesman-Light-Klein-Tools-55437/dp/B00MJO7KYO/ref=sr_1_1?keywords=Klein+Tools+55437+Tradesman+Pro%E2%84%A2+Work+Light+%2F+Tool+Bag+Light+%2F+Cooler+Light&amp;qid=1695173957&amp;sr=8-1", "https://www.amazon.com/Tradesman-Light-Klein-Tools-55437/dp/B00MJO7KYO/ref=sr_1_1?keywords=Klein+Tools+55437+Tradesman+Pro%E2%84%A2+Work+Light+%2F+Tool+Bag+Light+%2F+Cooler+Light&amp;qid=1695173957&amp;sr=8-1")</f>
        <v>https://www.amazon.com/Tradesman-Light-Klein-Tools-55437/dp/B00MJO7KYO/ref=sr_1_1?keywords=Klein+Tools+55437+Tradesman+Pro%E2%84%A2+Work+Light+%2F+Tool+Bag+Light+%2F+Cooler+Light&amp;qid=1695173957&amp;sr=8-1</v>
      </c>
      <c r="F4453" t="s">
        <v>5446</v>
      </c>
      <c r="G4453" t="e">
        <f ca="1">_xludf.IMAGE("https://edmondsonsupply.com/cdn/shop/products/55437.jpg?v=1587143511")</f>
        <v>#NAME?</v>
      </c>
      <c r="H4453" t="e">
        <f ca="1">_xludf.IMAGE("https://m.media-amazon.com/images/I/71D2GxvE3+L._AC_UL320_.jpg")</f>
        <v>#NAME?</v>
      </c>
      <c r="I4453" t="s">
        <v>1391</v>
      </c>
      <c r="J4453">
        <v>12.99</v>
      </c>
      <c r="K4453" s="4">
        <v>-0.32129999999999997</v>
      </c>
      <c r="L4453">
        <v>4.5</v>
      </c>
      <c r="M4453">
        <v>406</v>
      </c>
      <c r="O4453" t="s">
        <v>25</v>
      </c>
      <c r="P4453" t="s">
        <v>1391</v>
      </c>
      <c r="Q4453" t="s">
        <v>1392</v>
      </c>
    </row>
    <row r="4454" spans="1:17" ht="15.5" x14ac:dyDescent="0.35">
      <c r="A4454"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4454"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4454" t="s">
        <v>6529</v>
      </c>
      <c r="D4454" t="s">
        <v>5294</v>
      </c>
      <c r="E4454" s="3" t="str">
        <f>HYPERLINK("https://www.amazon.com/Klein-Tools-NCVT2P-12-1000V-Flashing/dp/B07L5N8ZWS/ref=sr_1_7?keywords=Klein+Tools+NCVT3PKIT+Dual+Range+NCVT+and+AC%2FDC+Voltage+Tester+Electrical+Test+Kit&amp;qid=1695174124&amp;sr=8-7", "https://www.amazon.com/Klein-Tools-NCVT2P-12-1000V-Flashing/dp/B07L5N8ZWS/ref=sr_1_7?keywords=Klein+Tools+NCVT3PKIT+Dual+Range+NCVT+and+AC%2FDC+Voltage+Tester+Electrical+Test+Kit&amp;qid=1695174124&amp;sr=8-7")</f>
        <v>https://www.amazon.com/Klein-Tools-NCVT2P-12-1000V-Flashing/dp/B07L5N8ZWS/ref=sr_1_7?keywords=Klein+Tools+NCVT3PKIT+Dual+Range+NCVT+and+AC%2FDC+Voltage+Tester+Electrical+Test+Kit&amp;qid=1695174124&amp;sr=8-7</v>
      </c>
      <c r="F4454" t="s">
        <v>5295</v>
      </c>
      <c r="G4454" t="e">
        <f ca="1">_xludf.IMAGE("https://edmondsonsupply.com/cdn/shop/products/ncvt3pkit.jpg?v=1667228452")</f>
        <v>#NAME?</v>
      </c>
      <c r="H4454" t="e">
        <f ca="1">_xludf.IMAGE("https://m.media-amazon.com/images/I/51GASnKpZ1L._AC_UL320_.jpg")</f>
        <v>#NAME?</v>
      </c>
      <c r="I4454" t="s">
        <v>571</v>
      </c>
      <c r="J4454">
        <v>23.74</v>
      </c>
      <c r="K4454" s="4">
        <v>-0.32150000000000001</v>
      </c>
      <c r="L4454">
        <v>4.7</v>
      </c>
      <c r="M4454">
        <v>639</v>
      </c>
      <c r="O4454" t="s">
        <v>25</v>
      </c>
      <c r="P4454" t="s">
        <v>6532</v>
      </c>
      <c r="Q4454" t="s">
        <v>6533</v>
      </c>
    </row>
    <row r="4455" spans="1:17" ht="15.5" x14ac:dyDescent="0.35">
      <c r="A4455" s="3" t="str">
        <f>HYPERLINK("https://edmondsonsupply.com/collections/electricians-tools/products/klein-tools-25963-step-drill-bit-spiral-double-fluted-1-4-inch-to-3-4-inch-vaco", "https://edmondsonsupply.com/collections/electricians-tools/products/klein-tools-25963-step-drill-bit-spiral-double-fluted-1-4-inch-to-3-4-inch-vaco")</f>
        <v>https://edmondsonsupply.com/collections/electricians-tools/products/klein-tools-25963-step-drill-bit-spiral-double-fluted-1-4-inch-to-3-4-inch-vaco</v>
      </c>
      <c r="B4455" s="3" t="str">
        <f>HYPERLINK("https://edmondsonsupply.com/products/klein-tools-25963-step-drill-bit-spiral-double-fluted-1-4-inch-to-3-4-inch-vaco", "https://edmondsonsupply.com/products/klein-tools-25963-step-drill-bit-spiral-double-fluted-1-4-inch-to-3-4-inch-vaco")</f>
        <v>https://edmondsonsupply.com/products/klein-tools-25963-step-drill-bit-spiral-double-fluted-1-4-inch-to-3-4-inch-vaco</v>
      </c>
      <c r="C4455" t="s">
        <v>6215</v>
      </c>
      <c r="D4455" t="s">
        <v>5180</v>
      </c>
      <c r="E4455" s="3" t="str">
        <f>HYPERLINK("https://www.amazon.com/Jerax-tools-Drilling-Stainless-Aluminum/dp/B094VCMB17/ref=sr_1_5?keywords=Klein+Tools+25963+Step+Drill+Bit%2C+Spiral+Double-Fluted%2C+1%2F4-Inch+to+3%2F4-Inch%2C+VACO&amp;qid=1695174099&amp;sr=8-5", "https://www.amazon.com/Jerax-tools-Drilling-Stainless-Aluminum/dp/B094VCMB17/ref=sr_1_5?keywords=Klein+Tools+25963+Step+Drill+Bit%2C+Spiral+Double-Fluted%2C+1%2F4-Inch+to+3%2F4-Inch%2C+VACO&amp;qid=1695174099&amp;sr=8-5")</f>
        <v>https://www.amazon.com/Jerax-tools-Drilling-Stainless-Aluminum/dp/B094VCMB17/ref=sr_1_5?keywords=Klein+Tools+25963+Step+Drill+Bit%2C+Spiral+Double-Fluted%2C+1%2F4-Inch+to+3%2F4-Inch%2C+VACO&amp;qid=1695174099&amp;sr=8-5</v>
      </c>
      <c r="F4455" t="s">
        <v>5181</v>
      </c>
      <c r="G4455" t="e">
        <f ca="1">_xludf.IMAGE("https://edmondsonsupply.com/cdn/shop/products/25963_b.jpg?v=1670524306")</f>
        <v>#NAME?</v>
      </c>
      <c r="H4455" t="e">
        <f ca="1">_xludf.IMAGE("https://m.media-amazon.com/images/I/51fvUl5tapL._AC_UY218_.jpg")</f>
        <v>#NAME?</v>
      </c>
      <c r="I4455" t="s">
        <v>471</v>
      </c>
      <c r="J4455">
        <v>16.95</v>
      </c>
      <c r="K4455" s="4">
        <v>-0.32169999999999999</v>
      </c>
      <c r="L4455">
        <v>4.5</v>
      </c>
      <c r="M4455">
        <v>713</v>
      </c>
      <c r="O4455" t="s">
        <v>25</v>
      </c>
      <c r="P4455" t="s">
        <v>6216</v>
      </c>
      <c r="Q4455" t="s">
        <v>6217</v>
      </c>
    </row>
    <row r="4456" spans="1:17" ht="15.5" x14ac:dyDescent="0.35">
      <c r="A4456" s="3" t="str">
        <f>HYPERLINK("https://edmondsonsupply.com/collections/electricians-tools/products/klein-tools-9230-tape-measure-30-foot-magnetic-double-hook", "https://edmondsonsupply.com/collections/electricians-tools/products/klein-tools-9230-tape-measure-30-foot-magnetic-double-hook")</f>
        <v>https://edmondsonsupply.com/collections/electricians-tools/products/klein-tools-9230-tape-measure-30-foot-magnetic-double-hook</v>
      </c>
      <c r="B4456" s="3" t="str">
        <f>HYPERLINK("https://edmondsonsupply.com/products/klein-tools-9230-tape-measure-30-foot-magnetic-double-hook", "https://edmondsonsupply.com/products/klein-tools-9230-tape-measure-30-foot-magnetic-double-hook")</f>
        <v>https://edmondsonsupply.com/products/klein-tools-9230-tape-measure-30-foot-magnetic-double-hook</v>
      </c>
      <c r="C4456" t="s">
        <v>5073</v>
      </c>
      <c r="D4456" t="s">
        <v>5447</v>
      </c>
      <c r="E4456" s="3" t="str">
        <f>HYPERLINK("https://www.amazon.com/Klein-Tools-Measure-Magnetic-Double-Hook/dp/B07WHF9LWP/ref=sr_1_4?keywords=Klein+Tools+9230+Tape+Measure%2C+30-Foot+Magnetic+Double-Hook&amp;qid=1695173934&amp;sr=8-4", "https://www.amazon.com/Klein-Tools-Measure-Magnetic-Double-Hook/dp/B07WHF9LWP/ref=sr_1_4?keywords=Klein+Tools+9230+Tape+Measure%2C+30-Foot+Magnetic+Double-Hook&amp;qid=1695173934&amp;sr=8-4")</f>
        <v>https://www.amazon.com/Klein-Tools-Measure-Magnetic-Double-Hook/dp/B07WHF9LWP/ref=sr_1_4?keywords=Klein+Tools+9230+Tape+Measure%2C+30-Foot+Magnetic+Double-Hook&amp;qid=1695173934&amp;sr=8-4</v>
      </c>
      <c r="F4456" t="s">
        <v>5448</v>
      </c>
      <c r="G4456" t="e">
        <f ca="1">_xludf.IMAGE("https://edmondsonsupply.com/cdn/shop/products/9230_photo.jpg?v=1587150845")</f>
        <v>#NAME?</v>
      </c>
      <c r="H4456" t="e">
        <f ca="1">_xludf.IMAGE("https://m.media-amazon.com/images/I/511ZtYuRbfL._AC_UL320_.jpg")</f>
        <v>#NAME?</v>
      </c>
      <c r="I4456" t="s">
        <v>4310</v>
      </c>
      <c r="J4456">
        <v>22.97</v>
      </c>
      <c r="K4456" s="4">
        <v>-0.32419999999999999</v>
      </c>
      <c r="L4456">
        <v>4.5999999999999996</v>
      </c>
      <c r="M4456">
        <v>1085</v>
      </c>
      <c r="O4456" t="s">
        <v>25</v>
      </c>
      <c r="P4456" t="s">
        <v>5076</v>
      </c>
      <c r="Q4456" t="s">
        <v>5077</v>
      </c>
    </row>
    <row r="4457" spans="1:17" ht="15.5" x14ac:dyDescent="0.35">
      <c r="A4457"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4457" s="3" t="str">
        <f>HYPERLINK("https://edmondsonsupply.com/products/diablo-tools-dag3070-3-4-in-x-17-1-2-in-auger-bit", "https://edmondsonsupply.com/products/diablo-tools-dag3070-3-4-in-x-17-1-2-in-auger-bit")</f>
        <v>https://edmondsonsupply.com/products/diablo-tools-dag3070-3-4-in-x-17-1-2-in-auger-bit</v>
      </c>
      <c r="C4457" t="s">
        <v>7783</v>
      </c>
      <c r="D4457" t="s">
        <v>8476</v>
      </c>
      <c r="E4457" s="3" t="str">
        <f>HYPERLINK("https://www.amazon.com/Diablo-DAG3020-17-1-Auger-Bit/dp/B089LGWKFF/ref=sr_1_9?keywords=Diablo+Tools+DAG3070+3%2F4+in.+x+17-1%2F2+in.+Auger+Bit&amp;qid=1695174104&amp;sr=8-9", "https://www.amazon.com/Diablo-DAG3020-17-1-Auger-Bit/dp/B089LGWKFF/ref=sr_1_9?keywords=Diablo+Tools+DAG3070+3%2F4+in.+x+17-1%2F2+in.+Auger+Bit&amp;qid=1695174104&amp;sr=8-9")</f>
        <v>https://www.amazon.com/Diablo-DAG3020-17-1-Auger-Bit/dp/B089LGWKFF/ref=sr_1_9?keywords=Diablo+Tools+DAG3070+3%2F4+in.+x+17-1%2F2+in.+Auger+Bit&amp;qid=1695174104&amp;sr=8-9</v>
      </c>
      <c r="F4457" t="s">
        <v>8477</v>
      </c>
      <c r="G4457" t="e">
        <f ca="1">_xludf.IMAGE("https://edmondsonsupply.com/cdn/shop/products/ljatbudptj8xmo1m7sg7.webp?v=1669994151")</f>
        <v>#NAME?</v>
      </c>
      <c r="H4457" t="e">
        <f ca="1">_xludf.IMAGE("https://m.media-amazon.com/images/I/61XUUNTev0L._AC_UL320_.jpg")</f>
        <v>#NAME?</v>
      </c>
      <c r="I4457" t="s">
        <v>3472</v>
      </c>
      <c r="J4457">
        <v>16.21</v>
      </c>
      <c r="K4457" s="4">
        <v>-0.32429999999999998</v>
      </c>
      <c r="L4457">
        <v>5</v>
      </c>
      <c r="M4457">
        <v>2</v>
      </c>
      <c r="O4457" t="s">
        <v>25</v>
      </c>
      <c r="P4457" t="s">
        <v>7784</v>
      </c>
      <c r="Q4457" t="s">
        <v>7785</v>
      </c>
    </row>
    <row r="4458" spans="1:17" ht="15.5" x14ac:dyDescent="0.35">
      <c r="A4458" s="3" t="str">
        <f>HYPERLINK("https://edmondsonsupply.com/collections/electricians-tools/products/diablo-tools-dou125bw", "https://edmondsonsupply.com/collections/electricians-tools/products/diablo-tools-dou125bw")</f>
        <v>https://edmondsonsupply.com/collections/electricians-tools/products/diablo-tools-dou125bw</v>
      </c>
      <c r="B4458" s="3" t="str">
        <f>HYPERLINK("https://edmondsonsupply.com/products/diablo-tools-dou125bw", "https://edmondsonsupply.com/products/diablo-tools-dou125bw")</f>
        <v>https://edmondsonsupply.com/products/diablo-tools-dou125bw</v>
      </c>
      <c r="C4458" t="s">
        <v>6906</v>
      </c>
      <c r="D4458" t="s">
        <v>5970</v>
      </c>
      <c r="E4458" s="3" t="str">
        <f>HYPERLINK("https://www.amazon.com/Diablo-Universal-Bi-Metal-Oscillating-Nail-Embedded/dp/B089LDN2LT/ref=sr_1_2?keywords=Diablo+Tools+DOU125BW+1-1%2F4+in.+Universal+Fit+Bi-Metal+Oscillating+Blade+for+Nail-Embedded+Wood&amp;qid=1695174264&amp;sr=8-2", "https://www.amazon.com/Diablo-Universal-Bi-Metal-Oscillating-Nail-Embedded/dp/B089LDN2LT/ref=sr_1_2?keywords=Diablo+Tools+DOU125BW+1-1%2F4+in.+Universal+Fit+Bi-Metal+Oscillating+Blade+for+Nail-Embedded+Wood&amp;qid=1695174264&amp;sr=8-2")</f>
        <v>https://www.amazon.com/Diablo-Universal-Bi-Metal-Oscillating-Nail-Embedded/dp/B089LDN2LT/ref=sr_1_2?keywords=Diablo+Tools+DOU125BW+1-1%2F4+in.+Universal+Fit+Bi-Metal+Oscillating+Blade+for+Nail-Embedded+Wood&amp;qid=1695174264&amp;sr=8-2</v>
      </c>
      <c r="F4458" t="s">
        <v>5971</v>
      </c>
      <c r="G4458" t="e">
        <f ca="1">_xludf.IMAGE("https://edmondsonsupply.com/cdn/shop/products/gnn0wpqc8veb3qhldcrb.webp?v=1676040020")</f>
        <v>#NAME?</v>
      </c>
      <c r="H4458" t="e">
        <f ca="1">_xludf.IMAGE("https://m.media-amazon.com/images/I/613ig7mNjfL._AC_UL320_.jpg")</f>
        <v>#NAME?</v>
      </c>
      <c r="I4458" t="s">
        <v>2586</v>
      </c>
      <c r="J4458">
        <v>12.14</v>
      </c>
      <c r="K4458" s="4">
        <v>-0.32440000000000002</v>
      </c>
      <c r="L4458">
        <v>4.8</v>
      </c>
      <c r="M4458">
        <v>12</v>
      </c>
      <c r="O4458" t="s">
        <v>25</v>
      </c>
      <c r="P4458" t="s">
        <v>2152</v>
      </c>
      <c r="Q4458" t="s">
        <v>6909</v>
      </c>
    </row>
    <row r="4459" spans="1:17" ht="15.5" x14ac:dyDescent="0.35">
      <c r="A4459"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4459"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4459" t="s">
        <v>7100</v>
      </c>
      <c r="D4459" t="s">
        <v>5970</v>
      </c>
      <c r="E4459" s="3" t="str">
        <f>HYPERLINK("https://www.amazon.com/Diablo-Universal-Bi-Metal-Oscillating-Nail-Embedded/dp/B089LDN2LT/ref=sr_1_3?keywords=Diablo+Tools+DOU125JBW+1-1%2F4+in.+Universal+Fit+Bi-Metal+Oscillating+Blades+for+Clean+Wood&amp;qid=1695174246&amp;sr=8-3", "https://www.amazon.com/Diablo-Universal-Bi-Metal-Oscillating-Nail-Embedded/dp/B089LDN2LT/ref=sr_1_3?keywords=Diablo+Tools+DOU125JBW+1-1%2F4+in.+Universal+Fit+Bi-Metal+Oscillating+Blades+for+Clean+Wood&amp;qid=1695174246&amp;sr=8-3")</f>
        <v>https://www.amazon.com/Diablo-Universal-Bi-Metal-Oscillating-Nail-Embedded/dp/B089LDN2LT/ref=sr_1_3?keywords=Diablo+Tools+DOU125JBW+1-1%2F4+in.+Universal+Fit+Bi-Metal+Oscillating+Blades+for+Clean+Wood&amp;qid=1695174246&amp;sr=8-3</v>
      </c>
      <c r="F4459" t="s">
        <v>5971</v>
      </c>
      <c r="G4459" t="e">
        <f ca="1">_xludf.IMAGE("https://edmondsonsupply.com/cdn/shop/products/DOU125JBW_Main-Image.png?v=1633638363")</f>
        <v>#NAME?</v>
      </c>
      <c r="H4459" t="e">
        <f ca="1">_xludf.IMAGE("https://m.media-amazon.com/images/I/613ig7mNjfL._AC_UL320_.jpg")</f>
        <v>#NAME?</v>
      </c>
      <c r="I4459" t="s">
        <v>2586</v>
      </c>
      <c r="J4459">
        <v>12.14</v>
      </c>
      <c r="K4459" s="4">
        <v>-0.32440000000000002</v>
      </c>
      <c r="L4459">
        <v>4.8</v>
      </c>
      <c r="M4459">
        <v>12</v>
      </c>
      <c r="O4459" t="s">
        <v>25</v>
      </c>
      <c r="P4459" t="s">
        <v>6943</v>
      </c>
      <c r="Q4459" t="s">
        <v>7103</v>
      </c>
    </row>
    <row r="4460" spans="1:17" ht="15.5" x14ac:dyDescent="0.35">
      <c r="A4460"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4460" s="3" t="str">
        <f>HYPERLINK("https://edmondsonsupply.com/products/fluke-st120-gfci-socket-tester-with-beeper", "https://edmondsonsupply.com/products/fluke-st120-gfci-socket-tester-with-beeper")</f>
        <v>https://edmondsonsupply.com/products/fluke-st120-gfci-socket-tester-with-beeper</v>
      </c>
      <c r="C4460" t="s">
        <v>8860</v>
      </c>
      <c r="D4460" t="s">
        <v>8612</v>
      </c>
      <c r="E4460" s="3" t="str">
        <f>HYPERLINK("https://www.amazon.com/Aenllosi-Carrying-Replacement-Socket-Tester/dp/B0BD7JLMCB/ref=sr_1_3?keywords=Fluke+ST120%2B+GFCI+Socket+Tester+with+Beeper&amp;qid=1695174161&amp;sr=8-3", "https://www.amazon.com/Aenllosi-Carrying-Replacement-Socket-Tester/dp/B0BD7JLMCB/ref=sr_1_3?keywords=Fluke+ST120%2B+GFCI+Socket+Tester+with+Beeper&amp;qid=1695174161&amp;sr=8-3")</f>
        <v>https://www.amazon.com/Aenllosi-Carrying-Replacement-Socket-Tester/dp/B0BD7JLMCB/ref=sr_1_3?keywords=Fluke+ST120%2B+GFCI+Socket+Tester+with+Beeper&amp;qid=1695174161&amp;sr=8-3</v>
      </c>
      <c r="F4460" t="s">
        <v>8613</v>
      </c>
      <c r="G4460" t="e">
        <f ca="1">_xludf.IMAGE("https://edmondsonsupply.com/cdn/shop/products/F-st120-plus_01a_w.webp?v=1662582919")</f>
        <v>#NAME?</v>
      </c>
      <c r="H4460" t="e">
        <f ca="1">_xludf.IMAGE("https://m.media-amazon.com/images/I/81I3g-w5eLL._AC_UL320_.jpg")</f>
        <v>#NAME?</v>
      </c>
      <c r="I4460" t="s">
        <v>577</v>
      </c>
      <c r="J4460">
        <v>13.49</v>
      </c>
      <c r="K4460" s="4">
        <v>-0.32519999999999999</v>
      </c>
      <c r="L4460">
        <v>4.8</v>
      </c>
      <c r="M4460">
        <v>62</v>
      </c>
      <c r="O4460" t="s">
        <v>25</v>
      </c>
      <c r="P4460" t="s">
        <v>1158</v>
      </c>
      <c r="Q4460" t="s">
        <v>8861</v>
      </c>
    </row>
    <row r="4461" spans="1:17" ht="15.5" x14ac:dyDescent="0.35">
      <c r="A4461" s="3" t="str">
        <f>HYPERLINK("https://edmondsonsupply.com/collections/electricians-tools/products/milwaukee-48-11-2430-m12%E2%84%A2-redlithium%E2%84%A2-3-0-compact-battery-pack", "https://edmondsonsupply.com/collections/electricians-tools/products/milwaukee-48-11-2430-m12%E2%84%A2-redlithium%E2%84%A2-3-0-compact-battery-pack")</f>
        <v>https://edmondsonsupply.com/collections/electricians-tools/products/milwaukee-48-11-2430-m12%E2%84%A2-redlithium%E2%84%A2-3-0-compact-battery-pack</v>
      </c>
      <c r="B4461"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4461" t="s">
        <v>5449</v>
      </c>
      <c r="D4461" t="s">
        <v>5450</v>
      </c>
      <c r="E4461" s="3" t="str">
        <f>HYPERLINK("https://www.amazon.com/Milwaukee-Electric-Tool-48-11-2430-Lithium/dp/B078W9W425/ref=sr_1_2?keywords=Milwaukee+48-11-2430+M12%E2%84%A2+REDLITHIUM%E2%84%A2+3.0+Compact+Battery+Pack&amp;qid=1695173950&amp;sr=8-2", "https://www.amazon.com/Milwaukee-Electric-Tool-48-11-2430-Lithium/dp/B078W9W425/ref=sr_1_2?keywords=Milwaukee+48-11-2430+M12%E2%84%A2+REDLITHIUM%E2%84%A2+3.0+Compact+Battery+Pack&amp;qid=1695173950&amp;sr=8-2")</f>
        <v>https://www.amazon.com/Milwaukee-Electric-Tool-48-11-2430-Lithium/dp/B078W9W425/ref=sr_1_2?keywords=Milwaukee+48-11-2430+M12%E2%84%A2+REDLITHIUM%E2%84%A2+3.0+Compact+Battery+Pack&amp;qid=1695173950&amp;sr=8-2</v>
      </c>
      <c r="F4461" t="s">
        <v>5451</v>
      </c>
      <c r="G4461" t="e">
        <f ca="1">_xludf.IMAGE("https://edmondsonsupply.com/cdn/shop/products/48-11-2430.png?v=1587142488")</f>
        <v>#NAME?</v>
      </c>
      <c r="H4461" t="e">
        <f ca="1">_xludf.IMAGE("https://m.media-amazon.com/images/I/61PrFqnmvKL._AC_UL320_.jpg")</f>
        <v>#NAME?</v>
      </c>
      <c r="I4461" t="s">
        <v>5452</v>
      </c>
      <c r="J4461">
        <v>46.49</v>
      </c>
      <c r="K4461" s="4">
        <v>-0.32619999999999999</v>
      </c>
      <c r="L4461">
        <v>4.5999999999999996</v>
      </c>
      <c r="M4461">
        <v>172</v>
      </c>
      <c r="O4461" t="s">
        <v>25</v>
      </c>
      <c r="P4461" t="s">
        <v>5453</v>
      </c>
      <c r="Q4461" t="s">
        <v>5454</v>
      </c>
    </row>
    <row r="4462" spans="1:17" ht="15.5" x14ac:dyDescent="0.35">
      <c r="A4462" s="3" t="str">
        <f>HYPERLINK("https://edmondsonsupply.com/collections/electricians-tools/products/klein-tools-29026-li-ion-battery", "https://edmondsonsupply.com/collections/electricians-tools/products/klein-tools-29026-li-ion-battery")</f>
        <v>https://edmondsonsupply.com/collections/electricians-tools/products/klein-tools-29026-li-ion-battery</v>
      </c>
      <c r="B4462" s="3" t="str">
        <f>HYPERLINK("https://edmondsonsupply.com/products/klein-tools-29026-li-ion-battery", "https://edmondsonsupply.com/products/klein-tools-29026-li-ion-battery")</f>
        <v>https://edmondsonsupply.com/products/klein-tools-29026-li-ion-battery</v>
      </c>
      <c r="C4462" t="s">
        <v>7839</v>
      </c>
      <c r="D4462" t="s">
        <v>1258</v>
      </c>
      <c r="E4462" s="3" t="str">
        <f>HYPERLINK("https://www.amazon.com/Klein-Tools-29025-Rechargeable-Lithium-ion/dp/B09H3MYQ95/ref=sr_1_2?keywords=Klein+Tools+29026+Li-Ion+Battery&amp;qid=1695174150&amp;sr=8-2", "https://www.amazon.com/Klein-Tools-29025-Rechargeable-Lithium-ion/dp/B09H3MYQ95/ref=sr_1_2?keywords=Klein+Tools+29026+Li-Ion+Battery&amp;qid=1695174150&amp;sr=8-2")</f>
        <v>https://www.amazon.com/Klein-Tools-29025-Rechargeable-Lithium-ion/dp/B09H3MYQ95/ref=sr_1_2?keywords=Klein+Tools+29026+Li-Ion+Battery&amp;qid=1695174150&amp;sr=8-2</v>
      </c>
      <c r="F4462" t="s">
        <v>1259</v>
      </c>
      <c r="G4462" t="e">
        <f ca="1">_xludf.IMAGE("https://edmondsonsupply.com/cdn/shop/products/29026.jpg?v=1664476716")</f>
        <v>#NAME?</v>
      </c>
      <c r="H4462" t="e">
        <f ca="1">_xludf.IMAGE("https://m.media-amazon.com/images/I/41+jmEnDWdL._AC_UL320_.jpg")</f>
        <v>#NAME?</v>
      </c>
      <c r="I4462" t="s">
        <v>4030</v>
      </c>
      <c r="J4462">
        <v>34.99</v>
      </c>
      <c r="K4462" s="4">
        <v>-0.32700000000000001</v>
      </c>
      <c r="L4462">
        <v>4</v>
      </c>
      <c r="M4462">
        <v>148</v>
      </c>
      <c r="O4462" t="s">
        <v>25</v>
      </c>
      <c r="P4462" t="s">
        <v>4349</v>
      </c>
      <c r="Q4462" t="s">
        <v>7842</v>
      </c>
    </row>
    <row r="4463" spans="1:17" ht="15.5" x14ac:dyDescent="0.35">
      <c r="A4463"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4463"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4463" t="s">
        <v>7545</v>
      </c>
      <c r="D4463" t="s">
        <v>8923</v>
      </c>
      <c r="E4463" s="3" t="str">
        <f>HYPERLINK("https://www.amazon.com/Klein-Tools-CL120VP-Electrical-Batteries/dp/B08N9G3913/ref=sr_1_5?keywords=Klein+Tools+CL320KIT+HVAC+Digital+Clamp+Meter+Electrical+Test+Kit&amp;qid=1695174178&amp;sr=8-5", "https://www.amazon.com/Klein-Tools-CL120VP-Electrical-Batteries/dp/B08N9G3913/ref=sr_1_5?keywords=Klein+Tools+CL320KIT+HVAC+Digital+Clamp+Meter+Electrical+Test+Kit&amp;qid=1695174178&amp;sr=8-5")</f>
        <v>https://www.amazon.com/Klein-Tools-CL120VP-Electrical-Batteries/dp/B08N9G3913/ref=sr_1_5?keywords=Klein+Tools+CL320KIT+HVAC+Digital+Clamp+Meter+Electrical+Test+Kit&amp;qid=1695174178&amp;sr=8-5</v>
      </c>
      <c r="F4463" t="s">
        <v>8924</v>
      </c>
      <c r="G4463" t="e">
        <f ca="1">_xludf.IMAGE("https://edmondsonsupply.com/cdn/shop/products/cl320kit_photo.jpg?v=1660753251")</f>
        <v>#NAME?</v>
      </c>
      <c r="H4463" t="e">
        <f ca="1">_xludf.IMAGE("https://m.media-amazon.com/images/I/71RCAKCp7CL._AC_UY218_.jpg")</f>
        <v>#NAME?</v>
      </c>
      <c r="I4463" t="s">
        <v>7548</v>
      </c>
      <c r="J4463">
        <v>79.98</v>
      </c>
      <c r="K4463" s="4">
        <v>-0.32779999999999998</v>
      </c>
      <c r="L4463">
        <v>4.8</v>
      </c>
      <c r="M4463">
        <v>2629</v>
      </c>
      <c r="O4463" t="s">
        <v>25</v>
      </c>
      <c r="P4463" t="s">
        <v>7549</v>
      </c>
      <c r="Q4463" t="s">
        <v>7550</v>
      </c>
    </row>
    <row r="4464" spans="1:17" ht="15.5" x14ac:dyDescent="0.35">
      <c r="A4464"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4464"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4464" t="s">
        <v>7545</v>
      </c>
      <c r="D4464" t="s">
        <v>6081</v>
      </c>
      <c r="E4464" s="3" t="str">
        <f>HYPERLINK("https://www.amazon.com/Auto-Ranging-Resistance-Klein-Tools-CL600/dp/B019QMRR08/ref=sr_1_7?keywords=Klein+Tools+CL320KIT+HVAC+Digital+Clamp+Meter+Electrical+Test+Kit&amp;qid=1695174178&amp;sr=8-7", "https://www.amazon.com/Auto-Ranging-Resistance-Klein-Tools-CL600/dp/B019QMRR08/ref=sr_1_7?keywords=Klein+Tools+CL320KIT+HVAC+Digital+Clamp+Meter+Electrical+Test+Kit&amp;qid=1695174178&amp;sr=8-7")</f>
        <v>https://www.amazon.com/Auto-Ranging-Resistance-Klein-Tools-CL600/dp/B019QMRR08/ref=sr_1_7?keywords=Klein+Tools+CL320KIT+HVAC+Digital+Clamp+Meter+Electrical+Test+Kit&amp;qid=1695174178&amp;sr=8-7</v>
      </c>
      <c r="F4464" t="s">
        <v>6082</v>
      </c>
      <c r="G4464" t="e">
        <f ca="1">_xludf.IMAGE("https://edmondsonsupply.com/cdn/shop/products/cl320kit_photo.jpg?v=1660753251")</f>
        <v>#NAME?</v>
      </c>
      <c r="H4464" t="e">
        <f ca="1">_xludf.IMAGE("https://m.media-amazon.com/images/I/710JKvq4MxL._AC_UY218_.jpg")</f>
        <v>#NAME?</v>
      </c>
      <c r="I4464" t="s">
        <v>7548</v>
      </c>
      <c r="J4464">
        <v>79.97</v>
      </c>
      <c r="K4464" s="4">
        <v>-0.32790000000000002</v>
      </c>
      <c r="L4464">
        <v>4.7</v>
      </c>
      <c r="M4464">
        <v>707</v>
      </c>
      <c r="O4464" t="s">
        <v>25</v>
      </c>
      <c r="P4464" t="s">
        <v>7549</v>
      </c>
      <c r="Q4464" t="s">
        <v>7550</v>
      </c>
    </row>
    <row r="4465" spans="1:17" ht="15.5" x14ac:dyDescent="0.35">
      <c r="A4465" s="3" t="str">
        <f>HYPERLINK("https://edmondsonsupply.com/collections/electricians-tools/products/crescent-lufkin-l1125b-02-1-3-16-x-25-shockforce-nite-eye%E2%84%A2-g1-dual-sided-tape-measure", "https://edmondsonsupply.com/collections/electricians-tools/products/crescent-lufkin-l1125b-02-1-3-16-x-25-shockforce-nite-eye%E2%84%A2-g1-dual-sided-tape-measure")</f>
        <v>https://edmondsonsupply.com/collections/electricians-tools/products/crescent-lufkin-l1125b-02-1-3-16-x-25-shockforce-nite-eye%E2%84%A2-g1-dual-sided-tape-measure</v>
      </c>
      <c r="B4465" s="3" t="str">
        <f>HYPERLINK("https://edmondsonsupply.com/products/crescent-lufkin-l1125b-02-1-3-16-x-25-shockforce-nite-eye%e2%84%a2-g1-dual-sided-tape-measure", "https://edmondsonsupply.com/products/crescent-lufkin-l1125b-02-1-3-16-x-25-shockforce-nite-eye%e2%84%a2-g1-dual-sided-tape-measure")</f>
        <v>https://edmondsonsupply.com/products/crescent-lufkin-l1125b-02-1-3-16-x-25-shockforce-nite-eye%e2%84%a2-g1-dual-sided-tape-measure</v>
      </c>
      <c r="C4465" t="s">
        <v>8372</v>
      </c>
      <c r="D4465" t="s">
        <v>8925</v>
      </c>
      <c r="E4465" s="3" t="str">
        <f>HYPERLINK("https://www.amazon.com/Crescent-Lufkin-Shockforce-Sided-Measure/dp/B09PGZ6FK2/ref=sr_1_1?keywords=Crescent+Lufkin+L1125B-02+1-3%2F16%22+x+25%27+Shockforce+Nite+Eye%E2%84%A2+G1+Dual+Sided+Tape+Measure&amp;qid=1695174047&amp;sr=8-1", "https://www.amazon.com/Crescent-Lufkin-Shockforce-Sided-Measure/dp/B09PGZ6FK2/ref=sr_1_1?keywords=Crescent+Lufkin+L1125B-02+1-3%2F16%22+x+25%27+Shockforce+Nite+Eye%E2%84%A2+G1+Dual+Sided+Tape+Measure&amp;qid=1695174047&amp;sr=8-1")</f>
        <v>https://www.amazon.com/Crescent-Lufkin-Shockforce-Sided-Measure/dp/B09PGZ6FK2/ref=sr_1_1?keywords=Crescent+Lufkin+L1125B-02+1-3%2F16%22+x+25%27+Shockforce+Nite+Eye%E2%84%A2+G1+Dual+Sided+Tape+Measure&amp;qid=1695174047&amp;sr=8-1</v>
      </c>
      <c r="F4465" t="s">
        <v>8926</v>
      </c>
      <c r="G4465" t="e">
        <f ca="1">_xludf.IMAGE("https://edmondsonsupply.com/cdn/shop/products/LFK_L1125B_MAIN.jpg?v=1679579190")</f>
        <v>#NAME?</v>
      </c>
      <c r="H4465" t="e">
        <f ca="1">_xludf.IMAGE("https://m.media-amazon.com/images/I/91b93u8vVJL._AC_UL320_.jpg")</f>
        <v>#NAME?</v>
      </c>
      <c r="I4465" t="s">
        <v>8373</v>
      </c>
      <c r="J4465">
        <v>21.98</v>
      </c>
      <c r="K4465" s="4">
        <v>-0.32890000000000003</v>
      </c>
      <c r="L4465">
        <v>4.2</v>
      </c>
      <c r="M4465">
        <v>331</v>
      </c>
      <c r="O4465" t="s">
        <v>25</v>
      </c>
      <c r="P4465" t="s">
        <v>8374</v>
      </c>
      <c r="Q4465" t="s">
        <v>8375</v>
      </c>
    </row>
    <row r="4466" spans="1:17" ht="15.5" x14ac:dyDescent="0.35">
      <c r="A4466"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4466"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4466" t="s">
        <v>7055</v>
      </c>
      <c r="D4466" t="s">
        <v>4941</v>
      </c>
      <c r="E4466" s="3" t="str">
        <f>HYPERLINK("https://www.amazon.com/Klein-Tools-K11095-Klein-Kurve-Stripper/dp/B08TQ83P2C/ref=sr_1_6?keywords=Klein+Tools+11055RINS+Insulated+Klein-Kurve%C2%AE+Wire+Stripper+and+Cutter&amp;qid=1695174134&amp;sr=8-6", "https://www.amazon.com/Klein-Tools-K11095-Klein-Kurve-Stripper/dp/B08TQ83P2C/ref=sr_1_6?keywords=Klein+Tools+11055RINS+Insulated+Klein-Kurve%C2%AE+Wire+Stripper+and+Cutter&amp;qid=1695174134&amp;sr=8-6")</f>
        <v>https://www.amazon.com/Klein-Tools-K11095-Klein-Kurve-Stripper/dp/B08TQ83P2C/ref=sr_1_6?keywords=Klein+Tools+11055RINS+Insulated+Klein-Kurve%C2%AE+Wire+Stripper+and+Cutter&amp;qid=1695174134&amp;sr=8-6</v>
      </c>
      <c r="F4466" t="s">
        <v>4942</v>
      </c>
      <c r="G4466" t="e">
        <f ca="1">_xludf.IMAGE("https://edmondsonsupply.com/cdn/shop/products/11055rins.jpg?v=1667236979")</f>
        <v>#NAME?</v>
      </c>
      <c r="H4466" t="e">
        <f ca="1">_xludf.IMAGE("https://m.media-amazon.com/images/I/5180XMjuiIL._AC_UL320_.jpg")</f>
        <v>#NAME?</v>
      </c>
      <c r="I4466" t="s">
        <v>824</v>
      </c>
      <c r="J4466">
        <v>20.07</v>
      </c>
      <c r="K4466" s="4">
        <v>-0.33029999999999998</v>
      </c>
      <c r="L4466">
        <v>4.8</v>
      </c>
      <c r="M4466">
        <v>439</v>
      </c>
      <c r="O4466" t="s">
        <v>25</v>
      </c>
      <c r="P4466" t="s">
        <v>562</v>
      </c>
      <c r="Q4466" t="s">
        <v>7056</v>
      </c>
    </row>
    <row r="4467" spans="1:17" ht="15.5" x14ac:dyDescent="0.35">
      <c r="A4467"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4467" s="3" t="str">
        <f>HYPERLINK("https://edmondsonsupply.com/products/klein-tools-32900-7-in-1-impact-flip-socket-with-handle", "https://edmondsonsupply.com/products/klein-tools-32900-7-in-1-impact-flip-socket-with-handle")</f>
        <v>https://edmondsonsupply.com/products/klein-tools-32900-7-in-1-impact-flip-socket-with-handle</v>
      </c>
      <c r="C4467" t="s">
        <v>6184</v>
      </c>
      <c r="D4467" t="s">
        <v>8927</v>
      </c>
      <c r="E4467" s="3" t="str">
        <f>HYPERLINK("https://www.amazon.com/Impact-Driver-Klein-Tools-32907/dp/B09NX72765/ref=sr_1_6?keywords=Klein+Tools+32900+7-in-1+Impact+Flip+Socket+with+Handle&amp;qid=1695174143&amp;sr=8-6", "https://www.amazon.com/Impact-Driver-Klein-Tools-32907/dp/B09NX72765/ref=sr_1_6?keywords=Klein+Tools+32900+7-in-1+Impact+Flip+Socket+with+Handle&amp;qid=1695174143&amp;sr=8-6")</f>
        <v>https://www.amazon.com/Impact-Driver-Klein-Tools-32907/dp/B09NX72765/ref=sr_1_6?keywords=Klein+Tools+32900+7-in-1+Impact+Flip+Socket+with+Handle&amp;qid=1695174143&amp;sr=8-6</v>
      </c>
      <c r="F4467" t="s">
        <v>8928</v>
      </c>
      <c r="G4467" t="e">
        <f ca="1">_xludf.IMAGE("https://edmondsonsupply.com/cdn/shop/products/32900_b.jpg?v=1666024787")</f>
        <v>#NAME?</v>
      </c>
      <c r="H4467" t="e">
        <f ca="1">_xludf.IMAGE("https://m.media-amazon.com/images/I/410Fk4FReRL._AC_UL320_.jpg")</f>
        <v>#NAME?</v>
      </c>
      <c r="I4467" t="s">
        <v>824</v>
      </c>
      <c r="J4467">
        <v>19.989999999999998</v>
      </c>
      <c r="K4467" s="4">
        <v>-0.33300000000000002</v>
      </c>
      <c r="L4467">
        <v>4.5999999999999996</v>
      </c>
      <c r="M4467">
        <v>5175</v>
      </c>
      <c r="O4467" t="s">
        <v>25</v>
      </c>
      <c r="P4467" t="s">
        <v>73</v>
      </c>
      <c r="Q4467" t="s">
        <v>6187</v>
      </c>
    </row>
    <row r="4468" spans="1:17" ht="15.5" x14ac:dyDescent="0.35">
      <c r="A4468"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4468" s="3" t="str">
        <f>HYPERLINK("https://edmondsonsupply.com/products/diablo-tools-dag3070-3-4-in-x-17-1-2-in-auger-bit", "https://edmondsonsupply.com/products/diablo-tools-dag3070-3-4-in-x-17-1-2-in-auger-bit")</f>
        <v>https://edmondsonsupply.com/products/diablo-tools-dag3070-3-4-in-x-17-1-2-in-auger-bit</v>
      </c>
      <c r="C4468" t="s">
        <v>7783</v>
      </c>
      <c r="D4468" t="s">
        <v>4870</v>
      </c>
      <c r="E4468" s="3" t="str">
        <f>HYPERLINK("https://www.amazon.com/Diablo-Freud-DAG1090-7-1-Auger/dp/B089KW4S6Y/ref=sr_1_2?keywords=Diablo+Tools+DAG3070+3%2F4+in.+x+17-1%2F2+in.+Auger+Bit&amp;qid=1695174104&amp;sr=8-2", "https://www.amazon.com/Diablo-Freud-DAG1090-7-1-Auger/dp/B089KW4S6Y/ref=sr_1_2?keywords=Diablo+Tools+DAG3070+3%2F4+in.+x+17-1%2F2+in.+Auger+Bit&amp;qid=1695174104&amp;sr=8-2")</f>
        <v>https://www.amazon.com/Diablo-Freud-DAG1090-7-1-Auger/dp/B089KW4S6Y/ref=sr_1_2?keywords=Diablo+Tools+DAG3070+3%2F4+in.+x+17-1%2F2+in.+Auger+Bit&amp;qid=1695174104&amp;sr=8-2</v>
      </c>
      <c r="F4468" t="s">
        <v>4871</v>
      </c>
      <c r="G4468" t="e">
        <f ca="1">_xludf.IMAGE("https://edmondsonsupply.com/cdn/shop/products/ljatbudptj8xmo1m7sg7.webp?v=1669994151")</f>
        <v>#NAME?</v>
      </c>
      <c r="H4468" t="e">
        <f ca="1">_xludf.IMAGE("https://m.media-amazon.com/images/I/61wiLPAG21L._AC_UL320_.jpg")</f>
        <v>#NAME?</v>
      </c>
      <c r="I4468" t="s">
        <v>3472</v>
      </c>
      <c r="J4468">
        <v>16</v>
      </c>
      <c r="K4468" s="4">
        <v>-0.33310000000000001</v>
      </c>
      <c r="L4468">
        <v>4.4000000000000004</v>
      </c>
      <c r="M4468">
        <v>35</v>
      </c>
      <c r="O4468" t="s">
        <v>25</v>
      </c>
      <c r="P4468" t="s">
        <v>7784</v>
      </c>
      <c r="Q4468" t="s">
        <v>7785</v>
      </c>
    </row>
    <row r="4469" spans="1:17" ht="15.5" x14ac:dyDescent="0.35">
      <c r="A4469" s="3" t="str">
        <f>HYPERLINK("https://edmondsonsupply.com/collections/electricians-tools/products/milwaukee-49-22-4175-hole-dozer%E2%84%A2-general-purpose-hole-saw-kit-15pc", "https://edmondsonsupply.com/collections/electricians-tools/products/milwaukee-49-22-4175-hole-dozer%E2%84%A2-general-purpose-hole-saw-kit-15pc")</f>
        <v>https://edmondsonsupply.com/collections/electricians-tools/products/milwaukee-49-22-4175-hole-dozer%E2%84%A2-general-purpose-hole-saw-kit-15pc</v>
      </c>
      <c r="B4469" s="3" t="str">
        <f>HYPERLINK("https://edmondsonsupply.com/products/milwaukee-49-22-4175-hole-dozer%e2%84%a2-general-purpose-hole-saw-kit-15pc", "https://edmondsonsupply.com/products/milwaukee-49-22-4175-hole-dozer%e2%84%a2-general-purpose-hole-saw-kit-15pc")</f>
        <v>https://edmondsonsupply.com/products/milwaukee-49-22-4175-hole-dozer%e2%84%a2-general-purpose-hole-saw-kit-15pc</v>
      </c>
      <c r="C4469" t="s">
        <v>8929</v>
      </c>
      <c r="D4469" t="s">
        <v>8930</v>
      </c>
      <c r="E4469" s="3" t="str">
        <f>HYPERLINK("https://www.amazon.com/Milwaukee-49-22-4175-General-Hardened-15-Piece/dp/B0017WOBL4/ref=sr_1_1?keywords=Milwaukee+49-22-4175+HOLE+DOZER%E2%84%A2+General-Purpose+Hole+Saw+Kit+-+15PC&amp;qid=1695174120&amp;sr=8-1", "https://www.amazon.com/Milwaukee-49-22-4175-General-Hardened-15-Piece/dp/B0017WOBL4/ref=sr_1_1?keywords=Milwaukee+49-22-4175+HOLE+DOZER%E2%84%A2+General-Purpose+Hole+Saw+Kit+-+15PC&amp;qid=1695174120&amp;sr=8-1")</f>
        <v>https://www.amazon.com/Milwaukee-49-22-4175-General-Hardened-15-Piece/dp/B0017WOBL4/ref=sr_1_1?keywords=Milwaukee+49-22-4175+HOLE+DOZER%E2%84%A2+General-Purpose+Hole+Saw+Kit+-+15PC&amp;qid=1695174120&amp;sr=8-1</v>
      </c>
      <c r="F4469" t="s">
        <v>8931</v>
      </c>
      <c r="G4469" t="e">
        <f ca="1">_xludf.IMAGE("https://edmondsonsupply.com/cdn/shop/products/49-22-4175_101.webp?v=1668783398")</f>
        <v>#NAME?</v>
      </c>
      <c r="H4469" t="e">
        <f ca="1">_xludf.IMAGE("https://m.media-amazon.com/images/I/811cndYKfBS._AC_UL320_.jpg")</f>
        <v>#NAME?</v>
      </c>
      <c r="I4469" t="s">
        <v>7293</v>
      </c>
      <c r="J4469">
        <v>99.99</v>
      </c>
      <c r="K4469" s="4">
        <v>-0.33329999999999999</v>
      </c>
      <c r="L4469">
        <v>4.5999999999999996</v>
      </c>
      <c r="M4469">
        <v>176</v>
      </c>
      <c r="O4469" t="s">
        <v>25</v>
      </c>
      <c r="P4469" t="s">
        <v>8932</v>
      </c>
      <c r="Q4469" t="s">
        <v>8933</v>
      </c>
    </row>
    <row r="4470" spans="1:17" ht="15.5" x14ac:dyDescent="0.35">
      <c r="A4470" s="3" t="str">
        <f>HYPERLINK("https://edmondsonsupply.com/collections/electricians-tools/products/klein-tools-93pll-rechargeable-self-leveling-green-planar-laser-level", "https://edmondsonsupply.com/collections/electricians-tools/products/klein-tools-93pll-rechargeable-self-leveling-green-planar-laser-level")</f>
        <v>https://edmondsonsupply.com/collections/electricians-tools/products/klein-tools-93pll-rechargeable-self-leveling-green-planar-laser-level</v>
      </c>
      <c r="B4470" s="3" t="str">
        <f>HYPERLINK("https://edmondsonsupply.com/products/klein-tools-93pll-rechargeable-self-leveling-green-planar-laser-level", "https://edmondsonsupply.com/products/klein-tools-93pll-rechargeable-self-leveling-green-planar-laser-level")</f>
        <v>https://edmondsonsupply.com/products/klein-tools-93pll-rechargeable-self-leveling-green-planar-laser-level</v>
      </c>
      <c r="C4470" t="s">
        <v>7611</v>
      </c>
      <c r="D4470" t="s">
        <v>7291</v>
      </c>
      <c r="E4470" s="3" t="str">
        <f>HYPERLINK("https://www.amazon.com/Klein-Tools-93LCLG-Cross-Line-Leveling/dp/B0866NY3NW/ref=sr_1_3?keywords=Klein+Tools+93PLL+Rechargeable+Self-Leveling+Green+Planar+Laser+Level&amp;qid=1695174147&amp;sr=8-3", "https://www.amazon.com/Klein-Tools-93LCLG-Cross-Line-Leveling/dp/B0866NY3NW/ref=sr_1_3?keywords=Klein+Tools+93PLL+Rechargeable+Self-Leveling+Green+Planar+Laser+Level&amp;qid=1695174147&amp;sr=8-3")</f>
        <v>https://www.amazon.com/Klein-Tools-93LCLG-Cross-Line-Leveling/dp/B0866NY3NW/ref=sr_1_3?keywords=Klein+Tools+93PLL+Rechargeable+Self-Leveling+Green+Planar+Laser+Level&amp;qid=1695174147&amp;sr=8-3</v>
      </c>
      <c r="F4470" t="s">
        <v>7292</v>
      </c>
      <c r="G4470" t="e">
        <f ca="1">_xludf.IMAGE("https://edmondsonsupply.com/cdn/shop/products/93pll_app8.jpg?v=1664476137")</f>
        <v>#NAME?</v>
      </c>
      <c r="H4470" t="e">
        <f ca="1">_xludf.IMAGE("https://m.media-amazon.com/images/I/51lR5gFHBUL._AC_UL320_.jpg")</f>
        <v>#NAME?</v>
      </c>
      <c r="I4470" t="s">
        <v>533</v>
      </c>
      <c r="J4470">
        <v>199.99</v>
      </c>
      <c r="K4470" s="4">
        <v>-0.33329999999999999</v>
      </c>
      <c r="L4470">
        <v>4.5999999999999996</v>
      </c>
      <c r="M4470">
        <v>786</v>
      </c>
      <c r="O4470" t="s">
        <v>25</v>
      </c>
      <c r="P4470" t="s">
        <v>7614</v>
      </c>
      <c r="Q4470" t="s">
        <v>7615</v>
      </c>
    </row>
    <row r="4471" spans="1:17" ht="15.5" x14ac:dyDescent="0.35">
      <c r="A4471" s="3" t="str">
        <f>HYPERLINK("https://edmondsonsupply.com/collections/electricians-tools/products/klein-tools-40212-journeyman-cold-weather-pro-gloves-large", "https://edmondsonsupply.com/collections/electricians-tools/products/klein-tools-40212-journeyman-cold-weather-pro-gloves-large")</f>
        <v>https://edmondsonsupply.com/collections/electricians-tools/products/klein-tools-40212-journeyman-cold-weather-pro-gloves-large</v>
      </c>
      <c r="B4471" s="3" t="str">
        <f>HYPERLINK("https://edmondsonsupply.com/products/klein-tools-40212-journeyman-cold-weather-pro-gloves-large", "https://edmondsonsupply.com/products/klein-tools-40212-journeyman-cold-weather-pro-gloves-large")</f>
        <v>https://edmondsonsupply.com/products/klein-tools-40212-journeyman-cold-weather-pro-gloves-large</v>
      </c>
      <c r="C4471" t="s">
        <v>1325</v>
      </c>
      <c r="D4471" t="s">
        <v>1325</v>
      </c>
      <c r="E4471" s="3" t="str">
        <f>HYPERLINK("https://www.amazon.com/Journeyman-Weather-Klein-Tools-40212/dp/B00KZL5BLW/ref=sr_1_1?keywords=Klein+Tools+40212+Journeyman+Cold+Weather+Pro+Gloves%2C+Large&amp;qid=1695174138&amp;sr=8-1", "https://www.amazon.com/Journeyman-Weather-Klein-Tools-40212/dp/B00KZL5BLW/ref=sr_1_1?keywords=Klein+Tools+40212+Journeyman+Cold+Weather+Pro+Gloves%2C+Large&amp;qid=1695174138&amp;sr=8-1")</f>
        <v>https://www.amazon.com/Journeyman-Weather-Klein-Tools-40212/dp/B00KZL5BLW/ref=sr_1_1?keywords=Klein+Tools+40212+Journeyman+Cold+Weather+Pro+Gloves%2C+Large&amp;qid=1695174138&amp;sr=8-1</v>
      </c>
      <c r="F4471" t="s">
        <v>1326</v>
      </c>
      <c r="G4471" t="e">
        <f ca="1">_xludf.IMAGE("https://edmondsonsupply.com/cdn/shop/products/40212.jpg?v=1665683791")</f>
        <v>#NAME?</v>
      </c>
      <c r="H4471" t="e">
        <f ca="1">_xludf.IMAGE("https://m.media-amazon.com/images/I/61UX4G3JNKL._AC_UL320_.jpg")</f>
        <v>#NAME?</v>
      </c>
      <c r="I4471" t="s">
        <v>26</v>
      </c>
      <c r="J4471">
        <v>19.989999999999998</v>
      </c>
      <c r="K4471" s="4">
        <v>-0.33339999999999997</v>
      </c>
      <c r="L4471">
        <v>4</v>
      </c>
      <c r="M4471">
        <v>66</v>
      </c>
      <c r="O4471" t="s">
        <v>25</v>
      </c>
      <c r="P4471" t="s">
        <v>1327</v>
      </c>
      <c r="Q4471" t="s">
        <v>1328</v>
      </c>
    </row>
    <row r="4472" spans="1:17" ht="15.5" x14ac:dyDescent="0.35">
      <c r="A4472"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4472" s="3" t="str">
        <f>HYPERLINK("https://edmondsonsupply.com/products/klein-tools-69190-magnetic-hanger", "https://edmondsonsupply.com/products/klein-tools-69190-magnetic-hanger")</f>
        <v>https://edmondsonsupply.com/products/klein-tools-69190-magnetic-hanger</v>
      </c>
      <c r="C4472" t="s">
        <v>7906</v>
      </c>
      <c r="D4472" t="s">
        <v>4526</v>
      </c>
      <c r="E4472" s="3" t="str">
        <f>HYPERLINK("https://www.amazon.com/Magnetic-Hanger-Klein-Tools-69417/dp/B01B7RBXZ0/ref=sr_1_3?keywords=Klein+Tools+69190+Magnetic+Hanger&amp;qid=1695174256&amp;sr=8-3", "https://www.amazon.com/Magnetic-Hanger-Klein-Tools-69417/dp/B01B7RBXZ0/ref=sr_1_3?keywords=Klein+Tools+69190+Magnetic+Hanger&amp;qid=1695174256&amp;sr=8-3")</f>
        <v>https://www.amazon.com/Magnetic-Hanger-Klein-Tools-69417/dp/B01B7RBXZ0/ref=sr_1_3?keywords=Klein+Tools+69190+Magnetic+Hanger&amp;qid=1695174256&amp;sr=8-3</v>
      </c>
      <c r="F4472" t="s">
        <v>4527</v>
      </c>
      <c r="G4472" t="e">
        <f ca="1">_xludf.IMAGE("https://edmondsonsupply.com/cdn/shop/products/69190.jpg?v=1633031095")</f>
        <v>#NAME?</v>
      </c>
      <c r="H4472" t="e">
        <f ca="1">_xludf.IMAGE("https://m.media-amazon.com/images/I/51yfJbP4XCL._AC_UL320_.jpg")</f>
        <v>#NAME?</v>
      </c>
      <c r="I4472" t="s">
        <v>3185</v>
      </c>
      <c r="J4472">
        <v>13.99</v>
      </c>
      <c r="K4472" s="4">
        <v>-0.33350000000000002</v>
      </c>
      <c r="L4472">
        <v>4.8</v>
      </c>
      <c r="M4472">
        <v>3757</v>
      </c>
      <c r="O4472" t="s">
        <v>25</v>
      </c>
      <c r="P4472" t="s">
        <v>7909</v>
      </c>
      <c r="Q4472" t="s">
        <v>7910</v>
      </c>
    </row>
    <row r="4473" spans="1:17" ht="15.5" x14ac:dyDescent="0.35">
      <c r="A4473"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4473"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4473" t="s">
        <v>4105</v>
      </c>
      <c r="D4473" t="s">
        <v>5457</v>
      </c>
      <c r="E4473" s="3" t="str">
        <f>HYPERLINK("https://www.amazon.com/Diagonal-Ironworker-Klein-Tools-D248-9ST/dp/B0009ZAT1G/ref=sr_1_4?keywords=Klein+Tools+D20009NEGLW+High-Visibility+Side-Cutting+Pliers+High-Leverage&amp;qid=1695173949&amp;sr=8-4", "https://www.amazon.com/Diagonal-Ironworker-Klein-Tools-D248-9ST/dp/B0009ZAT1G/ref=sr_1_4?keywords=Klein+Tools+D20009NEGLW+High-Visibility+Side-Cutting+Pliers+High-Leverage&amp;qid=1695173949&amp;sr=8-4")</f>
        <v>https://www.amazon.com/Diagonal-Ironworker-Klein-Tools-D248-9ST/dp/B0009ZAT1G/ref=sr_1_4?keywords=Klein+Tools+D20009NEGLW+High-Visibility+Side-Cutting+Pliers+High-Leverage&amp;qid=1695173949&amp;sr=8-4</v>
      </c>
      <c r="F4473" t="s">
        <v>5458</v>
      </c>
      <c r="G4473" t="e">
        <f ca="1">_xludf.IMAGE("https://edmondsonsupply.com/cdn/shop/products/d20009neglw.jpg?v=1587144933")</f>
        <v>#NAME?</v>
      </c>
      <c r="H4473" t="e">
        <f ca="1">_xludf.IMAGE("https://m.media-amazon.com/images/I/41QcUzpmIlL._AC_UL320_.jpg")</f>
        <v>#NAME?</v>
      </c>
      <c r="I4473" t="s">
        <v>4108</v>
      </c>
      <c r="J4473">
        <v>29.97</v>
      </c>
      <c r="K4473" s="4">
        <v>-0.33360000000000001</v>
      </c>
      <c r="L4473">
        <v>4.8</v>
      </c>
      <c r="M4473">
        <v>5530</v>
      </c>
      <c r="O4473" t="s">
        <v>25</v>
      </c>
      <c r="P4473" t="s">
        <v>4109</v>
      </c>
      <c r="Q4473" t="s">
        <v>4110</v>
      </c>
    </row>
    <row r="4474" spans="1:17" ht="15.5" x14ac:dyDescent="0.35">
      <c r="A4474"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4474"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4474" t="s">
        <v>6076</v>
      </c>
      <c r="D4474" t="s">
        <v>7866</v>
      </c>
      <c r="E4474" s="3" t="str">
        <f>HYPERLINK("https://www.amazon.com/Klein-Tools-6824INS-Screwdriver-Cushion-Grip/dp/B0BF78XBPX/ref=sr_1_3?keywords=Klein+Tools+6926INS+Slim-Tip+1000V+Insulated+Screwdriver%2C+1%2F4-Inch+Cabinet%2C+6-Inch&amp;qid=1695174185&amp;sr=8-3", "https://www.amazon.com/Klein-Tools-6824INS-Screwdriver-Cushion-Grip/dp/B0BF78XBPX/ref=sr_1_3?keywords=Klein+Tools+6926INS+Slim-Tip+1000V+Insulated+Screwdriver%2C+1%2F4-Inch+Cabinet%2C+6-Inch&amp;qid=1695174185&amp;sr=8-3")</f>
        <v>https://www.amazon.com/Klein-Tools-6824INS-Screwdriver-Cushion-Grip/dp/B0BF78XBPX/ref=sr_1_3?keywords=Klein+Tools+6926INS+Slim-Tip+1000V+Insulated+Screwdriver%2C+1%2F4-Inch+Cabinet%2C+6-Inch&amp;qid=1695174185&amp;sr=8-3</v>
      </c>
      <c r="F4474" t="s">
        <v>7867</v>
      </c>
      <c r="G4474" t="e">
        <f ca="1">_xludf.IMAGE("https://edmondsonsupply.com/cdn/shop/products/6926ins.jpg?v=1664803626")</f>
        <v>#NAME?</v>
      </c>
      <c r="H4474" t="e">
        <f ca="1">_xludf.IMAGE("https://m.media-amazon.com/images/I/410Gu3snLdL._AC_UL320_.jpg")</f>
        <v>#NAME?</v>
      </c>
      <c r="I4474" t="s">
        <v>276</v>
      </c>
      <c r="J4474">
        <v>9.99</v>
      </c>
      <c r="K4474" s="4">
        <v>-0.33360000000000001</v>
      </c>
      <c r="L4474">
        <v>4.9000000000000004</v>
      </c>
      <c r="M4474">
        <v>205</v>
      </c>
      <c r="O4474" t="s">
        <v>25</v>
      </c>
      <c r="P4474" t="s">
        <v>277</v>
      </c>
      <c r="Q4474" t="s">
        <v>6079</v>
      </c>
    </row>
    <row r="4475" spans="1:17" ht="15.5" x14ac:dyDescent="0.35">
      <c r="A4475"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475" s="3" t="str">
        <f>HYPERLINK("https://edmondsonsupply.com/products/klein-tools-635-1-4-1-4-inch-nut-driver-magnetic-tip-4-inch-shaft", "https://edmondsonsupply.com/products/klein-tools-635-1-4-1-4-inch-nut-driver-magnetic-tip-4-inch-shaft")</f>
        <v>https://edmondsonsupply.com/products/klein-tools-635-1-4-1-4-inch-nut-driver-magnetic-tip-4-inch-shaft</v>
      </c>
      <c r="C4475" t="s">
        <v>6817</v>
      </c>
      <c r="D4475" t="s">
        <v>4637</v>
      </c>
      <c r="E4475" s="3" t="str">
        <f>HYPERLINK("https://www.amazon.com/4-Inch-Comfordome-Klein-Tools-S86/dp/B00093GCWS/ref=sr_1_8?keywords=Klein+Tools+635-1%2F4+1%2F4-Inch+Nut+Driver%2C+Magnetic+Tip%2C+4-Inch+Shaft&amp;qid=1695174156&amp;sr=8-8", "https://www.amazon.com/4-Inch-Comfordome-Klein-Tools-S86/dp/B00093GCWS/ref=sr_1_8?keywords=Klein+Tools+635-1%2F4+1%2F4-Inch+Nut+Driver%2C+Magnetic+Tip%2C+4-Inch+Shaft&amp;qid=1695174156&amp;sr=8-8")</f>
        <v>https://www.amazon.com/4-Inch-Comfordome-Klein-Tools-S86/dp/B00093GCWS/ref=sr_1_8?keywords=Klein+Tools+635-1%2F4+1%2F4-Inch+Nut+Driver%2C+Magnetic+Tip%2C+4-Inch+Shaft&amp;qid=1695174156&amp;sr=8-8</v>
      </c>
      <c r="F4475" t="s">
        <v>4638</v>
      </c>
      <c r="G4475" t="e">
        <f ca="1">_xludf.IMAGE("https://edmondsonsupply.com/cdn/shop/products/635-1-4.jpg?v=1666811523")</f>
        <v>#NAME?</v>
      </c>
      <c r="H4475" t="e">
        <f ca="1">_xludf.IMAGE("https://m.media-amazon.com/images/I/41UucnuSAmL._AC_UL320_.jpg")</f>
        <v>#NAME?</v>
      </c>
      <c r="I4475" t="s">
        <v>2337</v>
      </c>
      <c r="J4475">
        <v>7.99</v>
      </c>
      <c r="K4475" s="4">
        <v>-0.33360000000000001</v>
      </c>
      <c r="L4475">
        <v>4.5</v>
      </c>
      <c r="M4475">
        <v>151</v>
      </c>
      <c r="O4475" t="s">
        <v>25</v>
      </c>
      <c r="P4475" t="s">
        <v>1212</v>
      </c>
      <c r="Q4475" t="s">
        <v>6818</v>
      </c>
    </row>
    <row r="4476" spans="1:17" ht="15.5" x14ac:dyDescent="0.35">
      <c r="A4476"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4476"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4476" t="s">
        <v>8022</v>
      </c>
      <c r="D4476" t="s">
        <v>8812</v>
      </c>
      <c r="E4476" s="3" t="str">
        <f>HYPERLINK("https://www.amazon.com/Klein-Tools-Precision-Screwdriver-Tamperproof/dp/B09SVP9NDQ/ref=sr_1_7?keywords=Klein+Tools+32510+Magnetic+Screwdriver+with+32+Tamperproof+Bits&amp;qid=1695174211&amp;sr=8-7", "https://www.amazon.com/Klein-Tools-Precision-Screwdriver-Tamperproof/dp/B09SVP9NDQ/ref=sr_1_7?keywords=Klein+Tools+32510+Magnetic+Screwdriver+with+32+Tamperproof+Bits&amp;qid=1695174211&amp;sr=8-7")</f>
        <v>https://www.amazon.com/Klein-Tools-Precision-Screwdriver-Tamperproof/dp/B09SVP9NDQ/ref=sr_1_7?keywords=Klein+Tools+32510+Magnetic+Screwdriver+with+32+Tamperproof+Bits&amp;qid=1695174211&amp;sr=8-7</v>
      </c>
      <c r="F4476" t="s">
        <v>8813</v>
      </c>
      <c r="G4476" t="e">
        <f ca="1">_xludf.IMAGE("https://edmondsonsupply.com/cdn/shop/products/32510_alt2.jpg?v=1653267434")</f>
        <v>#NAME?</v>
      </c>
      <c r="H4476" t="e">
        <f ca="1">_xludf.IMAGE("https://m.media-amazon.com/images/I/41eUHzyQqQL._AC_UL320_.jpg")</f>
        <v>#NAME?</v>
      </c>
      <c r="I4476" t="s">
        <v>824</v>
      </c>
      <c r="J4476">
        <v>19.97</v>
      </c>
      <c r="K4476" s="4">
        <v>-0.3337</v>
      </c>
      <c r="L4476">
        <v>4.7</v>
      </c>
      <c r="M4476">
        <v>764</v>
      </c>
      <c r="O4476" t="s">
        <v>25</v>
      </c>
      <c r="P4476" t="s">
        <v>8025</v>
      </c>
      <c r="Q4476" t="s">
        <v>8026</v>
      </c>
    </row>
    <row r="4477" spans="1:17" ht="15.5" x14ac:dyDescent="0.35">
      <c r="A4477" s="3" t="str">
        <f>HYPERLINK("https://edmondsonsupply.com/collections/electricians-tools/products/klein-tools-sk234-screwdriver-set-slotted-screw-holding-3-piece", "https://edmondsonsupply.com/collections/electricians-tools/products/klein-tools-sk234-screwdriver-set-slotted-screw-holding-3-piece")</f>
        <v>https://edmondsonsupply.com/collections/electricians-tools/products/klein-tools-sk234-screwdriver-set-slotted-screw-holding-3-piece</v>
      </c>
      <c r="B4477" s="3" t="str">
        <f>HYPERLINK("https://edmondsonsupply.com/products/klein-tools-sk234-screwdriver-set-slotted-screw-holding-3-piece", "https://edmondsonsupply.com/products/klein-tools-sk234-screwdriver-set-slotted-screw-holding-3-piece")</f>
        <v>https://edmondsonsupply.com/products/klein-tools-sk234-screwdriver-set-slotted-screw-holding-3-piece</v>
      </c>
      <c r="C4477" t="s">
        <v>5276</v>
      </c>
      <c r="D4477" t="s">
        <v>5091</v>
      </c>
      <c r="E4477" s="3" t="str">
        <f>HYPERLINK("https://www.amazon.com/Klein-Tools-85073INS-Insulated-Screwdriver/dp/B0BF79WQZX/ref=sr_1_9?keywords=Klein+Tools+SK234+Screwdriver+Set%2C+Slotted+Screw+Holding%2C+3-Piece&amp;qid=1695173862&amp;sr=8-9", "https://www.amazon.com/Klein-Tools-85073INS-Insulated-Screwdriver/dp/B0BF79WQZX/ref=sr_1_9?keywords=Klein+Tools+SK234+Screwdriver+Set%2C+Slotted+Screw+Holding%2C+3-Piece&amp;qid=1695173862&amp;sr=8-9")</f>
        <v>https://www.amazon.com/Klein-Tools-85073INS-Insulated-Screwdriver/dp/B0BF79WQZX/ref=sr_1_9?keywords=Klein+Tools+SK234+Screwdriver+Set%2C+Slotted+Screw+Holding%2C+3-Piece&amp;qid=1695173862&amp;sr=8-9</v>
      </c>
      <c r="F4477" t="s">
        <v>5092</v>
      </c>
      <c r="G4477" t="e">
        <f ca="1">_xludf.IMAGE("https://edmondsonsupply.com/cdn/shop/products/sk234.jpg?v=1587144984")</f>
        <v>#NAME?</v>
      </c>
      <c r="H4477" t="e">
        <f ca="1">_xludf.IMAGE("https://m.media-amazon.com/images/I/51dL7msUIqL._AC_UL320_.jpg")</f>
        <v>#NAME?</v>
      </c>
      <c r="I4477" t="s">
        <v>824</v>
      </c>
      <c r="J4477">
        <v>19.97</v>
      </c>
      <c r="K4477" s="4">
        <v>-0.3337</v>
      </c>
      <c r="L4477">
        <v>4.9000000000000004</v>
      </c>
      <c r="M4477">
        <v>205</v>
      </c>
      <c r="O4477" t="s">
        <v>171</v>
      </c>
      <c r="P4477" t="s">
        <v>5277</v>
      </c>
      <c r="Q4477" t="s">
        <v>5278</v>
      </c>
    </row>
    <row r="4478" spans="1:17" ht="15.5" x14ac:dyDescent="0.35">
      <c r="A4478"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4478"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4478" t="s">
        <v>6963</v>
      </c>
      <c r="D4478" t="s">
        <v>6208</v>
      </c>
      <c r="E4478" s="3" t="str">
        <f>HYPERLINK("https://www.amazon.com/Aluminum-Benchmark-Technology-Klein-Tools/dp/B08L41DC9N/ref=sr_1_3?keywords=Klein+Tools+51603+Iron+Conduit+Bender+Full+Assembly%2C+1%2F2-Inch+EMT+with+Angle+Setter%E2%84%A2&amp;qid=1695173919&amp;sr=8-3", "https://www.amazon.com/Aluminum-Benchmark-Technology-Klein-Tools/dp/B08L41DC9N/ref=sr_1_3?keywords=Klein+Tools+51603+Iron+Conduit+Bender+Full+Assembly%2C+1%2F2-Inch+EMT+with+Angle+Setter%E2%84%A2&amp;qid=1695173919&amp;sr=8-3")</f>
        <v>https://www.amazon.com/Aluminum-Benchmark-Technology-Klein-Tools/dp/B08L41DC9N/ref=sr_1_3?keywords=Klein+Tools+51603+Iron+Conduit+Bender+Full+Assembly%2C+1%2F2-Inch+EMT+with+Angle+Setter%E2%84%A2&amp;qid=1695173919&amp;sr=8-3</v>
      </c>
      <c r="F4478" t="s">
        <v>6209</v>
      </c>
      <c r="G4478" t="e">
        <f ca="1">_xludf.IMAGE("https://edmondsonsupply.com/cdn/shop/products/51604.jpg?v=1663940749")</f>
        <v>#NAME?</v>
      </c>
      <c r="H4478" t="e">
        <f ca="1">_xludf.IMAGE("https://m.media-amazon.com/images/I/41JBDxEE8NL._AC_UL320_.jpg")</f>
        <v>#NAME?</v>
      </c>
      <c r="I4478" t="s">
        <v>905</v>
      </c>
      <c r="J4478">
        <v>39.97</v>
      </c>
      <c r="K4478" s="4">
        <v>-0.3337</v>
      </c>
      <c r="L4478">
        <v>4.8</v>
      </c>
      <c r="M4478">
        <v>258</v>
      </c>
      <c r="O4478" t="s">
        <v>25</v>
      </c>
      <c r="P4478" t="s">
        <v>6964</v>
      </c>
      <c r="Q4478" t="s">
        <v>6965</v>
      </c>
    </row>
    <row r="4479" spans="1:17" ht="15.5" x14ac:dyDescent="0.35">
      <c r="A4479"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4479"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4479" t="s">
        <v>7089</v>
      </c>
      <c r="D4479" t="s">
        <v>3573</v>
      </c>
      <c r="E4479" s="3" t="str">
        <f>HYPERLINK("https://www.amazon.com/Channellock-440-12-Inch-Tongue-Groove/dp/B00004SBCU/ref=sr_1_2?keywords=Channellock+440X+12-Inch+SPEEDGRIP%E2%84%A2+Straight+Jaw+Tongue+%26+Groove+Pliers&amp;qid=1695174216&amp;sr=8-2", "https://www.amazon.com/Channellock-440-12-Inch-Tongue-Groove/dp/B00004SBCU/ref=sr_1_2?keywords=Channellock+440X+12-Inch+SPEEDGRIP%E2%84%A2+Straight+Jaw+Tongue+%26+Groove+Pliers&amp;qid=1695174216&amp;sr=8-2")</f>
        <v>https://www.amazon.com/Channellock-440-12-Inch-Tongue-Groove/dp/B00004SBCU/ref=sr_1_2?keywords=Channellock+440X+12-Inch+SPEEDGRIP%E2%84%A2+Straight+Jaw+Tongue+%26+Groove+Pliers&amp;qid=1695174216&amp;sr=8-2</v>
      </c>
      <c r="F4479" t="s">
        <v>3574</v>
      </c>
      <c r="G4479" t="e">
        <f ca="1">_xludf.IMAGE("https://edmondsonsupply.com/cdn/shop/products/440X.jpg?v=1647104734")</f>
        <v>#NAME?</v>
      </c>
      <c r="H4479" t="e">
        <f ca="1">_xludf.IMAGE("https://m.media-amazon.com/images/I/71FM1bkavsL._AC_UL320_.jpg")</f>
        <v>#NAME?</v>
      </c>
      <c r="I4479" t="s">
        <v>122</v>
      </c>
      <c r="J4479">
        <v>21.95</v>
      </c>
      <c r="K4479" s="4">
        <v>-0.33379999999999999</v>
      </c>
      <c r="L4479">
        <v>4.8</v>
      </c>
      <c r="M4479">
        <v>3565</v>
      </c>
      <c r="O4479" t="s">
        <v>25</v>
      </c>
      <c r="P4479" t="s">
        <v>7092</v>
      </c>
      <c r="Q4479" t="s">
        <v>7093</v>
      </c>
    </row>
    <row r="4480" spans="1:17" ht="15.5" x14ac:dyDescent="0.35">
      <c r="A4480"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4480"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4480" t="s">
        <v>6889</v>
      </c>
      <c r="D4480" t="s">
        <v>5678</v>
      </c>
      <c r="E4480" s="3" t="str">
        <f>HYPERLINK("https://www.amazon.com/Journeyman-T-Handle-Klein-Tools-JTH6M4/dp/B005G394YO/ref=sr_1_3?keywords=Klein+Tools+JTH4E13+1%2F4-Inch+Hex+Key%2C+Journeyman%E2%84%A2+T-Handle%2C+4-Inch&amp;qid=1695174202&amp;sr=8-3", "https://www.amazon.com/Journeyman-T-Handle-Klein-Tools-JTH6M4/dp/B005G394YO/ref=sr_1_3?keywords=Klein+Tools+JTH4E13+1%2F4-Inch+Hex+Key%2C+Journeyman%E2%84%A2+T-Handle%2C+4-Inch&amp;qid=1695174202&amp;sr=8-3")</f>
        <v>https://www.amazon.com/Journeyman-T-Handle-Klein-Tools-JTH6M4/dp/B005G394YO/ref=sr_1_3?keywords=Klein+Tools+JTH4E13+1%2F4-Inch+Hex+Key%2C+Journeyman%E2%84%A2+T-Handle%2C+4-Inch&amp;qid=1695174202&amp;sr=8-3</v>
      </c>
      <c r="F4480" t="s">
        <v>5679</v>
      </c>
      <c r="G4480" t="e">
        <f ca="1">_xludf.IMAGE("https://edmondsonsupply.com/cdn/shop/products/jth4e13.jpg?v=1660919816")</f>
        <v>#NAME?</v>
      </c>
      <c r="H4480" t="e">
        <f ca="1">_xludf.IMAGE("https://m.media-amazon.com/images/I/51+1x0vz9XL._AC_UL320_.jpg")</f>
        <v>#NAME?</v>
      </c>
      <c r="I4480" t="s">
        <v>2639</v>
      </c>
      <c r="J4480">
        <v>3.99</v>
      </c>
      <c r="K4480" s="4">
        <v>-0.33389999999999997</v>
      </c>
      <c r="L4480">
        <v>4.8</v>
      </c>
      <c r="M4480">
        <v>1532</v>
      </c>
      <c r="O4480" t="s">
        <v>25</v>
      </c>
      <c r="P4480" t="s">
        <v>6890</v>
      </c>
      <c r="Q4480" t="s">
        <v>6891</v>
      </c>
    </row>
    <row r="4481" spans="1:17" ht="15.5" x14ac:dyDescent="0.35">
      <c r="A4481"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4481"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4481" t="s">
        <v>6755</v>
      </c>
      <c r="D4481" t="s">
        <v>7065</v>
      </c>
      <c r="E4481" s="3" t="str">
        <f>HYPERLINK("https://www.amazon.com/Klein-Tools-6924INS-Insulated-Screwdriver/dp/B088NRM4CC/ref=sr_1_3?keywords=Klein+Tools+602-4-INS+1%2F4-Inch+Cabinet+Tip+Insulated+Screwdriver%2C+4-Inch&amp;qid=1695174266&amp;sr=8-3", "https://www.amazon.com/Klein-Tools-6924INS-Insulated-Screwdriver/dp/B088NRM4CC/ref=sr_1_3?keywords=Klein+Tools+602-4-INS+1%2F4-Inch+Cabinet+Tip+Insulated+Screwdriver%2C+4-Inch&amp;qid=1695174266&amp;sr=8-3")</f>
        <v>https://www.amazon.com/Klein-Tools-6924INS-Insulated-Screwdriver/dp/B088NRM4CC/ref=sr_1_3?keywords=Klein+Tools+602-4-INS+1%2F4-Inch+Cabinet+Tip+Insulated+Screwdriver%2C+4-Inch&amp;qid=1695174266&amp;sr=8-3</v>
      </c>
      <c r="F4481" t="s">
        <v>7066</v>
      </c>
      <c r="G4481" t="e">
        <f ca="1">_xludf.IMAGE("https://edmondsonsupply.com/cdn/shop/products/602-4-ins-photo.jpg?v=1633031051")</f>
        <v>#NAME?</v>
      </c>
      <c r="H4481" t="e">
        <f ca="1">_xludf.IMAGE("https://m.media-amazon.com/images/I/419wtU12P3L._AC_UL320_.jpg")</f>
        <v>#NAME?</v>
      </c>
      <c r="I4481" t="s">
        <v>3185</v>
      </c>
      <c r="J4481">
        <v>13.97</v>
      </c>
      <c r="K4481" s="4">
        <v>-0.33439999999999998</v>
      </c>
      <c r="L4481">
        <v>4.8</v>
      </c>
      <c r="M4481">
        <v>1361</v>
      </c>
      <c r="O4481" t="s">
        <v>25</v>
      </c>
      <c r="P4481" t="s">
        <v>6758</v>
      </c>
      <c r="Q4481" t="s">
        <v>6759</v>
      </c>
    </row>
    <row r="4482" spans="1:17" ht="15.5" x14ac:dyDescent="0.35">
      <c r="A4482" s="3" t="str">
        <f>HYPERLINK("https://edmondsonsupply.com/collections/electricians-tools/products/diablo-tools-dou125bw", "https://edmondsonsupply.com/collections/electricians-tools/products/diablo-tools-dou125bw")</f>
        <v>https://edmondsonsupply.com/collections/electricians-tools/products/diablo-tools-dou125bw</v>
      </c>
      <c r="B4482" s="3" t="str">
        <f>HYPERLINK("https://edmondsonsupply.com/products/diablo-tools-dou125bw", "https://edmondsonsupply.com/products/diablo-tools-dou125bw")</f>
        <v>https://edmondsonsupply.com/products/diablo-tools-dou125bw</v>
      </c>
      <c r="C4482" t="s">
        <v>6906</v>
      </c>
      <c r="D4482" t="s">
        <v>8827</v>
      </c>
      <c r="E4482" s="3" t="str">
        <f>HYPERLINK("https://www.amazon.com/Diablo-Freud-DOU125BF-Universal-Oscillating/dp/B089KV143Y/ref=sr_1_7?keywords=Diablo+Tools+DOU125BW+1-1%2F4+in.+Universal+Fit+Bi-Metal+Oscillating+Blade+for+Nail-Embedded+Wood&amp;qid=1695174264&amp;sr=8-7", "https://www.amazon.com/Diablo-Freud-DOU125BF-Universal-Oscillating/dp/B089KV143Y/ref=sr_1_7?keywords=Diablo+Tools+DOU125BW+1-1%2F4+in.+Universal+Fit+Bi-Metal+Oscillating+Blade+for+Nail-Embedded+Wood&amp;qid=1695174264&amp;sr=8-7")</f>
        <v>https://www.amazon.com/Diablo-Freud-DOU125BF-Universal-Oscillating/dp/B089KV143Y/ref=sr_1_7?keywords=Diablo+Tools+DOU125BW+1-1%2F4+in.+Universal+Fit+Bi-Metal+Oscillating+Blade+for+Nail-Embedded+Wood&amp;qid=1695174264&amp;sr=8-7</v>
      </c>
      <c r="F4482" t="s">
        <v>8828</v>
      </c>
      <c r="G4482" t="e">
        <f ca="1">_xludf.IMAGE("https://edmondsonsupply.com/cdn/shop/products/gnn0wpqc8veb3qhldcrb.webp?v=1676040020")</f>
        <v>#NAME?</v>
      </c>
      <c r="H4482" t="e">
        <f ca="1">_xludf.IMAGE("https://m.media-amazon.com/images/I/61mZfXlj-XL._AC_UL320_.jpg")</f>
        <v>#NAME?</v>
      </c>
      <c r="I4482" t="s">
        <v>2586</v>
      </c>
      <c r="J4482">
        <v>11.95</v>
      </c>
      <c r="K4482" s="4">
        <v>-0.33500000000000002</v>
      </c>
      <c r="L4482">
        <v>3.7</v>
      </c>
      <c r="M4482">
        <v>8</v>
      </c>
      <c r="O4482" t="s">
        <v>25</v>
      </c>
      <c r="P4482" t="s">
        <v>2152</v>
      </c>
      <c r="Q4482" t="s">
        <v>6909</v>
      </c>
    </row>
    <row r="4483" spans="1:17" ht="15.5" x14ac:dyDescent="0.35">
      <c r="A4483"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4483"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4483" t="s">
        <v>8170</v>
      </c>
      <c r="D4483" t="s">
        <v>8934</v>
      </c>
      <c r="E4483" s="3" t="str">
        <f>HYPERLINK("https://www.amazon.com/Diagonal-Cutting-Klein-Tools-D238-8/dp/B0002RI9OA/ref=sr_1_5?keywords=Klein+Tools+2288RINS+Diagonal+Cutting+Pliers%2C+Insulated%2C+High+Leverage%2C+8-Inch&amp;qid=1695174127&amp;sr=8-5", "https://www.amazon.com/Diagonal-Cutting-Klein-Tools-D238-8/dp/B0002RI9OA/ref=sr_1_5?keywords=Klein+Tools+2288RINS+Diagonal+Cutting+Pliers%2C+Insulated%2C+High+Leverage%2C+8-Inch&amp;qid=1695174127&amp;sr=8-5")</f>
        <v>https://www.amazon.com/Diagonal-Cutting-Klein-Tools-D238-8/dp/B0002RI9OA/ref=sr_1_5?keywords=Klein+Tools+2288RINS+Diagonal+Cutting+Pliers%2C+Insulated%2C+High+Leverage%2C+8-Inch&amp;qid=1695174127&amp;sr=8-5</v>
      </c>
      <c r="F4483" t="s">
        <v>8935</v>
      </c>
      <c r="G4483" t="e">
        <f ca="1">_xludf.IMAGE("https://edmondsonsupply.com/cdn/shop/products/2288rins.jpg?v=1667238570")</f>
        <v>#NAME?</v>
      </c>
      <c r="H4483" t="e">
        <f ca="1">_xludf.IMAGE("https://m.media-amazon.com/images/I/41lZuBa-TSL._AC_UL320_.jpg")</f>
        <v>#NAME?</v>
      </c>
      <c r="I4483" t="s">
        <v>246</v>
      </c>
      <c r="J4483">
        <v>26.51</v>
      </c>
      <c r="K4483" s="4">
        <v>-0.33679999999999999</v>
      </c>
      <c r="L4483">
        <v>4.8</v>
      </c>
      <c r="M4483">
        <v>2417</v>
      </c>
      <c r="O4483" t="s">
        <v>25</v>
      </c>
      <c r="P4483" t="s">
        <v>1027</v>
      </c>
      <c r="Q4483" t="s">
        <v>8171</v>
      </c>
    </row>
    <row r="4484" spans="1:17" ht="15.5" x14ac:dyDescent="0.35">
      <c r="A4484"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4484"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4484" t="s">
        <v>1566</v>
      </c>
      <c r="D4484" t="s">
        <v>5459</v>
      </c>
      <c r="E4484" s="3" t="str">
        <f>HYPERLINK("https://www.amazon.com/Klein-Tools-NCVT3PKIT-Electrical-Non-Contact/dp/B08SY9XFJK/ref=sr_1_6?keywords=Klein+Tools+NCVT-2PKIT+Dual+Range+Non-Contact+Voltage+Tester+with+Receptacle+Tester&amp;qid=1695173953&amp;sr=8-6", "https://www.amazon.com/Klein-Tools-NCVT3PKIT-Electrical-Non-Contact/dp/B08SY9XFJK/ref=sr_1_6?keywords=Klein+Tools+NCVT-2PKIT+Dual+Range+Non-Contact+Voltage+Tester+with+Receptacle+Tester&amp;qid=1695173953&amp;sr=8-6")</f>
        <v>https://www.amazon.com/Klein-Tools-NCVT3PKIT-Electrical-Non-Contact/dp/B08SY9XFJK/ref=sr_1_6?keywords=Klein+Tools+NCVT-2PKIT+Dual+Range+Non-Contact+Voltage+Tester+with+Receptacle+Tester&amp;qid=1695173953&amp;sr=8-6</v>
      </c>
      <c r="F4484" t="s">
        <v>5460</v>
      </c>
      <c r="G4484" t="e">
        <f ca="1">_xludf.IMAGE("https://edmondsonsupply.com/cdn/shop/products/ncvt2pkit.jpg?v=1633030827")</f>
        <v>#NAME?</v>
      </c>
      <c r="H4484" t="e">
        <f ca="1">_xludf.IMAGE("https://m.media-amazon.com/images/I/519yG6StX0L._AC_UL320_.jpg")</f>
        <v>#NAME?</v>
      </c>
      <c r="I4484" t="s">
        <v>26</v>
      </c>
      <c r="J4484">
        <v>19.88</v>
      </c>
      <c r="K4484" s="4">
        <v>-0.33710000000000001</v>
      </c>
      <c r="L4484">
        <v>4.7</v>
      </c>
      <c r="M4484">
        <v>4231</v>
      </c>
      <c r="O4484" t="s">
        <v>25</v>
      </c>
      <c r="P4484" t="s">
        <v>1569</v>
      </c>
      <c r="Q4484" t="s">
        <v>1570</v>
      </c>
    </row>
    <row r="4485" spans="1:17" ht="15.5" x14ac:dyDescent="0.35">
      <c r="A4485"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4485"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4485" t="s">
        <v>8412</v>
      </c>
      <c r="D4485" t="s">
        <v>8936</v>
      </c>
      <c r="E4485" s="3" t="str">
        <f>HYPERLINK("https://www.amazon.com/TAJIMA-Tape-Measure-GS-Lock-Measuring/dp/B08J4HYBXZ/ref=sr_1_3?keywords=Tajima+GS-25%2F7.5MBW+GS+Lock%E2%84%A2+Standard+%26+Metric+Scale%2C+25+ft%2F+7.5+m+x+1-1%2F16+in.%2F27mm+Steel+Blade+Tape+Measure&amp;qid=1695174191&amp;sr=8-3", "https://www.amazon.com/TAJIMA-Tape-Measure-GS-Lock-Measuring/dp/B08J4HYBXZ/ref=sr_1_3?keywords=Tajima+GS-25%2F7.5MBW+GS+Lock%E2%84%A2+Standard+%26+Metric+Scale%2C+25+ft%2F+7.5+m+x+1-1%2F16+in.%2F27mm+Steel+Blade+Tape+Measure&amp;qid=1695174191&amp;sr=8-3")</f>
        <v>https://www.amazon.com/TAJIMA-Tape-Measure-GS-Lock-Measuring/dp/B08J4HYBXZ/ref=sr_1_3?keywords=Tajima+GS-25%2F7.5MBW+GS+Lock%E2%84%A2+Standard+%26+Metric+Scale%2C+25+ft%2F+7.5+m+x+1-1%2F16+in.%2F27mm+Steel+Blade+Tape+Measure&amp;qid=1695174191&amp;sr=8-3</v>
      </c>
      <c r="F4485" t="s">
        <v>8937</v>
      </c>
      <c r="G4485" t="e">
        <f ca="1">_xludf.IMAGE("https://edmondsonsupply.com/cdn/shop/products/GS25-7.5MBW.jpg?v=1655830265")</f>
        <v>#NAME?</v>
      </c>
      <c r="H4485" t="e">
        <f ca="1">_xludf.IMAGE("https://m.media-amazon.com/images/I/51mF266MFFL._AC_UL320_.jpg")</f>
        <v>#NAME?</v>
      </c>
      <c r="I4485" t="s">
        <v>7638</v>
      </c>
      <c r="J4485">
        <v>27.92</v>
      </c>
      <c r="K4485" s="4">
        <v>-0.3382</v>
      </c>
      <c r="L4485">
        <v>4.5</v>
      </c>
      <c r="M4485">
        <v>136</v>
      </c>
      <c r="O4485" t="s">
        <v>25</v>
      </c>
      <c r="P4485" t="s">
        <v>138</v>
      </c>
      <c r="Q4485" t="s">
        <v>8413</v>
      </c>
    </row>
    <row r="4486" spans="1:17" ht="15.5" x14ac:dyDescent="0.35">
      <c r="A4486" s="3" t="str">
        <f>HYPERLINK("https://edmondsonsupply.com/collections/electricians-tools/products/klein-tools-63050-eins-electricians-cable-cutter-insulated-high-leverage", "https://edmondsonsupply.com/collections/electricians-tools/products/klein-tools-63050-eins-electricians-cable-cutter-insulated-high-leverage")</f>
        <v>https://edmondsonsupply.com/collections/electricians-tools/products/klein-tools-63050-eins-electricians-cable-cutter-insulated-high-leverage</v>
      </c>
      <c r="B4486" s="3" t="str">
        <f>HYPERLINK("https://edmondsonsupply.com/products/klein-tools-63050-eins-electricians-cable-cutter-insulated-high-leverage", "https://edmondsonsupply.com/products/klein-tools-63050-eins-electricians-cable-cutter-insulated-high-leverage")</f>
        <v>https://edmondsonsupply.com/products/klein-tools-63050-eins-electricians-cable-cutter-insulated-high-leverage</v>
      </c>
      <c r="C4486" t="s">
        <v>8938</v>
      </c>
      <c r="D4486" t="s">
        <v>8939</v>
      </c>
      <c r="E4486" s="3" t="str">
        <f>HYPERLINK("https://www.amazon.com/Klein-Tools-63050-EINS-Electricians-Insulated/dp/B00JGG5U04/ref=sr_1_1?keywords=Klein+Tools+63050-EINS+Electricians+Cable+Cutter%2C+Insulated%2C+High-Leverage&amp;qid=1695174299&amp;sr=8-1", "https://www.amazon.com/Klein-Tools-63050-EINS-Electricians-Insulated/dp/B00JGG5U04/ref=sr_1_1?keywords=Klein+Tools+63050-EINS+Electricians+Cable+Cutter%2C+Insulated%2C+High-Leverage&amp;qid=1695174299&amp;sr=8-1")</f>
        <v>https://www.amazon.com/Klein-Tools-63050-EINS-Electricians-Insulated/dp/B00JGG5U04/ref=sr_1_1?keywords=Klein+Tools+63050-EINS+Electricians+Cable+Cutter%2C+Insulated%2C+High-Leverage&amp;qid=1695174299&amp;sr=8-1</v>
      </c>
      <c r="F4486" t="s">
        <v>8940</v>
      </c>
      <c r="G4486" t="e">
        <f ca="1">_xludf.IMAGE("https://edmondsonsupply.com/cdn/shop/products/63050eins.jpg?v=1633030869")</f>
        <v>#NAME?</v>
      </c>
      <c r="H4486" t="e">
        <f ca="1">_xludf.IMAGE("https://m.media-amazon.com/images/I/51gCq30GmQL._AC_UL320_.jpg")</f>
        <v>#NAME?</v>
      </c>
      <c r="I4486" t="s">
        <v>7918</v>
      </c>
      <c r="J4486">
        <v>43</v>
      </c>
      <c r="K4486" s="4">
        <v>-0.33839999999999998</v>
      </c>
      <c r="L4486">
        <v>4.7</v>
      </c>
      <c r="M4486">
        <v>177</v>
      </c>
      <c r="O4486" t="s">
        <v>25</v>
      </c>
      <c r="P4486" t="s">
        <v>8941</v>
      </c>
      <c r="Q4486" t="s">
        <v>8942</v>
      </c>
    </row>
    <row r="4487" spans="1:17" ht="15.5" x14ac:dyDescent="0.35">
      <c r="A4487"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4487"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4487" t="s">
        <v>6587</v>
      </c>
      <c r="D4487" t="s">
        <v>7063</v>
      </c>
      <c r="E4487" s="3" t="str">
        <f>HYPERLINK("https://www.amazon.com/Non-Contact-Detector-Klein-Tools-NCVT1P/dp/B099SJ6469/ref=sr_1_7?keywords=Klein+Tools+NCVT-2P+Dual+Range+Non-Contact+Voltage+Tester+12+-+1000V+AC&amp;qid=1695174301&amp;sr=8-7", "https://www.amazon.com/Non-Contact-Detector-Klein-Tools-NCVT1P/dp/B099SJ6469/ref=sr_1_7?keywords=Klein+Tools+NCVT-2P+Dual+Range+Non-Contact+Voltage+Tester+12+-+1000V+AC&amp;qid=1695174301&amp;sr=8-7")</f>
        <v>https://www.amazon.com/Non-Contact-Detector-Klein-Tools-NCVT1P/dp/B099SJ6469/ref=sr_1_7?keywords=Klein+Tools+NCVT-2P+Dual+Range+Non-Contact+Voltage+Tester+12+-+1000V+AC&amp;qid=1695174301&amp;sr=8-7</v>
      </c>
      <c r="F4487" t="s">
        <v>7064</v>
      </c>
      <c r="G4487" t="e">
        <f ca="1">_xludf.IMAGE("https://edmondsonsupply.com/cdn/shop/products/ncvt2p.jpg?v=1633030824")</f>
        <v>#NAME?</v>
      </c>
      <c r="H4487" t="e">
        <f ca="1">_xludf.IMAGE("https://m.media-amazon.com/images/I/412nrsDmOxL._AC_UL320_.jpg")</f>
        <v>#NAME?</v>
      </c>
      <c r="I4487" t="s">
        <v>6588</v>
      </c>
      <c r="J4487">
        <v>18.5</v>
      </c>
      <c r="K4487" s="4">
        <v>-0.33860000000000001</v>
      </c>
      <c r="L4487">
        <v>4.5999999999999996</v>
      </c>
      <c r="M4487">
        <v>3435</v>
      </c>
      <c r="O4487" t="s">
        <v>25</v>
      </c>
      <c r="P4487" t="s">
        <v>6589</v>
      </c>
      <c r="Q4487" t="s">
        <v>6590</v>
      </c>
    </row>
    <row r="4488" spans="1:17" ht="15.5" x14ac:dyDescent="0.35">
      <c r="A4488" s="3" t="str">
        <f>HYPERLINK("https://edmondsonsupply.com/collections/electricians-tools/products/crescent-tools-cx6dbs2-2-pc-x6%E2%84%A2-4-in-1-black-oxide-spline-ratcheting-sae-wrench-set", "https://edmondsonsupply.com/collections/electricians-tools/products/crescent-tools-cx6dbs2-2-pc-x6%E2%84%A2-4-in-1-black-oxide-spline-ratcheting-sae-wrench-set")</f>
        <v>https://edmondsonsupply.com/collections/electricians-tools/products/crescent-tools-cx6dbs2-2-pc-x6%E2%84%A2-4-in-1-black-oxide-spline-ratcheting-sae-wrench-set</v>
      </c>
      <c r="B4488" s="3" t="str">
        <f>HYPERLINK("https://edmondsonsupply.com/products/crescent-tools-cx6dbs2-2-pc-x6%e2%84%a2-4-in-1-black-oxide-spline-ratcheting-sae-wrench-set", "https://edmondsonsupply.com/products/crescent-tools-cx6dbs2-2-pc-x6%e2%84%a2-4-in-1-black-oxide-spline-ratcheting-sae-wrench-set")</f>
        <v>https://edmondsonsupply.com/products/crescent-tools-cx6dbs2-2-pc-x6%e2%84%a2-4-in-1-black-oxide-spline-ratcheting-sae-wrench-set</v>
      </c>
      <c r="C4488" t="s">
        <v>6806</v>
      </c>
      <c r="D4488" t="s">
        <v>8943</v>
      </c>
      <c r="E4488" s="3" t="str">
        <f>HYPERLINK("https://www.amazon.com/Crescent-CX6DBM2-Double-Ratcheting-2-Piece/dp/B00BRKTB8E/ref=sr_1_4?keywords=Crescent+Tools+CX6DBS2+2+Pc.+X6%E2%84%A2+4-in-1+Black+Oxide+Spline+Ratcheting+SAE+Wrench+Set&amp;qid=1695174022&amp;sr=8-4", "https://www.amazon.com/Crescent-CX6DBM2-Double-Ratcheting-2-Piece/dp/B00BRKTB8E/ref=sr_1_4?keywords=Crescent+Tools+CX6DBS2+2+Pc.+X6%E2%84%A2+4-in-1+Black+Oxide+Spline+Ratcheting+SAE+Wrench+Set&amp;qid=1695174022&amp;sr=8-4")</f>
        <v>https://www.amazon.com/Crescent-CX6DBM2-Double-Ratcheting-2-Piece/dp/B00BRKTB8E/ref=sr_1_4?keywords=Crescent+Tools+CX6DBS2+2+Pc.+X6%E2%84%A2+4-in-1+Black+Oxide+Spline+Ratcheting+SAE+Wrench+Set&amp;qid=1695174022&amp;sr=8-4</v>
      </c>
      <c r="F4488" t="s">
        <v>8944</v>
      </c>
      <c r="G4488" t="e">
        <f ca="1">_xludf.IMAGE("https://edmondsonsupply.com/cdn/shop/products/CRS_CX6DBS2_FRNT_MAIN.jpg?v=1681319485")</f>
        <v>#NAME?</v>
      </c>
      <c r="H4488" t="e">
        <f ca="1">_xludf.IMAGE("https://m.media-amazon.com/images/I/61PIBR-x8DL._AC_UL320_.jpg")</f>
        <v>#NAME?</v>
      </c>
      <c r="I4488" t="s">
        <v>6809</v>
      </c>
      <c r="J4488">
        <v>22.47</v>
      </c>
      <c r="K4488" s="4">
        <v>-0.3387</v>
      </c>
      <c r="L4488">
        <v>4.5</v>
      </c>
      <c r="M4488">
        <v>973</v>
      </c>
      <c r="O4488" t="s">
        <v>25</v>
      </c>
      <c r="P4488" t="s">
        <v>6810</v>
      </c>
      <c r="Q4488" t="s">
        <v>6811</v>
      </c>
    </row>
    <row r="4489" spans="1:17" ht="15.5" x14ac:dyDescent="0.35">
      <c r="A4489"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4489"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4489" t="s">
        <v>3118</v>
      </c>
      <c r="D4489" t="s">
        <v>2386</v>
      </c>
      <c r="E4489" s="3" t="str">
        <f>HYPERLINK("https://www.amazon.com/Journeyman-T-Handle-Klein-Tools-JTH6E13BE/dp/B004QW52YW/ref=sr_1_9?keywords=Klein+Tools+JTH4E17+1%2F2-Inch+Hex+Key%2C+Journeyman+T-Handle%2C+4-Inch&amp;qid=1695173921&amp;sr=8-9", "https://www.amazon.com/Journeyman-T-Handle-Klein-Tools-JTH6E13BE/dp/B004QW52YW/ref=sr_1_9?keywords=Klein+Tools+JTH4E17+1%2F2-Inch+Hex+Key%2C+Journeyman+T-Handle%2C+4-Inch&amp;qid=1695173921&amp;sr=8-9")</f>
        <v>https://www.amazon.com/Journeyman-T-Handle-Klein-Tools-JTH6E13BE/dp/B004QW52YW/ref=sr_1_9?keywords=Klein+Tools+JTH4E17+1%2F2-Inch+Hex+Key%2C+Journeyman+T-Handle%2C+4-Inch&amp;qid=1695173921&amp;sr=8-9</v>
      </c>
      <c r="F4489" t="s">
        <v>2387</v>
      </c>
      <c r="G4489" t="e">
        <f ca="1">_xludf.IMAGE("https://edmondsonsupply.com/cdn/shop/products/jth4e17_583549be-7b42-43c7-9c3d-a92f2416ede5.jpg?v=1610655610")</f>
        <v>#NAME?</v>
      </c>
      <c r="H4489" t="e">
        <f ca="1">_xludf.IMAGE("https://m.media-amazon.com/images/I/51f9vBFVXgL._AC_UL320_.jpg")</f>
        <v>#NAME?</v>
      </c>
      <c r="I4489" t="s">
        <v>252</v>
      </c>
      <c r="J4489">
        <v>10.55</v>
      </c>
      <c r="K4489" s="4">
        <v>-0.3402</v>
      </c>
      <c r="L4489">
        <v>4.7</v>
      </c>
      <c r="M4489">
        <v>32</v>
      </c>
      <c r="O4489" t="s">
        <v>25</v>
      </c>
      <c r="P4489" t="s">
        <v>3121</v>
      </c>
      <c r="Q4489" t="s">
        <v>3122</v>
      </c>
    </row>
    <row r="4490" spans="1:17" ht="15.5" x14ac:dyDescent="0.35">
      <c r="A4490"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4490"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4490" t="s">
        <v>6940</v>
      </c>
      <c r="D4490" t="s">
        <v>8767</v>
      </c>
      <c r="E4490" s="3" t="str">
        <f>HYPERLINK("https://www.amazon.com/Diablo-Freud-DOU125JBW-Universal-Oscillating/dp/B089KV62LL/ref=sr_1_5?keywords=Diablo+Tools+DOU125BF+1-1%2F4+in.+Universal+Fit+Bi-Metal+Oscillating+Blade+for+Metal&amp;qid=1695174025&amp;sr=8-5", "https://www.amazon.com/Diablo-Freud-DOU125JBW-Universal-Oscillating/dp/B089KV62LL/ref=sr_1_5?keywords=Diablo+Tools+DOU125BF+1-1%2F4+in.+Universal+Fit+Bi-Metal+Oscillating+Blade+for+Metal&amp;qid=1695174025&amp;sr=8-5")</f>
        <v>https://www.amazon.com/Diablo-Freud-DOU125JBW-Universal-Oscillating/dp/B089KV62LL/ref=sr_1_5?keywords=Diablo+Tools+DOU125BF+1-1%2F4+in.+Universal+Fit+Bi-Metal+Oscillating+Blade+for+Metal&amp;qid=1695174025&amp;sr=8-5</v>
      </c>
      <c r="F4490" t="s">
        <v>8768</v>
      </c>
      <c r="G4490" t="e">
        <f ca="1">_xludf.IMAGE("https://edmondsonsupply.com/cdn/shop/files/k1d1qiwmm4npznsdbwtg.webp?v=1685467858")</f>
        <v>#NAME?</v>
      </c>
      <c r="H4490" t="e">
        <f ca="1">_xludf.IMAGE("https://m.media-amazon.com/images/I/61wFHtmEH5L._AC_UL320_.jpg")</f>
        <v>#NAME?</v>
      </c>
      <c r="I4490" t="s">
        <v>6164</v>
      </c>
      <c r="J4490">
        <v>12.49</v>
      </c>
      <c r="K4490" s="4">
        <v>-0.34160000000000001</v>
      </c>
      <c r="L4490">
        <v>4.8</v>
      </c>
      <c r="M4490">
        <v>12</v>
      </c>
      <c r="O4490" t="s">
        <v>25</v>
      </c>
      <c r="P4490" t="s">
        <v>6943</v>
      </c>
      <c r="Q4490" t="s">
        <v>6944</v>
      </c>
    </row>
    <row r="4491" spans="1:17" ht="15.5" x14ac:dyDescent="0.35">
      <c r="A4491" s="3" t="str">
        <f>HYPERLINK("https://edmondsonsupply.com/collections/electricians-tools/products/klein-tools-jth67t-7-piece-6-torx%C2%AE-journeyman-t-handle-set-with-stand", "https://edmondsonsupply.com/collections/electricians-tools/products/klein-tools-jth67t-7-piece-6-torx%C2%AE-journeyman-t-handle-set-with-stand")</f>
        <v>https://edmondsonsupply.com/collections/electricians-tools/products/klein-tools-jth67t-7-piece-6-torx%C2%AE-journeyman-t-handle-set-with-stand</v>
      </c>
      <c r="B4491" s="3" t="str">
        <f>HYPERLINK("https://edmondsonsupply.com/products/klein-tools-jth67t-7-piece-6-torx%c2%ae-journeyman-t-handle-set-with-stand", "https://edmondsonsupply.com/products/klein-tools-jth67t-7-piece-6-torx%c2%ae-journeyman-t-handle-set-with-stand")</f>
        <v>https://edmondsonsupply.com/products/klein-tools-jth67t-7-piece-6-torx%c2%ae-journeyman-t-handle-set-with-stand</v>
      </c>
      <c r="C4491" t="s">
        <v>5463</v>
      </c>
      <c r="D4491" t="s">
        <v>5464</v>
      </c>
      <c r="E4491" s="3" t="str">
        <f>HYPERLINK("https://www.amazon.com/T-Handle-7-Piece-Klein-Tools-JTH67T/dp/B004DAE9G4/ref=sr_1_1?keywords=Klein+Tools+JTH67T+Hex+Key+Set%2C+TORX+T-Handle%2C+6-Inch+with+Stand%2C+7-Piece&amp;qid=1695173892&amp;sr=8-1", "https://www.amazon.com/T-Handle-7-Piece-Klein-Tools-JTH67T/dp/B004DAE9G4/ref=sr_1_1?keywords=Klein+Tools+JTH67T+Hex+Key+Set%2C+TORX+T-Handle%2C+6-Inch+with+Stand%2C+7-Piece&amp;qid=1695173892&amp;sr=8-1")</f>
        <v>https://www.amazon.com/T-Handle-7-Piece-Klein-Tools-JTH67T/dp/B004DAE9G4/ref=sr_1_1?keywords=Klein+Tools+JTH67T+Hex+Key+Set%2C+TORX+T-Handle%2C+6-Inch+with+Stand%2C+7-Piece&amp;qid=1695173892&amp;sr=8-1</v>
      </c>
      <c r="F4491" t="s">
        <v>5465</v>
      </c>
      <c r="G4491" t="e">
        <f ca="1">_xludf.IMAGE("https://edmondsonsupply.com/cdn/shop/products/jth67t.jpg?v=1587144835")</f>
        <v>#NAME?</v>
      </c>
      <c r="H4491" t="e">
        <f ca="1">_xludf.IMAGE("https://m.media-amazon.com/images/I/51Z1eDaRYTL._AC_UL320_.jpg")</f>
        <v>#NAME?</v>
      </c>
      <c r="I4491" t="s">
        <v>5466</v>
      </c>
      <c r="J4491">
        <v>49.99</v>
      </c>
      <c r="K4491" s="4">
        <v>-0.3448</v>
      </c>
      <c r="L4491">
        <v>4.8</v>
      </c>
      <c r="M4491">
        <v>356</v>
      </c>
      <c r="O4491" t="s">
        <v>171</v>
      </c>
      <c r="P4491" t="s">
        <v>5466</v>
      </c>
      <c r="Q4491" t="s">
        <v>5467</v>
      </c>
    </row>
    <row r="4492" spans="1:17" ht="15.5" x14ac:dyDescent="0.35">
      <c r="A4492"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4492" s="3" t="str">
        <f>HYPERLINK("https://edmondsonsupply.com/products/veto-pro-pac-tech-pac-backpack-tool-bag-1", "https://edmondsonsupply.com/products/veto-pro-pac-tech-pac-backpack-tool-bag-1")</f>
        <v>https://edmondsonsupply.com/products/veto-pro-pac-tech-pac-backpack-tool-bag-1</v>
      </c>
      <c r="C4492" t="s">
        <v>8235</v>
      </c>
      <c r="D4492" t="s">
        <v>501</v>
      </c>
      <c r="E4492" s="3" t="str">
        <f>HYPERLINK("https://www.amazon.com/VETO-PRO-PAC-TECH-MCT-Tool/dp/B01CENNFYS/ref=sr_1_3?keywords=Veto+Pro+Pac+TECH+PAC+LT+Laptop+Backpack+Tool+Bag&amp;qid=1695174263&amp;sr=8-3", "https://www.amazon.com/VETO-PRO-PAC-TECH-MCT-Tool/dp/B01CENNFYS/ref=sr_1_3?keywords=Veto+Pro+Pac+TECH+PAC+LT+Laptop+Backpack+Tool+Bag&amp;qid=1695174263&amp;sr=8-3")</f>
        <v>https://www.amazon.com/VETO-PRO-PAC-TECH-MCT-Tool/dp/B01CENNFYS/ref=sr_1_3?keywords=Veto+Pro+Pac+TECH+PAC+LT+Laptop+Backpack+Tool+Bag&amp;qid=1695174263&amp;sr=8-3</v>
      </c>
      <c r="F4492" t="s">
        <v>502</v>
      </c>
      <c r="G4492" t="e">
        <f ca="1">_xludf.IMAGE("https://edmondsonsupply.com/cdn/shop/products/LT_1.jpg?v=1587146035")</f>
        <v>#NAME?</v>
      </c>
      <c r="H4492" t="e">
        <f ca="1">_xludf.IMAGE("https://m.media-amazon.com/images/I/61GanfvVX6L._AC_UL320_.jpg")</f>
        <v>#NAME?</v>
      </c>
      <c r="I4492" t="s">
        <v>8236</v>
      </c>
      <c r="J4492">
        <v>189.95</v>
      </c>
      <c r="K4492" s="4">
        <v>-0.34499999999999997</v>
      </c>
      <c r="L4492">
        <v>4.8</v>
      </c>
      <c r="M4492">
        <v>2083</v>
      </c>
      <c r="O4492" t="s">
        <v>25</v>
      </c>
      <c r="P4492" t="s">
        <v>138</v>
      </c>
      <c r="Q4492" t="s">
        <v>8237</v>
      </c>
    </row>
    <row r="4493" spans="1:17" ht="15.5" x14ac:dyDescent="0.35">
      <c r="A4493" s="3" t="str">
        <f>HYPERLINK("https://edmondsonsupply.com/collections/electricians-tools/products/diablo-tools-dag", "https://edmondsonsupply.com/collections/electricians-tools/products/diablo-tools-dag")</f>
        <v>https://edmondsonsupply.com/collections/electricians-tools/products/diablo-tools-dag</v>
      </c>
      <c r="B4493" s="3" t="str">
        <f>HYPERLINK("https://edmondsonsupply.com/products/diablo-tools-dag", "https://edmondsonsupply.com/products/diablo-tools-dag")</f>
        <v>https://edmondsonsupply.com/products/diablo-tools-dag</v>
      </c>
      <c r="C4493" t="s">
        <v>6819</v>
      </c>
      <c r="D4493" t="s">
        <v>8945</v>
      </c>
      <c r="E4493" s="3" t="str">
        <f>HYPERLINK("https://www.amazon.com/Diablo-DAG2010-13-Auger-Bit/dp/B089KW8RBS/ref=sr_1_3?keywords=Diablo+Tools+DAG3010+3%2F8+in.+x+17-1%2F2+in.+Auger+Bit&amp;qid=1695174114&amp;sr=8-3", "https://www.amazon.com/Diablo-DAG2010-13-Auger-Bit/dp/B089KW8RBS/ref=sr_1_3?keywords=Diablo+Tools+DAG3010+3%2F8+in.+x+17-1%2F2+in.+Auger+Bit&amp;qid=1695174114&amp;sr=8-3")</f>
        <v>https://www.amazon.com/Diablo-DAG2010-13-Auger-Bit/dp/B089KW8RBS/ref=sr_1_3?keywords=Diablo+Tools+DAG3010+3%2F8+in.+x+17-1%2F2+in.+Auger+Bit&amp;qid=1695174114&amp;sr=8-3</v>
      </c>
      <c r="F4493" t="s">
        <v>8946</v>
      </c>
      <c r="G4493" t="e">
        <f ca="1">_xludf.IMAGE("https://edmondsonsupply.com/cdn/shop/products/xfctdbahz5wx3g461fm8.webp?v=1669991052")</f>
        <v>#NAME?</v>
      </c>
      <c r="H4493" t="e">
        <f ca="1">_xludf.IMAGE("https://m.media-amazon.com/images/I/61XYK47f4zL._AC_UL320_.jpg")</f>
        <v>#NAME?</v>
      </c>
      <c r="I4493" t="s">
        <v>5147</v>
      </c>
      <c r="J4493">
        <v>11.44</v>
      </c>
      <c r="K4493" s="4">
        <v>-0.34520000000000001</v>
      </c>
      <c r="L4493">
        <v>3.7</v>
      </c>
      <c r="M4493">
        <v>4</v>
      </c>
      <c r="O4493" t="s">
        <v>25</v>
      </c>
      <c r="P4493" t="s">
        <v>6822</v>
      </c>
      <c r="Q4493" t="s">
        <v>6823</v>
      </c>
    </row>
    <row r="4494" spans="1:17" ht="15.5" x14ac:dyDescent="0.35">
      <c r="A4494"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4494"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4494" t="s">
        <v>7206</v>
      </c>
      <c r="D4494" t="s">
        <v>8947</v>
      </c>
      <c r="E4494" s="3" t="str">
        <f>HYPERLINK("https://www.amazon.com/Milwaukee-Mid-Torque-Impact-Wrench-Friction/dp/B09CKBBZQ5/ref=sr_1_5?keywords=Milwaukee+2960-22+M18+FUEL%E2%84%A2+3%2F8+%22+Mid-Torque+Impact+Wrench+w%2F+Friction+Ring+Kit&amp;qid=1695174167&amp;sr=8-5", "https://www.amazon.com/Milwaukee-Mid-Torque-Impact-Wrench-Friction/dp/B09CKBBZQ5/ref=sr_1_5?keywords=Milwaukee+2960-22+M18+FUEL%E2%84%A2+3%2F8+%22+Mid-Torque+Impact+Wrench+w%2F+Friction+Ring+Kit&amp;qid=1695174167&amp;sr=8-5")</f>
        <v>https://www.amazon.com/Milwaukee-Mid-Torque-Impact-Wrench-Friction/dp/B09CKBBZQ5/ref=sr_1_5?keywords=Milwaukee+2960-22+M18+FUEL%E2%84%A2+3%2F8+%22+Mid-Torque+Impact+Wrench+w%2F+Friction+Ring+Kit&amp;qid=1695174167&amp;sr=8-5</v>
      </c>
      <c r="F4494" t="s">
        <v>8948</v>
      </c>
      <c r="G4494" t="e">
        <f ca="1">_xludf.IMAGE("https://edmondsonsupply.com/cdn/shop/products/2960-22_Kit_1.png?v=1661616340")</f>
        <v>#NAME?</v>
      </c>
      <c r="H4494" t="e">
        <f ca="1">_xludf.IMAGE("https://m.media-amazon.com/images/I/41mEpve6c9L._AC_UL320_.jpg")</f>
        <v>#NAME?</v>
      </c>
      <c r="I4494" t="s">
        <v>4404</v>
      </c>
      <c r="J4494">
        <v>299.99</v>
      </c>
      <c r="K4494" s="4">
        <v>-0.34639999999999999</v>
      </c>
      <c r="L4494">
        <v>4.3</v>
      </c>
      <c r="M4494">
        <v>9</v>
      </c>
      <c r="O4494" t="s">
        <v>25</v>
      </c>
      <c r="P4494" t="s">
        <v>7209</v>
      </c>
      <c r="Q4494" t="s">
        <v>7210</v>
      </c>
    </row>
    <row r="4495" spans="1:17" ht="15.5" x14ac:dyDescent="0.35">
      <c r="A4495" s="3" t="str">
        <f>HYPERLINK("https://edmondsonsupply.com/collections/electricians-tools/products/fluke-971-temperature-humidity-meter", "https://edmondsonsupply.com/collections/electricians-tools/products/fluke-971-temperature-humidity-meter")</f>
        <v>https://edmondsonsupply.com/collections/electricians-tools/products/fluke-971-temperature-humidity-meter</v>
      </c>
      <c r="B4495" s="3" t="str">
        <f>HYPERLINK("https://edmondsonsupply.com/products/fluke-971-temperature-humidity-meter", "https://edmondsonsupply.com/products/fluke-971-temperature-humidity-meter")</f>
        <v>https://edmondsonsupply.com/products/fluke-971-temperature-humidity-meter</v>
      </c>
      <c r="C4495" t="s">
        <v>8949</v>
      </c>
      <c r="D4495" t="s">
        <v>8949</v>
      </c>
      <c r="E4495" s="3" t="str">
        <f>HYPERLINK("https://www.amazon.com/Fluke-971-Temperature-Humidity-Meter/dp/B005T5JW2S/ref=sr_1_1?keywords=Fluke+971+Temperature+Humidity+Meter&amp;qid=1695174288&amp;sr=8-1", "https://www.amazon.com/Fluke-971-Temperature-Humidity-Meter/dp/B005T5JW2S/ref=sr_1_1?keywords=Fluke+971+Temperature+Humidity+Meter&amp;qid=1695174288&amp;sr=8-1")</f>
        <v>https://www.amazon.com/Fluke-971-Temperature-Humidity-Meter/dp/B005T5JW2S/ref=sr_1_1?keywords=Fluke+971+Temperature+Humidity+Meter&amp;qid=1695174288&amp;sr=8-1</v>
      </c>
      <c r="F4495" t="s">
        <v>8950</v>
      </c>
      <c r="G4495" t="e">
        <f ca="1">_xludf.IMAGE("https://edmondsonsupply.com/cdn/shop/products/971_72dpi_495x1024px_E_NR-9830.jpg?v=1633030933")</f>
        <v>#NAME?</v>
      </c>
      <c r="H4495" t="e">
        <f ca="1">_xludf.IMAGE("https://m.media-amazon.com/images/I/51XZgIqis2L._AC_UY218_.jpg")</f>
        <v>#NAME?</v>
      </c>
      <c r="I4495" t="s">
        <v>8951</v>
      </c>
      <c r="J4495">
        <v>280</v>
      </c>
      <c r="K4495" s="4">
        <v>-0.34849999999999998</v>
      </c>
      <c r="L4495">
        <v>4.4000000000000004</v>
      </c>
      <c r="M4495">
        <v>134</v>
      </c>
      <c r="O4495" t="s">
        <v>25</v>
      </c>
      <c r="P4495" t="s">
        <v>8952</v>
      </c>
      <c r="Q4495" t="s">
        <v>8953</v>
      </c>
    </row>
    <row r="4496" spans="1:17" ht="15.5" x14ac:dyDescent="0.35">
      <c r="A4496"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4496"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4496" t="s">
        <v>3174</v>
      </c>
      <c r="D4496" t="s">
        <v>5323</v>
      </c>
      <c r="E4496" s="3" t="str">
        <f>HYPERLINK("https://www.amazon.com/Klein-Tools-1001-Multi-Purpose-Electricians/dp/B000EVLUR2/ref=sr_1_7?keywords=Klein+Tools+K12065CR+Klein-Kurve%C2%AE+Heavy-Duty+Wire+Stripper+%2F+Cutter+%2F+Crimper+Multi+Tool%2C+8-20+AWG&amp;qid=1695173857&amp;sr=8-7", "https://www.amazon.com/Klein-Tools-1001-Multi-Purpose-Electricians/dp/B000EVLUR2/ref=sr_1_7?keywords=Klein+Tools+K12065CR+Klein-Kurve%C2%AE+Heavy-Duty+Wire+Stripper+%2F+Cutter+%2F+Crimper+Multi+Tool%2C+8-20+AWG&amp;qid=1695173857&amp;sr=8-7")</f>
        <v>https://www.amazon.com/Klein-Tools-1001-Multi-Purpose-Electricians/dp/B000EVLUR2/ref=sr_1_7?keywords=Klein+Tools+K12065CR+Klein-Kurve%C2%AE+Heavy-Duty+Wire+Stripper+%2F+Cutter+%2F+Crimper+Multi+Tool%2C+8-20+AWG&amp;qid=1695173857&amp;sr=8-7</v>
      </c>
      <c r="F4496" t="s">
        <v>5324</v>
      </c>
      <c r="G4496" t="e">
        <f ca="1">_xludf.IMAGE("https://edmondsonsupply.com/cdn/shop/products/k12065cr_b.jpg?v=1650066835")</f>
        <v>#NAME?</v>
      </c>
      <c r="H4496" t="e">
        <f ca="1">_xludf.IMAGE("https://m.media-amazon.com/images/I/51Df2gzkHqL._AC_UL320_.jpg")</f>
        <v>#NAME?</v>
      </c>
      <c r="I4496" t="s">
        <v>246</v>
      </c>
      <c r="J4496">
        <v>25.99</v>
      </c>
      <c r="K4496" s="4">
        <v>-0.3498</v>
      </c>
      <c r="L4496">
        <v>4.5</v>
      </c>
      <c r="M4496">
        <v>476</v>
      </c>
      <c r="O4496" t="s">
        <v>25</v>
      </c>
      <c r="P4496" t="s">
        <v>3177</v>
      </c>
      <c r="Q4496" t="s">
        <v>3178</v>
      </c>
    </row>
    <row r="4497" spans="1:17" ht="15.5" x14ac:dyDescent="0.35">
      <c r="A4497" s="3" t="str">
        <f>HYPERLINK("https://edmondsonsupply.com/collections/electricians-tools/products/diablo-tools-dou16dgx-universal-fit-diamond-grit-oscillating-blade-for-grout", "https://edmondsonsupply.com/collections/electricians-tools/products/diablo-tools-dou16dgx-universal-fit-diamond-grit-oscillating-blade-for-grout")</f>
        <v>https://edmondsonsupply.com/collections/electricians-tools/products/diablo-tools-dou16dgx-universal-fit-diamond-grit-oscillating-blade-for-grout</v>
      </c>
      <c r="B4497" s="3" t="str">
        <f>HYPERLINK("https://edmondsonsupply.com/products/diablo-tools-dou16dgx-universal-fit-diamond-grit-oscillating-blade-for-grout", "https://edmondsonsupply.com/products/diablo-tools-dou16dgx-universal-fit-diamond-grit-oscillating-blade-for-grout")</f>
        <v>https://edmondsonsupply.com/products/diablo-tools-dou16dgx-universal-fit-diamond-grit-oscillating-blade-for-grout</v>
      </c>
      <c r="C4497" t="s">
        <v>8954</v>
      </c>
      <c r="D4497" t="s">
        <v>8955</v>
      </c>
      <c r="E4497" s="3" t="str">
        <f>HYPERLINK("https://www.amazon.com/Diablo-Freud-DOU16DGX-Universal-Oscillating/dp/B089KWYGHY/ref=sr_1_1?keywords=Diablo+Tools+DOU16DGX+Universal+Fit+Diamond+Grit+Oscillating+Blade+for+Grout&amp;qid=1695174253&amp;sr=8-1", "https://www.amazon.com/Diablo-Freud-DOU16DGX-Universal-Oscillating/dp/B089KWYGHY/ref=sr_1_1?keywords=Diablo+Tools+DOU16DGX+Universal+Fit+Diamond+Grit+Oscillating+Blade+for+Grout&amp;qid=1695174253&amp;sr=8-1")</f>
        <v>https://www.amazon.com/Diablo-Freud-DOU16DGX-Universal-Oscillating/dp/B089KWYGHY/ref=sr_1_1?keywords=Diablo+Tools+DOU16DGX+Universal+Fit+Diamond+Grit+Oscillating+Blade+for+Grout&amp;qid=1695174253&amp;sr=8-1</v>
      </c>
      <c r="F4497" t="s">
        <v>8956</v>
      </c>
      <c r="G4497" t="e">
        <f ca="1">_xludf.IMAGE("https://edmondsonsupply.com/cdn/shop/products/DOU16DGX_Main-Image.png?v=1633031101")</f>
        <v>#NAME?</v>
      </c>
      <c r="H4497" t="e">
        <f ca="1">_xludf.IMAGE("https://m.media-amazon.com/images/I/61sffzw9nLL._AC_UL320_.jpg")</f>
        <v>#NAME?</v>
      </c>
      <c r="I4497" t="s">
        <v>246</v>
      </c>
      <c r="J4497">
        <v>25.99</v>
      </c>
      <c r="K4497" s="4">
        <v>-0.3498</v>
      </c>
      <c r="L4497">
        <v>4.5</v>
      </c>
      <c r="M4497">
        <v>49</v>
      </c>
      <c r="O4497" t="s">
        <v>25</v>
      </c>
      <c r="P4497" t="s">
        <v>8957</v>
      </c>
      <c r="Q4497" t="s">
        <v>8958</v>
      </c>
    </row>
    <row r="4498" spans="1:17" ht="15.5" x14ac:dyDescent="0.35">
      <c r="A4498"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4498" s="3" t="str">
        <f>HYPERLINK("https://edmondsonsupply.com/products/klein-tools-60615-heavy-duty-knee-pad-sleeves-s-m", "https://edmondsonsupply.com/products/klein-tools-60615-heavy-duty-knee-pad-sleeves-s-m")</f>
        <v>https://edmondsonsupply.com/products/klein-tools-60615-heavy-duty-knee-pad-sleeves-s-m</v>
      </c>
      <c r="C4498" t="s">
        <v>1029</v>
      </c>
      <c r="D4498" t="s">
        <v>1014</v>
      </c>
      <c r="E4498" s="3" t="str">
        <f>HYPERLINK("https://www.amazon.com/Lightweight-Breathable-Slip-Resistant-Klein-Tools/dp/B0B6216HMW/ref=sr_1_2?keywords=Klein+Tools+60615+Heavy+Duty+Knee+Pad+Sleeves%2C+S%2FM&amp;qid=1695174031&amp;sr=8-2", "https://www.amazon.com/Lightweight-Breathable-Slip-Resistant-Klein-Tools/dp/B0B6216HMW/ref=sr_1_2?keywords=Klein+Tools+60615+Heavy+Duty+Knee+Pad+Sleeves%2C+S%2FM&amp;qid=1695174031&amp;sr=8-2")</f>
        <v>https://www.amazon.com/Lightweight-Breathable-Slip-Resistant-Klein-Tools/dp/B0B6216HMW/ref=sr_1_2?keywords=Klein+Tools+60615+Heavy+Duty+Knee+Pad+Sleeves%2C+S%2FM&amp;qid=1695174031&amp;sr=8-2</v>
      </c>
      <c r="F4498" t="s">
        <v>1015</v>
      </c>
      <c r="G4498" t="e">
        <f ca="1">_xludf.IMAGE("https://edmondsonsupply.com/cdn/shop/products/60511_60611_b_f68c12ff-69e9-4ee5-9cc0-02cf7484e091.jpg?v=1681743847")</f>
        <v>#NAME?</v>
      </c>
      <c r="H4498" t="e">
        <f ca="1">_xludf.IMAGE("https://m.media-amazon.com/images/I/61pjcWSwQcL._AC_UL320_.jpg")</f>
        <v>#NAME?</v>
      </c>
      <c r="I4498" t="s">
        <v>198</v>
      </c>
      <c r="J4498">
        <v>25.99</v>
      </c>
      <c r="K4498" s="4">
        <v>-0.35010000000000002</v>
      </c>
      <c r="L4498">
        <v>4.5</v>
      </c>
      <c r="M4498">
        <v>192</v>
      </c>
      <c r="O4498" t="s">
        <v>25</v>
      </c>
      <c r="P4498" t="s">
        <v>1027</v>
      </c>
      <c r="Q4498" t="s">
        <v>1030</v>
      </c>
    </row>
    <row r="4499" spans="1:17" ht="15.5" x14ac:dyDescent="0.35">
      <c r="A4499"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4499" s="3" t="str">
        <f>HYPERLINK("https://edmondsonsupply.com/products/klein-tools-60511-heavy-duty-knee-pad-sleeves-m-l", "https://edmondsonsupply.com/products/klein-tools-60511-heavy-duty-knee-pad-sleeves-m-l")</f>
        <v>https://edmondsonsupply.com/products/klein-tools-60511-heavy-duty-knee-pad-sleeves-m-l</v>
      </c>
      <c r="C4499" t="s">
        <v>1024</v>
      </c>
      <c r="D4499" t="s">
        <v>1014</v>
      </c>
      <c r="E4499" s="3" t="str">
        <f>HYPERLINK("https://www.amazon.com/Lightweight-Breathable-Slip-Resistant-Klein-Tools/dp/B0B6216HMW/ref=sr_1_2?keywords=Klein+Tools+60511+Heavy+Duty+Knee+Pad+Sleeves%2C+M%2FL&amp;qid=1695174162&amp;sr=8-2", "https://www.amazon.com/Lightweight-Breathable-Slip-Resistant-Klein-Tools/dp/B0B6216HMW/ref=sr_1_2?keywords=Klein+Tools+60511+Heavy+Duty+Knee+Pad+Sleeves%2C+M%2FL&amp;qid=1695174162&amp;sr=8-2")</f>
        <v>https://www.amazon.com/Lightweight-Breathable-Slip-Resistant-Klein-Tools/dp/B0B6216HMW/ref=sr_1_2?keywords=Klein+Tools+60511+Heavy+Duty+Knee+Pad+Sleeves%2C+M%2FL&amp;qid=1695174162&amp;sr=8-2</v>
      </c>
      <c r="F4499" t="s">
        <v>1015</v>
      </c>
      <c r="G4499" t="e">
        <f ca="1">_xludf.IMAGE("https://edmondsonsupply.com/cdn/shop/products/60511_60611_b.jpg?v=1663253024")</f>
        <v>#NAME?</v>
      </c>
      <c r="H4499" t="e">
        <f ca="1">_xludf.IMAGE("https://m.media-amazon.com/images/I/61pjcWSwQcL._AC_UL320_.jpg")</f>
        <v>#NAME?</v>
      </c>
      <c r="I4499" t="s">
        <v>198</v>
      </c>
      <c r="J4499">
        <v>25.99</v>
      </c>
      <c r="K4499" s="4">
        <v>-0.35010000000000002</v>
      </c>
      <c r="L4499">
        <v>4.5</v>
      </c>
      <c r="M4499">
        <v>192</v>
      </c>
      <c r="O4499" t="s">
        <v>25</v>
      </c>
      <c r="P4499" t="s">
        <v>1027</v>
      </c>
      <c r="Q4499" t="s">
        <v>1028</v>
      </c>
    </row>
    <row r="4500" spans="1:17" ht="15.5" x14ac:dyDescent="0.35">
      <c r="A4500"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4500" s="3" t="str">
        <f>HYPERLINK("https://edmondsonsupply.com/products/klein-tools-88910-mini-tube-cutter", "https://edmondsonsupply.com/products/klein-tools-88910-mini-tube-cutter")</f>
        <v>https://edmondsonsupply.com/products/klein-tools-88910-mini-tube-cutter</v>
      </c>
      <c r="C4500" t="s">
        <v>6372</v>
      </c>
      <c r="D4500" t="s">
        <v>8959</v>
      </c>
      <c r="E4500" s="3" t="str">
        <f>HYPERLINK("https://www.amazon.com/Klein-Tools-88978-Replacement-Professional/dp/B002AH181G/ref=sr_1_9?keywords=Klein+Tools+88910+Mini+Tube+Cutter&amp;qid=1695174232&amp;sr=8-9", "https://www.amazon.com/Klein-Tools-88978-Replacement-Professional/dp/B002AH181G/ref=sr_1_9?keywords=Klein+Tools+88910+Mini+Tube+Cutter&amp;qid=1695174232&amp;sr=8-9")</f>
        <v>https://www.amazon.com/Klein-Tools-88978-Replacement-Professional/dp/B002AH181G/ref=sr_1_9?keywords=Klein+Tools+88910+Mini+Tube+Cutter&amp;qid=1695174232&amp;sr=8-9</v>
      </c>
      <c r="F4500" t="s">
        <v>8960</v>
      </c>
      <c r="G4500" t="e">
        <f ca="1">_xludf.IMAGE("https://edmondsonsupply.com/cdn/shop/products/88910.jpg?v=1638577903")</f>
        <v>#NAME?</v>
      </c>
      <c r="H4500" t="e">
        <f ca="1">_xludf.IMAGE("https://m.media-amazon.com/images/I/614IRD-covL._AC_UL320_.jpg")</f>
        <v>#NAME?</v>
      </c>
      <c r="I4500" t="s">
        <v>577</v>
      </c>
      <c r="J4500">
        <v>12.99</v>
      </c>
      <c r="K4500" s="4">
        <v>-0.35020000000000001</v>
      </c>
      <c r="L4500">
        <v>5</v>
      </c>
      <c r="M4500">
        <v>4</v>
      </c>
      <c r="O4500" t="s">
        <v>25</v>
      </c>
      <c r="P4500" t="s">
        <v>6375</v>
      </c>
      <c r="Q4500" t="s">
        <v>6376</v>
      </c>
    </row>
    <row r="4501" spans="1:17" ht="15.5" x14ac:dyDescent="0.35">
      <c r="A4501" s="3" t="str">
        <f>HYPERLINK("https://edmondsonsupply.com/collections/electricians-tools/products/greenlee-gsb09-1-1-8-step-bit-9", "https://edmondsonsupply.com/collections/electricians-tools/products/greenlee-gsb09-1-1-8-step-bit-9")</f>
        <v>https://edmondsonsupply.com/collections/electricians-tools/products/greenlee-gsb09-1-1-8-step-bit-9</v>
      </c>
      <c r="B4501" s="3" t="str">
        <f>HYPERLINK("https://edmondsonsupply.com/products/greenlee-gsb09-1-1-8-step-bit-9", "https://edmondsonsupply.com/products/greenlee-gsb09-1-1-8-step-bit-9")</f>
        <v>https://edmondsonsupply.com/products/greenlee-gsb09-1-1-8-step-bit-9</v>
      </c>
      <c r="C4501" t="s">
        <v>4952</v>
      </c>
      <c r="D4501" t="s">
        <v>3245</v>
      </c>
      <c r="E4501" s="3" t="str">
        <f>HYPERLINK("https://www.amazon.com/Greenlee-GSB12-Step-Bit-1-3/dp/B08TVF7KMP/ref=sr_1_3?keywords=Greenlee+GSB09+1-1%2F8%22+Step+Bit+%28%239%29&amp;qid=1695173992&amp;sr=8-3", "https://www.amazon.com/Greenlee-GSB12-Step-Bit-1-3/dp/B08TVF7KMP/ref=sr_1_3?keywords=Greenlee+GSB09+1-1%2F8%22+Step+Bit+%28%239%29&amp;qid=1695173992&amp;sr=8-3")</f>
        <v>https://www.amazon.com/Greenlee-GSB12-Step-Bit-1-3/dp/B08TVF7KMP/ref=sr_1_3?keywords=Greenlee+GSB09+1-1%2F8%22+Step+Bit+%28%239%29&amp;qid=1695173992&amp;sr=8-3</v>
      </c>
      <c r="F4501" t="s">
        <v>3246</v>
      </c>
      <c r="G4501" t="e">
        <f ca="1">_xludf.IMAGE("https://edmondsonsupply.com/cdn/shop/files/GSB09_CAT1_72dpi.jpg?v=1687787938")</f>
        <v>#NAME?</v>
      </c>
      <c r="H4501" t="e">
        <f ca="1">_xludf.IMAGE("https://m.media-amazon.com/images/I/41Z8kxeeZfL._AC_UY218_.jpg")</f>
        <v>#NAME?</v>
      </c>
      <c r="I4501" t="s">
        <v>4953</v>
      </c>
      <c r="J4501">
        <v>45</v>
      </c>
      <c r="K4501" s="4">
        <v>-0.3503</v>
      </c>
      <c r="L4501">
        <v>4.8</v>
      </c>
      <c r="M4501">
        <v>27</v>
      </c>
      <c r="O4501" t="s">
        <v>25</v>
      </c>
      <c r="P4501" t="s">
        <v>4954</v>
      </c>
      <c r="Q4501" t="s">
        <v>4955</v>
      </c>
    </row>
    <row r="4502" spans="1:17" ht="15.5" x14ac:dyDescent="0.35">
      <c r="A4502" s="3" t="str">
        <f>HYPERLINK("https://edmondsonsupply.com/collections/electricians-tools/products/tajima-gs-16-5mbw-gs-lock%E2%84%A2-standard-metric-scale-16-ft-5-m-x-1-in-25mm-steel-blade-tape-measure", "https://edmondsonsupply.com/collections/electricians-tools/products/tajima-gs-16-5mbw-gs-lock%E2%84%A2-standard-metric-scale-16-ft-5-m-x-1-in-25mm-steel-blade-tape-measure")</f>
        <v>https://edmondsonsupply.com/collections/electricians-tools/products/tajima-gs-16-5mbw-gs-lock%E2%84%A2-standard-metric-scale-16-ft-5-m-x-1-in-25mm-steel-blade-tape-measure</v>
      </c>
      <c r="B4502" s="3" t="str">
        <f>HYPERLINK("https://edmondsonsupply.com/products/tajima-gs-16-5mbw-gs-lock%e2%84%a2-standard-metric-scale-16-ft-5-m-x-1-in-25mm-steel-blade-tape-measure", "https://edmondsonsupply.com/products/tajima-gs-16-5mbw-gs-lock%e2%84%a2-standard-metric-scale-16-ft-5-m-x-1-in-25mm-steel-blade-tape-measure")</f>
        <v>https://edmondsonsupply.com/products/tajima-gs-16-5mbw-gs-lock%e2%84%a2-standard-metric-scale-16-ft-5-m-x-1-in-25mm-steel-blade-tape-measure</v>
      </c>
      <c r="C4502" t="s">
        <v>8012</v>
      </c>
      <c r="D4502" t="s">
        <v>8961</v>
      </c>
      <c r="E4502" s="3" t="str">
        <f>HYPERLINK("https://www.amazon.com/TAJIMA-Tape-Measure-Measuring-Standard/dp/B003B43RNY/ref=sr_1_4?keywords=Tajima+GS-16%2F5MBW+GS+Lock%E2%84%A2+Standard+%26+Metric+Scale%2C+16+ft%2F+5+m+x+1+in.%2F25mm+Steel+Blade+Tape+Measure&amp;qid=1695174194&amp;sr=8-4", "https://www.amazon.com/TAJIMA-Tape-Measure-Measuring-Standard/dp/B003B43RNY/ref=sr_1_4?keywords=Tajima+GS-16%2F5MBW+GS+Lock%E2%84%A2+Standard+%26+Metric+Scale%2C+16+ft%2F+5+m+x+1+in.%2F25mm+Steel+Blade+Tape+Measure&amp;qid=1695174194&amp;sr=8-4")</f>
        <v>https://www.amazon.com/TAJIMA-Tape-Measure-Measuring-Standard/dp/B003B43RNY/ref=sr_1_4?keywords=Tajima+GS-16%2F5MBW+GS+Lock%E2%84%A2+Standard+%26+Metric+Scale%2C+16+ft%2F+5+m+x+1+in.%2F25mm+Steel+Blade+Tape+Measure&amp;qid=1695174194&amp;sr=8-4</v>
      </c>
      <c r="F4502" t="s">
        <v>8962</v>
      </c>
      <c r="G4502" t="e">
        <f ca="1">_xludf.IMAGE("https://edmondsonsupply.com/cdn/shop/products/GS16-5MBW.jpg?v=1655829307")</f>
        <v>#NAME?</v>
      </c>
      <c r="H4502" t="e">
        <f ca="1">_xludf.IMAGE("https://m.media-amazon.com/images/I/81u-ZvCs3aL._AC_UL320_.jpg")</f>
        <v>#NAME?</v>
      </c>
      <c r="I4502" t="s">
        <v>8015</v>
      </c>
      <c r="J4502">
        <v>18.13</v>
      </c>
      <c r="K4502" s="4">
        <v>-0.35060000000000002</v>
      </c>
      <c r="L4502">
        <v>4.7</v>
      </c>
      <c r="M4502">
        <v>137</v>
      </c>
      <c r="O4502" t="s">
        <v>25</v>
      </c>
      <c r="P4502" t="s">
        <v>8016</v>
      </c>
      <c r="Q4502" t="s">
        <v>8017</v>
      </c>
    </row>
    <row r="4503" spans="1:17" ht="15.5" x14ac:dyDescent="0.35">
      <c r="A4503" s="3" t="str">
        <f>HYPERLINK("https://edmondsonsupply.com/collections/electricians-tools/products/fluke-62-max-handheld-infrared-laser-thermometer", "https://edmondsonsupply.com/collections/electricians-tools/products/fluke-62-max-handheld-infrared-laser-thermometer")</f>
        <v>https://edmondsonsupply.com/collections/electricians-tools/products/fluke-62-max-handheld-infrared-laser-thermometer</v>
      </c>
      <c r="B4503" s="3" t="str">
        <f>HYPERLINK("https://edmondsonsupply.com/products/fluke-62-max-handheld-infrared-laser-thermometer", "https://edmondsonsupply.com/products/fluke-62-max-handheld-infrared-laser-thermometer")</f>
        <v>https://edmondsonsupply.com/products/fluke-62-max-handheld-infrared-laser-thermometer</v>
      </c>
      <c r="C4503" t="s">
        <v>8963</v>
      </c>
      <c r="D4503" t="s">
        <v>4961</v>
      </c>
      <c r="E4503" s="3" t="str">
        <f>HYPERLINK("https://www.amazon.com/Fluke-MAX-Thermometer-Contact-Degree/dp/B008EW837S/ref=sr_1_1?keywords=Fluke+62+MAX+Handheld+Infrared+Laser+Thermometer&amp;qid=1695174240&amp;sr=8-1", "https://www.amazon.com/Fluke-MAX-Thermometer-Contact-Degree/dp/B008EW837S/ref=sr_1_1?keywords=Fluke+62+MAX+Handheld+Infrared+Laser+Thermometer&amp;qid=1695174240&amp;sr=8-1")</f>
        <v>https://www.amazon.com/Fluke-MAX-Thermometer-Contact-Degree/dp/B008EW837S/ref=sr_1_1?keywords=Fluke+62+MAX+Handheld+Infrared+Laser+Thermometer&amp;qid=1695174240&amp;sr=8-1</v>
      </c>
      <c r="F4503" t="s">
        <v>4962</v>
      </c>
      <c r="G4503" t="e">
        <f ca="1">_xludf.IMAGE("https://edmondsonsupply.com/cdn/shop/products/Fluke_62_MAX__back_499x1024px_E_NR-18387.jpg?v=1633031180")</f>
        <v>#NAME?</v>
      </c>
      <c r="H4503" t="e">
        <f ca="1">_xludf.IMAGE("https://m.media-amazon.com/images/I/51QB7aenW8L._AC_UY218_.jpg")</f>
        <v>#NAME?</v>
      </c>
      <c r="I4503" t="s">
        <v>483</v>
      </c>
      <c r="J4503">
        <v>116.8</v>
      </c>
      <c r="K4503" s="4">
        <v>-0.35110000000000002</v>
      </c>
      <c r="L4503">
        <v>4.7</v>
      </c>
      <c r="M4503">
        <v>1713</v>
      </c>
      <c r="O4503" t="s">
        <v>25</v>
      </c>
      <c r="P4503" t="s">
        <v>400</v>
      </c>
      <c r="Q4503" t="s">
        <v>8964</v>
      </c>
    </row>
    <row r="4504" spans="1:17" ht="15.5" x14ac:dyDescent="0.35">
      <c r="A4504"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4504" s="3" t="str">
        <f>HYPERLINK("https://edmondsonsupply.com/products/klein-tools-j203-8-pliers-needle-nose-side-cutters-8-inch", "https://edmondsonsupply.com/products/klein-tools-j203-8-pliers-needle-nose-side-cutters-8-inch")</f>
        <v>https://edmondsonsupply.com/products/klein-tools-j203-8-pliers-needle-nose-side-cutters-8-inch</v>
      </c>
      <c r="C4504" t="s">
        <v>6516</v>
      </c>
      <c r="D4504" t="s">
        <v>8965</v>
      </c>
      <c r="E4504" s="3" t="str">
        <f>HYPERLINK("https://www.amazon.com/Klein-Tools-D203-7-Side-Cutters-7-Inch/dp/B000G67F24/ref=sr_1_6?keywords=Klein+Tools+J203-8+Pliers%2C+Needle+Nose+Side-Cutters%2C+8-Inch&amp;qid=1695174221&amp;sr=8-6", "https://www.amazon.com/Klein-Tools-D203-7-Side-Cutters-7-Inch/dp/B000G67F24/ref=sr_1_6?keywords=Klein+Tools+J203-8+Pliers%2C+Needle+Nose+Side-Cutters%2C+8-Inch&amp;qid=1695174221&amp;sr=8-6")</f>
        <v>https://www.amazon.com/Klein-Tools-D203-7-Side-Cutters-7-Inch/dp/B000G67F24/ref=sr_1_6?keywords=Klein+Tools+J203-8+Pliers%2C+Needle+Nose+Side-Cutters%2C+8-Inch&amp;qid=1695174221&amp;sr=8-6</v>
      </c>
      <c r="F4504" t="s">
        <v>8966</v>
      </c>
      <c r="G4504" t="e">
        <f ca="1">_xludf.IMAGE("https://edmondsonsupply.com/cdn/shop/products/j2038.jpg?v=1644709677")</f>
        <v>#NAME?</v>
      </c>
      <c r="H4504" t="e">
        <f ca="1">_xludf.IMAGE("https://m.media-amazon.com/images/I/51DWCz6ft0L._AC_UL320_.jpg")</f>
        <v>#NAME?</v>
      </c>
      <c r="I4504" t="s">
        <v>6519</v>
      </c>
      <c r="J4504">
        <v>24.97</v>
      </c>
      <c r="K4504" s="4">
        <v>-0.3513</v>
      </c>
      <c r="L4504">
        <v>4.8</v>
      </c>
      <c r="M4504">
        <v>582</v>
      </c>
      <c r="O4504" t="s">
        <v>25</v>
      </c>
      <c r="P4504" t="s">
        <v>6520</v>
      </c>
      <c r="Q4504" t="s">
        <v>6521</v>
      </c>
    </row>
    <row r="4505" spans="1:17" ht="15.5" x14ac:dyDescent="0.35">
      <c r="A4505"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4505"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4505" t="s">
        <v>5886</v>
      </c>
      <c r="D4505" t="s">
        <v>5949</v>
      </c>
      <c r="E4505" s="3" t="str">
        <f>HYPERLINK("https://www.amazon.com/Diablo-Freud-DOU125CGP-Universal-Oscillating/dp/B089LGJV4X/ref=sr_1_1?keywords=Diablo+Tools+DOU125CGP+1-1%2F4+in.+Universal+Fit+Carbide+Oscillating+Blade+for+General+Purpose+Cuts&amp;qid=1695174006&amp;sr=8-1", "https://www.amazon.com/Diablo-Freud-DOU125CGP-Universal-Oscillating/dp/B089LGJV4X/ref=sr_1_1?keywords=Diablo+Tools+DOU125CGP+1-1%2F4+in.+Universal+Fit+Carbide+Oscillating+Blade+for+General+Purpose+Cuts&amp;qid=1695174006&amp;sr=8-1")</f>
        <v>https://www.amazon.com/Diablo-Freud-DOU125CGP-Universal-Oscillating/dp/B089LGJV4X/ref=sr_1_1?keywords=Diablo+Tools+DOU125CGP+1-1%2F4+in.+Universal+Fit+Carbide+Oscillating+Blade+for+General+Purpose+Cuts&amp;qid=1695174006&amp;sr=8-1</v>
      </c>
      <c r="F4505" t="s">
        <v>5950</v>
      </c>
      <c r="G4505" t="e">
        <f ca="1">_xludf.IMAGE("https://edmondsonsupply.com/cdn/shop/files/htobgrjt150mygkkk6to_dca17485-ff4c-4cd2-9345-f1b96a9206f3.webp?v=1686146827")</f>
        <v>#NAME?</v>
      </c>
      <c r="H4505" t="e">
        <f ca="1">_xludf.IMAGE("https://m.media-amazon.com/images/I/71lNEMXVnHL._AC_UL320_.jpg")</f>
        <v>#NAME?</v>
      </c>
      <c r="I4505" t="s">
        <v>1716</v>
      </c>
      <c r="J4505">
        <v>14.9</v>
      </c>
      <c r="K4505" s="4">
        <v>-0.3513</v>
      </c>
      <c r="L4505">
        <v>4.5999999999999996</v>
      </c>
      <c r="M4505">
        <v>38</v>
      </c>
      <c r="O4505" t="s">
        <v>25</v>
      </c>
      <c r="P4505" t="s">
        <v>5889</v>
      </c>
      <c r="Q4505" t="s">
        <v>5890</v>
      </c>
    </row>
    <row r="4506" spans="1:17" ht="15.5" x14ac:dyDescent="0.35">
      <c r="A4506"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4506" s="3" t="str">
        <f>HYPERLINK("https://edmondsonsupply.com/products/fluke-c60-soft-carrying-case", "https://edmondsonsupply.com/products/fluke-c60-soft-carrying-case")</f>
        <v>https://edmondsonsupply.com/products/fluke-c60-soft-carrying-case</v>
      </c>
      <c r="C4506" t="s">
        <v>265</v>
      </c>
      <c r="D4506" t="s">
        <v>775</v>
      </c>
      <c r="E4506" s="3" t="str">
        <f>HYPERLINK("https://www.amazon.com/Fluke-C35-Polyester-Soft-Carrying/dp/B0012WXSWC/ref=sr_1_4?keywords=Fluke+C60+Soft+Carrying+Case&amp;qid=1695174290&amp;sr=8-4", "https://www.amazon.com/Fluke-C35-Polyester-Soft-Carrying/dp/B0012WXSWC/ref=sr_1_4?keywords=Fluke+C60+Soft+Carrying+Case&amp;qid=1695174290&amp;sr=8-4")</f>
        <v>https://www.amazon.com/Fluke-C35-Polyester-Soft-Carrying/dp/B0012WXSWC/ref=sr_1_4?keywords=Fluke+C60+Soft+Carrying+Case&amp;qid=1695174290&amp;sr=8-4</v>
      </c>
      <c r="F4506" t="s">
        <v>776</v>
      </c>
      <c r="G4506" t="e">
        <f ca="1">_xludf.IMAGE("https://edmondsonsupply.com/cdn/shop/products/c60.png?v=1633030926")</f>
        <v>#NAME?</v>
      </c>
      <c r="H4506" t="e">
        <f ca="1">_xludf.IMAGE("https://m.media-amazon.com/images/I/91lCMkhllEL._AC_UL320_.jpg")</f>
        <v>#NAME?</v>
      </c>
      <c r="I4506" t="s">
        <v>268</v>
      </c>
      <c r="J4506">
        <v>32</v>
      </c>
      <c r="K4506" s="4">
        <v>-0.35339999999999999</v>
      </c>
      <c r="L4506">
        <v>4.7</v>
      </c>
      <c r="M4506">
        <v>801</v>
      </c>
      <c r="O4506" t="s">
        <v>25</v>
      </c>
      <c r="P4506" t="s">
        <v>269</v>
      </c>
      <c r="Q4506" t="s">
        <v>270</v>
      </c>
    </row>
    <row r="4507" spans="1:17" ht="15.5" x14ac:dyDescent="0.35">
      <c r="A4507"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4507" s="3" t="str">
        <f>HYPERLINK("https://edmondsonsupply.com/products/fluke-st120-gfci-socket-tester", "https://edmondsonsupply.com/products/fluke-st120-gfci-socket-tester")</f>
        <v>https://edmondsonsupply.com/products/fluke-st120-gfci-socket-tester</v>
      </c>
      <c r="C4507" t="s">
        <v>8351</v>
      </c>
      <c r="D4507" t="s">
        <v>8967</v>
      </c>
      <c r="E4507" s="3" t="str">
        <f>HYPERLINK("https://www.amazon.com/RLSOCO-Carrying-Fluke-Socket-Tester%EF%BC%88Case/dp/B0BJTZ98HX/ref=sr_1_4?keywords=Fluke+ST120+Socket+Tester+with+GFCI&amp;qid=1695174173&amp;sr=8-4", "https://www.amazon.com/RLSOCO-Carrying-Fluke-Socket-Tester%EF%BC%88Case/dp/B0BJTZ98HX/ref=sr_1_4?keywords=Fluke+ST120+Socket+Tester+with+GFCI&amp;qid=1695174173&amp;sr=8-4")</f>
        <v>https://www.amazon.com/RLSOCO-Carrying-Fluke-Socket-Tester%EF%BC%88Case/dp/B0BJTZ98HX/ref=sr_1_4?keywords=Fluke+ST120+Socket+Tester+with+GFCI&amp;qid=1695174173&amp;sr=8-4</v>
      </c>
      <c r="F4507" t="s">
        <v>8968</v>
      </c>
      <c r="G4507" t="e">
        <f ca="1">_xludf.IMAGE("https://edmondsonsupply.com/cdn/shop/products/F-st120_01a_w.webp?v=1662582102")</f>
        <v>#NAME?</v>
      </c>
      <c r="H4507" t="e">
        <f ca="1">_xludf.IMAGE("https://m.media-amazon.com/images/I/71It6IXE9gL._AC_UL320_.jpg")</f>
        <v>#NAME?</v>
      </c>
      <c r="I4507" t="s">
        <v>4229</v>
      </c>
      <c r="J4507">
        <v>9.99</v>
      </c>
      <c r="K4507" s="4">
        <v>-0.35510000000000003</v>
      </c>
      <c r="L4507">
        <v>4.5</v>
      </c>
      <c r="M4507">
        <v>27</v>
      </c>
      <c r="O4507" t="s">
        <v>25</v>
      </c>
      <c r="P4507" t="s">
        <v>866</v>
      </c>
      <c r="Q4507" t="s">
        <v>8354</v>
      </c>
    </row>
    <row r="4508" spans="1:17" ht="15.5" x14ac:dyDescent="0.35">
      <c r="A4508"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4508"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4508" t="s">
        <v>6976</v>
      </c>
      <c r="D4508" t="s">
        <v>3905</v>
      </c>
      <c r="E4508" s="3" t="str">
        <f>HYPERLINK("https://www.amazon.com/Journeyman-T-Handle-Klein-Tools-JTH9M3/dp/B005G3HJ28/ref=sr_1_10?keywords=Klein+Tools+JTH6E11BE+3%2F16-Inch+Ball+Hex+Key%2C+Journeyman+T-Handle+6-Inch&amp;qid=1695174298&amp;sr=8-10", "https://www.amazon.com/Journeyman-T-Handle-Klein-Tools-JTH9M3/dp/B005G3HJ28/ref=sr_1_10?keywords=Klein+Tools+JTH6E11BE+3%2F16-Inch+Ball+Hex+Key%2C+Journeyman+T-Handle+6-Inch&amp;qid=1695174298&amp;sr=8-10")</f>
        <v>https://www.amazon.com/Journeyman-T-Handle-Klein-Tools-JTH9M3/dp/B005G3HJ28/ref=sr_1_10?keywords=Klein+Tools+JTH6E11BE+3%2F16-Inch+Ball+Hex+Key%2C+Journeyman+T-Handle+6-Inch&amp;qid=1695174298&amp;sr=8-10</v>
      </c>
      <c r="F4508" t="s">
        <v>3906</v>
      </c>
      <c r="G4508" t="e">
        <f ca="1">_xludf.IMAGE("https://edmondsonsupply.com/cdn/shop/products/jth6e13be_9dba8a6a-8a07-4d76-a54f-fe57b92b3fea.jpg?v=1610659188")</f>
        <v>#NAME?</v>
      </c>
      <c r="H4508" t="e">
        <f ca="1">_xludf.IMAGE("https://m.media-amazon.com/images/I/51MZtGjDOtL._AC_UL320_.jpg")</f>
        <v>#NAME?</v>
      </c>
      <c r="I4508" t="s">
        <v>6464</v>
      </c>
      <c r="J4508">
        <v>5.88</v>
      </c>
      <c r="K4508" s="4">
        <v>-0.3553</v>
      </c>
      <c r="L4508">
        <v>4.5999999999999996</v>
      </c>
      <c r="M4508">
        <v>179</v>
      </c>
      <c r="O4508" t="s">
        <v>25</v>
      </c>
      <c r="P4508" t="s">
        <v>138</v>
      </c>
      <c r="Q4508" t="s">
        <v>6977</v>
      </c>
    </row>
    <row r="4509" spans="1:17" ht="15.5" x14ac:dyDescent="0.35">
      <c r="A4509"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4509" s="3" t="str">
        <f>HYPERLINK("https://edmondsonsupply.com/products/veto-pro-pac-tp-xxl-tool-pouch", "https://edmondsonsupply.com/products/veto-pro-pac-tp-xxl-tool-pouch")</f>
        <v>https://edmondsonsupply.com/products/veto-pro-pac-tp-xxl-tool-pouch</v>
      </c>
      <c r="C4509" t="s">
        <v>451</v>
      </c>
      <c r="D4509" t="s">
        <v>371</v>
      </c>
      <c r="E4509" s="3" t="str">
        <f>HYPERLINK("https://www.amazon.com/Veto-TP-LC-Compact-Zippered-Service/dp/B09TPZKBDP/ref=sr_1_4?keywords=Veto+Pro+Pac+TP-XXL+Tool+Pouch&amp;qid=1695173851&amp;sr=8-4", "https://www.amazon.com/Veto-TP-LC-Compact-Zippered-Service/dp/B09TPZKBDP/ref=sr_1_4?keywords=Veto+Pro+Pac+TP-XXL+Tool+Pouch&amp;qid=1695173851&amp;sr=8-4")</f>
        <v>https://www.amazon.com/Veto-TP-LC-Compact-Zippered-Service/dp/B09TPZKBDP/ref=sr_1_4?keywords=Veto+Pro+Pac+TP-XXL+Tool+Pouch&amp;qid=1695173851&amp;sr=8-4</v>
      </c>
      <c r="F4509" t="s">
        <v>372</v>
      </c>
      <c r="G4509" t="e">
        <f ca="1">_xludf.IMAGE("https://edmondsonsupply.com/cdn/shop/products/01_TP-XXL.jpg?v=1633031173")</f>
        <v>#NAME?</v>
      </c>
      <c r="H4509" t="e">
        <f ca="1">_xludf.IMAGE("https://m.media-amazon.com/images/I/51b1SiebzcL._AC_UL320_.jpg")</f>
        <v>#NAME?</v>
      </c>
      <c r="I4509" t="s">
        <v>454</v>
      </c>
      <c r="J4509">
        <v>134.94999999999999</v>
      </c>
      <c r="K4509" s="4">
        <v>-0.3574</v>
      </c>
      <c r="L4509">
        <v>4.8</v>
      </c>
      <c r="M4509">
        <v>281</v>
      </c>
      <c r="O4509" t="s">
        <v>25</v>
      </c>
      <c r="P4509" t="s">
        <v>138</v>
      </c>
      <c r="Q4509" t="s">
        <v>455</v>
      </c>
    </row>
    <row r="4510" spans="1:17" ht="15.5" x14ac:dyDescent="0.35">
      <c r="A4510"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4510"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4510" t="s">
        <v>2344</v>
      </c>
      <c r="D4510" t="s">
        <v>5118</v>
      </c>
      <c r="E4510" s="3" t="str">
        <f>HYPERLINK("https://www.amazon.com/Journeyman-T-Handle-Klein-Tools-JTH9E10/dp/B004QV8H90/ref=sr_1_9?keywords=Klein+Tools+JTH6E14+5%2F16-Inch+Hex+Key+with+Journeyman+T-Handle%2C+6-Inch&amp;qid=1695173855&amp;sr=8-9", "https://www.amazon.com/Journeyman-T-Handle-Klein-Tools-JTH9E10/dp/B004QV8H90/ref=sr_1_9?keywords=Klein+Tools+JTH6E14+5%2F16-Inch+Hex+Key+with+Journeyman+T-Handle%2C+6-Inch&amp;qid=1695173855&amp;sr=8-9")</f>
        <v>https://www.amazon.com/Journeyman-T-Handle-Klein-Tools-JTH9E10/dp/B004QV8H90/ref=sr_1_9?keywords=Klein+Tools+JTH6E14+5%2F16-Inch+Hex+Key+with+Journeyman+T-Handle%2C+6-Inch&amp;qid=1695173855&amp;sr=8-9</v>
      </c>
      <c r="F4510" t="s">
        <v>5119</v>
      </c>
      <c r="G4510" t="e">
        <f ca="1">_xludf.IMAGE("https://edmondsonsupply.com/cdn/shop/products/jth6e15.jpg?v=1587148489")</f>
        <v>#NAME?</v>
      </c>
      <c r="H4510" t="e">
        <f ca="1">_xludf.IMAGE("https://m.media-amazon.com/images/I/51Yb8h41vLL._AC_UL320_.jpg")</f>
        <v>#NAME?</v>
      </c>
      <c r="I4510" t="s">
        <v>2347</v>
      </c>
      <c r="J4510">
        <v>4.49</v>
      </c>
      <c r="K4510" s="4">
        <v>-0.35770000000000002</v>
      </c>
      <c r="L4510">
        <v>4.8</v>
      </c>
      <c r="M4510">
        <v>294</v>
      </c>
      <c r="O4510" t="s">
        <v>25</v>
      </c>
      <c r="P4510" t="s">
        <v>1140</v>
      </c>
      <c r="Q4510" t="s">
        <v>2348</v>
      </c>
    </row>
    <row r="4511" spans="1:17" ht="15.5" x14ac:dyDescent="0.35">
      <c r="A4511"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4511" s="3" t="str">
        <f>HYPERLINK("https://edmondsonsupply.com/products/diablo-tools-dmapl2530-1-in-x-16-in-x-18-in-sds-plus-2-cutter", "https://edmondsonsupply.com/products/diablo-tools-dmapl2530-1-in-x-16-in-x-18-in-sds-plus-2-cutter")</f>
        <v>https://edmondsonsupply.com/products/diablo-tools-dmapl2530-1-in-x-16-in-x-18-in-sds-plus-2-cutter</v>
      </c>
      <c r="C4511" t="s">
        <v>7435</v>
      </c>
      <c r="D4511" t="s">
        <v>8969</v>
      </c>
      <c r="E4511" s="3" t="str">
        <f>HYPERLINK("https://www.amazon.com/Diablo-16-18-SDS-Plus-2-Cutter/dp/B089KV7MNH/ref=sr_1_10?keywords=Diablo+Tools+DMAPL2530+1+in.+x+16+in.+x+18+in.+SDS-Plus+2-Cutter&amp;qid=1695174263&amp;sr=8-10", "https://www.amazon.com/Diablo-16-18-SDS-Plus-2-Cutter/dp/B089KV7MNH/ref=sr_1_10?keywords=Diablo+Tools+DMAPL2530+1+in.+x+16+in.+x+18+in.+SDS-Plus+2-Cutter&amp;qid=1695174263&amp;sr=8-10")</f>
        <v>https://www.amazon.com/Diablo-16-18-SDS-Plus-2-Cutter/dp/B089KV7MNH/ref=sr_1_10?keywords=Diablo+Tools+DMAPL2530+1+in.+x+16+in.+x+18+in.+SDS-Plus+2-Cutter&amp;qid=1695174263&amp;sr=8-10</v>
      </c>
      <c r="F4511" t="s">
        <v>8970</v>
      </c>
      <c r="G4511" t="e">
        <f ca="1">_xludf.IMAGE("https://edmondsonsupply.com/cdn/shop/products/DMAPL2530_Main-Image20200703.png?v=1627068300")</f>
        <v>#NAME?</v>
      </c>
      <c r="H4511" t="e">
        <f ca="1">_xludf.IMAGE("https://m.media-amazon.com/images/I/61QBGOEcYkL._AC_UL320_.jpg")</f>
        <v>#NAME?</v>
      </c>
      <c r="I4511" t="s">
        <v>7436</v>
      </c>
      <c r="J4511">
        <v>24.98</v>
      </c>
      <c r="K4511" s="4">
        <v>-0.35899999999999999</v>
      </c>
      <c r="L4511">
        <v>5</v>
      </c>
      <c r="M4511">
        <v>1</v>
      </c>
      <c r="O4511" t="s">
        <v>25</v>
      </c>
      <c r="P4511" t="s">
        <v>7437</v>
      </c>
      <c r="Q4511" t="s">
        <v>7438</v>
      </c>
    </row>
    <row r="4512" spans="1:17" ht="15.5" x14ac:dyDescent="0.35">
      <c r="A4512" s="3" t="str">
        <f>HYPERLINK("https://edmondsonsupply.com/collections/electricians-tools/products/milwaukee-2553-20-m12-fuel%E2%84%A2-1-4-hex-impact-driver-tool-only", "https://edmondsonsupply.com/collections/electricians-tools/products/milwaukee-2553-20-m12-fuel%E2%84%A2-1-4-hex-impact-driver-tool-only")</f>
        <v>https://edmondsonsupply.com/collections/electricians-tools/products/milwaukee-2553-20-m12-fuel%E2%84%A2-1-4-hex-impact-driver-tool-only</v>
      </c>
      <c r="B4512" s="3" t="str">
        <f>HYPERLINK("https://edmondsonsupply.com/products/milwaukee-2553-20-m12-fuel%e2%84%a2-1-4-hex-impact-driver-tool-only", "https://edmondsonsupply.com/products/milwaukee-2553-20-m12-fuel%e2%84%a2-1-4-hex-impact-driver-tool-only")</f>
        <v>https://edmondsonsupply.com/products/milwaukee-2553-20-m12-fuel%e2%84%a2-1-4-hex-impact-driver-tool-only</v>
      </c>
      <c r="C4512" t="s">
        <v>8971</v>
      </c>
      <c r="D4512" t="s">
        <v>8972</v>
      </c>
      <c r="E4512" s="3" t="str">
        <f>HYPERLINK("https://www.amazon.com/Milwaukee-Electric-Tools-MLW2553-20-Impact/dp/B077ZYMK1W/ref=sr_1_1?keywords=Milwaukee+2553-20+M12+FUEL%E2%84%A2+1%2F4%22+Hex+Impact+Driver+%28Tool+Only%29&amp;qid=1695174125&amp;sr=8-1", "https://www.amazon.com/Milwaukee-Electric-Tools-MLW2553-20-Impact/dp/B077ZYMK1W/ref=sr_1_1?keywords=Milwaukee+2553-20+M12+FUEL%E2%84%A2+1%2F4%22+Hex+Impact+Driver+%28Tool+Only%29&amp;qid=1695174125&amp;sr=8-1")</f>
        <v>https://www.amazon.com/Milwaukee-Electric-Tools-MLW2553-20-Impact/dp/B077ZYMK1W/ref=sr_1_1?keywords=Milwaukee+2553-20+M12+FUEL%E2%84%A2+1%2F4%22+Hex+Impact+Driver+%28Tool+Only%29&amp;qid=1695174125&amp;sr=8-1</v>
      </c>
      <c r="F4512" t="s">
        <v>8973</v>
      </c>
      <c r="G4512" t="e">
        <f ca="1">_xludf.IMAGE("https://edmondsonsupply.com/cdn/shop/products/2553-20_1.webp?v=1668444189")</f>
        <v>#NAME?</v>
      </c>
      <c r="H4512" t="e">
        <f ca="1">_xludf.IMAGE("https://m.media-amazon.com/images/I/71gozUvKj2L._AC_UL320_.jpg")</f>
        <v>#NAME?</v>
      </c>
      <c r="I4512" t="s">
        <v>282</v>
      </c>
      <c r="J4512">
        <v>88.99</v>
      </c>
      <c r="K4512" s="4">
        <v>-0.35980000000000001</v>
      </c>
      <c r="L4512">
        <v>4.8</v>
      </c>
      <c r="M4512">
        <v>2987</v>
      </c>
      <c r="O4512" t="s">
        <v>25</v>
      </c>
      <c r="P4512" t="s">
        <v>8974</v>
      </c>
      <c r="Q4512" t="s">
        <v>8975</v>
      </c>
    </row>
    <row r="4513" spans="1:17" ht="15.5" x14ac:dyDescent="0.35">
      <c r="A4513"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4513"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4513" t="s">
        <v>6940</v>
      </c>
      <c r="D4513" t="s">
        <v>5970</v>
      </c>
      <c r="E4513" s="3" t="str">
        <f>HYPERLINK("https://www.amazon.com/Diablo-Universal-Bi-Metal-Oscillating-Nail-Embedded/dp/B089LDN2LT/ref=sr_1_6?keywords=Diablo+Tools+DOU125BF+1-1%2F4+in.+Universal+Fit+Bi-Metal+Oscillating+Blade+for+Metal&amp;qid=1695174025&amp;sr=8-6", "https://www.amazon.com/Diablo-Universal-Bi-Metal-Oscillating-Nail-Embedded/dp/B089LDN2LT/ref=sr_1_6?keywords=Diablo+Tools+DOU125BF+1-1%2F4+in.+Universal+Fit+Bi-Metal+Oscillating+Blade+for+Metal&amp;qid=1695174025&amp;sr=8-6")</f>
        <v>https://www.amazon.com/Diablo-Universal-Bi-Metal-Oscillating-Nail-Embedded/dp/B089LDN2LT/ref=sr_1_6?keywords=Diablo+Tools+DOU125BF+1-1%2F4+in.+Universal+Fit+Bi-Metal+Oscillating+Blade+for+Metal&amp;qid=1695174025&amp;sr=8-6</v>
      </c>
      <c r="F4513" t="s">
        <v>5971</v>
      </c>
      <c r="G4513" t="e">
        <f ca="1">_xludf.IMAGE("https://edmondsonsupply.com/cdn/shop/files/k1d1qiwmm4npznsdbwtg.webp?v=1685467858")</f>
        <v>#NAME?</v>
      </c>
      <c r="H4513" t="e">
        <f ca="1">_xludf.IMAGE("https://m.media-amazon.com/images/I/613ig7mNjfL._AC_UL320_.jpg")</f>
        <v>#NAME?</v>
      </c>
      <c r="I4513" t="s">
        <v>6164</v>
      </c>
      <c r="J4513">
        <v>12.14</v>
      </c>
      <c r="K4513" s="4">
        <v>-0.36</v>
      </c>
      <c r="L4513">
        <v>4.8</v>
      </c>
      <c r="M4513">
        <v>12</v>
      </c>
      <c r="O4513" t="s">
        <v>25</v>
      </c>
      <c r="P4513" t="s">
        <v>6943</v>
      </c>
      <c r="Q4513" t="s">
        <v>6944</v>
      </c>
    </row>
    <row r="4514" spans="1:17" ht="15.5" x14ac:dyDescent="0.35">
      <c r="A4514" s="3" t="str">
        <f>HYPERLINK("https://edmondsonsupply.com/collections/electricians-tools/products/milwaukee-48-11-2402-m12%E2%84%A2-xc-high-capacity-redlithium%E2%84%A2-battery", "https://edmondsonsupply.com/collections/electricians-tools/products/milwaukee-48-11-2402-m12%E2%84%A2-xc-high-capacity-redlithium%E2%84%A2-battery")</f>
        <v>https://edmondsonsupply.com/collections/electricians-tools/products/milwaukee-48-11-2402-m12%E2%84%A2-xc-high-capacity-redlithium%E2%84%A2-battery</v>
      </c>
      <c r="B4514" s="3" t="str">
        <f>HYPERLINK("https://edmondsonsupply.com/products/milwaukee-48-11-2402-m12%e2%84%a2-xc-high-capacity-redlithium%e2%84%a2-battery", "https://edmondsonsupply.com/products/milwaukee-48-11-2402-m12%e2%84%a2-xc-high-capacity-redlithium%e2%84%a2-battery")</f>
        <v>https://edmondsonsupply.com/products/milwaukee-48-11-2402-m12%e2%84%a2-xc-high-capacity-redlithium%e2%84%a2-battery</v>
      </c>
      <c r="C4514" t="s">
        <v>8976</v>
      </c>
      <c r="D4514" t="s">
        <v>8977</v>
      </c>
      <c r="E4514" s="3" t="str">
        <f>HYPERLINK("https://www.amazon.com/Milwaukee-Capacity-REDLITHIUM-Battery-48-11-2402/dp/B002ZM6R12/ref=sr_1_1?keywords=Milwaukee+48-11-2402+M12%E2%84%A2+XC+High+Capacity+REDLITHIUM%E2%84%A2+Battery&amp;qid=1695174209&amp;sr=8-1", "https://www.amazon.com/Milwaukee-Capacity-REDLITHIUM-Battery-48-11-2402/dp/B002ZM6R12/ref=sr_1_1?keywords=Milwaukee+48-11-2402+M12%E2%84%A2+XC+High+Capacity+REDLITHIUM%E2%84%A2+Battery&amp;qid=1695174209&amp;sr=8-1")</f>
        <v>https://www.amazon.com/Milwaukee-Capacity-REDLITHIUM-Battery-48-11-2402/dp/B002ZM6R12/ref=sr_1_1?keywords=Milwaukee+48-11-2402+M12%E2%84%A2+XC+High+Capacity+REDLITHIUM%E2%84%A2+Battery&amp;qid=1695174209&amp;sr=8-1</v>
      </c>
      <c r="F4514" t="s">
        <v>8978</v>
      </c>
      <c r="G4514" t="e">
        <f ca="1">_xludf.IMAGE("https://edmondsonsupply.com/cdn/shop/products/56222_48-11-2402v1-lg.webp?v=1654795509")</f>
        <v>#NAME?</v>
      </c>
      <c r="H4514" t="e">
        <f ca="1">_xludf.IMAGE("https://m.media-amazon.com/images/I/61D+FlUariL._AC_UL320_.jpg")</f>
        <v>#NAME?</v>
      </c>
      <c r="I4514" t="s">
        <v>4741</v>
      </c>
      <c r="J4514">
        <v>50.5</v>
      </c>
      <c r="K4514" s="4">
        <v>-0.36080000000000001</v>
      </c>
      <c r="L4514">
        <v>4.7</v>
      </c>
      <c r="M4514">
        <v>482</v>
      </c>
      <c r="O4514" t="s">
        <v>25</v>
      </c>
      <c r="P4514" t="s">
        <v>8979</v>
      </c>
      <c r="Q4514" t="s">
        <v>8980</v>
      </c>
    </row>
    <row r="4515" spans="1:17" ht="15.5" x14ac:dyDescent="0.35">
      <c r="A4515" s="3" t="str">
        <f>HYPERLINK("https://edmondsonsupply.com/collections/electricians-tools/products/milwaukee-48-11-2430-m12%E2%84%A2-redlithium%E2%84%A2-3-0-compact-battery-pack", "https://edmondsonsupply.com/collections/electricians-tools/products/milwaukee-48-11-2430-m12%E2%84%A2-redlithium%E2%84%A2-3-0-compact-battery-pack")</f>
        <v>https://edmondsonsupply.com/collections/electricians-tools/products/milwaukee-48-11-2430-m12%E2%84%A2-redlithium%E2%84%A2-3-0-compact-battery-pack</v>
      </c>
      <c r="B4515"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4515" t="s">
        <v>5449</v>
      </c>
      <c r="D4515" t="s">
        <v>5484</v>
      </c>
      <c r="E4515" s="3" t="str">
        <f>HYPERLINK("https://www.amazon.com/Milwaukee-Electric-48-11-2430-Redlithium-Compact/dp/B01M4LEIPF/ref=sr_1_1?keywords=Milwaukee+48-11-2430+M12%E2%84%A2+REDLITHIUM%E2%84%A2+3.0+Compact+Battery+Pack&amp;qid=1695173950&amp;sr=8-1", "https://www.amazon.com/Milwaukee-Electric-48-11-2430-Redlithium-Compact/dp/B01M4LEIPF/ref=sr_1_1?keywords=Milwaukee+48-11-2430+M12%E2%84%A2+REDLITHIUM%E2%84%A2+3.0+Compact+Battery+Pack&amp;qid=1695173950&amp;sr=8-1")</f>
        <v>https://www.amazon.com/Milwaukee-Electric-48-11-2430-Redlithium-Compact/dp/B01M4LEIPF/ref=sr_1_1?keywords=Milwaukee+48-11-2430+M12%E2%84%A2+REDLITHIUM%E2%84%A2+3.0+Compact+Battery+Pack&amp;qid=1695173950&amp;sr=8-1</v>
      </c>
      <c r="F4515" t="s">
        <v>5485</v>
      </c>
      <c r="G4515" t="e">
        <f ca="1">_xludf.IMAGE("https://edmondsonsupply.com/cdn/shop/products/48-11-2430.png?v=1587142488")</f>
        <v>#NAME?</v>
      </c>
      <c r="H4515" t="e">
        <f ca="1">_xludf.IMAGE("https://m.media-amazon.com/images/I/61f9ucOtdML._AC_UL320_.jpg")</f>
        <v>#NAME?</v>
      </c>
      <c r="I4515" t="s">
        <v>5452</v>
      </c>
      <c r="J4515">
        <v>43.99</v>
      </c>
      <c r="K4515" s="4">
        <v>-0.36249999999999999</v>
      </c>
      <c r="L4515">
        <v>4.8</v>
      </c>
      <c r="M4515">
        <v>456</v>
      </c>
      <c r="O4515" t="s">
        <v>25</v>
      </c>
      <c r="P4515" t="s">
        <v>5453</v>
      </c>
      <c r="Q4515" t="s">
        <v>5454</v>
      </c>
    </row>
    <row r="4516" spans="1:17" ht="15.5" x14ac:dyDescent="0.35">
      <c r="A4516"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4516"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4516" t="s">
        <v>8412</v>
      </c>
      <c r="D4516" t="s">
        <v>8981</v>
      </c>
      <c r="E4516" s="3" t="str">
        <f>HYPERLINK("https://www.amazon.com/TAJIMA-Tape-Measure-G-Measuring/dp/B000K1I9WU/ref=sr_1_4?keywords=Tajima+GS-25%2F7.5MBW+GS+Lock%E2%84%A2+Standard+%26+Metric+Scale%2C+25+ft%2F+7.5+m+x+1-1%2F16+in.%2F27mm+Steel+Blade+Tape+Measure&amp;qid=1695174191&amp;sr=8-4", "https://www.amazon.com/TAJIMA-Tape-Measure-G-Measuring/dp/B000K1I9WU/ref=sr_1_4?keywords=Tajima+GS-25%2F7.5MBW+GS+Lock%E2%84%A2+Standard+%26+Metric+Scale%2C+25+ft%2F+7.5+m+x+1-1%2F16+in.%2F27mm+Steel+Blade+Tape+Measure&amp;qid=1695174191&amp;sr=8-4")</f>
        <v>https://www.amazon.com/TAJIMA-Tape-Measure-G-Measuring/dp/B000K1I9WU/ref=sr_1_4?keywords=Tajima+GS-25%2F7.5MBW+GS+Lock%E2%84%A2+Standard+%26+Metric+Scale%2C+25+ft%2F+7.5+m+x+1-1%2F16+in.%2F27mm+Steel+Blade+Tape+Measure&amp;qid=1695174191&amp;sr=8-4</v>
      </c>
      <c r="F4516" t="s">
        <v>8982</v>
      </c>
      <c r="G4516" t="e">
        <f ca="1">_xludf.IMAGE("https://edmondsonsupply.com/cdn/shop/products/GS25-7.5MBW.jpg?v=1655830265")</f>
        <v>#NAME?</v>
      </c>
      <c r="H4516" t="e">
        <f ca="1">_xludf.IMAGE("https://m.media-amazon.com/images/I/81LietF-5eL._AC_UL320_.jpg")</f>
        <v>#NAME?</v>
      </c>
      <c r="I4516" t="s">
        <v>7638</v>
      </c>
      <c r="J4516">
        <v>26.88</v>
      </c>
      <c r="K4516" s="4">
        <v>-0.3629</v>
      </c>
      <c r="L4516">
        <v>4.5999999999999996</v>
      </c>
      <c r="M4516">
        <v>85</v>
      </c>
      <c r="O4516" t="s">
        <v>25</v>
      </c>
      <c r="P4516" t="s">
        <v>138</v>
      </c>
      <c r="Q4516" t="s">
        <v>8413</v>
      </c>
    </row>
    <row r="4517" spans="1:17" ht="15.5" x14ac:dyDescent="0.35">
      <c r="A4517" s="3" t="str">
        <f>HYPERLINK("https://edmondsonsupply.com/collections/electricians-tools/products/diablo-tools-dhs0375dg-3-8-in-diamond-grit-hole-saws", "https://edmondsonsupply.com/collections/electricians-tools/products/diablo-tools-dhs0375dg-3-8-in-diamond-grit-hole-saws")</f>
        <v>https://edmondsonsupply.com/collections/electricians-tools/products/diablo-tools-dhs0375dg-3-8-in-diamond-grit-hole-saws</v>
      </c>
      <c r="B4517" s="3" t="str">
        <f>HYPERLINK("https://edmondsonsupply.com/products/diablo-tools-dhs0375dg-3-8-in-diamond-grit-hole-saws", "https://edmondsonsupply.com/products/diablo-tools-dhs0375dg-3-8-in-diamond-grit-hole-saws")</f>
        <v>https://edmondsonsupply.com/products/diablo-tools-dhs0375dg-3-8-in-diamond-grit-hole-saws</v>
      </c>
      <c r="C4517" t="s">
        <v>8983</v>
      </c>
      <c r="D4517" t="s">
        <v>8984</v>
      </c>
      <c r="E4517" s="3" t="str">
        <f>HYPERLINK("https://www.amazon.com/Diamond-Granite-Drill-Coated-Masonry/dp/B07HF7DZH8/ref=sr_1_10?keywords=Diablo+Tools+DHS0375DG+3%2F8+in.+Diamond+Grit+Hole+Saws&amp;qid=1695174111&amp;sr=8-10", "https://www.amazon.com/Diamond-Granite-Drill-Coated-Masonry/dp/B07HF7DZH8/ref=sr_1_10?keywords=Diablo+Tools+DHS0375DG+3%2F8+in.+Diamond+Grit+Hole+Saws&amp;qid=1695174111&amp;sr=8-10")</f>
        <v>https://www.amazon.com/Diamond-Granite-Drill-Coated-Masonry/dp/B07HF7DZH8/ref=sr_1_10?keywords=Diablo+Tools+DHS0375DG+3%2F8+in.+Diamond+Grit+Hole+Saws&amp;qid=1695174111&amp;sr=8-10</v>
      </c>
      <c r="F4517" t="s">
        <v>8985</v>
      </c>
      <c r="G4517" t="e">
        <f ca="1">_xludf.IMAGE("https://edmondsonsupply.com/cdn/shop/products/mh2dqfdvyha0k7sljzkb.webp?v=1670005541")</f>
        <v>#NAME?</v>
      </c>
      <c r="H4517" t="e">
        <f ca="1">_xludf.IMAGE("https://m.media-amazon.com/images/I/71u6oB5gohL._AC_UL320_.jpg")</f>
        <v>#NAME?</v>
      </c>
      <c r="I4517" t="s">
        <v>8986</v>
      </c>
      <c r="J4517">
        <v>9.5</v>
      </c>
      <c r="K4517" s="4">
        <v>-0.36370000000000002</v>
      </c>
      <c r="L4517">
        <v>4.5</v>
      </c>
      <c r="M4517">
        <v>795</v>
      </c>
      <c r="O4517" t="s">
        <v>25</v>
      </c>
      <c r="P4517" t="s">
        <v>8987</v>
      </c>
      <c r="Q4517" t="s">
        <v>8988</v>
      </c>
    </row>
    <row r="4518" spans="1:17" ht="15.5" x14ac:dyDescent="0.35">
      <c r="A4518"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4518" s="3" t="str">
        <f>HYPERLINK("https://edmondsonsupply.com/products/fluke-325-true-rms-clamp-meter", "https://edmondsonsupply.com/products/fluke-325-true-rms-clamp-meter")</f>
        <v>https://edmondsonsupply.com/products/fluke-325-true-rms-clamp-meter</v>
      </c>
      <c r="C4518" t="s">
        <v>7585</v>
      </c>
      <c r="D4518" t="s">
        <v>5826</v>
      </c>
      <c r="E4518" s="3" t="str">
        <f>HYPERLINK("https://www.amazon.com/Fluke-373-True-RMS-Clamp-Meter/dp/B004DZCWIQ/ref=sr_1_7?keywords=Fluke+325+True+RMS+Clamp+Meter&amp;qid=1695174241&amp;sr=8-7", "https://www.amazon.com/Fluke-373-True-RMS-Clamp-Meter/dp/B004DZCWIQ/ref=sr_1_7?keywords=Fluke+325+True+RMS+Clamp+Meter&amp;qid=1695174241&amp;sr=8-7")</f>
        <v>https://www.amazon.com/Fluke-373-True-RMS-Clamp-Meter/dp/B004DZCWIQ/ref=sr_1_7?keywords=Fluke+325+True+RMS+Clamp+Meter&amp;qid=1695174241&amp;sr=8-7</v>
      </c>
      <c r="F4518" t="s">
        <v>5936</v>
      </c>
      <c r="G4518" t="e">
        <f ca="1">_xludf.IMAGE("https://edmondsonsupply.com/cdn/shop/products/Fluke_325_clamp_meter_1280x873px_E_NR-14655.jpg?v=1688679209")</f>
        <v>#NAME?</v>
      </c>
      <c r="H4518" t="e">
        <f ca="1">_xludf.IMAGE("https://m.media-amazon.com/images/I/617BjfkzIaL._AC_UY218_.jpg")</f>
        <v>#NAME?</v>
      </c>
      <c r="I4518" t="s">
        <v>7586</v>
      </c>
      <c r="J4518">
        <v>236.46</v>
      </c>
      <c r="K4518" s="4">
        <v>-0.3669</v>
      </c>
      <c r="L4518">
        <v>4.7</v>
      </c>
      <c r="M4518">
        <v>84</v>
      </c>
      <c r="O4518" t="s">
        <v>25</v>
      </c>
      <c r="P4518" t="s">
        <v>4069</v>
      </c>
      <c r="Q4518" t="s">
        <v>7587</v>
      </c>
    </row>
    <row r="4519" spans="1:17" ht="15.5" x14ac:dyDescent="0.35">
      <c r="A4519" s="3" t="str">
        <f>HYPERLINK("https://edmondsonsupply.com/collections/electricians-tools/products/fluke-80pk-1-bead-probe", "https://edmondsonsupply.com/collections/electricians-tools/products/fluke-80pk-1-bead-probe")</f>
        <v>https://edmondsonsupply.com/collections/electricians-tools/products/fluke-80pk-1-bead-probe</v>
      </c>
      <c r="B4519" s="3" t="str">
        <f>HYPERLINK("https://edmondsonsupply.com/products/fluke-80pk-1-bead-probe", "https://edmondsonsupply.com/products/fluke-80pk-1-bead-probe")</f>
        <v>https://edmondsonsupply.com/products/fluke-80pk-1-bead-probe</v>
      </c>
      <c r="C4519" t="s">
        <v>8672</v>
      </c>
      <c r="D4519" t="s">
        <v>8672</v>
      </c>
      <c r="E4519" s="3" t="str">
        <f>HYPERLINK("https://www.amazon.com/Fluke-80PK-1-Bead-Probe/dp/B00011Q5PW/ref=sr_1_3?keywords=Fluke+80PK-1+Bead+Probe&amp;qid=1695174239&amp;sr=8-3", "https://www.amazon.com/Fluke-80PK-1-Bead-Probe/dp/B00011Q5PW/ref=sr_1_3?keywords=Fluke+80PK-1+Bead+Probe&amp;qid=1695174239&amp;sr=8-3")</f>
        <v>https://www.amazon.com/Fluke-80PK-1-Bead-Probe/dp/B00011Q5PW/ref=sr_1_3?keywords=Fluke+80PK-1+Bead+Probe&amp;qid=1695174239&amp;sr=8-3</v>
      </c>
      <c r="F4519" t="s">
        <v>8989</v>
      </c>
      <c r="G4519" t="e">
        <f ca="1">_xludf.IMAGE("https://edmondsonsupply.com/cdn/shop/products/80pk-1a.png?v=1633466414")</f>
        <v>#NAME?</v>
      </c>
      <c r="H4519" t="e">
        <f ca="1">_xludf.IMAGE("https://m.media-amazon.com/images/I/41PUHcuA1YL._AC_UY218_.jpg")</f>
        <v>#NAME?</v>
      </c>
      <c r="I4519" t="s">
        <v>1765</v>
      </c>
      <c r="J4519">
        <v>36</v>
      </c>
      <c r="K4519" s="4">
        <v>-0.36830000000000002</v>
      </c>
      <c r="L4519">
        <v>4.2</v>
      </c>
      <c r="M4519">
        <v>51</v>
      </c>
      <c r="O4519" t="s">
        <v>25</v>
      </c>
      <c r="P4519" t="s">
        <v>905</v>
      </c>
      <c r="Q4519" t="s">
        <v>8675</v>
      </c>
    </row>
    <row r="4520" spans="1:17" ht="15.5" x14ac:dyDescent="0.35">
      <c r="A4520"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4520"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4520" t="s">
        <v>7545</v>
      </c>
      <c r="D4520" t="s">
        <v>8990</v>
      </c>
      <c r="E4520" s="3" t="str">
        <f>HYPERLINK("https://www.amazon.com/Klein-Tools-CL120KIT-Electrical-Auto-Ranging/dp/B08DSX4B27/ref=sr_1_4?keywords=Klein+Tools+CL320KIT+HVAC+Digital+Clamp+Meter+Electrical+Test+Kit&amp;qid=1695174178&amp;sr=8-4", "https://www.amazon.com/Klein-Tools-CL120KIT-Electrical-Auto-Ranging/dp/B08DSX4B27/ref=sr_1_4?keywords=Klein+Tools+CL320KIT+HVAC+Digital+Clamp+Meter+Electrical+Test+Kit&amp;qid=1695174178&amp;sr=8-4")</f>
        <v>https://www.amazon.com/Klein-Tools-CL120KIT-Electrical-Auto-Ranging/dp/B08DSX4B27/ref=sr_1_4?keywords=Klein+Tools+CL320KIT+HVAC+Digital+Clamp+Meter+Electrical+Test+Kit&amp;qid=1695174178&amp;sr=8-4</v>
      </c>
      <c r="F4520" t="s">
        <v>8991</v>
      </c>
      <c r="G4520" t="e">
        <f ca="1">_xludf.IMAGE("https://edmondsonsupply.com/cdn/shop/products/cl320kit_photo.jpg?v=1660753251")</f>
        <v>#NAME?</v>
      </c>
      <c r="H4520" t="e">
        <f ca="1">_xludf.IMAGE("https://m.media-amazon.com/images/I/61PGdW5i-0L._AC_UY218_.jpg")</f>
        <v>#NAME?</v>
      </c>
      <c r="I4520" t="s">
        <v>7548</v>
      </c>
      <c r="J4520">
        <v>74.97</v>
      </c>
      <c r="K4520" s="4">
        <v>-0.36990000000000001</v>
      </c>
      <c r="L4520">
        <v>4.8</v>
      </c>
      <c r="M4520">
        <v>498</v>
      </c>
      <c r="O4520" t="s">
        <v>25</v>
      </c>
      <c r="P4520" t="s">
        <v>7549</v>
      </c>
      <c r="Q4520" t="s">
        <v>7550</v>
      </c>
    </row>
    <row r="4521" spans="1:17" ht="15.5" x14ac:dyDescent="0.35">
      <c r="A4521"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4521" s="3" t="str">
        <f>HYPERLINK("https://edmondsonsupply.com/products/klein-tools-56028-flashlight-with-worklight-led-flashlight", "https://edmondsonsupply.com/products/klein-tools-56028-flashlight-with-worklight-led-flashlight")</f>
        <v>https://edmondsonsupply.com/products/klein-tools-56028-flashlight-with-worklight-led-flashlight</v>
      </c>
      <c r="C4521" t="s">
        <v>7140</v>
      </c>
      <c r="D4521" t="s">
        <v>8992</v>
      </c>
      <c r="E4521" s="3" t="str">
        <f>HYPERLINK("https://www.amazon.com/Khanka-Carrying-Replacement-Flashlight-Worklight/dp/B0986QYX91/ref=sr_1_8?keywords=Klein+Tools+56028+LED+Flashlight+with+Work+Light&amp;qid=1695174266&amp;sr=8-8", "https://www.amazon.com/Khanka-Carrying-Replacement-Flashlight-Worklight/dp/B0986QYX91/ref=sr_1_8?keywords=Klein+Tools+56028+LED+Flashlight+with+Work+Light&amp;qid=1695174266&amp;sr=8-8")</f>
        <v>https://www.amazon.com/Khanka-Carrying-Replacement-Flashlight-Worklight/dp/B0986QYX91/ref=sr_1_8?keywords=Klein+Tools+56028+LED+Flashlight+with+Work+Light&amp;qid=1695174266&amp;sr=8-8</v>
      </c>
      <c r="F4521" t="s">
        <v>8993</v>
      </c>
      <c r="G4521" t="e">
        <f ca="1">_xludf.IMAGE("https://edmondsonsupply.com/cdn/shop/products/56028.jpg?v=1587148656")</f>
        <v>#NAME?</v>
      </c>
      <c r="H4521" t="e">
        <f ca="1">_xludf.IMAGE("https://m.media-amazon.com/images/I/71zqfsdbUES._AC_UL320_.jpg")</f>
        <v>#NAME?</v>
      </c>
      <c r="I4521" t="s">
        <v>936</v>
      </c>
      <c r="J4521">
        <v>16.989999999999998</v>
      </c>
      <c r="K4521" s="4">
        <v>-0.37</v>
      </c>
      <c r="L4521">
        <v>4.8</v>
      </c>
      <c r="M4521">
        <v>129</v>
      </c>
      <c r="O4521" t="s">
        <v>25</v>
      </c>
      <c r="P4521" t="s">
        <v>7141</v>
      </c>
      <c r="Q4521" t="s">
        <v>7142</v>
      </c>
    </row>
    <row r="4522" spans="1:17" ht="15.5" x14ac:dyDescent="0.35">
      <c r="A4522"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4522"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4522" t="s">
        <v>6940</v>
      </c>
      <c r="D4522" t="s">
        <v>8827</v>
      </c>
      <c r="E4522" s="3" t="str">
        <f>HYPERLINK("https://www.amazon.com/Diablo-Freud-DOU125BF-Universal-Oscillating/dp/B089KV143Y/ref=sr_1_1?keywords=Diablo+Tools+DOU125BF+1-1%2F4+in.+Universal+Fit+Bi-Metal+Oscillating+Blade+for+Metal&amp;qid=1695174025&amp;sr=8-1", "https://www.amazon.com/Diablo-Freud-DOU125BF-Universal-Oscillating/dp/B089KV143Y/ref=sr_1_1?keywords=Diablo+Tools+DOU125BF+1-1%2F4+in.+Universal+Fit+Bi-Metal+Oscillating+Blade+for+Metal&amp;qid=1695174025&amp;sr=8-1")</f>
        <v>https://www.amazon.com/Diablo-Freud-DOU125BF-Universal-Oscillating/dp/B089KV143Y/ref=sr_1_1?keywords=Diablo+Tools+DOU125BF+1-1%2F4+in.+Universal+Fit+Bi-Metal+Oscillating+Blade+for+Metal&amp;qid=1695174025&amp;sr=8-1</v>
      </c>
      <c r="F4522" t="s">
        <v>8828</v>
      </c>
      <c r="G4522" t="e">
        <f ca="1">_xludf.IMAGE("https://edmondsonsupply.com/cdn/shop/files/k1d1qiwmm4npznsdbwtg.webp?v=1685467858")</f>
        <v>#NAME?</v>
      </c>
      <c r="H4522" t="e">
        <f ca="1">_xludf.IMAGE("https://m.media-amazon.com/images/I/61mZfXlj-XL._AC_UL320_.jpg")</f>
        <v>#NAME?</v>
      </c>
      <c r="I4522" t="s">
        <v>6164</v>
      </c>
      <c r="J4522">
        <v>11.95</v>
      </c>
      <c r="K4522" s="4">
        <v>-0.37009999999999998</v>
      </c>
      <c r="L4522">
        <v>3.7</v>
      </c>
      <c r="M4522">
        <v>8</v>
      </c>
      <c r="O4522" t="s">
        <v>25</v>
      </c>
      <c r="P4522" t="s">
        <v>6943</v>
      </c>
      <c r="Q4522" t="s">
        <v>6944</v>
      </c>
    </row>
    <row r="4523" spans="1:17" ht="15.5" x14ac:dyDescent="0.35">
      <c r="A4523"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4523" s="3" t="str">
        <f>HYPERLINK("https://edmondsonsupply.com/products/klein-tools-60615-heavy-duty-knee-pad-sleeves-s-m", "https://edmondsonsupply.com/products/klein-tools-60615-heavy-duty-knee-pad-sleeves-s-m")</f>
        <v>https://edmondsonsupply.com/products/klein-tools-60615-heavy-duty-knee-pad-sleeves-s-m</v>
      </c>
      <c r="C4523" t="s">
        <v>1029</v>
      </c>
      <c r="D4523" t="s">
        <v>1331</v>
      </c>
      <c r="E4523" s="3" t="str">
        <f>HYPERLINK("https://www.amazon.com/Construction-REXBETI-Comfortable-Anti-slip-Stretchable/dp/B07BPWV83H/ref=sr_1_7?keywords=Klein+Tools+60615+Heavy+Duty+Knee+Pad+Sleeves%2C+S%2FM&amp;qid=1695174031&amp;sr=8-7", "https://www.amazon.com/Construction-REXBETI-Comfortable-Anti-slip-Stretchable/dp/B07BPWV83H/ref=sr_1_7?keywords=Klein+Tools+60615+Heavy+Duty+Knee+Pad+Sleeves%2C+S%2FM&amp;qid=1695174031&amp;sr=8-7")</f>
        <v>https://www.amazon.com/Construction-REXBETI-Comfortable-Anti-slip-Stretchable/dp/B07BPWV83H/ref=sr_1_7?keywords=Klein+Tools+60615+Heavy+Duty+Knee+Pad+Sleeves%2C+S%2FM&amp;qid=1695174031&amp;sr=8-7</v>
      </c>
      <c r="F4523" t="s">
        <v>1332</v>
      </c>
      <c r="G4523" t="e">
        <f ca="1">_xludf.IMAGE("https://edmondsonsupply.com/cdn/shop/products/60511_60611_b_f68c12ff-69e9-4ee5-9cc0-02cf7484e091.jpg?v=1681743847")</f>
        <v>#NAME?</v>
      </c>
      <c r="H4523" t="e">
        <f ca="1">_xludf.IMAGE("https://m.media-amazon.com/images/I/81thqdRMknL._AC_UL320_.jpg")</f>
        <v>#NAME?</v>
      </c>
      <c r="I4523" t="s">
        <v>198</v>
      </c>
      <c r="J4523">
        <v>25.19</v>
      </c>
      <c r="K4523" s="4">
        <v>-0.37009999999999998</v>
      </c>
      <c r="L4523">
        <v>4.5999999999999996</v>
      </c>
      <c r="M4523">
        <v>11541</v>
      </c>
      <c r="O4523" t="s">
        <v>25</v>
      </c>
      <c r="P4523" t="s">
        <v>1027</v>
      </c>
      <c r="Q4523" t="s">
        <v>1030</v>
      </c>
    </row>
    <row r="4524" spans="1:17" ht="15.5" x14ac:dyDescent="0.35">
      <c r="A4524"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4524" s="3" t="str">
        <f>HYPERLINK("https://edmondsonsupply.com/products/klein-tools-60511-heavy-duty-knee-pad-sleeves-m-l", "https://edmondsonsupply.com/products/klein-tools-60511-heavy-duty-knee-pad-sleeves-m-l")</f>
        <v>https://edmondsonsupply.com/products/klein-tools-60511-heavy-duty-knee-pad-sleeves-m-l</v>
      </c>
      <c r="C4524" t="s">
        <v>1024</v>
      </c>
      <c r="D4524" t="s">
        <v>1331</v>
      </c>
      <c r="E4524" s="3" t="str">
        <f>HYPERLINK("https://www.amazon.com/Construction-REXBETI-Comfortable-Anti-slip-Stretchable/dp/B07BPWV83H/ref=sr_1_9?keywords=Klein+Tools+60511+Heavy+Duty+Knee+Pad+Sleeves%2C+M%2FL&amp;qid=1695174162&amp;sr=8-9", "https://www.amazon.com/Construction-REXBETI-Comfortable-Anti-slip-Stretchable/dp/B07BPWV83H/ref=sr_1_9?keywords=Klein+Tools+60511+Heavy+Duty+Knee+Pad+Sleeves%2C+M%2FL&amp;qid=1695174162&amp;sr=8-9")</f>
        <v>https://www.amazon.com/Construction-REXBETI-Comfortable-Anti-slip-Stretchable/dp/B07BPWV83H/ref=sr_1_9?keywords=Klein+Tools+60511+Heavy+Duty+Knee+Pad+Sleeves%2C+M%2FL&amp;qid=1695174162&amp;sr=8-9</v>
      </c>
      <c r="F4524" t="s">
        <v>1332</v>
      </c>
      <c r="G4524" t="e">
        <f ca="1">_xludf.IMAGE("https://edmondsonsupply.com/cdn/shop/products/60511_60611_b.jpg?v=1663253024")</f>
        <v>#NAME?</v>
      </c>
      <c r="H4524" t="e">
        <f ca="1">_xludf.IMAGE("https://m.media-amazon.com/images/I/81thqdRMknL._AC_UL320_.jpg")</f>
        <v>#NAME?</v>
      </c>
      <c r="I4524" t="s">
        <v>198</v>
      </c>
      <c r="J4524">
        <v>25.19</v>
      </c>
      <c r="K4524" s="4">
        <v>-0.37009999999999998</v>
      </c>
      <c r="L4524">
        <v>4.5999999999999996</v>
      </c>
      <c r="M4524">
        <v>11541</v>
      </c>
      <c r="O4524" t="s">
        <v>25</v>
      </c>
      <c r="P4524" t="s">
        <v>1027</v>
      </c>
      <c r="Q4524" t="s">
        <v>1028</v>
      </c>
    </row>
    <row r="4525" spans="1:17" ht="15.5" x14ac:dyDescent="0.35">
      <c r="A4525"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4525"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4525" t="s">
        <v>8050</v>
      </c>
      <c r="D4525" t="s">
        <v>4465</v>
      </c>
      <c r="E4525" s="3" t="str">
        <f>HYPERLINK("https://www.amazon.com/CHANNELLOCK-428-Adjustments-SAFE-T-STOP-High-Carbon/dp/B00004SBCT/ref=sr_1_10?keywords=Channellock+430X+10-Inch+SPEEDGRIP%E2%84%A2+Straight+Jaw+Tongue+%26+Groove+Pliers&amp;qid=1695174216&amp;sr=8-10", "https://www.amazon.com/CHANNELLOCK-428-Adjustments-SAFE-T-STOP-High-Carbon/dp/B00004SBCT/ref=sr_1_10?keywords=Channellock+430X+10-Inch+SPEEDGRIP%E2%84%A2+Straight+Jaw+Tongue+%26+Groove+Pliers&amp;qid=1695174216&amp;sr=8-10")</f>
        <v>https://www.amazon.com/CHANNELLOCK-428-Adjustments-SAFE-T-STOP-High-Carbon/dp/B00004SBCT/ref=sr_1_10?keywords=Channellock+430X+10-Inch+SPEEDGRIP%E2%84%A2+Straight+Jaw+Tongue+%26+Groove+Pliers&amp;qid=1695174216&amp;sr=8-10</v>
      </c>
      <c r="F4525" t="s">
        <v>4466</v>
      </c>
      <c r="G4525" t="e">
        <f ca="1">_xludf.IMAGE("https://edmondsonsupply.com/cdn/shop/products/430X.jpg?v=1647100497")</f>
        <v>#NAME?</v>
      </c>
      <c r="H4525" t="e">
        <f ca="1">_xludf.IMAGE("https://m.media-amazon.com/images/I/71PJMchXHJL._AC_UL320_.jpg")</f>
        <v>#NAME?</v>
      </c>
      <c r="I4525" t="s">
        <v>5375</v>
      </c>
      <c r="J4525">
        <v>16.95</v>
      </c>
      <c r="K4525" s="4">
        <v>-0.37109999999999999</v>
      </c>
      <c r="L4525">
        <v>4.7</v>
      </c>
      <c r="M4525">
        <v>239</v>
      </c>
      <c r="O4525" t="s">
        <v>25</v>
      </c>
      <c r="P4525" t="s">
        <v>8051</v>
      </c>
      <c r="Q4525" t="s">
        <v>8052</v>
      </c>
    </row>
    <row r="4526" spans="1:17" ht="15.5" x14ac:dyDescent="0.35">
      <c r="A4526" s="3" t="str">
        <f>HYPERLINK("https://edmondsonsupply.com/collections/electricians-tools/products/klein-tools-ktsb01-step-drill-bit-double-fluted-1-1-8-to-1-2-inch", "https://edmondsonsupply.com/collections/electricians-tools/products/klein-tools-ktsb01-step-drill-bit-double-fluted-1-1-8-to-1-2-inch")</f>
        <v>https://edmondsonsupply.com/collections/electricians-tools/products/klein-tools-ktsb01-step-drill-bit-double-fluted-1-1-8-to-1-2-inch</v>
      </c>
      <c r="B4526" s="3" t="str">
        <f>HYPERLINK("https://edmondsonsupply.com/products/klein-tools-ktsb01-step-drill-bit-double-fluted-1-1-8-to-1-2-inch", "https://edmondsonsupply.com/products/klein-tools-ktsb01-step-drill-bit-double-fluted-1-1-8-to-1-2-inch")</f>
        <v>https://edmondsonsupply.com/products/klein-tools-ktsb01-step-drill-bit-double-fluted-1-1-8-to-1-2-inch</v>
      </c>
      <c r="C4526" t="s">
        <v>6266</v>
      </c>
      <c r="D4526" t="s">
        <v>8994</v>
      </c>
      <c r="E4526" s="3" t="str">
        <f>HYPERLINK("https://www.amazon.com/Jerax-tools-Straight-Stainless-highlighted/dp/B094VN88HK/ref=sr_1_4?keywords=Klein+Tools+KTSB01+Step+Drill+Bit+Double-Fluted+%231%2C+1%2F8+to+1%2F2-Inch&amp;qid=1695174255&amp;sr=8-4", "https://www.amazon.com/Jerax-tools-Straight-Stainless-highlighted/dp/B094VN88HK/ref=sr_1_4?keywords=Klein+Tools+KTSB01+Step+Drill+Bit+Double-Fluted+%231%2C+1%2F8+to+1%2F2-Inch&amp;qid=1695174255&amp;sr=8-4")</f>
        <v>https://www.amazon.com/Jerax-tools-Straight-Stainless-highlighted/dp/B094VN88HK/ref=sr_1_4?keywords=Klein+Tools+KTSB01+Step+Drill+Bit+Double-Fluted+%231%2C+1%2F8+to+1%2F2-Inch&amp;qid=1695174255&amp;sr=8-4</v>
      </c>
      <c r="F4526" t="s">
        <v>8995</v>
      </c>
      <c r="G4526" t="e">
        <f ca="1">_xludf.IMAGE("https://edmondsonsupply.com/cdn/shop/products/ktsb01.jpg?v=1633903640")</f>
        <v>#NAME?</v>
      </c>
      <c r="H4526" t="e">
        <f ca="1">_xludf.IMAGE("https://m.media-amazon.com/images/I/61uPaRTO-SL._AC_UY218_.jpg")</f>
        <v>#NAME?</v>
      </c>
      <c r="I4526" t="s">
        <v>967</v>
      </c>
      <c r="J4526">
        <v>16.95</v>
      </c>
      <c r="K4526" s="4">
        <v>-0.372</v>
      </c>
      <c r="L4526">
        <v>4.5</v>
      </c>
      <c r="M4526">
        <v>713</v>
      </c>
      <c r="O4526" t="s">
        <v>25</v>
      </c>
      <c r="P4526" t="s">
        <v>6267</v>
      </c>
      <c r="Q4526" t="s">
        <v>6268</v>
      </c>
    </row>
    <row r="4527" spans="1:17" ht="15.5" x14ac:dyDescent="0.35">
      <c r="A4527"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4527"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4527" t="s">
        <v>5906</v>
      </c>
      <c r="D4527" t="s">
        <v>5955</v>
      </c>
      <c r="E4527" s="3" t="str">
        <f>HYPERLINK("https://www.amazon.com/Diablo-DMAMXCC5010-SDS-Max-Carbide-Tipped/dp/B089M8SC7R/ref=sr_1_3?keywords=Diablo+Tools+DMAMXCC5050+4+in.+x+7+in.+SDS-Max+Carbide+Tipped+Core+Bit&amp;qid=1695174004&amp;sr=8-3", "https://www.amazon.com/Diablo-DMAMXCC5010-SDS-Max-Carbide-Tipped/dp/B089M8SC7R/ref=sr_1_3?keywords=Diablo+Tools+DMAMXCC5050+4+in.+x+7+in.+SDS-Max+Carbide+Tipped+Core+Bit&amp;qid=1695174004&amp;sr=8-3")</f>
        <v>https://www.amazon.com/Diablo-DMAMXCC5010-SDS-Max-Carbide-Tipped/dp/B089M8SC7R/ref=sr_1_3?keywords=Diablo+Tools+DMAMXCC5050+4+in.+x+7+in.+SDS-Max+Carbide+Tipped+Core+Bit&amp;qid=1695174004&amp;sr=8-3</v>
      </c>
      <c r="F4527" t="s">
        <v>5956</v>
      </c>
      <c r="G4527" t="e">
        <f ca="1">_xludf.IMAGE("https://edmondsonsupply.com/cdn/shop/files/yghx7uqdjxchri5fikny.webp?v=1686586834")</f>
        <v>#NAME?</v>
      </c>
      <c r="H4527" t="e">
        <f ca="1">_xludf.IMAGE("https://m.media-amazon.com/images/I/61bqzHyefdL._AC_UL320_.jpg")</f>
        <v>#NAME?</v>
      </c>
      <c r="I4527" t="s">
        <v>5907</v>
      </c>
      <c r="J4527">
        <v>94.99</v>
      </c>
      <c r="K4527" s="4">
        <v>-0.37259999999999999</v>
      </c>
      <c r="L4527">
        <v>4.0999999999999996</v>
      </c>
      <c r="M4527">
        <v>3</v>
      </c>
      <c r="O4527" t="s">
        <v>25</v>
      </c>
      <c r="P4527" t="s">
        <v>5908</v>
      </c>
      <c r="Q4527" t="s">
        <v>5909</v>
      </c>
    </row>
    <row r="4528" spans="1:17" ht="15.5" x14ac:dyDescent="0.35">
      <c r="A4528" s="3" t="str">
        <f>HYPERLINK("https://edmondsonsupply.com/collections/electricians-tools/products/veto-pro-pac-tech-pac-wheeler-backpack-tool-bag", "https://edmondsonsupply.com/collections/electricians-tools/products/veto-pro-pac-tech-pac-wheeler-backpack-tool-bag")</f>
        <v>https://edmondsonsupply.com/collections/electricians-tools/products/veto-pro-pac-tech-pac-wheeler-backpack-tool-bag</v>
      </c>
      <c r="B4528" s="3" t="str">
        <f>HYPERLINK("https://edmondsonsupply.com/products/veto-pro-pac-tech-pac-wheeler-backpack-tool-bag", "https://edmondsonsupply.com/products/veto-pro-pac-tech-pac-wheeler-backpack-tool-bag")</f>
        <v>https://edmondsonsupply.com/products/veto-pro-pac-tech-pac-wheeler-backpack-tool-bag</v>
      </c>
      <c r="C4528" t="s">
        <v>756</v>
      </c>
      <c r="D4528" t="s">
        <v>684</v>
      </c>
      <c r="E4528" s="3" t="str">
        <f>HYPERLINK("https://www.amazon.com/Veto-Tech-XL-Tool-1-Pack/dp/B00DYRFEJI/ref=sr_1_2?keywords=Veto+Pro+Pac+TECH+PAC+WHEELER+Backpack+Tool+Bag&amp;qid=1695173855&amp;sr=8-2", "https://www.amazon.com/Veto-Tech-XL-Tool-1-Pack/dp/B00DYRFEJI/ref=sr_1_2?keywords=Veto+Pro+Pac+TECH+PAC+WHEELER+Backpack+Tool+Bag&amp;qid=1695173855&amp;sr=8-2")</f>
        <v>https://www.amazon.com/Veto-Tech-XL-Tool-1-Pack/dp/B00DYRFEJI/ref=sr_1_2?keywords=Veto+Pro+Pac+TECH+PAC+WHEELER+Backpack+Tool+Bag&amp;qid=1695173855&amp;sr=8-2</v>
      </c>
      <c r="F4528" t="s">
        <v>685</v>
      </c>
      <c r="G4528" t="e">
        <f ca="1">_xludf.IMAGE("https://edmondsonsupply.com/cdn/shop/products/01_TECH-PAC-WHEELER.jpg?v=1633031176")</f>
        <v>#NAME?</v>
      </c>
      <c r="H4528" t="e">
        <f ca="1">_xludf.IMAGE("https://m.media-amazon.com/images/I/71suRnmtVZL._AC_UL320_.jpg")</f>
        <v>#NAME?</v>
      </c>
      <c r="I4528" t="s">
        <v>42</v>
      </c>
      <c r="J4528">
        <v>249.95</v>
      </c>
      <c r="K4528" s="4">
        <v>-0.37509999999999999</v>
      </c>
      <c r="L4528">
        <v>4.8</v>
      </c>
      <c r="M4528">
        <v>763</v>
      </c>
      <c r="O4528" t="s">
        <v>25</v>
      </c>
      <c r="P4528" t="s">
        <v>138</v>
      </c>
      <c r="Q4528" t="s">
        <v>757</v>
      </c>
    </row>
    <row r="4529" spans="1:17" ht="15.5" x14ac:dyDescent="0.35">
      <c r="A4529"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4529" s="3" t="str">
        <f>HYPERLINK("https://edmondsonsupply.com/products/klein-tools-56059-multi-groove-fiberglass-fish-tape-200-foot", "https://edmondsonsupply.com/products/klein-tools-56059-multi-groove-fiberglass-fish-tape-200-foot")</f>
        <v>https://edmondsonsupply.com/products/klein-tools-56059-multi-groove-fiberglass-fish-tape-200-foot</v>
      </c>
      <c r="C4529" t="s">
        <v>7681</v>
      </c>
      <c r="D4529" t="s">
        <v>5215</v>
      </c>
      <c r="E4529" s="3" t="str">
        <f>HYPERLINK("https://www.amazon.com/Klein-Tools-56383-Multi-Groove-Fiberglass/dp/B08222VGN8/ref=sr_1_7?keywords=Klein+Tools+56059+Multi-Groove+Fiberglass+Fish+Tape+200-Foot&amp;qid=1695174221&amp;sr=8-7", "https://www.amazon.com/Klein-Tools-56383-Multi-Groove-Fiberglass/dp/B08222VGN8/ref=sr_1_7?keywords=Klein+Tools+56059+Multi-Groove+Fiberglass+Fish+Tape+200-Foot&amp;qid=1695174221&amp;sr=8-7")</f>
        <v>https://www.amazon.com/Klein-Tools-56383-Multi-Groove-Fiberglass/dp/B08222VGN8/ref=sr_1_7?keywords=Klein+Tools+56059+Multi-Groove+Fiberglass+Fish+Tape+200-Foot&amp;qid=1695174221&amp;sr=8-7</v>
      </c>
      <c r="F4529" t="s">
        <v>5216</v>
      </c>
      <c r="G4529" t="e">
        <f ca="1">_xludf.IMAGE("https://edmondsonsupply.com/cdn/shop/products/56059.jpg?v=1648938340")</f>
        <v>#NAME?</v>
      </c>
      <c r="H4529" t="e">
        <f ca="1">_xludf.IMAGE("https://m.media-amazon.com/images/I/51Fs1Kjrk8L._AC_UL320_.jpg")</f>
        <v>#NAME?</v>
      </c>
      <c r="I4529" t="s">
        <v>7682</v>
      </c>
      <c r="J4529">
        <v>115.58</v>
      </c>
      <c r="K4529" s="4">
        <v>-0.37519999999999998</v>
      </c>
      <c r="L4529">
        <v>4.7</v>
      </c>
      <c r="M4529">
        <v>135</v>
      </c>
      <c r="O4529" t="s">
        <v>25</v>
      </c>
      <c r="P4529" t="s">
        <v>7683</v>
      </c>
      <c r="Q4529" t="s">
        <v>7684</v>
      </c>
    </row>
    <row r="4530" spans="1:17" ht="15.5" x14ac:dyDescent="0.35">
      <c r="A4530"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4530"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4530" t="s">
        <v>6995</v>
      </c>
      <c r="D4530" t="s">
        <v>4791</v>
      </c>
      <c r="E4530" s="3" t="str">
        <f>HYPERLINK("https://www.amazon.com/Klein-Tools-NCVT1PKIT-Electrical-Non-Contact/dp/B0BS5SCNJ1/ref=sr_1_7?keywords=Klein+Tools+69149P+Test+Kit+with+Multimeter%2C+Non-Contact+Volt+Tester%2C+Receptacle+Tester&amp;qid=1695174288&amp;sr=8-7", "https://www.amazon.com/Klein-Tools-NCVT1PKIT-Electrical-Non-Contact/dp/B0BS5SCNJ1/ref=sr_1_7?keywords=Klein+Tools+69149P+Test+Kit+with+Multimeter%2C+Non-Contact+Volt+Tester%2C+Receptacle+Tester&amp;qid=1695174288&amp;sr=8-7")</f>
        <v>https://www.amazon.com/Klein-Tools-NCVT1PKIT-Electrical-Non-Contact/dp/B0BS5SCNJ1/ref=sr_1_7?keywords=Klein+Tools+69149P+Test+Kit+with+Multimeter%2C+Non-Contact+Volt+Tester%2C+Receptacle+Tester&amp;qid=1695174288&amp;sr=8-7</v>
      </c>
      <c r="F4530" t="s">
        <v>4792</v>
      </c>
      <c r="G4530" t="e">
        <f ca="1">_xludf.IMAGE("https://edmondsonsupply.com/cdn/shop/products/69149p.jpg?v=1664479017")</f>
        <v>#NAME?</v>
      </c>
      <c r="H4530" t="e">
        <f ca="1">_xludf.IMAGE("https://m.media-amazon.com/images/I/51CD2DGal7L._AC_UL320_.jpg")</f>
        <v>#NAME?</v>
      </c>
      <c r="I4530" t="s">
        <v>246</v>
      </c>
      <c r="J4530">
        <v>24.97</v>
      </c>
      <c r="K4530" s="4">
        <v>-0.37530000000000002</v>
      </c>
      <c r="L4530">
        <v>4.5</v>
      </c>
      <c r="M4530">
        <v>33</v>
      </c>
      <c r="O4530" t="s">
        <v>25</v>
      </c>
      <c r="P4530" t="s">
        <v>6996</v>
      </c>
      <c r="Q4530" t="s">
        <v>6997</v>
      </c>
    </row>
    <row r="4531" spans="1:17" ht="15.5" x14ac:dyDescent="0.35">
      <c r="A4531" s="3" t="str">
        <f>HYPERLINK("https://edmondsonsupply.com/collections/electricians-tools/products/klein-tools-rt250kit-premium-dual-range-ncvt-and-gfci-receptacle-tester-electrical-test-kit", "https://edmondsonsupply.com/collections/electricians-tools/products/klein-tools-rt250kit-premium-dual-range-ncvt-and-gfci-receptacle-tester-electrical-test-kit")</f>
        <v>https://edmondsonsupply.com/collections/electricians-tools/products/klein-tools-rt250kit-premium-dual-range-ncvt-and-gfci-receptacle-tester-electrical-test-kit</v>
      </c>
      <c r="B4531" s="3" t="str">
        <f>HYPERLINK("https://edmondsonsupply.com/products/klein-tools-rt250kit-premium-dual-range-ncvt-and-gfci-receptacle-tester-electrical-test-kit", "https://edmondsonsupply.com/products/klein-tools-rt250kit-premium-dual-range-ncvt-and-gfci-receptacle-tester-electrical-test-kit")</f>
        <v>https://edmondsonsupply.com/products/klein-tools-rt250kit-premium-dual-range-ncvt-and-gfci-receptacle-tester-electrical-test-kit</v>
      </c>
      <c r="C4531" t="s">
        <v>7592</v>
      </c>
      <c r="D4531" t="s">
        <v>4791</v>
      </c>
      <c r="E4531" s="3" t="str">
        <f>HYPERLINK("https://www.amazon.com/Klein-Tools-NCVT1PKIT-Electrical-Non-Contact/dp/B0BS5SCNJ1/ref=sr_1_3?keywords=Klein+Tools+RT250KIT+Premium+Dual-Range+NCVT+and+GFCI+Receptacle+Tester+Electrical+Test+Kit&amp;qid=1695174169&amp;sr=8-3", "https://www.amazon.com/Klein-Tools-NCVT1PKIT-Electrical-Non-Contact/dp/B0BS5SCNJ1/ref=sr_1_3?keywords=Klein+Tools+RT250KIT+Premium+Dual-Range+NCVT+and+GFCI+Receptacle+Tester+Electrical+Test+Kit&amp;qid=1695174169&amp;sr=8-3")</f>
        <v>https://www.amazon.com/Klein-Tools-NCVT1PKIT-Electrical-Non-Contact/dp/B0BS5SCNJ1/ref=sr_1_3?keywords=Klein+Tools+RT250KIT+Premium+Dual-Range+NCVT+and+GFCI+Receptacle+Tester+Electrical+Test+Kit&amp;qid=1695174169&amp;sr=8-3</v>
      </c>
      <c r="F4531" t="s">
        <v>4792</v>
      </c>
      <c r="G4531" t="e">
        <f ca="1">_xludf.IMAGE("https://edmondsonsupply.com/cdn/shop/products/rt250kit.jpg?v=1660755074")</f>
        <v>#NAME?</v>
      </c>
      <c r="H4531" t="e">
        <f ca="1">_xludf.IMAGE("https://m.media-amazon.com/images/I/51CD2DGal7L._AC_UL320_.jpg")</f>
        <v>#NAME?</v>
      </c>
      <c r="I4531" t="s">
        <v>198</v>
      </c>
      <c r="J4531">
        <v>24.97</v>
      </c>
      <c r="K4531" s="4">
        <v>-0.37559999999999999</v>
      </c>
      <c r="L4531">
        <v>4.5</v>
      </c>
      <c r="M4531">
        <v>33</v>
      </c>
      <c r="O4531" t="s">
        <v>25</v>
      </c>
      <c r="P4531" t="s">
        <v>4236</v>
      </c>
      <c r="Q4531" t="s">
        <v>7593</v>
      </c>
    </row>
    <row r="4532" spans="1:17" ht="15.5" x14ac:dyDescent="0.35">
      <c r="A4532"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4532"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4532" t="s">
        <v>2568</v>
      </c>
      <c r="D4532" t="s">
        <v>5488</v>
      </c>
      <c r="E4532" s="3" t="str">
        <f>HYPERLINK("https://www.amazon.com/Wiha-32085-Insulated-Slotted-Phillips/dp/B00SZ66CSA/ref=sr_1_4?keywords=Wiha+Tools+32088+8+Piece+Insulated+PicoFinish+Precision+Screwdriver+Set&amp;qid=1695173981&amp;sr=8-4", "https://www.amazon.com/Wiha-32085-Insulated-Slotted-Phillips/dp/B00SZ66CSA/ref=sr_1_4?keywords=Wiha+Tools+32088+8+Piece+Insulated+PicoFinish+Precision+Screwdriver+Set&amp;qid=1695173981&amp;sr=8-4")</f>
        <v>https://www.amazon.com/Wiha-32085-Insulated-Slotted-Phillips/dp/B00SZ66CSA/ref=sr_1_4?keywords=Wiha+Tools+32088+8+Piece+Insulated+PicoFinish+Precision+Screwdriver+Set&amp;qid=1695173981&amp;sr=8-4</v>
      </c>
      <c r="F4532" t="s">
        <v>5489</v>
      </c>
      <c r="G4532" t="e">
        <f ca="1">_xludf.IMAGE("https://edmondsonsupply.com/cdn/shop/files/ah1u5hviqxts6itxix4k_1000x_5285634c-51ad-48c4-987e-f1113aaa9ab9.webp?v=1690905519")</f>
        <v>#NAME?</v>
      </c>
      <c r="H4532" t="e">
        <f ca="1">_xludf.IMAGE("https://m.media-amazon.com/images/I/61DcHWJt+2L._AC_UL320_.jpg")</f>
        <v>#NAME?</v>
      </c>
      <c r="I4532" t="s">
        <v>2571</v>
      </c>
      <c r="J4532">
        <v>40.29</v>
      </c>
      <c r="K4532" s="4">
        <v>-0.37580000000000002</v>
      </c>
      <c r="L4532">
        <v>4.7</v>
      </c>
      <c r="M4532">
        <v>863</v>
      </c>
      <c r="O4532" t="s">
        <v>25</v>
      </c>
      <c r="P4532" t="s">
        <v>2572</v>
      </c>
      <c r="Q4532" t="s">
        <v>2573</v>
      </c>
    </row>
    <row r="4533" spans="1:17" ht="15.5" x14ac:dyDescent="0.35">
      <c r="A4533"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4533" s="3" t="str">
        <f>HYPERLINK("https://edmondsonsupply.com/products/klein-tools-66060-2-in-1-impact-socket-set-6-point-6-piece", "https://edmondsonsupply.com/products/klein-tools-66060-2-in-1-impact-socket-set-6-point-6-piece")</f>
        <v>https://edmondsonsupply.com/products/klein-tools-66060-2-in-1-impact-socket-set-6-point-6-piece</v>
      </c>
      <c r="C4533" t="s">
        <v>8124</v>
      </c>
      <c r="D4533" t="s">
        <v>7974</v>
      </c>
      <c r="E4533" s="3" t="str">
        <f>HYPERLINK("https://www.amazon.com/Klein-Tools-5-Piece-6-Point-Sockets/dp/B08363H71P/ref=sr_1_3?keywords=Klein+Tools+66060+2-in-1+Impact+Socket+Set%2C+6-Point%2C+6-Piece&amp;qid=1695174139&amp;sr=8-3", "https://www.amazon.com/Klein-Tools-5-Piece-6-Point-Sockets/dp/B08363H71P/ref=sr_1_3?keywords=Klein+Tools+66060+2-in-1+Impact+Socket+Set%2C+6-Point%2C+6-Piece&amp;qid=1695174139&amp;sr=8-3")</f>
        <v>https://www.amazon.com/Klein-Tools-5-Piece-6-Point-Sockets/dp/B08363H71P/ref=sr_1_3?keywords=Klein+Tools+66060+2-in-1+Impact+Socket+Set%2C+6-Point%2C+6-Piece&amp;qid=1695174139&amp;sr=8-3</v>
      </c>
      <c r="F4533" t="s">
        <v>7975</v>
      </c>
      <c r="G4533" t="e">
        <f ca="1">_xludf.IMAGE("https://edmondsonsupply.com/cdn/shop/products/66060.jpg?v=1665592747")</f>
        <v>#NAME?</v>
      </c>
      <c r="H4533" t="e">
        <f ca="1">_xludf.IMAGE("https://m.media-amazon.com/images/I/618QcMhYqSL._AC_UL320_.jpg")</f>
        <v>#NAME?</v>
      </c>
      <c r="I4533" t="s">
        <v>400</v>
      </c>
      <c r="J4533">
        <v>124.79</v>
      </c>
      <c r="K4533" s="4">
        <v>-0.376</v>
      </c>
      <c r="L4533">
        <v>4.8</v>
      </c>
      <c r="M4533">
        <v>1158</v>
      </c>
      <c r="O4533" t="s">
        <v>25</v>
      </c>
      <c r="P4533" t="s">
        <v>8125</v>
      </c>
      <c r="Q4533" t="s">
        <v>8126</v>
      </c>
    </row>
    <row r="4534" spans="1:17" ht="15.5" x14ac:dyDescent="0.35">
      <c r="A4534" s="3" t="str">
        <f>HYPERLINK("https://edmondsonsupply.com/collections/electricians-tools/products/diablo-tools-dou125cgp3-1-1-4-in-universal-fit-carbide-oscillating-blades-for-general-purpose-cuts-3-pack", "https://edmondsonsupply.com/collections/electricians-tools/products/diablo-tools-dou125cgp3-1-1-4-in-universal-fit-carbide-oscillating-blades-for-general-purpose-cuts-3-pack")</f>
        <v>https://edmondsonsupply.com/collections/electricians-tools/products/diablo-tools-dou125cgp3-1-1-4-in-universal-fit-carbide-oscillating-blades-for-general-purpose-cuts-3-pack</v>
      </c>
      <c r="B4534" s="3" t="str">
        <f>HYPERLINK("https://edmondsonsupply.com/products/diablo-tools-dou125cgp3-1-1-4-in-universal-fit-carbide-oscillating-blades-for-general-purpose-cuts-3-pack", "https://edmondsonsupply.com/products/diablo-tools-dou125cgp3-1-1-4-in-universal-fit-carbide-oscillating-blades-for-general-purpose-cuts-3-pack")</f>
        <v>https://edmondsonsupply.com/products/diablo-tools-dou125cgp3-1-1-4-in-universal-fit-carbide-oscillating-blades-for-general-purpose-cuts-3-pack</v>
      </c>
      <c r="C4534" t="s">
        <v>5957</v>
      </c>
      <c r="D4534" t="s">
        <v>5887</v>
      </c>
      <c r="E4534" s="3" t="str">
        <f>HYPERLINK("https://www.amazon.com/Diablo-Freud-DOU125CGP3-Universal-Oscillating/dp/B089KW6C8Q/ref=sr_1_3?keywords=Diablo+Tools+DOU125CGP3+1-1%2F4+in.+Universal+Fit+Carbide+Oscillating+Blades+for+General+Purpose+Cuts+%283+Pack%29&amp;qid=1695174046&amp;sr=8-3", "https://www.amazon.com/Diablo-Freud-DOU125CGP3-Universal-Oscillating/dp/B089KW6C8Q/ref=sr_1_3?keywords=Diablo+Tools+DOU125CGP3+1-1%2F4+in.+Universal+Fit+Carbide+Oscillating+Blades+for+General+Purpose+Cuts+%283+Pack%29&amp;qid=1695174046&amp;sr=8-3")</f>
        <v>https://www.amazon.com/Diablo-Freud-DOU125CGP3-Universal-Oscillating/dp/B089KW6C8Q/ref=sr_1_3?keywords=Diablo+Tools+DOU125CGP3+1-1%2F4+in.+Universal+Fit+Carbide+Oscillating+Blades+for+General+Purpose+Cuts+%283+Pack%29&amp;qid=1695174046&amp;sr=8-3</v>
      </c>
      <c r="F4534" t="s">
        <v>5888</v>
      </c>
      <c r="G4534" t="e">
        <f ca="1">_xludf.IMAGE("https://edmondsonsupply.com/cdn/shop/files/htobgrjt150mygkkk6to_1.webp?v=1686147205")</f>
        <v>#NAME?</v>
      </c>
      <c r="H4534" t="e">
        <f ca="1">_xludf.IMAGE("https://m.media-amazon.com/images/I/71lNEMXVnHL._AC_UL320_.jpg")</f>
        <v>#NAME?</v>
      </c>
      <c r="I4534" t="s">
        <v>4108</v>
      </c>
      <c r="J4534">
        <v>27.99</v>
      </c>
      <c r="K4534" s="4">
        <v>-0.37759999999999999</v>
      </c>
      <c r="L4534">
        <v>4.5</v>
      </c>
      <c r="M4534">
        <v>139</v>
      </c>
      <c r="O4534" t="s">
        <v>25</v>
      </c>
      <c r="P4534" t="s">
        <v>5958</v>
      </c>
      <c r="Q4534" t="s">
        <v>5959</v>
      </c>
    </row>
    <row r="4535" spans="1:17" ht="15.5" x14ac:dyDescent="0.35">
      <c r="A4535"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4535"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4535" t="s">
        <v>2568</v>
      </c>
      <c r="D4535" t="s">
        <v>5492</v>
      </c>
      <c r="E4535" s="3" t="str">
        <f>HYPERLINK("https://www.amazon.com/Wiha-26187-PicoFinish-Precision-Screwdriver/dp/B084DZ71RX/ref=sr_1_5?keywords=Wiha+Tools+32088+8+Piece+Insulated+PicoFinish+Precision+Screwdriver+Set&amp;qid=1695173981&amp;sr=8-5", "https://www.amazon.com/Wiha-26187-PicoFinish-Precision-Screwdriver/dp/B084DZ71RX/ref=sr_1_5?keywords=Wiha+Tools+32088+8+Piece+Insulated+PicoFinish+Precision+Screwdriver+Set&amp;qid=1695173981&amp;sr=8-5")</f>
        <v>https://www.amazon.com/Wiha-26187-PicoFinish-Precision-Screwdriver/dp/B084DZ71RX/ref=sr_1_5?keywords=Wiha+Tools+32088+8+Piece+Insulated+PicoFinish+Precision+Screwdriver+Set&amp;qid=1695173981&amp;sr=8-5</v>
      </c>
      <c r="F4535" t="s">
        <v>5493</v>
      </c>
      <c r="G4535" t="e">
        <f ca="1">_xludf.IMAGE("https://edmondsonsupply.com/cdn/shop/files/ah1u5hviqxts6itxix4k_1000x_5285634c-51ad-48c4-987e-f1113aaa9ab9.webp?v=1690905519")</f>
        <v>#NAME?</v>
      </c>
      <c r="H4535" t="e">
        <f ca="1">_xludf.IMAGE("https://m.media-amazon.com/images/I/71RtGHOFZ3L._AC_UL320_.jpg")</f>
        <v>#NAME?</v>
      </c>
      <c r="I4535" t="s">
        <v>2571</v>
      </c>
      <c r="J4535">
        <v>40.130000000000003</v>
      </c>
      <c r="K4535" s="4">
        <v>-0.37830000000000003</v>
      </c>
      <c r="L4535">
        <v>4.5999999999999996</v>
      </c>
      <c r="M4535">
        <v>40</v>
      </c>
      <c r="O4535" t="s">
        <v>25</v>
      </c>
      <c r="P4535" t="s">
        <v>2572</v>
      </c>
      <c r="Q4535" t="s">
        <v>2573</v>
      </c>
    </row>
    <row r="4536" spans="1:17" ht="15.5" x14ac:dyDescent="0.35">
      <c r="A4536"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4536" s="3" t="str">
        <f>HYPERLINK("https://edmondsonsupply.com/products/fluke-393-solar-clamp-meter-cat-iii-1500-v", "https://edmondsonsupply.com/products/fluke-393-solar-clamp-meter-cat-iii-1500-v")</f>
        <v>https://edmondsonsupply.com/products/fluke-393-solar-clamp-meter-cat-iii-1500-v</v>
      </c>
      <c r="C4536" t="s">
        <v>6951</v>
      </c>
      <c r="D4536" t="s">
        <v>5848</v>
      </c>
      <c r="E4536" s="3" t="str">
        <f>HYPERLINK("https://www.amazon.com/Fluke-True-RMS-Measures-Batteries-Carrying/dp/B017OVC1U4/ref=sr_1_8?keywords=Fluke+393+FC+Solar+Clamp+Meter+CAT+III+1500+V&amp;qid=1695174164&amp;sr=8-8", "https://www.amazon.com/Fluke-True-RMS-Measures-Batteries-Carrying/dp/B017OVC1U4/ref=sr_1_8?keywords=Fluke+393+FC+Solar+Clamp+Meter+CAT+III+1500+V&amp;qid=1695174164&amp;sr=8-8")</f>
        <v>https://www.amazon.com/Fluke-True-RMS-Measures-Batteries-Carrying/dp/B017OVC1U4/ref=sr_1_8?keywords=Fluke+393+FC+Solar+Clamp+Meter+CAT+III+1500+V&amp;qid=1695174164&amp;sr=8-8</v>
      </c>
      <c r="F4536" t="s">
        <v>5849</v>
      </c>
      <c r="G4536" t="e">
        <f ca="1">_xludf.IMAGE("https://edmondsonsupply.com/cdn/shop/products/F-393fc_01a_w.webp?v=1662652371")</f>
        <v>#NAME?</v>
      </c>
      <c r="H4536" t="e">
        <f ca="1">_xludf.IMAGE("https://m.media-amazon.com/images/I/71-9RICQeuL._AC_UY218_.jpg")</f>
        <v>#NAME?</v>
      </c>
      <c r="I4536" t="s">
        <v>6954</v>
      </c>
      <c r="J4536">
        <v>420</v>
      </c>
      <c r="K4536" s="4">
        <v>-0.37940000000000002</v>
      </c>
      <c r="L4536">
        <v>4.8</v>
      </c>
      <c r="M4536">
        <v>283</v>
      </c>
      <c r="O4536" t="s">
        <v>25</v>
      </c>
      <c r="P4536" t="s">
        <v>6955</v>
      </c>
      <c r="Q4536" t="s">
        <v>6956</v>
      </c>
    </row>
    <row r="4537" spans="1:17" ht="15.5" x14ac:dyDescent="0.35">
      <c r="A4537"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4537" s="3" t="str">
        <f>HYPERLINK("https://edmondsonsupply.com/products/veto-pro-pac-tech-pac-backpack-tool-bag-1", "https://edmondsonsupply.com/products/veto-pro-pac-tech-pac-backpack-tool-bag-1")</f>
        <v>https://edmondsonsupply.com/products/veto-pro-pac-tech-pac-backpack-tool-bag-1</v>
      </c>
      <c r="C4537" t="s">
        <v>8235</v>
      </c>
      <c r="D4537" t="s">
        <v>509</v>
      </c>
      <c r="E4537" s="3" t="str">
        <f>HYPERLINK("https://www.amazon.com/Veto-TECH-OT-SC-Sub-Compact-Electrician/dp/B09ZC63KFK/ref=sr_1_6?keywords=Veto+Pro+Pac+TECH+PAC+LT+Laptop+Backpack+Tool+Bag&amp;qid=1695174263&amp;sr=8-6", "https://www.amazon.com/Veto-TECH-OT-SC-Sub-Compact-Electrician/dp/B09ZC63KFK/ref=sr_1_6?keywords=Veto+Pro+Pac+TECH+PAC+LT+Laptop+Backpack+Tool+Bag&amp;qid=1695174263&amp;sr=8-6")</f>
        <v>https://www.amazon.com/Veto-TECH-OT-SC-Sub-Compact-Electrician/dp/B09ZC63KFK/ref=sr_1_6?keywords=Veto+Pro+Pac+TECH+PAC+LT+Laptop+Backpack+Tool+Bag&amp;qid=1695174263&amp;sr=8-6</v>
      </c>
      <c r="F4537" t="s">
        <v>510</v>
      </c>
      <c r="G4537" t="e">
        <f ca="1">_xludf.IMAGE("https://edmondsonsupply.com/cdn/shop/products/LT_1.jpg?v=1587146035")</f>
        <v>#NAME?</v>
      </c>
      <c r="H4537" t="e">
        <f ca="1">_xludf.IMAGE("https://m.media-amazon.com/images/I/51LTwfYG5eL._AC_UL320_.jpg")</f>
        <v>#NAME?</v>
      </c>
      <c r="I4537" t="s">
        <v>8236</v>
      </c>
      <c r="J4537">
        <v>179.95</v>
      </c>
      <c r="K4537" s="4">
        <v>-0.3795</v>
      </c>
      <c r="L4537">
        <v>4.7</v>
      </c>
      <c r="M4537">
        <v>21</v>
      </c>
      <c r="O4537" t="s">
        <v>25</v>
      </c>
      <c r="P4537" t="s">
        <v>138</v>
      </c>
      <c r="Q4537" t="s">
        <v>8237</v>
      </c>
    </row>
    <row r="4538" spans="1:17" ht="15.5" x14ac:dyDescent="0.35">
      <c r="A4538"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4538"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4538" t="s">
        <v>6304</v>
      </c>
      <c r="D4538" t="s">
        <v>8852</v>
      </c>
      <c r="E4538" s="3" t="str">
        <f>HYPERLINK("https://www.amazon.com/Klein-Tools-J203-6-Pliers-Side-Cutters/dp/B000FH289O/ref=sr_1_3?keywords=Klein+Tools+2036EINS+Long+Nose+Side+Cutter+Pliers+6-Inch+Slim+Insulated&amp;qid=1695174256&amp;sr=8-3", "https://www.amazon.com/Klein-Tools-J203-6-Pliers-Side-Cutters/dp/B000FH289O/ref=sr_1_3?keywords=Klein+Tools+2036EINS+Long+Nose+Side+Cutter+Pliers+6-Inch+Slim+Insulated&amp;qid=1695174256&amp;sr=8-3")</f>
        <v>https://www.amazon.com/Klein-Tools-J203-6-Pliers-Side-Cutters/dp/B000FH289O/ref=sr_1_3?keywords=Klein+Tools+2036EINS+Long+Nose+Side+Cutter+Pliers+6-Inch+Slim+Insulated&amp;qid=1695174256&amp;sr=8-3</v>
      </c>
      <c r="F4538" t="s">
        <v>8853</v>
      </c>
      <c r="G4538" t="e">
        <f ca="1">_xludf.IMAGE("https://edmondsonsupply.com/cdn/shop/products/2036eins.jpg?v=1633031077")</f>
        <v>#NAME?</v>
      </c>
      <c r="H4538" t="e">
        <f ca="1">_xludf.IMAGE("https://m.media-amazon.com/images/I/514ud2Pt0TL._AC_UL320_.jpg")</f>
        <v>#NAME?</v>
      </c>
      <c r="I4538" t="s">
        <v>6307</v>
      </c>
      <c r="J4538">
        <v>28.99</v>
      </c>
      <c r="K4538" s="4">
        <v>-0.3831</v>
      </c>
      <c r="L4538">
        <v>4.7</v>
      </c>
      <c r="M4538">
        <v>106</v>
      </c>
      <c r="O4538" t="s">
        <v>25</v>
      </c>
      <c r="P4538" t="s">
        <v>6308</v>
      </c>
      <c r="Q4538" t="s">
        <v>6309</v>
      </c>
    </row>
    <row r="4539" spans="1:17" ht="15.5" x14ac:dyDescent="0.35">
      <c r="A4539"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4539"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4539" t="s">
        <v>7067</v>
      </c>
      <c r="D4539" t="s">
        <v>5970</v>
      </c>
      <c r="E4539" s="3" t="str">
        <f>HYPERLINK("https://www.amazon.com/Diablo-Universal-Bi-Metal-Oscillating-Nail-Embedded/dp/B089LDN2LT/ref=sr_1_2?keywords=Diablo+Tools+DOU250BW+2-1%2F2+in.+Universal+Fit+Bi-Metal+Oscillating+Blade+for+Nail-Embedded+Wood&amp;qid=1695174021&amp;sr=8-2", "https://www.amazon.com/Diablo-Universal-Bi-Metal-Oscillating-Nail-Embedded/dp/B089LDN2LT/ref=sr_1_2?keywords=Diablo+Tools+DOU250BW+2-1%2F2+in.+Universal+Fit+Bi-Metal+Oscillating+Blade+for+Nail-Embedded+Wood&amp;qid=1695174021&amp;sr=8-2")</f>
        <v>https://www.amazon.com/Diablo-Universal-Bi-Metal-Oscillating-Nail-Embedded/dp/B089LDN2LT/ref=sr_1_2?keywords=Diablo+Tools+DOU250BW+2-1%2F2+in.+Universal+Fit+Bi-Metal+Oscillating+Blade+for+Nail-Embedded+Wood&amp;qid=1695174021&amp;sr=8-2</v>
      </c>
      <c r="F4539" t="s">
        <v>5971</v>
      </c>
      <c r="G4539" t="e">
        <f ca="1">_xludf.IMAGE("https://edmondsonsupply.com/cdn/shop/files/xcched1uye7bv2s0ryod.webp?v=1685717397")</f>
        <v>#NAME?</v>
      </c>
      <c r="H4539" t="e">
        <f ca="1">_xludf.IMAGE("https://m.media-amazon.com/images/I/613ig7mNjfL._AC_UL320_.jpg")</f>
        <v>#NAME?</v>
      </c>
      <c r="I4539" t="s">
        <v>893</v>
      </c>
      <c r="J4539">
        <v>12.14</v>
      </c>
      <c r="K4539" s="4">
        <v>-0.3921</v>
      </c>
      <c r="L4539">
        <v>4.8</v>
      </c>
      <c r="M4539">
        <v>12</v>
      </c>
      <c r="O4539" t="s">
        <v>25</v>
      </c>
      <c r="P4539" t="s">
        <v>6936</v>
      </c>
      <c r="Q4539" t="s">
        <v>7068</v>
      </c>
    </row>
    <row r="4540" spans="1:17" ht="15.5" x14ac:dyDescent="0.35">
      <c r="A4540"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4540"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4540" t="s">
        <v>8452</v>
      </c>
      <c r="D4540" t="s">
        <v>7541</v>
      </c>
      <c r="E4540" s="3" t="str">
        <f>HYPERLINK("https://www.amazon.com/Diablo-DOU350RBGP-Universal-Bi-Metal-Oscillating/dp/B089LLG8ZQ/ref=sr_1_5?keywords=Diablo+Tools+DOU275RCGP+2-3%2F4+in.+Universal+Fit+Carbide+Oscillating+Blade+for+General+Purpose+Cuts&amp;qid=1695174011&amp;sr=8-5", "https://www.amazon.com/Diablo-DOU350RBGP-Universal-Bi-Metal-Oscillating/dp/B089LLG8ZQ/ref=sr_1_5?keywords=Diablo+Tools+DOU275RCGP+2-3%2F4+in.+Universal+Fit+Carbide+Oscillating+Blade+for+General+Purpose+Cuts&amp;qid=1695174011&amp;sr=8-5")</f>
        <v>https://www.amazon.com/Diablo-DOU350RBGP-Universal-Bi-Metal-Oscillating/dp/B089LLG8ZQ/ref=sr_1_5?keywords=Diablo+Tools+DOU275RCGP+2-3%2F4+in.+Universal+Fit+Carbide+Oscillating+Blade+for+General+Purpose+Cuts&amp;qid=1695174011&amp;sr=8-5</v>
      </c>
      <c r="F4540" t="s">
        <v>7542</v>
      </c>
      <c r="G4540" t="e">
        <f ca="1">_xludf.IMAGE("https://edmondsonsupply.com/cdn/shop/files/kukkli8nylq54bgtz0o5.webp?v=1685720266")</f>
        <v>#NAME?</v>
      </c>
      <c r="H4540" t="e">
        <f ca="1">_xludf.IMAGE("https://m.media-amazon.com/images/I/71xBW7MA1oL._AC_UL320_.jpg")</f>
        <v>#NAME?</v>
      </c>
      <c r="I4540" t="s">
        <v>824</v>
      </c>
      <c r="J4540">
        <v>18.2</v>
      </c>
      <c r="K4540" s="4">
        <v>-0.39269999999999999</v>
      </c>
      <c r="L4540">
        <v>4.4000000000000004</v>
      </c>
      <c r="M4540">
        <v>8</v>
      </c>
      <c r="O4540" t="s">
        <v>25</v>
      </c>
      <c r="P4540" t="s">
        <v>8453</v>
      </c>
      <c r="Q4540" t="s">
        <v>8454</v>
      </c>
    </row>
    <row r="4541" spans="1:17" ht="15.5" x14ac:dyDescent="0.35">
      <c r="A4541"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541" s="3" t="str">
        <f>HYPERLINK("https://edmondsonsupply.com/products/klein-tools-635-1-4-1-4-inch-nut-driver-magnetic-tip-4-inch-shaft", "https://edmondsonsupply.com/products/klein-tools-635-1-4-1-4-inch-nut-driver-magnetic-tip-4-inch-shaft")</f>
        <v>https://edmondsonsupply.com/products/klein-tools-635-1-4-1-4-inch-nut-driver-magnetic-tip-4-inch-shaft</v>
      </c>
      <c r="C4541" t="s">
        <v>6817</v>
      </c>
      <c r="D4541" t="s">
        <v>5248</v>
      </c>
      <c r="E4541" s="3" t="str">
        <f>HYPERLINK("https://www.amazon.com/Magnetic-Comfordome-Klein-Tools-S8M/dp/B00093GCW8/ref=sr_1_2?keywords=Klein+Tools+635-1%2F4+1%2F4-Inch+Nut+Driver%2C+Magnetic+Tip%2C+4-Inch+Shaft&amp;qid=1695174156&amp;sr=8-2", "https://www.amazon.com/Magnetic-Comfordome-Klein-Tools-S8M/dp/B00093GCW8/ref=sr_1_2?keywords=Klein+Tools+635-1%2F4+1%2F4-Inch+Nut+Driver%2C+Magnetic+Tip%2C+4-Inch+Shaft&amp;qid=1695174156&amp;sr=8-2")</f>
        <v>https://www.amazon.com/Magnetic-Comfordome-Klein-Tools-S8M/dp/B00093GCW8/ref=sr_1_2?keywords=Klein+Tools+635-1%2F4+1%2F4-Inch+Nut+Driver%2C+Magnetic+Tip%2C+4-Inch+Shaft&amp;qid=1695174156&amp;sr=8-2</v>
      </c>
      <c r="F4541" t="s">
        <v>5249</v>
      </c>
      <c r="G4541" t="e">
        <f ca="1">_xludf.IMAGE("https://edmondsonsupply.com/cdn/shop/products/635-1-4.jpg?v=1666811523")</f>
        <v>#NAME?</v>
      </c>
      <c r="H4541" t="e">
        <f ca="1">_xludf.IMAGE("https://m.media-amazon.com/images/I/31hOuSIKl7L._AC_UL320_.jpg")</f>
        <v>#NAME?</v>
      </c>
      <c r="I4541" t="s">
        <v>2337</v>
      </c>
      <c r="J4541">
        <v>7.28</v>
      </c>
      <c r="K4541" s="4">
        <v>-0.39279999999999998</v>
      </c>
      <c r="L4541">
        <v>3.8</v>
      </c>
      <c r="M4541">
        <v>8</v>
      </c>
      <c r="O4541" t="s">
        <v>25</v>
      </c>
      <c r="P4541" t="s">
        <v>1212</v>
      </c>
      <c r="Q4541" t="s">
        <v>6818</v>
      </c>
    </row>
    <row r="4542" spans="1:17" ht="15.5" x14ac:dyDescent="0.35">
      <c r="A4542"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4542" s="3" t="str">
        <f>HYPERLINK("https://edmondsonsupply.com/products/klein-tools-635-1-4-1-4-inch-nut-driver-magnetic-tip-4-inch-shaft", "https://edmondsonsupply.com/products/klein-tools-635-1-4-1-4-inch-nut-driver-magnetic-tip-4-inch-shaft")</f>
        <v>https://edmondsonsupply.com/products/klein-tools-635-1-4-1-4-inch-nut-driver-magnetic-tip-4-inch-shaft</v>
      </c>
      <c r="C4542" t="s">
        <v>6817</v>
      </c>
      <c r="D4542" t="s">
        <v>5078</v>
      </c>
      <c r="E4542" s="3" t="str">
        <f>HYPERLINK("https://www.amazon.com/Klein-S8-4-Inch-Hollow-Shank-Driver/dp/B0000302VS/ref=sr_1_9?keywords=Klein+Tools+635-1%2F4+1%2F4-Inch+Nut+Driver%2C+Magnetic+Tip%2C+4-Inch+Shaft&amp;qid=1695174156&amp;sr=8-9", "https://www.amazon.com/Klein-S8-4-Inch-Hollow-Shank-Driver/dp/B0000302VS/ref=sr_1_9?keywords=Klein+Tools+635-1%2F4+1%2F4-Inch+Nut+Driver%2C+Magnetic+Tip%2C+4-Inch+Shaft&amp;qid=1695174156&amp;sr=8-9")</f>
        <v>https://www.amazon.com/Klein-S8-4-Inch-Hollow-Shank-Driver/dp/B0000302VS/ref=sr_1_9?keywords=Klein+Tools+635-1%2F4+1%2F4-Inch+Nut+Driver%2C+Magnetic+Tip%2C+4-Inch+Shaft&amp;qid=1695174156&amp;sr=8-9</v>
      </c>
      <c r="F4542" t="s">
        <v>5079</v>
      </c>
      <c r="G4542" t="e">
        <f ca="1">_xludf.IMAGE("https://edmondsonsupply.com/cdn/shop/products/635-1-4.jpg?v=1666811523")</f>
        <v>#NAME?</v>
      </c>
      <c r="H4542" t="e">
        <f ca="1">_xludf.IMAGE("https://m.media-amazon.com/images/I/41LI6wTa36L._AC_UL320_.jpg")</f>
        <v>#NAME?</v>
      </c>
      <c r="I4542" t="s">
        <v>2337</v>
      </c>
      <c r="J4542">
        <v>7.28</v>
      </c>
      <c r="K4542" s="4">
        <v>-0.39279999999999998</v>
      </c>
      <c r="L4542">
        <v>4.5</v>
      </c>
      <c r="M4542">
        <v>225</v>
      </c>
      <c r="O4542" t="s">
        <v>25</v>
      </c>
      <c r="P4542" t="s">
        <v>1212</v>
      </c>
      <c r="Q4542" t="s">
        <v>6818</v>
      </c>
    </row>
    <row r="4543" spans="1:17" ht="15.5" x14ac:dyDescent="0.35">
      <c r="A4543"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4543"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4543" t="s">
        <v>7089</v>
      </c>
      <c r="D4543" t="s">
        <v>3909</v>
      </c>
      <c r="E4543" s="3" t="str">
        <f>HYPERLINK("https://www.amazon.com/Channellock-430-Straight-Heat-Treated-Reinforcing/dp/B00002N5JF/ref=sr_1_8?keywords=Channellock+440X+12-Inch+SPEEDGRIP%E2%84%A2+Straight+Jaw+Tongue+%26+Groove+Pliers&amp;qid=1695174216&amp;sr=8-8", "https://www.amazon.com/Channellock-430-Straight-Heat-Treated-Reinforcing/dp/B00002N5JF/ref=sr_1_8?keywords=Channellock+440X+12-Inch+SPEEDGRIP%E2%84%A2+Straight+Jaw+Tongue+%26+Groove+Pliers&amp;qid=1695174216&amp;sr=8-8")</f>
        <v>https://www.amazon.com/Channellock-430-Straight-Heat-Treated-Reinforcing/dp/B00002N5JF/ref=sr_1_8?keywords=Channellock+440X+12-Inch+SPEEDGRIP%E2%84%A2+Straight+Jaw+Tongue+%26+Groove+Pliers&amp;qid=1695174216&amp;sr=8-8</v>
      </c>
      <c r="F4543" t="s">
        <v>3910</v>
      </c>
      <c r="G4543" t="e">
        <f ca="1">_xludf.IMAGE("https://edmondsonsupply.com/cdn/shop/products/440X.jpg?v=1647104734")</f>
        <v>#NAME?</v>
      </c>
      <c r="H4543" t="e">
        <f ca="1">_xludf.IMAGE("https://m.media-amazon.com/images/I/71JqgqffnnL._AC_UL320_.jpg")</f>
        <v>#NAME?</v>
      </c>
      <c r="I4543" t="s">
        <v>122</v>
      </c>
      <c r="J4543">
        <v>19.95</v>
      </c>
      <c r="K4543" s="4">
        <v>-0.39450000000000002</v>
      </c>
      <c r="L4543">
        <v>4.8</v>
      </c>
      <c r="M4543">
        <v>2191</v>
      </c>
      <c r="O4543" t="s">
        <v>25</v>
      </c>
      <c r="P4543" t="s">
        <v>7092</v>
      </c>
      <c r="Q4543" t="s">
        <v>7093</v>
      </c>
    </row>
    <row r="4544" spans="1:17" ht="15.5" x14ac:dyDescent="0.35">
      <c r="A4544"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4544" s="3" t="str">
        <f>HYPERLINK("https://edmondsonsupply.com/products/diablo-tools-d0760x-7-1-4-in-x-60-tooth-ultra-finish-saw-blade", "https://edmondsonsupply.com/products/diablo-tools-d0760x-7-1-4-in-x-60-tooth-ultra-finish-saw-blade")</f>
        <v>https://edmondsonsupply.com/products/diablo-tools-d0760x-7-1-4-in-x-60-tooth-ultra-finish-saw-blade</v>
      </c>
      <c r="C4544" t="s">
        <v>6011</v>
      </c>
      <c r="D4544" t="s">
        <v>8996</v>
      </c>
      <c r="E4544" s="3" t="str">
        <f>HYPERLINK("https://www.amazon.com/TOMAX-4-Inch-Tooth-Finish-8-Inch/dp/B01LYZTVS3/ref=sr_1_6?keywords=Diablo+Tools+D0760X+7-1%2F4+in.+x+60+Tooth+Ultra+Finish+Saw+Blade&amp;qid=1695174054&amp;sr=8-6", "https://www.amazon.com/TOMAX-4-Inch-Tooth-Finish-8-Inch/dp/B01LYZTVS3/ref=sr_1_6?keywords=Diablo+Tools+D0760X+7-1%2F4+in.+x+60+Tooth+Ultra+Finish+Saw+Blade&amp;qid=1695174054&amp;sr=8-6")</f>
        <v>https://www.amazon.com/TOMAX-4-Inch-Tooth-Finish-8-Inch/dp/B01LYZTVS3/ref=sr_1_6?keywords=Diablo+Tools+D0760X+7-1%2F4+in.+x+60+Tooth+Ultra+Finish+Saw+Blade&amp;qid=1695174054&amp;sr=8-6</v>
      </c>
      <c r="F4544" t="s">
        <v>8997</v>
      </c>
      <c r="G4544" t="e">
        <f ca="1">_xludf.IMAGE("https://edmondsonsupply.com/cdn/shop/products/vlfiqrihhfwf5bxirasx.webp?v=1678977162")</f>
        <v>#NAME?</v>
      </c>
      <c r="H4544" t="e">
        <f ca="1">_xludf.IMAGE("https://m.media-amazon.com/images/I/81ltKmsGtYL._AC_UL320_.jpg")</f>
        <v>#NAME?</v>
      </c>
      <c r="I4544" t="s">
        <v>893</v>
      </c>
      <c r="J4544">
        <v>11.99</v>
      </c>
      <c r="K4544" s="4">
        <v>-0.39960000000000001</v>
      </c>
      <c r="L4544">
        <v>4.5999999999999996</v>
      </c>
      <c r="M4544">
        <v>1497</v>
      </c>
      <c r="O4544" t="s">
        <v>25</v>
      </c>
      <c r="P4544" t="s">
        <v>6014</v>
      </c>
      <c r="Q4544" t="s">
        <v>6015</v>
      </c>
    </row>
    <row r="4545" spans="1:17" ht="15.5" x14ac:dyDescent="0.35">
      <c r="A4545" s="3" t="str">
        <f>HYPERLINK("https://edmondsonsupply.com/collections/electricians-tools/products/crescent-wiss-m1p-9-3-4-compound-action-straight-and-left-aviation-snips", "https://edmondsonsupply.com/collections/electricians-tools/products/crescent-wiss-m1p-9-3-4-compound-action-straight-and-left-aviation-snips")</f>
        <v>https://edmondsonsupply.com/collections/electricians-tools/products/crescent-wiss-m1p-9-3-4-compound-action-straight-and-left-aviation-snips</v>
      </c>
      <c r="B4545" s="3" t="str">
        <f>HYPERLINK("https://edmondsonsupply.com/products/crescent-wiss-m1p-9-3-4-compound-action-straight-and-left-aviation-snips", "https://edmondsonsupply.com/products/crescent-wiss-m1p-9-3-4-compound-action-straight-and-left-aviation-snips")</f>
        <v>https://edmondsonsupply.com/products/crescent-wiss-m1p-9-3-4-compound-action-straight-and-left-aviation-snips</v>
      </c>
      <c r="C4545" t="s">
        <v>7118</v>
      </c>
      <c r="D4545" t="s">
        <v>8998</v>
      </c>
      <c r="E4545" s="3" t="str">
        <f>HYPERLINK("https://www.amazon.com/Wiss-M2R-Compound-Action-Straight/dp/B00002N5KP/ref=sr_1_5?keywords=Crescent+Wiss+M1P+9-3%2F4%22+Compound+Action+Straight+and+Left+Aviation+Snips&amp;qid=1695174043&amp;sr=8-5", "https://www.amazon.com/Wiss-M2R-Compound-Action-Straight/dp/B00002N5KP/ref=sr_1_5?keywords=Crescent+Wiss+M1P+9-3%2F4%22+Compound+Action+Straight+and+Left+Aviation+Snips&amp;qid=1695174043&amp;sr=8-5")</f>
        <v>https://www.amazon.com/Wiss-M2R-Compound-Action-Straight/dp/B00002N5KP/ref=sr_1_5?keywords=Crescent+Wiss+M1P+9-3%2F4%22+Compound+Action+Straight+and+Left+Aviation+Snips&amp;qid=1695174043&amp;sr=8-5</v>
      </c>
      <c r="F4545" t="s">
        <v>8999</v>
      </c>
      <c r="G4545" t="e">
        <f ca="1">_xludf.IMAGE("https://edmondsonsupply.com/cdn/shop/products/WIS_M1P_IMG_ANG_01.jpg?v=1679672536")</f>
        <v>#NAME?</v>
      </c>
      <c r="H4545" t="e">
        <f ca="1">_xludf.IMAGE("https://m.media-amazon.com/images/I/71ObA+hcEeL._AC_UL320_.jpg")</f>
        <v>#NAME?</v>
      </c>
      <c r="I4545" t="s">
        <v>577</v>
      </c>
      <c r="J4545">
        <v>12</v>
      </c>
      <c r="K4545" s="4">
        <v>-0.3997</v>
      </c>
      <c r="L4545">
        <v>4.5999999999999996</v>
      </c>
      <c r="M4545">
        <v>723</v>
      </c>
      <c r="O4545" t="s">
        <v>25</v>
      </c>
      <c r="P4545" t="s">
        <v>6924</v>
      </c>
      <c r="Q4545" t="s">
        <v>7119</v>
      </c>
    </row>
    <row r="4546" spans="1:17" ht="15.5" x14ac:dyDescent="0.35">
      <c r="A4546" s="3" t="str">
        <f>HYPERLINK("https://edmondsonsupply.com/collections/electricians-tools/products/crescent-wiss-m1p-9-3-4-compound-action-straight-and-left-aviation-snips", "https://edmondsonsupply.com/collections/electricians-tools/products/crescent-wiss-m1p-9-3-4-compound-action-straight-and-left-aviation-snips")</f>
        <v>https://edmondsonsupply.com/collections/electricians-tools/products/crescent-wiss-m1p-9-3-4-compound-action-straight-and-left-aviation-snips</v>
      </c>
      <c r="B4546" s="3" t="str">
        <f>HYPERLINK("https://edmondsonsupply.com/products/crescent-wiss-m1p-9-3-4-compound-action-straight-and-left-aviation-snips", "https://edmondsonsupply.com/products/crescent-wiss-m1p-9-3-4-compound-action-straight-and-left-aviation-snips")</f>
        <v>https://edmondsonsupply.com/products/crescent-wiss-m1p-9-3-4-compound-action-straight-and-left-aviation-snips</v>
      </c>
      <c r="C4546" t="s">
        <v>7118</v>
      </c>
      <c r="D4546" t="s">
        <v>9000</v>
      </c>
      <c r="E4546" s="3" t="str">
        <f>HYPERLINK("https://www.amazon.com/Wiss-M1R-MetalMaster-Capacity-Straight/dp/B00002N5KO/ref=sr_1_1?keywords=Crescent+Wiss+M1P+9-3%2F4%22+Compound+Action+Straight+and+Left+Aviation+Snips&amp;qid=1695174043&amp;sr=8-1", "https://www.amazon.com/Wiss-M1R-MetalMaster-Capacity-Straight/dp/B00002N5KO/ref=sr_1_1?keywords=Crescent+Wiss+M1P+9-3%2F4%22+Compound+Action+Straight+and+Left+Aviation+Snips&amp;qid=1695174043&amp;sr=8-1")</f>
        <v>https://www.amazon.com/Wiss-M1R-MetalMaster-Capacity-Straight/dp/B00002N5KO/ref=sr_1_1?keywords=Crescent+Wiss+M1P+9-3%2F4%22+Compound+Action+Straight+and+Left+Aviation+Snips&amp;qid=1695174043&amp;sr=8-1</v>
      </c>
      <c r="F4546" t="s">
        <v>9001</v>
      </c>
      <c r="G4546" t="e">
        <f ca="1">_xludf.IMAGE("https://edmondsonsupply.com/cdn/shop/products/WIS_M1P_IMG_ANG_01.jpg?v=1679672536")</f>
        <v>#NAME?</v>
      </c>
      <c r="H4546" t="e">
        <f ca="1">_xludf.IMAGE("https://m.media-amazon.com/images/I/61SRWhDt0pL._AC_UL320_.jpg")</f>
        <v>#NAME?</v>
      </c>
      <c r="I4546" t="s">
        <v>577</v>
      </c>
      <c r="J4546">
        <v>12</v>
      </c>
      <c r="K4546" s="4">
        <v>-0.3997</v>
      </c>
      <c r="L4546">
        <v>4.5999999999999996</v>
      </c>
      <c r="M4546">
        <v>1075</v>
      </c>
      <c r="O4546" t="s">
        <v>25</v>
      </c>
      <c r="P4546" t="s">
        <v>6924</v>
      </c>
      <c r="Q4546" t="s">
        <v>7119</v>
      </c>
    </row>
    <row r="4547" spans="1:17" ht="15.5" x14ac:dyDescent="0.35">
      <c r="A4547"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4547"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4547" t="s">
        <v>7120</v>
      </c>
      <c r="D4547" t="s">
        <v>9000</v>
      </c>
      <c r="E4547" s="3" t="str">
        <f>HYPERLINK("https://www.amazon.com/Wiss-M1R-MetalMaster-Capacity-Straight/dp/B00002N5KO/ref=sr_1_5?keywords=Crescent+Wiss+M3P+9-3%2F4%22+Compound+Action+Straight%2C+Left+and+Right+Cut+Snips&amp;qid=1695174052&amp;sr=8-5", "https://www.amazon.com/Wiss-M1R-MetalMaster-Capacity-Straight/dp/B00002N5KO/ref=sr_1_5?keywords=Crescent+Wiss+M3P+9-3%2F4%22+Compound+Action+Straight%2C+Left+and+Right+Cut+Snips&amp;qid=1695174052&amp;sr=8-5")</f>
        <v>https://www.amazon.com/Wiss-M1R-MetalMaster-Capacity-Straight/dp/B00002N5KO/ref=sr_1_5?keywords=Crescent+Wiss+M3P+9-3%2F4%22+Compound+Action+Straight%2C+Left+and+Right+Cut+Snips&amp;qid=1695174052&amp;sr=8-5</v>
      </c>
      <c r="F4547" t="s">
        <v>9001</v>
      </c>
      <c r="G4547" t="e">
        <f ca="1">_xludf.IMAGE("https://edmondsonsupply.com/cdn/shop/products/WIS_M3P_IMG_ANG_01.jpg?v=1679675102")</f>
        <v>#NAME?</v>
      </c>
      <c r="H4547" t="e">
        <f ca="1">_xludf.IMAGE("https://m.media-amazon.com/images/I/61SRWhDt0pL._AC_UL320_.jpg")</f>
        <v>#NAME?</v>
      </c>
      <c r="I4547" t="s">
        <v>577</v>
      </c>
      <c r="J4547">
        <v>12</v>
      </c>
      <c r="K4547" s="4">
        <v>-0.3997</v>
      </c>
      <c r="L4547">
        <v>4.5999999999999996</v>
      </c>
      <c r="M4547">
        <v>1075</v>
      </c>
      <c r="O4547" t="s">
        <v>25</v>
      </c>
      <c r="P4547" t="s">
        <v>6924</v>
      </c>
      <c r="Q4547" t="s">
        <v>7121</v>
      </c>
    </row>
    <row r="4548" spans="1:17" ht="15.5" x14ac:dyDescent="0.35">
      <c r="A4548"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4548"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4548" t="s">
        <v>6921</v>
      </c>
      <c r="D4548" t="s">
        <v>8998</v>
      </c>
      <c r="E4548" s="3" t="str">
        <f>HYPERLINK("https://www.amazon.com/Wiss-M2R-Compound-Action-Straight/dp/B00002N5KP/ref=sr_1_1?keywords=Crescent+Wiss+M2P+9-3%2F4%22+Compound+Action+Straight+and+Right+Cut+Aviation+Snips&amp;qid=1695174052&amp;sr=8-1", "https://www.amazon.com/Wiss-M2R-Compound-Action-Straight/dp/B00002N5KP/ref=sr_1_1?keywords=Crescent+Wiss+M2P+9-3%2F4%22+Compound+Action+Straight+and+Right+Cut+Aviation+Snips&amp;qid=1695174052&amp;sr=8-1")</f>
        <v>https://www.amazon.com/Wiss-M2R-Compound-Action-Straight/dp/B00002N5KP/ref=sr_1_1?keywords=Crescent+Wiss+M2P+9-3%2F4%22+Compound+Action+Straight+and+Right+Cut+Aviation+Snips&amp;qid=1695174052&amp;sr=8-1</v>
      </c>
      <c r="F4548" t="s">
        <v>8999</v>
      </c>
      <c r="G4548" t="e">
        <f ca="1">_xludf.IMAGE("https://edmondsonsupply.com/cdn/shop/products/WIS_M2P_IMG_ANG_01.jpg?v=1679674099")</f>
        <v>#NAME?</v>
      </c>
      <c r="H4548" t="e">
        <f ca="1">_xludf.IMAGE("https://m.media-amazon.com/images/I/71ObA+hcEeL._AC_UL320_.jpg")</f>
        <v>#NAME?</v>
      </c>
      <c r="I4548" t="s">
        <v>577</v>
      </c>
      <c r="J4548">
        <v>12</v>
      </c>
      <c r="K4548" s="4">
        <v>-0.3997</v>
      </c>
      <c r="L4548">
        <v>4.5999999999999996</v>
      </c>
      <c r="M4548">
        <v>723</v>
      </c>
      <c r="O4548" t="s">
        <v>25</v>
      </c>
      <c r="P4548" t="s">
        <v>6924</v>
      </c>
      <c r="Q4548" t="s">
        <v>6925</v>
      </c>
    </row>
    <row r="4549" spans="1:17" ht="15.5" x14ac:dyDescent="0.35">
      <c r="A4549"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4549"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4549" t="s">
        <v>6921</v>
      </c>
      <c r="D4549" t="s">
        <v>9000</v>
      </c>
      <c r="E4549" s="3" t="str">
        <f>HYPERLINK("https://www.amazon.com/Wiss-M1R-MetalMaster-Capacity-Straight/dp/B00002N5KO/ref=sr_1_2?keywords=Crescent+Wiss+M2P+9-3%2F4%22+Compound+Action+Straight+and+Right+Cut+Aviation+Snips&amp;qid=1695174052&amp;sr=8-2", "https://www.amazon.com/Wiss-M1R-MetalMaster-Capacity-Straight/dp/B00002N5KO/ref=sr_1_2?keywords=Crescent+Wiss+M2P+9-3%2F4%22+Compound+Action+Straight+and+Right+Cut+Aviation+Snips&amp;qid=1695174052&amp;sr=8-2")</f>
        <v>https://www.amazon.com/Wiss-M1R-MetalMaster-Capacity-Straight/dp/B00002N5KO/ref=sr_1_2?keywords=Crescent+Wiss+M2P+9-3%2F4%22+Compound+Action+Straight+and+Right+Cut+Aviation+Snips&amp;qid=1695174052&amp;sr=8-2</v>
      </c>
      <c r="F4549" t="s">
        <v>9001</v>
      </c>
      <c r="G4549" t="e">
        <f ca="1">_xludf.IMAGE("https://edmondsonsupply.com/cdn/shop/products/WIS_M2P_IMG_ANG_01.jpg?v=1679674099")</f>
        <v>#NAME?</v>
      </c>
      <c r="H4549" t="e">
        <f ca="1">_xludf.IMAGE("https://m.media-amazon.com/images/I/61SRWhDt0pL._AC_UL320_.jpg")</f>
        <v>#NAME?</v>
      </c>
      <c r="I4549" t="s">
        <v>577</v>
      </c>
      <c r="J4549">
        <v>12</v>
      </c>
      <c r="K4549" s="4">
        <v>-0.3997</v>
      </c>
      <c r="L4549">
        <v>4.5999999999999996</v>
      </c>
      <c r="M4549">
        <v>1075</v>
      </c>
      <c r="O4549" t="s">
        <v>25</v>
      </c>
      <c r="P4549" t="s">
        <v>6924</v>
      </c>
      <c r="Q4549" t="s">
        <v>6925</v>
      </c>
    </row>
    <row r="4550" spans="1:17" ht="15.5" x14ac:dyDescent="0.35">
      <c r="A4550"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4550"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4550" t="s">
        <v>7120</v>
      </c>
      <c r="D4550" t="s">
        <v>8998</v>
      </c>
      <c r="E4550" s="3" t="str">
        <f>HYPERLINK("https://www.amazon.com/Wiss-M2R-Compound-Action-Straight/dp/B00002N5KP/ref=sr_1_3?keywords=Crescent+Wiss+M3P+9-3%2F4%22+Compound+Action+Straight%2C+Left+and+Right+Cut+Snips&amp;qid=1695174052&amp;sr=8-3", "https://www.amazon.com/Wiss-M2R-Compound-Action-Straight/dp/B00002N5KP/ref=sr_1_3?keywords=Crescent+Wiss+M3P+9-3%2F4%22+Compound+Action+Straight%2C+Left+and+Right+Cut+Snips&amp;qid=1695174052&amp;sr=8-3")</f>
        <v>https://www.amazon.com/Wiss-M2R-Compound-Action-Straight/dp/B00002N5KP/ref=sr_1_3?keywords=Crescent+Wiss+M3P+9-3%2F4%22+Compound+Action+Straight%2C+Left+and+Right+Cut+Snips&amp;qid=1695174052&amp;sr=8-3</v>
      </c>
      <c r="F4550" t="s">
        <v>8999</v>
      </c>
      <c r="G4550" t="e">
        <f ca="1">_xludf.IMAGE("https://edmondsonsupply.com/cdn/shop/products/WIS_M3P_IMG_ANG_01.jpg?v=1679675102")</f>
        <v>#NAME?</v>
      </c>
      <c r="H4550" t="e">
        <f ca="1">_xludf.IMAGE("https://m.media-amazon.com/images/I/71ObA+hcEeL._AC_UL320_.jpg")</f>
        <v>#NAME?</v>
      </c>
      <c r="I4550" t="s">
        <v>577</v>
      </c>
      <c r="J4550">
        <v>12</v>
      </c>
      <c r="K4550" s="4">
        <v>-0.3997</v>
      </c>
      <c r="L4550">
        <v>4.5999999999999996</v>
      </c>
      <c r="M4550">
        <v>723</v>
      </c>
      <c r="O4550" t="s">
        <v>25</v>
      </c>
      <c r="P4550" t="s">
        <v>6924</v>
      </c>
      <c r="Q4550" t="s">
        <v>7121</v>
      </c>
    </row>
    <row r="4551" spans="1:17" ht="15.5" x14ac:dyDescent="0.35">
      <c r="A4551" s="3" t="str">
        <f>HYPERLINK("https://edmondsonsupply.com/collections/electricians-tools/products/klein-tools-85153k-slotted-screw-holding-driver-kit-3-16-inch-and-1-4-inch", "https://edmondsonsupply.com/collections/electricians-tools/products/klein-tools-85153k-slotted-screw-holding-driver-kit-3-16-inch-and-1-4-inch")</f>
        <v>https://edmondsonsupply.com/collections/electricians-tools/products/klein-tools-85153k-slotted-screw-holding-driver-kit-3-16-inch-and-1-4-inch</v>
      </c>
      <c r="B4551"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4551" t="s">
        <v>3864</v>
      </c>
      <c r="D4551" t="s">
        <v>5508</v>
      </c>
      <c r="E4551" s="3" t="str">
        <f>HYPERLINK("https://www.amazon.com/Klein-Tools-K46-Screw-Holding-Screwdriver/dp/B000936P4S/ref=sr_1_5?keywords=Klein+Tools+85153K+Slotted+Screw+Holding+Driver+Kit%2C+3%2F16-Inch+and+1%2F4-Inch&amp;qid=1695173961&amp;sr=8-5", "https://www.amazon.com/Klein-Tools-K46-Screw-Holding-Screwdriver/dp/B000936P4S/ref=sr_1_5?keywords=Klein+Tools+85153K+Slotted+Screw+Holding+Driver+Kit%2C+3%2F16-Inch+and+1%2F4-Inch&amp;qid=1695173961&amp;sr=8-5")</f>
        <v>https://www.amazon.com/Klein-Tools-K46-Screw-Holding-Screwdriver/dp/B000936P4S/ref=sr_1_5?keywords=Klein+Tools+85153K+Slotted+Screw+Holding+Driver+Kit%2C+3%2F16-Inch+and+1%2F4-Inch&amp;qid=1695173961&amp;sr=8-5</v>
      </c>
      <c r="F4551" t="s">
        <v>5509</v>
      </c>
      <c r="G4551" t="e">
        <f ca="1">_xludf.IMAGE("https://edmondsonsupply.com/cdn/shop/files/85153k.jpg?v=1693933663")</f>
        <v>#NAME?</v>
      </c>
      <c r="H4551" t="e">
        <f ca="1">_xludf.IMAGE("https://m.media-amazon.com/images/I/61Q6wSN1OyL._AC_UL320_.jpg")</f>
        <v>#NAME?</v>
      </c>
      <c r="I4551" t="s">
        <v>3867</v>
      </c>
      <c r="J4551">
        <v>11.99</v>
      </c>
      <c r="K4551" s="4">
        <v>-0.39989999999999998</v>
      </c>
      <c r="L4551">
        <v>4.5999999999999996</v>
      </c>
      <c r="M4551">
        <v>170</v>
      </c>
      <c r="O4551" t="s">
        <v>25</v>
      </c>
      <c r="P4551" t="s">
        <v>3068</v>
      </c>
      <c r="Q4551" t="s">
        <v>3868</v>
      </c>
    </row>
    <row r="4552" spans="1:17" ht="15.5" x14ac:dyDescent="0.35">
      <c r="A4552"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4552"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4552" t="s">
        <v>7911</v>
      </c>
      <c r="D4552" t="s">
        <v>6101</v>
      </c>
      <c r="E4552" s="3" t="str">
        <f>HYPERLINK("https://www.amazon.com/Klein-Tools-51603-Conduit-Features/dp/B08W6GJTHW/ref=sr_1_5?keywords=Klein+Tools+51605+Iron+Conduit+Bender+Full+Assembly%2C+1-Inch+EMT+with+Angle+Setter%E2%84%A2&amp;qid=1695174157&amp;sr=8-5", "https://www.amazon.com/Klein-Tools-51603-Conduit-Features/dp/B08W6GJTHW/ref=sr_1_5?keywords=Klein+Tools+51605+Iron+Conduit+Bender+Full+Assembly%2C+1-Inch+EMT+with+Angle+Setter%E2%84%A2&amp;qid=1695174157&amp;sr=8-5")</f>
        <v>https://www.amazon.com/Klein-Tools-51603-Conduit-Features/dp/B08W6GJTHW/ref=sr_1_5?keywords=Klein+Tools+51605+Iron+Conduit+Bender+Full+Assembly%2C+1-Inch+EMT+with+Angle+Setter%E2%84%A2&amp;qid=1695174157&amp;sr=8-5</v>
      </c>
      <c r="F4552" t="s">
        <v>6102</v>
      </c>
      <c r="G4552" t="e">
        <f ca="1">_xludf.IMAGE("https://edmondsonsupply.com/cdn/shop/products/51605.jpg?v=1663938749")</f>
        <v>#NAME?</v>
      </c>
      <c r="H4552" t="e">
        <f ca="1">_xludf.IMAGE("https://m.media-amazon.com/images/I/31lf3y-9bSL._AC_UL320_.jpg")</f>
        <v>#NAME?</v>
      </c>
      <c r="I4552" t="s">
        <v>545</v>
      </c>
      <c r="J4552">
        <v>59.99</v>
      </c>
      <c r="K4552" s="4">
        <v>-0.39989999999999998</v>
      </c>
      <c r="L4552">
        <v>4.9000000000000004</v>
      </c>
      <c r="M4552">
        <v>31</v>
      </c>
      <c r="O4552" t="s">
        <v>25</v>
      </c>
      <c r="P4552" t="s">
        <v>2225</v>
      </c>
      <c r="Q4552" t="s">
        <v>7912</v>
      </c>
    </row>
    <row r="4553" spans="1:17" ht="15.5" x14ac:dyDescent="0.35">
      <c r="A4553"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4553" s="3" t="str">
        <f>HYPERLINK("https://edmondsonsupply.com/products/klein-tools-51610-1-iron-conduit-bender-head", "https://edmondsonsupply.com/products/klein-tools-51610-1-iron-conduit-bender-head")</f>
        <v>https://edmondsonsupply.com/products/klein-tools-51610-1-iron-conduit-bender-head</v>
      </c>
      <c r="C4553" t="s">
        <v>6220</v>
      </c>
      <c r="D4553" t="s">
        <v>6178</v>
      </c>
      <c r="E4553" s="3" t="str">
        <f>HYPERLINK("https://www.amazon.com/Conduit-Bender-Klein-Tools-51609/dp/B08VYFHL9J/ref=sr_1_3?keywords=Klein+Tools+51610+1%22+Iron+Conduit+Bender+Head&amp;qid=1695174168&amp;sr=8-3", "https://www.amazon.com/Conduit-Bender-Klein-Tools-51609/dp/B08VYFHL9J/ref=sr_1_3?keywords=Klein+Tools+51610+1%22+Iron+Conduit+Bender+Head&amp;qid=1695174168&amp;sr=8-3")</f>
        <v>https://www.amazon.com/Conduit-Bender-Klein-Tools-51609/dp/B08VYFHL9J/ref=sr_1_3?keywords=Klein+Tools+51610+1%22+Iron+Conduit+Bender+Head&amp;qid=1695174168&amp;sr=8-3</v>
      </c>
      <c r="F4553" t="s">
        <v>6179</v>
      </c>
      <c r="G4553" t="e">
        <f ca="1">_xludf.IMAGE("https://edmondsonsupply.com/cdn/shop/products/51610.jpg?v=1661975879")</f>
        <v>#NAME?</v>
      </c>
      <c r="H4553" t="e">
        <f ca="1">_xludf.IMAGE("https://m.media-amazon.com/images/I/61KifnC2xML._AC_UL320_.jpg")</f>
        <v>#NAME?</v>
      </c>
      <c r="I4553" t="s">
        <v>320</v>
      </c>
      <c r="J4553">
        <v>44.99</v>
      </c>
      <c r="K4553" s="4">
        <v>-0.40010000000000001</v>
      </c>
      <c r="L4553">
        <v>4.2</v>
      </c>
      <c r="M4553">
        <v>31</v>
      </c>
      <c r="O4553" t="s">
        <v>25</v>
      </c>
      <c r="P4553" t="s">
        <v>6223</v>
      </c>
      <c r="Q4553" t="s">
        <v>6224</v>
      </c>
    </row>
    <row r="4554" spans="1:17" ht="15.5" x14ac:dyDescent="0.35">
      <c r="A4554"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4554"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4554" t="s">
        <v>7299</v>
      </c>
      <c r="D4554" t="s">
        <v>6176</v>
      </c>
      <c r="E4554" s="3" t="str">
        <f>HYPERLINK("https://www.amazon.com/Aluminum-Benchmark-Technology-Klein-Tools/dp/B08L41G5G5/ref=sr_1_3?keywords=Klein+Tools+51604+Iron+Conduit+Bender+Full+Assembly%2C+3%2F4-Inch+EMT+with+Angle+Setter%E2%84%A2&amp;qid=1695174174&amp;sr=8-3", "https://www.amazon.com/Aluminum-Benchmark-Technology-Klein-Tools/dp/B08L41G5G5/ref=sr_1_3?keywords=Klein+Tools+51604+Iron+Conduit+Bender+Full+Assembly%2C+3%2F4-Inch+EMT+with+Angle+Setter%E2%84%A2&amp;qid=1695174174&amp;sr=8-3")</f>
        <v>https://www.amazon.com/Aluminum-Benchmark-Technology-Klein-Tools/dp/B08L41G5G5/ref=sr_1_3?keywords=Klein+Tools+51604+Iron+Conduit+Bender+Full+Assembly%2C+3%2F4-Inch+EMT+with+Angle+Setter%E2%84%A2&amp;qid=1695174174&amp;sr=8-3</v>
      </c>
      <c r="F4554" t="s">
        <v>6177</v>
      </c>
      <c r="G4554" t="e">
        <f ca="1">_xludf.IMAGE("https://edmondsonsupply.com/cdn/shop/products/51603.jpg?v=1660829273")</f>
        <v>#NAME?</v>
      </c>
      <c r="H4554" t="e">
        <f ca="1">_xludf.IMAGE("https://m.media-amazon.com/images/I/419ZjlOD69L._AC_UL320_.jpg")</f>
        <v>#NAME?</v>
      </c>
      <c r="I4554" t="s">
        <v>320</v>
      </c>
      <c r="J4554">
        <v>44.99</v>
      </c>
      <c r="K4554" s="4">
        <v>-0.40010000000000001</v>
      </c>
      <c r="L4554">
        <v>4.7</v>
      </c>
      <c r="M4554">
        <v>343</v>
      </c>
      <c r="O4554" t="s">
        <v>171</v>
      </c>
      <c r="P4554" t="s">
        <v>306</v>
      </c>
      <c r="Q4554" t="s">
        <v>7300</v>
      </c>
    </row>
    <row r="4555" spans="1:17" ht="15.5" x14ac:dyDescent="0.35">
      <c r="A4555"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4555"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4555" t="s">
        <v>7299</v>
      </c>
      <c r="D4555" t="s">
        <v>6178</v>
      </c>
      <c r="E4555" s="3" t="str">
        <f>HYPERLINK("https://www.amazon.com/Conduit-Bender-Klein-Tools-51609/dp/B08VYFHL9J/ref=sr_1_8?keywords=Klein+Tools+51604+Iron+Conduit+Bender+Full+Assembly%2C+3%2F4-Inch+EMT+with+Angle+Setter%E2%84%A2&amp;qid=1695174174&amp;sr=8-8", "https://www.amazon.com/Conduit-Bender-Klein-Tools-51609/dp/B08VYFHL9J/ref=sr_1_8?keywords=Klein+Tools+51604+Iron+Conduit+Bender+Full+Assembly%2C+3%2F4-Inch+EMT+with+Angle+Setter%E2%84%A2&amp;qid=1695174174&amp;sr=8-8")</f>
        <v>https://www.amazon.com/Conduit-Bender-Klein-Tools-51609/dp/B08VYFHL9J/ref=sr_1_8?keywords=Klein+Tools+51604+Iron+Conduit+Bender+Full+Assembly%2C+3%2F4-Inch+EMT+with+Angle+Setter%E2%84%A2&amp;qid=1695174174&amp;sr=8-8</v>
      </c>
      <c r="F4555" t="s">
        <v>6179</v>
      </c>
      <c r="G4555" t="e">
        <f ca="1">_xludf.IMAGE("https://edmondsonsupply.com/cdn/shop/products/51603.jpg?v=1660829273")</f>
        <v>#NAME?</v>
      </c>
      <c r="H4555" t="e">
        <f ca="1">_xludf.IMAGE("https://m.media-amazon.com/images/I/61KifnC2xML._AC_UL320_.jpg")</f>
        <v>#NAME?</v>
      </c>
      <c r="I4555" t="s">
        <v>320</v>
      </c>
      <c r="J4555">
        <v>44.99</v>
      </c>
      <c r="K4555" s="4">
        <v>-0.40010000000000001</v>
      </c>
      <c r="L4555">
        <v>4.2</v>
      </c>
      <c r="M4555">
        <v>31</v>
      </c>
      <c r="O4555" t="s">
        <v>171</v>
      </c>
      <c r="P4555" t="s">
        <v>306</v>
      </c>
      <c r="Q4555" t="s">
        <v>7300</v>
      </c>
    </row>
    <row r="4556" spans="1:17" ht="15.5" x14ac:dyDescent="0.35">
      <c r="A4556"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4556" s="3" t="str">
        <f>HYPERLINK("https://edmondsonsupply.com/products/klein-tools-31948-bi-metal-hole-saw-3-inch", "https://edmondsonsupply.com/products/klein-tools-31948-bi-metal-hole-saw-3-inch")</f>
        <v>https://edmondsonsupply.com/products/klein-tools-31948-bi-metal-hole-saw-3-inch</v>
      </c>
      <c r="C4556" t="s">
        <v>6377</v>
      </c>
      <c r="D4556" t="s">
        <v>6049</v>
      </c>
      <c r="E4556" s="3" t="str">
        <f>HYPERLINK("https://www.amazon.com/Bi-Metal-8-Inch-Klein-Tools-31922/dp/B019874Q0K/ref=sr_1_3?keywords=Klein+Tools+31948+Bi-Metal+Hole+Saw%2C+3-Inch&amp;qid=1695174151&amp;sr=8-3", "https://www.amazon.com/Bi-Metal-8-Inch-Klein-Tools-31922/dp/B019874Q0K/ref=sr_1_3?keywords=Klein+Tools+31948+Bi-Metal+Hole+Saw%2C+3-Inch&amp;qid=1695174151&amp;sr=8-3")</f>
        <v>https://www.amazon.com/Bi-Metal-8-Inch-Klein-Tools-31922/dp/B019874Q0K/ref=sr_1_3?keywords=Klein+Tools+31948+Bi-Metal+Hole+Saw%2C+3-Inch&amp;qid=1695174151&amp;sr=8-3</v>
      </c>
      <c r="F4556" t="s">
        <v>7576</v>
      </c>
      <c r="G4556" t="e">
        <f ca="1">_xludf.IMAGE("https://edmondsonsupply.com/cdn/shop/products/31948.jpg?v=1663945105")</f>
        <v>#NAME?</v>
      </c>
      <c r="H4556" t="e">
        <f ca="1">_xludf.IMAGE("https://m.media-amazon.com/images/I/41GAmyLoB4L._AC_UL320_.jpg")</f>
        <v>#NAME?</v>
      </c>
      <c r="I4556" t="s">
        <v>276</v>
      </c>
      <c r="J4556">
        <v>8.99</v>
      </c>
      <c r="K4556" s="4">
        <v>-0.40029999999999999</v>
      </c>
      <c r="L4556">
        <v>4.5</v>
      </c>
      <c r="M4556">
        <v>366</v>
      </c>
      <c r="O4556" t="s">
        <v>25</v>
      </c>
      <c r="P4556" t="s">
        <v>6378</v>
      </c>
      <c r="Q4556" t="s">
        <v>6379</v>
      </c>
    </row>
    <row r="4557" spans="1:17" ht="15.5" x14ac:dyDescent="0.35">
      <c r="A4557" s="3" t="str">
        <f>HYPERLINK("https://edmondsonsupply.com/collections/electricians-tools/products/klein-tools-et60-electronic-ac-dc-voltage-tester-12-to-600v", "https://edmondsonsupply.com/collections/electricians-tools/products/klein-tools-et60-electronic-ac-dc-voltage-tester-12-to-600v")</f>
        <v>https://edmondsonsupply.com/collections/electricians-tools/products/klein-tools-et60-electronic-ac-dc-voltage-tester-12-to-600v</v>
      </c>
      <c r="B4557" s="3" t="str">
        <f>HYPERLINK("https://edmondsonsupply.com/products/klein-tools-et60-electronic-ac-dc-voltage-tester-12-to-600v", "https://edmondsonsupply.com/products/klein-tools-et60-electronic-ac-dc-voltage-tester-12-to-600v")</f>
        <v>https://edmondsonsupply.com/products/klein-tools-et60-electronic-ac-dc-voltage-tester-12-to-600v</v>
      </c>
      <c r="C4557" t="s">
        <v>8444</v>
      </c>
      <c r="D4557" t="s">
        <v>7935</v>
      </c>
      <c r="E4557" s="3" t="str">
        <f>HYPERLINK("https://www.amazon.com/Klein-Tools-ET40-Polarity-Batteries/dp/B07P45RB8S/ref=sr_1_2?keywords=Klein+Tools+ET60+Electronic+AC%2FDC+Voltage+Tester%2C+12+to+600V&amp;qid=1695174278&amp;sr=8-2", "https://www.amazon.com/Klein-Tools-ET40-Polarity-Batteries/dp/B07P45RB8S/ref=sr_1_2?keywords=Klein+Tools+ET60+Electronic+AC%2FDC+Voltage+Tester%2C+12+to+600V&amp;qid=1695174278&amp;sr=8-2")</f>
        <v>https://www.amazon.com/Klein-Tools-ET40-Polarity-Batteries/dp/B07P45RB8S/ref=sr_1_2?keywords=Klein+Tools+ET60+Electronic+AC%2FDC+Voltage+Tester%2C+12+to+600V&amp;qid=1695174278&amp;sr=8-2</v>
      </c>
      <c r="F4557" t="s">
        <v>7936</v>
      </c>
      <c r="G4557" t="e">
        <f ca="1">_xludf.IMAGE("https://edmondsonsupply.com/cdn/shop/products/et60.jpg?v=1633030979")</f>
        <v>#NAME?</v>
      </c>
      <c r="H4557" t="e">
        <f ca="1">_xludf.IMAGE("https://m.media-amazon.com/images/I/519RV+CHdeL._AC_UL320_.jpg")</f>
        <v>#NAME?</v>
      </c>
      <c r="I4557" t="s">
        <v>824</v>
      </c>
      <c r="J4557">
        <v>17.97</v>
      </c>
      <c r="K4557" s="4">
        <v>-0.40039999999999998</v>
      </c>
      <c r="L4557">
        <v>4.5</v>
      </c>
      <c r="M4557">
        <v>1284</v>
      </c>
      <c r="O4557" t="s">
        <v>25</v>
      </c>
      <c r="P4557" t="s">
        <v>8445</v>
      </c>
      <c r="Q4557" t="s">
        <v>8446</v>
      </c>
    </row>
    <row r="4558" spans="1:17" ht="15.5" x14ac:dyDescent="0.35">
      <c r="A4558" s="3" t="str">
        <f>HYPERLINK("https://edmondsonsupply.com/collections/electricians-tools/products/klein-tools-450-900-hook-and-loop-tape-dispenser-versatile-cable-ties-custom-length", "https://edmondsonsupply.com/collections/electricians-tools/products/klein-tools-450-900-hook-and-loop-tape-dispenser-versatile-cable-ties-custom-length")</f>
        <v>https://edmondsonsupply.com/collections/electricians-tools/products/klein-tools-450-900-hook-and-loop-tape-dispenser-versatile-cable-ties-custom-length</v>
      </c>
      <c r="B4558" s="3" t="str">
        <f>HYPERLINK("https://edmondsonsupply.com/products/klein-tools-450-900-hook-and-loop-tape-dispenser-versatile-cable-ties-custom-length", "https://edmondsonsupply.com/products/klein-tools-450-900-hook-and-loop-tape-dispenser-versatile-cable-ties-custom-length")</f>
        <v>https://edmondsonsupply.com/products/klein-tools-450-900-hook-and-loop-tape-dispenser-versatile-cable-ties-custom-length</v>
      </c>
      <c r="C4558" t="s">
        <v>9002</v>
      </c>
      <c r="D4558" t="s">
        <v>9003</v>
      </c>
      <c r="E4558" s="3" t="str">
        <f>HYPERLINK("https://www.amazon.com/Replacement-Dispenser-Custom-Length-Klein-Tools/dp/B09QHC6P3V/ref=sr_1_2?keywords=Klein+Tools+450-900+Hook+and+Loop+Tape+Dispenser%2C+Versatile+Cable+Ties%2C+Custom+Length&amp;qid=1695174144&amp;sr=8-2", "https://www.amazon.com/Replacement-Dispenser-Custom-Length-Klein-Tools/dp/B09QHC6P3V/ref=sr_1_2?keywords=Klein+Tools+450-900+Hook+and+Loop+Tape+Dispenser%2C+Versatile+Cable+Ties%2C+Custom+Length&amp;qid=1695174144&amp;sr=8-2")</f>
        <v>https://www.amazon.com/Replacement-Dispenser-Custom-Length-Klein-Tools/dp/B09QHC6P3V/ref=sr_1_2?keywords=Klein+Tools+450-900+Hook+and+Loop+Tape+Dispenser%2C+Versatile+Cable+Ties%2C+Custom+Length&amp;qid=1695174144&amp;sr=8-2</v>
      </c>
      <c r="F4558" t="s">
        <v>9004</v>
      </c>
      <c r="G4558" t="e">
        <f ca="1">_xludf.IMAGE("https://edmondsonsupply.com/cdn/shop/products/450900.jpg?v=1666025910")</f>
        <v>#NAME?</v>
      </c>
      <c r="H4558" t="e">
        <f ca="1">_xludf.IMAGE("https://m.media-amazon.com/images/I/51l70S+JK0L._AC_UY218_.jpg")</f>
        <v>#NAME?</v>
      </c>
      <c r="I4558" t="s">
        <v>571</v>
      </c>
      <c r="J4558">
        <v>20.96</v>
      </c>
      <c r="K4558" s="4">
        <v>-0.40100000000000002</v>
      </c>
      <c r="L4558">
        <v>3</v>
      </c>
      <c r="M4558">
        <v>1</v>
      </c>
      <c r="O4558" t="s">
        <v>25</v>
      </c>
      <c r="P4558" t="s">
        <v>9005</v>
      </c>
      <c r="Q4558" t="s">
        <v>9006</v>
      </c>
    </row>
    <row r="4559" spans="1:17" ht="15.5" x14ac:dyDescent="0.35">
      <c r="A4559" s="3" t="str">
        <f>HYPERLINK("https://edmondsonsupply.com/collections/electricians-tools/products/klein-tools-44033-stainless-steel-pocket-knife-2-1-4-inch-drop-point-blade", "https://edmondsonsupply.com/collections/electricians-tools/products/klein-tools-44033-stainless-steel-pocket-knife-2-1-4-inch-drop-point-blade")</f>
        <v>https://edmondsonsupply.com/collections/electricians-tools/products/klein-tools-44033-stainless-steel-pocket-knife-2-1-4-inch-drop-point-blade</v>
      </c>
      <c r="B4559" s="3" t="str">
        <f>HYPERLINK("https://edmondsonsupply.com/products/klein-tools-44033-stainless-steel-pocket-knife-2-1-4-inch-drop-point-blade", "https://edmondsonsupply.com/products/klein-tools-44033-stainless-steel-pocket-knife-2-1-4-inch-drop-point-blade")</f>
        <v>https://edmondsonsupply.com/products/klein-tools-44033-stainless-steel-pocket-knife-2-1-4-inch-drop-point-blade</v>
      </c>
      <c r="C4559" t="s">
        <v>9007</v>
      </c>
      <c r="D4559" t="s">
        <v>9008</v>
      </c>
      <c r="E4559" s="3" t="str">
        <f>HYPERLINK("https://www.amazon.com/Compact-Pocket-Klein-Tools-44033/dp/B000DLC0HC/ref=sr_1_1?keywords=Klein+Tools+44033+Stainless+Steel+Pocket+Knife%2C+2-1%2F4-Inch+Drop+Point+Blade&amp;qid=1695174208&amp;sr=8-1", "https://www.amazon.com/Compact-Pocket-Klein-Tools-44033/dp/B000DLC0HC/ref=sr_1_1?keywords=Klein+Tools+44033+Stainless+Steel+Pocket+Knife%2C+2-1%2F4-Inch+Drop+Point+Blade&amp;qid=1695174208&amp;sr=8-1")</f>
        <v>https://www.amazon.com/Compact-Pocket-Klein-Tools-44033/dp/B000DLC0HC/ref=sr_1_1?keywords=Klein+Tools+44033+Stainless+Steel+Pocket+Knife%2C+2-1%2F4-Inch+Drop+Point+Blade&amp;qid=1695174208&amp;sr=8-1</v>
      </c>
      <c r="F4559" t="s">
        <v>9009</v>
      </c>
      <c r="G4559" t="e">
        <f ca="1">_xludf.IMAGE("https://edmondsonsupply.com/cdn/shop/products/44033.jpg?v=1649893400")</f>
        <v>#NAME?</v>
      </c>
      <c r="H4559" t="e">
        <f ca="1">_xludf.IMAGE("https://m.media-amazon.com/images/I/41lVRYcGPKL._AC_UL320_.jpg")</f>
        <v>#NAME?</v>
      </c>
      <c r="I4559" t="s">
        <v>9010</v>
      </c>
      <c r="J4559">
        <v>45.06</v>
      </c>
      <c r="K4559" s="4">
        <v>-0.40110000000000001</v>
      </c>
      <c r="L4559">
        <v>4.8</v>
      </c>
      <c r="M4559">
        <v>192</v>
      </c>
      <c r="O4559" t="s">
        <v>25</v>
      </c>
      <c r="P4559" t="s">
        <v>138</v>
      </c>
      <c r="Q4559" t="s">
        <v>9011</v>
      </c>
    </row>
    <row r="4560" spans="1:17" ht="15.5" x14ac:dyDescent="0.35">
      <c r="A4560"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4560"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4560" t="s">
        <v>7067</v>
      </c>
      <c r="D4560" t="s">
        <v>8827</v>
      </c>
      <c r="E4560" s="3" t="str">
        <f>HYPERLINK("https://www.amazon.com/Diablo-Freud-DOU125BF-Universal-Oscillating/dp/B089KV143Y/ref=sr_1_9?keywords=Diablo+Tools+DOU250BW+2-1%2F2+in.+Universal+Fit+Bi-Metal+Oscillating+Blade+for+Nail-Embedded+Wood&amp;qid=1695174021&amp;sr=8-9", "https://www.amazon.com/Diablo-Freud-DOU125BF-Universal-Oscillating/dp/B089KV143Y/ref=sr_1_9?keywords=Diablo+Tools+DOU250BW+2-1%2F2+in.+Universal+Fit+Bi-Metal+Oscillating+Blade+for+Nail-Embedded+Wood&amp;qid=1695174021&amp;sr=8-9")</f>
        <v>https://www.amazon.com/Diablo-Freud-DOU125BF-Universal-Oscillating/dp/B089KV143Y/ref=sr_1_9?keywords=Diablo+Tools+DOU250BW+2-1%2F2+in.+Universal+Fit+Bi-Metal+Oscillating+Blade+for+Nail-Embedded+Wood&amp;qid=1695174021&amp;sr=8-9</v>
      </c>
      <c r="F4560" t="s">
        <v>8828</v>
      </c>
      <c r="G4560" t="e">
        <f ca="1">_xludf.IMAGE("https://edmondsonsupply.com/cdn/shop/files/xcched1uye7bv2s0ryod.webp?v=1685717397")</f>
        <v>#NAME?</v>
      </c>
      <c r="H4560" t="e">
        <f ca="1">_xludf.IMAGE("https://m.media-amazon.com/images/I/61mZfXlj-XL._AC_UL320_.jpg")</f>
        <v>#NAME?</v>
      </c>
      <c r="I4560" t="s">
        <v>893</v>
      </c>
      <c r="J4560">
        <v>11.95</v>
      </c>
      <c r="K4560" s="4">
        <v>-0.40160000000000001</v>
      </c>
      <c r="L4560">
        <v>3.7</v>
      </c>
      <c r="M4560">
        <v>8</v>
      </c>
      <c r="O4560" t="s">
        <v>25</v>
      </c>
      <c r="P4560" t="s">
        <v>6936</v>
      </c>
      <c r="Q4560" t="s">
        <v>7068</v>
      </c>
    </row>
    <row r="4561" spans="1:17" ht="15.5" x14ac:dyDescent="0.35">
      <c r="A4561" s="3" t="str">
        <f>HYPERLINK("https://edmondsonsupply.com/collections/electricians-tools/products/milwaukee-48-25-2122", "https://edmondsonsupply.com/collections/electricians-tools/products/milwaukee-48-25-2122")</f>
        <v>https://edmondsonsupply.com/collections/electricians-tools/products/milwaukee-48-25-2122</v>
      </c>
      <c r="B4561" s="3" t="str">
        <f>HYPERLINK("https://edmondsonsupply.com/products/milwaukee-48-25-2122", "https://edmondsonsupply.com/products/milwaukee-48-25-2122")</f>
        <v>https://edmondsonsupply.com/products/milwaukee-48-25-2122</v>
      </c>
      <c r="C4561" t="s">
        <v>3381</v>
      </c>
      <c r="D4561" t="s">
        <v>5514</v>
      </c>
      <c r="E4561" s="3" t="str">
        <f>HYPERLINK("https://www.amazon.com/MILWAUKEE-GIDDS2-288392-48-25-1372-Standard-Selfeed/dp/B000F6V0O4/ref=sr_1_4?keywords=Milwaukee+48-25-2122+Standard+Selfeed+Bit%2C+2-1%2F8%22&amp;qid=1695174005&amp;sr=8-4", "https://www.amazon.com/MILWAUKEE-GIDDS2-288392-48-25-1372-Standard-Selfeed/dp/B000F6V0O4/ref=sr_1_4?keywords=Milwaukee+48-25-2122+Standard+Selfeed+Bit%2C+2-1%2F8%22&amp;qid=1695174005&amp;sr=8-4")</f>
        <v>https://www.amazon.com/MILWAUKEE-GIDDS2-288392-48-25-1372-Standard-Selfeed/dp/B000F6V0O4/ref=sr_1_4?keywords=Milwaukee+48-25-2122+Standard+Selfeed+Bit%2C+2-1%2F8%22&amp;qid=1695174005&amp;sr=8-4</v>
      </c>
      <c r="F4561" t="s">
        <v>5515</v>
      </c>
      <c r="G4561" t="e">
        <f ca="1">_xludf.IMAGE("https://edmondsonsupply.com/cdn/shop/files/64170_48-25-1372_1-lg.gif?v=1687367768")</f>
        <v>#NAME?</v>
      </c>
      <c r="H4561" t="e">
        <f ca="1">_xludf.IMAGE("https://m.media-amazon.com/images/I/41pjsh1VxIL._AC_UL320_.jpg")</f>
        <v>#NAME?</v>
      </c>
      <c r="I4561" t="s">
        <v>380</v>
      </c>
      <c r="J4561">
        <v>29.89</v>
      </c>
      <c r="K4561" s="4">
        <v>-0.40179999999999999</v>
      </c>
      <c r="L4561">
        <v>4</v>
      </c>
      <c r="M4561">
        <v>5</v>
      </c>
      <c r="O4561" t="s">
        <v>25</v>
      </c>
      <c r="P4561" t="s">
        <v>138</v>
      </c>
      <c r="Q4561" t="s">
        <v>3384</v>
      </c>
    </row>
    <row r="4562" spans="1:17" ht="15.5" x14ac:dyDescent="0.35">
      <c r="A4562"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4562"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4562" t="s">
        <v>6827</v>
      </c>
      <c r="D4562" t="s">
        <v>5202</v>
      </c>
      <c r="E4562" s="3" t="str">
        <f>HYPERLINK("https://www.amazon.com/Diablo-SDS-Max-4-Cutter-Carbide-Hammer/dp/B089LN5QN7/ref=sr_1_10?keywords=Diablo+Tools+DMAMX1360+1-1%2F2+in.+x+16+in.+x+21+in.+Rebar+Demon%E2%84%A2+SDS-Max+4-Cutter+Carbide-Tipped+Hammer+Drill+Bit&amp;qid=1695174071&amp;sr=8-10", "https://www.amazon.com/Diablo-SDS-Max-4-Cutter-Carbide-Hammer/dp/B089LN5QN7/ref=sr_1_10?keywords=Diablo+Tools+DMAMX1360+1-1%2F2+in.+x+16+in.+x+21+in.+Rebar+Demon%E2%84%A2+SDS-Max+4-Cutter+Carbide-Tipped+Hammer+Drill+Bit&amp;qid=1695174071&amp;sr=8-10")</f>
        <v>https://www.amazon.com/Diablo-SDS-Max-4-Cutter-Carbide-Hammer/dp/B089LN5QN7/ref=sr_1_10?keywords=Diablo+Tools+DMAMX1360+1-1%2F2+in.+x+16+in.+x+21+in.+Rebar+Demon%E2%84%A2+SDS-Max+4-Cutter+Carbide-Tipped+Hammer+Drill+Bit&amp;qid=1695174071&amp;sr=8-10</v>
      </c>
      <c r="F4562" t="s">
        <v>5203</v>
      </c>
      <c r="G4562" t="e">
        <f ca="1">_xludf.IMAGE("https://edmondsonsupply.com/cdn/shop/products/z2umcsdaj3y4uvsfnxoh.webp?v=1677257156")</f>
        <v>#NAME?</v>
      </c>
      <c r="H4562" t="e">
        <f ca="1">_xludf.IMAGE("https://m.media-amazon.com/images/I/6182PTqKZGL._AC_UL320_.jpg")</f>
        <v>#NAME?</v>
      </c>
      <c r="I4562" t="s">
        <v>6830</v>
      </c>
      <c r="J4562">
        <v>55.99</v>
      </c>
      <c r="K4562" s="4">
        <v>-0.40350000000000003</v>
      </c>
      <c r="L4562">
        <v>3.6</v>
      </c>
      <c r="M4562">
        <v>4</v>
      </c>
      <c r="O4562" t="s">
        <v>25</v>
      </c>
      <c r="P4562" t="s">
        <v>6831</v>
      </c>
      <c r="Q4562" t="s">
        <v>6832</v>
      </c>
    </row>
    <row r="4563" spans="1:17" ht="15.5" x14ac:dyDescent="0.35">
      <c r="A4563" s="3" t="str">
        <f>HYPERLINK("https://edmondsonsupply.com/collections/electricians-tools/products/klein-tools-602-4dd-4-demolition-driver-1-4-keystone", "https://edmondsonsupply.com/collections/electricians-tools/products/klein-tools-602-4dd-4-demolition-driver-1-4-keystone")</f>
        <v>https://edmondsonsupply.com/collections/electricians-tools/products/klein-tools-602-4dd-4-demolition-driver-1-4-keystone</v>
      </c>
      <c r="B4563" s="3" t="str">
        <f>HYPERLINK("https://edmondsonsupply.com/products/klein-tools-602-4dd-4-demolition-driver-1-4-keystone", "https://edmondsonsupply.com/products/klein-tools-602-4dd-4-demolition-driver-1-4-keystone")</f>
        <v>https://edmondsonsupply.com/products/klein-tools-602-4dd-4-demolition-driver-1-4-keystone</v>
      </c>
      <c r="C4563" t="s">
        <v>3736</v>
      </c>
      <c r="D4563" t="s">
        <v>5516</v>
      </c>
      <c r="E4563" s="3" t="str">
        <f>HYPERLINK("https://www.amazon.com/Keystone-Tip-Screwdriver-Round-Shank-Klein-602-4/dp/B0000302WD/ref=sr_1_4?keywords=Klein+Tools+602-4DD+1%2F4-Inch+Keystone+Demolition+Driver%2C+4-Inch+Shank&amp;qid=1695173941&amp;sr=8-4", "https://www.amazon.com/Keystone-Tip-Screwdriver-Round-Shank-Klein-602-4/dp/B0000302WD/ref=sr_1_4?keywords=Klein+Tools+602-4DD+1%2F4-Inch+Keystone+Demolition+Driver%2C+4-Inch+Shank&amp;qid=1695173941&amp;sr=8-4")</f>
        <v>https://www.amazon.com/Keystone-Tip-Screwdriver-Round-Shank-Klein-602-4/dp/B0000302WD/ref=sr_1_4?keywords=Klein+Tools+602-4DD+1%2F4-Inch+Keystone+Demolition+Driver%2C+4-Inch+Shank&amp;qid=1695173941&amp;sr=8-4</v>
      </c>
      <c r="F4563" t="s">
        <v>5517</v>
      </c>
      <c r="G4563" t="e">
        <f ca="1">_xludf.IMAGE("https://edmondsonsupply.com/cdn/shop/products/602-4dd.jpg?v=1587143287")</f>
        <v>#NAME?</v>
      </c>
      <c r="H4563" t="e">
        <f ca="1">_xludf.IMAGE("https://m.media-amazon.com/images/I/51BHg1CmntL._AC_UL320_.jpg")</f>
        <v>#NAME?</v>
      </c>
      <c r="I4563" t="s">
        <v>252</v>
      </c>
      <c r="J4563">
        <v>9.49</v>
      </c>
      <c r="K4563" s="4">
        <v>-0.40649999999999997</v>
      </c>
      <c r="L4563">
        <v>4.8</v>
      </c>
      <c r="M4563">
        <v>879</v>
      </c>
      <c r="O4563" t="s">
        <v>25</v>
      </c>
      <c r="P4563" t="s">
        <v>3739</v>
      </c>
      <c r="Q4563" t="s">
        <v>3740</v>
      </c>
    </row>
    <row r="4564" spans="1:17" ht="15.5" x14ac:dyDescent="0.35">
      <c r="A4564" s="3" t="str">
        <f>HYPERLINK("https://edmondsonsupply.com/collections/electricians-tools/products/greenlee-gsb04-7-8-step-bit-4", "https://edmondsonsupply.com/collections/electricians-tools/products/greenlee-gsb04-7-8-step-bit-4")</f>
        <v>https://edmondsonsupply.com/collections/electricians-tools/products/greenlee-gsb04-7-8-step-bit-4</v>
      </c>
      <c r="B4564" s="3" t="str">
        <f>HYPERLINK("https://edmondsonsupply.com/products/greenlee-gsb04-7-8-step-bit-4", "https://edmondsonsupply.com/products/greenlee-gsb04-7-8-step-bit-4")</f>
        <v>https://edmondsonsupply.com/products/greenlee-gsb04-7-8-step-bit-4</v>
      </c>
      <c r="C4564" t="s">
        <v>5518</v>
      </c>
      <c r="D4564" t="s">
        <v>4378</v>
      </c>
      <c r="E4564" s="3" t="str">
        <f>HYPERLINK("https://www.amazon.com/Greenlee-GSB04-Step-Bit/dp/B08TVF22W4/ref=sr_1_1?keywords=Greenlee+GSB04+7%2F8%22+Step+Bit+%28%234%29&amp;qid=1695174001&amp;sr=8-1", "https://www.amazon.com/Greenlee-GSB04-Step-Bit/dp/B08TVF22W4/ref=sr_1_1?keywords=Greenlee+GSB04+7%2F8%22+Step+Bit+%28%234%29&amp;qid=1695174001&amp;sr=8-1")</f>
        <v>https://www.amazon.com/Greenlee-GSB04-Step-Bit/dp/B08TVF22W4/ref=sr_1_1?keywords=Greenlee+GSB04+7%2F8%22+Step+Bit+%28%234%29&amp;qid=1695174001&amp;sr=8-1</v>
      </c>
      <c r="F4564" t="s">
        <v>4379</v>
      </c>
      <c r="G4564" t="e">
        <f ca="1">_xludf.IMAGE("https://edmondsonsupply.com/cdn/shop/files/GSB04_CAT1_72dpi_1.jpg?v=1687789356")</f>
        <v>#NAME?</v>
      </c>
      <c r="H4564" t="e">
        <f ca="1">_xludf.IMAGE("https://m.media-amazon.com/images/I/41FX4czhS0L._AC_UY218_.jpg")</f>
        <v>#NAME?</v>
      </c>
      <c r="I4564" t="s">
        <v>5519</v>
      </c>
      <c r="J4564">
        <v>32</v>
      </c>
      <c r="K4564" s="4">
        <v>-0.40699999999999997</v>
      </c>
      <c r="L4564">
        <v>5</v>
      </c>
      <c r="M4564">
        <v>7</v>
      </c>
      <c r="O4564" t="s">
        <v>25</v>
      </c>
      <c r="P4564" t="s">
        <v>5520</v>
      </c>
      <c r="Q4564" t="s">
        <v>5521</v>
      </c>
    </row>
    <row r="4565" spans="1:17" ht="15.5" x14ac:dyDescent="0.35">
      <c r="A4565"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4565"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4565" t="s">
        <v>8050</v>
      </c>
      <c r="D4565" t="s">
        <v>4988</v>
      </c>
      <c r="E4565" s="3" t="str">
        <f>HYPERLINK("https://www.amazon.com/Channellock-426-8-Inch-Capacity-2-Inch/dp/B00004SBCS/ref=sr_1_7?keywords=Channellock+430X+10-Inch+SPEEDGRIP%E2%84%A2+Straight+Jaw+Tongue+%26+Groove+Pliers&amp;qid=1695174216&amp;sr=8-7", "https://www.amazon.com/Channellock-426-8-Inch-Capacity-2-Inch/dp/B00004SBCS/ref=sr_1_7?keywords=Channellock+430X+10-Inch+SPEEDGRIP%E2%84%A2+Straight+Jaw+Tongue+%26+Groove+Pliers&amp;qid=1695174216&amp;sr=8-7")</f>
        <v>https://www.amazon.com/Channellock-426-8-Inch-Capacity-2-Inch/dp/B00004SBCS/ref=sr_1_7?keywords=Channellock+430X+10-Inch+SPEEDGRIP%E2%84%A2+Straight+Jaw+Tongue+%26+Groove+Pliers&amp;qid=1695174216&amp;sr=8-7</v>
      </c>
      <c r="F4565" t="s">
        <v>4989</v>
      </c>
      <c r="G4565" t="e">
        <f ca="1">_xludf.IMAGE("https://edmondsonsupply.com/cdn/shop/products/430X.jpg?v=1647100497")</f>
        <v>#NAME?</v>
      </c>
      <c r="H4565" t="e">
        <f ca="1">_xludf.IMAGE("https://m.media-amazon.com/images/I/713NYKlIyoL._AC_UL320_.jpg")</f>
        <v>#NAME?</v>
      </c>
      <c r="I4565" t="s">
        <v>5375</v>
      </c>
      <c r="J4565">
        <v>15.95</v>
      </c>
      <c r="K4565" s="4">
        <v>-0.40820000000000001</v>
      </c>
      <c r="L4565">
        <v>4.7</v>
      </c>
      <c r="M4565">
        <v>1999</v>
      </c>
      <c r="O4565" t="s">
        <v>25</v>
      </c>
      <c r="P4565" t="s">
        <v>8051</v>
      </c>
      <c r="Q4565" t="s">
        <v>8052</v>
      </c>
    </row>
    <row r="4566" spans="1:17" ht="15.5" x14ac:dyDescent="0.35">
      <c r="A4566" s="3" t="str">
        <f>HYPERLINK("https://edmondsonsupply.com/collections/electricians-tools/products/channellock-430cb", "https://edmondsonsupply.com/collections/electricians-tools/products/channellock-430cb")</f>
        <v>https://edmondsonsupply.com/collections/electricians-tools/products/channellock-430cb</v>
      </c>
      <c r="B4566" s="3" t="str">
        <f>HYPERLINK("https://edmondsonsupply.com/products/channellock-430cb", "https://edmondsonsupply.com/products/channellock-430cb")</f>
        <v>https://edmondsonsupply.com/products/channellock-430cb</v>
      </c>
      <c r="C4566" t="s">
        <v>5374</v>
      </c>
      <c r="D4566" t="s">
        <v>4988</v>
      </c>
      <c r="E4566" s="3" t="str">
        <f>HYPERLINK("https://www.amazon.com/Channellock-426-8-Inch-Capacity-2-Inch/dp/B00004SBCS/ref=sr_1_4?keywords=Channellock+430CB+10%22+Code+Blue+Straight+Jaw+Tongue+%26+Groove+Pliers&amp;qid=1695173895&amp;sr=8-4", "https://www.amazon.com/Channellock-426-8-Inch-Capacity-2-Inch/dp/B00004SBCS/ref=sr_1_4?keywords=Channellock+430CB+10%22+Code+Blue+Straight+Jaw+Tongue+%26+Groove+Pliers&amp;qid=1695173895&amp;sr=8-4")</f>
        <v>https://www.amazon.com/Channellock-426-8-Inch-Capacity-2-Inch/dp/B00004SBCS/ref=sr_1_4?keywords=Channellock+430CB+10%22+Code+Blue+Straight+Jaw+Tongue+%26+Groove+Pliers&amp;qid=1695173895&amp;sr=8-4</v>
      </c>
      <c r="F4566" t="s">
        <v>4989</v>
      </c>
      <c r="G4566" t="e">
        <f ca="1">_xludf.IMAGE("https://edmondsonsupply.com/cdn/shop/products/430CB-683x1024.jpg?v=1587147133")</f>
        <v>#NAME?</v>
      </c>
      <c r="H4566" t="e">
        <f ca="1">_xludf.IMAGE("https://m.media-amazon.com/images/I/713NYKlIyoL._AC_UL320_.jpg")</f>
        <v>#NAME?</v>
      </c>
      <c r="I4566" t="s">
        <v>5375</v>
      </c>
      <c r="J4566">
        <v>15.95</v>
      </c>
      <c r="K4566" s="4">
        <v>-0.40820000000000001</v>
      </c>
      <c r="L4566">
        <v>4.7</v>
      </c>
      <c r="M4566">
        <v>1999</v>
      </c>
      <c r="O4566" t="s">
        <v>25</v>
      </c>
      <c r="P4566" t="s">
        <v>5376</v>
      </c>
      <c r="Q4566" t="s">
        <v>5377</v>
      </c>
    </row>
    <row r="4567" spans="1:17" ht="15.5" x14ac:dyDescent="0.35">
      <c r="A4567"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4567"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4567" t="s">
        <v>6351</v>
      </c>
      <c r="D4567" t="s">
        <v>5118</v>
      </c>
      <c r="E4567" s="3" t="str">
        <f>HYPERLINK("https://www.amazon.com/Journeyman-T-Handle-Klein-Tools-JTH9E10/dp/B004QV8H90/ref=sr_1_1?keywords=Klein+Tools+JTH9E10+5%2F32-Inch+Hex+Key%2C+Journeyman+T-Handle%2C+9-Inch&amp;qid=1695174218&amp;sr=8-1", "https://www.amazon.com/Journeyman-T-Handle-Klein-Tools-JTH9E10/dp/B004QV8H90/ref=sr_1_1?keywords=Klein+Tools+JTH9E10+5%2F32-Inch+Hex+Key%2C+Journeyman+T-Handle%2C+9-Inch&amp;qid=1695174218&amp;sr=8-1")</f>
        <v>https://www.amazon.com/Journeyman-T-Handle-Klein-Tools-JTH9E10/dp/B004QV8H90/ref=sr_1_1?keywords=Klein+Tools+JTH9E10+5%2F32-Inch+Hex+Key%2C+Journeyman+T-Handle%2C+9-Inch&amp;qid=1695174218&amp;sr=8-1</v>
      </c>
      <c r="F4567" t="s">
        <v>5119</v>
      </c>
      <c r="G4567" t="e">
        <f ca="1">_xludf.IMAGE("https://edmondsonsupply.com/cdn/shop/products/jth9e12_37b16542-2f59-465e-8bba-0a543803dfd0.jpg?v=1647892900")</f>
        <v>#NAME?</v>
      </c>
      <c r="H4567" t="e">
        <f ca="1">_xludf.IMAGE("https://m.media-amazon.com/images/I/51Yb8h41vLL._AC_UL320_.jpg")</f>
        <v>#NAME?</v>
      </c>
      <c r="I4567" t="s">
        <v>2389</v>
      </c>
      <c r="J4567">
        <v>4.49</v>
      </c>
      <c r="K4567" s="4">
        <v>-0.40920000000000001</v>
      </c>
      <c r="L4567">
        <v>4.8</v>
      </c>
      <c r="M4567">
        <v>294</v>
      </c>
      <c r="O4567" t="s">
        <v>171</v>
      </c>
      <c r="P4567" t="s">
        <v>138</v>
      </c>
      <c r="Q4567" t="s">
        <v>6352</v>
      </c>
    </row>
    <row r="4568" spans="1:17" ht="15.5" x14ac:dyDescent="0.35">
      <c r="A4568" s="3" t="str">
        <f>HYPERLINK("https://edmondsonsupply.com/collections/electricians-tools/products/milwaukee-48-22-2181-9-key-folding-hex-key-set-sae", "https://edmondsonsupply.com/collections/electricians-tools/products/milwaukee-48-22-2181-9-key-folding-hex-key-set-sae")</f>
        <v>https://edmondsonsupply.com/collections/electricians-tools/products/milwaukee-48-22-2181-9-key-folding-hex-key-set-sae</v>
      </c>
      <c r="B4568" s="3" t="str">
        <f>HYPERLINK("https://edmondsonsupply.com/products/milwaukee-48-22-2181-9-key-folding-hex-key-set-sae", "https://edmondsonsupply.com/products/milwaukee-48-22-2181-9-key-folding-hex-key-set-sae")</f>
        <v>https://edmondsonsupply.com/products/milwaukee-48-22-2181-9-key-folding-hex-key-set-sae</v>
      </c>
      <c r="C4568" t="s">
        <v>9012</v>
      </c>
      <c r="D4568" t="s">
        <v>9013</v>
      </c>
      <c r="E4568" s="3" t="str">
        <f>HYPERLINK("https://www.amazon.com/SATA-9-Piece-Construction-Ergonomic-Material/dp/B0779MSRZX/ref=sr_1_7?keywords=Milwaukee+48-22-2181+9-Key+Folding+Hex+Key+Set+-+SAE&amp;qid=1695174066&amp;sr=8-7", "https://www.amazon.com/SATA-9-Piece-Construction-Ergonomic-Material/dp/B0779MSRZX/ref=sr_1_7?keywords=Milwaukee+48-22-2181+9-Key+Folding+Hex+Key+Set+-+SAE&amp;qid=1695174066&amp;sr=8-7")</f>
        <v>https://www.amazon.com/SATA-9-Piece-Construction-Ergonomic-Material/dp/B0779MSRZX/ref=sr_1_7?keywords=Milwaukee+48-22-2181+9-Key+Folding+Hex+Key+Set+-+SAE&amp;qid=1695174066&amp;sr=8-7</v>
      </c>
      <c r="F4568" t="s">
        <v>9014</v>
      </c>
      <c r="G4568" t="e">
        <f ca="1">_xludf.IMAGE("https://edmondsonsupply.com/cdn/shop/products/48-22-2181_101.webp?v=1680111790")</f>
        <v>#NAME?</v>
      </c>
      <c r="H4568" t="e">
        <f ca="1">_xludf.IMAGE("https://m.media-amazon.com/images/I/81cQMqP9pWL._AC_UL320_.jpg")</f>
        <v>#NAME?</v>
      </c>
      <c r="I4568" t="s">
        <v>4985</v>
      </c>
      <c r="J4568">
        <v>9.99</v>
      </c>
      <c r="K4568" s="4">
        <v>-0.4113</v>
      </c>
      <c r="L4568">
        <v>4.5999999999999996</v>
      </c>
      <c r="M4568">
        <v>358</v>
      </c>
      <c r="O4568" t="s">
        <v>25</v>
      </c>
      <c r="P4568" t="s">
        <v>1707</v>
      </c>
      <c r="Q4568" t="s">
        <v>9015</v>
      </c>
    </row>
    <row r="4569" spans="1:17" ht="15.5" x14ac:dyDescent="0.35">
      <c r="A4569"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4569" s="3" t="str">
        <f>HYPERLINK("https://edmondsonsupply.com/products/klein-tools-5165-10-pocket-tool-pouch-knife-snap", "https://edmondsonsupply.com/products/klein-tools-5165-10-pocket-tool-pouch-knife-snap")</f>
        <v>https://edmondsonsupply.com/products/klein-tools-5165-10-pocket-tool-pouch-knife-snap</v>
      </c>
      <c r="C4569" t="s">
        <v>700</v>
      </c>
      <c r="D4569" t="s">
        <v>788</v>
      </c>
      <c r="E4569" s="3" t="str">
        <f>HYPERLINK("https://www.amazon.com/Linemans-Pouch-Klein-Tools-S5118PRS/dp/B0002RIA30/ref=sr_1_8?keywords=Klein+Tools+5165+10+Pocket+Leather+Tool+Pouch+with+Knife+Snap&amp;qid=1695173934&amp;sr=8-8", "https://www.amazon.com/Linemans-Pouch-Klein-Tools-S5118PRS/dp/B0002RIA30/ref=sr_1_8?keywords=Klein+Tools+5165+10+Pocket+Leather+Tool+Pouch+with+Knife+Snap&amp;qid=1695173934&amp;sr=8-8")</f>
        <v>https://www.amazon.com/Linemans-Pouch-Klein-Tools-S5118PRS/dp/B0002RIA30/ref=sr_1_8?keywords=Klein+Tools+5165+10+Pocket+Leather+Tool+Pouch+with+Knife+Snap&amp;qid=1695173934&amp;sr=8-8</v>
      </c>
      <c r="F4569" t="s">
        <v>789</v>
      </c>
      <c r="G4569" t="e">
        <f ca="1">_xludf.IMAGE("https://edmondsonsupply.com/cdn/shop/products/5165.jpg?v=1587145507")</f>
        <v>#NAME?</v>
      </c>
      <c r="H4569" t="e">
        <f ca="1">_xludf.IMAGE("https://m.media-amazon.com/images/I/51oBBMnS2PL._AC_UL320_.jpg")</f>
        <v>#NAME?</v>
      </c>
      <c r="I4569" t="s">
        <v>703</v>
      </c>
      <c r="J4569">
        <v>37.07</v>
      </c>
      <c r="K4569" s="4">
        <v>-0.41149999999999998</v>
      </c>
      <c r="L4569">
        <v>4.5</v>
      </c>
      <c r="M4569">
        <v>443</v>
      </c>
      <c r="O4569" t="s">
        <v>25</v>
      </c>
      <c r="P4569" t="s">
        <v>704</v>
      </c>
      <c r="Q4569" t="s">
        <v>705</v>
      </c>
    </row>
    <row r="4570" spans="1:17" ht="15.5" x14ac:dyDescent="0.35">
      <c r="A4570"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4570" s="3" t="str">
        <f>HYPERLINK("https://edmondsonsupply.com/products/klein-tools-9416r-1000v-insulated-tool-kit-3-piece", "https://edmondsonsupply.com/products/klein-tools-9416r-1000v-insulated-tool-kit-3-piece")</f>
        <v>https://edmondsonsupply.com/products/klein-tools-9416r-1000v-insulated-tool-kit-3-piece</v>
      </c>
      <c r="C4570" t="s">
        <v>6428</v>
      </c>
      <c r="D4570" t="s">
        <v>2245</v>
      </c>
      <c r="E4570" s="3" t="str">
        <f>HYPERLINK("https://www.amazon.com/Klein-Tools-33736INS-Screwdriver-Magnetizer/dp/B09GPZPMTD/ref=sr_1_7?keywords=Klein+Tools+9416R+1000V+Insulated+Tool+Kit%2C+3-Piece&amp;qid=1695174123&amp;sr=8-7", "https://www.amazon.com/Klein-Tools-33736INS-Screwdriver-Magnetizer/dp/B09GPZPMTD/ref=sr_1_7?keywords=Klein+Tools+9416R+1000V+Insulated+Tool+Kit%2C+3-Piece&amp;qid=1695174123&amp;sr=8-7")</f>
        <v>https://www.amazon.com/Klein-Tools-33736INS-Screwdriver-Magnetizer/dp/B09GPZPMTD/ref=sr_1_7?keywords=Klein+Tools+9416R+1000V+Insulated+Tool+Kit%2C+3-Piece&amp;qid=1695174123&amp;sr=8-7</v>
      </c>
      <c r="F4570" t="s">
        <v>2246</v>
      </c>
      <c r="G4570" t="e">
        <f ca="1">_xludf.IMAGE("https://edmondsonsupply.com/cdn/shop/products/9416r.jpg?v=1667327475")</f>
        <v>#NAME?</v>
      </c>
      <c r="H4570" t="e">
        <f ca="1">_xludf.IMAGE("https://m.media-amazon.com/images/I/51W2DUA3c7L._AC_UL320_.jpg")</f>
        <v>#NAME?</v>
      </c>
      <c r="I4570" t="s">
        <v>6429</v>
      </c>
      <c r="J4570">
        <v>49.99</v>
      </c>
      <c r="K4570" s="4">
        <v>-0.4118</v>
      </c>
      <c r="L4570">
        <v>4.8</v>
      </c>
      <c r="M4570">
        <v>419</v>
      </c>
      <c r="O4570" t="s">
        <v>25</v>
      </c>
      <c r="P4570" t="s">
        <v>6430</v>
      </c>
      <c r="Q4570" t="s">
        <v>6431</v>
      </c>
    </row>
    <row r="4571" spans="1:17" ht="15.5" x14ac:dyDescent="0.35">
      <c r="A4571" s="3" t="str">
        <f>HYPERLINK("https://edmondsonsupply.com/collections/electricians-tools/products/crescent-tools-caead332-eshok-guard%E2%84%A2-socket-isolator-1-2-x-2-1-2", "https://edmondsonsupply.com/collections/electricians-tools/products/crescent-tools-caead332-eshok-guard%E2%84%A2-socket-isolator-1-2-x-2-1-2")</f>
        <v>https://edmondsonsupply.com/collections/electricians-tools/products/crescent-tools-caead332-eshok-guard%E2%84%A2-socket-isolator-1-2-x-2-1-2</v>
      </c>
      <c r="B4571" s="3" t="str">
        <f>HYPERLINK("https://edmondsonsupply.com/products/crescent-tools-caead332-eshok-guard%e2%84%a2-socket-isolator-1-2-x-2-1-2", "https://edmondsonsupply.com/products/crescent-tools-caead332-eshok-guard%e2%84%a2-socket-isolator-1-2-x-2-1-2")</f>
        <v>https://edmondsonsupply.com/products/crescent-tools-caead332-eshok-guard%e2%84%a2-socket-isolator-1-2-x-2-1-2</v>
      </c>
      <c r="C4571" t="s">
        <v>9016</v>
      </c>
      <c r="D4571" t="s">
        <v>9017</v>
      </c>
      <c r="E4571" s="3" t="str">
        <f>HYPERLINK("https://www.amazon.com/CRESCENT-APEX-eSHOK-GUARD-Socket/dp/B08SP7FFB4/ref=sr_1_1?keywords=Crescent+Tools+CAEAD332+eSHOK-GUARD%E2%84%A2+Socket+Isolator+1%2F2%22+x+2-1%2F2%22&amp;qid=1695174131&amp;sr=8-1", "https://www.amazon.com/CRESCENT-APEX-eSHOK-GUARD-Socket/dp/B08SP7FFB4/ref=sr_1_1?keywords=Crescent+Tools+CAEAD332+eSHOK-GUARD%E2%84%A2+Socket+Isolator+1%2F2%22+x+2-1%2F2%22&amp;qid=1695174131&amp;sr=8-1")</f>
        <v>https://www.amazon.com/CRESCENT-APEX-eSHOK-GUARD-Socket/dp/B08SP7FFB4/ref=sr_1_1?keywords=Crescent+Tools+CAEAD332+eSHOK-GUARD%E2%84%A2+Socket+Isolator+1%2F2%22+x+2-1%2F2%22&amp;qid=1695174131&amp;sr=8-1</v>
      </c>
      <c r="F4571" t="s">
        <v>9018</v>
      </c>
      <c r="G4571" t="e">
        <f ca="1">_xludf.IMAGE("https://edmondsonsupply.com/cdn/shop/products/APX_CAEAD332_IMG_MAIN.jpg?v=1678747341")</f>
        <v>#NAME?</v>
      </c>
      <c r="H4571" t="e">
        <f ca="1">_xludf.IMAGE("https://m.media-amazon.com/images/I/31uJTqP0gpL._AC_UL320_.jpg")</f>
        <v>#NAME?</v>
      </c>
      <c r="I4571" t="s">
        <v>4229</v>
      </c>
      <c r="J4571">
        <v>9.11</v>
      </c>
      <c r="K4571" s="4">
        <v>-0.41189999999999999</v>
      </c>
      <c r="L4571">
        <v>4.9000000000000004</v>
      </c>
      <c r="M4571">
        <v>52</v>
      </c>
      <c r="O4571" t="s">
        <v>25</v>
      </c>
      <c r="P4571" t="s">
        <v>9019</v>
      </c>
      <c r="Q4571" t="s">
        <v>9020</v>
      </c>
    </row>
    <row r="4572" spans="1:17" ht="15.5" x14ac:dyDescent="0.35">
      <c r="A4572" s="3" t="str">
        <f>HYPERLINK("https://edmondsonsupply.com/collections/electricians-tools/products/greenlee-gsb07-7-8-step-bit-7", "https://edmondsonsupply.com/collections/electricians-tools/products/greenlee-gsb07-7-8-step-bit-7")</f>
        <v>https://edmondsonsupply.com/collections/electricians-tools/products/greenlee-gsb07-7-8-step-bit-7</v>
      </c>
      <c r="B4572" s="3" t="str">
        <f>HYPERLINK("https://edmondsonsupply.com/products/greenlee-gsb07-7-8-step-bit-7", "https://edmondsonsupply.com/products/greenlee-gsb07-7-8-step-bit-7")</f>
        <v>https://edmondsonsupply.com/products/greenlee-gsb07-7-8-step-bit-7</v>
      </c>
      <c r="C4572" t="s">
        <v>5522</v>
      </c>
      <c r="D4572" t="s">
        <v>4378</v>
      </c>
      <c r="E4572" s="3" t="str">
        <f>HYPERLINK("https://www.amazon.com/Greenlee-GSB04-Step-Bit/dp/B08TVF22W4/ref=sr_1_1?keywords=Greenlee+GSB07+7%2F8%22+Step+Bit+%28%237%29&amp;qid=1695174005&amp;sr=8-1", "https://www.amazon.com/Greenlee-GSB04-Step-Bit/dp/B08TVF22W4/ref=sr_1_1?keywords=Greenlee+GSB07+7%2F8%22+Step+Bit+%28%237%29&amp;qid=1695174005&amp;sr=8-1")</f>
        <v>https://www.amazon.com/Greenlee-GSB04-Step-Bit/dp/B08TVF22W4/ref=sr_1_1?keywords=Greenlee+GSB07+7%2F8%22+Step+Bit+%28%237%29&amp;qid=1695174005&amp;sr=8-1</v>
      </c>
      <c r="F4572" t="s">
        <v>4379</v>
      </c>
      <c r="G4572" t="e">
        <f ca="1">_xludf.IMAGE("https://edmondsonsupply.com/cdn/shop/files/GSB07_CAT1_72dpi.jpg?v=1687791534")</f>
        <v>#NAME?</v>
      </c>
      <c r="H4572" t="e">
        <f ca="1">_xludf.IMAGE("https://m.media-amazon.com/images/I/41FX4czhS0L._AC_UY218_.jpg")</f>
        <v>#NAME?</v>
      </c>
      <c r="I4572" t="s">
        <v>5523</v>
      </c>
      <c r="J4572">
        <v>32</v>
      </c>
      <c r="K4572" s="4">
        <v>-0.4138</v>
      </c>
      <c r="L4572">
        <v>5</v>
      </c>
      <c r="M4572">
        <v>7</v>
      </c>
      <c r="O4572" t="s">
        <v>25</v>
      </c>
      <c r="P4572" t="s">
        <v>5524</v>
      </c>
      <c r="Q4572" t="s">
        <v>5525</v>
      </c>
    </row>
    <row r="4573" spans="1:17" ht="15.5" x14ac:dyDescent="0.35">
      <c r="A4573" s="3" t="str">
        <f>HYPERLINK("https://edmondsonsupply.com/collections/electricians-tools/products/fluke-2ac-non-contact-voltage-tester-90-to-1000v", "https://edmondsonsupply.com/collections/electricians-tools/products/fluke-2ac-non-contact-voltage-tester-90-to-1000v")</f>
        <v>https://edmondsonsupply.com/collections/electricians-tools/products/fluke-2ac-non-contact-voltage-tester-90-to-1000v</v>
      </c>
      <c r="B4573" s="3" t="str">
        <f>HYPERLINK("https://edmondsonsupply.com/products/fluke-2ac-non-contact-voltage-tester-90-to-1000v", "https://edmondsonsupply.com/products/fluke-2ac-non-contact-voltage-tester-90-to-1000v")</f>
        <v>https://edmondsonsupply.com/products/fluke-2ac-non-contact-voltage-tester-90-to-1000v</v>
      </c>
      <c r="C4573" t="s">
        <v>9021</v>
      </c>
      <c r="D4573" t="s">
        <v>9022</v>
      </c>
      <c r="E4573" s="3" t="str">
        <f>HYPERLINK("https://www.amazon.com/Fluke-1AC-A1-II-VoltAlert-Non-Contact-Voltage/dp/B000EJ332O/ref=sr_1_1?keywords=Fluke+2AC+Non-Contact+Voltage+Tester%2C+90+to+1000V&amp;qid=1695174287&amp;sr=8-1", "https://www.amazon.com/Fluke-1AC-A1-II-VoltAlert-Non-Contact-Voltage/dp/B000EJ332O/ref=sr_1_1?keywords=Fluke+2AC+Non-Contact+Voltage+Tester%2C+90+to+1000V&amp;qid=1695174287&amp;sr=8-1")</f>
        <v>https://www.amazon.com/Fluke-1AC-A1-II-VoltAlert-Non-Contact-Voltage/dp/B000EJ332O/ref=sr_1_1?keywords=Fluke+2AC+Non-Contact+Voltage+Tester%2C+90+to+1000V&amp;qid=1695174287&amp;sr=8-1</v>
      </c>
      <c r="F4573" t="s">
        <v>9023</v>
      </c>
      <c r="G4573" t="e">
        <f ca="1">_xludf.IMAGE("https://edmondsonsupply.com/cdn/shop/products/e0010839_640x477_b6e1f28e-9ab2-49df-9514-6a2e4f0928d9.jpg?v=1633030920")</f>
        <v>#NAME?</v>
      </c>
      <c r="H4573" t="e">
        <f ca="1">_xludf.IMAGE("https://m.media-amazon.com/images/I/61UvsXlpIaL._AC_UL320_.jpg")</f>
        <v>#NAME?</v>
      </c>
      <c r="I4573" t="s">
        <v>8002</v>
      </c>
      <c r="J4573">
        <v>23.99</v>
      </c>
      <c r="K4573" s="4">
        <v>-0.41470000000000001</v>
      </c>
      <c r="L4573">
        <v>4.7</v>
      </c>
      <c r="M4573">
        <v>12116</v>
      </c>
      <c r="O4573" t="s">
        <v>25</v>
      </c>
      <c r="P4573" t="s">
        <v>5535</v>
      </c>
      <c r="Q4573" t="s">
        <v>9024</v>
      </c>
    </row>
    <row r="4574" spans="1:17" ht="15.5" x14ac:dyDescent="0.35">
      <c r="A4574" s="3" t="str">
        <f>HYPERLINK("https://edmondsonsupply.com/collections/electricians-tools/products/tajima-jpr-265-japan-pull%E2%84%A2-265-16-tpi-blade", "https://edmondsonsupply.com/collections/electricians-tools/products/tajima-jpr-265-japan-pull%E2%84%A2-265-16-tpi-blade")</f>
        <v>https://edmondsonsupply.com/collections/electricians-tools/products/tajima-jpr-265-japan-pull%E2%84%A2-265-16-tpi-blade</v>
      </c>
      <c r="B4574" s="3" t="str">
        <f>HYPERLINK("https://edmondsonsupply.com/products/tajima-jpr-265-japan-pull%e2%84%a2-265-16-tpi-blade", "https://edmondsonsupply.com/products/tajima-jpr-265-japan-pull%e2%84%a2-265-16-tpi-blade")</f>
        <v>https://edmondsonsupply.com/products/tajima-jpr-265-japan-pull%e2%84%a2-265-16-tpi-blade</v>
      </c>
      <c r="C4574" t="s">
        <v>7348</v>
      </c>
      <c r="D4574" t="s">
        <v>9025</v>
      </c>
      <c r="E4574" s="3" t="str">
        <f>HYPERLINK("https://www.amazon.com/TAJIMA-Pull-Stroke-Saw-Quick-Release-Elastomer/dp/B0042BAH6K/ref=sr_1_2?keywords=Tajima+JPR-265+Japan+Pull%E2%84%A2+265%2C+16+TPI+Blade&amp;qid=1695174192&amp;sr=8-2", "https://www.amazon.com/TAJIMA-Pull-Stroke-Saw-Quick-Release-Elastomer/dp/B0042BAH6K/ref=sr_1_2?keywords=Tajima+JPR-265+Japan+Pull%E2%84%A2+265%2C+16+TPI+Blade&amp;qid=1695174192&amp;sr=8-2")</f>
        <v>https://www.amazon.com/TAJIMA-Pull-Stroke-Saw-Quick-Release-Elastomer/dp/B0042BAH6K/ref=sr_1_2?keywords=Tajima+JPR-265+Japan+Pull%E2%84%A2+265%2C+16+TPI+Blade&amp;qid=1695174192&amp;sr=8-2</v>
      </c>
      <c r="F4574" t="s">
        <v>9026</v>
      </c>
      <c r="G4574" t="e">
        <f ca="1">_xludf.IMAGE("https://edmondsonsupply.com/cdn/shop/products/JPR-265.jpg?v=1655818417")</f>
        <v>#NAME?</v>
      </c>
      <c r="H4574" t="e">
        <f ca="1">_xludf.IMAGE("https://m.media-amazon.com/images/I/61ys54ygZsL._AC_UL320_.jpg")</f>
        <v>#NAME?</v>
      </c>
      <c r="I4574" t="s">
        <v>7351</v>
      </c>
      <c r="J4574">
        <v>18.62</v>
      </c>
      <c r="K4574" s="4">
        <v>-0.4148</v>
      </c>
      <c r="L4574">
        <v>4.5</v>
      </c>
      <c r="M4574">
        <v>37</v>
      </c>
      <c r="O4574" t="s">
        <v>25</v>
      </c>
      <c r="P4574" t="s">
        <v>260</v>
      </c>
      <c r="Q4574" t="s">
        <v>7352</v>
      </c>
    </row>
    <row r="4575" spans="1:17" ht="15.5" x14ac:dyDescent="0.35">
      <c r="A4575" s="3" t="str">
        <f>HYPERLINK("https://edmondsonsupply.com/collections/electricians-tools/products/milwaukee-48-11-2440-m12%E2%84%A2-redlithium%E2%84%A2-xc-4-0-extended-capacity-battery-pack", "https://edmondsonsupply.com/collections/electricians-tools/products/milwaukee-48-11-2440-m12%E2%84%A2-redlithium%E2%84%A2-xc-4-0-extended-capacity-battery-pack")</f>
        <v>https://edmondsonsupply.com/collections/electricians-tools/products/milwaukee-48-11-2440-m12%E2%84%A2-redlithium%E2%84%A2-xc-4-0-extended-capacity-battery-pack</v>
      </c>
      <c r="B4575" s="3" t="str">
        <f>HYPERLINK("https://edmondsonsupply.com/products/milwaukee-48-11-2440-m12%e2%84%a2-redlithium%e2%84%a2-xc-4-0-extended-capacity-battery-pack", "https://edmondsonsupply.com/products/milwaukee-48-11-2440-m12%e2%84%a2-redlithium%e2%84%a2-xc-4-0-extended-capacity-battery-pack")</f>
        <v>https://edmondsonsupply.com/products/milwaukee-48-11-2440-m12%e2%84%a2-redlithium%e2%84%a2-xc-4-0-extended-capacity-battery-pack</v>
      </c>
      <c r="C4575" t="s">
        <v>8285</v>
      </c>
      <c r="D4575" t="s">
        <v>9027</v>
      </c>
      <c r="E4575" s="3" t="str">
        <f>HYPERLINK("https://www.amazon.com/Milwaukee-48-11-2440-REDLITHIUM-Extended-Capacity/dp/B00BYFO1AA/ref=sr_1_1?keywords=Milwaukee+48-11-2440+M12%E2%84%A2+REDLITHIUM%E2%84%A2+XC+4.0+Extended+Capacity+Battery+Pack&amp;qid=1695174198&amp;sr=8-1", "https://www.amazon.com/Milwaukee-48-11-2440-REDLITHIUM-Extended-Capacity/dp/B00BYFO1AA/ref=sr_1_1?keywords=Milwaukee+48-11-2440+M12%E2%84%A2+REDLITHIUM%E2%84%A2+XC+4.0+Extended+Capacity+Battery+Pack&amp;qid=1695174198&amp;sr=8-1")</f>
        <v>https://www.amazon.com/Milwaukee-48-11-2440-REDLITHIUM-Extended-Capacity/dp/B00BYFO1AA/ref=sr_1_1?keywords=Milwaukee+48-11-2440+M12%E2%84%A2+REDLITHIUM%E2%84%A2+XC+4.0+Extended+Capacity+Battery+Pack&amp;qid=1695174198&amp;sr=8-1</v>
      </c>
      <c r="F4575" t="s">
        <v>9028</v>
      </c>
      <c r="G4575" t="e">
        <f ca="1">_xludf.IMAGE("https://edmondsonsupply.com/cdn/shop/products/64620_48-11-2440-lg.png?v=1654801817")</f>
        <v>#NAME?</v>
      </c>
      <c r="H4575" t="e">
        <f ca="1">_xludf.IMAGE("https://m.media-amazon.com/images/I/81RzIHvm69L._AC_UL320_.jpg")</f>
        <v>#NAME?</v>
      </c>
      <c r="I4575" t="s">
        <v>3253</v>
      </c>
      <c r="J4575">
        <v>51.99</v>
      </c>
      <c r="K4575" s="4">
        <v>-0.4158</v>
      </c>
      <c r="L4575">
        <v>4.8</v>
      </c>
      <c r="M4575">
        <v>3002</v>
      </c>
      <c r="O4575" t="s">
        <v>171</v>
      </c>
      <c r="P4575" t="s">
        <v>692</v>
      </c>
      <c r="Q4575" t="s">
        <v>8288</v>
      </c>
    </row>
    <row r="4576" spans="1:17" ht="15.5" x14ac:dyDescent="0.35">
      <c r="A4576" s="3" t="str">
        <f>HYPERLINK("https://edmondsonsupply.com/collections/electricians-tools/products/tajima-gk-g240-g-saw%E2%84%A2-240-folding-pull-stroke-saw-9-tpi-blade", "https://edmondsonsupply.com/collections/electricians-tools/products/tajima-gk-g240-g-saw%E2%84%A2-240-folding-pull-stroke-saw-9-tpi-blade")</f>
        <v>https://edmondsonsupply.com/collections/electricians-tools/products/tajima-gk-g240-g-saw%E2%84%A2-240-folding-pull-stroke-saw-9-tpi-blade</v>
      </c>
      <c r="B4576" s="3" t="str">
        <f>HYPERLINK("https://edmondsonsupply.com/products/tajima-gk-g240-g-saw%e2%84%a2-240-folding-pull-stroke-saw-9-tpi-blade", "https://edmondsonsupply.com/products/tajima-gk-g240-g-saw%e2%84%a2-240-folding-pull-stroke-saw-9-tpi-blade")</f>
        <v>https://edmondsonsupply.com/products/tajima-gk-g240-g-saw%e2%84%a2-240-folding-pull-stroke-saw-9-tpi-blade</v>
      </c>
      <c r="C4576" t="s">
        <v>9029</v>
      </c>
      <c r="D4576" t="s">
        <v>9030</v>
      </c>
      <c r="E4576" s="3" t="str">
        <f>HYPERLINK("https://www.amazon.com/TAJIMA-Pull-Stroke-Saw-Multi-Position-Elastomer/dp/B0008Z7FEG/ref=sr_1_1?keywords=Tajima+GK-G240+G-Saw%E2%84%A2+240+Folding+Pull-Stroke+Saw%2C+9+TPI+Blade&amp;qid=1695174237&amp;sr=8-1", "https://www.amazon.com/TAJIMA-Pull-Stroke-Saw-Multi-Position-Elastomer/dp/B0008Z7FEG/ref=sr_1_1?keywords=Tajima+GK-G240+G-Saw%E2%84%A2+240+Folding+Pull-Stroke+Saw%2C+9+TPI+Blade&amp;qid=1695174237&amp;sr=8-1")</f>
        <v>https://www.amazon.com/TAJIMA-Pull-Stroke-Saw-Multi-Position-Elastomer/dp/B0008Z7FEG/ref=sr_1_1?keywords=Tajima+GK-G240+G-Saw%E2%84%A2+240+Folding+Pull-Stroke+Saw%2C+9+TPI+Blade&amp;qid=1695174237&amp;sr=8-1</v>
      </c>
      <c r="F4576" t="s">
        <v>9031</v>
      </c>
      <c r="G4576" t="e">
        <f ca="1">_xludf.IMAGE("https://edmondsonsupply.com/cdn/shop/products/GK-G240.jpg?v=1637114454")</f>
        <v>#NAME?</v>
      </c>
      <c r="H4576" t="e">
        <f ca="1">_xludf.IMAGE("https://m.media-amazon.com/images/I/51sbHsvfz+L._AC_UL320_.jpg")</f>
        <v>#NAME?</v>
      </c>
      <c r="I4576" t="s">
        <v>9032</v>
      </c>
      <c r="J4576">
        <v>20.8</v>
      </c>
      <c r="K4576" s="4">
        <v>-0.42680000000000001</v>
      </c>
      <c r="L4576">
        <v>4.7</v>
      </c>
      <c r="M4576">
        <v>152</v>
      </c>
      <c r="O4576" t="s">
        <v>25</v>
      </c>
      <c r="P4576" t="s">
        <v>138</v>
      </c>
      <c r="Q4576" t="s">
        <v>9033</v>
      </c>
    </row>
    <row r="4577" spans="1:17" ht="15.5" x14ac:dyDescent="0.35">
      <c r="A4577"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4577"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4577" t="s">
        <v>6321</v>
      </c>
      <c r="D4577" t="s">
        <v>9034</v>
      </c>
      <c r="E4577" s="3" t="str">
        <f>HYPERLINK("https://www.amazon.com/Milwaukee-2880-20-Grinder-Paddle-Switch/dp/B09RX4R3TR/ref=sr_1_1?keywords=Milwaukee+2880-20+M18+FUEL%E2%84%A2+4-1%2F2%22+%2F+5%22+Grinder+Paddle+Switch%2C+No-Lock&amp;qid=1695174165&amp;sr=8-1", "https://www.amazon.com/Milwaukee-2880-20-Grinder-Paddle-Switch/dp/B09RX4R3TR/ref=sr_1_1?keywords=Milwaukee+2880-20+M18+FUEL%E2%84%A2+4-1%2F2%22+%2F+5%22+Grinder+Paddle+Switch%2C+No-Lock&amp;qid=1695174165&amp;sr=8-1")</f>
        <v>https://www.amazon.com/Milwaukee-2880-20-Grinder-Paddle-Switch/dp/B09RX4R3TR/ref=sr_1_1?keywords=Milwaukee+2880-20+M18+FUEL%E2%84%A2+4-1%2F2%22+%2F+5%22+Grinder+Paddle+Switch%2C+No-Lock&amp;qid=1695174165&amp;sr=8-1</v>
      </c>
      <c r="F4577" t="s">
        <v>9035</v>
      </c>
      <c r="G4577" t="e">
        <f ca="1">_xludf.IMAGE("https://edmondsonsupply.com/cdn/shop/products/2880-20_1.webp?v=1661698933")</f>
        <v>#NAME?</v>
      </c>
      <c r="H4577" t="e">
        <f ca="1">_xludf.IMAGE("https://m.media-amazon.com/images/I/71eDEAhB1NL._AC_UL320_.jpg")</f>
        <v>#NAME?</v>
      </c>
      <c r="I4577" t="s">
        <v>715</v>
      </c>
      <c r="J4577">
        <v>114</v>
      </c>
      <c r="K4577" s="4">
        <v>-0.42709999999999998</v>
      </c>
      <c r="L4577">
        <v>4.8</v>
      </c>
      <c r="M4577">
        <v>440</v>
      </c>
      <c r="O4577" t="s">
        <v>25</v>
      </c>
      <c r="P4577" t="s">
        <v>4885</v>
      </c>
      <c r="Q4577" t="s">
        <v>6324</v>
      </c>
    </row>
    <row r="4578" spans="1:17" ht="15.5" x14ac:dyDescent="0.35">
      <c r="A4578"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4578" s="3" t="str">
        <f>HYPERLINK("https://edmondsonsupply.com/products/klein-tools-69190-magnetic-hanger", "https://edmondsonsupply.com/products/klein-tools-69190-magnetic-hanger")</f>
        <v>https://edmondsonsupply.com/products/klein-tools-69190-magnetic-hanger</v>
      </c>
      <c r="C4578" t="s">
        <v>7906</v>
      </c>
      <c r="D4578" t="s">
        <v>9036</v>
      </c>
      <c r="E4578" s="3" t="str">
        <f>HYPERLINK("https://www.amazon.com/Magnetic-Replacement-Digital-Multimeter-KingSung/dp/B0BXCB7PJT/ref=sr_1_5?keywords=Klein+Tools+69190+Magnetic+Hanger&amp;qid=1695174256&amp;sr=8-5", "https://www.amazon.com/Magnetic-Replacement-Digital-Multimeter-KingSung/dp/B0BXCB7PJT/ref=sr_1_5?keywords=Klein+Tools+69190+Magnetic+Hanger&amp;qid=1695174256&amp;sr=8-5")</f>
        <v>https://www.amazon.com/Magnetic-Replacement-Digital-Multimeter-KingSung/dp/B0BXCB7PJT/ref=sr_1_5?keywords=Klein+Tools+69190+Magnetic+Hanger&amp;qid=1695174256&amp;sr=8-5</v>
      </c>
      <c r="F4578" t="s">
        <v>9037</v>
      </c>
      <c r="G4578" t="e">
        <f ca="1">_xludf.IMAGE("https://edmondsonsupply.com/cdn/shop/products/69190.jpg?v=1633031095")</f>
        <v>#NAME?</v>
      </c>
      <c r="H4578" t="e">
        <f ca="1">_xludf.IMAGE("https://m.media-amazon.com/images/I/71dbm03PU4L._AC_UL320_.jpg")</f>
        <v>#NAME?</v>
      </c>
      <c r="I4578" t="s">
        <v>3185</v>
      </c>
      <c r="J4578">
        <v>11.99</v>
      </c>
      <c r="K4578" s="4">
        <v>-0.42880000000000001</v>
      </c>
      <c r="L4578">
        <v>4.8</v>
      </c>
      <c r="M4578">
        <v>30</v>
      </c>
      <c r="O4578" t="s">
        <v>25</v>
      </c>
      <c r="P4578" t="s">
        <v>7909</v>
      </c>
      <c r="Q4578" t="s">
        <v>7910</v>
      </c>
    </row>
    <row r="4579" spans="1:17" ht="15.5" x14ac:dyDescent="0.35">
      <c r="A4579"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4579"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4579" t="s">
        <v>7150</v>
      </c>
      <c r="D4579" t="s">
        <v>8724</v>
      </c>
      <c r="E4579" s="3" t="str">
        <f>HYPERLINK("https://www.amazon.com/Klein-Tools-CL120-Auto-Ranging-Measurements/dp/B08CP6GL49/ref=sr_1_3?keywords=Klein+Tools+CL390+AC%2FDC+Digital+Clamp+Meter%2C+Auto-Ranging+400+Amp&amp;qid=1695174165&amp;sr=8-3", "https://www.amazon.com/Klein-Tools-CL120-Auto-Ranging-Measurements/dp/B08CP6GL49/ref=sr_1_3?keywords=Klein+Tools+CL390+AC%2FDC+Digital+Clamp+Meter%2C+Auto-Ranging+400+Amp&amp;qid=1695174165&amp;sr=8-3")</f>
        <v>https://www.amazon.com/Klein-Tools-CL120-Auto-Ranging-Measurements/dp/B08CP6GL49/ref=sr_1_3?keywords=Klein+Tools+CL390+AC%2FDC+Digital+Clamp+Meter%2C+Auto-Ranging+400+Amp&amp;qid=1695174165&amp;sr=8-3</v>
      </c>
      <c r="F4579" t="s">
        <v>8725</v>
      </c>
      <c r="G4579" t="e">
        <f ca="1">_xludf.IMAGE("https://edmondsonsupply.com/cdn/shop/products/cl390.jpg?v=1662670722")</f>
        <v>#NAME?</v>
      </c>
      <c r="H4579" t="e">
        <f ca="1">_xludf.IMAGE("https://m.media-amazon.com/images/I/61kcTqY2rFL._AC_UY218_.jpg")</f>
        <v>#NAME?</v>
      </c>
      <c r="I4579" t="s">
        <v>545</v>
      </c>
      <c r="J4579">
        <v>56.99</v>
      </c>
      <c r="K4579" s="4">
        <v>-0.4299</v>
      </c>
      <c r="L4579">
        <v>4.7</v>
      </c>
      <c r="M4579">
        <v>499</v>
      </c>
      <c r="O4579" t="s">
        <v>25</v>
      </c>
      <c r="P4579" t="s">
        <v>7153</v>
      </c>
      <c r="Q4579" t="s">
        <v>7154</v>
      </c>
    </row>
    <row r="4580" spans="1:17" ht="15.5" x14ac:dyDescent="0.35">
      <c r="A4580"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4580"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4580" t="s">
        <v>6529</v>
      </c>
      <c r="D4580" t="s">
        <v>5459</v>
      </c>
      <c r="E4580" s="3" t="str">
        <f>HYPERLINK("https://www.amazon.com/Klein-Tools-NCVT3PKIT-Electrical-Non-Contact/dp/B08SY9XFJK/ref=sr_1_2?keywords=Klein+Tools+NCVT3PKIT+Dual+Range+NCVT+and+AC%2FDC+Voltage+Tester+Electrical+Test+Kit&amp;qid=1695174124&amp;sr=8-2", "https://www.amazon.com/Klein-Tools-NCVT3PKIT-Electrical-Non-Contact/dp/B08SY9XFJK/ref=sr_1_2?keywords=Klein+Tools+NCVT3PKIT+Dual+Range+NCVT+and+AC%2FDC+Voltage+Tester+Electrical+Test+Kit&amp;qid=1695174124&amp;sr=8-2")</f>
        <v>https://www.amazon.com/Klein-Tools-NCVT3PKIT-Electrical-Non-Contact/dp/B08SY9XFJK/ref=sr_1_2?keywords=Klein+Tools+NCVT3PKIT+Dual+Range+NCVT+and+AC%2FDC+Voltage+Tester+Electrical+Test+Kit&amp;qid=1695174124&amp;sr=8-2</v>
      </c>
      <c r="F4580" t="s">
        <v>5460</v>
      </c>
      <c r="G4580" t="e">
        <f ca="1">_xludf.IMAGE("https://edmondsonsupply.com/cdn/shop/products/ncvt3pkit.jpg?v=1667228452")</f>
        <v>#NAME?</v>
      </c>
      <c r="H4580" t="e">
        <f ca="1">_xludf.IMAGE("https://m.media-amazon.com/images/I/519yG6StX0L._AC_UL320_.jpg")</f>
        <v>#NAME?</v>
      </c>
      <c r="I4580" t="s">
        <v>571</v>
      </c>
      <c r="J4580">
        <v>19.88</v>
      </c>
      <c r="K4580" s="4">
        <v>-0.43180000000000002</v>
      </c>
      <c r="L4580">
        <v>4.7</v>
      </c>
      <c r="M4580">
        <v>4231</v>
      </c>
      <c r="O4580" t="s">
        <v>25</v>
      </c>
      <c r="P4580" t="s">
        <v>6532</v>
      </c>
      <c r="Q4580" t="s">
        <v>6533</v>
      </c>
    </row>
    <row r="4581" spans="1:17" ht="15.5" x14ac:dyDescent="0.35">
      <c r="A4581" s="3" t="str">
        <f>HYPERLINK("https://edmondsonsupply.com/collections/electricians-tools/products/milwaukee-49-56-0233-4-1-2-hole-dozer%E2%84%A2-hole-saw-bi-metal-cup", "https://edmondsonsupply.com/collections/electricians-tools/products/milwaukee-49-56-0233-4-1-2-hole-dozer%E2%84%A2-hole-saw-bi-metal-cup")</f>
        <v>https://edmondsonsupply.com/collections/electricians-tools/products/milwaukee-49-56-0233-4-1-2-hole-dozer%E2%84%A2-hole-saw-bi-metal-cup</v>
      </c>
      <c r="B4581" s="3" t="str">
        <f>HYPERLINK("https://edmondsonsupply.com/products/milwaukee-49-56-0233-4-1-2-hole-dozer%e2%84%a2-hole-saw-bi-metal-cup", "https://edmondsonsupply.com/products/milwaukee-49-56-0233-4-1-2-hole-dozer%e2%84%a2-hole-saw-bi-metal-cup")</f>
        <v>https://edmondsonsupply.com/products/milwaukee-49-56-0233-4-1-2-hole-dozer%e2%84%a2-hole-saw-bi-metal-cup</v>
      </c>
      <c r="C4581" t="s">
        <v>8485</v>
      </c>
      <c r="D4581" t="s">
        <v>6447</v>
      </c>
      <c r="E4581" s="3" t="str">
        <f>HYPERLINK("https://www.amazon.com/Milwaukee-Electric-Tool-49-56-0193-Bi-Metal/dp/B0017WTULA/ref=sr_1_2?keywords=Milwaukee+49-56-0233+4-1%2F2%22+HOLE+DOZER%E2%84%A2+Hole+Saw+Bi-Metal+Cup&amp;qid=1695174061&amp;sr=8-2", "https://www.amazon.com/Milwaukee-Electric-Tool-49-56-0193-Bi-Metal/dp/B0017WTULA/ref=sr_1_2?keywords=Milwaukee+49-56-0233+4-1%2F2%22+HOLE+DOZER%E2%84%A2+Hole+Saw+Bi-Metal+Cup&amp;qid=1695174061&amp;sr=8-2")</f>
        <v>https://www.amazon.com/Milwaukee-Electric-Tool-49-56-0193-Bi-Metal/dp/B0017WTULA/ref=sr_1_2?keywords=Milwaukee+49-56-0233+4-1%2F2%22+HOLE+DOZER%E2%84%A2+Hole+Saw+Bi-Metal+Cup&amp;qid=1695174061&amp;sr=8-2</v>
      </c>
      <c r="F4581" t="s">
        <v>6448</v>
      </c>
      <c r="G4581" t="e">
        <f ca="1">_xludf.IMAGE("https://edmondsonsupply.com/cdn/shop/products/49-56-0052_101_1.webp?v=1678909204")</f>
        <v>#NAME?</v>
      </c>
      <c r="H4581" t="e">
        <f ca="1">_xludf.IMAGE("https://m.media-amazon.com/images/I/51Yfl2-hbuL._AC_UL320_.jpg")</f>
        <v>#NAME?</v>
      </c>
      <c r="I4581" t="s">
        <v>6282</v>
      </c>
      <c r="J4581">
        <v>18.45</v>
      </c>
      <c r="K4581" s="4">
        <v>-0.43209999999999998</v>
      </c>
      <c r="L4581">
        <v>4.5999999999999996</v>
      </c>
      <c r="M4581">
        <v>249</v>
      </c>
      <c r="O4581" t="s">
        <v>25</v>
      </c>
      <c r="P4581" t="s">
        <v>8486</v>
      </c>
      <c r="Q4581" t="s">
        <v>8487</v>
      </c>
    </row>
    <row r="4582" spans="1:17" ht="15.5" x14ac:dyDescent="0.35">
      <c r="A4582"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4582"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4582" t="s">
        <v>8452</v>
      </c>
      <c r="D4582" t="s">
        <v>5949</v>
      </c>
      <c r="E4582" s="3" t="str">
        <f>HYPERLINK("https://www.amazon.com/Diablo-Freud-DOU125CGP-Universal-Oscillating/dp/B089LGJV4X/ref=sr_1_2?keywords=Diablo+Tools+DOU275RCGP+2-3%2F4+in.+Universal+Fit+Carbide+Oscillating+Blade+for+General+Purpose+Cuts&amp;qid=1695174011&amp;sr=8-2", "https://www.amazon.com/Diablo-Freud-DOU125CGP-Universal-Oscillating/dp/B089LGJV4X/ref=sr_1_2?keywords=Diablo+Tools+DOU275RCGP+2-3%2F4+in.+Universal+Fit+Carbide+Oscillating+Blade+for+General+Purpose+Cuts&amp;qid=1695174011&amp;sr=8-2")</f>
        <v>https://www.amazon.com/Diablo-Freud-DOU125CGP-Universal-Oscillating/dp/B089LGJV4X/ref=sr_1_2?keywords=Diablo+Tools+DOU275RCGP+2-3%2F4+in.+Universal+Fit+Carbide+Oscillating+Blade+for+General+Purpose+Cuts&amp;qid=1695174011&amp;sr=8-2</v>
      </c>
      <c r="F4582" t="s">
        <v>5950</v>
      </c>
      <c r="G4582" t="e">
        <f ca="1">_xludf.IMAGE("https://edmondsonsupply.com/cdn/shop/files/kukkli8nylq54bgtz0o5.webp?v=1685720266")</f>
        <v>#NAME?</v>
      </c>
      <c r="H4582" t="e">
        <f ca="1">_xludf.IMAGE("https://m.media-amazon.com/images/I/71lNEMXVnHL._AC_UL320_.jpg")</f>
        <v>#NAME?</v>
      </c>
      <c r="I4582" t="s">
        <v>824</v>
      </c>
      <c r="J4582">
        <v>16.989999999999998</v>
      </c>
      <c r="K4582" s="4">
        <v>-0.43309999999999998</v>
      </c>
      <c r="L4582">
        <v>4.5999999999999996</v>
      </c>
      <c r="M4582">
        <v>38</v>
      </c>
      <c r="O4582" t="s">
        <v>25</v>
      </c>
      <c r="P4582" t="s">
        <v>8453</v>
      </c>
      <c r="Q4582" t="s">
        <v>8454</v>
      </c>
    </row>
    <row r="4583" spans="1:17" ht="15.5" x14ac:dyDescent="0.35">
      <c r="A4583"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4583" s="3" t="str">
        <f>HYPERLINK("https://edmondsonsupply.com/products/fluke-325-true-rms-clamp-meter", "https://edmondsonsupply.com/products/fluke-325-true-rms-clamp-meter")</f>
        <v>https://edmondsonsupply.com/products/fluke-325-true-rms-clamp-meter</v>
      </c>
      <c r="C4583" t="s">
        <v>7585</v>
      </c>
      <c r="D4583" t="s">
        <v>5951</v>
      </c>
      <c r="E4583" s="3" t="str">
        <f>HYPERLINK("https://www.amazon.com/Fluke-324-Temperature-Capacitance-Measurements/dp/B009AZ0TXE/ref=sr_1_5?keywords=Fluke+325+True+RMS+Clamp+Meter&amp;qid=1695174241&amp;sr=8-5", "https://www.amazon.com/Fluke-324-Temperature-Capacitance-Measurements/dp/B009AZ0TXE/ref=sr_1_5?keywords=Fluke+325+True+RMS+Clamp+Meter&amp;qid=1695174241&amp;sr=8-5")</f>
        <v>https://www.amazon.com/Fluke-324-Temperature-Capacitance-Measurements/dp/B009AZ0TXE/ref=sr_1_5?keywords=Fluke+325+True+RMS+Clamp+Meter&amp;qid=1695174241&amp;sr=8-5</v>
      </c>
      <c r="F4583" t="s">
        <v>5952</v>
      </c>
      <c r="G4583" t="e">
        <f ca="1">_xludf.IMAGE("https://edmondsonsupply.com/cdn/shop/products/Fluke_325_clamp_meter_1280x873px_E_NR-14655.jpg?v=1688679209")</f>
        <v>#NAME?</v>
      </c>
      <c r="H4583" t="e">
        <f ca="1">_xludf.IMAGE("https://m.media-amazon.com/images/I/51R3UJ4M4OL._AC_UY218_.jpg")</f>
        <v>#NAME?</v>
      </c>
      <c r="I4583" t="s">
        <v>7586</v>
      </c>
      <c r="J4583">
        <v>211.68</v>
      </c>
      <c r="K4583" s="4">
        <v>-0.43319999999999997</v>
      </c>
      <c r="L4583">
        <v>4.7</v>
      </c>
      <c r="M4583">
        <v>1254</v>
      </c>
      <c r="O4583" t="s">
        <v>25</v>
      </c>
      <c r="P4583" t="s">
        <v>4069</v>
      </c>
      <c r="Q4583" t="s">
        <v>7587</v>
      </c>
    </row>
    <row r="4584" spans="1:17" ht="15.5" x14ac:dyDescent="0.35">
      <c r="A4584"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4584"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4584" t="s">
        <v>8495</v>
      </c>
      <c r="D4584" t="s">
        <v>3274</v>
      </c>
      <c r="E4584" s="3" t="str">
        <f>HYPERLINK("https://www.amazon.com/Multi-Groove-Fiberglass-200-Foot-Klein-Tools/dp/B00N6Y8RRA/ref=sr_1_1?keywords=Klein+Tools+56014+Fiberglass+Fish+Tape+with+Spiral+Leader%2C+200-Foot&amp;qid=1695174145&amp;sr=8-1", "https://www.amazon.com/Multi-Groove-Fiberglass-200-Foot-Klein-Tools/dp/B00N6Y8RRA/ref=sr_1_1?keywords=Klein+Tools+56014+Fiberglass+Fish+Tape+with+Spiral+Leader%2C+200-Foot&amp;qid=1695174145&amp;sr=8-1")</f>
        <v>https://www.amazon.com/Multi-Groove-Fiberglass-200-Foot-Klein-Tools/dp/B00N6Y8RRA/ref=sr_1_1?keywords=Klein+Tools+56014+Fiberglass+Fish+Tape+with+Spiral+Leader%2C+200-Foot&amp;qid=1695174145&amp;sr=8-1</v>
      </c>
      <c r="F4584" t="s">
        <v>3275</v>
      </c>
      <c r="G4584" t="e">
        <f ca="1">_xludf.IMAGE("https://edmondsonsupply.com/cdn/shop/products/56014.jpg?v=1664478500")</f>
        <v>#NAME?</v>
      </c>
      <c r="H4584" t="e">
        <f ca="1">_xludf.IMAGE("https://m.media-amazon.com/images/I/61-dcSdFpvL._AC_UL320_.jpg")</f>
        <v>#NAME?</v>
      </c>
      <c r="I4584" t="s">
        <v>8498</v>
      </c>
      <c r="J4584">
        <v>199.99</v>
      </c>
      <c r="K4584" s="4">
        <v>-0.4335</v>
      </c>
      <c r="L4584">
        <v>4.4000000000000004</v>
      </c>
      <c r="M4584">
        <v>86</v>
      </c>
      <c r="O4584" t="s">
        <v>25</v>
      </c>
      <c r="P4584" t="s">
        <v>8499</v>
      </c>
      <c r="Q4584" t="s">
        <v>8500</v>
      </c>
    </row>
    <row r="4585" spans="1:17" ht="15.5" x14ac:dyDescent="0.35">
      <c r="A4585"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4585" s="3" t="str">
        <f>HYPERLINK("https://edmondsonsupply.com/products/klein-tools-32800-6-in-1-multi-nut-driver-heavy-duty", "https://edmondsonsupply.com/products/klein-tools-32800-6-in-1-multi-nut-driver-heavy-duty")</f>
        <v>https://edmondsonsupply.com/products/klein-tools-32800-6-in-1-multi-nut-driver-heavy-duty</v>
      </c>
      <c r="C4585" t="s">
        <v>8108</v>
      </c>
      <c r="D4585" t="s">
        <v>3545</v>
      </c>
      <c r="E4585" s="3" t="str">
        <f>HYPERLINK("https://www.amazon.com/Extended-Screwdriver-Klein-Tools-32560/dp/B005FQDHF4/ref=sr_1_6?keywords=Klein+Tools+32800+6-in-1+6-in-1+Multi-Bit+Nut+Driver%2C+Heavy+Duty&amp;qid=1695174226&amp;sr=8-6", "https://www.amazon.com/Extended-Screwdriver-Klein-Tools-32560/dp/B005FQDHF4/ref=sr_1_6?keywords=Klein+Tools+32800+6-in-1+6-in-1+Multi-Bit+Nut+Driver%2C+Heavy+Duty&amp;qid=1695174226&amp;sr=8-6")</f>
        <v>https://www.amazon.com/Extended-Screwdriver-Klein-Tools-32560/dp/B005FQDHF4/ref=sr_1_6?keywords=Klein+Tools+32800+6-in-1+6-in-1+Multi-Bit+Nut+Driver%2C+Heavy+Duty&amp;qid=1695174226&amp;sr=8-6</v>
      </c>
      <c r="F4585" t="s">
        <v>3546</v>
      </c>
      <c r="G4585" t="e">
        <f ca="1">_xludf.IMAGE("https://edmondsonsupply.com/cdn/shop/products/32800_alt2.jpg?v=1646595019")</f>
        <v>#NAME?</v>
      </c>
      <c r="H4585" t="e">
        <f ca="1">_xludf.IMAGE("https://m.media-amazon.com/images/I/516UhfUKmUL._AC_UL320_.jpg")</f>
        <v>#NAME?</v>
      </c>
      <c r="I4585" t="s">
        <v>26</v>
      </c>
      <c r="J4585">
        <v>16.989999999999998</v>
      </c>
      <c r="K4585" s="4">
        <v>-0.4335</v>
      </c>
      <c r="L4585">
        <v>4.8</v>
      </c>
      <c r="M4585">
        <v>679</v>
      </c>
      <c r="O4585" t="s">
        <v>25</v>
      </c>
      <c r="P4585" t="s">
        <v>8111</v>
      </c>
      <c r="Q4585" t="s">
        <v>8112</v>
      </c>
    </row>
    <row r="4586" spans="1:17" ht="15.5" x14ac:dyDescent="0.35">
      <c r="A4586" s="3" t="str">
        <f>HYPERLINK("https://edmondsonsupply.com/collections/electricians-tools/products/veto-pro-pac-tp-xxl-blackout-tool-pouch", "https://edmondsonsupply.com/collections/electricians-tools/products/veto-pro-pac-tp-xxl-blackout-tool-pouch")</f>
        <v>https://edmondsonsupply.com/collections/electricians-tools/products/veto-pro-pac-tp-xxl-blackout-tool-pouch</v>
      </c>
      <c r="B4586" s="3" t="str">
        <f>HYPERLINK("https://edmondsonsupply.com/products/veto-pro-pac-tp-xxl-blackout-tool-pouch", "https://edmondsonsupply.com/products/veto-pro-pac-tp-xxl-blackout-tool-pouch")</f>
        <v>https://edmondsonsupply.com/products/veto-pro-pac-tp-xxl-blackout-tool-pouch</v>
      </c>
      <c r="C4586" t="s">
        <v>758</v>
      </c>
      <c r="D4586" t="s">
        <v>371</v>
      </c>
      <c r="E4586" s="3" t="str">
        <f>HYPERLINK("https://www.amazon.com/Veto-TP-LC-Compact-Zippered-Service/dp/B09TPZKBDP/ref=sr_1_3?keywords=Veto+Pro+Pac+TP-XXL+Blackout+Tool+Pouch&amp;qid=1695173885&amp;sr=8-3", "https://www.amazon.com/Veto-TP-LC-Compact-Zippered-Service/dp/B09TPZKBDP/ref=sr_1_3?keywords=Veto+Pro+Pac+TP-XXL+Blackout+Tool+Pouch&amp;qid=1695173885&amp;sr=8-3")</f>
        <v>https://www.amazon.com/Veto-TP-LC-Compact-Zippered-Service/dp/B09TPZKBDP/ref=sr_1_3?keywords=Veto+Pro+Pac+TP-XXL+Blackout+Tool+Pouch&amp;qid=1695173885&amp;sr=8-3</v>
      </c>
      <c r="F4586" t="s">
        <v>372</v>
      </c>
      <c r="G4586" t="e">
        <f ca="1">_xludf.IMAGE("https://edmondsonsupply.com/cdn/shop/files/TP-xxl_blackout_600x830_0000_TP-XXL_BLACKOUT_0379.jpg?v=1685736106")</f>
        <v>#NAME?</v>
      </c>
      <c r="H4586" t="e">
        <f ca="1">_xludf.IMAGE("https://m.media-amazon.com/images/I/51b1SiebzcL._AC_UL320_.jpg")</f>
        <v>#NAME?</v>
      </c>
      <c r="I4586" t="s">
        <v>759</v>
      </c>
      <c r="J4586">
        <v>134.94999999999999</v>
      </c>
      <c r="K4586" s="4">
        <v>-0.43769999999999998</v>
      </c>
      <c r="L4586">
        <v>4.8</v>
      </c>
      <c r="M4586">
        <v>281</v>
      </c>
      <c r="O4586" t="s">
        <v>171</v>
      </c>
      <c r="P4586" t="s">
        <v>138</v>
      </c>
      <c r="Q4586" t="s">
        <v>760</v>
      </c>
    </row>
    <row r="4587" spans="1:17" ht="15.5" x14ac:dyDescent="0.35">
      <c r="A4587" s="3" t="str">
        <f>HYPERLINK("https://edmondsonsupply.com/collections/electricians-tools/products/diablo-tools-dmans1050-3-8-in-tile-stone-carbide-tipped-drill-bit", "https://edmondsonsupply.com/collections/electricians-tools/products/diablo-tools-dmans1050-3-8-in-tile-stone-carbide-tipped-drill-bit")</f>
        <v>https://edmondsonsupply.com/collections/electricians-tools/products/diablo-tools-dmans1050-3-8-in-tile-stone-carbide-tipped-drill-bit</v>
      </c>
      <c r="B4587" s="3" t="str">
        <f>HYPERLINK("https://edmondsonsupply.com/products/diablo-tools-dmans1050-3-8-in-tile-stone-carbide-tipped-drill-bit", "https://edmondsonsupply.com/products/diablo-tools-dmans1050-3-8-in-tile-stone-carbide-tipped-drill-bit")</f>
        <v>https://edmondsonsupply.com/products/diablo-tools-dmans1050-3-8-in-tile-stone-carbide-tipped-drill-bit</v>
      </c>
      <c r="C4587" t="s">
        <v>8891</v>
      </c>
      <c r="D4587" t="s">
        <v>9038</v>
      </c>
      <c r="E4587" s="3" t="str">
        <f>HYPERLINK("https://www.amazon.com/Diablo-Freud-DMANS1010-Carbide-Tipped/dp/B089LHTFX6/ref=sr_1_10?keywords=Diablo+Tools+DMANS1050+3%2F8+in.+Tile&amp;qid=1695174213&amp;sr=8-10", "https://www.amazon.com/Diablo-Freud-DMANS1010-Carbide-Tipped/dp/B089LHTFX6/ref=sr_1_10?keywords=Diablo+Tools+DMANS1050+3%2F8+in.+Tile&amp;qid=1695174213&amp;sr=8-10")</f>
        <v>https://www.amazon.com/Diablo-Freud-DMANS1010-Carbide-Tipped/dp/B089LHTFX6/ref=sr_1_10?keywords=Diablo+Tools+DMANS1050+3%2F8+in.+Tile&amp;qid=1695174213&amp;sr=8-10</v>
      </c>
      <c r="F4587" t="s">
        <v>9039</v>
      </c>
      <c r="G4587" t="e">
        <f ca="1">_xludf.IMAGE("https://edmondsonsupply.com/cdn/shop/products/1050.webp?v=1647637874")</f>
        <v>#NAME?</v>
      </c>
      <c r="H4587" t="e">
        <f ca="1">_xludf.IMAGE("https://m.media-amazon.com/images/I/61gwDacBESL._AC_UL320_.jpg")</f>
        <v>#NAME?</v>
      </c>
      <c r="I4587" t="s">
        <v>2784</v>
      </c>
      <c r="J4587">
        <v>8.39</v>
      </c>
      <c r="K4587" s="4">
        <v>-0.4395</v>
      </c>
      <c r="L4587">
        <v>4</v>
      </c>
      <c r="M4587">
        <v>1</v>
      </c>
      <c r="O4587" t="s">
        <v>25</v>
      </c>
      <c r="P4587" t="s">
        <v>138</v>
      </c>
      <c r="Q4587" t="s">
        <v>8894</v>
      </c>
    </row>
    <row r="4588" spans="1:17" ht="15.5" x14ac:dyDescent="0.35">
      <c r="A4588"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4588"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4588" t="s">
        <v>7545</v>
      </c>
      <c r="D4588" t="s">
        <v>1642</v>
      </c>
      <c r="E4588" s="3" t="str">
        <f>HYPERLINK("https://www.amazon.com/Multimeter-Electrical-Non-Contact-Klein-Tools/dp/B0CF2CFS1D/ref=sr_1_10?keywords=Klein+Tools+CL320KIT+HVAC+Digital+Clamp+Meter+Electrical+Test+Kit&amp;qid=1695174178&amp;sr=8-10", "https://www.amazon.com/Multimeter-Electrical-Non-Contact-Klein-Tools/dp/B0CF2CFS1D/ref=sr_1_10?keywords=Klein+Tools+CL320KIT+HVAC+Digital+Clamp+Meter+Electrical+Test+Kit&amp;qid=1695174178&amp;sr=8-10")</f>
        <v>https://www.amazon.com/Multimeter-Electrical-Non-Contact-Klein-Tools/dp/B0CF2CFS1D/ref=sr_1_10?keywords=Klein+Tools+CL320KIT+HVAC+Digital+Clamp+Meter+Electrical+Test+Kit&amp;qid=1695174178&amp;sr=8-10</v>
      </c>
      <c r="F4588" t="s">
        <v>1643</v>
      </c>
      <c r="G4588" t="e">
        <f ca="1">_xludf.IMAGE("https://edmondsonsupply.com/cdn/shop/products/cl320kit_photo.jpg?v=1660753251")</f>
        <v>#NAME?</v>
      </c>
      <c r="H4588" t="e">
        <f ca="1">_xludf.IMAGE("https://m.media-amazon.com/images/I/5182bo0BHaL._AC_UY218_.jpg")</f>
        <v>#NAME?</v>
      </c>
      <c r="I4588" t="s">
        <v>7548</v>
      </c>
      <c r="J4588">
        <v>66.48</v>
      </c>
      <c r="K4588" s="4">
        <v>-0.44130000000000003</v>
      </c>
      <c r="L4588">
        <v>4.8</v>
      </c>
      <c r="M4588">
        <v>1458</v>
      </c>
      <c r="O4588" t="s">
        <v>25</v>
      </c>
      <c r="P4588" t="s">
        <v>7549</v>
      </c>
      <c r="Q4588" t="s">
        <v>7550</v>
      </c>
    </row>
    <row r="4589" spans="1:17" ht="15.5" x14ac:dyDescent="0.35">
      <c r="A4589" s="3" t="str">
        <f>HYPERLINK("https://edmondsonsupply.com/collections/electricians-tools/products/klein-tools-510212blk-tool-bag-black-canvas-12-inch", "https://edmondsonsupply.com/collections/electricians-tools/products/klein-tools-510212blk-tool-bag-black-canvas-12-inch")</f>
        <v>https://edmondsonsupply.com/collections/electricians-tools/products/klein-tools-510212blk-tool-bag-black-canvas-12-inch</v>
      </c>
      <c r="B4589" s="3" t="str">
        <f>HYPERLINK("https://edmondsonsupply.com/products/klein-tools-510212blk-tool-bag-black-canvas-12-inch", "https://edmondsonsupply.com/products/klein-tools-510212blk-tool-bag-black-canvas-12-inch")</f>
        <v>https://edmondsonsupply.com/products/klein-tools-510212blk-tool-bag-black-canvas-12-inch</v>
      </c>
      <c r="C4589" t="s">
        <v>585</v>
      </c>
      <c r="D4589" t="s">
        <v>294</v>
      </c>
      <c r="E4589" s="3" t="str">
        <f>HYPERLINK("https://www.amazon.com/Utility-Zipper-12-5-Inch-Klein-Tools/dp/B007V8RXVI/ref=sr_1_8?keywords=Klein+Tools+510212BLK+Tool+Bag%2C+Black+Canvas%2C+12-Inch&amp;qid=1695174136&amp;sr=8-8", "https://www.amazon.com/Utility-Zipper-12-5-Inch-Klein-Tools/dp/B007V8RXVI/ref=sr_1_8?keywords=Klein+Tools+510212BLK+Tool+Bag%2C+Black+Canvas%2C+12-Inch&amp;qid=1695174136&amp;sr=8-8")</f>
        <v>https://www.amazon.com/Utility-Zipper-12-5-Inch-Klein-Tools/dp/B007V8RXVI/ref=sr_1_8?keywords=Klein+Tools+510212BLK+Tool+Bag%2C+Black+Canvas%2C+12-Inch&amp;qid=1695174136&amp;sr=8-8</v>
      </c>
      <c r="F4589" t="s">
        <v>295</v>
      </c>
      <c r="G4589" t="e">
        <f ca="1">_xludf.IMAGE("https://edmondsonsupply.com/cdn/shop/products/510212blk.jpg?v=1666026613")</f>
        <v>#NAME?</v>
      </c>
      <c r="H4589" t="e">
        <f ca="1">_xludf.IMAGE("https://m.media-amazon.com/images/I/61K2xaMr+oL._AC_UL320_.jpg")</f>
        <v>#NAME?</v>
      </c>
      <c r="I4589" t="s">
        <v>588</v>
      </c>
      <c r="J4589">
        <v>39</v>
      </c>
      <c r="K4589" s="4">
        <v>-0.44280000000000003</v>
      </c>
      <c r="L4589">
        <v>4.8</v>
      </c>
      <c r="M4589">
        <v>4463</v>
      </c>
      <c r="O4589" t="s">
        <v>25</v>
      </c>
      <c r="P4589" t="s">
        <v>589</v>
      </c>
      <c r="Q4589" t="s">
        <v>590</v>
      </c>
    </row>
    <row r="4590" spans="1:17" ht="15.5" x14ac:dyDescent="0.35">
      <c r="A4590"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4590" s="3" t="str">
        <f>HYPERLINK("https://edmondsonsupply.com/products/diablo-tools-d0704dh-7-1-4-in-x-4-tooth-fiber-cement", "https://edmondsonsupply.com/products/diablo-tools-d0704dh-7-1-4-in-x-4-tooth-fiber-cement")</f>
        <v>https://edmondsonsupply.com/products/diablo-tools-d0704dh-7-1-4-in-x-4-tooth-fiber-cement</v>
      </c>
      <c r="C4590" t="s">
        <v>6285</v>
      </c>
      <c r="D4590" t="s">
        <v>9040</v>
      </c>
      <c r="E4590" s="3" t="str">
        <f>HYPERLINK("https://www.amazon.com/TOMAX-PCDM71404-Polycrystalline-Diamond-Tipped/dp/B0856RR3RR/ref=sr_1_5?keywords=Diablo+Tools+D0704DH+7-1%2F4+in.+x+4+Tooth+Fiber+Cement&amp;qid=1695174050&amp;sr=8-5", "https://www.amazon.com/TOMAX-PCDM71404-Polycrystalline-Diamond-Tipped/dp/B0856RR3RR/ref=sr_1_5?keywords=Diablo+Tools+D0704DH+7-1%2F4+in.+x+4+Tooth+Fiber+Cement&amp;qid=1695174050&amp;sr=8-5")</f>
        <v>https://www.amazon.com/TOMAX-PCDM71404-Polycrystalline-Diamond-Tipped/dp/B0856RR3RR/ref=sr_1_5?keywords=Diablo+Tools+D0704DH+7-1%2F4+in.+x+4+Tooth+Fiber+Cement&amp;qid=1695174050&amp;sr=8-5</v>
      </c>
      <c r="F4590" t="s">
        <v>9041</v>
      </c>
      <c r="G4590" t="e">
        <f ca="1">_xludf.IMAGE("https://edmondsonsupply.com/cdn/shop/products/baadnmj6vhmqufio7ofn.webp?v=1679325375")</f>
        <v>#NAME?</v>
      </c>
      <c r="H4590" t="e">
        <f ca="1">_xludf.IMAGE("https://m.media-amazon.com/images/I/71KrPyDF71S._AC_UL320_.jpg")</f>
        <v>#NAME?</v>
      </c>
      <c r="I4590" t="s">
        <v>4108</v>
      </c>
      <c r="J4590">
        <v>24.99</v>
      </c>
      <c r="K4590" s="4">
        <v>-0.44429999999999997</v>
      </c>
      <c r="L4590">
        <v>4.4000000000000004</v>
      </c>
      <c r="M4590">
        <v>256</v>
      </c>
      <c r="O4590" t="s">
        <v>25</v>
      </c>
      <c r="P4590" t="s">
        <v>3833</v>
      </c>
      <c r="Q4590" t="s">
        <v>6288</v>
      </c>
    </row>
    <row r="4591" spans="1:17" ht="15.5" x14ac:dyDescent="0.35">
      <c r="A4591"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4591"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4591" t="s">
        <v>6827</v>
      </c>
      <c r="D4591" t="s">
        <v>5316</v>
      </c>
      <c r="E4591" s="3" t="str">
        <f>HYPERLINK("https://www.amazon.com/Diablo-SDS-Max-4-Cutter-Carbide-Hammer/dp/B089KWP4WK/ref=sr_1_7?keywords=Diablo+Tools+DMAMX1360+1-1%2F2+in.+x+16+in.+x+21+in.+Rebar+Demon%E2%84%A2+SDS-Max+4-Cutter+Carbide-Tipped+Hammer+Drill+Bit&amp;qid=1695174071&amp;sr=8-7", "https://www.amazon.com/Diablo-SDS-Max-4-Cutter-Carbide-Hammer/dp/B089KWP4WK/ref=sr_1_7?keywords=Diablo+Tools+DMAMX1360+1-1%2F2+in.+x+16+in.+x+21+in.+Rebar+Demon%E2%84%A2+SDS-Max+4-Cutter+Carbide-Tipped+Hammer+Drill+Bit&amp;qid=1695174071&amp;sr=8-7")</f>
        <v>https://www.amazon.com/Diablo-SDS-Max-4-Cutter-Carbide-Hammer/dp/B089KWP4WK/ref=sr_1_7?keywords=Diablo+Tools+DMAMX1360+1-1%2F2+in.+x+16+in.+x+21+in.+Rebar+Demon%E2%84%A2+SDS-Max+4-Cutter+Carbide-Tipped+Hammer+Drill+Bit&amp;qid=1695174071&amp;sr=8-7</v>
      </c>
      <c r="F4591" t="s">
        <v>5317</v>
      </c>
      <c r="G4591" t="e">
        <f ca="1">_xludf.IMAGE("https://edmondsonsupply.com/cdn/shop/products/z2umcsdaj3y4uvsfnxoh.webp?v=1677257156")</f>
        <v>#NAME?</v>
      </c>
      <c r="H4591" t="e">
        <f ca="1">_xludf.IMAGE("https://m.media-amazon.com/images/I/61yWWNP1xrL._AC_UL320_.jpg")</f>
        <v>#NAME?</v>
      </c>
      <c r="I4591" t="s">
        <v>6830</v>
      </c>
      <c r="J4591">
        <v>51.96</v>
      </c>
      <c r="K4591" s="4">
        <v>-0.44650000000000001</v>
      </c>
      <c r="L4591">
        <v>5</v>
      </c>
      <c r="M4591">
        <v>9</v>
      </c>
      <c r="O4591" t="s">
        <v>25</v>
      </c>
      <c r="P4591" t="s">
        <v>6831</v>
      </c>
      <c r="Q4591" t="s">
        <v>6832</v>
      </c>
    </row>
    <row r="4592" spans="1:17" ht="15.5" x14ac:dyDescent="0.35">
      <c r="A4592"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4592"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4592" t="s">
        <v>960</v>
      </c>
      <c r="D4592" t="s">
        <v>1022</v>
      </c>
      <c r="E4592" s="3" t="str">
        <f>HYPERLINK("https://www.amazon.com/Klein-Tools-60536-Professional-Protective/dp/B0BLQWVJDB/ref=sr_1_2?keywords=Klein+Tools+60539+Professional+Safety+Glasses%2C+Full+Frame%2C+Polarized+Lens&amp;qid=1695174102&amp;sr=8-2", "https://www.amazon.com/Klein-Tools-60536-Professional-Protective/dp/B0BLQWVJDB/ref=sr_1_2?keywords=Klein+Tools+60539+Professional+Safety+Glasses%2C+Full+Frame%2C+Polarized+Lens&amp;qid=1695174102&amp;sr=8-2")</f>
        <v>https://www.amazon.com/Klein-Tools-60536-Professional-Protective/dp/B0BLQWVJDB/ref=sr_1_2?keywords=Klein+Tools+60539+Professional+Safety+Glasses%2C+Full+Frame%2C+Polarized+Lens&amp;qid=1695174102&amp;sr=8-2</v>
      </c>
      <c r="F4592" t="s">
        <v>1023</v>
      </c>
      <c r="G4592" t="e">
        <f ca="1">_xludf.IMAGE("https://edmondsonsupply.com/cdn/shop/products/60539.jpg?v=1670948006")</f>
        <v>#NAME?</v>
      </c>
      <c r="H4592" t="e">
        <f ca="1">_xludf.IMAGE("https://m.media-amazon.com/images/I/41rAXCZifQL._AC_UL320_.jpg")</f>
        <v>#NAME?</v>
      </c>
      <c r="I4592" t="s">
        <v>26</v>
      </c>
      <c r="J4592">
        <v>16.600000000000001</v>
      </c>
      <c r="K4592" s="4">
        <v>-0.44650000000000001</v>
      </c>
      <c r="L4592">
        <v>4.4000000000000004</v>
      </c>
      <c r="M4592">
        <v>374</v>
      </c>
      <c r="O4592" t="s">
        <v>25</v>
      </c>
      <c r="P4592" t="s">
        <v>562</v>
      </c>
      <c r="Q4592" t="s">
        <v>961</v>
      </c>
    </row>
    <row r="4593" spans="1:17" ht="15.5" x14ac:dyDescent="0.35">
      <c r="A4593"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4593"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4593" t="s">
        <v>6976</v>
      </c>
      <c r="D4593" t="s">
        <v>4554</v>
      </c>
      <c r="E4593" s="3" t="str">
        <f>HYPERLINK("https://www.amazon.com/Journeyman-T-Handle-Klein-Tools-JTH6E11/dp/B004N5WF56/ref=sr_1_1?keywords=Klein+Tools+JTH6E11BE+3%2F16-Inch+Ball+Hex+Key%2C+Journeyman+T-Handle+6-Inch&amp;qid=1695174298&amp;sr=8-1", "https://www.amazon.com/Journeyman-T-Handle-Klein-Tools-JTH6E11/dp/B004N5WF56/ref=sr_1_1?keywords=Klein+Tools+JTH6E11BE+3%2F16-Inch+Ball+Hex+Key%2C+Journeyman+T-Handle+6-Inch&amp;qid=1695174298&amp;sr=8-1")</f>
        <v>https://www.amazon.com/Journeyman-T-Handle-Klein-Tools-JTH6E11/dp/B004N5WF56/ref=sr_1_1?keywords=Klein+Tools+JTH6E11BE+3%2F16-Inch+Ball+Hex+Key%2C+Journeyman+T-Handle+6-Inch&amp;qid=1695174298&amp;sr=8-1</v>
      </c>
      <c r="F4593" t="s">
        <v>4555</v>
      </c>
      <c r="G4593" t="e">
        <f ca="1">_xludf.IMAGE("https://edmondsonsupply.com/cdn/shop/products/jth6e13be_9dba8a6a-8a07-4d76-a54f-fe57b92b3fea.jpg?v=1610659188")</f>
        <v>#NAME?</v>
      </c>
      <c r="H4593" t="e">
        <f ca="1">_xludf.IMAGE("https://m.media-amazon.com/images/I/51Yb8h41vLL._AC_UL320_.jpg")</f>
        <v>#NAME?</v>
      </c>
      <c r="I4593" t="s">
        <v>6464</v>
      </c>
      <c r="J4593">
        <v>4.99</v>
      </c>
      <c r="K4593" s="4">
        <v>-0.45290000000000002</v>
      </c>
      <c r="L4593">
        <v>4.8</v>
      </c>
      <c r="M4593">
        <v>2479</v>
      </c>
      <c r="O4593" t="s">
        <v>25</v>
      </c>
      <c r="P4593" t="s">
        <v>138</v>
      </c>
      <c r="Q4593" t="s">
        <v>6977</v>
      </c>
    </row>
    <row r="4594" spans="1:17" ht="15.5" x14ac:dyDescent="0.35">
      <c r="A4594"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4594" s="3" t="str">
        <f>HYPERLINK("https://edmondsonsupply.com/products/klein-tools-51610-1-iron-conduit-bender-head", "https://edmondsonsupply.com/products/klein-tools-51610-1-iron-conduit-bender-head")</f>
        <v>https://edmondsonsupply.com/products/klein-tools-51610-1-iron-conduit-bender-head</v>
      </c>
      <c r="C4594" t="s">
        <v>6220</v>
      </c>
      <c r="D4594" t="s">
        <v>6204</v>
      </c>
      <c r="E4594" s="3" t="str">
        <f>HYPERLINK("https://www.amazon.com/Conduit-Compatible-Klein-Tools-51608/dp/B08VYJMT3R/ref=sr_1_4?keywords=Klein+Tools+51610+1%22+Iron+Conduit+Bender+Head&amp;qid=1695174168&amp;sr=8-4", "https://www.amazon.com/Conduit-Compatible-Klein-Tools-51608/dp/B08VYJMT3R/ref=sr_1_4?keywords=Klein+Tools+51610+1%22+Iron+Conduit+Bender+Head&amp;qid=1695174168&amp;sr=8-4")</f>
        <v>https://www.amazon.com/Conduit-Compatible-Klein-Tools-51608/dp/B08VYJMT3R/ref=sr_1_4?keywords=Klein+Tools+51610+1%22+Iron+Conduit+Bender+Head&amp;qid=1695174168&amp;sr=8-4</v>
      </c>
      <c r="F4594" t="s">
        <v>6205</v>
      </c>
      <c r="G4594" t="e">
        <f ca="1">_xludf.IMAGE("https://edmondsonsupply.com/cdn/shop/products/51610.jpg?v=1661975879")</f>
        <v>#NAME?</v>
      </c>
      <c r="H4594" t="e">
        <f ca="1">_xludf.IMAGE("https://m.media-amazon.com/images/I/61mnVTiX18L._AC_UL320_.jpg")</f>
        <v>#NAME?</v>
      </c>
      <c r="I4594" t="s">
        <v>320</v>
      </c>
      <c r="J4594">
        <v>40.909999999999997</v>
      </c>
      <c r="K4594" s="4">
        <v>-0.45450000000000002</v>
      </c>
      <c r="L4594">
        <v>4.3</v>
      </c>
      <c r="M4594">
        <v>17</v>
      </c>
      <c r="O4594" t="s">
        <v>25</v>
      </c>
      <c r="P4594" t="s">
        <v>6223</v>
      </c>
      <c r="Q4594" t="s">
        <v>6224</v>
      </c>
    </row>
    <row r="4595" spans="1:17" ht="15.5" x14ac:dyDescent="0.35">
      <c r="A4595" s="3" t="str">
        <f>HYPERLINK("https://edmondsonsupply.com/collections/electricians-tools/products/klein-tools-56414-rechargeable-2-color-led-headlamp-with-adjustable-strap", "https://edmondsonsupply.com/collections/electricians-tools/products/klein-tools-56414-rechargeable-2-color-led-headlamp-with-adjustable-strap")</f>
        <v>https://edmondsonsupply.com/collections/electricians-tools/products/klein-tools-56414-rechargeable-2-color-led-headlamp-with-adjustable-strap</v>
      </c>
      <c r="B4595" s="3" t="str">
        <f>HYPERLINK("https://edmondsonsupply.com/products/klein-tools-56414-rechargeable-2-color-led-headlamp-with-adjustable-strap", "https://edmondsonsupply.com/products/klein-tools-56414-rechargeable-2-color-led-headlamp-with-adjustable-strap")</f>
        <v>https://edmondsonsupply.com/products/klein-tools-56414-rechargeable-2-color-led-headlamp-with-adjustable-strap</v>
      </c>
      <c r="C4595" t="s">
        <v>8533</v>
      </c>
      <c r="D4595" t="s">
        <v>7596</v>
      </c>
      <c r="E4595" s="3" t="str">
        <f>HYPERLINK("https://www.amazon.com/Klein-Tools-56049-Rechargeable-Headlamp/dp/B089DRF7QW/ref=sr_1_4?keywords=Klein+Tools+56414+Rechargeable+2-Color+LED+Headlamp+with+Adjustable+Strap&amp;qid=1695174150&amp;sr=8-4", "https://www.amazon.com/Klein-Tools-56049-Rechargeable-Headlamp/dp/B089DRF7QW/ref=sr_1_4?keywords=Klein+Tools+56414+Rechargeable+2-Color+LED+Headlamp+with+Adjustable+Strap&amp;qid=1695174150&amp;sr=8-4")</f>
        <v>https://www.amazon.com/Klein-Tools-56049-Rechargeable-Headlamp/dp/B089DRF7QW/ref=sr_1_4?keywords=Klein+Tools+56414+Rechargeable+2-Color+LED+Headlamp+with+Adjustable+Strap&amp;qid=1695174150&amp;sr=8-4</v>
      </c>
      <c r="F4595" t="s">
        <v>7597</v>
      </c>
      <c r="G4595" t="e">
        <f ca="1">_xludf.IMAGE("https://edmondsonsupply.com/cdn/shop/products/56414.jpg?v=1663954728")</f>
        <v>#NAME?</v>
      </c>
      <c r="H4595" t="e">
        <f ca="1">_xludf.IMAGE("https://m.media-amazon.com/images/I/61PyFw1jeZL._AC_UL320_.jpg")</f>
        <v>#NAME?</v>
      </c>
      <c r="I4595" t="s">
        <v>3359</v>
      </c>
      <c r="J4595">
        <v>29.97</v>
      </c>
      <c r="K4595" s="4">
        <v>-0.45479999999999998</v>
      </c>
      <c r="L4595">
        <v>4.5999999999999996</v>
      </c>
      <c r="M4595">
        <v>387</v>
      </c>
      <c r="O4595" t="s">
        <v>25</v>
      </c>
      <c r="P4595" t="s">
        <v>8536</v>
      </c>
      <c r="Q4595" t="s">
        <v>8537</v>
      </c>
    </row>
    <row r="4596" spans="1:17" ht="15.5" x14ac:dyDescent="0.35">
      <c r="A4596" s="3" t="str">
        <f>HYPERLINK("https://edmondsonsupply.com/collections/electricians-tools/products/diablo-tools-dou250bw3-2-1-2-in-universal-fit-bi-metal-oscillating-blades-for-nail-embedded-wood-3-pack", "https://edmondsonsupply.com/collections/electricians-tools/products/diablo-tools-dou250bw3-2-1-2-in-universal-fit-bi-metal-oscillating-blades-for-nail-embedded-wood-3-pack")</f>
        <v>https://edmondsonsupply.com/collections/electricians-tools/products/diablo-tools-dou250bw3-2-1-2-in-universal-fit-bi-metal-oscillating-blades-for-nail-embedded-wood-3-pack</v>
      </c>
      <c r="B4596"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4596" t="s">
        <v>5937</v>
      </c>
      <c r="D4596" t="s">
        <v>5960</v>
      </c>
      <c r="E4596" s="3" t="str">
        <f>HYPERLINK("https://www.amazon.com/Diablo-Freud-DOU250BW-Oscillating-Nail-Embedded/dp/B089KWP5Z2/ref=sr_1_2?keywords=Diablo+Tools+DOU250BW3+2-1%2F2+in.+Universal+Fit+Bi-Metal+Oscillating+Blades+for+Nail-Embedded+Wood+%283+pack%29&amp;qid=1695174017&amp;sr=8-2", "https://www.amazon.com/Diablo-Freud-DOU250BW-Oscillating-Nail-Embedded/dp/B089KWP5Z2/ref=sr_1_2?keywords=Diablo+Tools+DOU250BW3+2-1%2F2+in.+Universal+Fit+Bi-Metal+Oscillating+Blades+for+Nail-Embedded+Wood+%283+pack%29&amp;qid=1695174017&amp;sr=8-2")</f>
        <v>https://www.amazon.com/Diablo-Freud-DOU250BW-Oscillating-Nail-Embedded/dp/B089KWP5Z2/ref=sr_1_2?keywords=Diablo+Tools+DOU250BW3+2-1%2F2+in.+Universal+Fit+Bi-Metal+Oscillating+Blades+for+Nail-Embedded+Wood+%283+pack%29&amp;qid=1695174017&amp;sr=8-2</v>
      </c>
      <c r="F4596" t="s">
        <v>5961</v>
      </c>
      <c r="G4596" t="e">
        <f ca="1">_xludf.IMAGE("https://edmondsonsupply.com/cdn/shop/files/xcched1uye7bv2s0ryod_fbd674d3-3cd9-4e2a-a920-451af57abfde.webp?v=1686149226")</f>
        <v>#NAME?</v>
      </c>
      <c r="H4596" t="e">
        <f ca="1">_xludf.IMAGE("https://m.media-amazon.com/images/I/71fhfiK3NaL._AC_UL320_.jpg")</f>
        <v>#NAME?</v>
      </c>
      <c r="I4596" t="s">
        <v>5940</v>
      </c>
      <c r="J4596">
        <v>16.96</v>
      </c>
      <c r="K4596" s="4">
        <v>-0.45850000000000002</v>
      </c>
      <c r="L4596">
        <v>4.5999999999999996</v>
      </c>
      <c r="M4596">
        <v>31</v>
      </c>
      <c r="O4596" t="s">
        <v>25</v>
      </c>
      <c r="P4596" t="s">
        <v>5941</v>
      </c>
      <c r="Q4596" t="s">
        <v>5942</v>
      </c>
    </row>
    <row r="4597" spans="1:17" ht="15.5" x14ac:dyDescent="0.35">
      <c r="A4597"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4597"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4597" t="s">
        <v>8676</v>
      </c>
      <c r="D4597" t="s">
        <v>5960</v>
      </c>
      <c r="E4597" s="3" t="str">
        <f>HYPERLINK("https://www.amazon.com/Diablo-Freud-DOU250BW-Oscillating-Nail-Embedded/dp/B089KWP5Z2/ref=sr_1_4?keywords=Diablo+Tools+DOU250JBW3+2-1%2F2+in.+Universal+Fit+Bi-Metal+Oscillating+Blade+for+Clean+Wood+%283+pk%29&amp;qid=1695174010&amp;sr=8-4", "https://www.amazon.com/Diablo-Freud-DOU250BW-Oscillating-Nail-Embedded/dp/B089KWP5Z2/ref=sr_1_4?keywords=Diablo+Tools+DOU250JBW3+2-1%2F2+in.+Universal+Fit+Bi-Metal+Oscillating+Blade+for+Clean+Wood+%283+pk%29&amp;qid=1695174010&amp;sr=8-4")</f>
        <v>https://www.amazon.com/Diablo-Freud-DOU250BW-Oscillating-Nail-Embedded/dp/B089KWP5Z2/ref=sr_1_4?keywords=Diablo+Tools+DOU250JBW3+2-1%2F2+in.+Universal+Fit+Bi-Metal+Oscillating+Blade+for+Clean+Wood+%283+pk%29&amp;qid=1695174010&amp;sr=8-4</v>
      </c>
      <c r="F4597" t="s">
        <v>5961</v>
      </c>
      <c r="G4597" t="e">
        <f ca="1">_xludf.IMAGE("https://edmondsonsupply.com/cdn/shop/files/pycnap4eb1urn2hxvudq_1.webp?v=1685719587")</f>
        <v>#NAME?</v>
      </c>
      <c r="H4597" t="e">
        <f ca="1">_xludf.IMAGE("https://m.media-amazon.com/images/I/71fhfiK3NaL._AC_UL320_.jpg")</f>
        <v>#NAME?</v>
      </c>
      <c r="I4597" t="s">
        <v>5940</v>
      </c>
      <c r="J4597">
        <v>16.96</v>
      </c>
      <c r="K4597" s="4">
        <v>-0.45850000000000002</v>
      </c>
      <c r="L4597">
        <v>4.5999999999999996</v>
      </c>
      <c r="M4597">
        <v>31</v>
      </c>
      <c r="O4597" t="s">
        <v>25</v>
      </c>
      <c r="P4597" t="s">
        <v>8677</v>
      </c>
      <c r="Q4597" t="s">
        <v>8678</v>
      </c>
    </row>
    <row r="4598" spans="1:17" ht="15.5" x14ac:dyDescent="0.35">
      <c r="A4598" s="3" t="str">
        <f>HYPERLINK("https://edmondsonsupply.com/collections/electricians-tools/products/copy-of-milwaukee-48-11-1850-m18%E2%84%A2-redlithium%E2%84%A2-xc5-0-extended-capacity-battery-pack", "https://edmondsonsupply.com/collections/electricians-tools/products/copy-of-milwaukee-48-11-1850-m18%E2%84%A2-redlithium%E2%84%A2-xc5-0-extended-capacity-battery-pack")</f>
        <v>https://edmondsonsupply.com/collections/electricians-tools/products/copy-of-milwaukee-48-11-1850-m18%E2%84%A2-redlithium%E2%84%A2-xc5-0-extended-capacity-battery-pack</v>
      </c>
      <c r="B4598" s="3" t="str">
        <f>HYPERLINK("https://edmondsonsupply.com/products/copy-of-milwaukee-48-11-1850-m18%e2%84%a2-redlithium%e2%84%a2-xc5-0-extended-capacity-battery-pack", "https://edmondsonsupply.com/products/copy-of-milwaukee-48-11-1850-m18%e2%84%a2-redlithium%e2%84%a2-xc5-0-extended-capacity-battery-pack")</f>
        <v>https://edmondsonsupply.com/products/copy-of-milwaukee-48-11-1850-m18%e2%84%a2-redlithium%e2%84%a2-xc5-0-extended-capacity-battery-pack</v>
      </c>
      <c r="C4598" t="s">
        <v>9042</v>
      </c>
      <c r="D4598" t="s">
        <v>9043</v>
      </c>
      <c r="E4598" s="3" t="str">
        <f>HYPERLINK("https://www.amazon.com/Milwaukee-48-11-1850-Batteries-48-11-1852-pack/dp/B09NNHN8S8/ref=sr_1_1?keywords=Milwaukee+48-11-1852+M18%E2%84%A2+REDLITHIUM%E2%84%A2+XC5.0+Extended+Capacity+Battery+2-Pack&amp;qid=1695174190&amp;sr=8-1", "https://www.amazon.com/Milwaukee-48-11-1850-Batteries-48-11-1852-pack/dp/B09NNHN8S8/ref=sr_1_1?keywords=Milwaukee+48-11-1852+M18%E2%84%A2+REDLITHIUM%E2%84%A2+XC5.0+Extended+Capacity+Battery+2-Pack&amp;qid=1695174190&amp;sr=8-1")</f>
        <v>https://www.amazon.com/Milwaukee-48-11-1850-Batteries-48-11-1852-pack/dp/B09NNHN8S8/ref=sr_1_1?keywords=Milwaukee+48-11-1852+M18%E2%84%A2+REDLITHIUM%E2%84%A2+XC5.0+Extended+Capacity+Battery+2-Pack&amp;qid=1695174190&amp;sr=8-1</v>
      </c>
      <c r="F4598" t="s">
        <v>9044</v>
      </c>
      <c r="G4598" t="e">
        <f ca="1">_xludf.IMAGE("https://edmondsonsupply.com/cdn/shop/products/48-11-1852_2.png?v=1657136927")</f>
        <v>#NAME?</v>
      </c>
      <c r="H4598" t="e">
        <f ca="1">_xludf.IMAGE("https://m.media-amazon.com/images/I/61QtFZehTkL._AC_UL320_.jpg")</f>
        <v>#NAME?</v>
      </c>
      <c r="I4598" t="s">
        <v>8789</v>
      </c>
      <c r="J4598">
        <v>133.9</v>
      </c>
      <c r="K4598" s="4">
        <v>-0.4622</v>
      </c>
      <c r="L4598">
        <v>4.7</v>
      </c>
      <c r="M4598">
        <v>1293</v>
      </c>
      <c r="O4598" t="s">
        <v>25</v>
      </c>
      <c r="P4598" t="s">
        <v>9045</v>
      </c>
      <c r="Q4598" t="s">
        <v>9046</v>
      </c>
    </row>
    <row r="4599" spans="1:17" ht="15.5" x14ac:dyDescent="0.35">
      <c r="A4599" s="3" t="str">
        <f>HYPERLINK("https://edmondsonsupply.com/collections/electricians-tools/products/milwaukee-2997-22-m18-fuel%E2%84%A2-2-tool-combo-kit-hammer-drill-impact", "https://edmondsonsupply.com/collections/electricians-tools/products/milwaukee-2997-22-m18-fuel%E2%84%A2-2-tool-combo-kit-hammer-drill-impact")</f>
        <v>https://edmondsonsupply.com/collections/electricians-tools/products/milwaukee-2997-22-m18-fuel%E2%84%A2-2-tool-combo-kit-hammer-drill-impact</v>
      </c>
      <c r="B4599" s="3" t="str">
        <f>HYPERLINK("https://edmondsonsupply.com/products/milwaukee-2997-22-m18-fuel%e2%84%a2-2-tool-combo-kit-hammer-drill-impact", "https://edmondsonsupply.com/products/milwaukee-2997-22-m18-fuel%e2%84%a2-2-tool-combo-kit-hammer-drill-impact")</f>
        <v>https://edmondsonsupply.com/products/milwaukee-2997-22-m18-fuel%e2%84%a2-2-tool-combo-kit-hammer-drill-impact</v>
      </c>
      <c r="C4599" t="s">
        <v>4205</v>
      </c>
      <c r="D4599" t="s">
        <v>5542</v>
      </c>
      <c r="E4599" s="3" t="str">
        <f>HYPERLINK("https://www.amazon.com/Milwaukee-2598-22-FUEL-2-Tool-Combo/dp/B07F9Q4H5S/ref=sr_1_7?keywords=Milwaukee+2997-22+M18+FUEL%E2%84%A2+2-Tool+Combo+Kit%3A+Hammer+Drill%2FImpact&amp;qid=1695173909&amp;sr=8-7", "https://www.amazon.com/Milwaukee-2598-22-FUEL-2-Tool-Combo/dp/B07F9Q4H5S/ref=sr_1_7?keywords=Milwaukee+2997-22+M18+FUEL%E2%84%A2+2-Tool+Combo+Kit%3A+Hammer+Drill%2FImpact&amp;qid=1695173909&amp;sr=8-7")</f>
        <v>https://www.amazon.com/Milwaukee-2598-22-FUEL-2-Tool-Combo/dp/B07F9Q4H5S/ref=sr_1_7?keywords=Milwaukee+2997-22+M18+FUEL%E2%84%A2+2-Tool+Combo+Kit%3A+Hammer+Drill%2FImpact&amp;qid=1695173909&amp;sr=8-7</v>
      </c>
      <c r="F4599" t="s">
        <v>5543</v>
      </c>
      <c r="G4599" t="e">
        <f ca="1">_xludf.IMAGE("https://edmondsonsupply.com/cdn/shop/products/2997-22-1.png?v=1657217833")</f>
        <v>#NAME?</v>
      </c>
      <c r="H4599" t="e">
        <f ca="1">_xludf.IMAGE("https://m.media-amazon.com/images/I/617O-7-wU2L._AC_UL320_.jpg")</f>
        <v>#NAME?</v>
      </c>
      <c r="I4599" t="s">
        <v>4208</v>
      </c>
      <c r="J4599">
        <v>213.99</v>
      </c>
      <c r="K4599" s="4">
        <v>-0.4637</v>
      </c>
      <c r="L4599">
        <v>4.8</v>
      </c>
      <c r="M4599">
        <v>69</v>
      </c>
      <c r="O4599" t="s">
        <v>171</v>
      </c>
      <c r="P4599" t="s">
        <v>4209</v>
      </c>
      <c r="Q4599" t="s">
        <v>4210</v>
      </c>
    </row>
    <row r="4600" spans="1:17" ht="15.5" x14ac:dyDescent="0.35">
      <c r="A4600"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4600"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4600" t="s">
        <v>6674</v>
      </c>
      <c r="D4600" t="s">
        <v>7572</v>
      </c>
      <c r="E4600" s="3" t="str">
        <f>HYPERLINK("https://www.amazon.com/Journeyman-T-Handle-Klein-Tools-JTH9E08/dp/B004QV8DGW/ref=sr_1_8?keywords=Klein+Tools+JTH9M8+8+mm+Hex+Key%2C+Journeyman%E2%84%A2+T-Handle%2C+9-Inch&amp;qid=1695174169&amp;sr=8-8", "https://www.amazon.com/Journeyman-T-Handle-Klein-Tools-JTH9E08/dp/B004QV8DGW/ref=sr_1_8?keywords=Klein+Tools+JTH9M8+8+mm+Hex+Key%2C+Journeyman%E2%84%A2+T-Handle%2C+9-Inch&amp;qid=1695174169&amp;sr=8-8")</f>
        <v>https://www.amazon.com/Journeyman-T-Handle-Klein-Tools-JTH9E08/dp/B004QV8DGW/ref=sr_1_8?keywords=Klein+Tools+JTH9M8+8+mm+Hex+Key%2C+Journeyman%E2%84%A2+T-Handle%2C+9-Inch&amp;qid=1695174169&amp;sr=8-8</v>
      </c>
      <c r="F4600" t="s">
        <v>7573</v>
      </c>
      <c r="G4600" t="e">
        <f ca="1">_xludf.IMAGE("https://edmondsonsupply.com/cdn/shop/products/jth6m8_03ba3d30-ff38-4b9e-93e7-b0fc6da199d0.jpg?v=1662658324")</f>
        <v>#NAME?</v>
      </c>
      <c r="H4600" t="e">
        <f ca="1">_xludf.IMAGE("https://m.media-amazon.com/images/I/51Yb8h41vLL._AC_UL320_.jpg")</f>
        <v>#NAME?</v>
      </c>
      <c r="I4600" t="s">
        <v>1003</v>
      </c>
      <c r="J4600">
        <v>4.2699999999999996</v>
      </c>
      <c r="K4600" s="4">
        <v>-0.46560000000000001</v>
      </c>
      <c r="L4600">
        <v>4.5999999999999996</v>
      </c>
      <c r="M4600">
        <v>393</v>
      </c>
      <c r="O4600" t="s">
        <v>25</v>
      </c>
      <c r="P4600" t="s">
        <v>1481</v>
      </c>
      <c r="Q4600" t="s">
        <v>6675</v>
      </c>
    </row>
    <row r="4601" spans="1:17" ht="15.5" x14ac:dyDescent="0.35">
      <c r="A4601"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4601"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4601" t="s">
        <v>6439</v>
      </c>
      <c r="D4601" t="s">
        <v>8815</v>
      </c>
      <c r="E4601" s="3" t="str">
        <f>HYPERLINK("https://www.amazon.com/Klein-Tools-32766-16-Inch-Drivers/dp/B09R2L4GFJ/ref=sr_1_2?keywords=Klein+Tools+32768+3-in-1+Impact+Flip+Socket+Set%2C+1%2F4-Inch%2C+5%2F16-Inch%2C+2-Piece&amp;qid=1695174135&amp;sr=8-2", "https://www.amazon.com/Klein-Tools-32766-16-Inch-Drivers/dp/B09R2L4GFJ/ref=sr_1_2?keywords=Klein+Tools+32768+3-in-1+Impact+Flip+Socket+Set%2C+1%2F4-Inch%2C+5%2F16-Inch%2C+2-Piece&amp;qid=1695174135&amp;sr=8-2")</f>
        <v>https://www.amazon.com/Klein-Tools-32766-16-Inch-Drivers/dp/B09R2L4GFJ/ref=sr_1_2?keywords=Klein+Tools+32768+3-in-1+Impact+Flip+Socket+Set%2C+1%2F4-Inch%2C+5%2F16-Inch%2C+2-Piece&amp;qid=1695174135&amp;sr=8-2</v>
      </c>
      <c r="F4601" t="s">
        <v>8816</v>
      </c>
      <c r="G4601" t="e">
        <f ca="1">_xludf.IMAGE("https://edmondsonsupply.com/cdn/shop/products/32768.jpg?v=1666022946")</f>
        <v>#NAME?</v>
      </c>
      <c r="H4601" t="e">
        <f ca="1">_xludf.IMAGE("https://m.media-amazon.com/images/I/41MLWTR6goL._AC_UL320_.jpg")</f>
        <v>#NAME?</v>
      </c>
      <c r="I4601" t="s">
        <v>2784</v>
      </c>
      <c r="J4601">
        <v>7.99</v>
      </c>
      <c r="K4601" s="4">
        <v>-0.46629999999999999</v>
      </c>
      <c r="L4601">
        <v>4.5</v>
      </c>
      <c r="M4601">
        <v>1251</v>
      </c>
      <c r="O4601" t="s">
        <v>25</v>
      </c>
      <c r="P4601" t="s">
        <v>854</v>
      </c>
      <c r="Q4601" t="s">
        <v>6442</v>
      </c>
    </row>
    <row r="4602" spans="1:17" ht="15.5" x14ac:dyDescent="0.35">
      <c r="A4602" s="3" t="str">
        <f>HYPERLINK("https://edmondsonsupply.com/collections/electricians-tools/products/milwaukee-48-40-4515-8-circular-saw-metal-cutting-blade-42t", "https://edmondsonsupply.com/collections/electricians-tools/products/milwaukee-48-40-4515-8-circular-saw-metal-cutting-blade-42t")</f>
        <v>https://edmondsonsupply.com/collections/electricians-tools/products/milwaukee-48-40-4515-8-circular-saw-metal-cutting-blade-42t</v>
      </c>
      <c r="B4602" s="3" t="str">
        <f>HYPERLINK("https://edmondsonsupply.com/products/milwaukee-48-40-4515-8-circular-saw-metal-cutting-blade-42t", "https://edmondsonsupply.com/products/milwaukee-48-40-4515-8-circular-saw-metal-cutting-blade-42t")</f>
        <v>https://edmondsonsupply.com/products/milwaukee-48-40-4515-8-circular-saw-metal-cutting-blade-42t</v>
      </c>
      <c r="C4602" t="s">
        <v>5194</v>
      </c>
      <c r="D4602" t="s">
        <v>5544</v>
      </c>
      <c r="E4602" s="3" t="str">
        <f>HYPERLINK("https://www.amazon.com/Milwaukee-48-40-4225-Circular-Metal-Cutting/dp/B09F72V5K9/ref=sr_1_8?keywords=Milwaukee+48-40-4515+8%22+Circular+Saw+Metal+Cutting+Blade-+42T&amp;qid=1695174000&amp;sr=8-8", "https://www.amazon.com/Milwaukee-48-40-4225-Circular-Metal-Cutting/dp/B09F72V5K9/ref=sr_1_8?keywords=Milwaukee+48-40-4515+8%22+Circular+Saw+Metal+Cutting+Blade-+42T&amp;qid=1695174000&amp;sr=8-8")</f>
        <v>https://www.amazon.com/Milwaukee-48-40-4225-Circular-Metal-Cutting/dp/B09F72V5K9/ref=sr_1_8?keywords=Milwaukee+48-40-4515+8%22+Circular+Saw+Metal+Cutting+Blade-+42T&amp;qid=1695174000&amp;sr=8-8</v>
      </c>
      <c r="F4602" t="s">
        <v>5545</v>
      </c>
      <c r="G4602" t="e">
        <f ca="1">_xludf.IMAGE("https://edmondsonsupply.com/cdn/shop/files/48-40-4515_1.png?v=1687444386")</f>
        <v>#NAME?</v>
      </c>
      <c r="H4602" t="e">
        <f ca="1">_xludf.IMAGE("https://m.media-amazon.com/images/I/61-wUpbNXxL._AC_UL320_.jpg")</f>
        <v>#NAME?</v>
      </c>
      <c r="I4602" t="s">
        <v>5197</v>
      </c>
      <c r="J4602">
        <v>32</v>
      </c>
      <c r="K4602" s="4">
        <v>-0.46639999999999998</v>
      </c>
      <c r="L4602">
        <v>4.5999999999999996</v>
      </c>
      <c r="M4602">
        <v>3</v>
      </c>
      <c r="O4602" t="s">
        <v>25</v>
      </c>
      <c r="P4602" t="s">
        <v>5198</v>
      </c>
      <c r="Q4602" t="s">
        <v>5199</v>
      </c>
    </row>
    <row r="4603" spans="1:17" ht="15.5" x14ac:dyDescent="0.35">
      <c r="A4603"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4603" s="3" t="str">
        <f>HYPERLINK("https://edmondsonsupply.com/products/klein-tools-32800-6-in-1-multi-nut-driver-heavy-duty", "https://edmondsonsupply.com/products/klein-tools-32800-6-in-1-multi-nut-driver-heavy-duty")</f>
        <v>https://edmondsonsupply.com/products/klein-tools-32800-6-in-1-multi-nut-driver-heavy-duty</v>
      </c>
      <c r="C4603" t="s">
        <v>8108</v>
      </c>
      <c r="D4603" t="s">
        <v>9047</v>
      </c>
      <c r="E4603" s="3" t="str">
        <f>HYPERLINK("https://www.amazon.com/Multibit-Screwdriver-Klein-Tools-32559/dp/B005FQDHDG/ref=sr_1_3?keywords=Klein+Tools+32800+6-in-1+6-in-1+Multi-Bit+Nut+Driver%2C+Heavy+Duty&amp;qid=1695174226&amp;sr=8-3", "https://www.amazon.com/Multibit-Screwdriver-Klein-Tools-32559/dp/B005FQDHDG/ref=sr_1_3?keywords=Klein+Tools+32800+6-in-1+6-in-1+Multi-Bit+Nut+Driver%2C+Heavy+Duty&amp;qid=1695174226&amp;sr=8-3")</f>
        <v>https://www.amazon.com/Multibit-Screwdriver-Klein-Tools-32559/dp/B005FQDHDG/ref=sr_1_3?keywords=Klein+Tools+32800+6-in-1+6-in-1+Multi-Bit+Nut+Driver%2C+Heavy+Duty&amp;qid=1695174226&amp;sr=8-3</v>
      </c>
      <c r="F4603" t="s">
        <v>9048</v>
      </c>
      <c r="G4603" t="e">
        <f ca="1">_xludf.IMAGE("https://edmondsonsupply.com/cdn/shop/products/32800_alt2.jpg?v=1646595019")</f>
        <v>#NAME?</v>
      </c>
      <c r="H4603" t="e">
        <f ca="1">_xludf.IMAGE("https://m.media-amazon.com/images/I/514peoSo7EL._AC_UL320_.jpg")</f>
        <v>#NAME?</v>
      </c>
      <c r="I4603" t="s">
        <v>26</v>
      </c>
      <c r="J4603">
        <v>15.97</v>
      </c>
      <c r="K4603" s="4">
        <v>-0.46750000000000003</v>
      </c>
      <c r="L4603">
        <v>4.8</v>
      </c>
      <c r="M4603">
        <v>2201</v>
      </c>
      <c r="O4603" t="s">
        <v>25</v>
      </c>
      <c r="P4603" t="s">
        <v>8111</v>
      </c>
      <c r="Q4603" t="s">
        <v>8112</v>
      </c>
    </row>
    <row r="4604" spans="1:17" ht="15.5" x14ac:dyDescent="0.35">
      <c r="A4604"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4604" s="3" t="str">
        <f>HYPERLINK("https://edmondsonsupply.com/products/fluke-373-true-rms-ac-clamp-meter", "https://edmondsonsupply.com/products/fluke-373-true-rms-ac-clamp-meter")</f>
        <v>https://edmondsonsupply.com/products/fluke-373-true-rms-ac-clamp-meter</v>
      </c>
      <c r="C4604" t="s">
        <v>5826</v>
      </c>
      <c r="D4604" t="s">
        <v>9049</v>
      </c>
      <c r="E4604" s="3" t="str">
        <f>HYPERLINK("https://www.amazon.com/FLUKE-362-True-rms-Clamp-Meter/dp/B00L7KZYSA/ref=sr_1_6?keywords=Fluke+373+True-RMS+AC+Clamp+Meter&amp;qid=1695173996&amp;sr=8-6", "https://www.amazon.com/FLUKE-362-True-rms-Clamp-Meter/dp/B00L7KZYSA/ref=sr_1_6?keywords=Fluke+373+True-RMS+AC+Clamp+Meter&amp;qid=1695173996&amp;sr=8-6")</f>
        <v>https://www.amazon.com/FLUKE-362-True-rms-Clamp-Meter/dp/B00L7KZYSA/ref=sr_1_6?keywords=Fluke+373+True-RMS+AC+Clamp+Meter&amp;qid=1695173996&amp;sr=8-6</v>
      </c>
      <c r="F4604" t="s">
        <v>9050</v>
      </c>
      <c r="G4604" t="e">
        <f ca="1">_xludf.IMAGE("https://edmondsonsupply.com/cdn/shop/files/f-373-01d-1500x1000.webp?v=1689369435")</f>
        <v>#NAME?</v>
      </c>
      <c r="H4604" t="e">
        <f ca="1">_xludf.IMAGE("https://m.media-amazon.com/images/I/21slynZmYNL._AC_UY218_.jpg")</f>
        <v>#NAME?</v>
      </c>
      <c r="I4604" t="s">
        <v>5829</v>
      </c>
      <c r="J4604">
        <v>154</v>
      </c>
      <c r="K4604" s="4">
        <v>-0.46910000000000002</v>
      </c>
      <c r="L4604">
        <v>4.5</v>
      </c>
      <c r="M4604">
        <v>141</v>
      </c>
      <c r="O4604" t="s">
        <v>25</v>
      </c>
      <c r="P4604" t="s">
        <v>138</v>
      </c>
      <c r="Q4604" t="s">
        <v>5830</v>
      </c>
    </row>
    <row r="4605" spans="1:17" ht="15.5" x14ac:dyDescent="0.35">
      <c r="A4605" s="3" t="str">
        <f>HYPERLINK("https://edmondsonsupply.com/collections/electricians-tools/products/milwaukee-2553-22", "https://edmondsonsupply.com/collections/electricians-tools/products/milwaukee-2553-22")</f>
        <v>https://edmondsonsupply.com/collections/electricians-tools/products/milwaukee-2553-22</v>
      </c>
      <c r="B4605" s="3" t="str">
        <f>HYPERLINK("https://edmondsonsupply.com/products/milwaukee-2553-22", "https://edmondsonsupply.com/products/milwaukee-2553-22")</f>
        <v>https://edmondsonsupply.com/products/milwaukee-2553-22</v>
      </c>
      <c r="C4605" t="s">
        <v>6686</v>
      </c>
      <c r="D4605" t="s">
        <v>8972</v>
      </c>
      <c r="E4605" s="3" t="str">
        <f>HYPERLINK("https://www.amazon.com/Milwaukee-Electric-Tools-MLW2553-20-Impact/dp/B077ZYMK1W/ref=sr_1_5?keywords=Milwaukee+2553-22+M12+FUEL%E2%84%A2+1%2F4%22+Hex+Impact+Driver+Kit&amp;qid=1695174118&amp;sr=8-5", "https://www.amazon.com/Milwaukee-Electric-Tools-MLW2553-20-Impact/dp/B077ZYMK1W/ref=sr_1_5?keywords=Milwaukee+2553-22+M12+FUEL%E2%84%A2+1%2F4%22+Hex+Impact+Driver+Kit&amp;qid=1695174118&amp;sr=8-5")</f>
        <v>https://www.amazon.com/Milwaukee-Electric-Tools-MLW2553-20-Impact/dp/B077ZYMK1W/ref=sr_1_5?keywords=Milwaukee+2553-22+M12+FUEL%E2%84%A2+1%2F4%22+Hex+Impact+Driver+Kit&amp;qid=1695174118&amp;sr=8-5</v>
      </c>
      <c r="F4605" t="s">
        <v>8973</v>
      </c>
      <c r="G4605" t="e">
        <f ca="1">_xludf.IMAGE("https://edmondsonsupply.com/cdn/shop/products/2553-22_Kit.webp?v=1668445129")</f>
        <v>#NAME?</v>
      </c>
      <c r="H4605" t="e">
        <f ca="1">_xludf.IMAGE("https://m.media-amazon.com/images/I/71gozUvKj2L._AC_UL320_.jpg")</f>
        <v>#NAME?</v>
      </c>
      <c r="I4605" t="s">
        <v>6689</v>
      </c>
      <c r="J4605">
        <v>88.99</v>
      </c>
      <c r="K4605" s="4">
        <v>-0.47339999999999999</v>
      </c>
      <c r="L4605">
        <v>4.8</v>
      </c>
      <c r="M4605">
        <v>2987</v>
      </c>
      <c r="O4605" t="s">
        <v>25</v>
      </c>
      <c r="P4605" t="s">
        <v>5012</v>
      </c>
      <c r="Q4605" t="s">
        <v>6690</v>
      </c>
    </row>
    <row r="4606" spans="1:17" ht="15.5" x14ac:dyDescent="0.35">
      <c r="A4606"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4606" s="3" t="str">
        <f>HYPERLINK("https://edmondsonsupply.com/products/klein-tools-j20017ne-heavy-duty-linemans-pliers-7-inch", "https://edmondsonsupply.com/products/klein-tools-j20017ne-heavy-duty-linemans-pliers-7-inch")</f>
        <v>https://edmondsonsupply.com/products/klein-tools-j20017ne-heavy-duty-linemans-pliers-7-inch</v>
      </c>
      <c r="C4606" t="s">
        <v>8097</v>
      </c>
      <c r="D4606" t="s">
        <v>9051</v>
      </c>
      <c r="E4606" s="3" t="str">
        <f>HYPERLINK("https://www.amazon.com/Diagonal-Cutting-Tapered-Klein-Tools-D220-7/dp/B0002RI9M2/ref=sr_1_10?keywords=Klein+Tools+J20017NE+Heavy-Duty+Lineman%27s+Pliers%2C+7-Inch&amp;qid=1695174165&amp;sr=8-10", "https://www.amazon.com/Diagonal-Cutting-Tapered-Klein-Tools-D220-7/dp/B0002RI9M2/ref=sr_1_10?keywords=Klein+Tools+J20017NE+Heavy-Duty+Lineman%27s+Pliers%2C+7-Inch&amp;qid=1695174165&amp;sr=8-10")</f>
        <v>https://www.amazon.com/Diagonal-Cutting-Tapered-Klein-Tools-D220-7/dp/B0002RI9M2/ref=sr_1_10?keywords=Klein+Tools+J20017NE+Heavy-Duty+Lineman%27s+Pliers%2C+7-Inch&amp;qid=1695174165&amp;sr=8-10</v>
      </c>
      <c r="F4606" t="s">
        <v>9052</v>
      </c>
      <c r="G4606" t="e">
        <f ca="1">_xludf.IMAGE("https://edmondsonsupply.com/cdn/shop/products/j20017ne.jpg?v=1662669673")</f>
        <v>#NAME?</v>
      </c>
      <c r="H4606" t="e">
        <f ca="1">_xludf.IMAGE("https://m.media-amazon.com/images/I/51gNINm2i-L._AC_UL320_.jpg")</f>
        <v>#NAME?</v>
      </c>
      <c r="I4606" t="s">
        <v>269</v>
      </c>
      <c r="J4606">
        <v>28.93</v>
      </c>
      <c r="K4606" s="4">
        <v>-0.47389999999999999</v>
      </c>
      <c r="L4606">
        <v>4.7</v>
      </c>
      <c r="M4606">
        <v>241</v>
      </c>
      <c r="O4606" t="s">
        <v>25</v>
      </c>
      <c r="P4606" t="s">
        <v>8100</v>
      </c>
      <c r="Q4606" t="s">
        <v>8101</v>
      </c>
    </row>
    <row r="4607" spans="1:17" ht="15.5" x14ac:dyDescent="0.35">
      <c r="A4607" s="3" t="str">
        <f>HYPERLINK("https://edmondsonsupply.com/collections/electricians-tools/products/greenlee-gsb12-1-3-8-step-bit-12", "https://edmondsonsupply.com/collections/electricians-tools/products/greenlee-gsb12-1-3-8-step-bit-12")</f>
        <v>https://edmondsonsupply.com/collections/electricians-tools/products/greenlee-gsb12-1-3-8-step-bit-12</v>
      </c>
      <c r="B4607" s="3" t="str">
        <f>HYPERLINK("https://edmondsonsupply.com/products/greenlee-gsb12-1-3-8-step-bit-12", "https://edmondsonsupply.com/products/greenlee-gsb12-1-3-8-step-bit-12")</f>
        <v>https://edmondsonsupply.com/products/greenlee-gsb12-1-3-8-step-bit-12</v>
      </c>
      <c r="C4607" t="s">
        <v>5549</v>
      </c>
      <c r="D4607" t="s">
        <v>3245</v>
      </c>
      <c r="E4607" s="3" t="str">
        <f>HYPERLINK("https://www.amazon.com/Greenlee-GSB12-Step-Bit-1-3/dp/B08TVF7KMP/ref=sr_1_1?keywords=Greenlee+GSB12+1-3%2F8%22+Step+Bit+%28%2312%29&amp;qid=1695174001&amp;sr=8-1", "https://www.amazon.com/Greenlee-GSB12-Step-Bit-1-3/dp/B08TVF7KMP/ref=sr_1_1?keywords=Greenlee+GSB12+1-3%2F8%22+Step+Bit+%28%2312%29&amp;qid=1695174001&amp;sr=8-1")</f>
        <v>https://www.amazon.com/Greenlee-GSB12-Step-Bit-1-3/dp/B08TVF7KMP/ref=sr_1_1?keywords=Greenlee+GSB12+1-3%2F8%22+Step+Bit+%28%2312%29&amp;qid=1695174001&amp;sr=8-1</v>
      </c>
      <c r="F4607" t="s">
        <v>3246</v>
      </c>
      <c r="G4607" t="e">
        <f ca="1">_xludf.IMAGE("https://edmondsonsupply.com/cdn/shop/files/GSB12_CAT1_72dpi.jpg?v=1687789899")</f>
        <v>#NAME?</v>
      </c>
      <c r="H4607" t="e">
        <f ca="1">_xludf.IMAGE("https://m.media-amazon.com/images/I/41Z8kxeeZfL._AC_UY218_.jpg")</f>
        <v>#NAME?</v>
      </c>
      <c r="I4607" t="s">
        <v>5550</v>
      </c>
      <c r="J4607">
        <v>45</v>
      </c>
      <c r="K4607" s="4">
        <v>-0.47549999999999998</v>
      </c>
      <c r="L4607">
        <v>4.8</v>
      </c>
      <c r="M4607">
        <v>27</v>
      </c>
      <c r="O4607" t="s">
        <v>25</v>
      </c>
      <c r="P4607" t="s">
        <v>5551</v>
      </c>
      <c r="Q4607" t="s">
        <v>5552</v>
      </c>
    </row>
    <row r="4608" spans="1:17" ht="15.5" x14ac:dyDescent="0.35">
      <c r="A4608"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4608"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4608" t="s">
        <v>7148</v>
      </c>
      <c r="D4608" t="s">
        <v>8998</v>
      </c>
      <c r="E4608" s="3" t="str">
        <f>HYPERLINK("https://www.amazon.com/Wiss-M2R-Compound-Action-Straight/dp/B00002N5KP/ref=sr_1_3?keywords=Crescent+Wiss+M7P+9-1%2F4%22+Offset+Straight+and+Right+Cut+Aviation+Snips&amp;qid=1695174041&amp;sr=8-3", "https://www.amazon.com/Wiss-M2R-Compound-Action-Straight/dp/B00002N5KP/ref=sr_1_3?keywords=Crescent+Wiss+M7P+9-1%2F4%22+Offset+Straight+and+Right+Cut+Aviation+Snips&amp;qid=1695174041&amp;sr=8-3")</f>
        <v>https://www.amazon.com/Wiss-M2R-Compound-Action-Straight/dp/B00002N5KP/ref=sr_1_3?keywords=Crescent+Wiss+M7P+9-1%2F4%22+Offset+Straight+and+Right+Cut+Aviation+Snips&amp;qid=1695174041&amp;sr=8-3</v>
      </c>
      <c r="F4608" t="s">
        <v>8999</v>
      </c>
      <c r="G4608" t="e">
        <f ca="1">_xludf.IMAGE("https://edmondsonsupply.com/cdn/shop/products/WIS_M7P_IMG_ANG_01.jpg?v=1679669941")</f>
        <v>#NAME?</v>
      </c>
      <c r="H4608" t="e">
        <f ca="1">_xludf.IMAGE("https://m.media-amazon.com/images/I/71ObA+hcEeL._AC_UL320_.jpg")</f>
        <v>#NAME?</v>
      </c>
      <c r="I4608" t="s">
        <v>1589</v>
      </c>
      <c r="J4608">
        <v>12</v>
      </c>
      <c r="K4608" s="4">
        <v>-0.47799999999999998</v>
      </c>
      <c r="L4608">
        <v>4.5999999999999996</v>
      </c>
      <c r="M4608">
        <v>723</v>
      </c>
      <c r="O4608" t="s">
        <v>25</v>
      </c>
      <c r="P4608" t="s">
        <v>7144</v>
      </c>
      <c r="Q4608" t="s">
        <v>7149</v>
      </c>
    </row>
    <row r="4609" spans="1:17" ht="15.5" x14ac:dyDescent="0.35">
      <c r="A4609"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4609"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4609" t="s">
        <v>7146</v>
      </c>
      <c r="D4609" t="s">
        <v>9000</v>
      </c>
      <c r="E4609" s="3" t="str">
        <f>HYPERLINK("https://www.amazon.com/Wiss-M1R-MetalMaster-Capacity-Straight/dp/B00002N5KO/ref=sr_1_3?keywords=Crescent+Wiss+M6P+9-1%2F4%22+Offset+Straight+and+Left+Cut+Aviation+Snips&amp;qid=1695174043&amp;sr=8-3", "https://www.amazon.com/Wiss-M1R-MetalMaster-Capacity-Straight/dp/B00002N5KO/ref=sr_1_3?keywords=Crescent+Wiss+M6P+9-1%2F4%22+Offset+Straight+and+Left+Cut+Aviation+Snips&amp;qid=1695174043&amp;sr=8-3")</f>
        <v>https://www.amazon.com/Wiss-M1R-MetalMaster-Capacity-Straight/dp/B00002N5KO/ref=sr_1_3?keywords=Crescent+Wiss+M6P+9-1%2F4%22+Offset+Straight+and+Left+Cut+Aviation+Snips&amp;qid=1695174043&amp;sr=8-3</v>
      </c>
      <c r="F4609" t="s">
        <v>9001</v>
      </c>
      <c r="G4609" t="e">
        <f ca="1">_xludf.IMAGE("https://edmondsonsupply.com/cdn/shop/products/WIS_M6P_IMG_MAIN_01.jpg?v=1679497499")</f>
        <v>#NAME?</v>
      </c>
      <c r="H4609" t="e">
        <f ca="1">_xludf.IMAGE("https://m.media-amazon.com/images/I/61SRWhDt0pL._AC_UL320_.jpg")</f>
        <v>#NAME?</v>
      </c>
      <c r="I4609" t="s">
        <v>1589</v>
      </c>
      <c r="J4609">
        <v>12</v>
      </c>
      <c r="K4609" s="4">
        <v>-0.47799999999999998</v>
      </c>
      <c r="L4609">
        <v>4.5999999999999996</v>
      </c>
      <c r="M4609">
        <v>1075</v>
      </c>
      <c r="O4609" t="s">
        <v>25</v>
      </c>
      <c r="P4609" t="s">
        <v>7144</v>
      </c>
      <c r="Q4609" t="s">
        <v>7147</v>
      </c>
    </row>
    <row r="4610" spans="1:17" ht="15.5" x14ac:dyDescent="0.35">
      <c r="A4610" s="3" t="str">
        <f>HYPERLINK("https://edmondsonsupply.com/collections/electricians-tools/products/milwaukee-48-03-3012-sds-max-to-spline-adapter", "https://edmondsonsupply.com/collections/electricians-tools/products/milwaukee-48-03-3012-sds-max-to-spline-adapter")</f>
        <v>https://edmondsonsupply.com/collections/electricians-tools/products/milwaukee-48-03-3012-sds-max-to-spline-adapter</v>
      </c>
      <c r="B4610" s="3" t="str">
        <f>HYPERLINK("https://edmondsonsupply.com/products/milwaukee-48-03-3012-sds-max-to-spline-adapter", "https://edmondsonsupply.com/products/milwaukee-48-03-3012-sds-max-to-spline-adapter")</f>
        <v>https://edmondsonsupply.com/products/milwaukee-48-03-3012-sds-max-to-spline-adapter</v>
      </c>
      <c r="C4610" t="s">
        <v>7528</v>
      </c>
      <c r="D4610" t="s">
        <v>7341</v>
      </c>
      <c r="E4610" s="3" t="str">
        <f>HYPERLINK("https://www.amazon.com/Milwaukee-48-03-3564-12-Inch-Spline-Adapter/dp/B0009H5R6Q/ref=sr_1_6?keywords=Milwaukee+48-03-3012+SDS-MAX+to+Spline+Bit+Adapter&amp;qid=1695174085&amp;sr=8-6", "https://www.amazon.com/Milwaukee-48-03-3564-12-Inch-Spline-Adapter/dp/B0009H5R6Q/ref=sr_1_6?keywords=Milwaukee+48-03-3012+SDS-MAX+to+Spline+Bit+Adapter&amp;qid=1695174085&amp;sr=8-6")</f>
        <v>https://www.amazon.com/Milwaukee-48-03-3564-12-Inch-Spline-Adapter/dp/B0009H5R6Q/ref=sr_1_6?keywords=Milwaukee+48-03-3012+SDS-MAX+to+Spline+Bit+Adapter&amp;qid=1695174085&amp;sr=8-6</v>
      </c>
      <c r="F4610" t="s">
        <v>7342</v>
      </c>
      <c r="G4610" t="e">
        <f ca="1">_xludf.IMAGE("https://edmondsonsupply.com/cdn/shop/products/48-03-3012.jpg?v=1674074396")</f>
        <v>#NAME?</v>
      </c>
      <c r="H4610" t="e">
        <f ca="1">_xludf.IMAGE("https://m.media-amazon.com/images/I/2157CNN6DQL._AC_UL320_.jpg")</f>
        <v>#NAME?</v>
      </c>
      <c r="I4610" t="s">
        <v>7529</v>
      </c>
      <c r="J4610">
        <v>73.88</v>
      </c>
      <c r="K4610" s="4">
        <v>-0.4793</v>
      </c>
      <c r="L4610">
        <v>1</v>
      </c>
      <c r="M4610">
        <v>1</v>
      </c>
      <c r="O4610" t="s">
        <v>25</v>
      </c>
      <c r="P4610" t="s">
        <v>7530</v>
      </c>
      <c r="Q4610" t="s">
        <v>7531</v>
      </c>
    </row>
    <row r="4611" spans="1:17" ht="15.5" x14ac:dyDescent="0.35">
      <c r="A4611"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611"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611" t="s">
        <v>8522</v>
      </c>
      <c r="D4611" t="s">
        <v>7541</v>
      </c>
      <c r="E4611" s="3" t="str">
        <f>HYPERLINK("https://www.amazon.com/Diablo-DOU350RBGP-Universal-Bi-Metal-Oscillating/dp/B089LLG8ZQ/ref=sr_1_10?keywords=Diablo+Tools+DOU125BF3+1-1%2F4+in.+Universal+Fit+Bi-Metal+Oscillating+Blade+for+Metal+%283+pack%29&amp;qid=1695174014&amp;sr=8-10", "https://www.amazon.com/Diablo-DOU350RBGP-Universal-Bi-Metal-Oscillating/dp/B089LLG8ZQ/ref=sr_1_10?keywords=Diablo+Tools+DOU125BF3+1-1%2F4+in.+Universal+Fit+Bi-Metal+Oscillating+Blade+for+Metal+%283+pack%29&amp;qid=1695174014&amp;sr=8-10")</f>
        <v>https://www.amazon.com/Diablo-DOU350RBGP-Universal-Bi-Metal-Oscillating/dp/B089LLG8ZQ/ref=sr_1_10?keywords=Diablo+Tools+DOU125BF3+1-1%2F4+in.+Universal+Fit+Bi-Metal+Oscillating+Blade+for+Metal+%283+pack%29&amp;qid=1695174014&amp;sr=8-10</v>
      </c>
      <c r="F4611" t="s">
        <v>7542</v>
      </c>
      <c r="G4611" t="e">
        <f ca="1">_xludf.IMAGE("https://edmondsonsupply.com/cdn/shop/files/k1d1qiwmm4npznsdbwtg_4dc7bdf3-43a4-4863-8a1d-f71b60bc7c6d.webp?v=1685468179")</f>
        <v>#NAME?</v>
      </c>
      <c r="H4611" t="e">
        <f ca="1">_xludf.IMAGE("https://m.media-amazon.com/images/I/71xBW7MA1oL._AC_UL320_.jpg")</f>
        <v>#NAME?</v>
      </c>
      <c r="I4611" t="s">
        <v>340</v>
      </c>
      <c r="J4611">
        <v>18.2</v>
      </c>
      <c r="K4611" s="4">
        <v>-0.47960000000000003</v>
      </c>
      <c r="L4611">
        <v>4.4000000000000004</v>
      </c>
      <c r="M4611">
        <v>8</v>
      </c>
      <c r="O4611" t="s">
        <v>25</v>
      </c>
      <c r="P4611" t="s">
        <v>8520</v>
      </c>
      <c r="Q4611" t="s">
        <v>8523</v>
      </c>
    </row>
    <row r="4612" spans="1:17" ht="15.5" x14ac:dyDescent="0.35">
      <c r="A4612" s="3" t="str">
        <f>HYPERLINK("https://edmondsonsupply.com/collections/electricians-tools/products/milwaukee-48-25-2122", "https://edmondsonsupply.com/collections/electricians-tools/products/milwaukee-48-25-2122")</f>
        <v>https://edmondsonsupply.com/collections/electricians-tools/products/milwaukee-48-25-2122</v>
      </c>
      <c r="B4612" s="3" t="str">
        <f>HYPERLINK("https://edmondsonsupply.com/products/milwaukee-48-25-2122", "https://edmondsonsupply.com/products/milwaukee-48-25-2122")</f>
        <v>https://edmondsonsupply.com/products/milwaukee-48-25-2122</v>
      </c>
      <c r="C4612" t="s">
        <v>3381</v>
      </c>
      <c r="D4612" t="s">
        <v>5558</v>
      </c>
      <c r="E4612" s="3" t="str">
        <f>HYPERLINK("https://www.amazon.com/Builders-Wholesale-Distribution-48-25-2122-Milwaukee/dp/B009HEHTMM/ref=sr_1_2?keywords=Milwaukee+48-25-2122+Standard+Selfeed+Bit%2C+2-1%2F8%22&amp;qid=1695174005&amp;sr=8-2", "https://www.amazon.com/Builders-Wholesale-Distribution-48-25-2122-Milwaukee/dp/B009HEHTMM/ref=sr_1_2?keywords=Milwaukee+48-25-2122+Standard+Selfeed+Bit%2C+2-1%2F8%22&amp;qid=1695174005&amp;sr=8-2")</f>
        <v>https://www.amazon.com/Builders-Wholesale-Distribution-48-25-2122-Milwaukee/dp/B009HEHTMM/ref=sr_1_2?keywords=Milwaukee+48-25-2122+Standard+Selfeed+Bit%2C+2-1%2F8%22&amp;qid=1695174005&amp;sr=8-2</v>
      </c>
      <c r="F4612" t="s">
        <v>5559</v>
      </c>
      <c r="G4612" t="e">
        <f ca="1">_xludf.IMAGE("https://edmondsonsupply.com/cdn/shop/files/64170_48-25-1372_1-lg.gif?v=1687367768")</f>
        <v>#NAME?</v>
      </c>
      <c r="H4612" t="e">
        <f ca="1">_xludf.IMAGE("https://m.media-amazon.com/images/I/71adYVeRVNL._AC_UL320_.jpg")</f>
        <v>#NAME?</v>
      </c>
      <c r="I4612" t="s">
        <v>380</v>
      </c>
      <c r="J4612">
        <v>25.95</v>
      </c>
      <c r="K4612" s="4">
        <v>-0.48070000000000002</v>
      </c>
      <c r="L4612">
        <v>4.4000000000000004</v>
      </c>
      <c r="M4612">
        <v>78</v>
      </c>
      <c r="O4612" t="s">
        <v>25</v>
      </c>
      <c r="P4612" t="s">
        <v>138</v>
      </c>
      <c r="Q4612" t="s">
        <v>3384</v>
      </c>
    </row>
    <row r="4613" spans="1:17" ht="15.5" x14ac:dyDescent="0.35">
      <c r="A4613"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4613"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4613" t="s">
        <v>5837</v>
      </c>
      <c r="D4613" t="s">
        <v>5298</v>
      </c>
      <c r="E4613" s="3" t="str">
        <f>HYPERLINK("https://www.amazon.com/Diablo-SDS-Max-4-Cutter-Carbide-Hammer/dp/B089KWFF8B/ref=sr_1_9?keywords=Diablo+Tools+DMAMXCC5010+2+in.+x+7+in.+SDS-Max+Carbide+Tipped+Core+Bit&amp;qid=1695174008&amp;sr=8-9", "https://www.amazon.com/Diablo-SDS-Max-4-Cutter-Carbide-Hammer/dp/B089KWFF8B/ref=sr_1_9?keywords=Diablo+Tools+DMAMXCC5010+2+in.+x+7+in.+SDS-Max+Carbide+Tipped+Core+Bit&amp;qid=1695174008&amp;sr=8-9")</f>
        <v>https://www.amazon.com/Diablo-SDS-Max-4-Cutter-Carbide-Hammer/dp/B089KWFF8B/ref=sr_1_9?keywords=Diablo+Tools+DMAMXCC5010+2+in.+x+7+in.+SDS-Max+Carbide+Tipped+Core+Bit&amp;qid=1695174008&amp;sr=8-9</v>
      </c>
      <c r="F4613" t="s">
        <v>5299</v>
      </c>
      <c r="G4613" t="e">
        <f ca="1">_xludf.IMAGE("https://edmondsonsupply.com/cdn/shop/files/kbs61qpkymnshwvx13k1.webp?v=1686583113")</f>
        <v>#NAME?</v>
      </c>
      <c r="H4613" t="e">
        <f ca="1">_xludf.IMAGE("https://m.media-amazon.com/images/I/611fTcYRNFL._AC_UL320_.jpg")</f>
        <v>#NAME?</v>
      </c>
      <c r="I4613" t="s">
        <v>5840</v>
      </c>
      <c r="J4613">
        <v>52.26</v>
      </c>
      <c r="K4613" s="4">
        <v>-0.48509999999999998</v>
      </c>
      <c r="L4613">
        <v>3.5</v>
      </c>
      <c r="M4613">
        <v>3</v>
      </c>
      <c r="O4613" t="s">
        <v>25</v>
      </c>
      <c r="P4613" t="s">
        <v>5841</v>
      </c>
      <c r="Q4613" t="s">
        <v>5842</v>
      </c>
    </row>
    <row r="4614" spans="1:17" ht="15.5" x14ac:dyDescent="0.35">
      <c r="A4614"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4614" s="3" t="str">
        <f>HYPERLINK("https://edmondsonsupply.com/products/diablo-tools-dmapl2530-1-in-x-16-in-x-18-in-sds-plus-2-cutter", "https://edmondsonsupply.com/products/diablo-tools-dmapl2530-1-in-x-16-in-x-18-in-sds-plus-2-cutter")</f>
        <v>https://edmondsonsupply.com/products/diablo-tools-dmapl2530-1-in-x-16-in-x-18-in-sds-plus-2-cutter</v>
      </c>
      <c r="C4614" t="s">
        <v>7435</v>
      </c>
      <c r="D4614" t="s">
        <v>9053</v>
      </c>
      <c r="E4614" s="3" t="str">
        <f>HYPERLINK("https://www.amazon.com/Diablo-DMAPL2250-16-SDS-Plus-2-Cutter/dp/B089KW3B6T/ref=sr_1_4?keywords=Diablo+Tools+DMAPL2530+1+in.+x+16+in.+x+18+in.+SDS-Plus+2-Cutter&amp;qid=1695174263&amp;sr=8-4", "https://www.amazon.com/Diablo-DMAPL2250-16-SDS-Plus-2-Cutter/dp/B089KW3B6T/ref=sr_1_4?keywords=Diablo+Tools+DMAPL2530+1+in.+x+16+in.+x+18+in.+SDS-Plus+2-Cutter&amp;qid=1695174263&amp;sr=8-4")</f>
        <v>https://www.amazon.com/Diablo-DMAPL2250-16-SDS-Plus-2-Cutter/dp/B089KW3B6T/ref=sr_1_4?keywords=Diablo+Tools+DMAPL2530+1+in.+x+16+in.+x+18+in.+SDS-Plus+2-Cutter&amp;qid=1695174263&amp;sr=8-4</v>
      </c>
      <c r="F4614" t="s">
        <v>9054</v>
      </c>
      <c r="G4614" t="e">
        <f ca="1">_xludf.IMAGE("https://edmondsonsupply.com/cdn/shop/products/DMAPL2530_Main-Image20200703.png?v=1627068300")</f>
        <v>#NAME?</v>
      </c>
      <c r="H4614" t="e">
        <f ca="1">_xludf.IMAGE("https://m.media-amazon.com/images/I/61JRNqT4IHL._AC_UL320_.jpg")</f>
        <v>#NAME?</v>
      </c>
      <c r="I4614" t="s">
        <v>7436</v>
      </c>
      <c r="J4614">
        <v>19.989999999999998</v>
      </c>
      <c r="K4614" s="4">
        <v>-0.48699999999999999</v>
      </c>
      <c r="L4614">
        <v>4.9000000000000004</v>
      </c>
      <c r="M4614">
        <v>8</v>
      </c>
      <c r="O4614" t="s">
        <v>25</v>
      </c>
      <c r="P4614" t="s">
        <v>7437</v>
      </c>
      <c r="Q4614" t="s">
        <v>7438</v>
      </c>
    </row>
    <row r="4615" spans="1:17" ht="15.5" x14ac:dyDescent="0.35">
      <c r="A4615"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4615" s="3" t="str">
        <f>HYPERLINK("https://edmondsonsupply.com/products/amprobe-thwd-3-relative-humidity-temperature-meter", "https://edmondsonsupply.com/products/amprobe-thwd-3-relative-humidity-temperature-meter")</f>
        <v>https://edmondsonsupply.com/products/amprobe-thwd-3-relative-humidity-temperature-meter</v>
      </c>
      <c r="C4615" t="s">
        <v>7258</v>
      </c>
      <c r="D4615" t="s">
        <v>9055</v>
      </c>
      <c r="E4615" s="3" t="str">
        <f>HYPERLINK("https://www.amazon.com/Amprobe-TH-1-Compact-Relative-Humidity/dp/B0029XQB9U/ref=sr_1_6?keywords=Amprobe+THWD-3+Relative+Humidity+Temperature+Meter&amp;qid=1695174239&amp;sr=8-6", "https://www.amazon.com/Amprobe-TH-1-Compact-Relative-Humidity/dp/B0029XQB9U/ref=sr_1_6?keywords=Amprobe+THWD-3+Relative+Humidity+Temperature+Meter&amp;qid=1695174239&amp;sr=8-6")</f>
        <v>https://www.amazon.com/Amprobe-TH-1-Compact-Relative-Humidity/dp/B0029XQB9U/ref=sr_1_6?keywords=Amprobe+THWD-3+Relative+Humidity+Temperature+Meter&amp;qid=1695174239&amp;sr=8-6</v>
      </c>
      <c r="F4615" t="s">
        <v>9056</v>
      </c>
      <c r="G4615" t="e">
        <f ca="1">_xludf.IMAGE("https://edmondsonsupply.com/cdn/shop/products/THWD-3.png?v=1633526329")</f>
        <v>#NAME?</v>
      </c>
      <c r="H4615" t="e">
        <f ca="1">_xludf.IMAGE("https://m.media-amazon.com/images/I/41NOi+eIckL._AC_UY218_.jpg")</f>
        <v>#NAME?</v>
      </c>
      <c r="I4615" t="s">
        <v>7261</v>
      </c>
      <c r="J4615">
        <v>90.21</v>
      </c>
      <c r="K4615" s="4">
        <v>-0.48849999999999999</v>
      </c>
      <c r="L4615">
        <v>3.6</v>
      </c>
      <c r="M4615">
        <v>13</v>
      </c>
      <c r="O4615" t="s">
        <v>25</v>
      </c>
      <c r="P4615" t="s">
        <v>4452</v>
      </c>
      <c r="Q4615" t="s">
        <v>7262</v>
      </c>
    </row>
    <row r="4616" spans="1:17" ht="15.5" x14ac:dyDescent="0.35">
      <c r="A4616"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4616"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4616" t="s">
        <v>2903</v>
      </c>
      <c r="D4616" t="s">
        <v>5560</v>
      </c>
      <c r="E4616" s="3" t="str">
        <f>HYPERLINK("https://www.amazon.com/Diablo-Freud-DMAPL4300-SDS-Plus-4-Cutter/dp/B089LL8JD8/ref=sr_1_8?keywords=Diablo+Tools+DMAMX1300+1-1%2F4+in.+x+16+in.+x+21+in.+Rebar+Demon%E2%84%A2+SDS-Max+4-Cutter+Full+Carbide+Head+Hammer+Drill+Bit&amp;qid=1695173871&amp;sr=8-8", "https://www.amazon.com/Diablo-Freud-DMAPL4300-SDS-Plus-4-Cutter/dp/B089LL8JD8/ref=sr_1_8?keywords=Diablo+Tools+DMAMX1300+1-1%2F4+in.+x+16+in.+x+21+in.+Rebar+Demon%E2%84%A2+SDS-Max+4-Cutter+Full+Carbide+Head+Hammer+Drill+Bit&amp;qid=1695173871&amp;sr=8-8")</f>
        <v>https://www.amazon.com/Diablo-Freud-DMAPL4300-SDS-Plus-4-Cutter/dp/B089LL8JD8/ref=sr_1_8?keywords=Diablo+Tools+DMAMX1300+1-1%2F4+in.+x+16+in.+x+21+in.+Rebar+Demon%E2%84%A2+SDS-Max+4-Cutter+Full+Carbide+Head+Hammer+Drill+Bit&amp;qid=1695173871&amp;sr=8-8</v>
      </c>
      <c r="F4616" t="s">
        <v>5561</v>
      </c>
      <c r="G4616" t="e">
        <f ca="1">_xludf.IMAGE("https://edmondsonsupply.com/cdn/shop/files/immoyh7jjmbau4fzhuq6_7dd7fd73-2865-4c12-9443-da45b48dbd51.webp?v=1685465465")</f>
        <v>#NAME?</v>
      </c>
      <c r="H4616" t="e">
        <f ca="1">_xludf.IMAGE("https://m.media-amazon.com/images/I/616UiJGsK1L._AC_UL320_.jpg")</f>
        <v>#NAME?</v>
      </c>
      <c r="I4616" t="s">
        <v>2906</v>
      </c>
      <c r="J4616">
        <v>33.950000000000003</v>
      </c>
      <c r="K4616" s="4">
        <v>-0.48870000000000002</v>
      </c>
      <c r="L4616">
        <v>4.5</v>
      </c>
      <c r="M4616">
        <v>16</v>
      </c>
      <c r="O4616" t="s">
        <v>171</v>
      </c>
      <c r="P4616" t="s">
        <v>2907</v>
      </c>
      <c r="Q4616" t="s">
        <v>2908</v>
      </c>
    </row>
    <row r="4617" spans="1:17" ht="15.5" x14ac:dyDescent="0.35">
      <c r="A4617"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4617" s="3" t="str">
        <f>HYPERLINK("https://edmondsonsupply.com/products/klein-tools-5165-10-pocket-tool-pouch-knife-snap", "https://edmondsonsupply.com/products/klein-tools-5165-10-pocket-tool-pouch-knife-snap")</f>
        <v>https://edmondsonsupply.com/products/klein-tools-5165-10-pocket-tool-pouch-knife-snap</v>
      </c>
      <c r="C4617" t="s">
        <v>700</v>
      </c>
      <c r="D4617" t="s">
        <v>790</v>
      </c>
      <c r="E4617" s="3" t="str">
        <f>HYPERLINK("https://www.amazon.com/Klein-Tools-5126-Leather-5-Pocket/dp/B0002RI620/ref=sr_1_3?keywords=Klein+Tools+5165+10+Pocket+Leather+Tool+Pouch+with+Knife+Snap&amp;qid=1695173934&amp;sr=8-3", "https://www.amazon.com/Klein-Tools-5126-Leather-5-Pocket/dp/B0002RI620/ref=sr_1_3?keywords=Klein+Tools+5165+10+Pocket+Leather+Tool+Pouch+with+Knife+Snap&amp;qid=1695173934&amp;sr=8-3")</f>
        <v>https://www.amazon.com/Klein-Tools-5126-Leather-5-Pocket/dp/B0002RI620/ref=sr_1_3?keywords=Klein+Tools+5165+10+Pocket+Leather+Tool+Pouch+with+Knife+Snap&amp;qid=1695173934&amp;sr=8-3</v>
      </c>
      <c r="F4617" t="s">
        <v>791</v>
      </c>
      <c r="G4617" t="e">
        <f ca="1">_xludf.IMAGE("https://edmondsonsupply.com/cdn/shop/products/5165.jpg?v=1587145507")</f>
        <v>#NAME?</v>
      </c>
      <c r="H4617" t="e">
        <f ca="1">_xludf.IMAGE("https://m.media-amazon.com/images/I/51nYBr7d-ML._AC_UL320_.jpg")</f>
        <v>#NAME?</v>
      </c>
      <c r="I4617" t="s">
        <v>703</v>
      </c>
      <c r="J4617">
        <v>32</v>
      </c>
      <c r="K4617" s="4">
        <v>-0.49199999999999999</v>
      </c>
      <c r="L4617">
        <v>4.5999999999999996</v>
      </c>
      <c r="M4617">
        <v>1343</v>
      </c>
      <c r="O4617" t="s">
        <v>25</v>
      </c>
      <c r="P4617" t="s">
        <v>704</v>
      </c>
      <c r="Q4617" t="s">
        <v>705</v>
      </c>
    </row>
    <row r="4618" spans="1:17" ht="15.5" x14ac:dyDescent="0.35">
      <c r="A4618"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4618" s="3" t="str">
        <f>HYPERLINK("https://edmondsonsupply.com/products/milwaukee-49-90-1900-hepa-filter", "https://edmondsonsupply.com/products/milwaukee-49-90-1900-hepa-filter")</f>
        <v>https://edmondsonsupply.com/products/milwaukee-49-90-1900-hepa-filter</v>
      </c>
      <c r="C4618" t="s">
        <v>5831</v>
      </c>
      <c r="D4618" t="s">
        <v>5962</v>
      </c>
      <c r="E4618" s="3" t="str">
        <f>HYPERLINK("https://www.amazon.com/49-90-1900-Replacement-Compatible-Milwaukee-Cordless/dp/B07VTP5MF3/ref=sr_1_4?keywords=Milwaukee+49-90-1900+HEPA+Filter&amp;qid=1695174010&amp;sr=8-4", "https://www.amazon.com/49-90-1900-Replacement-Compatible-Milwaukee-Cordless/dp/B07VTP5MF3/ref=sr_1_4?keywords=Milwaukee+49-90-1900+HEPA+Filter&amp;qid=1695174010&amp;sr=8-4")</f>
        <v>https://www.amazon.com/49-90-1900-Replacement-Compatible-Milwaukee-Cordless/dp/B07VTP5MF3/ref=sr_1_4?keywords=Milwaukee+49-90-1900+HEPA+Filter&amp;qid=1695174010&amp;sr=8-4</v>
      </c>
      <c r="F4618" t="s">
        <v>5963</v>
      </c>
      <c r="G4618" t="e">
        <f ca="1">_xludf.IMAGE("https://edmondsonsupply.com/cdn/shop/files/49-90-1900_1.png?v=1686234774")</f>
        <v>#NAME?</v>
      </c>
      <c r="H4618" t="e">
        <f ca="1">_xludf.IMAGE("https://m.media-amazon.com/images/I/61dXZ7mr8BL._AC_UL320_.jpg")</f>
        <v>#NAME?</v>
      </c>
      <c r="I4618" t="s">
        <v>2170</v>
      </c>
      <c r="J4618">
        <v>12.68</v>
      </c>
      <c r="K4618" s="4">
        <v>-0.4924</v>
      </c>
      <c r="L4618">
        <v>4.5999999999999996</v>
      </c>
      <c r="M4618">
        <v>287</v>
      </c>
      <c r="O4618" t="s">
        <v>25</v>
      </c>
      <c r="P4618" t="s">
        <v>2470</v>
      </c>
      <c r="Q4618" t="s">
        <v>5834</v>
      </c>
    </row>
    <row r="4619" spans="1:17" ht="15.5" x14ac:dyDescent="0.35">
      <c r="A4619"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4619"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4619" t="s">
        <v>8412</v>
      </c>
      <c r="D4619" t="s">
        <v>9057</v>
      </c>
      <c r="E4619" s="3" t="str">
        <f>HYPERLINK("https://www.amazon.com/TAJIMA-Tape-Measure-Measuring-Standard/dp/B0036ZIATE/ref=sr_1_2?keywords=Tajima+GS-25%2F7.5MBW+GS+Lock%E2%84%A2+Standard+%26+Metric+Scale%2C+25+ft%2F+7.5+m+x+1-1%2F16+in.%2F27mm+Steel+Blade+Tape+Measure&amp;qid=1695174191&amp;sr=8-2", "https://www.amazon.com/TAJIMA-Tape-Measure-Measuring-Standard/dp/B0036ZIATE/ref=sr_1_2?keywords=Tajima+GS-25%2F7.5MBW+GS+Lock%E2%84%A2+Standard+%26+Metric+Scale%2C+25+ft%2F+7.5+m+x+1-1%2F16+in.%2F27mm+Steel+Blade+Tape+Measure&amp;qid=1695174191&amp;sr=8-2")</f>
        <v>https://www.amazon.com/TAJIMA-Tape-Measure-Measuring-Standard/dp/B0036ZIATE/ref=sr_1_2?keywords=Tajima+GS-25%2F7.5MBW+GS+Lock%E2%84%A2+Standard+%26+Metric+Scale%2C+25+ft%2F+7.5+m+x+1-1%2F16+in.%2F27mm+Steel+Blade+Tape+Measure&amp;qid=1695174191&amp;sr=8-2</v>
      </c>
      <c r="F4619" t="s">
        <v>9058</v>
      </c>
      <c r="G4619" t="e">
        <f ca="1">_xludf.IMAGE("https://edmondsonsupply.com/cdn/shop/products/GS25-7.5MBW.jpg?v=1655830265")</f>
        <v>#NAME?</v>
      </c>
      <c r="H4619" t="e">
        <f ca="1">_xludf.IMAGE("https://m.media-amazon.com/images/I/8179sDJShCL._AC_UL320_.jpg")</f>
        <v>#NAME?</v>
      </c>
      <c r="I4619" t="s">
        <v>7638</v>
      </c>
      <c r="J4619">
        <v>21.37</v>
      </c>
      <c r="K4619" s="4">
        <v>-0.49349999999999999</v>
      </c>
      <c r="L4619">
        <v>4.7</v>
      </c>
      <c r="M4619">
        <v>137</v>
      </c>
      <c r="O4619" t="s">
        <v>25</v>
      </c>
      <c r="P4619" t="s">
        <v>138</v>
      </c>
      <c r="Q4619" t="s">
        <v>8413</v>
      </c>
    </row>
    <row r="4620" spans="1:17" ht="15.5" x14ac:dyDescent="0.35">
      <c r="A4620"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4620"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4620" t="s">
        <v>960</v>
      </c>
      <c r="D4620" t="s">
        <v>958</v>
      </c>
      <c r="E4620" s="3" t="str">
        <f>HYPERLINK("https://www.amazon.com/Klein-60164-Professional-Protective-Resistant/dp/B08B4BNSHM/ref=sr_1_9?keywords=Klein+Tools+60539+Professional+Safety+Glasses%2C+Full+Frame%2C+Polarized+Lens&amp;qid=1695174102&amp;sr=8-9", "https://www.amazon.com/Klein-60164-Professional-Protective-Resistant/dp/B08B4BNSHM/ref=sr_1_9?keywords=Klein+Tools+60539+Professional+Safety+Glasses%2C+Full+Frame%2C+Polarized+Lens&amp;qid=1695174102&amp;sr=8-9")</f>
        <v>https://www.amazon.com/Klein-60164-Professional-Protective-Resistant/dp/B08B4BNSHM/ref=sr_1_9?keywords=Klein+Tools+60539+Professional+Safety+Glasses%2C+Full+Frame%2C+Polarized+Lens&amp;qid=1695174102&amp;sr=8-9</v>
      </c>
      <c r="F4620" t="s">
        <v>959</v>
      </c>
      <c r="G4620" t="e">
        <f ca="1">_xludf.IMAGE("https://edmondsonsupply.com/cdn/shop/products/60539.jpg?v=1670948006")</f>
        <v>#NAME?</v>
      </c>
      <c r="H4620" t="e">
        <f ca="1">_xludf.IMAGE("https://m.media-amazon.com/images/I/41bNrH9NnFL._AC_UL320_.jpg")</f>
        <v>#NAME?</v>
      </c>
      <c r="I4620" t="s">
        <v>26</v>
      </c>
      <c r="J4620">
        <v>14.99</v>
      </c>
      <c r="K4620" s="4">
        <v>-0.50019999999999998</v>
      </c>
      <c r="L4620">
        <v>4.4000000000000004</v>
      </c>
      <c r="M4620">
        <v>463</v>
      </c>
      <c r="O4620" t="s">
        <v>25</v>
      </c>
      <c r="P4620" t="s">
        <v>562</v>
      </c>
      <c r="Q4620" t="s">
        <v>961</v>
      </c>
    </row>
    <row r="4621" spans="1:17" ht="15.5" x14ac:dyDescent="0.35">
      <c r="A4621"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4621"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4621" t="s">
        <v>960</v>
      </c>
      <c r="D4621" t="s">
        <v>956</v>
      </c>
      <c r="E4621" s="3" t="str">
        <f>HYPERLINK("https://www.amazon.com/Klein-60163-Professional-Protective-Resistant/dp/B08B48CZ5V/ref=sr_1_8?keywords=Klein+Tools+60539+Professional+Safety+Glasses%2C+Full+Frame%2C+Polarized+Lens&amp;qid=1695174102&amp;sr=8-8", "https://www.amazon.com/Klein-60163-Professional-Protective-Resistant/dp/B08B48CZ5V/ref=sr_1_8?keywords=Klein+Tools+60539+Professional+Safety+Glasses%2C+Full+Frame%2C+Polarized+Lens&amp;qid=1695174102&amp;sr=8-8")</f>
        <v>https://www.amazon.com/Klein-60163-Professional-Protective-Resistant/dp/B08B48CZ5V/ref=sr_1_8?keywords=Klein+Tools+60539+Professional+Safety+Glasses%2C+Full+Frame%2C+Polarized+Lens&amp;qid=1695174102&amp;sr=8-8</v>
      </c>
      <c r="F4621" t="s">
        <v>957</v>
      </c>
      <c r="G4621" t="e">
        <f ca="1">_xludf.IMAGE("https://edmondsonsupply.com/cdn/shop/products/60539.jpg?v=1670948006")</f>
        <v>#NAME?</v>
      </c>
      <c r="H4621" t="e">
        <f ca="1">_xludf.IMAGE("https://m.media-amazon.com/images/I/41IY8K6EFLL._AC_UL320_.jpg")</f>
        <v>#NAME?</v>
      </c>
      <c r="I4621" t="s">
        <v>26</v>
      </c>
      <c r="J4621">
        <v>14.99</v>
      </c>
      <c r="K4621" s="4">
        <v>-0.50019999999999998</v>
      </c>
      <c r="L4621">
        <v>4.4000000000000004</v>
      </c>
      <c r="M4621">
        <v>198</v>
      </c>
      <c r="O4621" t="s">
        <v>25</v>
      </c>
      <c r="P4621" t="s">
        <v>562</v>
      </c>
      <c r="Q4621" t="s">
        <v>961</v>
      </c>
    </row>
    <row r="4622" spans="1:17" ht="15.5" x14ac:dyDescent="0.35">
      <c r="A4622" s="3" t="str">
        <f>HYPERLINK("https://edmondsonsupply.com/collections/electricians-tools/products/klein-tools-aepjs3-bluetooth%C2%AE-jobsite-speaker-with-magnet-and-hook", "https://edmondsonsupply.com/collections/electricians-tools/products/klein-tools-aepjs3-bluetooth%C2%AE-jobsite-speaker-with-magnet-and-hook")</f>
        <v>https://edmondsonsupply.com/collections/electricians-tools/products/klein-tools-aepjs3-bluetooth%C2%AE-jobsite-speaker-with-magnet-and-hook</v>
      </c>
      <c r="B4622" s="3" t="str">
        <f>HYPERLINK("https://edmondsonsupply.com/products/klein-tools-aepjs3-bluetooth%c2%ae-jobsite-speaker-with-magnet-and-hook", "https://edmondsonsupply.com/products/klein-tools-aepjs3-bluetooth%c2%ae-jobsite-speaker-with-magnet-and-hook")</f>
        <v>https://edmondsonsupply.com/products/klein-tools-aepjs3-bluetooth%c2%ae-jobsite-speaker-with-magnet-and-hook</v>
      </c>
      <c r="C4622" t="s">
        <v>8238</v>
      </c>
      <c r="D4622" t="s">
        <v>9059</v>
      </c>
      <c r="E4622" s="3" t="str">
        <f>HYPERLINK("https://www.amazon.com/Klein-AEPJS2-Bluetooth%C3%82-Speaker-Magnetic/dp/B084LL5CM8/ref=sr_1_2?keywords=Klein+Tools+AEPJS3+Bluetooth%C2%AE+Jobsite+Speaker+with+Magnet+and+Hook&amp;qid=1695174159&amp;sr=8-2", "https://www.amazon.com/Klein-AEPJS2-Bluetooth%C3%82-Speaker-Magnetic/dp/B084LL5CM8/ref=sr_1_2?keywords=Klein+Tools+AEPJS3+Bluetooth%C2%AE+Jobsite+Speaker+with+Magnet+and+Hook&amp;qid=1695174159&amp;sr=8-2")</f>
        <v>https://www.amazon.com/Klein-AEPJS2-Bluetooth%C3%82-Speaker-Magnetic/dp/B084LL5CM8/ref=sr_1_2?keywords=Klein+Tools+AEPJS3+Bluetooth%C2%AE+Jobsite+Speaker+with+Magnet+and+Hook&amp;qid=1695174159&amp;sr=8-2</v>
      </c>
      <c r="F4622" t="s">
        <v>9060</v>
      </c>
      <c r="G4622" t="e">
        <f ca="1">_xludf.IMAGE("https://edmondsonsupply.com/cdn/shop/products/aepjs3_b.jpg?v=1663946789")</f>
        <v>#NAME?</v>
      </c>
      <c r="H4622" t="e">
        <f ca="1">_xludf.IMAGE("https://m.media-amazon.com/images/I/71LxxIwLvmL._AC_UY218_.jpg")</f>
        <v>#NAME?</v>
      </c>
      <c r="I4622" t="s">
        <v>8241</v>
      </c>
      <c r="J4622">
        <v>39.97</v>
      </c>
      <c r="K4622" s="4">
        <v>-0.50019999999999998</v>
      </c>
      <c r="L4622">
        <v>4.5</v>
      </c>
      <c r="M4622">
        <v>922</v>
      </c>
      <c r="O4622" t="s">
        <v>25</v>
      </c>
      <c r="P4622" t="s">
        <v>8242</v>
      </c>
      <c r="Q4622" t="s">
        <v>8243</v>
      </c>
    </row>
    <row r="4623" spans="1:17" ht="15.5" x14ac:dyDescent="0.35">
      <c r="A4623"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4623" s="3" t="str">
        <f>HYPERLINK("https://edmondsonsupply.com/products/fluke-st120-gfci-socket-tester-with-beeper", "https://edmondsonsupply.com/products/fluke-st120-gfci-socket-tester-with-beeper")</f>
        <v>https://edmondsonsupply.com/products/fluke-st120-gfci-socket-tester-with-beeper</v>
      </c>
      <c r="C4623" t="s">
        <v>8860</v>
      </c>
      <c r="D4623" t="s">
        <v>8967</v>
      </c>
      <c r="E4623" s="3" t="str">
        <f>HYPERLINK("https://www.amazon.com/RLSOCO-Carrying-Fluke-Socket-Tester%EF%BC%88Case/dp/B0BJTZ98HX/ref=sr_1_5?keywords=Fluke+ST120%2B+GFCI+Socket+Tester+with+Beeper&amp;qid=1695174161&amp;sr=8-5", "https://www.amazon.com/RLSOCO-Carrying-Fluke-Socket-Tester%EF%BC%88Case/dp/B0BJTZ98HX/ref=sr_1_5?keywords=Fluke+ST120%2B+GFCI+Socket+Tester+with+Beeper&amp;qid=1695174161&amp;sr=8-5")</f>
        <v>https://www.amazon.com/RLSOCO-Carrying-Fluke-Socket-Tester%EF%BC%88Case/dp/B0BJTZ98HX/ref=sr_1_5?keywords=Fluke+ST120%2B+GFCI+Socket+Tester+with+Beeper&amp;qid=1695174161&amp;sr=8-5</v>
      </c>
      <c r="F4623" t="s">
        <v>8968</v>
      </c>
      <c r="G4623" t="e">
        <f ca="1">_xludf.IMAGE("https://edmondsonsupply.com/cdn/shop/products/F-st120-plus_01a_w.webp?v=1662582919")</f>
        <v>#NAME?</v>
      </c>
      <c r="H4623" t="e">
        <f ca="1">_xludf.IMAGE("https://m.media-amazon.com/images/I/71It6IXE9gL._AC_UL320_.jpg")</f>
        <v>#NAME?</v>
      </c>
      <c r="I4623" t="s">
        <v>577</v>
      </c>
      <c r="J4623">
        <v>9.99</v>
      </c>
      <c r="K4623" s="4">
        <v>-0.50029999999999997</v>
      </c>
      <c r="L4623">
        <v>4.5</v>
      </c>
      <c r="M4623">
        <v>27</v>
      </c>
      <c r="O4623" t="s">
        <v>25</v>
      </c>
      <c r="P4623" t="s">
        <v>1158</v>
      </c>
      <c r="Q4623" t="s">
        <v>8861</v>
      </c>
    </row>
    <row r="4624" spans="1:17" ht="15.5" x14ac:dyDescent="0.35">
      <c r="A4624" s="3" t="str">
        <f>HYPERLINK("https://edmondsonsupply.com/collections/electricians-tools/products/klein-tools-32538-10-fold-screwdriver-nut-driver-fractional-hex", "https://edmondsonsupply.com/collections/electricians-tools/products/klein-tools-32538-10-fold-screwdriver-nut-driver-fractional-hex")</f>
        <v>https://edmondsonsupply.com/collections/electricians-tools/products/klein-tools-32538-10-fold-screwdriver-nut-driver-fractional-hex</v>
      </c>
      <c r="B4624" s="3" t="str">
        <f>HYPERLINK("https://edmondsonsupply.com/products/klein-tools-32538-10-fold-screwdriver-nut-driver-fractional-hex", "https://edmondsonsupply.com/products/klein-tools-32538-10-fold-screwdriver-nut-driver-fractional-hex")</f>
        <v>https://edmondsonsupply.com/products/klein-tools-32538-10-fold-screwdriver-nut-driver-fractional-hex</v>
      </c>
      <c r="C4624" t="s">
        <v>7901</v>
      </c>
      <c r="D4624" t="s">
        <v>3976</v>
      </c>
      <c r="E4624" s="3" t="str">
        <f>HYPERLINK("https://www.amazon.com/Klein-Tools-32557-Multi-Bit-Screwdriver/dp/B005FQDH9A/ref=sr_1_3?keywords=Klein+Tools+32538+10-Fold+Screwdriver+%2F+Nut+Driver%2C+Fractional+Hex&amp;qid=1695174255&amp;sr=8-3", "https://www.amazon.com/Klein-Tools-32557-Multi-Bit-Screwdriver/dp/B005FQDH9A/ref=sr_1_3?keywords=Klein+Tools+32538+10-Fold+Screwdriver+%2F+Nut+Driver%2C+Fractional+Hex&amp;qid=1695174255&amp;sr=8-3")</f>
        <v>https://www.amazon.com/Klein-Tools-32557-Multi-Bit-Screwdriver/dp/B005FQDH9A/ref=sr_1_3?keywords=Klein+Tools+32538+10-Fold+Screwdriver+%2F+Nut+Driver%2C+Fractional+Hex&amp;qid=1695174255&amp;sr=8-3</v>
      </c>
      <c r="F4624" t="s">
        <v>3977</v>
      </c>
      <c r="G4624" t="e">
        <f ca="1">_xludf.IMAGE("https://edmondsonsupply.com/cdn/shop/products/32538.jpg?v=1642959018")</f>
        <v>#NAME?</v>
      </c>
      <c r="H4624" t="e">
        <f ca="1">_xludf.IMAGE("https://m.media-amazon.com/images/I/41vMDiO0rOL._AC_UL320_.jpg")</f>
        <v>#NAME?</v>
      </c>
      <c r="I4624" t="s">
        <v>26</v>
      </c>
      <c r="J4624">
        <v>14.98</v>
      </c>
      <c r="K4624" s="4">
        <v>-0.50049999999999994</v>
      </c>
      <c r="L4624">
        <v>4.8</v>
      </c>
      <c r="M4624">
        <v>921</v>
      </c>
      <c r="O4624" t="s">
        <v>25</v>
      </c>
      <c r="P4624" t="s">
        <v>4371</v>
      </c>
      <c r="Q4624" t="s">
        <v>7903</v>
      </c>
    </row>
    <row r="4625" spans="1:17" ht="15.5" x14ac:dyDescent="0.35">
      <c r="A4625"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4625" s="3" t="str">
        <f>HYPERLINK("https://edmondsonsupply.com/products/klein-tools-32535-10-in-1-10-fold-screwdriver-nut-driver", "https://edmondsonsupply.com/products/klein-tools-32535-10-in-1-10-fold-screwdriver-nut-driver")</f>
        <v>https://edmondsonsupply.com/products/klein-tools-32535-10-in-1-10-fold-screwdriver-nut-driver</v>
      </c>
      <c r="C4625" t="s">
        <v>4368</v>
      </c>
      <c r="D4625" t="s">
        <v>3976</v>
      </c>
      <c r="E4625" s="3" t="str">
        <f>HYPERLINK("https://www.amazon.com/Klein-Tools-32557-Multi-Bit-Screwdriver/dp/B005FQDH9A/ref=sr_1_3?keywords=Klein+Tools+32535+10-in-1+10+Fold+Screwdriver+%2F+Nut+Driver&amp;qid=1695173914&amp;sr=8-3", "https://www.amazon.com/Klein-Tools-32557-Multi-Bit-Screwdriver/dp/B005FQDH9A/ref=sr_1_3?keywords=Klein+Tools+32535+10-in-1+10+Fold+Screwdriver+%2F+Nut+Driver&amp;qid=1695173914&amp;sr=8-3")</f>
        <v>https://www.amazon.com/Klein-Tools-32557-Multi-Bit-Screwdriver/dp/B005FQDH9A/ref=sr_1_3?keywords=Klein+Tools+32535+10-in-1+10+Fold+Screwdriver+%2F+Nut+Driver&amp;qid=1695173914&amp;sr=8-3</v>
      </c>
      <c r="F4625" t="s">
        <v>3977</v>
      </c>
      <c r="G4625" t="e">
        <f ca="1">_xludf.IMAGE("https://edmondsonsupply.com/cdn/shop/products/32535.jpg?v=1633030894")</f>
        <v>#NAME?</v>
      </c>
      <c r="H4625" t="e">
        <f ca="1">_xludf.IMAGE("https://m.media-amazon.com/images/I/41vMDiO0rOL._AC_UL320_.jpg")</f>
        <v>#NAME?</v>
      </c>
      <c r="I4625" t="s">
        <v>26</v>
      </c>
      <c r="J4625">
        <v>14.98</v>
      </c>
      <c r="K4625" s="4">
        <v>-0.50049999999999994</v>
      </c>
      <c r="L4625">
        <v>4.8</v>
      </c>
      <c r="M4625">
        <v>921</v>
      </c>
      <c r="O4625" t="s">
        <v>25</v>
      </c>
      <c r="P4625" t="s">
        <v>4371</v>
      </c>
      <c r="Q4625" t="s">
        <v>4372</v>
      </c>
    </row>
    <row r="4626" spans="1:17" ht="15.5" x14ac:dyDescent="0.35">
      <c r="A4626"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4626" s="3" t="str">
        <f>HYPERLINK("https://edmondsonsupply.com/products/klein-tools-32800-6-in-1-multi-nut-driver-heavy-duty", "https://edmondsonsupply.com/products/klein-tools-32800-6-in-1-multi-nut-driver-heavy-duty")</f>
        <v>https://edmondsonsupply.com/products/klein-tools-32800-6-in-1-multi-nut-driver-heavy-duty</v>
      </c>
      <c r="C4626" t="s">
        <v>8108</v>
      </c>
      <c r="D4626" t="s">
        <v>3976</v>
      </c>
      <c r="E4626" s="3" t="str">
        <f>HYPERLINK("https://www.amazon.com/Klein-Tools-32557-Multi-Bit-Screwdriver/dp/B005FQDH9A/ref=sr_1_4?keywords=Klein+Tools+32800+6-in-1+6-in-1+Multi-Bit+Nut+Driver%2C+Heavy+Duty&amp;qid=1695174226&amp;sr=8-4", "https://www.amazon.com/Klein-Tools-32557-Multi-Bit-Screwdriver/dp/B005FQDH9A/ref=sr_1_4?keywords=Klein+Tools+32800+6-in-1+6-in-1+Multi-Bit+Nut+Driver%2C+Heavy+Duty&amp;qid=1695174226&amp;sr=8-4")</f>
        <v>https://www.amazon.com/Klein-Tools-32557-Multi-Bit-Screwdriver/dp/B005FQDH9A/ref=sr_1_4?keywords=Klein+Tools+32800+6-in-1+6-in-1+Multi-Bit+Nut+Driver%2C+Heavy+Duty&amp;qid=1695174226&amp;sr=8-4</v>
      </c>
      <c r="F4626" t="s">
        <v>3977</v>
      </c>
      <c r="G4626" t="e">
        <f ca="1">_xludf.IMAGE("https://edmondsonsupply.com/cdn/shop/products/32800_alt2.jpg?v=1646595019")</f>
        <v>#NAME?</v>
      </c>
      <c r="H4626" t="e">
        <f ca="1">_xludf.IMAGE("https://m.media-amazon.com/images/I/41vMDiO0rOL._AC_UL320_.jpg")</f>
        <v>#NAME?</v>
      </c>
      <c r="I4626" t="s">
        <v>26</v>
      </c>
      <c r="J4626">
        <v>14.98</v>
      </c>
      <c r="K4626" s="4">
        <v>-0.50049999999999994</v>
      </c>
      <c r="L4626">
        <v>4.8</v>
      </c>
      <c r="M4626">
        <v>921</v>
      </c>
      <c r="O4626" t="s">
        <v>25</v>
      </c>
      <c r="P4626" t="s">
        <v>8111</v>
      </c>
      <c r="Q4626" t="s">
        <v>8112</v>
      </c>
    </row>
    <row r="4627" spans="1:17" ht="15.5" x14ac:dyDescent="0.35">
      <c r="A4627"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4627"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4627" t="s">
        <v>8022</v>
      </c>
      <c r="D4627" t="s">
        <v>5001</v>
      </c>
      <c r="E4627" s="3" t="str">
        <f>HYPERLINK("https://www.amazon.com/Klein-Tools-32314-Screwdriver-Tamperproof/dp/B08J8GGQBL/ref=sr_1_9?keywords=Klein+Tools+32510+Magnetic+Screwdriver+with+32+Tamperproof+Bits&amp;qid=1695174211&amp;sr=8-9", "https://www.amazon.com/Klein-Tools-32314-Screwdriver-Tamperproof/dp/B08J8GGQBL/ref=sr_1_9?keywords=Klein+Tools+32510+Magnetic+Screwdriver+with+32+Tamperproof+Bits&amp;qid=1695174211&amp;sr=8-9")</f>
        <v>https://www.amazon.com/Klein-Tools-32314-Screwdriver-Tamperproof/dp/B08J8GGQBL/ref=sr_1_9?keywords=Klein+Tools+32510+Magnetic+Screwdriver+with+32+Tamperproof+Bits&amp;qid=1695174211&amp;sr=8-9</v>
      </c>
      <c r="F4627" t="s">
        <v>5002</v>
      </c>
      <c r="G4627" t="e">
        <f ca="1">_xludf.IMAGE("https://edmondsonsupply.com/cdn/shop/products/32510_alt2.jpg?v=1653267434")</f>
        <v>#NAME?</v>
      </c>
      <c r="H4627" t="e">
        <f ca="1">_xludf.IMAGE("https://m.media-amazon.com/images/I/51r5V2PttIL._AC_UL320_.jpg")</f>
        <v>#NAME?</v>
      </c>
      <c r="I4627" t="s">
        <v>824</v>
      </c>
      <c r="J4627">
        <v>14.97</v>
      </c>
      <c r="K4627" s="4">
        <v>-0.50049999999999994</v>
      </c>
      <c r="L4627">
        <v>4.7</v>
      </c>
      <c r="M4627">
        <v>2894</v>
      </c>
      <c r="O4627" t="s">
        <v>25</v>
      </c>
      <c r="P4627" t="s">
        <v>8025</v>
      </c>
      <c r="Q4627" t="s">
        <v>8026</v>
      </c>
    </row>
    <row r="4628" spans="1:17" ht="15.5" x14ac:dyDescent="0.35">
      <c r="A4628"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4628" s="3" t="str">
        <f>HYPERLINK("https://edmondsonsupply.com/products/klein-tools-60511-heavy-duty-knee-pad-sleeves-m-l", "https://edmondsonsupply.com/products/klein-tools-60511-heavy-duty-knee-pad-sleeves-m-l")</f>
        <v>https://edmondsonsupply.com/products/klein-tools-60511-heavy-duty-knee-pad-sleeves-m-l</v>
      </c>
      <c r="C4628" t="s">
        <v>1024</v>
      </c>
      <c r="D4628" t="s">
        <v>1142</v>
      </c>
      <c r="E4628" s="3" t="str">
        <f>HYPERLINK("https://www.amazon.com/Klein-Tools-60592-Lightweight-Slip-Resistant/dp/B0B622FRN8/ref=sr_1_4?keywords=Klein+Tools+60511+Heavy+Duty+Knee+Pad+Sleeves%2C+M%2FL&amp;qid=1695174162&amp;sr=8-4", "https://www.amazon.com/Klein-Tools-60592-Lightweight-Slip-Resistant/dp/B0B622FRN8/ref=sr_1_4?keywords=Klein+Tools+60511+Heavy+Duty+Knee+Pad+Sleeves%2C+M%2FL&amp;qid=1695174162&amp;sr=8-4")</f>
        <v>https://www.amazon.com/Klein-Tools-60592-Lightweight-Slip-Resistant/dp/B0B622FRN8/ref=sr_1_4?keywords=Klein+Tools+60511+Heavy+Duty+Knee+Pad+Sleeves%2C+M%2FL&amp;qid=1695174162&amp;sr=8-4</v>
      </c>
      <c r="F4628" t="s">
        <v>1143</v>
      </c>
      <c r="G4628" t="e">
        <f ca="1">_xludf.IMAGE("https://edmondsonsupply.com/cdn/shop/products/60511_60611_b.jpg?v=1663253024")</f>
        <v>#NAME?</v>
      </c>
      <c r="H4628" t="e">
        <f ca="1">_xludf.IMAGE("https://m.media-amazon.com/images/I/61SeDj1bXKL._AC_UL320_.jpg")</f>
        <v>#NAME?</v>
      </c>
      <c r="I4628" t="s">
        <v>198</v>
      </c>
      <c r="J4628">
        <v>19.97</v>
      </c>
      <c r="K4628" s="4">
        <v>-0.50060000000000004</v>
      </c>
      <c r="L4628">
        <v>4.0999999999999996</v>
      </c>
      <c r="M4628">
        <v>147</v>
      </c>
      <c r="O4628" t="s">
        <v>25</v>
      </c>
      <c r="P4628" t="s">
        <v>1027</v>
      </c>
      <c r="Q4628" t="s">
        <v>1028</v>
      </c>
    </row>
    <row r="4629" spans="1:17" ht="15.5" x14ac:dyDescent="0.35">
      <c r="A4629"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4629" s="3" t="str">
        <f>HYPERLINK("https://edmondsonsupply.com/products/klein-tools-60615-heavy-duty-knee-pad-sleeves-s-m", "https://edmondsonsupply.com/products/klein-tools-60615-heavy-duty-knee-pad-sleeves-s-m")</f>
        <v>https://edmondsonsupply.com/products/klein-tools-60615-heavy-duty-knee-pad-sleeves-s-m</v>
      </c>
      <c r="C4629" t="s">
        <v>1029</v>
      </c>
      <c r="D4629" t="s">
        <v>1142</v>
      </c>
      <c r="E4629" s="3" t="str">
        <f>HYPERLINK("https://www.amazon.com/Klein-Tools-60592-Lightweight-Slip-Resistant/dp/B0B622FRN8/ref=sr_1_3?keywords=Klein+Tools+60615+Heavy+Duty+Knee+Pad+Sleeves%2C+S%2FM&amp;qid=1695174031&amp;sr=8-3", "https://www.amazon.com/Klein-Tools-60592-Lightweight-Slip-Resistant/dp/B0B622FRN8/ref=sr_1_3?keywords=Klein+Tools+60615+Heavy+Duty+Knee+Pad+Sleeves%2C+S%2FM&amp;qid=1695174031&amp;sr=8-3")</f>
        <v>https://www.amazon.com/Klein-Tools-60592-Lightweight-Slip-Resistant/dp/B0B622FRN8/ref=sr_1_3?keywords=Klein+Tools+60615+Heavy+Duty+Knee+Pad+Sleeves%2C+S%2FM&amp;qid=1695174031&amp;sr=8-3</v>
      </c>
      <c r="F4629" t="s">
        <v>1143</v>
      </c>
      <c r="G4629" t="e">
        <f ca="1">_xludf.IMAGE("https://edmondsonsupply.com/cdn/shop/products/60511_60611_b_f68c12ff-69e9-4ee5-9cc0-02cf7484e091.jpg?v=1681743847")</f>
        <v>#NAME?</v>
      </c>
      <c r="H4629" t="e">
        <f ca="1">_xludf.IMAGE("https://m.media-amazon.com/images/I/61SeDj1bXKL._AC_UL320_.jpg")</f>
        <v>#NAME?</v>
      </c>
      <c r="I4629" t="s">
        <v>198</v>
      </c>
      <c r="J4629">
        <v>19.97</v>
      </c>
      <c r="K4629" s="4">
        <v>-0.50060000000000004</v>
      </c>
      <c r="L4629">
        <v>4.0999999999999996</v>
      </c>
      <c r="M4629">
        <v>147</v>
      </c>
      <c r="O4629" t="s">
        <v>25</v>
      </c>
      <c r="P4629" t="s">
        <v>1027</v>
      </c>
      <c r="Q4629" t="s">
        <v>1030</v>
      </c>
    </row>
    <row r="4630" spans="1:17" ht="15.5" x14ac:dyDescent="0.35">
      <c r="A4630"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4630" s="3" t="str">
        <f>HYPERLINK("https://edmondsonsupply.com/products/klein-tools-935dag-digital-angle-gauge-and-level", "https://edmondsonsupply.com/products/klein-tools-935dag-digital-angle-gauge-and-level")</f>
        <v>https://edmondsonsupply.com/products/klein-tools-935dag-digital-angle-gauge-and-level</v>
      </c>
      <c r="C4630" t="s">
        <v>1924</v>
      </c>
      <c r="D4630" t="s">
        <v>5571</v>
      </c>
      <c r="E4630" s="3" t="str">
        <f>HYPERLINK("https://www.amazon.com/CaseSack-Consolidation-Digital-Electronic-ACCU-Bend/dp/B08Y67WSYP/ref=sr_1_10?keywords=Klein+Tools+935DAG+Digital+Angle+Gauge+and+Level&amp;qid=1695173893&amp;sr=8-10", "https://www.amazon.com/CaseSack-Consolidation-Digital-Electronic-ACCU-Bend/dp/B08Y67WSYP/ref=sr_1_10?keywords=Klein+Tools+935DAG+Digital+Angle+Gauge+and+Level&amp;qid=1695173893&amp;sr=8-10")</f>
        <v>https://www.amazon.com/CaseSack-Consolidation-Digital-Electronic-ACCU-Bend/dp/B08Y67WSYP/ref=sr_1_10?keywords=Klein+Tools+935DAG+Digital+Angle+Gauge+and+Level&amp;qid=1695173893&amp;sr=8-10</v>
      </c>
      <c r="F4630" t="s">
        <v>5572</v>
      </c>
      <c r="G4630" t="e">
        <f ca="1">_xludf.IMAGE("https://edmondsonsupply.com/cdn/shop/products/935dag.jpg?v=1587145032")</f>
        <v>#NAME?</v>
      </c>
      <c r="H4630" t="e">
        <f ca="1">_xludf.IMAGE("https://m.media-amazon.com/images/I/A1Pqjwl+TsL._AC_UL320_.jpg")</f>
        <v>#NAME?</v>
      </c>
      <c r="I4630" t="s">
        <v>824</v>
      </c>
      <c r="J4630">
        <v>14.86</v>
      </c>
      <c r="K4630" s="4">
        <v>-0.50419999999999998</v>
      </c>
      <c r="L4630">
        <v>4.5</v>
      </c>
      <c r="M4630">
        <v>46</v>
      </c>
      <c r="O4630" t="s">
        <v>25</v>
      </c>
      <c r="P4630" t="s">
        <v>73</v>
      </c>
      <c r="Q4630" t="s">
        <v>1927</v>
      </c>
    </row>
    <row r="4631" spans="1:17" ht="15.5" x14ac:dyDescent="0.35">
      <c r="A4631"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4631" s="3" t="str">
        <f>HYPERLINK("https://edmondsonsupply.com/products/diablo-tools-d0660x-6-1-2-in-x-60-tooth-ultra-finish-saw-blade", "https://edmondsonsupply.com/products/diablo-tools-d0660x-6-1-2-in-x-60-tooth-ultra-finish-saw-blade")</f>
        <v>https://edmondsonsupply.com/products/diablo-tools-d0660x-6-1-2-in-x-60-tooth-ultra-finish-saw-blade</v>
      </c>
      <c r="C4631" t="s">
        <v>6681</v>
      </c>
      <c r="D4631" t="s">
        <v>9061</v>
      </c>
      <c r="E4631" s="3" t="str">
        <f>HYPERLINK("https://www.amazon.com/Echo-Corner-Fine-Finish-Circular-Thin-Kerf/dp/B0BZM6J5V7/ref=sr_1_3?keywords=Diablo+Tools+D0660X+6-1%2F2+in.+x+60+Tooth+Ultra+Finish+Saw+Blade&amp;qid=1695174055&amp;sr=8-3", "https://www.amazon.com/Echo-Corner-Fine-Finish-Circular-Thin-Kerf/dp/B0BZM6J5V7/ref=sr_1_3?keywords=Diablo+Tools+D0660X+6-1%2F2+in.+x+60+Tooth+Ultra+Finish+Saw+Blade&amp;qid=1695174055&amp;sr=8-3")</f>
        <v>https://www.amazon.com/Echo-Corner-Fine-Finish-Circular-Thin-Kerf/dp/B0BZM6J5V7/ref=sr_1_3?keywords=Diablo+Tools+D0660X+6-1%2F2+in.+x+60+Tooth+Ultra+Finish+Saw+Blade&amp;qid=1695174055&amp;sr=8-3</v>
      </c>
      <c r="F4631" t="s">
        <v>9062</v>
      </c>
      <c r="G4631" t="e">
        <f ca="1">_xludf.IMAGE("https://edmondsonsupply.com/cdn/shop/products/ma8p1gcmhxpwwhymtiim.webp?v=1678983644")</f>
        <v>#NAME?</v>
      </c>
      <c r="H4631" t="e">
        <f ca="1">_xludf.IMAGE("https://m.media-amazon.com/images/I/816ii0GM5bL._AC_UL320_.jpg")</f>
        <v>#NAME?</v>
      </c>
      <c r="I4631" t="s">
        <v>1716</v>
      </c>
      <c r="J4631">
        <v>11.38</v>
      </c>
      <c r="K4631" s="4">
        <v>-0.50460000000000005</v>
      </c>
      <c r="L4631">
        <v>4.8</v>
      </c>
      <c r="M4631">
        <v>13</v>
      </c>
      <c r="O4631" t="s">
        <v>25</v>
      </c>
      <c r="P4631" t="s">
        <v>6682</v>
      </c>
      <c r="Q4631" t="s">
        <v>6683</v>
      </c>
    </row>
    <row r="4632" spans="1:17" ht="15.5" x14ac:dyDescent="0.35">
      <c r="A4632"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4632"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4632" t="s">
        <v>8905</v>
      </c>
      <c r="D4632" t="s">
        <v>5484</v>
      </c>
      <c r="E4632" s="3" t="str">
        <f>HYPERLINK("https://www.amazon.com/Milwaukee-Electric-48-11-2430-Redlithium-Compact/dp/B01M4LEIPF/ref=sr_1_10?keywords=Milwaukee+48-11-2411+M12+REDLITHIUM%E2%84%A2+Compact+Battery+Two+Pack&amp;qid=1695174226&amp;sr=8-10", "https://www.amazon.com/Milwaukee-Electric-48-11-2430-Redlithium-Compact/dp/B01M4LEIPF/ref=sr_1_10?keywords=Milwaukee+48-11-2411+M12+REDLITHIUM%E2%84%A2+Compact+Battery+Two+Pack&amp;qid=1695174226&amp;sr=8-10")</f>
        <v>https://www.amazon.com/Milwaukee-Electric-48-11-2430-Redlithium-Compact/dp/B01M4LEIPF/ref=sr_1_10?keywords=Milwaukee+48-11-2411+M12+REDLITHIUM%E2%84%A2+Compact+Battery+Two+Pack&amp;qid=1695174226&amp;sr=8-10</v>
      </c>
      <c r="F4632" t="s">
        <v>5485</v>
      </c>
      <c r="G4632" t="e">
        <f ca="1">_xludf.IMAGE("https://edmondsonsupply.com/cdn/shop/products/65014_48-11-2411-lg.jpg?v=1655484824")</f>
        <v>#NAME?</v>
      </c>
      <c r="H4632" t="e">
        <f ca="1">_xludf.IMAGE("https://m.media-amazon.com/images/I/61f9ucOtdML._AC_UL320_.jpg")</f>
        <v>#NAME?</v>
      </c>
      <c r="I4632" t="s">
        <v>3253</v>
      </c>
      <c r="J4632">
        <v>43.99</v>
      </c>
      <c r="K4632" s="4">
        <v>-0.50570000000000004</v>
      </c>
      <c r="L4632">
        <v>4.8</v>
      </c>
      <c r="M4632">
        <v>456</v>
      </c>
      <c r="O4632" t="s">
        <v>171</v>
      </c>
      <c r="P4632" t="s">
        <v>8908</v>
      </c>
      <c r="Q4632" t="s">
        <v>8909</v>
      </c>
    </row>
    <row r="4633" spans="1:17" ht="15.5" x14ac:dyDescent="0.35">
      <c r="A4633"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4633"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4633" t="s">
        <v>6351</v>
      </c>
      <c r="D4633" t="s">
        <v>8472</v>
      </c>
      <c r="E4633" s="3" t="str">
        <f>HYPERLINK("https://www.amazon.com/Journeyman-T-Handle-Klein-Tools-JTH6E10BE/dp/B004QW4EPK/ref=sr_1_4?keywords=Klein+Tools+JTH9E10+5%2F32-Inch+Hex+Key%2C+Journeyman+T-Handle%2C+9-Inch&amp;qid=1695174218&amp;sr=8-4", "https://www.amazon.com/Journeyman-T-Handle-Klein-Tools-JTH6E10BE/dp/B004QW4EPK/ref=sr_1_4?keywords=Klein+Tools+JTH9E10+5%2F32-Inch+Hex+Key%2C+Journeyman+T-Handle%2C+9-Inch&amp;qid=1695174218&amp;sr=8-4")</f>
        <v>https://www.amazon.com/Journeyman-T-Handle-Klein-Tools-JTH6E10BE/dp/B004QW4EPK/ref=sr_1_4?keywords=Klein+Tools+JTH9E10+5%2F32-Inch+Hex+Key%2C+Journeyman+T-Handle%2C+9-Inch&amp;qid=1695174218&amp;sr=8-4</v>
      </c>
      <c r="F4633" t="s">
        <v>8473</v>
      </c>
      <c r="G4633" t="e">
        <f ca="1">_xludf.IMAGE("https://edmondsonsupply.com/cdn/shop/products/jth9e12_37b16542-2f59-465e-8bba-0a543803dfd0.jpg?v=1647892900")</f>
        <v>#NAME?</v>
      </c>
      <c r="H4633" t="e">
        <f ca="1">_xludf.IMAGE("https://m.media-amazon.com/images/I/51f9vBFVXgL._AC_UL320_.jpg")</f>
        <v>#NAME?</v>
      </c>
      <c r="I4633" t="s">
        <v>2389</v>
      </c>
      <c r="J4633">
        <v>3.72</v>
      </c>
      <c r="K4633" s="4">
        <v>-0.51049999999999995</v>
      </c>
      <c r="L4633">
        <v>4.8</v>
      </c>
      <c r="M4633">
        <v>456</v>
      </c>
      <c r="O4633" t="s">
        <v>171</v>
      </c>
      <c r="P4633" t="s">
        <v>138</v>
      </c>
      <c r="Q4633" t="s">
        <v>6352</v>
      </c>
    </row>
    <row r="4634" spans="1:17" ht="15.5" x14ac:dyDescent="0.35">
      <c r="A4634" s="3" t="str">
        <f>HYPERLINK("https://edmondsonsupply.com/collections/electricians-tools/products/milwaukee-2829-22-m18-fuel%E2%84%A2-compact-band-saw-kit", "https://edmondsonsupply.com/collections/electricians-tools/products/milwaukee-2829-22-m18-fuel%E2%84%A2-compact-band-saw-kit")</f>
        <v>https://edmondsonsupply.com/collections/electricians-tools/products/milwaukee-2829-22-m18-fuel%E2%84%A2-compact-band-saw-kit</v>
      </c>
      <c r="B4634" s="3" t="str">
        <f>HYPERLINK("https://edmondsonsupply.com/products/milwaukee-2829-22-m18-fuel%e2%84%a2-compact-band-saw-kit", "https://edmondsonsupply.com/products/milwaukee-2829-22-m18-fuel%e2%84%a2-compact-band-saw-kit")</f>
        <v>https://edmondsonsupply.com/products/milwaukee-2829-22-m18-fuel%e2%84%a2-compact-band-saw-kit</v>
      </c>
      <c r="C4634" t="s">
        <v>5964</v>
      </c>
      <c r="D4634" t="s">
        <v>5965</v>
      </c>
      <c r="E4634" s="3" t="str">
        <f>HYPERLINK("https://www.amazon.com/Milwaukee-2829-22-FUEL-Compact-Band/dp/B09PQBHPNH/ref=sr_1_1?keywords=Milwaukee+2829-22+M18+FUEL%E2%84%A2+Compact+Band+Saw+Kit&amp;qid=1695174042&amp;sr=8-1", "https://www.amazon.com/Milwaukee-2829-22-FUEL-Compact-Band/dp/B09PQBHPNH/ref=sr_1_1?keywords=Milwaukee+2829-22+M18+FUEL%E2%84%A2+Compact+Band+Saw+Kit&amp;qid=1695174042&amp;sr=8-1")</f>
        <v>https://www.amazon.com/Milwaukee-2829-22-FUEL-Compact-Band/dp/B09PQBHPNH/ref=sr_1_1?keywords=Milwaukee+2829-22+M18+FUEL%E2%84%A2+Compact+Band+Saw+Kit&amp;qid=1695174042&amp;sr=8-1</v>
      </c>
      <c r="F4634" t="s">
        <v>5966</v>
      </c>
      <c r="G4634" t="e">
        <f ca="1">_xludf.IMAGE("https://edmondsonsupply.com/cdn/shop/files/2829-22_1.png?v=1686231471")</f>
        <v>#NAME?</v>
      </c>
      <c r="H4634" t="e">
        <f ca="1">_xludf.IMAGE("https://m.media-amazon.com/images/I/51miXQepRJL._AC_UL320_.jpg")</f>
        <v>#NAME?</v>
      </c>
      <c r="I4634" t="s">
        <v>5967</v>
      </c>
      <c r="J4634">
        <v>253.99</v>
      </c>
      <c r="K4634" s="4">
        <v>-0.51060000000000005</v>
      </c>
      <c r="L4634">
        <v>5</v>
      </c>
      <c r="M4634">
        <v>1</v>
      </c>
      <c r="O4634" t="s">
        <v>25</v>
      </c>
      <c r="P4634" t="s">
        <v>5968</v>
      </c>
      <c r="Q4634" t="s">
        <v>5969</v>
      </c>
    </row>
    <row r="4635" spans="1:17" ht="15.5" x14ac:dyDescent="0.35">
      <c r="A4635"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4635" s="3" t="str">
        <f>HYPERLINK("https://edmondsonsupply.com/products/klein-tools-56059-multi-groove-fiberglass-fish-tape-200-foot", "https://edmondsonsupply.com/products/klein-tools-56059-multi-groove-fiberglass-fish-tape-200-foot")</f>
        <v>https://edmondsonsupply.com/products/klein-tools-56059-multi-groove-fiberglass-fish-tape-200-foot</v>
      </c>
      <c r="C4635" t="s">
        <v>7681</v>
      </c>
      <c r="D4635" t="s">
        <v>9063</v>
      </c>
      <c r="E4635" s="3" t="str">
        <f>HYPERLINK("https://www.amazon.com/Klein-Tools-56382-Multi-Groove-Fiberglass/dp/B081ZTKDLJ/ref=sr_1_6?keywords=Klein+Tools+56059+Multi-Groove+Fiberglass+Fish+Tape+200-Foot&amp;qid=1695174221&amp;sr=8-6", "https://www.amazon.com/Klein-Tools-56382-Multi-Groove-Fiberglass/dp/B081ZTKDLJ/ref=sr_1_6?keywords=Klein+Tools+56059+Multi-Groove+Fiberglass+Fish+Tape+200-Foot&amp;qid=1695174221&amp;sr=8-6")</f>
        <v>https://www.amazon.com/Klein-Tools-56382-Multi-Groove-Fiberglass/dp/B081ZTKDLJ/ref=sr_1_6?keywords=Klein+Tools+56059+Multi-Groove+Fiberglass+Fish+Tape+200-Foot&amp;qid=1695174221&amp;sr=8-6</v>
      </c>
      <c r="F4635" t="s">
        <v>9064</v>
      </c>
      <c r="G4635" t="e">
        <f ca="1">_xludf.IMAGE("https://edmondsonsupply.com/cdn/shop/products/56059.jpg?v=1648938340")</f>
        <v>#NAME?</v>
      </c>
      <c r="H4635" t="e">
        <f ca="1">_xludf.IMAGE("https://m.media-amazon.com/images/I/51ObZVU2LaL._AC_UL320_.jpg")</f>
        <v>#NAME?</v>
      </c>
      <c r="I4635" t="s">
        <v>7682</v>
      </c>
      <c r="J4635">
        <v>89.99</v>
      </c>
      <c r="K4635" s="4">
        <v>-0.51349999999999996</v>
      </c>
      <c r="L4635">
        <v>4.5</v>
      </c>
      <c r="M4635">
        <v>102</v>
      </c>
      <c r="O4635" t="s">
        <v>25</v>
      </c>
      <c r="P4635" t="s">
        <v>7683</v>
      </c>
      <c r="Q4635" t="s">
        <v>7684</v>
      </c>
    </row>
    <row r="4636" spans="1:17" ht="15.5" x14ac:dyDescent="0.35">
      <c r="A4636" s="3" t="str">
        <f>HYPERLINK("https://edmondsonsupply.com/collections/electricians-tools/products/milwaukee-48-03-3010-carbide-bit-spline-to-sds-max-adapter", "https://edmondsonsupply.com/collections/electricians-tools/products/milwaukee-48-03-3010-carbide-bit-spline-to-sds-max-adapter")</f>
        <v>https://edmondsonsupply.com/collections/electricians-tools/products/milwaukee-48-03-3010-carbide-bit-spline-to-sds-max-adapter</v>
      </c>
      <c r="B4636" s="3" t="str">
        <f>HYPERLINK("https://edmondsonsupply.com/products/milwaukee-48-03-3010-carbide-bit-spline-to-sds-max-adapter", "https://edmondsonsupply.com/products/milwaukee-48-03-3010-carbide-bit-spline-to-sds-max-adapter")</f>
        <v>https://edmondsonsupply.com/products/milwaukee-48-03-3010-carbide-bit-spline-to-sds-max-adapter</v>
      </c>
      <c r="C4636" t="s">
        <v>7616</v>
      </c>
      <c r="D4636" t="s">
        <v>7341</v>
      </c>
      <c r="E4636" s="3" t="str">
        <f>HYPERLINK("https://www.amazon.com/Milwaukee-48-03-3564-12-Inch-Spline-Adapter/dp/B0009H5R6Q/ref=sr_1_7?keywords=Milwaukee+48-03-3010+Spline+to+SDS-MAX+Bit+Adapter&amp;qid=1695174101&amp;sr=8-7", "https://www.amazon.com/Milwaukee-48-03-3564-12-Inch-Spline-Adapter/dp/B0009H5R6Q/ref=sr_1_7?keywords=Milwaukee+48-03-3010+Spline+to+SDS-MAX+Bit+Adapter&amp;qid=1695174101&amp;sr=8-7")</f>
        <v>https://www.amazon.com/Milwaukee-48-03-3564-12-Inch-Spline-Adapter/dp/B0009H5R6Q/ref=sr_1_7?keywords=Milwaukee+48-03-3010+Spline+to+SDS-MAX+Bit+Adapter&amp;qid=1695174101&amp;sr=8-7</v>
      </c>
      <c r="F4636" t="s">
        <v>7342</v>
      </c>
      <c r="G4636" t="e">
        <f ca="1">_xludf.IMAGE("https://edmondsonsupply.com/cdn/shop/products/48-03-3010.webp?v=1674075943")</f>
        <v>#NAME?</v>
      </c>
      <c r="H4636" t="e">
        <f ca="1">_xludf.IMAGE("https://m.media-amazon.com/images/I/2157CNN6DQL._AC_UL320_.jpg")</f>
        <v>#NAME?</v>
      </c>
      <c r="I4636" t="s">
        <v>7617</v>
      </c>
      <c r="J4636">
        <v>73.88</v>
      </c>
      <c r="K4636" s="4">
        <v>-0.51359999999999995</v>
      </c>
      <c r="L4636">
        <v>1</v>
      </c>
      <c r="M4636">
        <v>1</v>
      </c>
      <c r="O4636" t="s">
        <v>25</v>
      </c>
      <c r="P4636" t="s">
        <v>7618</v>
      </c>
      <c r="Q4636" t="s">
        <v>7619</v>
      </c>
    </row>
    <row r="4637" spans="1:17" ht="15.5" x14ac:dyDescent="0.35">
      <c r="A4637"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637"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637" t="s">
        <v>8522</v>
      </c>
      <c r="D4637" t="s">
        <v>8586</v>
      </c>
      <c r="E4637" s="3" t="str">
        <f>HYPERLINK("https://www.amazon.com/Diablo-Universal-Carbide-Oscillating-Blade/dp/B089LHKRPN/ref=sr_1_6?keywords=Diablo+Tools+DOU125BF3+1-1%2F4+in.+Universal+Fit+Bi-Metal+Oscillating+Blade+for+Metal+%283+pack%29&amp;qid=1695174014&amp;sr=8-6", "https://www.amazon.com/Diablo-Universal-Carbide-Oscillating-Blade/dp/B089LHKRPN/ref=sr_1_6?keywords=Diablo+Tools+DOU125BF3+1-1%2F4+in.+Universal+Fit+Bi-Metal+Oscillating+Blade+for+Metal+%283+pack%29&amp;qid=1695174014&amp;sr=8-6")</f>
        <v>https://www.amazon.com/Diablo-Universal-Carbide-Oscillating-Blade/dp/B089LHKRPN/ref=sr_1_6?keywords=Diablo+Tools+DOU125BF3+1-1%2F4+in.+Universal+Fit+Bi-Metal+Oscillating+Blade+for+Metal+%283+pack%29&amp;qid=1695174014&amp;sr=8-6</v>
      </c>
      <c r="F4637" t="s">
        <v>8587</v>
      </c>
      <c r="G4637" t="e">
        <f ca="1">_xludf.IMAGE("https://edmondsonsupply.com/cdn/shop/files/k1d1qiwmm4npznsdbwtg_4dc7bdf3-43a4-4863-8a1d-f71b60bc7c6d.webp?v=1685468179")</f>
        <v>#NAME?</v>
      </c>
      <c r="H4637" t="e">
        <f ca="1">_xludf.IMAGE("https://m.media-amazon.com/images/I/71izb0UUOkL._AC_UL320_.jpg")</f>
        <v>#NAME?</v>
      </c>
      <c r="I4637" t="s">
        <v>340</v>
      </c>
      <c r="J4637">
        <v>16.989999999999998</v>
      </c>
      <c r="K4637" s="4">
        <v>-0.51419999999999999</v>
      </c>
      <c r="L4637">
        <v>4.3</v>
      </c>
      <c r="M4637">
        <v>19</v>
      </c>
      <c r="O4637" t="s">
        <v>25</v>
      </c>
      <c r="P4637" t="s">
        <v>8520</v>
      </c>
      <c r="Q4637" t="s">
        <v>8523</v>
      </c>
    </row>
    <row r="4638" spans="1:17" ht="15.5" x14ac:dyDescent="0.35">
      <c r="A4638"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638"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638" t="s">
        <v>8522</v>
      </c>
      <c r="D4638" t="s">
        <v>7662</v>
      </c>
      <c r="E4638" s="3" t="str">
        <f>HYPERLINK("https://www.amazon.com/Diablo-Freud-DOU125BF3-Universal-Oscillating/dp/B089KTHL1Z/ref=sr_1_1?keywords=Diablo+Tools+DOU125BF3+1-1%2F4+in.+Universal+Fit+Bi-Metal+Oscillating+Blade+for+Metal+%283+pack%29&amp;qid=1695174014&amp;sr=8-1", "https://www.amazon.com/Diablo-Freud-DOU125BF3-Universal-Oscillating/dp/B089KTHL1Z/ref=sr_1_1?keywords=Diablo+Tools+DOU125BF3+1-1%2F4+in.+Universal+Fit+Bi-Metal+Oscillating+Blade+for+Metal+%283+pack%29&amp;qid=1695174014&amp;sr=8-1")</f>
        <v>https://www.amazon.com/Diablo-Freud-DOU125BF3-Universal-Oscillating/dp/B089KTHL1Z/ref=sr_1_1?keywords=Diablo+Tools+DOU125BF3+1-1%2F4+in.+Universal+Fit+Bi-Metal+Oscillating+Blade+for+Metal+%283+pack%29&amp;qid=1695174014&amp;sr=8-1</v>
      </c>
      <c r="F4638" t="s">
        <v>7663</v>
      </c>
      <c r="G4638" t="e">
        <f ca="1">_xludf.IMAGE("https://edmondsonsupply.com/cdn/shop/files/k1d1qiwmm4npznsdbwtg_4dc7bdf3-43a4-4863-8a1d-f71b60bc7c6d.webp?v=1685468179")</f>
        <v>#NAME?</v>
      </c>
      <c r="H4638" t="e">
        <f ca="1">_xludf.IMAGE("https://m.media-amazon.com/images/I/61mZfXlj-XL._AC_UL320_.jpg")</f>
        <v>#NAME?</v>
      </c>
      <c r="I4638" t="s">
        <v>340</v>
      </c>
      <c r="J4638">
        <v>16.989999999999998</v>
      </c>
      <c r="K4638" s="4">
        <v>-0.51419999999999999</v>
      </c>
      <c r="L4638">
        <v>4.2</v>
      </c>
      <c r="M4638">
        <v>14</v>
      </c>
      <c r="O4638" t="s">
        <v>25</v>
      </c>
      <c r="P4638" t="s">
        <v>8520</v>
      </c>
      <c r="Q4638" t="s">
        <v>8523</v>
      </c>
    </row>
    <row r="4639" spans="1:17" ht="15.5" x14ac:dyDescent="0.35">
      <c r="A4639"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639"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639" t="s">
        <v>8519</v>
      </c>
      <c r="D4639" t="s">
        <v>7662</v>
      </c>
      <c r="E4639" s="3" t="str">
        <f>HYPERLINK("https://www.amazon.com/Diablo-Freud-DOU125BF3-Universal-Oscillating/dp/B089KTHL1Z/ref=sr_1_6?keywords=Diablo+Tools+DOU125JBW3+1-1%2F4+in.+Universal+Fit+Bi-Metal+Oscillating+Blades+for+Clean+Wood&amp;qid=1695174271&amp;sr=8-6", "https://www.amazon.com/Diablo-Freud-DOU125BF3-Universal-Oscillating/dp/B089KTHL1Z/ref=sr_1_6?keywords=Diablo+Tools+DOU125JBW3+1-1%2F4+in.+Universal+Fit+Bi-Metal+Oscillating+Blades+for+Clean+Wood&amp;qid=1695174271&amp;sr=8-6")</f>
        <v>https://www.amazon.com/Diablo-Freud-DOU125BF3-Universal-Oscillating/dp/B089KTHL1Z/ref=sr_1_6?keywords=Diablo+Tools+DOU125JBW3+1-1%2F4+in.+Universal+Fit+Bi-Metal+Oscillating+Blades+for+Clean+Wood&amp;qid=1695174271&amp;sr=8-6</v>
      </c>
      <c r="F4639" t="s">
        <v>7663</v>
      </c>
      <c r="G4639" t="e">
        <f ca="1">_xludf.IMAGE("https://edmondsonsupply.com/cdn/shop/products/DOU125JBW3_Main-Image.png?v=1633031095")</f>
        <v>#NAME?</v>
      </c>
      <c r="H4639" t="e">
        <f ca="1">_xludf.IMAGE("https://m.media-amazon.com/images/I/61mZfXlj-XL._AC_UL320_.jpg")</f>
        <v>#NAME?</v>
      </c>
      <c r="I4639" t="s">
        <v>340</v>
      </c>
      <c r="J4639">
        <v>16.989999999999998</v>
      </c>
      <c r="K4639" s="4">
        <v>-0.51419999999999999</v>
      </c>
      <c r="L4639">
        <v>4.2</v>
      </c>
      <c r="M4639">
        <v>14</v>
      </c>
      <c r="O4639" t="s">
        <v>25</v>
      </c>
      <c r="P4639" t="s">
        <v>8520</v>
      </c>
      <c r="Q4639" t="s">
        <v>8521</v>
      </c>
    </row>
    <row r="4640" spans="1:17" ht="15.5" x14ac:dyDescent="0.35">
      <c r="A4640" s="3" t="str">
        <f>HYPERLINK("https://edmondsonsupply.com/collections/electricians-tools/products/klein-tools-ktsb03-step-drill-bit-double-fluted-3-1-4-to-3-4-inch", "https://edmondsonsupply.com/collections/electricians-tools/products/klein-tools-ktsb03-step-drill-bit-double-fluted-3-1-4-to-3-4-inch")</f>
        <v>https://edmondsonsupply.com/collections/electricians-tools/products/klein-tools-ktsb03-step-drill-bit-double-fluted-3-1-4-to-3-4-inch</v>
      </c>
      <c r="B4640" s="3" t="str">
        <f>HYPERLINK("https://edmondsonsupply.com/products/klein-tools-ktsb03-step-drill-bit-double-fluted-3-1-4-to-3-4-inch", "https://edmondsonsupply.com/products/klein-tools-ktsb03-step-drill-bit-double-fluted-3-1-4-to-3-4-inch")</f>
        <v>https://edmondsonsupply.com/products/klein-tools-ktsb03-step-drill-bit-double-fluted-3-1-4-to-3-4-inch</v>
      </c>
      <c r="C4640" t="s">
        <v>1978</v>
      </c>
      <c r="D4640" t="s">
        <v>5180</v>
      </c>
      <c r="E4640" s="3" t="str">
        <f>HYPERLINK("https://www.amazon.com/Jerax-tools-Drilling-Stainless-Aluminum/dp/B094VCMB17/ref=sr_1_5?keywords=Klein+Tools+KTSB03+Step+Drill+Bit+Double+Fluted&amp;qid=1695173948&amp;sr=8-5", "https://www.amazon.com/Jerax-tools-Drilling-Stainless-Aluminum/dp/B094VCMB17/ref=sr_1_5?keywords=Klein+Tools+KTSB03+Step+Drill+Bit+Double+Fluted&amp;qid=1695173948&amp;sr=8-5")</f>
        <v>https://www.amazon.com/Jerax-tools-Drilling-Stainless-Aluminum/dp/B094VCMB17/ref=sr_1_5?keywords=Klein+Tools+KTSB03+Step+Drill+Bit+Double+Fluted&amp;qid=1695173948&amp;sr=8-5</v>
      </c>
      <c r="F4640" t="s">
        <v>5181</v>
      </c>
      <c r="G4640" t="e">
        <f ca="1">_xludf.IMAGE("https://edmondsonsupply.com/cdn/shop/products/ktsb03.jpg?v=1666012212")</f>
        <v>#NAME?</v>
      </c>
      <c r="H4640" t="e">
        <f ca="1">_xludf.IMAGE("https://m.media-amazon.com/images/I/51fvUl5tapL._AC_UY218_.jpg")</f>
        <v>#NAME?</v>
      </c>
      <c r="I4640" t="s">
        <v>571</v>
      </c>
      <c r="J4640">
        <v>16.95</v>
      </c>
      <c r="K4640" s="4">
        <v>-0.51559999999999995</v>
      </c>
      <c r="L4640">
        <v>4.5</v>
      </c>
      <c r="M4640">
        <v>713</v>
      </c>
      <c r="O4640" t="s">
        <v>25</v>
      </c>
      <c r="P4640" t="s">
        <v>1981</v>
      </c>
      <c r="Q4640" t="s">
        <v>1982</v>
      </c>
    </row>
    <row r="4641" spans="1:17" ht="15.5" x14ac:dyDescent="0.35">
      <c r="A4641" s="3" t="str">
        <f>HYPERLINK("https://edmondsonsupply.com/collections/electricians-tools/products/diablo-tools-dmamx1220", "https://edmondsonsupply.com/collections/electricians-tools/products/diablo-tools-dmamx1220")</f>
        <v>https://edmondsonsupply.com/collections/electricians-tools/products/diablo-tools-dmamx1220</v>
      </c>
      <c r="B4641" s="3" t="str">
        <f>HYPERLINK("https://edmondsonsupply.com/products/diablo-tools-dmamx1220", "https://edmondsonsupply.com/products/diablo-tools-dmamx1220")</f>
        <v>https://edmondsonsupply.com/products/diablo-tools-dmamx1220</v>
      </c>
      <c r="C4641" t="s">
        <v>7454</v>
      </c>
      <c r="D4641" t="s">
        <v>9065</v>
      </c>
      <c r="E4641" s="3" t="str">
        <f>HYPERLINK("https://www.amazon.com/Diablo-Freud-DMAPL4200-SDS-Plus-4-Cutter/dp/B089KW2QV1/ref=sr_1_10?keywords=Diablo+Tools+DMAMX1220+1+in.+x+16+in.+x+21+in.+Rebar+Demon%E2%84%A2+SDS-Max+4-Cutter+Full+Carbide+Head+Hammer+Drill+Bit&amp;qid=1695174109&amp;sr=8-10", "https://www.amazon.com/Diablo-Freud-DMAPL4200-SDS-Plus-4-Cutter/dp/B089KW2QV1/ref=sr_1_10?keywords=Diablo+Tools+DMAMX1220+1+in.+x+16+in.+x+21+in.+Rebar+Demon%E2%84%A2+SDS-Max+4-Cutter+Full+Carbide+Head+Hammer+Drill+Bit&amp;qid=1695174109&amp;sr=8-10")</f>
        <v>https://www.amazon.com/Diablo-Freud-DMAPL4200-SDS-Plus-4-Cutter/dp/B089KW2QV1/ref=sr_1_10?keywords=Diablo+Tools+DMAMX1220+1+in.+x+16+in.+x+21+in.+Rebar+Demon%E2%84%A2+SDS-Max+4-Cutter+Full+Carbide+Head+Hammer+Drill+Bit&amp;qid=1695174109&amp;sr=8-10</v>
      </c>
      <c r="F4641" t="s">
        <v>9066</v>
      </c>
      <c r="G4641" t="e">
        <f ca="1">_xludf.IMAGE("https://edmondsonsupply.com/cdn/shop/products/immoyh7jjmbau4fzhuq6.webp?v=1670431066")</f>
        <v>#NAME?</v>
      </c>
      <c r="H4641" t="e">
        <f ca="1">_xludf.IMAGE("https://m.media-amazon.com/images/I/61rW+ROVmNL._AC_UL320_.jpg")</f>
        <v>#NAME?</v>
      </c>
      <c r="I4641" t="s">
        <v>7455</v>
      </c>
      <c r="J4641">
        <v>22</v>
      </c>
      <c r="K4641" s="4">
        <v>-0.51849999999999996</v>
      </c>
      <c r="L4641">
        <v>4.7</v>
      </c>
      <c r="M4641">
        <v>18</v>
      </c>
      <c r="O4641" t="s">
        <v>25</v>
      </c>
      <c r="P4641" t="s">
        <v>7456</v>
      </c>
      <c r="Q4641" t="s">
        <v>7457</v>
      </c>
    </row>
    <row r="4642" spans="1:17" ht="15.5" x14ac:dyDescent="0.35">
      <c r="A4642"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4642" s="3" t="str">
        <f>HYPERLINK("https://edmondsonsupply.com/products/klein-tools-56341-stainless-steel-fish-tape-1-8-inch-x-240-foot", "https://edmondsonsupply.com/products/klein-tools-56341-stainless-steel-fish-tape-1-8-inch-x-240-foot")</f>
        <v>https://edmondsonsupply.com/products/klein-tools-56341-stainless-steel-fish-tape-1-8-inch-x-240-foot</v>
      </c>
      <c r="C4642" t="s">
        <v>7829</v>
      </c>
      <c r="D4642" t="s">
        <v>9067</v>
      </c>
      <c r="E4642" s="3" t="str">
        <f>HYPERLINK("https://www.amazon.com/Klein-Tools-56333-Optimized-120-Foot/dp/B081TVVJTY/ref=sr_1_6?keywords=Klein+Tools+56341+Stainless+Steel+Fish+Tape%2C+1%2F8-Inch+x+240-Foot&amp;qid=1695174134&amp;sr=8-6", "https://www.amazon.com/Klein-Tools-56333-Optimized-120-Foot/dp/B081TVVJTY/ref=sr_1_6?keywords=Klein+Tools+56341+Stainless+Steel+Fish+Tape%2C+1%2F8-Inch+x+240-Foot&amp;qid=1695174134&amp;sr=8-6")</f>
        <v>https://www.amazon.com/Klein-Tools-56333-Optimized-120-Foot/dp/B081TVVJTY/ref=sr_1_6?keywords=Klein+Tools+56341+Stainless+Steel+Fish+Tape%2C+1%2F8-Inch+x+240-Foot&amp;qid=1695174134&amp;sr=8-6</v>
      </c>
      <c r="F4642" t="s">
        <v>9068</v>
      </c>
      <c r="G4642" t="e">
        <f ca="1">_xludf.IMAGE("https://edmondsonsupply.com/cdn/shop/products/56341.jpg?v=1666901345")</f>
        <v>#NAME?</v>
      </c>
      <c r="H4642" t="e">
        <f ca="1">_xludf.IMAGE("https://m.media-amazon.com/images/I/51qsQYpwj0L._AC_UL320_.jpg")</f>
        <v>#NAME?</v>
      </c>
      <c r="I4642" t="s">
        <v>7832</v>
      </c>
      <c r="J4642">
        <v>54.97</v>
      </c>
      <c r="K4642" s="4">
        <v>-0.52200000000000002</v>
      </c>
      <c r="L4642">
        <v>4.5999999999999996</v>
      </c>
      <c r="M4642">
        <v>334</v>
      </c>
      <c r="O4642" t="s">
        <v>25</v>
      </c>
      <c r="P4642" t="s">
        <v>7833</v>
      </c>
      <c r="Q4642" t="s">
        <v>7834</v>
      </c>
    </row>
    <row r="4643" spans="1:17" ht="15.5" x14ac:dyDescent="0.35">
      <c r="A4643" s="3" t="str">
        <f>HYPERLINK("https://edmondsonsupply.com/collections/electricians-tools/products/uniweld-70075-ratchet-wrenches", "https://edmondsonsupply.com/collections/electricians-tools/products/uniweld-70075-ratchet-wrenches")</f>
        <v>https://edmondsonsupply.com/collections/electricians-tools/products/uniweld-70075-ratchet-wrenches</v>
      </c>
      <c r="B4643" s="3" t="str">
        <f>HYPERLINK("https://edmondsonsupply.com/products/uniweld-70075-ratchet-wrenches", "https://edmondsonsupply.com/products/uniweld-70075-ratchet-wrenches")</f>
        <v>https://edmondsonsupply.com/products/uniweld-70075-ratchet-wrenches</v>
      </c>
      <c r="C4643" t="s">
        <v>7245</v>
      </c>
      <c r="D4643" t="s">
        <v>9069</v>
      </c>
      <c r="E4643" s="3" t="str">
        <f>HYPERLINK("https://www.amazon.com/FOCMKEAS-8-7-16-Reversible-Heavy-Duty%EF%BC%8C72/dp/B0B6JJX8CH/ref=sr_1_4?keywords=uniweld+70075+heavy+duty+offset+ratchet+wrench&amp;qid=1695174182&amp;sr=8-4", "https://www.amazon.com/FOCMKEAS-8-7-16-Reversible-Heavy-Duty%EF%BC%8C72/dp/B0B6JJX8CH/ref=sr_1_4?keywords=uniweld+70075+heavy+duty+offset+ratchet+wrench&amp;qid=1695174182&amp;sr=8-4")</f>
        <v>https://www.amazon.com/FOCMKEAS-8-7-16-Reversible-Heavy-Duty%EF%BC%8C72/dp/B0B6JJX8CH/ref=sr_1_4?keywords=uniweld+70075+heavy+duty+offset+ratchet+wrench&amp;qid=1695174182&amp;sr=8-4</v>
      </c>
      <c r="F4643" t="s">
        <v>9070</v>
      </c>
      <c r="G4643" t="e">
        <f ca="1">_xludf.IMAGE("https://edmondsonsupply.com/cdn/shop/products/70075_pkg.jpg?v=1656078756")</f>
        <v>#NAME?</v>
      </c>
      <c r="H4643" t="e">
        <f ca="1">_xludf.IMAGE("https://m.media-amazon.com/images/I/41cC2VWmXML._AC_UL320_.jpg")</f>
        <v>#NAME?</v>
      </c>
      <c r="I4643" t="s">
        <v>3185</v>
      </c>
      <c r="J4643">
        <v>9.99</v>
      </c>
      <c r="K4643" s="4">
        <v>-0.52410000000000001</v>
      </c>
      <c r="L4643">
        <v>3.9</v>
      </c>
      <c r="M4643">
        <v>12</v>
      </c>
      <c r="O4643" t="s">
        <v>25</v>
      </c>
      <c r="P4643" t="s">
        <v>7248</v>
      </c>
      <c r="Q4643" t="s">
        <v>7249</v>
      </c>
    </row>
    <row r="4644" spans="1:17" ht="15.5" x14ac:dyDescent="0.35">
      <c r="A4644"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4644"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4644" t="s">
        <v>6755</v>
      </c>
      <c r="D4644" t="s">
        <v>7866</v>
      </c>
      <c r="E4644" s="3" t="str">
        <f>HYPERLINK("https://www.amazon.com/Klein-Tools-6824INS-Screwdriver-Cushion-Grip/dp/B0BF78XBPX/ref=sr_1_4?keywords=Klein+Tools+602-4-INS+1%2F4-Inch+Cabinet+Tip+Insulated+Screwdriver%2C+4-Inch&amp;qid=1695174266&amp;sr=8-4", "https://www.amazon.com/Klein-Tools-6824INS-Screwdriver-Cushion-Grip/dp/B0BF78XBPX/ref=sr_1_4?keywords=Klein+Tools+602-4-INS+1%2F4-Inch+Cabinet+Tip+Insulated+Screwdriver%2C+4-Inch&amp;qid=1695174266&amp;sr=8-4")</f>
        <v>https://www.amazon.com/Klein-Tools-6824INS-Screwdriver-Cushion-Grip/dp/B0BF78XBPX/ref=sr_1_4?keywords=Klein+Tools+602-4-INS+1%2F4-Inch+Cabinet+Tip+Insulated+Screwdriver%2C+4-Inch&amp;qid=1695174266&amp;sr=8-4</v>
      </c>
      <c r="F4644" t="s">
        <v>7867</v>
      </c>
      <c r="G4644" t="e">
        <f ca="1">_xludf.IMAGE("https://edmondsonsupply.com/cdn/shop/products/602-4-ins-photo.jpg?v=1633031051")</f>
        <v>#NAME?</v>
      </c>
      <c r="H4644" t="e">
        <f ca="1">_xludf.IMAGE("https://m.media-amazon.com/images/I/410Gu3snLdL._AC_UL320_.jpg")</f>
        <v>#NAME?</v>
      </c>
      <c r="I4644" t="s">
        <v>3185</v>
      </c>
      <c r="J4644">
        <v>9.99</v>
      </c>
      <c r="K4644" s="4">
        <v>-0.52410000000000001</v>
      </c>
      <c r="L4644">
        <v>4.9000000000000004</v>
      </c>
      <c r="M4644">
        <v>205</v>
      </c>
      <c r="O4644" t="s">
        <v>25</v>
      </c>
      <c r="P4644" t="s">
        <v>6758</v>
      </c>
      <c r="Q4644" t="s">
        <v>6759</v>
      </c>
    </row>
    <row r="4645" spans="1:17" ht="15.5" x14ac:dyDescent="0.35">
      <c r="A4645" s="3" t="str">
        <f>HYPERLINK("https://edmondsonsupply.com/collections/electricians-tools/products/wiha-tools-66992-22-piece-magicring-ball-end-hex-l-key-set-inch-metric", "https://edmondsonsupply.com/collections/electricians-tools/products/wiha-tools-66992-22-piece-magicring-ball-end-hex-l-key-set-inch-metric")</f>
        <v>https://edmondsonsupply.com/collections/electricians-tools/products/wiha-tools-66992-22-piece-magicring-ball-end-hex-l-key-set-inch-metric</v>
      </c>
      <c r="B4645"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4645" t="s">
        <v>4919</v>
      </c>
      <c r="D4645" t="s">
        <v>4396</v>
      </c>
      <c r="E4645" s="3" t="str">
        <f>HYPERLINK("https://www.amazon.com/Wiha-66991-MagicRing-Holder-Piece/dp/B000WTAK2C/ref=sr_1_2?keywords=Wiha+Tools+66992+22+Piece+MagicRing+Ball+End+Hex+L-Key+Set+-+Inch+-+Metric&amp;qid=1695173977&amp;sr=8-2", "https://www.amazon.com/Wiha-66991-MagicRing-Holder-Piece/dp/B000WTAK2C/ref=sr_1_2?keywords=Wiha+Tools+66992+22+Piece+MagicRing+Ball+End+Hex+L-Key+Set+-+Inch+-+Metric&amp;qid=1695173977&amp;sr=8-2")</f>
        <v>https://www.amazon.com/Wiha-66991-MagicRing-Holder-Piece/dp/B000WTAK2C/ref=sr_1_2?keywords=Wiha+Tools+66992+22+Piece+MagicRing+Ball+End+Hex+L-Key+Set+-+Inch+-+Metric&amp;qid=1695173977&amp;sr=8-2</v>
      </c>
      <c r="F4645" t="s">
        <v>4397</v>
      </c>
      <c r="G4645" t="e">
        <f ca="1">_xludf.IMAGE("https://edmondsonsupply.com/cdn/shop/files/29417a271125353d697d01cfdfb24cc6e99901ce_1000x_6829985f-7f40-4410-b5be-ba7bc87b2a14.webp?v=1690840271")</f>
        <v>#NAME?</v>
      </c>
      <c r="H4645" t="e">
        <f ca="1">_xludf.IMAGE("https://m.media-amazon.com/images/I/61jqxmDwZLL._AC_UL320_.jpg")</f>
        <v>#NAME?</v>
      </c>
      <c r="I4645" t="s">
        <v>4922</v>
      </c>
      <c r="J4645">
        <v>39.99</v>
      </c>
      <c r="K4645" s="4">
        <v>-0.52500000000000002</v>
      </c>
      <c r="L4645">
        <v>4.8</v>
      </c>
      <c r="M4645">
        <v>17</v>
      </c>
      <c r="O4645" t="s">
        <v>25</v>
      </c>
      <c r="P4645" t="s">
        <v>4923</v>
      </c>
      <c r="Q4645" t="s">
        <v>4924</v>
      </c>
    </row>
    <row r="4646" spans="1:17" ht="15.5" x14ac:dyDescent="0.35">
      <c r="A4646" s="3" t="str">
        <f>HYPERLINK("https://edmondsonsupply.com/collections/electricians-tools/products/veto-pro-pac-tech-pac-wheeler-backpack-tool-bag", "https://edmondsonsupply.com/collections/electricians-tools/products/veto-pro-pac-tech-pac-wheeler-backpack-tool-bag")</f>
        <v>https://edmondsonsupply.com/collections/electricians-tools/products/veto-pro-pac-tech-pac-wheeler-backpack-tool-bag</v>
      </c>
      <c r="B4646" s="3" t="str">
        <f>HYPERLINK("https://edmondsonsupply.com/products/veto-pro-pac-tech-pac-wheeler-backpack-tool-bag", "https://edmondsonsupply.com/products/veto-pro-pac-tech-pac-wheeler-backpack-tool-bag")</f>
        <v>https://edmondsonsupply.com/products/veto-pro-pac-tech-pac-wheeler-backpack-tool-bag</v>
      </c>
      <c r="C4646" t="s">
        <v>756</v>
      </c>
      <c r="D4646" t="s">
        <v>501</v>
      </c>
      <c r="E4646" s="3" t="str">
        <f>HYPERLINK("https://www.amazon.com/VETO-PRO-PAC-TECH-MCT-Tool/dp/B01CENNFYS/ref=sr_1_5?keywords=Veto+Pro+Pac+TECH+PAC+WHEELER+Backpack+Tool+Bag&amp;qid=1695173855&amp;sr=8-5", "https://www.amazon.com/VETO-PRO-PAC-TECH-MCT-Tool/dp/B01CENNFYS/ref=sr_1_5?keywords=Veto+Pro+Pac+TECH+PAC+WHEELER+Backpack+Tool+Bag&amp;qid=1695173855&amp;sr=8-5")</f>
        <v>https://www.amazon.com/VETO-PRO-PAC-TECH-MCT-Tool/dp/B01CENNFYS/ref=sr_1_5?keywords=Veto+Pro+Pac+TECH+PAC+WHEELER+Backpack+Tool+Bag&amp;qid=1695173855&amp;sr=8-5</v>
      </c>
      <c r="F4646" t="s">
        <v>502</v>
      </c>
      <c r="G4646" t="e">
        <f ca="1">_xludf.IMAGE("https://edmondsonsupply.com/cdn/shop/products/01_TECH-PAC-WHEELER.jpg?v=1633031176")</f>
        <v>#NAME?</v>
      </c>
      <c r="H4646" t="e">
        <f ca="1">_xludf.IMAGE("https://m.media-amazon.com/images/I/61GanfvVX6L._AC_UL320_.jpg")</f>
        <v>#NAME?</v>
      </c>
      <c r="I4646" t="s">
        <v>42</v>
      </c>
      <c r="J4646">
        <v>189.95</v>
      </c>
      <c r="K4646" s="4">
        <v>-0.52510000000000001</v>
      </c>
      <c r="L4646">
        <v>4.8</v>
      </c>
      <c r="M4646">
        <v>2083</v>
      </c>
      <c r="O4646" t="s">
        <v>25</v>
      </c>
      <c r="P4646" t="s">
        <v>138</v>
      </c>
      <c r="Q4646" t="s">
        <v>757</v>
      </c>
    </row>
    <row r="4647" spans="1:17" ht="15.5" x14ac:dyDescent="0.35">
      <c r="A4647" s="3" t="str">
        <f>HYPERLINK("https://edmondsonsupply.com/collections/electricians-tools/products/fluke-tl220-suregrip%E2%84%A2-industrial-test-lead-set", "https://edmondsonsupply.com/collections/electricians-tools/products/fluke-tl220-suregrip%E2%84%A2-industrial-test-lead-set")</f>
        <v>https://edmondsonsupply.com/collections/electricians-tools/products/fluke-tl220-suregrip%E2%84%A2-industrial-test-lead-set</v>
      </c>
      <c r="B4647" s="3" t="str">
        <f>HYPERLINK("https://edmondsonsupply.com/products/fluke-tl220-suregrip%e2%84%a2-industrial-test-lead-set", "https://edmondsonsupply.com/products/fluke-tl220-suregrip%e2%84%a2-industrial-test-lead-set")</f>
        <v>https://edmondsonsupply.com/products/fluke-tl220-suregrip%e2%84%a2-industrial-test-lead-set</v>
      </c>
      <c r="C4647" t="s">
        <v>8431</v>
      </c>
      <c r="D4647" t="s">
        <v>9071</v>
      </c>
      <c r="E4647" s="3" t="str">
        <f>HYPERLINK("https://www.amazon.com/Fluke-TL221-Test-Extension-FLK-TL221/dp/B008FM2XPA/ref=sr_1_2?keywords=Fluke+TL220+SureGrip%E2%84%A2+Industrial+Test+Lead+Set&amp;qid=1695174242&amp;sr=8-2", "https://www.amazon.com/Fluke-TL221-Test-Extension-FLK-TL221/dp/B008FM2XPA/ref=sr_1_2?keywords=Fluke+TL220+SureGrip%E2%84%A2+Industrial+Test+Lead+Set&amp;qid=1695174242&amp;sr=8-2")</f>
        <v>https://www.amazon.com/Fluke-TL221-Test-Extension-FLK-TL221/dp/B008FM2XPA/ref=sr_1_2?keywords=Fluke+TL220+SureGrip%E2%84%A2+Industrial+Test+Lead+Set&amp;qid=1695174242&amp;sr=8-2</v>
      </c>
      <c r="F4647" t="s">
        <v>9072</v>
      </c>
      <c r="G4647" t="e">
        <f ca="1">_xludf.IMAGE("https://edmondsonsupply.com/cdn/shop/products/220.png?v=1633540209")</f>
        <v>#NAME?</v>
      </c>
      <c r="H4647" t="e">
        <f ca="1">_xludf.IMAGE("https://m.media-amazon.com/images/I/21cU9qMCp7L._AC_UY218_.jpg")</f>
        <v>#NAME?</v>
      </c>
      <c r="I4647" t="s">
        <v>8434</v>
      </c>
      <c r="J4647">
        <v>44.5</v>
      </c>
      <c r="K4647" s="4">
        <v>-0.52649999999999997</v>
      </c>
      <c r="L4647">
        <v>5</v>
      </c>
      <c r="M4647">
        <v>10</v>
      </c>
      <c r="O4647" t="s">
        <v>25</v>
      </c>
      <c r="P4647" t="s">
        <v>8435</v>
      </c>
      <c r="Q4647" t="s">
        <v>8436</v>
      </c>
    </row>
    <row r="4648" spans="1:17" ht="15.5" x14ac:dyDescent="0.35">
      <c r="A4648"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4648" s="3" t="str">
        <f>HYPERLINK("https://edmondsonsupply.com/products/klein-tools-pnd-12-5-1-2-inch-power-nut-driver-5-inch-length", "https://edmondsonsupply.com/products/klein-tools-pnd-12-5-1-2-inch-power-nut-driver-5-inch-length")</f>
        <v>https://edmondsonsupply.com/products/klein-tools-pnd-12-5-1-2-inch-power-nut-driver-5-inch-length</v>
      </c>
      <c r="C4648" t="s">
        <v>1684</v>
      </c>
      <c r="D4648" t="s">
        <v>5585</v>
      </c>
      <c r="E4648" s="3" t="str">
        <f>HYPERLINK("https://www.amazon.com/16-Inch-Drivers-Klein-Tools-32767/dp/B09R3CWH91/ref=sr_1_5?keywords=Klein+Tools+PND-12-5+1%2F2-Inch+Power+Nut+Driver+5-Inch+Length&amp;qid=1695173880&amp;sr=8-5", "https://www.amazon.com/16-Inch-Drivers-Klein-Tools-32767/dp/B09R3CWH91/ref=sr_1_5?keywords=Klein+Tools+PND-12-5+1%2F2-Inch+Power+Nut+Driver+5-Inch+Length&amp;qid=1695173880&amp;sr=8-5")</f>
        <v>https://www.amazon.com/16-Inch-Drivers-Klein-Tools-32767/dp/B09R3CWH91/ref=sr_1_5?keywords=Klein+Tools+PND-12-5+1%2F2-Inch+Power+Nut+Driver+5-Inch+Length&amp;qid=1695173880&amp;sr=8-5</v>
      </c>
      <c r="F4648" t="s">
        <v>5586</v>
      </c>
      <c r="G4648" t="e">
        <f ca="1">_xludf.IMAGE("https://edmondsonsupply.com/cdn/shop/products/pnd125.jpg?v=1633031028")</f>
        <v>#NAME?</v>
      </c>
      <c r="H4648" t="e">
        <f ca="1">_xludf.IMAGE("https://m.media-amazon.com/images/I/51a0o6PdKNL._AC_UL320_.jpg")</f>
        <v>#NAME?</v>
      </c>
      <c r="I4648" t="s">
        <v>1687</v>
      </c>
      <c r="J4648">
        <v>8.99</v>
      </c>
      <c r="K4648" s="4">
        <v>-0.52659999999999996</v>
      </c>
      <c r="L4648">
        <v>4.4000000000000004</v>
      </c>
      <c r="M4648">
        <v>806</v>
      </c>
      <c r="O4648" t="s">
        <v>25</v>
      </c>
      <c r="P4648" t="s">
        <v>1688</v>
      </c>
      <c r="Q4648" t="s">
        <v>1689</v>
      </c>
    </row>
    <row r="4649" spans="1:17" ht="15.5" x14ac:dyDescent="0.35">
      <c r="A4649"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4649" s="3" t="str">
        <f>HYPERLINK("https://edmondsonsupply.com/products/milwaukee-2953-22-m18-fuel%e2%84%a2-1-4-hex-impact-driver-kit", "https://edmondsonsupply.com/products/milwaukee-2953-22-m18-fuel%e2%84%a2-1-4-hex-impact-driver-kit")</f>
        <v>https://edmondsonsupply.com/products/milwaukee-2953-22-m18-fuel%e2%84%a2-1-4-hex-impact-driver-kit</v>
      </c>
      <c r="C4649" t="s">
        <v>7565</v>
      </c>
      <c r="D4649" t="s">
        <v>8692</v>
      </c>
      <c r="E4649" s="3" t="str">
        <f>HYPERLINK("https://www.amazon.com/Milwaukee-3453-22-Cordless-Lithium-Batteries/dp/B0BLT6PSKS/ref=sr_1_6?keywords=Milwaukee+2953-22+M18+FUEL%E2%84%A2+1%2F4%22+Hex+Impact+Driver+Kit&amp;qid=1695174155&amp;sr=8-6", "https://www.amazon.com/Milwaukee-3453-22-Cordless-Lithium-Batteries/dp/B0BLT6PSKS/ref=sr_1_6?keywords=Milwaukee+2953-22+M18+FUEL%E2%84%A2+1%2F4%22+Hex+Impact+Driver+Kit&amp;qid=1695174155&amp;sr=8-6")</f>
        <v>https://www.amazon.com/Milwaukee-3453-22-Cordless-Lithium-Batteries/dp/B0BLT6PSKS/ref=sr_1_6?keywords=Milwaukee+2953-22+M18+FUEL%E2%84%A2+1%2F4%22+Hex+Impact+Driver+Kit&amp;qid=1695174155&amp;sr=8-6</v>
      </c>
      <c r="F4649" t="s">
        <v>8693</v>
      </c>
      <c r="G4649" t="e">
        <f ca="1">_xludf.IMAGE("https://edmondsonsupply.com/cdn/shop/products/29532022ImageReel2.webp?v=1663599746")</f>
        <v>#NAME?</v>
      </c>
      <c r="H4649" t="e">
        <f ca="1">_xludf.IMAGE("https://m.media-amazon.com/images/I/71EfdWfKpQL._AC_UL320_.jpg")</f>
        <v>#NAME?</v>
      </c>
      <c r="I4649" t="s">
        <v>5012</v>
      </c>
      <c r="J4649">
        <v>140.99</v>
      </c>
      <c r="K4649" s="4">
        <v>-0.52849999999999997</v>
      </c>
      <c r="L4649">
        <v>4.7</v>
      </c>
      <c r="M4649">
        <v>51</v>
      </c>
      <c r="O4649" t="s">
        <v>25</v>
      </c>
      <c r="P4649" t="s">
        <v>7566</v>
      </c>
      <c r="Q4649" t="s">
        <v>7567</v>
      </c>
    </row>
    <row r="4650" spans="1:17" ht="15.5" x14ac:dyDescent="0.35">
      <c r="A4650" s="3" t="str">
        <f>HYPERLINK("https://edmondsonsupply.com/collections/electricians-tools/products/klein-tools-69191-11a-replacement-fuse", "https://edmondsonsupply.com/collections/electricians-tools/products/klein-tools-69191-11a-replacement-fuse")</f>
        <v>https://edmondsonsupply.com/collections/electricians-tools/products/klein-tools-69191-11a-replacement-fuse</v>
      </c>
      <c r="B4650" s="3" t="str">
        <f>HYPERLINK("https://edmondsonsupply.com/products/klein-tools-69191-11a-replacement-fuse", "https://edmondsonsupply.com/products/klein-tools-69191-11a-replacement-fuse")</f>
        <v>https://edmondsonsupply.com/products/klein-tools-69191-11a-replacement-fuse</v>
      </c>
      <c r="C4650" t="s">
        <v>9073</v>
      </c>
      <c r="D4650" t="s">
        <v>9074</v>
      </c>
      <c r="E4650" s="3" t="str">
        <f>HYPERLINK("https://www.amazon.com/Replacement-Fuse-Klein-Tools-69191/dp/B007GSH3W2/ref=sr_1_1?keywords=Klein+Tools+69191+11A+Replacement+Fuse&amp;qid=1695174280&amp;sr=8-1", "https://www.amazon.com/Replacement-Fuse-Klein-Tools-69191/dp/B007GSH3W2/ref=sr_1_1?keywords=Klein+Tools+69191+11A+Replacement+Fuse&amp;qid=1695174280&amp;sr=8-1")</f>
        <v>https://www.amazon.com/Replacement-Fuse-Klein-Tools-69191/dp/B007GSH3W2/ref=sr_1_1?keywords=Klein+Tools+69191+11A+Replacement+Fuse&amp;qid=1695174280&amp;sr=8-1</v>
      </c>
      <c r="F4650" t="s">
        <v>9075</v>
      </c>
      <c r="G4650" t="e">
        <f ca="1">_xludf.IMAGE("https://edmondsonsupply.com/cdn/shop/products/69191.jpg?v=1633030994")</f>
        <v>#NAME?</v>
      </c>
      <c r="H4650" t="e">
        <f ca="1">_xludf.IMAGE("https://m.media-amazon.com/images/I/61VhhtUpssL._AC_UL320_.jpg")</f>
        <v>#NAME?</v>
      </c>
      <c r="I4650" t="s">
        <v>9076</v>
      </c>
      <c r="J4650">
        <v>6.99</v>
      </c>
      <c r="K4650" s="4">
        <v>-0.52929999999999999</v>
      </c>
      <c r="L4650">
        <v>4.5999999999999996</v>
      </c>
      <c r="M4650">
        <v>20</v>
      </c>
      <c r="O4650" t="s">
        <v>25</v>
      </c>
      <c r="P4650" t="s">
        <v>4772</v>
      </c>
      <c r="Q4650" t="s">
        <v>9077</v>
      </c>
    </row>
    <row r="4651" spans="1:17" ht="15.5" x14ac:dyDescent="0.35">
      <c r="A4651"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4651" s="3" t="str">
        <f>HYPERLINK("https://edmondsonsupply.com/products/veto-pro-pac-tech-pac-backpack-tool-bag-1", "https://edmondsonsupply.com/products/veto-pro-pac-tech-pac-backpack-tool-bag-1")</f>
        <v>https://edmondsonsupply.com/products/veto-pro-pac-tech-pac-backpack-tool-bag-1</v>
      </c>
      <c r="C4651" t="s">
        <v>8235</v>
      </c>
      <c r="D4651" t="s">
        <v>9078</v>
      </c>
      <c r="E4651" s="3" t="str">
        <f>HYPERLINK("https://www.amazon.com/Klein-Tools-62805BPTECH-Tradesman-Extra-Large/dp/B0C7HMWCW6/ref=sr_1_7?keywords=Veto+Pro+Pac+TECH+PAC+LT+Laptop+Backpack+Tool+Bag&amp;qid=1695174263&amp;sr=8-7", "https://www.amazon.com/Klein-Tools-62805BPTECH-Tradesman-Extra-Large/dp/B0C7HMWCW6/ref=sr_1_7?keywords=Veto+Pro+Pac+TECH+PAC+LT+Laptop+Backpack+Tool+Bag&amp;qid=1695174263&amp;sr=8-7")</f>
        <v>https://www.amazon.com/Klein-Tools-62805BPTECH-Tradesman-Extra-Large/dp/B0C7HMWCW6/ref=sr_1_7?keywords=Veto+Pro+Pac+TECH+PAC+LT+Laptop+Backpack+Tool+Bag&amp;qid=1695174263&amp;sr=8-7</v>
      </c>
      <c r="F4651" t="s">
        <v>9079</v>
      </c>
      <c r="G4651" t="e">
        <f ca="1">_xludf.IMAGE("https://edmondsonsupply.com/cdn/shop/products/LT_1.jpg?v=1587146035")</f>
        <v>#NAME?</v>
      </c>
      <c r="H4651" t="e">
        <f ca="1">_xludf.IMAGE("https://m.media-amazon.com/images/I/61VlhMDQGbL._AC_UL320_.jpg")</f>
        <v>#NAME?</v>
      </c>
      <c r="I4651" t="s">
        <v>8236</v>
      </c>
      <c r="J4651">
        <v>136.47999999999999</v>
      </c>
      <c r="K4651" s="4">
        <v>-0.52939999999999998</v>
      </c>
      <c r="L4651">
        <v>3.3</v>
      </c>
      <c r="M4651">
        <v>3</v>
      </c>
      <c r="O4651" t="s">
        <v>25</v>
      </c>
      <c r="P4651" t="s">
        <v>138</v>
      </c>
      <c r="Q4651" t="s">
        <v>8237</v>
      </c>
    </row>
    <row r="4652" spans="1:17" ht="15.5" x14ac:dyDescent="0.35">
      <c r="A4652"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4652" s="3" t="str">
        <f>HYPERLINK("https://edmondsonsupply.com/products/klein-tools-610-stubby-nut-driver-set-1-1-2-inch-shafts-2-piece", "https://edmondsonsupply.com/products/klein-tools-610-stubby-nut-driver-set-1-1-2-inch-shafts-2-piece")</f>
        <v>https://edmondsonsupply.com/products/klein-tools-610-stubby-nut-driver-set-1-1-2-inch-shafts-2-piece</v>
      </c>
      <c r="C4652" t="s">
        <v>3030</v>
      </c>
      <c r="D4652" t="s">
        <v>5587</v>
      </c>
      <c r="E4652" s="3" t="str">
        <f>HYPERLINK("https://www.amazon.com/4-Inch-Comfordome-Klein-Tools-SS8/dp/B00093D5HS/ref=sr_1_5?keywords=Klein+Tools+610+Stubby+Nut+Driver+Set+1-1%2F2-Inch+Shafts+2-Piece&amp;qid=1695173958&amp;sr=8-5", "https://www.amazon.com/4-Inch-Comfordome-Klein-Tools-SS8/dp/B00093D5HS/ref=sr_1_5?keywords=Klein+Tools+610+Stubby+Nut+Driver+Set+1-1%2F2-Inch+Shafts+2-Piece&amp;qid=1695173958&amp;sr=8-5")</f>
        <v>https://www.amazon.com/4-Inch-Comfordome-Klein-Tools-SS8/dp/B00093D5HS/ref=sr_1_5?keywords=Klein+Tools+610+Stubby+Nut+Driver+Set+1-1%2F2-Inch+Shafts+2-Piece&amp;qid=1695173958&amp;sr=8-5</v>
      </c>
      <c r="F4652" t="s">
        <v>5588</v>
      </c>
      <c r="G4652" t="e">
        <f ca="1">_xludf.IMAGE("https://edmondsonsupply.com/cdn/shop/products/610m_169714eb-6816-4f42-aa86-ea17ea5fcbbb.jpg?v=1633030110")</f>
        <v>#NAME?</v>
      </c>
      <c r="H4652" t="e">
        <f ca="1">_xludf.IMAGE("https://m.media-amazon.com/images/I/51OCOP+vN8L._AC_UL320_.jpg")</f>
        <v>#NAME?</v>
      </c>
      <c r="I4652" t="s">
        <v>252</v>
      </c>
      <c r="J4652">
        <v>7.51</v>
      </c>
      <c r="K4652" s="4">
        <v>-0.53029999999999999</v>
      </c>
      <c r="L4652">
        <v>4.2</v>
      </c>
      <c r="M4652">
        <v>19</v>
      </c>
      <c r="O4652" t="s">
        <v>25</v>
      </c>
      <c r="P4652" t="s">
        <v>3031</v>
      </c>
      <c r="Q4652" t="s">
        <v>3032</v>
      </c>
    </row>
    <row r="4653" spans="1:17" ht="15.5" x14ac:dyDescent="0.35">
      <c r="A4653"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4653" s="3" t="str">
        <f>HYPERLINK("https://edmondsonsupply.com/products/klein-tools-610-stubby-nut-driver-set-1-1-2-inch-shafts-2-piece", "https://edmondsonsupply.com/products/klein-tools-610-stubby-nut-driver-set-1-1-2-inch-shafts-2-piece")</f>
        <v>https://edmondsonsupply.com/products/klein-tools-610-stubby-nut-driver-set-1-1-2-inch-shafts-2-piece</v>
      </c>
      <c r="C4653" t="s">
        <v>3030</v>
      </c>
      <c r="D4653" t="s">
        <v>5589</v>
      </c>
      <c r="E4653" s="3" t="str">
        <f>HYPERLINK("https://www.amazon.com/4-Inch-Cushion-Klein-Tools-610-1/dp/B001BZHUKQ/ref=sr_1_3?keywords=Klein+Tools+610+Stubby+Nut+Driver+Set+1-1%2F2-Inch+Shafts+2-Piece&amp;qid=1695173958&amp;sr=8-3", "https://www.amazon.com/4-Inch-Cushion-Klein-Tools-610-1/dp/B001BZHUKQ/ref=sr_1_3?keywords=Klein+Tools+610+Stubby+Nut+Driver+Set+1-1%2F2-Inch+Shafts+2-Piece&amp;qid=1695173958&amp;sr=8-3")</f>
        <v>https://www.amazon.com/4-Inch-Cushion-Klein-Tools-610-1/dp/B001BZHUKQ/ref=sr_1_3?keywords=Klein+Tools+610+Stubby+Nut+Driver+Set+1-1%2F2-Inch+Shafts+2-Piece&amp;qid=1695173958&amp;sr=8-3</v>
      </c>
      <c r="F4653" t="s">
        <v>5590</v>
      </c>
      <c r="G4653" t="e">
        <f ca="1">_xludf.IMAGE("https://edmondsonsupply.com/cdn/shop/products/610m_169714eb-6816-4f42-aa86-ea17ea5fcbbb.jpg?v=1633030110")</f>
        <v>#NAME?</v>
      </c>
      <c r="H4653" t="e">
        <f ca="1">_xludf.IMAGE("https://m.media-amazon.com/images/I/41jfNPcsXfL._AC_UL320_.jpg")</f>
        <v>#NAME?</v>
      </c>
      <c r="I4653" t="s">
        <v>252</v>
      </c>
      <c r="J4653">
        <v>7.49</v>
      </c>
      <c r="K4653" s="4">
        <v>-0.53159999999999996</v>
      </c>
      <c r="L4653">
        <v>4.8</v>
      </c>
      <c r="M4653">
        <v>260</v>
      </c>
      <c r="O4653" t="s">
        <v>25</v>
      </c>
      <c r="P4653" t="s">
        <v>3031</v>
      </c>
      <c r="Q4653" t="s">
        <v>3032</v>
      </c>
    </row>
    <row r="4654" spans="1:17" ht="15.5" x14ac:dyDescent="0.35">
      <c r="A4654" s="3" t="str">
        <f>HYPERLINK("https://edmondsonsupply.com/collections/electricians-tools/products/milwaukee-48-40-4515-8-circular-saw-metal-cutting-blade-42t", "https://edmondsonsupply.com/collections/electricians-tools/products/milwaukee-48-40-4515-8-circular-saw-metal-cutting-blade-42t")</f>
        <v>https://edmondsonsupply.com/collections/electricians-tools/products/milwaukee-48-40-4515-8-circular-saw-metal-cutting-blade-42t</v>
      </c>
      <c r="B4654" s="3" t="str">
        <f>HYPERLINK("https://edmondsonsupply.com/products/milwaukee-48-40-4515-8-circular-saw-metal-cutting-blade-42t", "https://edmondsonsupply.com/products/milwaukee-48-40-4515-8-circular-saw-metal-cutting-blade-42t")</f>
        <v>https://edmondsonsupply.com/products/milwaukee-48-40-4515-8-circular-saw-metal-cutting-blade-42t</v>
      </c>
      <c r="C4654" t="s">
        <v>5194</v>
      </c>
      <c r="D4654" t="s">
        <v>5593</v>
      </c>
      <c r="E4654" s="3" t="str">
        <f>HYPERLINK("https://www.amazon.com/Milwaukee-48-40-4006-Non-Ferrous-Cutting-Circular/dp/B000MW57T0/ref=sr_1_1?keywords=Milwaukee+48-40-4515+8%22+Circular+Saw+Metal+Cutting+Blade-+42T&amp;qid=1695174000&amp;sr=8-1", "https://www.amazon.com/Milwaukee-48-40-4006-Non-Ferrous-Cutting-Circular/dp/B000MW57T0/ref=sr_1_1?keywords=Milwaukee+48-40-4515+8%22+Circular+Saw+Metal+Cutting+Blade-+42T&amp;qid=1695174000&amp;sr=8-1")</f>
        <v>https://www.amazon.com/Milwaukee-48-40-4006-Non-Ferrous-Cutting-Circular/dp/B000MW57T0/ref=sr_1_1?keywords=Milwaukee+48-40-4515+8%22+Circular+Saw+Metal+Cutting+Blade-+42T&amp;qid=1695174000&amp;sr=8-1</v>
      </c>
      <c r="F4654" t="s">
        <v>5594</v>
      </c>
      <c r="G4654" t="e">
        <f ca="1">_xludf.IMAGE("https://edmondsonsupply.com/cdn/shop/files/48-40-4515_1.png?v=1687444386")</f>
        <v>#NAME?</v>
      </c>
      <c r="H4654" t="e">
        <f ca="1">_xludf.IMAGE("https://m.media-amazon.com/images/I/71kEzDsGyxL._AC_UL320_.jpg")</f>
        <v>#NAME?</v>
      </c>
      <c r="I4654" t="s">
        <v>5197</v>
      </c>
      <c r="J4654">
        <v>27.99</v>
      </c>
      <c r="K4654" s="4">
        <v>-0.5333</v>
      </c>
      <c r="L4654">
        <v>5</v>
      </c>
      <c r="M4654">
        <v>2</v>
      </c>
      <c r="O4654" t="s">
        <v>25</v>
      </c>
      <c r="P4654" t="s">
        <v>5198</v>
      </c>
      <c r="Q4654" t="s">
        <v>5199</v>
      </c>
    </row>
    <row r="4655" spans="1:17" ht="15.5" x14ac:dyDescent="0.35">
      <c r="A4655" s="3" t="str">
        <f>HYPERLINK("https://edmondsonsupply.com/collections/electricians-tools/products/greenlee-gsb12-1-3-8-step-bit-12", "https://edmondsonsupply.com/collections/electricians-tools/products/greenlee-gsb12-1-3-8-step-bit-12")</f>
        <v>https://edmondsonsupply.com/collections/electricians-tools/products/greenlee-gsb12-1-3-8-step-bit-12</v>
      </c>
      <c r="B4655" s="3" t="str">
        <f>HYPERLINK("https://edmondsonsupply.com/products/greenlee-gsb12-1-3-8-step-bit-12", "https://edmondsonsupply.com/products/greenlee-gsb12-1-3-8-step-bit-12")</f>
        <v>https://edmondsonsupply.com/products/greenlee-gsb12-1-3-8-step-bit-12</v>
      </c>
      <c r="C4655" t="s">
        <v>5549</v>
      </c>
      <c r="D4655" t="s">
        <v>5595</v>
      </c>
      <c r="E4655" s="3" t="str">
        <f>HYPERLINK("https://www.amazon.com/Milwaukee-48-89-9212-Step-Bit-12/dp/B00LP43CPU/ref=sr_1_3?keywords=Greenlee+GSB12+1-3%2F8%22+Step+Bit+%28%2312%29&amp;qid=1695174001&amp;sr=8-3", "https://www.amazon.com/Milwaukee-48-89-9212-Step-Bit-12/dp/B00LP43CPU/ref=sr_1_3?keywords=Greenlee+GSB12+1-3%2F8%22+Step+Bit+%28%2312%29&amp;qid=1695174001&amp;sr=8-3")</f>
        <v>https://www.amazon.com/Milwaukee-48-89-9212-Step-Bit-12/dp/B00LP43CPU/ref=sr_1_3?keywords=Greenlee+GSB12+1-3%2F8%22+Step+Bit+%28%2312%29&amp;qid=1695174001&amp;sr=8-3</v>
      </c>
      <c r="F4655" t="s">
        <v>5596</v>
      </c>
      <c r="G4655" t="e">
        <f ca="1">_xludf.IMAGE("https://edmondsonsupply.com/cdn/shop/files/GSB12_CAT1_72dpi.jpg?v=1687789899")</f>
        <v>#NAME?</v>
      </c>
      <c r="H4655" t="e">
        <f ca="1">_xludf.IMAGE("https://m.media-amazon.com/images/I/51M5oiL9tAL._AC_UY218_.jpg")</f>
        <v>#NAME?</v>
      </c>
      <c r="I4655" t="s">
        <v>5550</v>
      </c>
      <c r="J4655">
        <v>40</v>
      </c>
      <c r="K4655" s="4">
        <v>-0.53369999999999995</v>
      </c>
      <c r="L4655">
        <v>4.5</v>
      </c>
      <c r="M4655">
        <v>103</v>
      </c>
      <c r="O4655" t="s">
        <v>25</v>
      </c>
      <c r="P4655" t="s">
        <v>5551</v>
      </c>
      <c r="Q4655" t="s">
        <v>5552</v>
      </c>
    </row>
    <row r="4656" spans="1:17" ht="15.5" x14ac:dyDescent="0.35">
      <c r="A4656"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4656"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4656" t="s">
        <v>3118</v>
      </c>
      <c r="D4656" t="s">
        <v>3163</v>
      </c>
      <c r="E4656" s="3" t="str">
        <f>HYPERLINK("https://www.amazon.com/Journeyman-T-Handle-Klein-Tools-JTH9E14/dp/B004QVAH4I/ref=sr_1_7?keywords=Klein+Tools+JTH4E17+1%2F2-Inch+Hex+Key%2C+Journeyman+T-Handle%2C+4-Inch&amp;qid=1695173921&amp;sr=8-7", "https://www.amazon.com/Journeyman-T-Handle-Klein-Tools-JTH9E14/dp/B004QVAH4I/ref=sr_1_7?keywords=Klein+Tools+JTH4E17+1%2F2-Inch+Hex+Key%2C+Journeyman+T-Handle%2C+4-Inch&amp;qid=1695173921&amp;sr=8-7")</f>
        <v>https://www.amazon.com/Journeyman-T-Handle-Klein-Tools-JTH9E14/dp/B004QVAH4I/ref=sr_1_7?keywords=Klein+Tools+JTH4E17+1%2F2-Inch+Hex+Key%2C+Journeyman+T-Handle%2C+4-Inch&amp;qid=1695173921&amp;sr=8-7</v>
      </c>
      <c r="F4656" t="s">
        <v>3164</v>
      </c>
      <c r="G4656" t="e">
        <f ca="1">_xludf.IMAGE("https://edmondsonsupply.com/cdn/shop/products/jth4e17_583549be-7b42-43c7-9c3d-a92f2416ede5.jpg?v=1610655610")</f>
        <v>#NAME?</v>
      </c>
      <c r="H4656" t="e">
        <f ca="1">_xludf.IMAGE("https://m.media-amazon.com/images/I/51Yb8h41vLL._AC_UL320_.jpg")</f>
        <v>#NAME?</v>
      </c>
      <c r="I4656" t="s">
        <v>252</v>
      </c>
      <c r="J4656">
        <v>7.44</v>
      </c>
      <c r="K4656" s="4">
        <v>-0.53469999999999995</v>
      </c>
      <c r="L4656">
        <v>4.8</v>
      </c>
      <c r="M4656">
        <v>114</v>
      </c>
      <c r="O4656" t="s">
        <v>25</v>
      </c>
      <c r="P4656" t="s">
        <v>3121</v>
      </c>
      <c r="Q4656" t="s">
        <v>3122</v>
      </c>
    </row>
    <row r="4657" spans="1:17" ht="15.5" x14ac:dyDescent="0.35">
      <c r="A4657"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4657"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4657" t="s">
        <v>9080</v>
      </c>
      <c r="D4657" t="s">
        <v>9081</v>
      </c>
      <c r="E4657" s="3" t="str">
        <f>HYPERLINK("https://www.amazon.com/Simple-Plus-Replacement-Lithium-ion-Compatible/dp/B0CC87H42Z/ref=sr_1_10?keywords=Milwaukee+48-11-2412+M12+REDLITHIUM%E2%84%A2+XC+Battery+Two+Pack&amp;qid=1695174210&amp;sr=8-10", "https://www.amazon.com/Simple-Plus-Replacement-Lithium-ion-Compatible/dp/B0CC87H42Z/ref=sr_1_10?keywords=Milwaukee+48-11-2412+M12+REDLITHIUM%E2%84%A2+XC+Battery+Two+Pack&amp;qid=1695174210&amp;sr=8-10")</f>
        <v>https://www.amazon.com/Simple-Plus-Replacement-Lithium-ion-Compatible/dp/B0CC87H42Z/ref=sr_1_10?keywords=Milwaukee+48-11-2412+M12+REDLITHIUM%E2%84%A2+XC+Battery+Two+Pack&amp;qid=1695174210&amp;sr=8-10</v>
      </c>
      <c r="F4657" t="s">
        <v>9082</v>
      </c>
      <c r="G4657" t="e">
        <f ca="1">_xludf.IMAGE("https://edmondsonsupply.com/cdn/shop/products/48-11-2412.jpg?v=1654795924")</f>
        <v>#NAME?</v>
      </c>
      <c r="H4657" t="e">
        <f ca="1">_xludf.IMAGE("https://m.media-amazon.com/images/I/71UXyIHg7vL._AC_UL320_.jpg")</f>
        <v>#NAME?</v>
      </c>
      <c r="I4657" t="s">
        <v>739</v>
      </c>
      <c r="J4657">
        <v>59.99</v>
      </c>
      <c r="K4657" s="4">
        <v>-0.53500000000000003</v>
      </c>
      <c r="L4657">
        <v>5</v>
      </c>
      <c r="M4657">
        <v>5</v>
      </c>
      <c r="O4657" t="s">
        <v>25</v>
      </c>
      <c r="P4657" t="s">
        <v>9083</v>
      </c>
      <c r="Q4657" t="s">
        <v>9084</v>
      </c>
    </row>
    <row r="4658" spans="1:17" ht="15.5" x14ac:dyDescent="0.35">
      <c r="A4658"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4658" s="3" t="str">
        <f>HYPERLINK("https://edmondsonsupply.com/products/klein-tools-9416r-1000v-insulated-tool-kit-3-piece", "https://edmondsonsupply.com/products/klein-tools-9416r-1000v-insulated-tool-kit-3-piece")</f>
        <v>https://edmondsonsupply.com/products/klein-tools-9416r-1000v-insulated-tool-kit-3-piece</v>
      </c>
      <c r="C4658" t="s">
        <v>6428</v>
      </c>
      <c r="D4658" t="s">
        <v>4851</v>
      </c>
      <c r="E4658" s="3" t="str">
        <f>HYPERLINK("https://www.amazon.com/Klein-Tools-85076INS-Screwdriver-Screwdrivers/dp/B0BF76JDCC/ref=sr_1_6?keywords=Klein+Tools+9416R+1000V+Insulated+Tool+Kit%2C+3-Piece&amp;qid=1695174123&amp;sr=8-6", "https://www.amazon.com/Klein-Tools-85076INS-Screwdriver-Screwdrivers/dp/B0BF76JDCC/ref=sr_1_6?keywords=Klein+Tools+9416R+1000V+Insulated+Tool+Kit%2C+3-Piece&amp;qid=1695174123&amp;sr=8-6")</f>
        <v>https://www.amazon.com/Klein-Tools-85076INS-Screwdriver-Screwdrivers/dp/B0BF76JDCC/ref=sr_1_6?keywords=Klein+Tools+9416R+1000V+Insulated+Tool+Kit%2C+3-Piece&amp;qid=1695174123&amp;sr=8-6</v>
      </c>
      <c r="F4658" t="s">
        <v>4852</v>
      </c>
      <c r="G4658" t="e">
        <f ca="1">_xludf.IMAGE("https://edmondsonsupply.com/cdn/shop/products/9416r.jpg?v=1667327475")</f>
        <v>#NAME?</v>
      </c>
      <c r="H4658" t="e">
        <f ca="1">_xludf.IMAGE("https://m.media-amazon.com/images/I/51wtKAQ0TLL._AC_UL320_.jpg")</f>
        <v>#NAME?</v>
      </c>
      <c r="I4658" t="s">
        <v>6429</v>
      </c>
      <c r="J4658">
        <v>39.43</v>
      </c>
      <c r="K4658" s="4">
        <v>-0.53610000000000002</v>
      </c>
      <c r="L4658">
        <v>4.8</v>
      </c>
      <c r="M4658">
        <v>207</v>
      </c>
      <c r="O4658" t="s">
        <v>25</v>
      </c>
      <c r="P4658" t="s">
        <v>6430</v>
      </c>
      <c r="Q4658" t="s">
        <v>6431</v>
      </c>
    </row>
    <row r="4659" spans="1:17" ht="15.5" x14ac:dyDescent="0.35">
      <c r="A4659" s="3" t="str">
        <f>HYPERLINK("https://edmondsonsupply.com/collections/electricians-tools/products/greenlee-gsb09-1-1-8-step-bit-9", "https://edmondsonsupply.com/collections/electricians-tools/products/greenlee-gsb09-1-1-8-step-bit-9")</f>
        <v>https://edmondsonsupply.com/collections/electricians-tools/products/greenlee-gsb09-1-1-8-step-bit-9</v>
      </c>
      <c r="B4659" s="3" t="str">
        <f>HYPERLINK("https://edmondsonsupply.com/products/greenlee-gsb09-1-1-8-step-bit-9", "https://edmondsonsupply.com/products/greenlee-gsb09-1-1-8-step-bit-9")</f>
        <v>https://edmondsonsupply.com/products/greenlee-gsb09-1-1-8-step-bit-9</v>
      </c>
      <c r="C4659" t="s">
        <v>4952</v>
      </c>
      <c r="D4659" t="s">
        <v>4378</v>
      </c>
      <c r="E4659" s="3" t="str">
        <f>HYPERLINK("https://www.amazon.com/Greenlee-GSB04-Step-Bit/dp/B08TVF22W4/ref=sr_1_2?keywords=Greenlee+GSB09+1-1%2F8%22+Step+Bit+%28%239%29&amp;qid=1695173992&amp;sr=8-2", "https://www.amazon.com/Greenlee-GSB04-Step-Bit/dp/B08TVF22W4/ref=sr_1_2?keywords=Greenlee+GSB09+1-1%2F8%22+Step+Bit+%28%239%29&amp;qid=1695173992&amp;sr=8-2")</f>
        <v>https://www.amazon.com/Greenlee-GSB04-Step-Bit/dp/B08TVF22W4/ref=sr_1_2?keywords=Greenlee+GSB09+1-1%2F8%22+Step+Bit+%28%239%29&amp;qid=1695173992&amp;sr=8-2</v>
      </c>
      <c r="F4659" t="s">
        <v>4379</v>
      </c>
      <c r="G4659" t="e">
        <f ca="1">_xludf.IMAGE("https://edmondsonsupply.com/cdn/shop/files/GSB09_CAT1_72dpi.jpg?v=1687787938")</f>
        <v>#NAME?</v>
      </c>
      <c r="H4659" t="e">
        <f ca="1">_xludf.IMAGE("https://m.media-amazon.com/images/I/41FX4czhS0L._AC_UY218_.jpg")</f>
        <v>#NAME?</v>
      </c>
      <c r="I4659" t="s">
        <v>4953</v>
      </c>
      <c r="J4659">
        <v>32</v>
      </c>
      <c r="K4659" s="4">
        <v>-0.53800000000000003</v>
      </c>
      <c r="L4659">
        <v>5</v>
      </c>
      <c r="M4659">
        <v>7</v>
      </c>
      <c r="O4659" t="s">
        <v>25</v>
      </c>
      <c r="P4659" t="s">
        <v>4954</v>
      </c>
      <c r="Q4659" t="s">
        <v>4955</v>
      </c>
    </row>
    <row r="4660" spans="1:17" ht="15.5" x14ac:dyDescent="0.35">
      <c r="A4660" s="3" t="str">
        <f>HYPERLINK("https://edmondsonsupply.com/collections/electricians-tools/products/milwaukee-49-22-4175-hole-dozer%E2%84%A2-general-purpose-hole-saw-kit-15pc", "https://edmondsonsupply.com/collections/electricians-tools/products/milwaukee-49-22-4175-hole-dozer%E2%84%A2-general-purpose-hole-saw-kit-15pc")</f>
        <v>https://edmondsonsupply.com/collections/electricians-tools/products/milwaukee-49-22-4175-hole-dozer%E2%84%A2-general-purpose-hole-saw-kit-15pc</v>
      </c>
      <c r="B4660" s="3" t="str">
        <f>HYPERLINK("https://edmondsonsupply.com/products/milwaukee-49-22-4175-hole-dozer%e2%84%a2-general-purpose-hole-saw-kit-15pc", "https://edmondsonsupply.com/products/milwaukee-49-22-4175-hole-dozer%e2%84%a2-general-purpose-hole-saw-kit-15pc")</f>
        <v>https://edmondsonsupply.com/products/milwaukee-49-22-4175-hole-dozer%e2%84%a2-general-purpose-hole-saw-kit-15pc</v>
      </c>
      <c r="C4660" t="s">
        <v>8929</v>
      </c>
      <c r="D4660" t="s">
        <v>9085</v>
      </c>
      <c r="E4660" s="3" t="str">
        <f>HYPERLINK("https://www.amazon.com/Milwaukee-49-22-4025-13-Piece-General-Purpose/dp/B0045CSOIY/ref=sr_1_2?keywords=Milwaukee+49-22-4175+HOLE+DOZER%E2%84%A2+General-Purpose+Hole+Saw+Kit+-+15PC&amp;qid=1695174120&amp;sr=8-2", "https://www.amazon.com/Milwaukee-49-22-4025-13-Piece-General-Purpose/dp/B0045CSOIY/ref=sr_1_2?keywords=Milwaukee+49-22-4175+HOLE+DOZER%E2%84%A2+General-Purpose+Hole+Saw+Kit+-+15PC&amp;qid=1695174120&amp;sr=8-2")</f>
        <v>https://www.amazon.com/Milwaukee-49-22-4025-13-Piece-General-Purpose/dp/B0045CSOIY/ref=sr_1_2?keywords=Milwaukee+49-22-4175+HOLE+DOZER%E2%84%A2+General-Purpose+Hole+Saw+Kit+-+15PC&amp;qid=1695174120&amp;sr=8-2</v>
      </c>
      <c r="F4660" t="s">
        <v>9086</v>
      </c>
      <c r="G4660" t="e">
        <f ca="1">_xludf.IMAGE("https://edmondsonsupply.com/cdn/shop/products/49-22-4175_101.webp?v=1668783398")</f>
        <v>#NAME?</v>
      </c>
      <c r="H4660" t="e">
        <f ca="1">_xludf.IMAGE("https://m.media-amazon.com/images/I/81+9kik30LL._AC_UL320_.jpg")</f>
        <v>#NAME?</v>
      </c>
      <c r="I4660" t="s">
        <v>7293</v>
      </c>
      <c r="J4660">
        <v>69</v>
      </c>
      <c r="K4660" s="4">
        <v>-0.53990000000000005</v>
      </c>
      <c r="L4660">
        <v>4.5</v>
      </c>
      <c r="M4660">
        <v>447</v>
      </c>
      <c r="O4660" t="s">
        <v>25</v>
      </c>
      <c r="P4660" t="s">
        <v>8932</v>
      </c>
      <c r="Q4660" t="s">
        <v>8933</v>
      </c>
    </row>
    <row r="4661" spans="1:17" ht="15.5" x14ac:dyDescent="0.35">
      <c r="A4661"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4661" s="3" t="str">
        <f>HYPERLINK("https://edmondsonsupply.com/products/diablo-tools-d0604dh-6-1-2-in-x-4-tooth-fiber-cement", "https://edmondsonsupply.com/products/diablo-tools-d0604dh-6-1-2-in-x-4-tooth-fiber-cement")</f>
        <v>https://edmondsonsupply.com/products/diablo-tools-d0604dh-6-1-2-in-x-4-tooth-fiber-cement</v>
      </c>
      <c r="C4661" t="s">
        <v>6483</v>
      </c>
      <c r="D4661" t="s">
        <v>9087</v>
      </c>
      <c r="E4661" s="3" t="str">
        <f>HYPERLINK("https://www.amazon.com/TOMAX-PCDM61204-Polycrystalline-Diamond-Tipped/dp/B0978VYT2W/ref=sr_1_3?keywords=Diablo+Tools+D0604DH+6-1%2F2+in.+x+4+Tooth+Fiber+Cement&amp;qid=1695174076&amp;sr=8-3", "https://www.amazon.com/TOMAX-PCDM61204-Polycrystalline-Diamond-Tipped/dp/B0978VYT2W/ref=sr_1_3?keywords=Diablo+Tools+D0604DH+6-1%2F2+in.+x+4+Tooth+Fiber+Cement&amp;qid=1695174076&amp;sr=8-3")</f>
        <v>https://www.amazon.com/TOMAX-PCDM61204-Polycrystalline-Diamond-Tipped/dp/B0978VYT2W/ref=sr_1_3?keywords=Diablo+Tools+D0604DH+6-1%2F2+in.+x+4+Tooth+Fiber+Cement&amp;qid=1695174076&amp;sr=8-3</v>
      </c>
      <c r="F4661" t="s">
        <v>9088</v>
      </c>
      <c r="G4661" t="e">
        <f ca="1">_xludf.IMAGE("https://edmondsonsupply.com/cdn/shop/products/b97gznmuns4ffl0mabzf.webp?v=1679319668")</f>
        <v>#NAME?</v>
      </c>
      <c r="H4661" t="e">
        <f ca="1">_xludf.IMAGE("https://m.media-amazon.com/images/I/71ISlYFv-2S._AC_UL320_.jpg")</f>
        <v>#NAME?</v>
      </c>
      <c r="I4661" t="s">
        <v>380</v>
      </c>
      <c r="J4661">
        <v>22.99</v>
      </c>
      <c r="K4661" s="4">
        <v>-0.53990000000000005</v>
      </c>
      <c r="L4661">
        <v>4.4000000000000004</v>
      </c>
      <c r="M4661">
        <v>256</v>
      </c>
      <c r="O4661" t="s">
        <v>25</v>
      </c>
      <c r="P4661" t="s">
        <v>6486</v>
      </c>
      <c r="Q4661" t="s">
        <v>6487</v>
      </c>
    </row>
    <row r="4662" spans="1:17" ht="15.5" x14ac:dyDescent="0.35">
      <c r="A4662" s="3" t="str">
        <f>HYPERLINK("https://edmondsonsupply.com/collections/electricians-tools/products/milwaukee-2880-22-m18-fuel%E2%84%A2-4-1-2-5-grinder-paddle-switch-no-lock-kit", "https://edmondsonsupply.com/collections/electricians-tools/products/milwaukee-2880-22-m18-fuel%E2%84%A2-4-1-2-5-grinder-paddle-switch-no-lock-kit")</f>
        <v>https://edmondsonsupply.com/collections/electricians-tools/products/milwaukee-2880-22-m18-fuel%E2%84%A2-4-1-2-5-grinder-paddle-switch-no-lock-kit</v>
      </c>
      <c r="B4662" s="3" t="str">
        <f>HYPERLINK("https://edmondsonsupply.com/products/milwaukee-2880-22-m18-fuel%e2%84%a2-4-1-2-5-grinder-paddle-switch-no-lock-kit", "https://edmondsonsupply.com/products/milwaukee-2880-22-m18-fuel%e2%84%a2-4-1-2-5-grinder-paddle-switch-no-lock-kit")</f>
        <v>https://edmondsonsupply.com/products/milwaukee-2880-22-m18-fuel%e2%84%a2-4-1-2-5-grinder-paddle-switch-no-lock-kit</v>
      </c>
      <c r="C4662" t="s">
        <v>7129</v>
      </c>
      <c r="D4662" t="s">
        <v>7815</v>
      </c>
      <c r="E4662" s="3" t="str">
        <f>HYPERLINK("https://www.amazon.com/2880-20-Milwaukee-Grinder-Paddle-No-Lock/dp/B0C1BWXP7W/ref=sr_1_4?keywords=Milwaukee+2880-22+M18+FUEL%E2%84%A2+4-1%2F2%22+%2F+5%22+Grinder+Paddle+Switch%2C+No-Lock+%28Kit%29&amp;qid=1695174132&amp;sr=8-4", "https://www.amazon.com/2880-20-Milwaukee-Grinder-Paddle-No-Lock/dp/B0C1BWXP7W/ref=sr_1_4?keywords=Milwaukee+2880-22+M18+FUEL%E2%84%A2+4-1%2F2%22+%2F+5%22+Grinder+Paddle+Switch%2C+No-Lock+%28Kit%29&amp;qid=1695174132&amp;sr=8-4")</f>
        <v>https://www.amazon.com/2880-20-Milwaukee-Grinder-Paddle-No-Lock/dp/B0C1BWXP7W/ref=sr_1_4?keywords=Milwaukee+2880-22+M18+FUEL%E2%84%A2+4-1%2F2%22+%2F+5%22+Grinder+Paddle+Switch%2C+No-Lock+%28Kit%29&amp;qid=1695174132&amp;sr=8-4</v>
      </c>
      <c r="F4662" t="s">
        <v>7816</v>
      </c>
      <c r="G4662" t="e">
        <f ca="1">_xludf.IMAGE("https://edmondsonsupply.com/cdn/shop/products/2880-22_1.png?v=1668015986")</f>
        <v>#NAME?</v>
      </c>
      <c r="H4662" t="e">
        <f ca="1">_xludf.IMAGE("https://m.media-amazon.com/images/I/611hF2k6v8L._AC_UL320_.jpg")</f>
        <v>#NAME?</v>
      </c>
      <c r="I4662" t="s">
        <v>7130</v>
      </c>
      <c r="J4662">
        <v>205</v>
      </c>
      <c r="K4662" s="4">
        <v>-0.54339999999999999</v>
      </c>
      <c r="L4662">
        <v>3</v>
      </c>
      <c r="M4662">
        <v>1</v>
      </c>
      <c r="O4662" t="s">
        <v>171</v>
      </c>
      <c r="P4662" t="s">
        <v>7131</v>
      </c>
      <c r="Q4662" t="s">
        <v>7132</v>
      </c>
    </row>
    <row r="4663" spans="1:17" ht="15.5" x14ac:dyDescent="0.35">
      <c r="A4663"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4663"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4663" t="s">
        <v>3118</v>
      </c>
      <c r="D4663" t="s">
        <v>5599</v>
      </c>
      <c r="E4663" s="3" t="str">
        <f>HYPERLINK("https://www.amazon.com/Klein-Tools-JTH4E13-Journeyman-T-Handle/dp/B007GH2CDS/ref=sr_1_3?keywords=Klein+Tools+JTH4E17+1%2F2-Inch+Hex+Key%2C+Journeyman+T-Handle%2C+4-Inch&amp;qid=1695173921&amp;sr=8-3", "https://www.amazon.com/Klein-Tools-JTH4E13-Journeyman-T-Handle/dp/B007GH2CDS/ref=sr_1_3?keywords=Klein+Tools+JTH4E17+1%2F2-Inch+Hex+Key%2C+Journeyman+T-Handle%2C+4-Inch&amp;qid=1695173921&amp;sr=8-3")</f>
        <v>https://www.amazon.com/Klein-Tools-JTH4E13-Journeyman-T-Handle/dp/B007GH2CDS/ref=sr_1_3?keywords=Klein+Tools+JTH4E17+1%2F2-Inch+Hex+Key%2C+Journeyman+T-Handle%2C+4-Inch&amp;qid=1695173921&amp;sr=8-3</v>
      </c>
      <c r="F4663" t="s">
        <v>5600</v>
      </c>
      <c r="G4663" t="e">
        <f ca="1">_xludf.IMAGE("https://edmondsonsupply.com/cdn/shop/products/jth4e17_583549be-7b42-43c7-9c3d-a92f2416ede5.jpg?v=1610655610")</f>
        <v>#NAME?</v>
      </c>
      <c r="H4663" t="e">
        <f ca="1">_xludf.IMAGE("https://m.media-amazon.com/images/I/41ERRKlO36L._AC_UL320_.jpg")</f>
        <v>#NAME?</v>
      </c>
      <c r="I4663" t="s">
        <v>252</v>
      </c>
      <c r="J4663">
        <v>7.3</v>
      </c>
      <c r="K4663" s="4">
        <v>-0.54349999999999998</v>
      </c>
      <c r="L4663">
        <v>4.8</v>
      </c>
      <c r="M4663">
        <v>2479</v>
      </c>
      <c r="O4663" t="s">
        <v>25</v>
      </c>
      <c r="P4663" t="s">
        <v>3121</v>
      </c>
      <c r="Q4663" t="s">
        <v>3122</v>
      </c>
    </row>
    <row r="4664" spans="1:17" ht="15.5" x14ac:dyDescent="0.35">
      <c r="A4664" s="3" t="str">
        <f>HYPERLINK("https://edmondsonsupply.com/collections/electricians-tools/products/milwaukee-48-11-2402-m12%E2%84%A2-xc-high-capacity-redlithium%E2%84%A2-battery", "https://edmondsonsupply.com/collections/electricians-tools/products/milwaukee-48-11-2402-m12%E2%84%A2-xc-high-capacity-redlithium%E2%84%A2-battery")</f>
        <v>https://edmondsonsupply.com/collections/electricians-tools/products/milwaukee-48-11-2402-m12%E2%84%A2-xc-high-capacity-redlithium%E2%84%A2-battery</v>
      </c>
      <c r="B4664" s="3" t="str">
        <f>HYPERLINK("https://edmondsonsupply.com/products/milwaukee-48-11-2402-m12%e2%84%a2-xc-high-capacity-redlithium%e2%84%a2-battery", "https://edmondsonsupply.com/products/milwaukee-48-11-2402-m12%e2%84%a2-xc-high-capacity-redlithium%e2%84%a2-battery")</f>
        <v>https://edmondsonsupply.com/products/milwaukee-48-11-2402-m12%e2%84%a2-xc-high-capacity-redlithium%e2%84%a2-battery</v>
      </c>
      <c r="C4664" t="s">
        <v>8976</v>
      </c>
      <c r="D4664" t="s">
        <v>9089</v>
      </c>
      <c r="E4664" s="3" t="str">
        <f>HYPERLINK("https://www.amazon.com/Yongcell-Replacement-48-11-2460-48-11-2440-48-11-2402/dp/B093L9ZWCS/ref=sr_1_6?keywords=Milwaukee+48-11-2402+M12%E2%84%A2+XC+High+Capacity+REDLITHIUM%E2%84%A2+Battery&amp;qid=1695174209&amp;sr=8-6", "https://www.amazon.com/Yongcell-Replacement-48-11-2460-48-11-2440-48-11-2402/dp/B093L9ZWCS/ref=sr_1_6?keywords=Milwaukee+48-11-2402+M12%E2%84%A2+XC+High+Capacity+REDLITHIUM%E2%84%A2+Battery&amp;qid=1695174209&amp;sr=8-6")</f>
        <v>https://www.amazon.com/Yongcell-Replacement-48-11-2460-48-11-2440-48-11-2402/dp/B093L9ZWCS/ref=sr_1_6?keywords=Milwaukee+48-11-2402+M12%E2%84%A2+XC+High+Capacity+REDLITHIUM%E2%84%A2+Battery&amp;qid=1695174209&amp;sr=8-6</v>
      </c>
      <c r="F4664" t="s">
        <v>9090</v>
      </c>
      <c r="G4664" t="e">
        <f ca="1">_xludf.IMAGE("https://edmondsonsupply.com/cdn/shop/products/56222_48-11-2402v1-lg.webp?v=1654795509")</f>
        <v>#NAME?</v>
      </c>
      <c r="H4664" t="e">
        <f ca="1">_xludf.IMAGE("https://m.media-amazon.com/images/I/71BQqHmVNoS._AC_UL320_.jpg")</f>
        <v>#NAME?</v>
      </c>
      <c r="I4664" t="s">
        <v>4741</v>
      </c>
      <c r="J4664">
        <v>35.979999999999997</v>
      </c>
      <c r="K4664" s="4">
        <v>-0.54459999999999997</v>
      </c>
      <c r="L4664">
        <v>4.5999999999999996</v>
      </c>
      <c r="M4664">
        <v>131</v>
      </c>
      <c r="O4664" t="s">
        <v>25</v>
      </c>
      <c r="P4664" t="s">
        <v>8979</v>
      </c>
      <c r="Q4664" t="s">
        <v>8980</v>
      </c>
    </row>
    <row r="4665" spans="1:17" ht="15.5" x14ac:dyDescent="0.35">
      <c r="A4665"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4665"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4665" t="s">
        <v>7170</v>
      </c>
      <c r="D4665" t="s">
        <v>1894</v>
      </c>
      <c r="E4665" s="3" t="str">
        <f>HYPERLINK("https://www.amazon.com/Magnetic-16-Inch-Klein-Tools-646M/dp/B000936QV0/ref=sr_1_2?keywords=Klein+Tools+635-4+Nut+Driver+Set%2C+Magnetic+Nut+Drivers%2C+Heavy+Duty%2C+4-Piece&amp;qid=1695174225&amp;sr=8-2", "https://www.amazon.com/Magnetic-16-Inch-Klein-Tools-646M/dp/B000936QV0/ref=sr_1_2?keywords=Klein+Tools+635-4+Nut+Driver+Set%2C+Magnetic+Nut+Drivers%2C+Heavy+Duty%2C+4-Piece&amp;qid=1695174225&amp;sr=8-2")</f>
        <v>https://www.amazon.com/Magnetic-16-Inch-Klein-Tools-646M/dp/B000936QV0/ref=sr_1_2?keywords=Klein+Tools+635-4+Nut+Driver+Set%2C+Magnetic+Nut+Drivers%2C+Heavy+Duty%2C+4-Piece&amp;qid=1695174225&amp;sr=8-2</v>
      </c>
      <c r="F4665" t="s">
        <v>1895</v>
      </c>
      <c r="G4665" t="e">
        <f ca="1">_xludf.IMAGE("https://edmondsonsupply.com/cdn/shop/products/635-4.jpg?v=1640815398")</f>
        <v>#NAME?</v>
      </c>
      <c r="H4665" t="e">
        <f ca="1">_xludf.IMAGE("https://m.media-amazon.com/images/I/41lkJ6KRq9L._AC_UL320_.jpg")</f>
        <v>#NAME?</v>
      </c>
      <c r="I4665" t="s">
        <v>269</v>
      </c>
      <c r="J4665">
        <v>24.99</v>
      </c>
      <c r="K4665" s="4">
        <v>-0.54559999999999997</v>
      </c>
      <c r="L4665">
        <v>4.8</v>
      </c>
      <c r="M4665">
        <v>1654</v>
      </c>
      <c r="O4665" t="s">
        <v>25</v>
      </c>
      <c r="P4665" t="s">
        <v>7171</v>
      </c>
      <c r="Q4665" t="s">
        <v>7172</v>
      </c>
    </row>
    <row r="4666" spans="1:17" ht="15.5" x14ac:dyDescent="0.35">
      <c r="A4666"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4666" s="3" t="str">
        <f>HYPERLINK("https://edmondsonsupply.com/products/klein-tools-j20017ne-heavy-duty-linemans-pliers-7-inch", "https://edmondsonsupply.com/products/klein-tools-j20017ne-heavy-duty-linemans-pliers-7-inch")</f>
        <v>https://edmondsonsupply.com/products/klein-tools-j20017ne-heavy-duty-linemans-pliers-7-inch</v>
      </c>
      <c r="C4666" t="s">
        <v>8097</v>
      </c>
      <c r="D4666" t="s">
        <v>8965</v>
      </c>
      <c r="E4666" s="3" t="str">
        <f>HYPERLINK("https://www.amazon.com/Klein-Tools-D203-7-Side-Cutters-7-Inch/dp/B000G67F24/ref=sr_1_7?keywords=Klein+Tools+J20017NE+Heavy-Duty+Lineman%27s+Pliers%2C+7-Inch&amp;qid=1695174165&amp;sr=8-7", "https://www.amazon.com/Klein-Tools-D203-7-Side-Cutters-7-Inch/dp/B000G67F24/ref=sr_1_7?keywords=Klein+Tools+J20017NE+Heavy-Duty+Lineman%27s+Pliers%2C+7-Inch&amp;qid=1695174165&amp;sr=8-7")</f>
        <v>https://www.amazon.com/Klein-Tools-D203-7-Side-Cutters-7-Inch/dp/B000G67F24/ref=sr_1_7?keywords=Klein+Tools+J20017NE+Heavy-Duty+Lineman%27s+Pliers%2C+7-Inch&amp;qid=1695174165&amp;sr=8-7</v>
      </c>
      <c r="F4666" t="s">
        <v>8966</v>
      </c>
      <c r="G4666" t="e">
        <f ca="1">_xludf.IMAGE("https://edmondsonsupply.com/cdn/shop/products/j20017ne.jpg?v=1662669673")</f>
        <v>#NAME?</v>
      </c>
      <c r="H4666" t="e">
        <f ca="1">_xludf.IMAGE("https://m.media-amazon.com/images/I/51DWCz6ft0L._AC_UL320_.jpg")</f>
        <v>#NAME?</v>
      </c>
      <c r="I4666" t="s">
        <v>269</v>
      </c>
      <c r="J4666">
        <v>24.97</v>
      </c>
      <c r="K4666" s="4">
        <v>-0.54590000000000005</v>
      </c>
      <c r="L4666">
        <v>4.8</v>
      </c>
      <c r="M4666">
        <v>582</v>
      </c>
      <c r="O4666" t="s">
        <v>25</v>
      </c>
      <c r="P4666" t="s">
        <v>8100</v>
      </c>
      <c r="Q4666" t="s">
        <v>8101</v>
      </c>
    </row>
    <row r="4667" spans="1:17" ht="15.5" x14ac:dyDescent="0.35">
      <c r="A4667"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4667" s="3" t="str">
        <f>HYPERLINK("https://edmondsonsupply.com/products/milwaukee-2912-22-m18-fuel%e2%84%a2-1-sds-plus-rotary-hammer-kit", "https://edmondsonsupply.com/products/milwaukee-2912-22-m18-fuel%e2%84%a2-1-sds-plus-rotary-hammer-kit")</f>
        <v>https://edmondsonsupply.com/products/milwaukee-2912-22-m18-fuel%e2%84%a2-1-sds-plus-rotary-hammer-kit</v>
      </c>
      <c r="C4667" t="s">
        <v>3848</v>
      </c>
      <c r="D4667" t="s">
        <v>5601</v>
      </c>
      <c r="E4667" s="3" t="str">
        <f>HYPERLINK("https://www.amazon.com/Milwaukee-2912-20-Brushless-Rotary-Hammer/dp/B09PMSKXRV/ref=sr_1_4?keywords=Milwaukee+2912-22+M18+FUEL%E2%84%A2+1%22+SDS+Plus+Rotary+Hammer+Kit&amp;qid=1695174040&amp;sr=8-4", "https://www.amazon.com/Milwaukee-2912-20-Brushless-Rotary-Hammer/dp/B09PMSKXRV/ref=sr_1_4?keywords=Milwaukee+2912-22+M18+FUEL%E2%84%A2+1%22+SDS+Plus+Rotary+Hammer+Kit&amp;qid=1695174040&amp;sr=8-4")</f>
        <v>https://www.amazon.com/Milwaukee-2912-20-Brushless-Rotary-Hammer/dp/B09PMSKXRV/ref=sr_1_4?keywords=Milwaukee+2912-22+M18+FUEL%E2%84%A2+1%22+SDS+Plus+Rotary+Hammer+Kit&amp;qid=1695174040&amp;sr=8-4</v>
      </c>
      <c r="F4667" t="s">
        <v>5602</v>
      </c>
      <c r="G4667" t="e">
        <f ca="1">_xludf.IMAGE("https://edmondsonsupply.com/cdn/shop/files/2912-20_1.webp?v=1686934956")</f>
        <v>#NAME?</v>
      </c>
      <c r="H4667" t="e">
        <f ca="1">_xludf.IMAGE("https://m.media-amazon.com/images/I/41U4w5Nkf8L._AC_UL320_.jpg")</f>
        <v>#NAME?</v>
      </c>
      <c r="I4667" t="s">
        <v>3851</v>
      </c>
      <c r="J4667">
        <v>271.35000000000002</v>
      </c>
      <c r="K4667" s="4">
        <v>-0.54700000000000004</v>
      </c>
      <c r="L4667">
        <v>4.7</v>
      </c>
      <c r="M4667">
        <v>124</v>
      </c>
      <c r="O4667" t="s">
        <v>25</v>
      </c>
      <c r="P4667" t="s">
        <v>3852</v>
      </c>
      <c r="Q4667" t="s">
        <v>3853</v>
      </c>
    </row>
    <row r="4668" spans="1:17" ht="15.5" x14ac:dyDescent="0.35">
      <c r="A4668"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4668"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4668" t="s">
        <v>6755</v>
      </c>
      <c r="D4668" t="s">
        <v>5516</v>
      </c>
      <c r="E4668" s="3" t="str">
        <f>HYPERLINK("https://www.amazon.com/Keystone-Tip-Screwdriver-Round-Shank-Klein-602-4/dp/B0000302WD/ref=sr_1_8?keywords=Klein+Tools+602-4-INS+1%2F4-Inch+Cabinet+Tip+Insulated+Screwdriver%2C+4-Inch&amp;qid=1695174266&amp;sr=8-8", "https://www.amazon.com/Keystone-Tip-Screwdriver-Round-Shank-Klein-602-4/dp/B0000302WD/ref=sr_1_8?keywords=Klein+Tools+602-4-INS+1%2F4-Inch+Cabinet+Tip+Insulated+Screwdriver%2C+4-Inch&amp;qid=1695174266&amp;sr=8-8")</f>
        <v>https://www.amazon.com/Keystone-Tip-Screwdriver-Round-Shank-Klein-602-4/dp/B0000302WD/ref=sr_1_8?keywords=Klein+Tools+602-4-INS+1%2F4-Inch+Cabinet+Tip+Insulated+Screwdriver%2C+4-Inch&amp;qid=1695174266&amp;sr=8-8</v>
      </c>
      <c r="F4668" t="s">
        <v>5517</v>
      </c>
      <c r="G4668" t="e">
        <f ca="1">_xludf.IMAGE("https://edmondsonsupply.com/cdn/shop/products/602-4-ins-photo.jpg?v=1633031051")</f>
        <v>#NAME?</v>
      </c>
      <c r="H4668" t="e">
        <f ca="1">_xludf.IMAGE("https://m.media-amazon.com/images/I/51BHg1CmntL._AC_UL320_.jpg")</f>
        <v>#NAME?</v>
      </c>
      <c r="I4668" t="s">
        <v>3185</v>
      </c>
      <c r="J4668">
        <v>9.49</v>
      </c>
      <c r="K4668" s="4">
        <v>-0.54790000000000005</v>
      </c>
      <c r="L4668">
        <v>4.8</v>
      </c>
      <c r="M4668">
        <v>879</v>
      </c>
      <c r="O4668" t="s">
        <v>25</v>
      </c>
      <c r="P4668" t="s">
        <v>6758</v>
      </c>
      <c r="Q4668" t="s">
        <v>6759</v>
      </c>
    </row>
    <row r="4669" spans="1:17" ht="15.5" x14ac:dyDescent="0.35">
      <c r="A4669"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4669"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4669" t="s">
        <v>8334</v>
      </c>
      <c r="D4669" t="s">
        <v>8506</v>
      </c>
      <c r="E4669" s="3" t="str">
        <f>HYPERLINK("https://www.amazon.com/Diablo-Freud-DMAPL4230-SDS-Plus-4-Cutter/dp/B089LCN234/ref=sr_1_10?keywords=Diablo+Tools+DMAPL4310+1+in.+x+16+in.+x+18+in.+Rebar+Demon%E2%84%A2+SDS-Plus+4-Cutter+Full+Carbide+Head+Hammer+Drill+Bit&amp;qid=1695174259&amp;sr=8-10", "https://www.amazon.com/Diablo-Freud-DMAPL4230-SDS-Plus-4-Cutter/dp/B089LCN234/ref=sr_1_10?keywords=Diablo+Tools+DMAPL4310+1+in.+x+16+in.+x+18+in.+Rebar+Demon%E2%84%A2+SDS-Plus+4-Cutter+Full+Carbide+Head+Hammer+Drill+Bit&amp;qid=1695174259&amp;sr=8-10")</f>
        <v>https://www.amazon.com/Diablo-Freud-DMAPL4230-SDS-Plus-4-Cutter/dp/B089LCN234/ref=sr_1_10?keywords=Diablo+Tools+DMAPL4310+1+in.+x+16+in.+x+18+in.+Rebar+Demon%E2%84%A2+SDS-Plus+4-Cutter+Full+Carbide+Head+Hammer+Drill+Bit&amp;qid=1695174259&amp;sr=8-10</v>
      </c>
      <c r="F4669" t="s">
        <v>8507</v>
      </c>
      <c r="G4669" t="e">
        <f ca="1">_xludf.IMAGE("https://edmondsonsupply.com/cdn/shop/products/DMAPL4310_Main-Image20200701.png?v=1633031094")</f>
        <v>#NAME?</v>
      </c>
      <c r="H4669" t="e">
        <f ca="1">_xludf.IMAGE("https://m.media-amazon.com/images/I/61r649wmyhL._AC_UL320_.jpg")</f>
        <v>#NAME?</v>
      </c>
      <c r="I4669" t="s">
        <v>380</v>
      </c>
      <c r="J4669">
        <v>22.5</v>
      </c>
      <c r="K4669" s="4">
        <v>-0.54969999999999997</v>
      </c>
      <c r="L4669">
        <v>4.7</v>
      </c>
      <c r="M4669">
        <v>47</v>
      </c>
      <c r="O4669" t="s">
        <v>25</v>
      </c>
      <c r="P4669" t="s">
        <v>8335</v>
      </c>
      <c r="Q4669" t="s">
        <v>8336</v>
      </c>
    </row>
    <row r="4670" spans="1:17" ht="15.5" x14ac:dyDescent="0.35">
      <c r="A4670"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4670"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4670" t="s">
        <v>7911</v>
      </c>
      <c r="D4670" t="s">
        <v>6176</v>
      </c>
      <c r="E4670" s="3" t="str">
        <f>HYPERLINK("https://www.amazon.com/Aluminum-Benchmark-Technology-Klein-Tools/dp/B08L41G5G5/ref=sr_1_2?keywords=Klein+Tools+51605+Iron+Conduit+Bender+Full+Assembly%2C+1-Inch+EMT+with+Angle+Setter%E2%84%A2&amp;qid=1695174157&amp;sr=8-2", "https://www.amazon.com/Aluminum-Benchmark-Technology-Klein-Tools/dp/B08L41G5G5/ref=sr_1_2?keywords=Klein+Tools+51605+Iron+Conduit+Bender+Full+Assembly%2C+1-Inch+EMT+with+Angle+Setter%E2%84%A2&amp;qid=1695174157&amp;sr=8-2")</f>
        <v>https://www.amazon.com/Aluminum-Benchmark-Technology-Klein-Tools/dp/B08L41G5G5/ref=sr_1_2?keywords=Klein+Tools+51605+Iron+Conduit+Bender+Full+Assembly%2C+1-Inch+EMT+with+Angle+Setter%E2%84%A2&amp;qid=1695174157&amp;sr=8-2</v>
      </c>
      <c r="F4670" t="s">
        <v>6177</v>
      </c>
      <c r="G4670" t="e">
        <f ca="1">_xludf.IMAGE("https://edmondsonsupply.com/cdn/shop/products/51605.jpg?v=1663938749")</f>
        <v>#NAME?</v>
      </c>
      <c r="H4670" t="e">
        <f ca="1">_xludf.IMAGE("https://m.media-amazon.com/images/I/419ZjlOD69L._AC_UL320_.jpg")</f>
        <v>#NAME?</v>
      </c>
      <c r="I4670" t="s">
        <v>545</v>
      </c>
      <c r="J4670">
        <v>44.99</v>
      </c>
      <c r="K4670" s="4">
        <v>-0.55000000000000004</v>
      </c>
      <c r="L4670">
        <v>4.7</v>
      </c>
      <c r="M4670">
        <v>343</v>
      </c>
      <c r="O4670" t="s">
        <v>25</v>
      </c>
      <c r="P4670" t="s">
        <v>2225</v>
      </c>
      <c r="Q4670" t="s">
        <v>7912</v>
      </c>
    </row>
    <row r="4671" spans="1:17" ht="15.5" x14ac:dyDescent="0.35">
      <c r="A4671"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4671"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4671" t="s">
        <v>8905</v>
      </c>
      <c r="D4671" t="s">
        <v>9091</v>
      </c>
      <c r="E4671" s="3" t="str">
        <f>HYPERLINK("https://www.amazon.com/Milwaukee-48-11-2420-REDLITHIUM-Compact-Battery/dp/B01ACZQRWM/ref=sr_1_4?keywords=Milwaukee+48-11-2411+M12+REDLITHIUM%E2%84%A2+Compact+Battery+Two+Pack&amp;qid=1695174226&amp;sr=8-4", "https://www.amazon.com/Milwaukee-48-11-2420-REDLITHIUM-Compact-Battery/dp/B01ACZQRWM/ref=sr_1_4?keywords=Milwaukee+48-11-2411+M12+REDLITHIUM%E2%84%A2+Compact+Battery+Two+Pack&amp;qid=1695174226&amp;sr=8-4")</f>
        <v>https://www.amazon.com/Milwaukee-48-11-2420-REDLITHIUM-Compact-Battery/dp/B01ACZQRWM/ref=sr_1_4?keywords=Milwaukee+48-11-2411+M12+REDLITHIUM%E2%84%A2+Compact+Battery+Two+Pack&amp;qid=1695174226&amp;sr=8-4</v>
      </c>
      <c r="F4671" t="s">
        <v>9092</v>
      </c>
      <c r="G4671" t="e">
        <f ca="1">_xludf.IMAGE("https://edmondsonsupply.com/cdn/shop/products/65014_48-11-2411-lg.jpg?v=1655484824")</f>
        <v>#NAME?</v>
      </c>
      <c r="H4671" t="e">
        <f ca="1">_xludf.IMAGE("https://m.media-amazon.com/images/I/71FD2PgnPEL._AC_UL320_.jpg")</f>
        <v>#NAME?</v>
      </c>
      <c r="I4671" t="s">
        <v>3253</v>
      </c>
      <c r="J4671">
        <v>39.950000000000003</v>
      </c>
      <c r="K4671" s="4">
        <v>-0.55110000000000003</v>
      </c>
      <c r="L4671">
        <v>4.4000000000000004</v>
      </c>
      <c r="M4671">
        <v>61</v>
      </c>
      <c r="O4671" t="s">
        <v>171</v>
      </c>
      <c r="P4671" t="s">
        <v>8908</v>
      </c>
      <c r="Q4671" t="s">
        <v>8909</v>
      </c>
    </row>
    <row r="4672" spans="1:17" ht="15.5" x14ac:dyDescent="0.35">
      <c r="A4672" s="3" t="str">
        <f>HYPERLINK("https://edmondsonsupply.com/collections/electricians-tools/products/klein-tools-63060-ratcheting-cable-cutter", "https://edmondsonsupply.com/collections/electricians-tools/products/klein-tools-63060-ratcheting-cable-cutter")</f>
        <v>https://edmondsonsupply.com/collections/electricians-tools/products/klein-tools-63060-ratcheting-cable-cutter</v>
      </c>
      <c r="B4672" s="3" t="str">
        <f>HYPERLINK("https://edmondsonsupply.com/products/klein-tools-63060-ratcheting-cable-cutter", "https://edmondsonsupply.com/products/klein-tools-63060-ratcheting-cable-cutter")</f>
        <v>https://edmondsonsupply.com/products/klein-tools-63060-ratcheting-cable-cutter</v>
      </c>
      <c r="C4672" t="s">
        <v>7427</v>
      </c>
      <c r="D4672" t="s">
        <v>9093</v>
      </c>
      <c r="E4672" s="3" t="str">
        <f>HYPERLINK("https://www.amazon.com/Klein-Tools-Moving-Blade-Cutter/dp/B082PKYVVZ/ref=sr_1_4?keywords=Klein+Tools+63060+Ratcheting+Cable+Cutter&amp;qid=1695174295&amp;sr=8-4", "https://www.amazon.com/Klein-Tools-Moving-Blade-Cutter/dp/B082PKYVVZ/ref=sr_1_4?keywords=Klein+Tools+63060+Ratcheting+Cable+Cutter&amp;qid=1695174295&amp;sr=8-4")</f>
        <v>https://www.amazon.com/Klein-Tools-Moving-Blade-Cutter/dp/B082PKYVVZ/ref=sr_1_4?keywords=Klein+Tools+63060+Ratcheting+Cable+Cutter&amp;qid=1695174295&amp;sr=8-4</v>
      </c>
      <c r="F4672" t="s">
        <v>9094</v>
      </c>
      <c r="G4672" t="e">
        <f ca="1">_xludf.IMAGE("https://edmondsonsupply.com/cdn/shop/products/63060.jpg?v=1633030887")</f>
        <v>#NAME?</v>
      </c>
      <c r="H4672" t="e">
        <f ca="1">_xludf.IMAGE("https://m.media-amazon.com/images/I/61MS5vru-xL._AC_UL320_.jpg")</f>
        <v>#NAME?</v>
      </c>
      <c r="I4672" t="s">
        <v>400</v>
      </c>
      <c r="J4672">
        <v>89.73</v>
      </c>
      <c r="K4672" s="4">
        <v>-0.55130000000000001</v>
      </c>
      <c r="L4672">
        <v>5</v>
      </c>
      <c r="M4672">
        <v>1</v>
      </c>
      <c r="O4672" t="s">
        <v>25</v>
      </c>
      <c r="P4672" t="s">
        <v>7430</v>
      </c>
      <c r="Q4672" t="s">
        <v>7431</v>
      </c>
    </row>
    <row r="4673" spans="1:17" ht="15.5" x14ac:dyDescent="0.35">
      <c r="A4673" s="3" t="str">
        <f>HYPERLINK("https://edmondsonsupply.com/collections/electricians-tools/products/klein-tools-31852-carbide-hole-cutter-7-8-inch", "https://edmondsonsupply.com/collections/electricians-tools/products/klein-tools-31852-carbide-hole-cutter-7-8-inch")</f>
        <v>https://edmondsonsupply.com/collections/electricians-tools/products/klein-tools-31852-carbide-hole-cutter-7-8-inch</v>
      </c>
      <c r="B4673" s="3" t="str">
        <f>HYPERLINK("https://edmondsonsupply.com/products/klein-tools-31852-carbide-hole-cutter-7-8-inch", "https://edmondsonsupply.com/products/klein-tools-31852-carbide-hole-cutter-7-8-inch")</f>
        <v>https://edmondsonsupply.com/products/klein-tools-31852-carbide-hole-cutter-7-8-inch</v>
      </c>
      <c r="C4673" t="s">
        <v>8329</v>
      </c>
      <c r="D4673" t="s">
        <v>9095</v>
      </c>
      <c r="E4673" s="3" t="str">
        <f>HYPERLINK("https://www.amazon.com/Jerax-tools-Carbide-Stainless-Plastic/dp/B0BKPRDZ76/ref=sr_1_9?keywords=Klein+Tools+31852+Carbide+Hole+Cutter%2C+7%2F8-Inch&amp;qid=1695174280&amp;sr=8-9", "https://www.amazon.com/Jerax-tools-Carbide-Stainless-Plastic/dp/B0BKPRDZ76/ref=sr_1_9?keywords=Klein+Tools+31852+Carbide+Hole+Cutter%2C+7%2F8-Inch&amp;qid=1695174280&amp;sr=8-9")</f>
        <v>https://www.amazon.com/Jerax-tools-Carbide-Stainless-Plastic/dp/B0BKPRDZ76/ref=sr_1_9?keywords=Klein+Tools+31852+Carbide+Hole+Cutter%2C+7%2F8-Inch&amp;qid=1695174280&amp;sr=8-9</v>
      </c>
      <c r="F4673" t="s">
        <v>9096</v>
      </c>
      <c r="G4673" t="e">
        <f ca="1">_xludf.IMAGE("https://edmondsonsupply.com/cdn/shop/products/31852.jpg?v=1633030927")</f>
        <v>#NAME?</v>
      </c>
      <c r="H4673" t="e">
        <f ca="1">_xludf.IMAGE("https://m.media-amazon.com/images/I/51UNwTPTYTL._AC_UL320_.jpg")</f>
        <v>#NAME?</v>
      </c>
      <c r="I4673" t="s">
        <v>4310</v>
      </c>
      <c r="J4673">
        <v>14.99</v>
      </c>
      <c r="K4673" s="4">
        <v>-0.55900000000000005</v>
      </c>
      <c r="L4673">
        <v>5</v>
      </c>
      <c r="M4673">
        <v>1</v>
      </c>
      <c r="O4673" t="s">
        <v>25</v>
      </c>
      <c r="P4673" t="s">
        <v>8332</v>
      </c>
      <c r="Q4673" t="s">
        <v>8333</v>
      </c>
    </row>
    <row r="4674" spans="1:17" ht="15.5" x14ac:dyDescent="0.35">
      <c r="A4674"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4674"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4674" t="s">
        <v>8334</v>
      </c>
      <c r="D4674" t="s">
        <v>9065</v>
      </c>
      <c r="E4674" s="3" t="str">
        <f>HYPERLINK("https://www.amazon.com/Diablo-Freud-DMAPL4200-SDS-Plus-4-Cutter/dp/B089KW2QV1/ref=sr_1_6?keywords=Diablo+Tools+DMAPL4310+1+in.+x+16+in.+x+18+in.+Rebar+Demon%E2%84%A2+SDS-Plus+4-Cutter+Full+Carbide+Head+Hammer+Drill+Bit&amp;qid=1695174259&amp;sr=8-6", "https://www.amazon.com/Diablo-Freud-DMAPL4200-SDS-Plus-4-Cutter/dp/B089KW2QV1/ref=sr_1_6?keywords=Diablo+Tools+DMAPL4310+1+in.+x+16+in.+x+18+in.+Rebar+Demon%E2%84%A2+SDS-Plus+4-Cutter+Full+Carbide+Head+Hammer+Drill+Bit&amp;qid=1695174259&amp;sr=8-6")</f>
        <v>https://www.amazon.com/Diablo-Freud-DMAPL4200-SDS-Plus-4-Cutter/dp/B089KW2QV1/ref=sr_1_6?keywords=Diablo+Tools+DMAPL4310+1+in.+x+16+in.+x+18+in.+Rebar+Demon%E2%84%A2+SDS-Plus+4-Cutter+Full+Carbide+Head+Hammer+Drill+Bit&amp;qid=1695174259&amp;sr=8-6</v>
      </c>
      <c r="F4674" t="s">
        <v>9066</v>
      </c>
      <c r="G4674" t="e">
        <f ca="1">_xludf.IMAGE("https://edmondsonsupply.com/cdn/shop/products/DMAPL4310_Main-Image20200701.png?v=1633031094")</f>
        <v>#NAME?</v>
      </c>
      <c r="H4674" t="e">
        <f ca="1">_xludf.IMAGE("https://m.media-amazon.com/images/I/61rW+ROVmNL._AC_UL320_.jpg")</f>
        <v>#NAME?</v>
      </c>
      <c r="I4674" t="s">
        <v>380</v>
      </c>
      <c r="J4674">
        <v>22</v>
      </c>
      <c r="K4674" s="4">
        <v>-0.55969999999999998</v>
      </c>
      <c r="L4674">
        <v>4.7</v>
      </c>
      <c r="M4674">
        <v>18</v>
      </c>
      <c r="O4674" t="s">
        <v>25</v>
      </c>
      <c r="P4674" t="s">
        <v>8335</v>
      </c>
      <c r="Q4674" t="s">
        <v>8336</v>
      </c>
    </row>
    <row r="4675" spans="1:17" ht="15.5" x14ac:dyDescent="0.35">
      <c r="A4675"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4675" s="3" t="str">
        <f>HYPERLINK("https://edmondsonsupply.com/products/fluke-80ak-a-thermocouple-adapter-type-k", "https://edmondsonsupply.com/products/fluke-80ak-a-thermocouple-adapter-type-k")</f>
        <v>https://edmondsonsupply.com/products/fluke-80ak-a-thermocouple-adapter-type-k</v>
      </c>
      <c r="C4675" t="s">
        <v>7188</v>
      </c>
      <c r="D4675" t="s">
        <v>9097</v>
      </c>
      <c r="E4675" s="3" t="str">
        <f>HYPERLINK("https://www.amazon.com/80BK-Thermocouple-Temperature-Probe-Clamp/dp/B09Q926Y72/ref=sr_1_7?keywords=Fluke+80AK-A+Thermocouple+Adapter%2C+Type+K&amp;qid=1695174160&amp;sr=8-7", "https://www.amazon.com/80BK-Thermocouple-Temperature-Probe-Clamp/dp/B09Q926Y72/ref=sr_1_7?keywords=Fluke+80AK-A+Thermocouple+Adapter%2C+Type+K&amp;qid=1695174160&amp;sr=8-7")</f>
        <v>https://www.amazon.com/80BK-Thermocouple-Temperature-Probe-Clamp/dp/B09Q926Y72/ref=sr_1_7?keywords=Fluke+80AK-A+Thermocouple+Adapter%2C+Type+K&amp;qid=1695174160&amp;sr=8-7</v>
      </c>
      <c r="F4675" t="s">
        <v>9098</v>
      </c>
      <c r="G4675" t="e">
        <f ca="1">_xludf.IMAGE("https://edmondsonsupply.com/cdn/shop/products/f-80ak-a_01a_h-1500x1000.webp?v=1662642921")</f>
        <v>#NAME?</v>
      </c>
      <c r="H4675" t="e">
        <f ca="1">_xludf.IMAGE("https://m.media-amazon.com/images/I/61KQc8gbGxL._AC_UY218_.jpg")</f>
        <v>#NAME?</v>
      </c>
      <c r="I4675" t="s">
        <v>198</v>
      </c>
      <c r="J4675">
        <v>17.579999999999998</v>
      </c>
      <c r="K4675" s="4">
        <v>-0.56040000000000001</v>
      </c>
      <c r="L4675">
        <v>4.3</v>
      </c>
      <c r="M4675">
        <v>6</v>
      </c>
      <c r="O4675" t="s">
        <v>25</v>
      </c>
      <c r="P4675" t="s">
        <v>3496</v>
      </c>
      <c r="Q4675" t="s">
        <v>7191</v>
      </c>
    </row>
    <row r="4676" spans="1:17" ht="15.5" x14ac:dyDescent="0.35">
      <c r="A4676"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4676" s="3" t="str">
        <f>HYPERLINK("https://edmondsonsupply.com/products/fluke-80ak-a-thermocouple-adapter-type-k", "https://edmondsonsupply.com/products/fluke-80ak-a-thermocouple-adapter-type-k")</f>
        <v>https://edmondsonsupply.com/products/fluke-80ak-a-thermocouple-adapter-type-k</v>
      </c>
      <c r="C4676" t="s">
        <v>7188</v>
      </c>
      <c r="D4676" t="s">
        <v>9099</v>
      </c>
      <c r="E4676" s="3" t="str">
        <f>HYPERLINK("https://www.amazon.com/Thermocouple-Temperature-Probe-Clamp-80BK/dp/B07JVYZST8/ref=sr_1_4?keywords=Fluke+80AK-A+Thermocouple+Adapter%2C+Type+K&amp;qid=1695174160&amp;sr=8-4", "https://www.amazon.com/Thermocouple-Temperature-Probe-Clamp-80BK/dp/B07JVYZST8/ref=sr_1_4?keywords=Fluke+80AK-A+Thermocouple+Adapter%2C+Type+K&amp;qid=1695174160&amp;sr=8-4")</f>
        <v>https://www.amazon.com/Thermocouple-Temperature-Probe-Clamp-80BK/dp/B07JVYZST8/ref=sr_1_4?keywords=Fluke+80AK-A+Thermocouple+Adapter%2C+Type+K&amp;qid=1695174160&amp;sr=8-4</v>
      </c>
      <c r="F4676" t="s">
        <v>9100</v>
      </c>
      <c r="G4676" t="e">
        <f ca="1">_xludf.IMAGE("https://edmondsonsupply.com/cdn/shop/products/f-80ak-a_01a_h-1500x1000.webp?v=1662642921")</f>
        <v>#NAME?</v>
      </c>
      <c r="H4676" t="e">
        <f ca="1">_xludf.IMAGE("https://m.media-amazon.com/images/I/51hF6ZaqGWL._AC_UY218_.jpg")</f>
        <v>#NAME?</v>
      </c>
      <c r="I4676" t="s">
        <v>198</v>
      </c>
      <c r="J4676">
        <v>17.579999999999998</v>
      </c>
      <c r="K4676" s="4">
        <v>-0.56040000000000001</v>
      </c>
      <c r="L4676">
        <v>4.5</v>
      </c>
      <c r="M4676">
        <v>213</v>
      </c>
      <c r="O4676" t="s">
        <v>25</v>
      </c>
      <c r="P4676" t="s">
        <v>3496</v>
      </c>
      <c r="Q4676" t="s">
        <v>7191</v>
      </c>
    </row>
    <row r="4677" spans="1:17" ht="15.5" x14ac:dyDescent="0.35">
      <c r="A4677"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4677" s="3" t="str">
        <f>HYPERLINK("https://edmondsonsupply.com/products/fluke-80ak-a-thermocouple-adapter-type-k", "https://edmondsonsupply.com/products/fluke-80ak-a-thermocouple-adapter-type-k")</f>
        <v>https://edmondsonsupply.com/products/fluke-80ak-a-thermocouple-adapter-type-k</v>
      </c>
      <c r="C4677" t="s">
        <v>7188</v>
      </c>
      <c r="D4677" t="s">
        <v>9101</v>
      </c>
      <c r="E4677" s="3" t="str">
        <f>HYPERLINK("https://www.amazon.com/Thermocouple-Temperature-Probe-Clamp-80BK/dp/B09P4ZY2QZ/ref=sr_1_3?keywords=Fluke+80AK-A+Thermocouple+Adapter%2C+Type+K&amp;qid=1695174160&amp;sr=8-3", "https://www.amazon.com/Thermocouple-Temperature-Probe-Clamp-80BK/dp/B09P4ZY2QZ/ref=sr_1_3?keywords=Fluke+80AK-A+Thermocouple+Adapter%2C+Type+K&amp;qid=1695174160&amp;sr=8-3")</f>
        <v>https://www.amazon.com/Thermocouple-Temperature-Probe-Clamp-80BK/dp/B09P4ZY2QZ/ref=sr_1_3?keywords=Fluke+80AK-A+Thermocouple+Adapter%2C+Type+K&amp;qid=1695174160&amp;sr=8-3</v>
      </c>
      <c r="F4677" t="s">
        <v>9102</v>
      </c>
      <c r="G4677" t="e">
        <f ca="1">_xludf.IMAGE("https://edmondsonsupply.com/cdn/shop/products/f-80ak-a_01a_h-1500x1000.webp?v=1662642921")</f>
        <v>#NAME?</v>
      </c>
      <c r="H4677" t="e">
        <f ca="1">_xludf.IMAGE("https://m.media-amazon.com/images/I/61W04cxOQhL._AC_UY218_.jpg")</f>
        <v>#NAME?</v>
      </c>
      <c r="I4677" t="s">
        <v>198</v>
      </c>
      <c r="J4677">
        <v>17.579999999999998</v>
      </c>
      <c r="K4677" s="4">
        <v>-0.56040000000000001</v>
      </c>
      <c r="L4677">
        <v>4.7</v>
      </c>
      <c r="M4677">
        <v>28</v>
      </c>
      <c r="O4677" t="s">
        <v>25</v>
      </c>
      <c r="P4677" t="s">
        <v>3496</v>
      </c>
      <c r="Q4677" t="s">
        <v>7191</v>
      </c>
    </row>
    <row r="4678" spans="1:17" ht="15.5" x14ac:dyDescent="0.35">
      <c r="A4678"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4678" s="3" t="str">
        <f>HYPERLINK("https://edmondsonsupply.com/products/klein-tools-44005c-hawkbill-lockback-knife-with-clip", "https://edmondsonsupply.com/products/klein-tools-44005c-hawkbill-lockback-knife-with-clip")</f>
        <v>https://edmondsonsupply.com/products/klein-tools-44005c-hawkbill-lockback-knife-with-clip</v>
      </c>
      <c r="C4678" t="s">
        <v>7808</v>
      </c>
      <c r="D4678" t="s">
        <v>4139</v>
      </c>
      <c r="E4678" s="3" t="str">
        <f>HYPERLINK("https://www.amazon.com/Replaceable-Mechanism-Klein-Tools-44218/dp/B071YR1Q2L/ref=sr_1_3?keywords=Klein+Tools+44005C+Hawkbill+Lockback+Knife+with+Clip&amp;qid=1695174149&amp;sr=8-3", "https://www.amazon.com/Replaceable-Mechanism-Klein-Tools-44218/dp/B071YR1Q2L/ref=sr_1_3?keywords=Klein+Tools+44005C+Hawkbill+Lockback+Knife+with+Clip&amp;qid=1695174149&amp;sr=8-3")</f>
        <v>https://www.amazon.com/Replaceable-Mechanism-Klein-Tools-44218/dp/B071YR1Q2L/ref=sr_1_3?keywords=Klein+Tools+44005C+Hawkbill+Lockback+Knife+with+Clip&amp;qid=1695174149&amp;sr=8-3</v>
      </c>
      <c r="F4678" t="s">
        <v>4140</v>
      </c>
      <c r="G4678" t="e">
        <f ca="1">_xludf.IMAGE("https://edmondsonsupply.com/cdn/shop/products/44005c.jpg?v=1664810854")</f>
        <v>#NAME?</v>
      </c>
      <c r="H4678" t="e">
        <f ca="1">_xludf.IMAGE("https://m.media-amazon.com/images/I/41ToQfPYPnL._AC_UL320_.jpg")</f>
        <v>#NAME?</v>
      </c>
      <c r="I4678" t="s">
        <v>1931</v>
      </c>
      <c r="J4678">
        <v>21.97</v>
      </c>
      <c r="K4678" s="4">
        <v>-0.5605</v>
      </c>
      <c r="L4678">
        <v>4.8</v>
      </c>
      <c r="M4678">
        <v>3348</v>
      </c>
      <c r="O4678" t="s">
        <v>25</v>
      </c>
      <c r="P4678" t="s">
        <v>7811</v>
      </c>
      <c r="Q4678" t="s">
        <v>7812</v>
      </c>
    </row>
    <row r="4679" spans="1:17" ht="15.5" x14ac:dyDescent="0.35">
      <c r="A4679" s="3" t="str">
        <f>HYPERLINK("https://edmondsonsupply.com/collections/electricians-tools/products/klein-tools-srs56038-polymer-fish-rod-set-glow-in-the-dark", "https://edmondsonsupply.com/collections/electricians-tools/products/klein-tools-srs56038-polymer-fish-rod-set-glow-in-the-dark")</f>
        <v>https://edmondsonsupply.com/collections/electricians-tools/products/klein-tools-srs56038-polymer-fish-rod-set-glow-in-the-dark</v>
      </c>
      <c r="B4679" s="3" t="str">
        <f>HYPERLINK("https://edmondsonsupply.com/products/klein-tools-srs56038-polymer-fish-rod-set-glow-in-the-dark", "https://edmondsonsupply.com/products/klein-tools-srs56038-polymer-fish-rod-set-glow-in-the-dark")</f>
        <v>https://edmondsonsupply.com/products/klein-tools-srs56038-polymer-fish-rod-set-glow-in-the-dark</v>
      </c>
      <c r="C4679" t="s">
        <v>2467</v>
      </c>
      <c r="D4679" t="s">
        <v>2467</v>
      </c>
      <c r="E4679" s="3" t="str">
        <f>HYPERLINK("https://www.amazon.com/Polymer-Glow-Klein-Tools-SRS56038/dp/B01C0GADSA/ref=sr_1_1?keywords=Klein+Tools+SRS56038+Polymer+Fish+Rod+Set+Glow-in-The-Dark&amp;qid=1695173917&amp;sr=8-1", "https://www.amazon.com/Polymer-Glow-Klein-Tools-SRS56038/dp/B01C0GADSA/ref=sr_1_1?keywords=Klein+Tools+SRS56038+Polymer+Fish+Rod+Set+Glow-in-The-Dark&amp;qid=1695173917&amp;sr=8-1")</f>
        <v>https://www.amazon.com/Polymer-Glow-Klein-Tools-SRS56038/dp/B01C0GADSA/ref=sr_1_1?keywords=Klein+Tools+SRS56038+Polymer+Fish+Rod+Set+Glow-in-The-Dark&amp;qid=1695173917&amp;sr=8-1</v>
      </c>
      <c r="F4679" t="s">
        <v>5614</v>
      </c>
      <c r="G4679" t="e">
        <f ca="1">_xludf.IMAGE("https://edmondsonsupply.com/cdn/shop/products/srs56038.jpg?v=1633030781")</f>
        <v>#NAME?</v>
      </c>
      <c r="H4679" t="e">
        <f ca="1">_xludf.IMAGE("https://m.media-amazon.com/images/I/513o+u6HGjL._AC_UL320_.jpg")</f>
        <v>#NAME?</v>
      </c>
      <c r="I4679" t="s">
        <v>824</v>
      </c>
      <c r="J4679">
        <v>12.99</v>
      </c>
      <c r="K4679" s="4">
        <v>-0.56659999999999999</v>
      </c>
      <c r="L4679">
        <v>3.8</v>
      </c>
      <c r="M4679">
        <v>40</v>
      </c>
      <c r="O4679" t="s">
        <v>25</v>
      </c>
      <c r="P4679" t="s">
        <v>2470</v>
      </c>
      <c r="Q4679" t="s">
        <v>2471</v>
      </c>
    </row>
    <row r="4680" spans="1:17" ht="15.5" x14ac:dyDescent="0.35">
      <c r="A4680"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4680" s="3" t="str">
        <f>HYPERLINK("https://edmondsonsupply.com/products/klein-tools-935dag-digital-angle-gauge-and-level", "https://edmondsonsupply.com/products/klein-tools-935dag-digital-angle-gauge-and-level")</f>
        <v>https://edmondsonsupply.com/products/klein-tools-935dag-digital-angle-gauge-and-level</v>
      </c>
      <c r="C4680" t="s">
        <v>1924</v>
      </c>
      <c r="D4680" t="s">
        <v>5615</v>
      </c>
      <c r="E4680" s="3"/>
      <c r="F4680" t="s">
        <v>5616</v>
      </c>
      <c r="G4680" t="e">
        <f ca="1">_xludf.IMAGE("https://edmondsonsupply.com/cdn/shop/products/935dag.jpg?v=1587145032")</f>
        <v>#NAME?</v>
      </c>
      <c r="H4680" t="e">
        <f ca="1">_xludf.IMAGE("https://m.media-amazon.com/images/I/81IUpkXJVgL._AC_UL320_.jpg")</f>
        <v>#NAME?</v>
      </c>
      <c r="I4680" t="s">
        <v>824</v>
      </c>
      <c r="J4680">
        <v>12.99</v>
      </c>
      <c r="K4680" s="4">
        <v>-0.56659999999999999</v>
      </c>
      <c r="L4680">
        <v>4.7</v>
      </c>
      <c r="M4680">
        <v>411</v>
      </c>
      <c r="O4680" t="s">
        <v>25</v>
      </c>
      <c r="P4680" t="s">
        <v>73</v>
      </c>
      <c r="Q4680" t="s">
        <v>1927</v>
      </c>
    </row>
    <row r="4681" spans="1:17" ht="15.5" x14ac:dyDescent="0.35">
      <c r="A4681"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4681" s="3" t="str">
        <f>HYPERLINK("https://edmondsonsupply.com/products/klein-tools-935dag-digital-angle-gauge-and-level", "https://edmondsonsupply.com/products/klein-tools-935dag-digital-angle-gauge-and-level")</f>
        <v>https://edmondsonsupply.com/products/klein-tools-935dag-digital-angle-gauge-and-level</v>
      </c>
      <c r="C4681" t="s">
        <v>1924</v>
      </c>
      <c r="D4681" t="s">
        <v>5615</v>
      </c>
      <c r="E4681" s="3" t="str">
        <f>HYPERLINK("https://www.amazon.com/Compatible-Electronic-Protractors-Carrying-Batteries/dp/B09JW639MH/ref=sr_1_6?keywords=Klein+Tools+935DAG+Digital+Angle+Gauge+and+Level&amp;qid=1695173893&amp;sr=8-6", "https://www.amazon.com/Compatible-Electronic-Protractors-Carrying-Batteries/dp/B09JW639MH/ref=sr_1_6?keywords=Klein+Tools+935DAG+Digital+Angle+Gauge+and+Level&amp;qid=1695173893&amp;sr=8-6")</f>
        <v>https://www.amazon.com/Compatible-Electronic-Protractors-Carrying-Batteries/dp/B09JW639MH/ref=sr_1_6?keywords=Klein+Tools+935DAG+Digital+Angle+Gauge+and+Level&amp;qid=1695173893&amp;sr=8-6</v>
      </c>
      <c r="F4681" t="s">
        <v>5616</v>
      </c>
      <c r="G4681" t="e">
        <f ca="1">_xludf.IMAGE("https://edmondsonsupply.com/cdn/shop/products/935dag.jpg?v=1587145032")</f>
        <v>#NAME?</v>
      </c>
      <c r="H4681" t="e">
        <f ca="1">_xludf.IMAGE("https://m.media-amazon.com/images/I/81IUpkXJVgL._AC_UL320_.jpg")</f>
        <v>#NAME?</v>
      </c>
      <c r="I4681" t="s">
        <v>824</v>
      </c>
      <c r="J4681">
        <v>12.99</v>
      </c>
      <c r="K4681" s="4">
        <v>-0.56659999999999999</v>
      </c>
      <c r="L4681">
        <v>4.7</v>
      </c>
      <c r="M4681">
        <v>411</v>
      </c>
      <c r="O4681" t="s">
        <v>25</v>
      </c>
      <c r="P4681" t="s">
        <v>73</v>
      </c>
      <c r="Q4681" t="s">
        <v>1927</v>
      </c>
    </row>
    <row r="4682" spans="1:17" ht="15.5" x14ac:dyDescent="0.35">
      <c r="A4682" s="3" t="str">
        <f>HYPERLINK("https://edmondsonsupply.com/collections/electricians-tools/products/klein-tools-et60-electronic-ac-dc-voltage-tester-12-to-600v", "https://edmondsonsupply.com/collections/electricians-tools/products/klein-tools-et60-electronic-ac-dc-voltage-tester-12-to-600v")</f>
        <v>https://edmondsonsupply.com/collections/electricians-tools/products/klein-tools-et60-electronic-ac-dc-voltage-tester-12-to-600v</v>
      </c>
      <c r="B4682" s="3" t="str">
        <f>HYPERLINK("https://edmondsonsupply.com/products/klein-tools-et60-electronic-ac-dc-voltage-tester-12-to-600v", "https://edmondsonsupply.com/products/klein-tools-et60-electronic-ac-dc-voltage-tester-12-to-600v")</f>
        <v>https://edmondsonsupply.com/products/klein-tools-et60-electronic-ac-dc-voltage-tester-12-to-600v</v>
      </c>
      <c r="C4682" t="s">
        <v>8444</v>
      </c>
      <c r="D4682" t="s">
        <v>6202</v>
      </c>
      <c r="E4682" s="3" t="str">
        <f>HYPERLINK("https://www.amazon.com/Klein-Tools-Voltage-Electronic-Non-Contact/dp/B0C8JZWTZY/ref=sr_1_4?keywords=Klein+Tools+ET60+Electronic+AC%2FDC+Voltage+Tester%2C+12+to+600V&amp;qid=1695174278&amp;sr=8-4", "https://www.amazon.com/Klein-Tools-Voltage-Electronic-Non-Contact/dp/B0C8JZWTZY/ref=sr_1_4?keywords=Klein+Tools+ET60+Electronic+AC%2FDC+Voltage+Tester%2C+12+to+600V&amp;qid=1695174278&amp;sr=8-4")</f>
        <v>https://www.amazon.com/Klein-Tools-Voltage-Electronic-Non-Contact/dp/B0C8JZWTZY/ref=sr_1_4?keywords=Klein+Tools+ET60+Electronic+AC%2FDC+Voltage+Tester%2C+12+to+600V&amp;qid=1695174278&amp;sr=8-4</v>
      </c>
      <c r="F4682" t="s">
        <v>6203</v>
      </c>
      <c r="G4682" t="e">
        <f ca="1">_xludf.IMAGE("https://edmondsonsupply.com/cdn/shop/products/et60.jpg?v=1633030979")</f>
        <v>#NAME?</v>
      </c>
      <c r="H4682" t="e">
        <f ca="1">_xludf.IMAGE("https://m.media-amazon.com/images/I/31V2UrptDcL._AC_UL320_.jpg")</f>
        <v>#NAME?</v>
      </c>
      <c r="I4682" t="s">
        <v>824</v>
      </c>
      <c r="J4682">
        <v>12.97</v>
      </c>
      <c r="K4682" s="4">
        <v>-0.56720000000000004</v>
      </c>
      <c r="L4682">
        <v>4.8</v>
      </c>
      <c r="M4682">
        <v>7922</v>
      </c>
      <c r="O4682" t="s">
        <v>25</v>
      </c>
      <c r="P4682" t="s">
        <v>8445</v>
      </c>
      <c r="Q4682" t="s">
        <v>8446</v>
      </c>
    </row>
    <row r="4683" spans="1:17" ht="15.5" x14ac:dyDescent="0.35">
      <c r="A4683"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683"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683" t="s">
        <v>6718</v>
      </c>
      <c r="D4683" t="s">
        <v>9103</v>
      </c>
      <c r="E4683" s="3" t="str">
        <f>HYPERLINK("https://www.amazon.com/48-59-1808-Compatible-48-59-1812-48-59-1810-48-59-2401/dp/B0C42MN95K/ref=sr_1_8?keywords=Milwaukee+48-59-1812+M18%E2%84%A2+%26+M12%E2%84%A2+Multi-Voltage+Charger&amp;qid=1695174184&amp;sr=8-8", "https://www.amazon.com/48-59-1808-Compatible-48-59-1812-48-59-1810-48-59-2401/dp/B0C42MN95K/ref=sr_1_8?keywords=Milwaukee+48-59-1812+M18%E2%84%A2+%26+M12%E2%84%A2+Multi-Voltage+Charger&amp;qid=1695174184&amp;sr=8-8")</f>
        <v>https://www.amazon.com/48-59-1808-Compatible-48-59-1812-48-59-1810-48-59-2401/dp/B0C42MN95K/ref=sr_1_8?keywords=Milwaukee+48-59-1812+M18%E2%84%A2+%26+M12%E2%84%A2+Multi-Voltage+Charger&amp;qid=1695174184&amp;sr=8-8</v>
      </c>
      <c r="F4683" t="s">
        <v>9104</v>
      </c>
      <c r="G4683" t="e">
        <f ca="1">_xludf.IMAGE("https://edmondsonsupply.com/cdn/shop/products/60113_48-59-1812_3-lg.webp?v=1656530513")</f>
        <v>#NAME?</v>
      </c>
      <c r="H4683" t="e">
        <f ca="1">_xludf.IMAGE("https://m.media-amazon.com/images/I/61oayNc6FdL._AC_UL320_.jpg")</f>
        <v>#NAME?</v>
      </c>
      <c r="I4683" t="s">
        <v>4741</v>
      </c>
      <c r="J4683">
        <v>33.99</v>
      </c>
      <c r="K4683" s="4">
        <v>-0.56969999999999998</v>
      </c>
      <c r="L4683">
        <v>4.5</v>
      </c>
      <c r="M4683">
        <v>21</v>
      </c>
      <c r="O4683" t="s">
        <v>25</v>
      </c>
      <c r="P4683" t="s">
        <v>6721</v>
      </c>
      <c r="Q4683" t="s">
        <v>6722</v>
      </c>
    </row>
    <row r="4684" spans="1:17" ht="15.5" x14ac:dyDescent="0.35">
      <c r="A4684" s="3" t="str">
        <f>HYPERLINK("https://edmondsonsupply.com/collections/electricians-tools/products/klein-tools-93ldm100c-compact-laser-distance-measure", "https://edmondsonsupply.com/collections/electricians-tools/products/klein-tools-93ldm100c-compact-laser-distance-measure")</f>
        <v>https://edmondsonsupply.com/collections/electricians-tools/products/klein-tools-93ldm100c-compact-laser-distance-measure</v>
      </c>
      <c r="B4684" s="3" t="str">
        <f>HYPERLINK("https://edmondsonsupply.com/products/klein-tools-93ldm100c-compact-laser-distance-measure", "https://edmondsonsupply.com/products/klein-tools-93ldm100c-compact-laser-distance-measure")</f>
        <v>https://edmondsonsupply.com/products/klein-tools-93ldm100c-compact-laser-distance-measure</v>
      </c>
      <c r="C4684" t="s">
        <v>4590</v>
      </c>
      <c r="D4684" t="s">
        <v>5619</v>
      </c>
      <c r="E4684" s="3" t="str">
        <f>HYPERLINK("https://www.amazon.com/Aproca-Protective-Compatible-Electromagnetic-Radiation/dp/B07H2S8KRM/ref=sr_1_2?keywords=Klein+Tools+93LDM100C+Compact+Laser+Distance+Measure&amp;qid=1695173876&amp;sr=8-2", "https://www.amazon.com/Aproca-Protective-Compatible-Electromagnetic-Radiation/dp/B07H2S8KRM/ref=sr_1_2?keywords=Klein+Tools+93LDM100C+Compact+Laser+Distance+Measure&amp;qid=1695173876&amp;sr=8-2")</f>
        <v>https://www.amazon.com/Aproca-Protective-Compatible-Electromagnetic-Radiation/dp/B07H2S8KRM/ref=sr_1_2?keywords=Klein+Tools+93LDM100C+Compact+Laser+Distance+Measure&amp;qid=1695173876&amp;sr=8-2</v>
      </c>
      <c r="F4684" t="s">
        <v>5620</v>
      </c>
      <c r="G4684" t="e">
        <f ca="1">_xludf.IMAGE("https://edmondsonsupply.com/cdn/shop/products/93ldm100c.jpg?v=1666806501")</f>
        <v>#NAME?</v>
      </c>
      <c r="H4684" t="e">
        <f ca="1">_xludf.IMAGE("https://m.media-amazon.com/images/I/71r6lbsdXsL._AC_UL320_.jpg")</f>
        <v>#NAME?</v>
      </c>
      <c r="I4684" t="s">
        <v>340</v>
      </c>
      <c r="J4684">
        <v>14.99</v>
      </c>
      <c r="K4684" s="4">
        <v>-0.57130000000000003</v>
      </c>
      <c r="L4684">
        <v>4.4000000000000004</v>
      </c>
      <c r="M4684">
        <v>63</v>
      </c>
      <c r="O4684" t="s">
        <v>25</v>
      </c>
      <c r="P4684" t="s">
        <v>4593</v>
      </c>
      <c r="Q4684" t="s">
        <v>4594</v>
      </c>
    </row>
    <row r="4685" spans="1:17" ht="15.5" x14ac:dyDescent="0.35">
      <c r="A4685"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4685"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4685" t="s">
        <v>6587</v>
      </c>
      <c r="D4685" t="s">
        <v>9105</v>
      </c>
      <c r="E4685" s="3" t="str">
        <f>HYPERLINK("https://www.amazon.com/KAIWEETS-Non-Contact-Electrical-Breakpoint-Finder-HT100B/dp/B09FX5GC12/ref=sr_1_9?keywords=Klein+Tools+NCVT-2P+Dual+Range+Non-Contact+Voltage+Tester+12+-+1000V+AC&amp;qid=1695174301&amp;sr=8-9", "https://www.amazon.com/KAIWEETS-Non-Contact-Electrical-Breakpoint-Finder-HT100B/dp/B09FX5GC12/ref=sr_1_9?keywords=Klein+Tools+NCVT-2P+Dual+Range+Non-Contact+Voltage+Tester+12+-+1000V+AC&amp;qid=1695174301&amp;sr=8-9")</f>
        <v>https://www.amazon.com/KAIWEETS-Non-Contact-Electrical-Breakpoint-Finder-HT100B/dp/B09FX5GC12/ref=sr_1_9?keywords=Klein+Tools+NCVT-2P+Dual+Range+Non-Contact+Voltage+Tester+12+-+1000V+AC&amp;qid=1695174301&amp;sr=8-9</v>
      </c>
      <c r="F4685" t="s">
        <v>9106</v>
      </c>
      <c r="G4685" t="e">
        <f ca="1">_xludf.IMAGE("https://edmondsonsupply.com/cdn/shop/products/ncvt2p.jpg?v=1633030824")</f>
        <v>#NAME?</v>
      </c>
      <c r="H4685" t="e">
        <f ca="1">_xludf.IMAGE("https://m.media-amazon.com/images/I/61nvl3MItJL._AC_UL320_.jpg")</f>
        <v>#NAME?</v>
      </c>
      <c r="I4685" t="s">
        <v>6588</v>
      </c>
      <c r="J4685">
        <v>11.98</v>
      </c>
      <c r="K4685" s="4">
        <v>-0.57169999999999999</v>
      </c>
      <c r="L4685">
        <v>4.5</v>
      </c>
      <c r="M4685">
        <v>16343</v>
      </c>
      <c r="O4685" t="s">
        <v>25</v>
      </c>
      <c r="P4685" t="s">
        <v>6589</v>
      </c>
      <c r="Q4685" t="s">
        <v>6590</v>
      </c>
    </row>
    <row r="4686" spans="1:17" ht="15.5" x14ac:dyDescent="0.35">
      <c r="A4686" s="3" t="str">
        <f>HYPERLINK("https://edmondsonsupply.com/collections/electricians-tools/products/milwaukee-2864-20-m18-fuel%E2%84%A2-w-one-key%E2%84%A2-high-torque-impact-wrench-3-4-friction-ring-bare-tool", "https://edmondsonsupply.com/collections/electricians-tools/products/milwaukee-2864-20-m18-fuel%E2%84%A2-w-one-key%E2%84%A2-high-torque-impact-wrench-3-4-friction-ring-bare-tool")</f>
        <v>https://edmondsonsupply.com/collections/electricians-tools/products/milwaukee-2864-20-m18-fuel%E2%84%A2-w-one-key%E2%84%A2-high-torque-impact-wrench-3-4-friction-ring-bare-tool</v>
      </c>
      <c r="B4686" s="3" t="str">
        <f>HYPERLINK("https://edmondsonsupply.com/products/milwaukee-2864-20-m18-fuel%e2%84%a2-w-one-key%e2%84%a2-high-torque-impact-wrench-3-4-friction-ring-bare-tool", "https://edmondsonsupply.com/products/milwaukee-2864-20-m18-fuel%e2%84%a2-w-one-key%e2%84%a2-high-torque-impact-wrench-3-4-friction-ring-bare-tool")</f>
        <v>https://edmondsonsupply.com/products/milwaukee-2864-20-m18-fuel%e2%84%a2-w-one-key%e2%84%a2-high-torque-impact-wrench-3-4-friction-ring-bare-tool</v>
      </c>
      <c r="C4686" t="s">
        <v>9107</v>
      </c>
      <c r="D4686" t="s">
        <v>9108</v>
      </c>
      <c r="E4686" s="3" t="str">
        <f>HYPERLINK("https://www.amazon.com/Milwaukee-2663-20-Torque-Impact-Friction/dp/B07G9H1FHX/ref=sr_1_9?keywords=Milwaukee+2864-20+M18+FUEL%E2%84%A2+w%2F+ONE-KEY%E2%84%A2+High+Torque+Impact+Wrench+3%2F4%22+Friction+Ring+Bare+Tool&amp;qid=1695174060&amp;sr=8-9", "https://www.amazon.com/Milwaukee-2663-20-Torque-Impact-Friction/dp/B07G9H1FHX/ref=sr_1_9?keywords=Milwaukee+2864-20+M18+FUEL%E2%84%A2+w%2F+ONE-KEY%E2%84%A2+High+Torque+Impact+Wrench+3%2F4%22+Friction+Ring+Bare+Tool&amp;qid=1695174060&amp;sr=8-9")</f>
        <v>https://www.amazon.com/Milwaukee-2663-20-Torque-Impact-Friction/dp/B07G9H1FHX/ref=sr_1_9?keywords=Milwaukee+2864-20+M18+FUEL%E2%84%A2+w%2F+ONE-KEY%E2%84%A2+High+Torque+Impact+Wrench+3%2F4%22+Friction+Ring+Bare+Tool&amp;qid=1695174060&amp;sr=8-9</v>
      </c>
      <c r="F4686" t="s">
        <v>9109</v>
      </c>
      <c r="G4686" t="e">
        <f ca="1">_xludf.IMAGE("https://edmondsonsupply.com/cdn/shop/products/2864-20_3.webp?v=1678898538")</f>
        <v>#NAME?</v>
      </c>
      <c r="H4686" t="e">
        <f ca="1">_xludf.IMAGE("https://m.media-amazon.com/images/I/31BwKxDDZbL._AC_UL320_.jpg")</f>
        <v>#NAME?</v>
      </c>
      <c r="I4686" t="s">
        <v>9110</v>
      </c>
      <c r="J4686">
        <v>148.57</v>
      </c>
      <c r="K4686" s="4">
        <v>-0.57430000000000003</v>
      </c>
      <c r="L4686">
        <v>4.5</v>
      </c>
      <c r="M4686">
        <v>123</v>
      </c>
      <c r="O4686" t="s">
        <v>25</v>
      </c>
      <c r="P4686" t="s">
        <v>9111</v>
      </c>
      <c r="Q4686" t="s">
        <v>9112</v>
      </c>
    </row>
    <row r="4687" spans="1:17" ht="15.5" x14ac:dyDescent="0.35">
      <c r="A4687"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4687" s="3" t="str">
        <f>HYPERLINK("https://edmondsonsupply.com/products/fluke-80ak-a-thermocouple-adapter-type-k", "https://edmondsonsupply.com/products/fluke-80ak-a-thermocouple-adapter-type-k")</f>
        <v>https://edmondsonsupply.com/products/fluke-80ak-a-thermocouple-adapter-type-k</v>
      </c>
      <c r="C4687" t="s">
        <v>7188</v>
      </c>
      <c r="D4687" t="s">
        <v>9113</v>
      </c>
      <c r="E4687" s="3" t="str">
        <f>HYPERLINK("https://www.amazon.com/Thermocouple-Temperature-Probe-Clamp-80BK/dp/B09V31L5V4/ref=sr_1_6?keywords=Fluke+80AK-A+Thermocouple+Adapter%2C+Type+K&amp;qid=1695174160&amp;sr=8-6", "https://www.amazon.com/Thermocouple-Temperature-Probe-Clamp-80BK/dp/B09V31L5V4/ref=sr_1_6?keywords=Fluke+80AK-A+Thermocouple+Adapter%2C+Type+K&amp;qid=1695174160&amp;sr=8-6")</f>
        <v>https://www.amazon.com/Thermocouple-Temperature-Probe-Clamp-80BK/dp/B09V31L5V4/ref=sr_1_6?keywords=Fluke+80AK-A+Thermocouple+Adapter%2C+Type+K&amp;qid=1695174160&amp;sr=8-6</v>
      </c>
      <c r="F4687" t="s">
        <v>9114</v>
      </c>
      <c r="G4687" t="e">
        <f ca="1">_xludf.IMAGE("https://edmondsonsupply.com/cdn/shop/products/f-80ak-a_01a_h-1500x1000.webp?v=1662642921")</f>
        <v>#NAME?</v>
      </c>
      <c r="H4687" t="e">
        <f ca="1">_xludf.IMAGE("https://m.media-amazon.com/images/I/31Hx6guC1tL._AC_UY218_.jpg")</f>
        <v>#NAME?</v>
      </c>
      <c r="I4687" t="s">
        <v>198</v>
      </c>
      <c r="J4687">
        <v>16.989999999999998</v>
      </c>
      <c r="K4687" s="4">
        <v>-0.57509999999999994</v>
      </c>
      <c r="L4687">
        <v>4.5</v>
      </c>
      <c r="M4687">
        <v>6</v>
      </c>
      <c r="O4687" t="s">
        <v>25</v>
      </c>
      <c r="P4687" t="s">
        <v>3496</v>
      </c>
      <c r="Q4687" t="s">
        <v>7191</v>
      </c>
    </row>
    <row r="4688" spans="1:17" ht="15.5" x14ac:dyDescent="0.35">
      <c r="A4688" s="3" t="str">
        <f>HYPERLINK("https://edmondsonsupply.com/collections/electricians-tools/products/klein-tools-et920-usb-digital-meter-usb-a-and-usb-c", "https://edmondsonsupply.com/collections/electricians-tools/products/klein-tools-et920-usb-digital-meter-usb-a-and-usb-c")</f>
        <v>https://edmondsonsupply.com/collections/electricians-tools/products/klein-tools-et920-usb-digital-meter-usb-a-and-usb-c</v>
      </c>
      <c r="B4688" s="3" t="str">
        <f>HYPERLINK("https://edmondsonsupply.com/products/klein-tools-et920-usb-digital-meter-usb-a-and-usb-c", "https://edmondsonsupply.com/products/klein-tools-et920-usb-digital-meter-usb-a-and-usb-c")</f>
        <v>https://edmondsonsupply.com/products/klein-tools-et920-usb-digital-meter-usb-a-and-usb-c</v>
      </c>
      <c r="C4688" t="s">
        <v>6471</v>
      </c>
      <c r="D4688" t="s">
        <v>9115</v>
      </c>
      <c r="E4688" s="3" t="str">
        <f>HYPERLINK("https://www.amazon.com/Klein-Tools-ET920-Capacity-Resistance/dp/B07GXZHPVR/ref=sr_1_1?keywords=Klein+Tools+ET920+USB+Digital+Meter%2C+USB-A+and+USB-C&amp;qid=1695174224&amp;sr=8-1", "https://www.amazon.com/Klein-Tools-ET920-Capacity-Resistance/dp/B07GXZHPVR/ref=sr_1_1?keywords=Klein+Tools+ET920+USB+Digital+Meter%2C+USB-A+and+USB-C&amp;qid=1695174224&amp;sr=8-1")</f>
        <v>https://www.amazon.com/Klein-Tools-ET920-Capacity-Resistance/dp/B07GXZHPVR/ref=sr_1_1?keywords=Klein+Tools+ET920+USB+Digital+Meter%2C+USB-A+and+USB-C&amp;qid=1695174224&amp;sr=8-1</v>
      </c>
      <c r="F4688" t="s">
        <v>9116</v>
      </c>
      <c r="G4688" t="e">
        <f ca="1">_xludf.IMAGE("https://edmondsonsupply.com/cdn/shop/products/et920.jpg?v=1642643803")</f>
        <v>#NAME?</v>
      </c>
      <c r="H4688" t="e">
        <f ca="1">_xludf.IMAGE("https://m.media-amazon.com/images/I/51jtQ7jBYaL._AC_UL320_.jpg")</f>
        <v>#NAME?</v>
      </c>
      <c r="I4688" t="s">
        <v>246</v>
      </c>
      <c r="J4688">
        <v>16.98</v>
      </c>
      <c r="K4688" s="4">
        <v>-0.57520000000000004</v>
      </c>
      <c r="L4688">
        <v>4.5</v>
      </c>
      <c r="M4688">
        <v>1279</v>
      </c>
      <c r="O4688" t="s">
        <v>25</v>
      </c>
      <c r="P4688" t="s">
        <v>6474</v>
      </c>
      <c r="Q4688" t="s">
        <v>6475</v>
      </c>
    </row>
    <row r="4689" spans="1:17" ht="15.5" x14ac:dyDescent="0.35">
      <c r="A4689"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4689" s="3" t="str">
        <f>HYPERLINK("https://edmondsonsupply.com/products/klein-tools-32800-6-in-1-multi-nut-driver-heavy-duty", "https://edmondsonsupply.com/products/klein-tools-32800-6-in-1-multi-nut-driver-heavy-duty")</f>
        <v>https://edmondsonsupply.com/products/klein-tools-32800-6-in-1-multi-nut-driver-heavy-duty</v>
      </c>
      <c r="C4689" t="s">
        <v>8108</v>
      </c>
      <c r="D4689" t="s">
        <v>4896</v>
      </c>
      <c r="E4689" s="3" t="str">
        <f>HYPERLINK("https://www.amazon.com/Multi-Bit-Screwdriver-Klein-Tools-32562/dp/B007SF5DNE/ref=sr_1_10?keywords=Klein+Tools+32800+6-in-1+6-in-1+Multi-Bit+Nut+Driver%2C+Heavy+Duty&amp;qid=1695174226&amp;sr=8-10", "https://www.amazon.com/Multi-Bit-Screwdriver-Klein-Tools-32562/dp/B007SF5DNE/ref=sr_1_10?keywords=Klein+Tools+32800+6-in-1+6-in-1+Multi-Bit+Nut+Driver%2C+Heavy+Duty&amp;qid=1695174226&amp;sr=8-10")</f>
        <v>https://www.amazon.com/Multi-Bit-Screwdriver-Klein-Tools-32562/dp/B007SF5DNE/ref=sr_1_10?keywords=Klein+Tools+32800+6-in-1+6-in-1+Multi-Bit+Nut+Driver%2C+Heavy+Duty&amp;qid=1695174226&amp;sr=8-10</v>
      </c>
      <c r="F4689" t="s">
        <v>4897</v>
      </c>
      <c r="G4689" t="e">
        <f ca="1">_xludf.IMAGE("https://edmondsonsupply.com/cdn/shop/products/32800_alt2.jpg?v=1646595019")</f>
        <v>#NAME?</v>
      </c>
      <c r="H4689" t="e">
        <f ca="1">_xludf.IMAGE("https://m.media-amazon.com/images/I/515fclR4vsL._AC_UL320_.jpg")</f>
        <v>#NAME?</v>
      </c>
      <c r="I4689" t="s">
        <v>26</v>
      </c>
      <c r="J4689">
        <v>12.6</v>
      </c>
      <c r="K4689" s="4">
        <v>-0.57989999999999997</v>
      </c>
      <c r="L4689">
        <v>4.7</v>
      </c>
      <c r="M4689">
        <v>481</v>
      </c>
      <c r="O4689" t="s">
        <v>25</v>
      </c>
      <c r="P4689" t="s">
        <v>8111</v>
      </c>
      <c r="Q4689" t="s">
        <v>8112</v>
      </c>
    </row>
    <row r="4690" spans="1:17" ht="15.5" x14ac:dyDescent="0.35">
      <c r="A4690"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4690"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4690" t="s">
        <v>4395</v>
      </c>
      <c r="D4690" t="s">
        <v>5627</v>
      </c>
      <c r="E4690" s="3" t="str">
        <f>HYPERLINK("https://www.amazon.com/Wiha-66995-6-Piece-Metric-L-Key/dp/B002S0O7U4/ref=sr_1_1?keywords=Wiha+Tools+66990+9+Piece+MagicRing+Ball+End+Long+Arm+Hex+L-Key+Set+-+Metric&amp;qid=1695173977&amp;sr=8-1", "https://www.amazon.com/Wiha-66995-6-Piece-Metric-L-Key/dp/B002S0O7U4/ref=sr_1_1?keywords=Wiha+Tools+66990+9+Piece+MagicRing+Ball+End+Long+Arm+Hex+L-Key+Set+-+Metric&amp;qid=1695173977&amp;sr=8-1")</f>
        <v>https://www.amazon.com/Wiha-66995-6-Piece-Metric-L-Key/dp/B002S0O7U4/ref=sr_1_1?keywords=Wiha+Tools+66990+9+Piece+MagicRing+Ball+End+Long+Arm+Hex+L-Key+Set+-+Metric&amp;qid=1695173977&amp;sr=8-1</v>
      </c>
      <c r="F4690" t="s">
        <v>5628</v>
      </c>
      <c r="G4690" t="e">
        <f ca="1">_xludf.IMAGE("https://edmondsonsupply.com/cdn/shop/files/13e958aad91c16597a10bc35346fe94965ff7cc5_1000x_585c36ae-bd90-4c7e-95df-eb1519527f63.webp?v=1690841217")</f>
        <v>#NAME?</v>
      </c>
      <c r="H4690" t="e">
        <f ca="1">_xludf.IMAGE("https://m.media-amazon.com/images/I/61emfyjx68L._AC_UL320_.jpg")</f>
        <v>#NAME?</v>
      </c>
      <c r="I4690" t="s">
        <v>4398</v>
      </c>
      <c r="J4690">
        <v>16.22</v>
      </c>
      <c r="K4690" s="4">
        <v>-0.58689999999999998</v>
      </c>
      <c r="L4690">
        <v>4.5</v>
      </c>
      <c r="M4690">
        <v>80</v>
      </c>
      <c r="O4690" t="s">
        <v>25</v>
      </c>
      <c r="P4690" t="s">
        <v>4399</v>
      </c>
      <c r="Q4690" t="s">
        <v>4400</v>
      </c>
    </row>
    <row r="4691" spans="1:17" ht="15.5" x14ac:dyDescent="0.35">
      <c r="A4691" s="3" t="str">
        <f>HYPERLINK("https://edmondsonsupply.com/collections/electricians-tools/products/klein-tools-2138neeins-insulated-pliers-slim-handle-side-cutters-8-inch", "https://edmondsonsupply.com/collections/electricians-tools/products/klein-tools-2138neeins-insulated-pliers-slim-handle-side-cutters-8-inch")</f>
        <v>https://edmondsonsupply.com/collections/electricians-tools/products/klein-tools-2138neeins-insulated-pliers-slim-handle-side-cutters-8-inch</v>
      </c>
      <c r="B4691"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4691" t="s">
        <v>5004</v>
      </c>
      <c r="D4691" t="s">
        <v>5226</v>
      </c>
      <c r="E4691" s="3" t="str">
        <f>HYPERLINK("https://www.amazon.com/Linemans-Alligator-Klein-Tools-D203-8/dp/B0000302WQ/ref=sr_1_10?keywords=Klein+Tools+2138NEEINS+Insulated+Pliers%2C+Slim+Handle+Side+Cutters%2C+8-Inch&amp;qid=1695173956&amp;sr=8-10", "https://www.amazon.com/Linemans-Alligator-Klein-Tools-D203-8/dp/B0000302WQ/ref=sr_1_10?keywords=Klein+Tools+2138NEEINS+Insulated+Pliers%2C+Slim+Handle+Side+Cutters%2C+8-Inch&amp;qid=1695173956&amp;sr=8-10")</f>
        <v>https://www.amazon.com/Linemans-Alligator-Klein-Tools-D203-8/dp/B0000302WQ/ref=sr_1_10?keywords=Klein+Tools+2138NEEINS+Insulated+Pliers%2C+Slim+Handle+Side+Cutters%2C+8-Inch&amp;qid=1695173956&amp;sr=8-10</v>
      </c>
      <c r="F4691" t="s">
        <v>5227</v>
      </c>
      <c r="G4691" t="e">
        <f ca="1">_xludf.IMAGE("https://edmondsonsupply.com/cdn/shop/files/2138neeins.jpg?v=1694611719")</f>
        <v>#NAME?</v>
      </c>
      <c r="H4691" t="e">
        <f ca="1">_xludf.IMAGE("https://m.media-amazon.com/images/I/51Ifjz4aftL._AC_UL320_.jpg")</f>
        <v>#NAME?</v>
      </c>
      <c r="I4691" t="s">
        <v>588</v>
      </c>
      <c r="J4691">
        <v>28.74</v>
      </c>
      <c r="K4691" s="4">
        <v>-0.58940000000000003</v>
      </c>
      <c r="L4691">
        <v>4.8</v>
      </c>
      <c r="M4691">
        <v>935</v>
      </c>
      <c r="O4691" t="s">
        <v>25</v>
      </c>
      <c r="P4691" t="s">
        <v>5007</v>
      </c>
      <c r="Q4691" t="s">
        <v>5008</v>
      </c>
    </row>
    <row r="4692" spans="1:17" ht="15.5" x14ac:dyDescent="0.35">
      <c r="A4692"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4692"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4692" t="s">
        <v>6755</v>
      </c>
      <c r="D4692" t="s">
        <v>8401</v>
      </c>
      <c r="E4692" s="3" t="str">
        <f>HYPERLINK("https://www.amazon.com/Cabinet-Screwdriver-Klein-Tools-605-4/dp/B000BQWOO8/ref=sr_1_7?keywords=Klein+Tools+602-4-INS+1%2F4-Inch+Cabinet+Tip+Insulated+Screwdriver%2C+4-Inch&amp;qid=1695174266&amp;sr=8-7", "https://www.amazon.com/Cabinet-Screwdriver-Klein-Tools-605-4/dp/B000BQWOO8/ref=sr_1_7?keywords=Klein+Tools+602-4-INS+1%2F4-Inch+Cabinet+Tip+Insulated+Screwdriver%2C+4-Inch&amp;qid=1695174266&amp;sr=8-7")</f>
        <v>https://www.amazon.com/Cabinet-Screwdriver-Klein-Tools-605-4/dp/B000BQWOO8/ref=sr_1_7?keywords=Klein+Tools+602-4-INS+1%2F4-Inch+Cabinet+Tip+Insulated+Screwdriver%2C+4-Inch&amp;qid=1695174266&amp;sr=8-7</v>
      </c>
      <c r="F4692" t="s">
        <v>8402</v>
      </c>
      <c r="G4692" t="e">
        <f ca="1">_xludf.IMAGE("https://edmondsonsupply.com/cdn/shop/products/602-4-ins-photo.jpg?v=1633031051")</f>
        <v>#NAME?</v>
      </c>
      <c r="H4692" t="e">
        <f ca="1">_xludf.IMAGE("https://m.media-amazon.com/images/I/41WLDr2SP+L._AC_UL320_.jpg")</f>
        <v>#NAME?</v>
      </c>
      <c r="I4692" t="s">
        <v>3185</v>
      </c>
      <c r="J4692">
        <v>8.57</v>
      </c>
      <c r="K4692" s="4">
        <v>-0.5917</v>
      </c>
      <c r="L4692">
        <v>4.8</v>
      </c>
      <c r="M4692">
        <v>1227</v>
      </c>
      <c r="O4692" t="s">
        <v>25</v>
      </c>
      <c r="P4692" t="s">
        <v>6758</v>
      </c>
      <c r="Q4692" t="s">
        <v>6759</v>
      </c>
    </row>
    <row r="4693" spans="1:17" ht="15.5" x14ac:dyDescent="0.35">
      <c r="A4693"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4693" s="3" t="str">
        <f>HYPERLINK("https://edmondsonsupply.com/products/amprobe-thwd-3-relative-humidity-temperature-meter", "https://edmondsonsupply.com/products/amprobe-thwd-3-relative-humidity-temperature-meter")</f>
        <v>https://edmondsonsupply.com/products/amprobe-thwd-3-relative-humidity-temperature-meter</v>
      </c>
      <c r="C4693" t="s">
        <v>7258</v>
      </c>
      <c r="D4693" t="s">
        <v>9117</v>
      </c>
      <c r="E4693" s="3" t="str">
        <f>HYPERLINK("https://www.amazon.com/Amprobe-TR200-Temperature-Relative-Humidity/dp/B004JV21AI/ref=sr_1_10?keywords=Amprobe+THWD-3+Relative+Humidity+Temperature+Meter&amp;qid=1695174239&amp;sr=8-10", "https://www.amazon.com/Amprobe-TR200-Temperature-Relative-Humidity/dp/B004JV21AI/ref=sr_1_10?keywords=Amprobe+THWD-3+Relative+Humidity+Temperature+Meter&amp;qid=1695174239&amp;sr=8-10")</f>
        <v>https://www.amazon.com/Amprobe-TR200-Temperature-Relative-Humidity/dp/B004JV21AI/ref=sr_1_10?keywords=Amprobe+THWD-3+Relative+Humidity+Temperature+Meter&amp;qid=1695174239&amp;sr=8-10</v>
      </c>
      <c r="F4693" t="s">
        <v>9118</v>
      </c>
      <c r="G4693" t="e">
        <f ca="1">_xludf.IMAGE("https://edmondsonsupply.com/cdn/shop/products/THWD-3.png?v=1633526329")</f>
        <v>#NAME?</v>
      </c>
      <c r="H4693" t="e">
        <f ca="1">_xludf.IMAGE("https://m.media-amazon.com/images/I/81tQJVsc7CL._AC_UY218_.jpg")</f>
        <v>#NAME?</v>
      </c>
      <c r="I4693" t="s">
        <v>7261</v>
      </c>
      <c r="J4693">
        <v>71.5</v>
      </c>
      <c r="K4693" s="4">
        <v>-0.59460000000000002</v>
      </c>
      <c r="L4693">
        <v>1.7</v>
      </c>
      <c r="M4693">
        <v>2</v>
      </c>
      <c r="O4693" t="s">
        <v>25</v>
      </c>
      <c r="P4693" t="s">
        <v>4452</v>
      </c>
      <c r="Q4693" t="s">
        <v>7262</v>
      </c>
    </row>
    <row r="4694" spans="1:17" ht="15.5" x14ac:dyDescent="0.35">
      <c r="A4694" s="3" t="str">
        <f>HYPERLINK("https://edmondsonsupply.com/collections/electricians-tools/products/milwaukee-48-11-2440-m12%E2%84%A2-redlithium%E2%84%A2-xc-4-0-extended-capacity-battery-pack", "https://edmondsonsupply.com/collections/electricians-tools/products/milwaukee-48-11-2440-m12%E2%84%A2-redlithium%E2%84%A2-xc-4-0-extended-capacity-battery-pack")</f>
        <v>https://edmondsonsupply.com/collections/electricians-tools/products/milwaukee-48-11-2440-m12%E2%84%A2-redlithium%E2%84%A2-xc-4-0-extended-capacity-battery-pack</v>
      </c>
      <c r="B4694" s="3" t="str">
        <f>HYPERLINK("https://edmondsonsupply.com/products/milwaukee-48-11-2440-m12%e2%84%a2-redlithium%e2%84%a2-xc-4-0-extended-capacity-battery-pack", "https://edmondsonsupply.com/products/milwaukee-48-11-2440-m12%e2%84%a2-redlithium%e2%84%a2-xc-4-0-extended-capacity-battery-pack")</f>
        <v>https://edmondsonsupply.com/products/milwaukee-48-11-2440-m12%e2%84%a2-redlithium%e2%84%a2-xc-4-0-extended-capacity-battery-pack</v>
      </c>
      <c r="C4694" t="s">
        <v>8285</v>
      </c>
      <c r="D4694" t="s">
        <v>9089</v>
      </c>
      <c r="E4694" s="3" t="str">
        <f>HYPERLINK("https://www.amazon.com/Yongcell-Replacement-48-11-2460-48-11-2440-48-11-2402/dp/B093L9ZWCS/ref=sr_1_7?keywords=Milwaukee+48-11-2440+M12%E2%84%A2+REDLITHIUM%E2%84%A2+XC+4.0+Extended+Capacity+Battery+Pack&amp;qid=1695174198&amp;sr=8-7", "https://www.amazon.com/Yongcell-Replacement-48-11-2460-48-11-2440-48-11-2402/dp/B093L9ZWCS/ref=sr_1_7?keywords=Milwaukee+48-11-2440+M12%E2%84%A2+REDLITHIUM%E2%84%A2+XC+4.0+Extended+Capacity+Battery+Pack&amp;qid=1695174198&amp;sr=8-7")</f>
        <v>https://www.amazon.com/Yongcell-Replacement-48-11-2460-48-11-2440-48-11-2402/dp/B093L9ZWCS/ref=sr_1_7?keywords=Milwaukee+48-11-2440+M12%E2%84%A2+REDLITHIUM%E2%84%A2+XC+4.0+Extended+Capacity+Battery+Pack&amp;qid=1695174198&amp;sr=8-7</v>
      </c>
      <c r="F4694" t="s">
        <v>9090</v>
      </c>
      <c r="G4694" t="e">
        <f ca="1">_xludf.IMAGE("https://edmondsonsupply.com/cdn/shop/products/64620_48-11-2440-lg.png?v=1654801817")</f>
        <v>#NAME?</v>
      </c>
      <c r="H4694" t="e">
        <f ca="1">_xludf.IMAGE("https://m.media-amazon.com/images/I/71BQqHmVNoS._AC_UL320_.jpg")</f>
        <v>#NAME?</v>
      </c>
      <c r="I4694" t="s">
        <v>3253</v>
      </c>
      <c r="J4694">
        <v>35.979999999999997</v>
      </c>
      <c r="K4694" s="4">
        <v>-0.59570000000000001</v>
      </c>
      <c r="L4694">
        <v>4.5999999999999996</v>
      </c>
      <c r="M4694">
        <v>131</v>
      </c>
      <c r="O4694" t="s">
        <v>171</v>
      </c>
      <c r="P4694" t="s">
        <v>692</v>
      </c>
      <c r="Q4694" t="s">
        <v>8288</v>
      </c>
    </row>
    <row r="4695" spans="1:17" ht="15.5" x14ac:dyDescent="0.35">
      <c r="A4695"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4695"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4695" t="s">
        <v>9080</v>
      </c>
      <c r="D4695" t="s">
        <v>9027</v>
      </c>
      <c r="E4695" s="3" t="str">
        <f>HYPERLINK("https://www.amazon.com/Milwaukee-48-11-2440-REDLITHIUM-Extended-Capacity/dp/B00BYFO1AA/ref=sr_1_4?keywords=Milwaukee+48-11-2412+M12+REDLITHIUM%E2%84%A2+XC+Battery+Two+Pack&amp;qid=1695174210&amp;sr=8-4", "https://www.amazon.com/Milwaukee-48-11-2440-REDLITHIUM-Extended-Capacity/dp/B00BYFO1AA/ref=sr_1_4?keywords=Milwaukee+48-11-2412+M12+REDLITHIUM%E2%84%A2+XC+Battery+Two+Pack&amp;qid=1695174210&amp;sr=8-4")</f>
        <v>https://www.amazon.com/Milwaukee-48-11-2440-REDLITHIUM-Extended-Capacity/dp/B00BYFO1AA/ref=sr_1_4?keywords=Milwaukee+48-11-2412+M12+REDLITHIUM%E2%84%A2+XC+Battery+Two+Pack&amp;qid=1695174210&amp;sr=8-4</v>
      </c>
      <c r="F4695" t="s">
        <v>9028</v>
      </c>
      <c r="G4695" t="e">
        <f ca="1">_xludf.IMAGE("https://edmondsonsupply.com/cdn/shop/products/48-11-2412.jpg?v=1654795924")</f>
        <v>#NAME?</v>
      </c>
      <c r="H4695" t="e">
        <f ca="1">_xludf.IMAGE("https://m.media-amazon.com/images/I/81RzIHvm69L._AC_UL320_.jpg")</f>
        <v>#NAME?</v>
      </c>
      <c r="I4695" t="s">
        <v>739</v>
      </c>
      <c r="J4695">
        <v>51.99</v>
      </c>
      <c r="K4695" s="4">
        <v>-0.59699999999999998</v>
      </c>
      <c r="L4695">
        <v>4.8</v>
      </c>
      <c r="M4695">
        <v>3002</v>
      </c>
      <c r="O4695" t="s">
        <v>25</v>
      </c>
      <c r="P4695" t="s">
        <v>9083</v>
      </c>
      <c r="Q4695" t="s">
        <v>9084</v>
      </c>
    </row>
    <row r="4696" spans="1:17" ht="15.5" x14ac:dyDescent="0.35">
      <c r="A4696"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4696" s="3" t="str">
        <f>HYPERLINK("https://edmondsonsupply.com/products/klein-tools-rt310-afci-gfci-outlet-tester", "https://edmondsonsupply.com/products/klein-tools-rt310-afci-gfci-outlet-tester")</f>
        <v>https://edmondsonsupply.com/products/klein-tools-rt310-afci-gfci-outlet-tester</v>
      </c>
      <c r="C4696" t="s">
        <v>6210</v>
      </c>
      <c r="D4696" t="s">
        <v>9119</v>
      </c>
      <c r="E4696" s="3" t="str">
        <f>HYPERLINK("https://www.amazon.com/khanka-Travel-Compatible-Outlet-Device/dp/B088BCQT7K/ref=sr_1_2?keywords=Klein+Tools+RT310+AFCI+%2F+GFCI+Outlet+Tester&amp;qid=1695173970&amp;sr=8-2", "https://www.amazon.com/khanka-Travel-Compatible-Outlet-Device/dp/B088BCQT7K/ref=sr_1_2?keywords=Klein+Tools+RT310+AFCI+%2F+GFCI+Outlet+Tester&amp;qid=1695173970&amp;sr=8-2")</f>
        <v>https://www.amazon.com/khanka-Travel-Compatible-Outlet-Device/dp/B088BCQT7K/ref=sr_1_2?keywords=Klein+Tools+RT310+AFCI+%2F+GFCI+Outlet+Tester&amp;qid=1695173970&amp;sr=8-2</v>
      </c>
      <c r="F4696" t="s">
        <v>9120</v>
      </c>
      <c r="G4696" t="e">
        <f ca="1">_xludf.IMAGE("https://edmondsonsupply.com/cdn/shop/products/rt310.jpg?v=1587148552")</f>
        <v>#NAME?</v>
      </c>
      <c r="H4696" t="e">
        <f ca="1">_xludf.IMAGE("https://m.media-amazon.com/images/I/71VUKzcSJ4L._AC_UL320_.jpg")</f>
        <v>#NAME?</v>
      </c>
      <c r="I4696" t="s">
        <v>246</v>
      </c>
      <c r="J4696">
        <v>15.99</v>
      </c>
      <c r="K4696" s="4">
        <v>-0.59989999999999999</v>
      </c>
      <c r="L4696">
        <v>4.5999999999999996</v>
      </c>
      <c r="M4696">
        <v>32</v>
      </c>
      <c r="O4696" t="s">
        <v>25</v>
      </c>
      <c r="P4696" t="s">
        <v>6213</v>
      </c>
      <c r="Q4696" t="s">
        <v>6214</v>
      </c>
    </row>
    <row r="4697" spans="1:17" ht="15.5" x14ac:dyDescent="0.35">
      <c r="A4697"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4697"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4697" t="s">
        <v>6824</v>
      </c>
      <c r="D4697" t="s">
        <v>9121</v>
      </c>
      <c r="E4697" s="3" t="str">
        <f>HYPERLINK("https://www.amazon.com/co2crea-Replacement-Circuit-Breaker-Integrated/dp/B087JRTB7S/ref=sr_1_6?keywords=Klein+Tools+ET310+Digital+Circuit+Breaker+Finder+with+GFCI+Outlet+Tester&amp;qid=1695173862&amp;sr=8-6", "https://www.amazon.com/co2crea-Replacement-Circuit-Breaker-Integrated/dp/B087JRTB7S/ref=sr_1_6?keywords=Klein+Tools+ET310+Digital+Circuit+Breaker+Finder+with+GFCI+Outlet+Tester&amp;qid=1695173862&amp;sr=8-6")</f>
        <v>https://www.amazon.com/co2crea-Replacement-Circuit-Breaker-Integrated/dp/B087JRTB7S/ref=sr_1_6?keywords=Klein+Tools+ET310+Digital+Circuit+Breaker+Finder+with+GFCI+Outlet+Tester&amp;qid=1695173862&amp;sr=8-6</v>
      </c>
      <c r="F4697" t="s">
        <v>9122</v>
      </c>
      <c r="G4697" t="e">
        <f ca="1">_xludf.IMAGE("https://edmondsonsupply.com/cdn/shop/products/et310_c.jpg?v=1646963918")</f>
        <v>#NAME?</v>
      </c>
      <c r="H4697" t="e">
        <f ca="1">_xludf.IMAGE("https://m.media-amazon.com/images/I/91gT7GX46hL._AC_UL320_.jpg")</f>
        <v>#NAME?</v>
      </c>
      <c r="I4697" t="s">
        <v>380</v>
      </c>
      <c r="J4697">
        <v>19.989999999999998</v>
      </c>
      <c r="K4697" s="4">
        <v>-0.6</v>
      </c>
      <c r="L4697">
        <v>4.5999999999999996</v>
      </c>
      <c r="M4697">
        <v>422</v>
      </c>
      <c r="O4697" t="s">
        <v>25</v>
      </c>
      <c r="P4697" t="s">
        <v>6825</v>
      </c>
      <c r="Q4697" t="s">
        <v>6826</v>
      </c>
    </row>
    <row r="4698" spans="1:17" ht="15.5" x14ac:dyDescent="0.35">
      <c r="A4698"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4698"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4698" t="s">
        <v>7911</v>
      </c>
      <c r="D4698" t="s">
        <v>6208</v>
      </c>
      <c r="E4698" s="3" t="str">
        <f>HYPERLINK("https://www.amazon.com/Aluminum-Benchmark-Technology-Klein-Tools/dp/B08L41DC9N/ref=sr_1_4?keywords=Klein+Tools+51605+Iron+Conduit+Bender+Full+Assembly%2C+1-Inch+EMT+with+Angle+Setter%E2%84%A2&amp;qid=1695174157&amp;sr=8-4", "https://www.amazon.com/Aluminum-Benchmark-Technology-Klein-Tools/dp/B08L41DC9N/ref=sr_1_4?keywords=Klein+Tools+51605+Iron+Conduit+Bender+Full+Assembly%2C+1-Inch+EMT+with+Angle+Setter%E2%84%A2&amp;qid=1695174157&amp;sr=8-4")</f>
        <v>https://www.amazon.com/Aluminum-Benchmark-Technology-Klein-Tools/dp/B08L41DC9N/ref=sr_1_4?keywords=Klein+Tools+51605+Iron+Conduit+Bender+Full+Assembly%2C+1-Inch+EMT+with+Angle+Setter%E2%84%A2&amp;qid=1695174157&amp;sr=8-4</v>
      </c>
      <c r="F4698" t="s">
        <v>6209</v>
      </c>
      <c r="G4698" t="e">
        <f ca="1">_xludf.IMAGE("https://edmondsonsupply.com/cdn/shop/products/51605.jpg?v=1663938749")</f>
        <v>#NAME?</v>
      </c>
      <c r="H4698" t="e">
        <f ca="1">_xludf.IMAGE("https://m.media-amazon.com/images/I/41JBDxEE8NL._AC_UL320_.jpg")</f>
        <v>#NAME?</v>
      </c>
      <c r="I4698" t="s">
        <v>545</v>
      </c>
      <c r="J4698">
        <v>39.97</v>
      </c>
      <c r="K4698" s="4">
        <v>-0.60019999999999996</v>
      </c>
      <c r="L4698">
        <v>4.8</v>
      </c>
      <c r="M4698">
        <v>258</v>
      </c>
      <c r="O4698" t="s">
        <v>25</v>
      </c>
      <c r="P4698" t="s">
        <v>2225</v>
      </c>
      <c r="Q4698" t="s">
        <v>7912</v>
      </c>
    </row>
    <row r="4699" spans="1:17" ht="15.5" x14ac:dyDescent="0.35">
      <c r="A4699" s="3" t="str">
        <f>HYPERLINK("https://edmondsonsupply.com/collections/electricians-tools/products/klein-tools-32717-all-in-1-precision-screwdriver-set-with-case", "https://edmondsonsupply.com/collections/electricians-tools/products/klein-tools-32717-all-in-1-precision-screwdriver-set-with-case")</f>
        <v>https://edmondsonsupply.com/collections/electricians-tools/products/klein-tools-32717-all-in-1-precision-screwdriver-set-with-case</v>
      </c>
      <c r="B4699" s="3" t="str">
        <f>HYPERLINK("https://edmondsonsupply.com/products/klein-tools-32717-all-in-1-precision-screwdriver-set-with-case", "https://edmondsonsupply.com/products/klein-tools-32717-all-in-1-precision-screwdriver-set-with-case")</f>
        <v>https://edmondsonsupply.com/products/klein-tools-32717-all-in-1-precision-screwdriver-set-with-case</v>
      </c>
      <c r="C4699" t="s">
        <v>6701</v>
      </c>
      <c r="D4699" t="s">
        <v>9123</v>
      </c>
      <c r="E4699" s="3" t="str">
        <f>HYPERLINK("https://www.amazon.com/Screwdriver-Electronics-Klein-Tools-32581/dp/B01EOY7LTA/ref=sr_1_3?keywords=Klein+Tools+32717+All-in-1+Precision+Screwdriver+Set+with+Case&amp;qid=1695174242&amp;sr=8-3", "https://www.amazon.com/Screwdriver-Electronics-Klein-Tools-32581/dp/B01EOY7LTA/ref=sr_1_3?keywords=Klein+Tools+32717+All-in-1+Precision+Screwdriver+Set+with+Case&amp;qid=1695174242&amp;sr=8-3")</f>
        <v>https://www.amazon.com/Screwdriver-Electronics-Klein-Tools-32581/dp/B01EOY7LTA/ref=sr_1_3?keywords=Klein+Tools+32717+All-in-1+Precision+Screwdriver+Set+with+Case&amp;qid=1695174242&amp;sr=8-3</v>
      </c>
      <c r="F4699" t="s">
        <v>9124</v>
      </c>
      <c r="G4699" t="e">
        <f ca="1">_xludf.IMAGE("https://edmondsonsupply.com/cdn/shop/products/32717.jpg?v=1633031161")</f>
        <v>#NAME?</v>
      </c>
      <c r="H4699" t="e">
        <f ca="1">_xludf.IMAGE("https://m.media-amazon.com/images/I/31v0ZtokP0L._AC_UL320_.jpg")</f>
        <v>#NAME?</v>
      </c>
      <c r="I4699" t="s">
        <v>824</v>
      </c>
      <c r="J4699">
        <v>11.97</v>
      </c>
      <c r="K4699" s="4">
        <v>-0.60060000000000002</v>
      </c>
      <c r="L4699">
        <v>4.8</v>
      </c>
      <c r="M4699">
        <v>17708</v>
      </c>
      <c r="O4699" t="s">
        <v>25</v>
      </c>
      <c r="P4699" t="s">
        <v>562</v>
      </c>
      <c r="Q4699" t="s">
        <v>6704</v>
      </c>
    </row>
    <row r="4700" spans="1:17" ht="15.5" x14ac:dyDescent="0.35">
      <c r="A4700"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4700"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4700" t="s">
        <v>8676</v>
      </c>
      <c r="D4700" t="s">
        <v>8767</v>
      </c>
      <c r="E4700" s="3" t="str">
        <f>HYPERLINK("https://www.amazon.com/Diablo-Freud-DOU125JBW-Universal-Oscillating/dp/B089KV62LL/ref=sr_1_5?keywords=Diablo+Tools+DOU250JBW3+2-1%2F2+in.+Universal+Fit+Bi-Metal+Oscillating+Blade+for+Clean+Wood+%283+pk%29&amp;qid=1695174010&amp;sr=8-5", "https://www.amazon.com/Diablo-Freud-DOU125JBW-Universal-Oscillating/dp/B089KV62LL/ref=sr_1_5?keywords=Diablo+Tools+DOU250JBW3+2-1%2F2+in.+Universal+Fit+Bi-Metal+Oscillating+Blade+for+Clean+Wood+%283+pk%29&amp;qid=1695174010&amp;sr=8-5")</f>
        <v>https://www.amazon.com/Diablo-Freud-DOU125JBW-Universal-Oscillating/dp/B089KV62LL/ref=sr_1_5?keywords=Diablo+Tools+DOU250JBW3+2-1%2F2+in.+Universal+Fit+Bi-Metal+Oscillating+Blade+for+Clean+Wood+%283+pk%29&amp;qid=1695174010&amp;sr=8-5</v>
      </c>
      <c r="F4700" t="s">
        <v>8768</v>
      </c>
      <c r="G4700" t="e">
        <f ca="1">_xludf.IMAGE("https://edmondsonsupply.com/cdn/shop/files/pycnap4eb1urn2hxvudq_1.webp?v=1685719587")</f>
        <v>#NAME?</v>
      </c>
      <c r="H4700" t="e">
        <f ca="1">_xludf.IMAGE("https://m.media-amazon.com/images/I/61wFHtmEH5L._AC_UL320_.jpg")</f>
        <v>#NAME?</v>
      </c>
      <c r="I4700" t="s">
        <v>5940</v>
      </c>
      <c r="J4700">
        <v>12.49</v>
      </c>
      <c r="K4700" s="4">
        <v>-0.60119999999999996</v>
      </c>
      <c r="L4700">
        <v>4.8</v>
      </c>
      <c r="M4700">
        <v>12</v>
      </c>
      <c r="O4700" t="s">
        <v>25</v>
      </c>
      <c r="P4700" t="s">
        <v>8677</v>
      </c>
      <c r="Q4700" t="s">
        <v>8678</v>
      </c>
    </row>
    <row r="4701" spans="1:17" ht="15.5" x14ac:dyDescent="0.35">
      <c r="A4701" s="3" t="str">
        <f>HYPERLINK("https://edmondsonsupply.com/collections/electricians-tools/products/klein-tools-44033-stainless-steel-pocket-knife-2-1-4-inch-drop-point-blade", "https://edmondsonsupply.com/collections/electricians-tools/products/klein-tools-44033-stainless-steel-pocket-knife-2-1-4-inch-drop-point-blade")</f>
        <v>https://edmondsonsupply.com/collections/electricians-tools/products/klein-tools-44033-stainless-steel-pocket-knife-2-1-4-inch-drop-point-blade</v>
      </c>
      <c r="B4701" s="3" t="str">
        <f>HYPERLINK("https://edmondsonsupply.com/products/klein-tools-44033-stainless-steel-pocket-knife-2-1-4-inch-drop-point-blade", "https://edmondsonsupply.com/products/klein-tools-44033-stainless-steel-pocket-knife-2-1-4-inch-drop-point-blade")</f>
        <v>https://edmondsonsupply.com/products/klein-tools-44033-stainless-steel-pocket-knife-2-1-4-inch-drop-point-blade</v>
      </c>
      <c r="C4701" t="s">
        <v>9007</v>
      </c>
      <c r="D4701" t="s">
        <v>8248</v>
      </c>
      <c r="E4701" s="3" t="str">
        <f>HYPERLINK("https://www.amazon.com/Folding-Stainless-Klein-Tools-44213/dp/B07BXX31Y8/ref=sr_1_9?keywords=Klein+Tools+44033+Stainless+Steel+Pocket+Knife%2C+2-1%2F4-Inch+Drop+Point+Blade&amp;qid=1695174208&amp;sr=8-9", "https://www.amazon.com/Folding-Stainless-Klein-Tools-44213/dp/B07BXX31Y8/ref=sr_1_9?keywords=Klein+Tools+44033+Stainless+Steel+Pocket+Knife%2C+2-1%2F4-Inch+Drop+Point+Blade&amp;qid=1695174208&amp;sr=8-9")</f>
        <v>https://www.amazon.com/Folding-Stainless-Klein-Tools-44213/dp/B07BXX31Y8/ref=sr_1_9?keywords=Klein+Tools+44033+Stainless+Steel+Pocket+Knife%2C+2-1%2F4-Inch+Drop+Point+Blade&amp;qid=1695174208&amp;sr=8-9</v>
      </c>
      <c r="F4701" t="s">
        <v>8249</v>
      </c>
      <c r="G4701" t="e">
        <f ca="1">_xludf.IMAGE("https://edmondsonsupply.com/cdn/shop/products/44033.jpg?v=1649893400")</f>
        <v>#NAME?</v>
      </c>
      <c r="H4701" t="e">
        <f ca="1">_xludf.IMAGE("https://m.media-amazon.com/images/I/51jhjHRblxL._AC_UL320_.jpg")</f>
        <v>#NAME?</v>
      </c>
      <c r="I4701" t="s">
        <v>9010</v>
      </c>
      <c r="J4701">
        <v>29.97</v>
      </c>
      <c r="K4701" s="4">
        <v>-0.60170000000000001</v>
      </c>
      <c r="L4701">
        <v>4.5</v>
      </c>
      <c r="M4701">
        <v>110</v>
      </c>
      <c r="O4701" t="s">
        <v>25</v>
      </c>
      <c r="P4701" t="s">
        <v>138</v>
      </c>
      <c r="Q4701" t="s">
        <v>9011</v>
      </c>
    </row>
    <row r="4702" spans="1:17" ht="15.5" x14ac:dyDescent="0.35">
      <c r="A4702"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4702"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4702" t="s">
        <v>8495</v>
      </c>
      <c r="D4702" t="s">
        <v>4511</v>
      </c>
      <c r="E4702" s="3" t="str">
        <f>HYPERLINK("https://www.amazon.com/Klein-Tools-56380-Multi-Groove-Fiberglass/dp/B0822229DW/ref=sr_1_5?keywords=Klein+Tools+56014+Fiberglass+Fish+Tape+with+Spiral+Leader%2C+200-Foot&amp;qid=1695174145&amp;sr=8-5", "https://www.amazon.com/Klein-Tools-56380-Multi-Groove-Fiberglass/dp/B0822229DW/ref=sr_1_5?keywords=Klein+Tools+56014+Fiberglass+Fish+Tape+with+Spiral+Leader%2C+200-Foot&amp;qid=1695174145&amp;sr=8-5")</f>
        <v>https://www.amazon.com/Klein-Tools-56380-Multi-Groove-Fiberglass/dp/B0822229DW/ref=sr_1_5?keywords=Klein+Tools+56014+Fiberglass+Fish+Tape+with+Spiral+Leader%2C+200-Foot&amp;qid=1695174145&amp;sr=8-5</v>
      </c>
      <c r="F4702" t="s">
        <v>4512</v>
      </c>
      <c r="G4702" t="e">
        <f ca="1">_xludf.IMAGE("https://edmondsonsupply.com/cdn/shop/products/56014.jpg?v=1664478500")</f>
        <v>#NAME?</v>
      </c>
      <c r="H4702" t="e">
        <f ca="1">_xludf.IMAGE("https://m.media-amazon.com/images/I/51m05Po5U+L._AC_UL320_.jpg")</f>
        <v>#NAME?</v>
      </c>
      <c r="I4702" t="s">
        <v>8498</v>
      </c>
      <c r="J4702">
        <v>139.99</v>
      </c>
      <c r="K4702" s="4">
        <v>-0.60340000000000005</v>
      </c>
      <c r="L4702">
        <v>4.7</v>
      </c>
      <c r="M4702">
        <v>87</v>
      </c>
      <c r="O4702" t="s">
        <v>25</v>
      </c>
      <c r="P4702" t="s">
        <v>8499</v>
      </c>
      <c r="Q4702" t="s">
        <v>8500</v>
      </c>
    </row>
    <row r="4703" spans="1:17" ht="15.5" x14ac:dyDescent="0.35">
      <c r="A4703" s="3" t="str">
        <f>HYPERLINK("https://edmondsonsupply.com/collections/electricians-tools/products/milwaukee-2729-22-m18-fuel%E2%84%A2-deep-cut-band-saw-kit", "https://edmondsonsupply.com/collections/electricians-tools/products/milwaukee-2729-22-m18-fuel%E2%84%A2-deep-cut-band-saw-kit")</f>
        <v>https://edmondsonsupply.com/collections/electricians-tools/products/milwaukee-2729-22-m18-fuel%E2%84%A2-deep-cut-band-saw-kit</v>
      </c>
      <c r="B4703" s="3" t="str">
        <f>HYPERLINK("https://edmondsonsupply.com/products/milwaukee-2729-22-m18-fuel%e2%84%a2-deep-cut-band-saw-kit", "https://edmondsonsupply.com/products/milwaukee-2729-22-m18-fuel%e2%84%a2-deep-cut-band-saw-kit")</f>
        <v>https://edmondsonsupply.com/products/milwaukee-2729-22-m18-fuel%e2%84%a2-deep-cut-band-saw-kit</v>
      </c>
      <c r="C4703" t="s">
        <v>8508</v>
      </c>
      <c r="D4703" t="s">
        <v>8830</v>
      </c>
      <c r="E4703" s="3" t="str">
        <f>HYPERLINK("https://www.amazon.com/Milwaukee-2729-20-Fuel-Deep-Band/dp/B00LBHJ688/ref=sr_1_4?keywords=Milwaukee+2729-22+M18+FUEL%E2%84%A2+Deep+Cut+Band+Saw+Kit&amp;qid=1695174171&amp;sr=8-4", "https://www.amazon.com/Milwaukee-2729-20-Fuel-Deep-Band/dp/B00LBHJ688/ref=sr_1_4?keywords=Milwaukee+2729-22+M18+FUEL%E2%84%A2+Deep+Cut+Band+Saw+Kit&amp;qid=1695174171&amp;sr=8-4")</f>
        <v>https://www.amazon.com/Milwaukee-2729-20-Fuel-Deep-Band/dp/B00LBHJ688/ref=sr_1_4?keywords=Milwaukee+2729-22+M18+FUEL%E2%84%A2+Deep+Cut+Band+Saw+Kit&amp;qid=1695174171&amp;sr=8-4</v>
      </c>
      <c r="F4703" t="s">
        <v>8831</v>
      </c>
      <c r="G4703" t="e">
        <f ca="1">_xludf.IMAGE("https://edmondsonsupply.com/cdn/shop/products/190813alex272922XC50Kit.webp?v=1661701754")</f>
        <v>#NAME?</v>
      </c>
      <c r="H4703" t="e">
        <f ca="1">_xludf.IMAGE("https://m.media-amazon.com/images/I/81MBdLmrZgL._AC_UL320_.jpg")</f>
        <v>#NAME?</v>
      </c>
      <c r="I4703" t="s">
        <v>8511</v>
      </c>
      <c r="J4703">
        <v>289</v>
      </c>
      <c r="K4703" s="4">
        <v>-0.60360000000000003</v>
      </c>
      <c r="L4703">
        <v>4.8</v>
      </c>
      <c r="M4703">
        <v>453</v>
      </c>
      <c r="O4703" t="s">
        <v>25</v>
      </c>
      <c r="P4703" t="s">
        <v>8512</v>
      </c>
      <c r="Q4703" t="s">
        <v>8513</v>
      </c>
    </row>
    <row r="4704" spans="1:17" ht="15.5" x14ac:dyDescent="0.35">
      <c r="A4704"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4704" s="3" t="str">
        <f>HYPERLINK("https://edmondsonsupply.com/products/klein-tools-94130-1000v-insulated-tool-kit-5-piece", "https://edmondsonsupply.com/products/klein-tools-94130-1000v-insulated-tool-kit-5-piece")</f>
        <v>https://edmondsonsupply.com/products/klein-tools-94130-1000v-insulated-tool-kit-5-piece</v>
      </c>
      <c r="C4704" t="s">
        <v>2221</v>
      </c>
      <c r="D4704" t="s">
        <v>4851</v>
      </c>
      <c r="E4704" s="3" t="str">
        <f>HYPERLINK("https://www.amazon.com/Klein-Tools-85076INS-Screwdriver-Screwdrivers/dp/B0BF76JDCC/ref=sr_1_9?keywords=Klein+Tools+94130+1000V+Insulated+Tool+Kit%2C+5-Piece&amp;qid=1695173888&amp;sr=8-9", "https://www.amazon.com/Klein-Tools-85076INS-Screwdriver-Screwdrivers/dp/B0BF76JDCC/ref=sr_1_9?keywords=Klein+Tools+94130+1000V+Insulated+Tool+Kit%2C+5-Piece&amp;qid=1695173888&amp;sr=8-9")</f>
        <v>https://www.amazon.com/Klein-Tools-85076INS-Screwdriver-Screwdrivers/dp/B0BF76JDCC/ref=sr_1_9?keywords=Klein+Tools+94130+1000V+Insulated+Tool+Kit%2C+5-Piece&amp;qid=1695173888&amp;sr=8-9</v>
      </c>
      <c r="F4704" t="s">
        <v>4852</v>
      </c>
      <c r="G4704" t="e">
        <f ca="1">_xludf.IMAGE("https://edmondsonsupply.com/cdn/shop/products/94130.jpg?v=1633030386")</f>
        <v>#NAME?</v>
      </c>
      <c r="H4704" t="e">
        <f ca="1">_xludf.IMAGE("https://m.media-amazon.com/images/I/51wtKAQ0TLL._AC_UL320_.jpg")</f>
        <v>#NAME?</v>
      </c>
      <c r="I4704" t="s">
        <v>2224</v>
      </c>
      <c r="J4704">
        <v>39.43</v>
      </c>
      <c r="K4704" s="4">
        <v>-0.60570000000000002</v>
      </c>
      <c r="L4704">
        <v>4.8</v>
      </c>
      <c r="M4704">
        <v>207</v>
      </c>
      <c r="O4704" t="s">
        <v>25</v>
      </c>
      <c r="P4704" t="s">
        <v>2225</v>
      </c>
      <c r="Q4704" t="s">
        <v>2226</v>
      </c>
    </row>
    <row r="4705" spans="1:17" ht="15.5" x14ac:dyDescent="0.35">
      <c r="A4705"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4705" s="3" t="str">
        <f>HYPERLINK("https://edmondsonsupply.com/products/diablo-tools-d0660x-6-1-2-in-x-60-tooth-ultra-finish-saw-blade", "https://edmondsonsupply.com/products/diablo-tools-d0660x-6-1-2-in-x-60-tooth-ultra-finish-saw-blade")</f>
        <v>https://edmondsonsupply.com/products/diablo-tools-d0660x-6-1-2-in-x-60-tooth-ultra-finish-saw-blade</v>
      </c>
      <c r="C4705" t="s">
        <v>6681</v>
      </c>
      <c r="D4705" t="s">
        <v>9125</v>
      </c>
      <c r="E4705" s="3" t="str">
        <f>HYPERLINK("https://www.amazon.com/Echo-Corner-Ultra-Thin-Woodworking-Fine-Finish/dp/B0BPKXNG29/ref=sr_1_5?keywords=Diablo+Tools+D0660X+6-1%2F2+in.+x+60+Tooth+Ultra+Finish+Saw+Blade&amp;qid=1695174055&amp;sr=8-5", "https://www.amazon.com/Echo-Corner-Ultra-Thin-Woodworking-Fine-Finish/dp/B0BPKXNG29/ref=sr_1_5?keywords=Diablo+Tools+D0660X+6-1%2F2+in.+x+60+Tooth+Ultra+Finish+Saw+Blade&amp;qid=1695174055&amp;sr=8-5")</f>
        <v>https://www.amazon.com/Echo-Corner-Ultra-Thin-Woodworking-Fine-Finish/dp/B0BPKXNG29/ref=sr_1_5?keywords=Diablo+Tools+D0660X+6-1%2F2+in.+x+60+Tooth+Ultra+Finish+Saw+Blade&amp;qid=1695174055&amp;sr=8-5</v>
      </c>
      <c r="F4705" t="s">
        <v>9126</v>
      </c>
      <c r="G4705" t="e">
        <f ca="1">_xludf.IMAGE("https://edmondsonsupply.com/cdn/shop/products/ma8p1gcmhxpwwhymtiim.webp?v=1678983644")</f>
        <v>#NAME?</v>
      </c>
      <c r="H4705" t="e">
        <f ca="1">_xludf.IMAGE("https://m.media-amazon.com/images/I/71-7e9mN5hL._AC_UL320_.jpg")</f>
        <v>#NAME?</v>
      </c>
      <c r="I4705" t="s">
        <v>1716</v>
      </c>
      <c r="J4705">
        <v>8.99</v>
      </c>
      <c r="K4705" s="4">
        <v>-0.60860000000000003</v>
      </c>
      <c r="L4705">
        <v>4.5999999999999996</v>
      </c>
      <c r="M4705">
        <v>89</v>
      </c>
      <c r="O4705" t="s">
        <v>25</v>
      </c>
      <c r="P4705" t="s">
        <v>6682</v>
      </c>
      <c r="Q4705" t="s">
        <v>6683</v>
      </c>
    </row>
    <row r="4706" spans="1:17" ht="15.5" x14ac:dyDescent="0.35">
      <c r="A4706" s="3" t="str">
        <f>HYPERLINK("https://edmondsonsupply.com/collections/electricians-tools/products/diablo-tools-dou250bw3-2-1-2-in-universal-fit-bi-metal-oscillating-blades-for-nail-embedded-wood-3-pack", "https://edmondsonsupply.com/collections/electricians-tools/products/diablo-tools-dou250bw3-2-1-2-in-universal-fit-bi-metal-oscillating-blades-for-nail-embedded-wood-3-pack")</f>
        <v>https://edmondsonsupply.com/collections/electricians-tools/products/diablo-tools-dou250bw3-2-1-2-in-universal-fit-bi-metal-oscillating-blades-for-nail-embedded-wood-3-pack</v>
      </c>
      <c r="B4706"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4706" t="s">
        <v>5937</v>
      </c>
      <c r="D4706" t="s">
        <v>5970</v>
      </c>
      <c r="E4706" s="3" t="str">
        <f>HYPERLINK("https://www.amazon.com/Diablo-Universal-Bi-Metal-Oscillating-Nail-Embedded/dp/B089LDN2LT/ref=sr_1_4?keywords=Diablo+Tools+DOU250BW3+2-1%2F2+in.+Universal+Fit+Bi-Metal+Oscillating+Blades+for+Nail-Embedded+Wood+%283+pack%29&amp;qid=1695174017&amp;sr=8-4", "https://www.amazon.com/Diablo-Universal-Bi-Metal-Oscillating-Nail-Embedded/dp/B089LDN2LT/ref=sr_1_4?keywords=Diablo+Tools+DOU250BW3+2-1%2F2+in.+Universal+Fit+Bi-Metal+Oscillating+Blades+for+Nail-Embedded+Wood+%283+pack%29&amp;qid=1695174017&amp;sr=8-4")</f>
        <v>https://www.amazon.com/Diablo-Universal-Bi-Metal-Oscillating-Nail-Embedded/dp/B089LDN2LT/ref=sr_1_4?keywords=Diablo+Tools+DOU250BW3+2-1%2F2+in.+Universal+Fit+Bi-Metal+Oscillating+Blades+for+Nail-Embedded+Wood+%283+pack%29&amp;qid=1695174017&amp;sr=8-4</v>
      </c>
      <c r="F4706" t="s">
        <v>5971</v>
      </c>
      <c r="G4706" t="e">
        <f ca="1">_xludf.IMAGE("https://edmondsonsupply.com/cdn/shop/files/xcched1uye7bv2s0ryod_fbd674d3-3cd9-4e2a-a920-451af57abfde.webp?v=1686149226")</f>
        <v>#NAME?</v>
      </c>
      <c r="H4706" t="e">
        <f ca="1">_xludf.IMAGE("https://m.media-amazon.com/images/I/613ig7mNjfL._AC_UL320_.jpg")</f>
        <v>#NAME?</v>
      </c>
      <c r="I4706" t="s">
        <v>5940</v>
      </c>
      <c r="J4706">
        <v>12.14</v>
      </c>
      <c r="K4706" s="4">
        <v>-0.61240000000000006</v>
      </c>
      <c r="L4706">
        <v>4.8</v>
      </c>
      <c r="M4706">
        <v>12</v>
      </c>
      <c r="O4706" t="s">
        <v>25</v>
      </c>
      <c r="P4706" t="s">
        <v>5941</v>
      </c>
      <c r="Q4706" t="s">
        <v>5942</v>
      </c>
    </row>
    <row r="4707" spans="1:17" ht="15.5" x14ac:dyDescent="0.35">
      <c r="A4707"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4707"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4707" t="s">
        <v>8495</v>
      </c>
      <c r="D4707" t="s">
        <v>9127</v>
      </c>
      <c r="E4707" s="3" t="str">
        <f>HYPERLINK("https://www.amazon.com/Klein-Tools-56350-Fiberglass-0-182-Inch/dp/B081ZTJTB5/ref=sr_1_4?keywords=Klein+Tools+56014+Fiberglass+Fish+Tape+with+Spiral+Leader%2C+200-Foot&amp;qid=1695174145&amp;sr=8-4", "https://www.amazon.com/Klein-Tools-56350-Fiberglass-0-182-Inch/dp/B081ZTJTB5/ref=sr_1_4?keywords=Klein+Tools+56014+Fiberglass+Fish+Tape+with+Spiral+Leader%2C+200-Foot&amp;qid=1695174145&amp;sr=8-4")</f>
        <v>https://www.amazon.com/Klein-Tools-56350-Fiberglass-0-182-Inch/dp/B081ZTJTB5/ref=sr_1_4?keywords=Klein+Tools+56014+Fiberglass+Fish+Tape+with+Spiral+Leader%2C+200-Foot&amp;qid=1695174145&amp;sr=8-4</v>
      </c>
      <c r="F4707" t="s">
        <v>9128</v>
      </c>
      <c r="G4707" t="e">
        <f ca="1">_xludf.IMAGE("https://edmondsonsupply.com/cdn/shop/products/56014.jpg?v=1664478500")</f>
        <v>#NAME?</v>
      </c>
      <c r="H4707" t="e">
        <f ca="1">_xludf.IMAGE("https://m.media-amazon.com/images/I/51tGreVpcBL._AC_UL320_.jpg")</f>
        <v>#NAME?</v>
      </c>
      <c r="I4707" t="s">
        <v>8498</v>
      </c>
      <c r="J4707">
        <v>134.94999999999999</v>
      </c>
      <c r="K4707" s="4">
        <v>-0.61770000000000003</v>
      </c>
      <c r="L4707">
        <v>4.9000000000000004</v>
      </c>
      <c r="M4707">
        <v>14</v>
      </c>
      <c r="O4707" t="s">
        <v>25</v>
      </c>
      <c r="P4707" t="s">
        <v>8499</v>
      </c>
      <c r="Q4707" t="s">
        <v>8500</v>
      </c>
    </row>
    <row r="4708" spans="1:17" ht="15.5" x14ac:dyDescent="0.35">
      <c r="A4708" s="3" t="str">
        <f>HYPERLINK("https://edmondsonsupply.com/collections/electricians-tools/products/milwaukee-2729-22-m18-fuel%E2%84%A2-deep-cut-band-saw-kit", "https://edmondsonsupply.com/collections/electricians-tools/products/milwaukee-2729-22-m18-fuel%E2%84%A2-deep-cut-band-saw-kit")</f>
        <v>https://edmondsonsupply.com/collections/electricians-tools/products/milwaukee-2729-22-m18-fuel%E2%84%A2-deep-cut-band-saw-kit</v>
      </c>
      <c r="B4708" s="3" t="str">
        <f>HYPERLINK("https://edmondsonsupply.com/products/milwaukee-2729-22-m18-fuel%e2%84%a2-deep-cut-band-saw-kit", "https://edmondsonsupply.com/products/milwaukee-2729-22-m18-fuel%e2%84%a2-deep-cut-band-saw-kit")</f>
        <v>https://edmondsonsupply.com/products/milwaukee-2729-22-m18-fuel%e2%84%a2-deep-cut-band-saw-kit</v>
      </c>
      <c r="C4708" t="s">
        <v>8508</v>
      </c>
      <c r="D4708" t="s">
        <v>8882</v>
      </c>
      <c r="E4708" s="3" t="str">
        <f>HYPERLINK("https://www.amazon.com/Milwaukee-2729-20-FUEL-Deep-Model/dp/B013P2ZGK8/ref=sr_1_3?keywords=Milwaukee+2729-22+M18+FUEL%E2%84%A2+Deep+Cut+Band+Saw+Kit&amp;qid=1695174171&amp;sr=8-3", "https://www.amazon.com/Milwaukee-2729-20-FUEL-Deep-Model/dp/B013P2ZGK8/ref=sr_1_3?keywords=Milwaukee+2729-22+M18+FUEL%E2%84%A2+Deep+Cut+Band+Saw+Kit&amp;qid=1695174171&amp;sr=8-3")</f>
        <v>https://www.amazon.com/Milwaukee-2729-20-FUEL-Deep-Model/dp/B013P2ZGK8/ref=sr_1_3?keywords=Milwaukee+2729-22+M18+FUEL%E2%84%A2+Deep+Cut+Band+Saw+Kit&amp;qid=1695174171&amp;sr=8-3</v>
      </c>
      <c r="F4708" t="s">
        <v>8883</v>
      </c>
      <c r="G4708" t="e">
        <f ca="1">_xludf.IMAGE("https://edmondsonsupply.com/cdn/shop/products/190813alex272922XC50Kit.webp?v=1661701754")</f>
        <v>#NAME?</v>
      </c>
      <c r="H4708" t="e">
        <f ca="1">_xludf.IMAGE("https://m.media-amazon.com/images/I/51VhcKqlfwL._AC_UL320_.jpg")</f>
        <v>#NAME?</v>
      </c>
      <c r="I4708" t="s">
        <v>8511</v>
      </c>
      <c r="J4708">
        <v>276.85000000000002</v>
      </c>
      <c r="K4708" s="4">
        <v>-0.62019999999999997</v>
      </c>
      <c r="L4708">
        <v>4.8</v>
      </c>
      <c r="M4708">
        <v>446</v>
      </c>
      <c r="O4708" t="s">
        <v>25</v>
      </c>
      <c r="P4708" t="s">
        <v>8512</v>
      </c>
      <c r="Q4708" t="s">
        <v>8513</v>
      </c>
    </row>
    <row r="4709" spans="1:17" ht="15.5" x14ac:dyDescent="0.35">
      <c r="A4709" s="3" t="str">
        <f>HYPERLINK("https://edmondsonsupply.com/collections/electricians-tools/products/diablo-tools-dou125cgp3-1-1-4-in-universal-fit-carbide-oscillating-blades-for-general-purpose-cuts-3-pack", "https://edmondsonsupply.com/collections/electricians-tools/products/diablo-tools-dou125cgp3-1-1-4-in-universal-fit-carbide-oscillating-blades-for-general-purpose-cuts-3-pack")</f>
        <v>https://edmondsonsupply.com/collections/electricians-tools/products/diablo-tools-dou125cgp3-1-1-4-in-universal-fit-carbide-oscillating-blades-for-general-purpose-cuts-3-pack</v>
      </c>
      <c r="B4709" s="3" t="str">
        <f>HYPERLINK("https://edmondsonsupply.com/products/diablo-tools-dou125cgp3-1-1-4-in-universal-fit-carbide-oscillating-blades-for-general-purpose-cuts-3-pack", "https://edmondsonsupply.com/products/diablo-tools-dou125cgp3-1-1-4-in-universal-fit-carbide-oscillating-blades-for-general-purpose-cuts-3-pack")</f>
        <v>https://edmondsonsupply.com/products/diablo-tools-dou125cgp3-1-1-4-in-universal-fit-carbide-oscillating-blades-for-general-purpose-cuts-3-pack</v>
      </c>
      <c r="C4709" t="s">
        <v>5957</v>
      </c>
      <c r="D4709" t="s">
        <v>5949</v>
      </c>
      <c r="E4709" s="3" t="str">
        <f>HYPERLINK("https://www.amazon.com/Diablo-Freud-DOU125CGP-Universal-Oscillating/dp/B089LGJV4X/ref=sr_1_4?keywords=Diablo+Tools+DOU125CGP3+1-1%2F4+in.+Universal+Fit+Carbide+Oscillating+Blades+for+General+Purpose+Cuts+%283+Pack%29&amp;qid=1695174046&amp;sr=8-4", "https://www.amazon.com/Diablo-Freud-DOU125CGP-Universal-Oscillating/dp/B089LGJV4X/ref=sr_1_4?keywords=Diablo+Tools+DOU125CGP3+1-1%2F4+in.+Universal+Fit+Carbide+Oscillating+Blades+for+General+Purpose+Cuts+%283+Pack%29&amp;qid=1695174046&amp;sr=8-4")</f>
        <v>https://www.amazon.com/Diablo-Freud-DOU125CGP-Universal-Oscillating/dp/B089LGJV4X/ref=sr_1_4?keywords=Diablo+Tools+DOU125CGP3+1-1%2F4+in.+Universal+Fit+Carbide+Oscillating+Blades+for+General+Purpose+Cuts+%283+Pack%29&amp;qid=1695174046&amp;sr=8-4</v>
      </c>
      <c r="F4709" t="s">
        <v>5950</v>
      </c>
      <c r="G4709" t="e">
        <f ca="1">_xludf.IMAGE("https://edmondsonsupply.com/cdn/shop/files/htobgrjt150mygkkk6to_1.webp?v=1686147205")</f>
        <v>#NAME?</v>
      </c>
      <c r="H4709" t="e">
        <f ca="1">_xludf.IMAGE("https://m.media-amazon.com/images/I/71lNEMXVnHL._AC_UL320_.jpg")</f>
        <v>#NAME?</v>
      </c>
      <c r="I4709" t="s">
        <v>4108</v>
      </c>
      <c r="J4709">
        <v>16.989999999999998</v>
      </c>
      <c r="K4709" s="4">
        <v>-0.62219999999999998</v>
      </c>
      <c r="L4709">
        <v>4.5999999999999996</v>
      </c>
      <c r="M4709">
        <v>38</v>
      </c>
      <c r="O4709" t="s">
        <v>25</v>
      </c>
      <c r="P4709" t="s">
        <v>5958</v>
      </c>
      <c r="Q4709" t="s">
        <v>5959</v>
      </c>
    </row>
    <row r="4710" spans="1:17" ht="15.5" x14ac:dyDescent="0.35">
      <c r="A4710"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4710"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4710" t="s">
        <v>6824</v>
      </c>
      <c r="D4710" t="s">
        <v>9129</v>
      </c>
      <c r="E4710" s="3" t="str">
        <f>HYPERLINK("https://www.amazon.com/CaseSack-Consolidation-Integrated-Receptacle-Accessory/dp/B08TPHYW37/ref=sr_1_10?keywords=Klein+Tools+ET310+Digital+Circuit+Breaker+Finder+with+GFCI+Outlet+Tester&amp;qid=1695173862&amp;sr=8-10", "https://www.amazon.com/CaseSack-Consolidation-Integrated-Receptacle-Accessory/dp/B08TPHYW37/ref=sr_1_10?keywords=Klein+Tools+ET310+Digital+Circuit+Breaker+Finder+with+GFCI+Outlet+Tester&amp;qid=1695173862&amp;sr=8-10")</f>
        <v>https://www.amazon.com/CaseSack-Consolidation-Integrated-Receptacle-Accessory/dp/B08TPHYW37/ref=sr_1_10?keywords=Klein+Tools+ET310+Digital+Circuit+Breaker+Finder+with+GFCI+Outlet+Tester&amp;qid=1695173862&amp;sr=8-10</v>
      </c>
      <c r="F4710" t="s">
        <v>9130</v>
      </c>
      <c r="G4710" t="e">
        <f ca="1">_xludf.IMAGE("https://edmondsonsupply.com/cdn/shop/products/et310_c.jpg?v=1646963918")</f>
        <v>#NAME?</v>
      </c>
      <c r="H4710" t="e">
        <f ca="1">_xludf.IMAGE("https://m.media-amazon.com/images/I/91QJZ0WaD3L._AC_UL320_.jpg")</f>
        <v>#NAME?</v>
      </c>
      <c r="I4710" t="s">
        <v>380</v>
      </c>
      <c r="J4710">
        <v>18.68</v>
      </c>
      <c r="K4710" s="4">
        <v>-0.62619999999999998</v>
      </c>
      <c r="L4710">
        <v>4.0999999999999996</v>
      </c>
      <c r="M4710">
        <v>826</v>
      </c>
      <c r="O4710" t="s">
        <v>25</v>
      </c>
      <c r="P4710" t="s">
        <v>6825</v>
      </c>
      <c r="Q4710" t="s">
        <v>6826</v>
      </c>
    </row>
    <row r="4711" spans="1:17" ht="15.5" x14ac:dyDescent="0.35">
      <c r="A4711"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4711" s="3" t="str">
        <f>HYPERLINK("https://edmondsonsupply.com/products/klein-tools-935dag-digital-angle-gauge-and-level", "https://edmondsonsupply.com/products/klein-tools-935dag-digital-angle-gauge-and-level")</f>
        <v>https://edmondsonsupply.com/products/klein-tools-935dag-digital-angle-gauge-and-level</v>
      </c>
      <c r="C4711" t="s">
        <v>1924</v>
      </c>
      <c r="D4711" t="s">
        <v>5652</v>
      </c>
      <c r="E4711" s="3" t="str">
        <f>HYPERLINK("https://www.amazon.com/Aproca-Storage-Travel-Digital-Electronic/dp/B08LKV462K/ref=sr_1_9?keywords=Klein+Tools+935DAG+Digital+Angle+Gauge+and+Level&amp;qid=1695173893&amp;sr=8-9", "https://www.amazon.com/Aproca-Storage-Travel-Digital-Electronic/dp/B08LKV462K/ref=sr_1_9?keywords=Klein+Tools+935DAG+Digital+Angle+Gauge+and+Level&amp;qid=1695173893&amp;sr=8-9")</f>
        <v>https://www.amazon.com/Aproca-Storage-Travel-Digital-Electronic/dp/B08LKV462K/ref=sr_1_9?keywords=Klein+Tools+935DAG+Digital+Angle+Gauge+and+Level&amp;qid=1695173893&amp;sr=8-9</v>
      </c>
      <c r="F4711" t="s">
        <v>5653</v>
      </c>
      <c r="G4711" t="e">
        <f ca="1">_xludf.IMAGE("https://edmondsonsupply.com/cdn/shop/products/935dag.jpg?v=1587145032")</f>
        <v>#NAME?</v>
      </c>
      <c r="H4711" t="e">
        <f ca="1">_xludf.IMAGE("https://m.media-amazon.com/images/I/71x6NsHDAdL._AC_UL320_.jpg")</f>
        <v>#NAME?</v>
      </c>
      <c r="I4711" t="s">
        <v>824</v>
      </c>
      <c r="J4711">
        <v>10.99</v>
      </c>
      <c r="K4711" s="4">
        <v>-0.63329999999999997</v>
      </c>
      <c r="L4711">
        <v>4.4000000000000004</v>
      </c>
      <c r="M4711">
        <v>69</v>
      </c>
      <c r="O4711" t="s">
        <v>25</v>
      </c>
      <c r="P4711" t="s">
        <v>73</v>
      </c>
      <c r="Q4711" t="s">
        <v>1927</v>
      </c>
    </row>
    <row r="4712" spans="1:17" ht="15.5" x14ac:dyDescent="0.35">
      <c r="A4712"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4712" s="3" t="str">
        <f>HYPERLINK("https://edmondsonsupply.com/products/klein-tools-32800-6-in-1-multi-nut-driver-heavy-duty", "https://edmondsonsupply.com/products/klein-tools-32800-6-in-1-multi-nut-driver-heavy-duty")</f>
        <v>https://edmondsonsupply.com/products/klein-tools-32800-6-in-1-multi-nut-driver-heavy-duty</v>
      </c>
      <c r="C4712" t="s">
        <v>8108</v>
      </c>
      <c r="D4712" t="s">
        <v>9131</v>
      </c>
      <c r="E4712" s="3" t="str">
        <f>HYPERLINK("https://www.amazon.com/Klein-Tools-32561-Screwdriver-Multi-Bit/dp/B005FQDHHC/ref=sr_1_8?keywords=Klein+Tools+32800+6-in-1+6-in-1+Multi-Bit+Nut+Driver%2C+Heavy+Duty&amp;qid=1695174226&amp;sr=8-8", "https://www.amazon.com/Klein-Tools-32561-Screwdriver-Multi-Bit/dp/B005FQDHHC/ref=sr_1_8?keywords=Klein+Tools+32800+6-in-1+6-in-1+Multi-Bit+Nut+Driver%2C+Heavy+Duty&amp;qid=1695174226&amp;sr=8-8")</f>
        <v>https://www.amazon.com/Klein-Tools-32561-Screwdriver-Multi-Bit/dp/B005FQDHHC/ref=sr_1_8?keywords=Klein+Tools+32800+6-in-1+6-in-1+Multi-Bit+Nut+Driver%2C+Heavy+Duty&amp;qid=1695174226&amp;sr=8-8</v>
      </c>
      <c r="F4712" t="s">
        <v>9132</v>
      </c>
      <c r="G4712" t="e">
        <f ca="1">_xludf.IMAGE("https://edmondsonsupply.com/cdn/shop/products/32800_alt2.jpg?v=1646595019")</f>
        <v>#NAME?</v>
      </c>
      <c r="H4712" t="e">
        <f ca="1">_xludf.IMAGE("https://m.media-amazon.com/images/I/61cyqZhSgsL._AC_UL320_.jpg")</f>
        <v>#NAME?</v>
      </c>
      <c r="I4712" t="s">
        <v>26</v>
      </c>
      <c r="J4712">
        <v>10.97</v>
      </c>
      <c r="K4712" s="4">
        <v>-0.63419999999999999</v>
      </c>
      <c r="L4712">
        <v>4.8</v>
      </c>
      <c r="M4712">
        <v>13277</v>
      </c>
      <c r="O4712" t="s">
        <v>25</v>
      </c>
      <c r="P4712" t="s">
        <v>8111</v>
      </c>
      <c r="Q4712" t="s">
        <v>8112</v>
      </c>
    </row>
    <row r="4713" spans="1:17" ht="15.5" x14ac:dyDescent="0.35">
      <c r="A4713" s="3" t="str">
        <f>HYPERLINK("https://edmondsonsupply.com/collections/electricians-tools/products/diablo-tools-dmapl2500-7-8-in-x-8-in-x-10-in-sds-plus-2-cutter", "https://edmondsonsupply.com/collections/electricians-tools/products/diablo-tools-dmapl2500-7-8-in-x-8-in-x-10-in-sds-plus-2-cutter")</f>
        <v>https://edmondsonsupply.com/collections/electricians-tools/products/diablo-tools-dmapl2500-7-8-in-x-8-in-x-10-in-sds-plus-2-cutter</v>
      </c>
      <c r="B4713" s="3" t="str">
        <f>HYPERLINK("https://edmondsonsupply.com/products/diablo-tools-dmapl2500-7-8-in-x-8-in-x-10-in-sds-plus-2-cutter", "https://edmondsonsupply.com/products/diablo-tools-dmapl2500-7-8-in-x-8-in-x-10-in-sds-plus-2-cutter")</f>
        <v>https://edmondsonsupply.com/products/diablo-tools-dmapl2500-7-8-in-x-8-in-x-10-in-sds-plus-2-cutter</v>
      </c>
      <c r="C4713" t="s">
        <v>7534</v>
      </c>
      <c r="D4713" t="s">
        <v>5912</v>
      </c>
      <c r="E4713" s="3" t="str">
        <f>HYPERLINK("https://www.amazon.com/Diablo-DMAPL2290-16-SDS-Plus-2-Cutter/dp/B089KVPSVG/ref=sr_1_9?keywords=Diablo+Tools+DMAPL2500+7%2F8+in.+x+8+in.+x+10+in.+SDS-Plus+2-Cutter&amp;qid=1695174221&amp;sr=8-9", "https://www.amazon.com/Diablo-DMAPL2290-16-SDS-Plus-2-Cutter/dp/B089KVPSVG/ref=sr_1_9?keywords=Diablo+Tools+DMAPL2500+7%2F8+in.+x+8+in.+x+10+in.+SDS-Plus+2-Cutter&amp;qid=1695174221&amp;sr=8-9")</f>
        <v>https://www.amazon.com/Diablo-DMAPL2290-16-SDS-Plus-2-Cutter/dp/B089KVPSVG/ref=sr_1_9?keywords=Diablo+Tools+DMAPL2500+7%2F8+in.+x+8+in.+x+10+in.+SDS-Plus+2-Cutter&amp;qid=1695174221&amp;sr=8-9</v>
      </c>
      <c r="F4713" t="s">
        <v>5913</v>
      </c>
      <c r="G4713" t="e">
        <f ca="1">_xludf.IMAGE("https://edmondsonsupply.com/cdn/shop/products/2500.webp?v=1647636219")</f>
        <v>#NAME?</v>
      </c>
      <c r="H4713" t="e">
        <f ca="1">_xludf.IMAGE("https://m.media-amazon.com/images/I/61fcva10QfL._AC_UL320_.jpg")</f>
        <v>#NAME?</v>
      </c>
      <c r="I4713" t="s">
        <v>7535</v>
      </c>
      <c r="J4713">
        <v>10.54</v>
      </c>
      <c r="K4713" s="4">
        <v>-0.63619999999999999</v>
      </c>
      <c r="L4713">
        <v>4.7</v>
      </c>
      <c r="M4713">
        <v>6</v>
      </c>
      <c r="O4713" t="s">
        <v>25</v>
      </c>
      <c r="P4713" t="s">
        <v>6809</v>
      </c>
      <c r="Q4713" t="s">
        <v>7536</v>
      </c>
    </row>
    <row r="4714" spans="1:17" ht="15.5" x14ac:dyDescent="0.35">
      <c r="A4714" s="3" t="str">
        <f>HYPERLINK("https://edmondsonsupply.com/collections/electricians-tools/products/edge-eyewear-sr116-reclus-black-frame-smoke-lens-safety-glasses", "https://edmondsonsupply.com/collections/electricians-tools/products/edge-eyewear-sr116-reclus-black-frame-smoke-lens-safety-glasses")</f>
        <v>https://edmondsonsupply.com/collections/electricians-tools/products/edge-eyewear-sr116-reclus-black-frame-smoke-lens-safety-glasses</v>
      </c>
      <c r="B4714"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4714" t="s">
        <v>985</v>
      </c>
      <c r="D4714" t="s">
        <v>1335</v>
      </c>
      <c r="E4714" s="3" t="str">
        <f>HYPERLINK("https://www.amazon.com/Edge-Eyewear-DZ116-G2-Safety-Glasses/dp/B00OYIMUDE/ref=sr_1_5?keywords=Edge+Eyewear+SR116+Reclus+-+Black+Frame%2FSmoke+Lens%2C+Safety+Glasses&amp;qid=1695174291&amp;sr=8-5", "https://www.amazon.com/Edge-Eyewear-DZ116-G2-Safety-Glasses/dp/B00OYIMUDE/ref=sr_1_5?keywords=Edge+Eyewear+SR116+Reclus+-+Black+Frame%2FSmoke+Lens%2C+Safety+Glasses&amp;qid=1695174291&amp;sr=8-5")</f>
        <v>https://www.amazon.com/Edge-Eyewear-DZ116-G2-Safety-Glasses/dp/B00OYIMUDE/ref=sr_1_5?keywords=Edge+Eyewear+SR116+Reclus+-+Black+Frame%2FSmoke+Lens%2C+Safety+Glasses&amp;qid=1695174291&amp;sr=8-5</v>
      </c>
      <c r="F4714" t="s">
        <v>1336</v>
      </c>
      <c r="G4714" t="e">
        <f ca="1">_xludf.IMAGE("https://edmondsonsupply.com/cdn/shop/products/SR116_1512x_cc8649c7-14e6-4c1c-9513-7dd61f5f7eb9.png?v=1633030940")</f>
        <v>#NAME?</v>
      </c>
      <c r="H4714" t="e">
        <f ca="1">_xludf.IMAGE("https://m.media-amazon.com/images/I/41bqa6uxQlL._AC_UL320_.jpg")</f>
        <v>#NAME?</v>
      </c>
      <c r="I4714" t="s">
        <v>988</v>
      </c>
      <c r="J4714">
        <v>5.99</v>
      </c>
      <c r="K4714" s="4">
        <v>-0.63629999999999998</v>
      </c>
      <c r="L4714">
        <v>4.3</v>
      </c>
      <c r="M4714">
        <v>468</v>
      </c>
      <c r="O4714" t="s">
        <v>25</v>
      </c>
      <c r="P4714" t="s">
        <v>989</v>
      </c>
      <c r="Q4714" t="s">
        <v>990</v>
      </c>
    </row>
    <row r="4715" spans="1:17" ht="15.5" x14ac:dyDescent="0.35">
      <c r="A4715" s="3" t="str">
        <f>HYPERLINK("https://edmondsonsupply.com/collections/electricians-tools/products/fluke-62-max-handheld-infrared-laser-thermometer", "https://edmondsonsupply.com/collections/electricians-tools/products/fluke-62-max-handheld-infrared-laser-thermometer")</f>
        <v>https://edmondsonsupply.com/collections/electricians-tools/products/fluke-62-max-handheld-infrared-laser-thermometer</v>
      </c>
      <c r="B4715" s="3" t="str">
        <f>HYPERLINK("https://edmondsonsupply.com/products/fluke-62-max-handheld-infrared-laser-thermometer", "https://edmondsonsupply.com/products/fluke-62-max-handheld-infrared-laser-thermometer")</f>
        <v>https://edmondsonsupply.com/products/fluke-62-max-handheld-infrared-laser-thermometer</v>
      </c>
      <c r="C4715" t="s">
        <v>8963</v>
      </c>
      <c r="D4715" t="s">
        <v>9133</v>
      </c>
      <c r="E4715" s="3" t="str">
        <f>HYPERLINK("https://www.amazon.com/HTLNUZD-59-Thermometer-Precision-Temperature/dp/B0B82FZVVM/ref=sr_1_2?keywords=Fluke+62+MAX+Handheld+Infrared+Laser+Thermometer&amp;qid=1695174240&amp;sr=8-2", "https://www.amazon.com/HTLNUZD-59-Thermometer-Precision-Temperature/dp/B0B82FZVVM/ref=sr_1_2?keywords=Fluke+62+MAX+Handheld+Infrared+Laser+Thermometer&amp;qid=1695174240&amp;sr=8-2")</f>
        <v>https://www.amazon.com/HTLNUZD-59-Thermometer-Precision-Temperature/dp/B0B82FZVVM/ref=sr_1_2?keywords=Fluke+62+MAX+Handheld+Infrared+Laser+Thermometer&amp;qid=1695174240&amp;sr=8-2</v>
      </c>
      <c r="F4715" t="s">
        <v>9134</v>
      </c>
      <c r="G4715" t="e">
        <f ca="1">_xludf.IMAGE("https://edmondsonsupply.com/cdn/shop/products/Fluke_62_MAX__back_499x1024px_E_NR-18387.jpg?v=1633031180")</f>
        <v>#NAME?</v>
      </c>
      <c r="H4715" t="e">
        <f ca="1">_xludf.IMAGE("https://m.media-amazon.com/images/I/51Z7Dlek9xL._AC_UY218_.jpg")</f>
        <v>#NAME?</v>
      </c>
      <c r="I4715" t="s">
        <v>483</v>
      </c>
      <c r="J4715">
        <v>65.23</v>
      </c>
      <c r="K4715" s="4">
        <v>-0.63759999999999994</v>
      </c>
      <c r="L4715">
        <v>5</v>
      </c>
      <c r="M4715">
        <v>1</v>
      </c>
      <c r="O4715" t="s">
        <v>25</v>
      </c>
      <c r="P4715" t="s">
        <v>400</v>
      </c>
      <c r="Q4715" t="s">
        <v>8964</v>
      </c>
    </row>
    <row r="4716" spans="1:17" ht="15.5" x14ac:dyDescent="0.35">
      <c r="A4716"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716"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716" t="s">
        <v>8519</v>
      </c>
      <c r="D4716" t="s">
        <v>8767</v>
      </c>
      <c r="E4716" s="3" t="str">
        <f>HYPERLINK("https://www.amazon.com/Diablo-Freud-DOU125JBW-Universal-Oscillating/dp/B089KV62LL/ref=sr_1_2?keywords=Diablo+Tools+DOU125JBW3+1-1%2F4+in.+Universal+Fit+Bi-Metal+Oscillating+Blades+for+Clean+Wood&amp;qid=1695174271&amp;sr=8-2", "https://www.amazon.com/Diablo-Freud-DOU125JBW-Universal-Oscillating/dp/B089KV62LL/ref=sr_1_2?keywords=Diablo+Tools+DOU125JBW3+1-1%2F4+in.+Universal+Fit+Bi-Metal+Oscillating+Blades+for+Clean+Wood&amp;qid=1695174271&amp;sr=8-2")</f>
        <v>https://www.amazon.com/Diablo-Freud-DOU125JBW-Universal-Oscillating/dp/B089KV62LL/ref=sr_1_2?keywords=Diablo+Tools+DOU125JBW3+1-1%2F4+in.+Universal+Fit+Bi-Metal+Oscillating+Blades+for+Clean+Wood&amp;qid=1695174271&amp;sr=8-2</v>
      </c>
      <c r="F4716" t="s">
        <v>8768</v>
      </c>
      <c r="G4716" t="e">
        <f ca="1">_xludf.IMAGE("https://edmondsonsupply.com/cdn/shop/products/DOU125JBW3_Main-Image.png?v=1633031095")</f>
        <v>#NAME?</v>
      </c>
      <c r="H4716" t="e">
        <f ca="1">_xludf.IMAGE("https://m.media-amazon.com/images/I/61wFHtmEH5L._AC_UL320_.jpg")</f>
        <v>#NAME?</v>
      </c>
      <c r="I4716" t="s">
        <v>340</v>
      </c>
      <c r="J4716">
        <v>12.49</v>
      </c>
      <c r="K4716" s="4">
        <v>-0.64280000000000004</v>
      </c>
      <c r="L4716">
        <v>4.8</v>
      </c>
      <c r="M4716">
        <v>12</v>
      </c>
      <c r="O4716" t="s">
        <v>25</v>
      </c>
      <c r="P4716" t="s">
        <v>8520</v>
      </c>
      <c r="Q4716" t="s">
        <v>8521</v>
      </c>
    </row>
    <row r="4717" spans="1:17" ht="15.5" x14ac:dyDescent="0.35">
      <c r="A4717"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717"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717" t="s">
        <v>8522</v>
      </c>
      <c r="D4717" t="s">
        <v>8767</v>
      </c>
      <c r="E4717" s="3" t="str">
        <f>HYPERLINK("https://www.amazon.com/Diablo-Freud-DOU125JBW-Universal-Oscillating/dp/B089KV62LL/ref=sr_1_8?keywords=Diablo+Tools+DOU125BF3+1-1%2F4+in.+Universal+Fit+Bi-Metal+Oscillating+Blade+for+Metal+%283+pack%29&amp;qid=1695174014&amp;sr=8-8", "https://www.amazon.com/Diablo-Freud-DOU125JBW-Universal-Oscillating/dp/B089KV62LL/ref=sr_1_8?keywords=Diablo+Tools+DOU125BF3+1-1%2F4+in.+Universal+Fit+Bi-Metal+Oscillating+Blade+for+Metal+%283+pack%29&amp;qid=1695174014&amp;sr=8-8")</f>
        <v>https://www.amazon.com/Diablo-Freud-DOU125JBW-Universal-Oscillating/dp/B089KV62LL/ref=sr_1_8?keywords=Diablo+Tools+DOU125BF3+1-1%2F4+in.+Universal+Fit+Bi-Metal+Oscillating+Blade+for+Metal+%283+pack%29&amp;qid=1695174014&amp;sr=8-8</v>
      </c>
      <c r="F4717" t="s">
        <v>8768</v>
      </c>
      <c r="G4717" t="e">
        <f ca="1">_xludf.IMAGE("https://edmondsonsupply.com/cdn/shop/files/k1d1qiwmm4npznsdbwtg_4dc7bdf3-43a4-4863-8a1d-f71b60bc7c6d.webp?v=1685468179")</f>
        <v>#NAME?</v>
      </c>
      <c r="H4717" t="e">
        <f ca="1">_xludf.IMAGE("https://m.media-amazon.com/images/I/61wFHtmEH5L._AC_UL320_.jpg")</f>
        <v>#NAME?</v>
      </c>
      <c r="I4717" t="s">
        <v>340</v>
      </c>
      <c r="J4717">
        <v>12.49</v>
      </c>
      <c r="K4717" s="4">
        <v>-0.64280000000000004</v>
      </c>
      <c r="L4717">
        <v>4.8</v>
      </c>
      <c r="M4717">
        <v>12</v>
      </c>
      <c r="O4717" t="s">
        <v>25</v>
      </c>
      <c r="P4717" t="s">
        <v>8520</v>
      </c>
      <c r="Q4717" t="s">
        <v>8523</v>
      </c>
    </row>
    <row r="4718" spans="1:17" ht="15.5" x14ac:dyDescent="0.35">
      <c r="A4718"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4718" s="3" t="str">
        <f>HYPERLINK("https://edmondsonsupply.com/products/klein-tools-vdv500-123-probe-pro-tracing-probe", "https://edmondsonsupply.com/products/klein-tools-vdv500-123-probe-pro-tracing-probe")</f>
        <v>https://edmondsonsupply.com/products/klein-tools-vdv500-123-probe-pro-tracing-probe</v>
      </c>
      <c r="C4718" t="s">
        <v>6065</v>
      </c>
      <c r="D4718" t="s">
        <v>9135</v>
      </c>
      <c r="E4718" s="3" t="str">
        <f>HYPERLINK("https://www.amazon.com/Hermitshell-VDV500-063-Toner-Pro-Generator-VDV500-123/dp/B0BTVNKJSQ/ref=sr_1_2?keywords=Klein+Tools+VDV500-123+Probe-PRO+Tracing+Probe&amp;qid=1695173898&amp;sr=8-2", "https://www.amazon.com/Hermitshell-VDV500-063-Toner-Pro-Generator-VDV500-123/dp/B0BTVNKJSQ/ref=sr_1_2?keywords=Klein+Tools+VDV500-123+Probe-PRO+Tracing+Probe&amp;qid=1695173898&amp;sr=8-2")</f>
        <v>https://www.amazon.com/Hermitshell-VDV500-063-Toner-Pro-Generator-VDV500-123/dp/B0BTVNKJSQ/ref=sr_1_2?keywords=Klein+Tools+VDV500-123+Probe-PRO+Tracing+Probe&amp;qid=1695173898&amp;sr=8-2</v>
      </c>
      <c r="F4718" t="s">
        <v>9136</v>
      </c>
      <c r="G4718" t="e">
        <f ca="1">_xludf.IMAGE("https://edmondsonsupply.com/cdn/shop/products/vdv500123.jpg?v=1587142783")</f>
        <v>#NAME?</v>
      </c>
      <c r="H4718" t="e">
        <f ca="1">_xludf.IMAGE("https://m.media-amazon.com/images/I/61XSSZG2aoL._AC_UY218_.jpg")</f>
        <v>#NAME?</v>
      </c>
      <c r="I4718" t="s">
        <v>946</v>
      </c>
      <c r="J4718">
        <v>15.99</v>
      </c>
      <c r="K4718" s="4">
        <v>-0.64459999999999995</v>
      </c>
      <c r="L4718">
        <v>4.8</v>
      </c>
      <c r="M4718">
        <v>14</v>
      </c>
      <c r="O4718" t="s">
        <v>25</v>
      </c>
      <c r="P4718" t="s">
        <v>6068</v>
      </c>
      <c r="Q4718" t="s">
        <v>6069</v>
      </c>
    </row>
    <row r="4719" spans="1:17" ht="15.5" x14ac:dyDescent="0.35">
      <c r="A4719"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719"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719" t="s">
        <v>6718</v>
      </c>
      <c r="D4719" t="s">
        <v>9137</v>
      </c>
      <c r="E4719" s="3" t="str">
        <f>HYPERLINK("https://www.amazon.com/Multi-Voltage-48-59-1812-Compatible-48-11-1850-48-11-1852/dp/B0BZP3Q17Q/ref=sr_1_5?keywords=Milwaukee+48-59-1812+M18%E2%84%A2+%26+M12%E2%84%A2+Multi-Voltage+Charger&amp;qid=1695174184&amp;sr=8-5", "https://www.amazon.com/Multi-Voltage-48-59-1812-Compatible-48-11-1850-48-11-1852/dp/B0BZP3Q17Q/ref=sr_1_5?keywords=Milwaukee+48-59-1812+M18%E2%84%A2+%26+M12%E2%84%A2+Multi-Voltage+Charger&amp;qid=1695174184&amp;sr=8-5")</f>
        <v>https://www.amazon.com/Multi-Voltage-48-59-1812-Compatible-48-11-1850-48-11-1852/dp/B0BZP3Q17Q/ref=sr_1_5?keywords=Milwaukee+48-59-1812+M18%E2%84%A2+%26+M12%E2%84%A2+Multi-Voltage+Charger&amp;qid=1695174184&amp;sr=8-5</v>
      </c>
      <c r="F4719" t="s">
        <v>9138</v>
      </c>
      <c r="G4719" t="e">
        <f ca="1">_xludf.IMAGE("https://edmondsonsupply.com/cdn/shop/products/60113_48-59-1812_3-lg.webp?v=1656530513")</f>
        <v>#NAME?</v>
      </c>
      <c r="H4719" t="e">
        <f ca="1">_xludf.IMAGE("https://m.media-amazon.com/images/I/71Uu6-RH+YL._AC_UL320_.jpg")</f>
        <v>#NAME?</v>
      </c>
      <c r="I4719" t="s">
        <v>4741</v>
      </c>
      <c r="J4719">
        <v>27.99</v>
      </c>
      <c r="K4719" s="4">
        <v>-0.64570000000000005</v>
      </c>
      <c r="L4719">
        <v>4.3</v>
      </c>
      <c r="M4719">
        <v>24</v>
      </c>
      <c r="O4719" t="s">
        <v>25</v>
      </c>
      <c r="P4719" t="s">
        <v>6721</v>
      </c>
      <c r="Q4719" t="s">
        <v>6722</v>
      </c>
    </row>
    <row r="4720" spans="1:17" ht="15.5" x14ac:dyDescent="0.35">
      <c r="A4720"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4720" s="3" t="str">
        <f>HYPERLINK("https://edmondsonsupply.com/products/diablo-tools-dmapl2290-7-16-in-x-10-in-x-12-in-sds-plus-2-cutter", "https://edmondsonsupply.com/products/diablo-tools-dmapl2290-7-16-in-x-10-in-x-12-in-sds-plus-2-cutter")</f>
        <v>https://edmondsonsupply.com/products/diablo-tools-dmapl2290-7-16-in-x-10-in-x-12-in-sds-plus-2-cutter</v>
      </c>
      <c r="C4720" t="s">
        <v>5860</v>
      </c>
      <c r="D4720" t="s">
        <v>5974</v>
      </c>
      <c r="E4720" s="3" t="str">
        <f>HYPERLINK("https://www.amazon.com/Bosch-HC2074-SDS-plus-Bulldog-Rotary/dp/B000AMXOF6/ref=sr_1_10?keywords=Diablo+Tools+DMAPL2290+7%2F16+in.+x+10+in.+x+12+in.+SDS-Plus+2-Cutter&amp;qid=1695174015&amp;sr=8-10", "https://www.amazon.com/Bosch-HC2074-SDS-plus-Bulldog-Rotary/dp/B000AMXOF6/ref=sr_1_10?keywords=Diablo+Tools+DMAPL2290+7%2F16+in.+x+10+in.+x+12+in.+SDS-Plus+2-Cutter&amp;qid=1695174015&amp;sr=8-10")</f>
        <v>https://www.amazon.com/Bosch-HC2074-SDS-plus-Bulldog-Rotary/dp/B000AMXOF6/ref=sr_1_10?keywords=Diablo+Tools+DMAPL2290+7%2F16+in.+x+10+in.+x+12+in.+SDS-Plus+2-Cutter&amp;qid=1695174015&amp;sr=8-10</v>
      </c>
      <c r="F4720" t="s">
        <v>5975</v>
      </c>
      <c r="G4720" t="e">
        <f ca="1">_xludf.IMAGE("https://edmondsonsupply.com/cdn/shop/files/lgvfccwvf9ikjakt8qfb.webp?v=1686146379")</f>
        <v>#NAME?</v>
      </c>
      <c r="H4720" t="e">
        <f ca="1">_xludf.IMAGE("https://m.media-amazon.com/images/I/61UHBPkvguL._AC_UL320_.jpg")</f>
        <v>#NAME?</v>
      </c>
      <c r="I4720" t="s">
        <v>1140</v>
      </c>
      <c r="J4720">
        <v>3.7</v>
      </c>
      <c r="K4720" s="4">
        <v>-0.64759999999999995</v>
      </c>
      <c r="L4720">
        <v>4.7</v>
      </c>
      <c r="M4720">
        <v>9693</v>
      </c>
      <c r="O4720" t="s">
        <v>25</v>
      </c>
      <c r="P4720" t="s">
        <v>5863</v>
      </c>
      <c r="Q4720" t="s">
        <v>5864</v>
      </c>
    </row>
    <row r="4721" spans="1:17" ht="15.5" x14ac:dyDescent="0.35">
      <c r="A4721"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4721" s="3" t="str">
        <f>HYPERLINK("https://edmondsonsupply.com/products/klein-tools-vdv427-300-impact-punchdown-tool-66-110-blade", "https://edmondsonsupply.com/products/klein-tools-vdv427-300-impact-punchdown-tool-66-110-blade")</f>
        <v>https://edmondsonsupply.com/products/klein-tools-vdv427-300-impact-punchdown-tool-66-110-blade</v>
      </c>
      <c r="C4721" t="s">
        <v>6289</v>
      </c>
      <c r="D4721" t="s">
        <v>9139</v>
      </c>
      <c r="E4721" s="3" t="str">
        <f>HYPERLINK("https://www.amazon.com/FBLFOBELI-VDV427-300-Punchdown-Shockproof-Carrying/dp/B09Q88VB6C/ref=sr_1_2?keywords=Klein+Tools+VDV427-300+Impact+Punchdown+Tool%2C+66%2F110+Blade&amp;qid=1695174221&amp;sr=8-2", "https://www.amazon.com/FBLFOBELI-VDV427-300-Punchdown-Shockproof-Carrying/dp/B09Q88VB6C/ref=sr_1_2?keywords=Klein+Tools+VDV427-300+Impact+Punchdown+Tool%2C+66%2F110+Blade&amp;qid=1695174221&amp;sr=8-2")</f>
        <v>https://www.amazon.com/FBLFOBELI-VDV427-300-Punchdown-Shockproof-Carrying/dp/B09Q88VB6C/ref=sr_1_2?keywords=Klein+Tools+VDV427-300+Impact+Punchdown+Tool%2C+66%2F110+Blade&amp;qid=1695174221&amp;sr=8-2</v>
      </c>
      <c r="F4721" t="s">
        <v>9140</v>
      </c>
      <c r="G4721" t="e">
        <f ca="1">_xludf.IMAGE("https://edmondsonsupply.com/cdn/shop/products/vdv427300.jpg?v=1646010568")</f>
        <v>#NAME?</v>
      </c>
      <c r="H4721" t="e">
        <f ca="1">_xludf.IMAGE("https://m.media-amazon.com/images/I/71K5+VIUifL._AC_UL320_.jpg")</f>
        <v>#NAME?</v>
      </c>
      <c r="I4721" t="s">
        <v>246</v>
      </c>
      <c r="J4721">
        <v>13.99</v>
      </c>
      <c r="K4721" s="4">
        <v>-0.65</v>
      </c>
      <c r="L4721">
        <v>4.8</v>
      </c>
      <c r="M4721">
        <v>7</v>
      </c>
      <c r="O4721" t="s">
        <v>25</v>
      </c>
      <c r="P4721" t="s">
        <v>1027</v>
      </c>
      <c r="Q4721" t="s">
        <v>6292</v>
      </c>
    </row>
    <row r="4722" spans="1:17" ht="15.5" x14ac:dyDescent="0.35">
      <c r="A4722"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4722" s="3" t="str">
        <f>HYPERLINK("https://edmondsonsupply.com/products/klein-tools-56341-stainless-steel-fish-tape-1-8-inch-x-240-foot", "https://edmondsonsupply.com/products/klein-tools-56341-stainless-steel-fish-tape-1-8-inch-x-240-foot")</f>
        <v>https://edmondsonsupply.com/products/klein-tools-56341-stainless-steel-fish-tape-1-8-inch-x-240-foot</v>
      </c>
      <c r="C4722" t="s">
        <v>7829</v>
      </c>
      <c r="D4722" t="s">
        <v>9141</v>
      </c>
      <c r="E4722" s="3" t="str">
        <f>HYPERLINK("https://www.amazon.com/65-Foot-Measuring-Klein-Tools-56002/dp/B007KFRMY0/ref=sr_1_4?keywords=Klein+Tools+56341+Stainless+Steel+Fish+Tape%2C+1%2F8-Inch+x+240-Foot&amp;qid=1695174134&amp;sr=8-4", "https://www.amazon.com/65-Foot-Measuring-Klein-Tools-56002/dp/B007KFRMY0/ref=sr_1_4?keywords=Klein+Tools+56341+Stainless+Steel+Fish+Tape%2C+1%2F8-Inch+x+240-Foot&amp;qid=1695174134&amp;sr=8-4")</f>
        <v>https://www.amazon.com/65-Foot-Measuring-Klein-Tools-56002/dp/B007KFRMY0/ref=sr_1_4?keywords=Klein+Tools+56341+Stainless+Steel+Fish+Tape%2C+1%2F8-Inch+x+240-Foot&amp;qid=1695174134&amp;sr=8-4</v>
      </c>
      <c r="F4722" t="s">
        <v>9142</v>
      </c>
      <c r="G4722" t="e">
        <f ca="1">_xludf.IMAGE("https://edmondsonsupply.com/cdn/shop/products/56341.jpg?v=1666901345")</f>
        <v>#NAME?</v>
      </c>
      <c r="H4722" t="e">
        <f ca="1">_xludf.IMAGE("https://m.media-amazon.com/images/I/51JsZKupteL._AC_UL320_.jpg")</f>
        <v>#NAME?</v>
      </c>
      <c r="I4722" t="s">
        <v>7832</v>
      </c>
      <c r="J4722">
        <v>39.97</v>
      </c>
      <c r="K4722" s="4">
        <v>-0.65239999999999998</v>
      </c>
      <c r="L4722">
        <v>4.4000000000000004</v>
      </c>
      <c r="M4722">
        <v>140</v>
      </c>
      <c r="O4722" t="s">
        <v>25</v>
      </c>
      <c r="P4722" t="s">
        <v>7833</v>
      </c>
      <c r="Q4722" t="s">
        <v>7834</v>
      </c>
    </row>
    <row r="4723" spans="1:17" ht="15.5" x14ac:dyDescent="0.35">
      <c r="A4723"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723"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723" t="s">
        <v>8522</v>
      </c>
      <c r="D4723" t="s">
        <v>5970</v>
      </c>
      <c r="E4723" s="3" t="str">
        <f>HYPERLINK("https://www.amazon.com/Diablo-Universal-Bi-Metal-Oscillating-Nail-Embedded/dp/B089LDN2LT/ref=sr_1_9?keywords=Diablo+Tools+DOU125BF3+1-1%2F4+in.+Universal+Fit+Bi-Metal+Oscillating+Blade+for+Metal+%283+pack%29&amp;qid=1695174014&amp;sr=8-9", "https://www.amazon.com/Diablo-Universal-Bi-Metal-Oscillating-Nail-Embedded/dp/B089LDN2LT/ref=sr_1_9?keywords=Diablo+Tools+DOU125BF3+1-1%2F4+in.+Universal+Fit+Bi-Metal+Oscillating+Blade+for+Metal+%283+pack%29&amp;qid=1695174014&amp;sr=8-9")</f>
        <v>https://www.amazon.com/Diablo-Universal-Bi-Metal-Oscillating-Nail-Embedded/dp/B089LDN2LT/ref=sr_1_9?keywords=Diablo+Tools+DOU125BF3+1-1%2F4+in.+Universal+Fit+Bi-Metal+Oscillating+Blade+for+Metal+%283+pack%29&amp;qid=1695174014&amp;sr=8-9</v>
      </c>
      <c r="F4723" t="s">
        <v>5971</v>
      </c>
      <c r="G4723" t="e">
        <f ca="1">_xludf.IMAGE("https://edmondsonsupply.com/cdn/shop/files/k1d1qiwmm4npznsdbwtg_4dc7bdf3-43a4-4863-8a1d-f71b60bc7c6d.webp?v=1685468179")</f>
        <v>#NAME?</v>
      </c>
      <c r="H4723" t="e">
        <f ca="1">_xludf.IMAGE("https://m.media-amazon.com/images/I/613ig7mNjfL._AC_UL320_.jpg")</f>
        <v>#NAME?</v>
      </c>
      <c r="I4723" t="s">
        <v>340</v>
      </c>
      <c r="J4723">
        <v>12.14</v>
      </c>
      <c r="K4723" s="4">
        <v>-0.65280000000000005</v>
      </c>
      <c r="L4723">
        <v>4.8</v>
      </c>
      <c r="M4723">
        <v>12</v>
      </c>
      <c r="O4723" t="s">
        <v>25</v>
      </c>
      <c r="P4723" t="s">
        <v>8520</v>
      </c>
      <c r="Q4723" t="s">
        <v>8523</v>
      </c>
    </row>
    <row r="4724" spans="1:17" ht="15.5" x14ac:dyDescent="0.35">
      <c r="A4724"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4724"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4724" t="s">
        <v>8776</v>
      </c>
      <c r="D4724" t="s">
        <v>5970</v>
      </c>
      <c r="E4724" s="3" t="str">
        <f>HYPERLINK("https://www.amazon.com/Diablo-Universal-Bi-Metal-Oscillating-Nail-Embedded/dp/B089LDN2LT/ref=sr_1_2?keywords=Diablo+Tools+DOS125BW3+1-1%2F4+in.+Starlock+Bi-Metal+Oscillating+Blades+for+Nail-Embedded+Wood&amp;qid=1695174253&amp;sr=8-2", "https://www.amazon.com/Diablo-Universal-Bi-Metal-Oscillating-Nail-Embedded/dp/B089LDN2LT/ref=sr_1_2?keywords=Diablo+Tools+DOS125BW3+1-1%2F4+in.+Starlock+Bi-Metal+Oscillating+Blades+for+Nail-Embedded+Wood&amp;qid=1695174253&amp;sr=8-2")</f>
        <v>https://www.amazon.com/Diablo-Universal-Bi-Metal-Oscillating-Nail-Embedded/dp/B089LDN2LT/ref=sr_1_2?keywords=Diablo+Tools+DOS125BW3+1-1%2F4+in.+Starlock+Bi-Metal+Oscillating+Blades+for+Nail-Embedded+Wood&amp;qid=1695174253&amp;sr=8-2</v>
      </c>
      <c r="F4724" t="s">
        <v>5971</v>
      </c>
      <c r="G4724" t="e">
        <f ca="1">_xludf.IMAGE("https://edmondsonsupply.com/cdn/shop/products/DOS125BW3_Main-Image.png?v=1633031100")</f>
        <v>#NAME?</v>
      </c>
      <c r="H4724" t="e">
        <f ca="1">_xludf.IMAGE("https://m.media-amazon.com/images/I/613ig7mNjfL._AC_UL320_.jpg")</f>
        <v>#NAME?</v>
      </c>
      <c r="I4724" t="s">
        <v>340</v>
      </c>
      <c r="J4724">
        <v>12.14</v>
      </c>
      <c r="K4724" s="4">
        <v>-0.65280000000000005</v>
      </c>
      <c r="L4724">
        <v>4.8</v>
      </c>
      <c r="M4724">
        <v>12</v>
      </c>
      <c r="O4724" t="s">
        <v>25</v>
      </c>
      <c r="P4724" t="s">
        <v>8777</v>
      </c>
      <c r="Q4724" t="s">
        <v>8778</v>
      </c>
    </row>
    <row r="4725" spans="1:17" ht="15.5" x14ac:dyDescent="0.35">
      <c r="A4725"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4725"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4725" t="s">
        <v>8519</v>
      </c>
      <c r="D4725" t="s">
        <v>5970</v>
      </c>
      <c r="E4725" s="3" t="str">
        <f>HYPERLINK("https://www.amazon.com/Diablo-Universal-Bi-Metal-Oscillating-Nail-Embedded/dp/B089LDN2LT/ref=sr_1_3?keywords=Diablo+Tools+DOU125JBW3+1-1%2F4+in.+Universal+Fit+Bi-Metal+Oscillating+Blades+for+Clean+Wood&amp;qid=1695174271&amp;sr=8-3", "https://www.amazon.com/Diablo-Universal-Bi-Metal-Oscillating-Nail-Embedded/dp/B089LDN2LT/ref=sr_1_3?keywords=Diablo+Tools+DOU125JBW3+1-1%2F4+in.+Universal+Fit+Bi-Metal+Oscillating+Blades+for+Clean+Wood&amp;qid=1695174271&amp;sr=8-3")</f>
        <v>https://www.amazon.com/Diablo-Universal-Bi-Metal-Oscillating-Nail-Embedded/dp/B089LDN2LT/ref=sr_1_3?keywords=Diablo+Tools+DOU125JBW3+1-1%2F4+in.+Universal+Fit+Bi-Metal+Oscillating+Blades+for+Clean+Wood&amp;qid=1695174271&amp;sr=8-3</v>
      </c>
      <c r="F4725" t="s">
        <v>5971</v>
      </c>
      <c r="G4725" t="e">
        <f ca="1">_xludf.IMAGE("https://edmondsonsupply.com/cdn/shop/products/DOU125JBW3_Main-Image.png?v=1633031095")</f>
        <v>#NAME?</v>
      </c>
      <c r="H4725" t="e">
        <f ca="1">_xludf.IMAGE("https://m.media-amazon.com/images/I/613ig7mNjfL._AC_UL320_.jpg")</f>
        <v>#NAME?</v>
      </c>
      <c r="I4725" t="s">
        <v>340</v>
      </c>
      <c r="J4725">
        <v>12.14</v>
      </c>
      <c r="K4725" s="4">
        <v>-0.65280000000000005</v>
      </c>
      <c r="L4725">
        <v>4.8</v>
      </c>
      <c r="M4725">
        <v>12</v>
      </c>
      <c r="O4725" t="s">
        <v>25</v>
      </c>
      <c r="P4725" t="s">
        <v>8520</v>
      </c>
      <c r="Q4725" t="s">
        <v>8521</v>
      </c>
    </row>
    <row r="4726" spans="1:17" ht="15.5" x14ac:dyDescent="0.35">
      <c r="A4726"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4726"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4726" t="s">
        <v>5906</v>
      </c>
      <c r="D4726" t="s">
        <v>5298</v>
      </c>
      <c r="E4726" s="3" t="str">
        <f>HYPERLINK("https://www.amazon.com/Diablo-SDS-Max-4-Cutter-Carbide-Hammer/dp/B089KWFF8B/ref=sr_1_10?keywords=Diablo+Tools+DMAMXCC5050+4+in.+x+7+in.+SDS-Max+Carbide+Tipped+Core+Bit&amp;qid=1695174004&amp;sr=8-10", "https://www.amazon.com/Diablo-SDS-Max-4-Cutter-Carbide-Hammer/dp/B089KWFF8B/ref=sr_1_10?keywords=Diablo+Tools+DMAMXCC5050+4+in.+x+7+in.+SDS-Max+Carbide+Tipped+Core+Bit&amp;qid=1695174004&amp;sr=8-10")</f>
        <v>https://www.amazon.com/Diablo-SDS-Max-4-Cutter-Carbide-Hammer/dp/B089KWFF8B/ref=sr_1_10?keywords=Diablo+Tools+DMAMXCC5050+4+in.+x+7+in.+SDS-Max+Carbide+Tipped+Core+Bit&amp;qid=1695174004&amp;sr=8-10</v>
      </c>
      <c r="F4726" t="s">
        <v>5299</v>
      </c>
      <c r="G4726" t="e">
        <f ca="1">_xludf.IMAGE("https://edmondsonsupply.com/cdn/shop/files/yghx7uqdjxchri5fikny.webp?v=1686586834")</f>
        <v>#NAME?</v>
      </c>
      <c r="H4726" t="e">
        <f ca="1">_xludf.IMAGE("https://m.media-amazon.com/images/I/611fTcYRNFL._AC_UL320_.jpg")</f>
        <v>#NAME?</v>
      </c>
      <c r="I4726" t="s">
        <v>5907</v>
      </c>
      <c r="J4726">
        <v>52.26</v>
      </c>
      <c r="K4726" s="4">
        <v>-0.65480000000000005</v>
      </c>
      <c r="L4726">
        <v>3.5</v>
      </c>
      <c r="M4726">
        <v>3</v>
      </c>
      <c r="O4726" t="s">
        <v>25</v>
      </c>
      <c r="P4726" t="s">
        <v>5908</v>
      </c>
      <c r="Q4726" t="s">
        <v>5909</v>
      </c>
    </row>
    <row r="4727" spans="1:17" ht="15.5" x14ac:dyDescent="0.35">
      <c r="A4727" s="3" t="str">
        <f>HYPERLINK("https://edmondsonsupply.com/collections/electricians-tools/products/milwaukee-2745-20-m18-fuel-30-degree-framing-nailer-tool-only", "https://edmondsonsupply.com/collections/electricians-tools/products/milwaukee-2745-20-m18-fuel-30-degree-framing-nailer-tool-only")</f>
        <v>https://edmondsonsupply.com/collections/electricians-tools/products/milwaukee-2745-20-m18-fuel-30-degree-framing-nailer-tool-only</v>
      </c>
      <c r="B4727" s="3" t="str">
        <f>HYPERLINK("https://edmondsonsupply.com/products/milwaukee-2745-20-m18-fuel-30-degree-framing-nailer-tool-only", "https://edmondsonsupply.com/products/milwaukee-2745-20-m18-fuel-30-degree-framing-nailer-tool-only")</f>
        <v>https://edmondsonsupply.com/products/milwaukee-2745-20-m18-fuel-30-degree-framing-nailer-tool-only</v>
      </c>
      <c r="C4727" t="s">
        <v>8300</v>
      </c>
      <c r="D4727" t="s">
        <v>7325</v>
      </c>
      <c r="E4727" s="3" t="str">
        <f>HYPERLINK("https://www.amazon.com/Fortool-48-08-2745-Milwaukee-Magnesium-Extension/dp/B09YP6L87F/ref=sr_1_4?keywords=Milwaukee+2745-20+M18+FUEL+30+Degree+Framing+Nailer%2C+Tool+Only&amp;qid=1695174292&amp;sr=8-4", "https://www.amazon.com/Fortool-48-08-2745-Milwaukee-Magnesium-Extension/dp/B09YP6L87F/ref=sr_1_4?keywords=Milwaukee+2745-20+M18+FUEL+30+Degree+Framing+Nailer%2C+Tool+Only&amp;qid=1695174292&amp;sr=8-4")</f>
        <v>https://www.amazon.com/Fortool-48-08-2745-Milwaukee-Magnesium-Extension/dp/B09YP6L87F/ref=sr_1_4?keywords=Milwaukee+2745-20+M18+FUEL+30+Degree+Framing+Nailer%2C+Tool+Only&amp;qid=1695174292&amp;sr=8-4</v>
      </c>
      <c r="F4727" t="s">
        <v>7326</v>
      </c>
      <c r="G4727" t="e">
        <f ca="1">_xludf.IMAGE("https://edmondsonsupply.com/cdn/shop/products/nail1.png?v=1633030878")</f>
        <v>#NAME?</v>
      </c>
      <c r="H4727" t="e">
        <f ca="1">_xludf.IMAGE("https://m.media-amazon.com/images/I/71Gy7pjCzKL._AC_UL320_.jpg")</f>
        <v>#NAME?</v>
      </c>
      <c r="I4727" t="s">
        <v>8297</v>
      </c>
      <c r="J4727">
        <v>129.99</v>
      </c>
      <c r="K4727" s="4">
        <v>-0.65700000000000003</v>
      </c>
      <c r="L4727">
        <v>3</v>
      </c>
      <c r="M4727">
        <v>2</v>
      </c>
      <c r="O4727" t="s">
        <v>25</v>
      </c>
      <c r="P4727" t="s">
        <v>8298</v>
      </c>
      <c r="Q4727" t="s">
        <v>8301</v>
      </c>
    </row>
    <row r="4728" spans="1:17" ht="15.5" x14ac:dyDescent="0.35">
      <c r="A4728" s="3" t="str">
        <f>HYPERLINK("https://edmondsonsupply.com/collections/electricians-tools/products/milwaukee-48-22-8392r-packout%E2%84%A2-20oz-tumbler", "https://edmondsonsupply.com/collections/electricians-tools/products/milwaukee-48-22-8392r-packout%E2%84%A2-20oz-tumbler")</f>
        <v>https://edmondsonsupply.com/collections/electricians-tools/products/milwaukee-48-22-8392r-packout%E2%84%A2-20oz-tumbler</v>
      </c>
      <c r="B4728" s="3" t="str">
        <f>HYPERLINK("https://edmondsonsupply.com/products/milwaukee-48-22-8392r-packout%e2%84%a2-20oz-tumbler", "https://edmondsonsupply.com/products/milwaukee-48-22-8392r-packout%e2%84%a2-20oz-tumbler")</f>
        <v>https://edmondsonsupply.com/products/milwaukee-48-22-8392r-packout%e2%84%a2-20oz-tumbler</v>
      </c>
      <c r="C4728" t="s">
        <v>5658</v>
      </c>
      <c r="D4728" t="s">
        <v>5659</v>
      </c>
      <c r="E4728" s="3" t="str">
        <f>HYPERLINK("https://www.amazon.com/Replacement-Milwaukee-48-22-8392R-Resealable-Gasket-Seals/dp/B0C9R4T855/ref=sr_1_4?keywords=Milwaukee+48-22-8392R+PACKOUT%E2%84%A2+20oz+Tumbler&amp;qid=1695173984&amp;sr=8-4", "https://www.amazon.com/Replacement-Milwaukee-48-22-8392R-Resealable-Gasket-Seals/dp/B0C9R4T855/ref=sr_1_4?keywords=Milwaukee+48-22-8392R+PACKOUT%E2%84%A2+20oz+Tumbler&amp;qid=1695173984&amp;sr=8-4")</f>
        <v>https://www.amazon.com/Replacement-Milwaukee-48-22-8392R-Resealable-Gasket-Seals/dp/B0C9R4T855/ref=sr_1_4?keywords=Milwaukee+48-22-8392R+PACKOUT%E2%84%A2+20oz+Tumbler&amp;qid=1695173984&amp;sr=8-4</v>
      </c>
      <c r="F4728" t="s">
        <v>5660</v>
      </c>
      <c r="G4728" t="e">
        <f ca="1">_xludf.IMAGE("https://edmondsonsupply.com/cdn/shop/files/48-22-8392R_1.png?v=1691501431")</f>
        <v>#NAME?</v>
      </c>
      <c r="H4728" t="e">
        <f ca="1">_xludf.IMAGE("https://m.media-amazon.com/images/I/51mMrDh3TyL._AC_UL320_.jpg")</f>
        <v>#NAME?</v>
      </c>
      <c r="I4728" t="s">
        <v>5661</v>
      </c>
      <c r="J4728">
        <v>10.09</v>
      </c>
      <c r="K4728" s="4">
        <v>-0.65759999999999996</v>
      </c>
      <c r="L4728">
        <v>5</v>
      </c>
      <c r="M4728">
        <v>1</v>
      </c>
      <c r="O4728" t="s">
        <v>25</v>
      </c>
      <c r="P4728" t="s">
        <v>5662</v>
      </c>
      <c r="Q4728" t="s">
        <v>5663</v>
      </c>
    </row>
    <row r="4729" spans="1:17" ht="15.5" x14ac:dyDescent="0.35">
      <c r="A4729"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729"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729" t="s">
        <v>6718</v>
      </c>
      <c r="D4729" t="s">
        <v>9143</v>
      </c>
      <c r="E4729" s="3" t="str">
        <f>HYPERLINK("https://www.amazon.com/Milwaukee-48-59-1812-Voltage-Lithium-Battery/dp/B007PDBHBG/ref=sr_1_1?keywords=Milwaukee+48-59-1812+M18%E2%84%A2+%26+M12%E2%84%A2+Multi-Voltage+Charger&amp;qid=1695174184&amp;sr=8-1", "https://www.amazon.com/Milwaukee-48-59-1812-Voltage-Lithium-Battery/dp/B007PDBHBG/ref=sr_1_1?keywords=Milwaukee+48-59-1812+M18%E2%84%A2+%26+M12%E2%84%A2+Multi-Voltage+Charger&amp;qid=1695174184&amp;sr=8-1")</f>
        <v>https://www.amazon.com/Milwaukee-48-59-1812-Voltage-Lithium-Battery/dp/B007PDBHBG/ref=sr_1_1?keywords=Milwaukee+48-59-1812+M18%E2%84%A2+%26+M12%E2%84%A2+Multi-Voltage+Charger&amp;qid=1695174184&amp;sr=8-1</v>
      </c>
      <c r="F4729" t="s">
        <v>9144</v>
      </c>
      <c r="G4729" t="e">
        <f ca="1">_xludf.IMAGE("https://edmondsonsupply.com/cdn/shop/products/60113_48-59-1812_3-lg.webp?v=1656530513")</f>
        <v>#NAME?</v>
      </c>
      <c r="H4729" t="e">
        <f ca="1">_xludf.IMAGE("https://m.media-amazon.com/images/I/81NpBsEe5xL._AC_UL320_.jpg")</f>
        <v>#NAME?</v>
      </c>
      <c r="I4729" t="s">
        <v>4741</v>
      </c>
      <c r="J4729">
        <v>27</v>
      </c>
      <c r="K4729" s="4">
        <v>-0.65820000000000001</v>
      </c>
      <c r="L4729">
        <v>4.5999999999999996</v>
      </c>
      <c r="M4729">
        <v>4835</v>
      </c>
      <c r="O4729" t="s">
        <v>25</v>
      </c>
      <c r="P4729" t="s">
        <v>6721</v>
      </c>
      <c r="Q4729" t="s">
        <v>6722</v>
      </c>
    </row>
    <row r="4730" spans="1:17" ht="15.5" x14ac:dyDescent="0.35">
      <c r="A4730"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4730"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4730" t="s">
        <v>8522</v>
      </c>
      <c r="D4730" t="s">
        <v>8827</v>
      </c>
      <c r="E4730" s="3" t="str">
        <f>HYPERLINK("https://www.amazon.com/Diablo-Freud-DOU125BF-Universal-Oscillating/dp/B089KV143Y/ref=sr_1_4?keywords=Diablo+Tools+DOU125BF3+1-1%2F4+in.+Universal+Fit+Bi-Metal+Oscillating+Blade+for+Metal+%283+pack%29&amp;qid=1695174014&amp;sr=8-4", "https://www.amazon.com/Diablo-Freud-DOU125BF-Universal-Oscillating/dp/B089KV143Y/ref=sr_1_4?keywords=Diablo+Tools+DOU125BF3+1-1%2F4+in.+Universal+Fit+Bi-Metal+Oscillating+Blade+for+Metal+%283+pack%29&amp;qid=1695174014&amp;sr=8-4")</f>
        <v>https://www.amazon.com/Diablo-Freud-DOU125BF-Universal-Oscillating/dp/B089KV143Y/ref=sr_1_4?keywords=Diablo+Tools+DOU125BF3+1-1%2F4+in.+Universal+Fit+Bi-Metal+Oscillating+Blade+for+Metal+%283+pack%29&amp;qid=1695174014&amp;sr=8-4</v>
      </c>
      <c r="F4730" t="s">
        <v>8828</v>
      </c>
      <c r="G4730" t="e">
        <f ca="1">_xludf.IMAGE("https://edmondsonsupply.com/cdn/shop/files/k1d1qiwmm4npznsdbwtg_4dc7bdf3-43a4-4863-8a1d-f71b60bc7c6d.webp?v=1685468179")</f>
        <v>#NAME?</v>
      </c>
      <c r="H4730" t="e">
        <f ca="1">_xludf.IMAGE("https://m.media-amazon.com/images/I/61mZfXlj-XL._AC_UL320_.jpg")</f>
        <v>#NAME?</v>
      </c>
      <c r="I4730" t="s">
        <v>340</v>
      </c>
      <c r="J4730">
        <v>11.95</v>
      </c>
      <c r="K4730" s="4">
        <v>-0.6583</v>
      </c>
      <c r="L4730">
        <v>3.7</v>
      </c>
      <c r="M4730">
        <v>8</v>
      </c>
      <c r="O4730" t="s">
        <v>25</v>
      </c>
      <c r="P4730" t="s">
        <v>8520</v>
      </c>
      <c r="Q4730" t="s">
        <v>8523</v>
      </c>
    </row>
    <row r="4731" spans="1:17" ht="15.5" x14ac:dyDescent="0.35">
      <c r="A4731"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731"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731" t="s">
        <v>6718</v>
      </c>
      <c r="D4731" t="s">
        <v>9145</v>
      </c>
      <c r="E4731" s="3" t="str">
        <f>HYPERLINK("https://www.amazon.com/Voltage-Lithium-Battery-Milwaukee-48-59-1812/dp/B07FMY32P1/ref=sr_1_2?keywords=Milwaukee+48-59-1812+M18%E2%84%A2+%26+M12%E2%84%A2+Multi-Voltage+Charger&amp;qid=1695174184&amp;sr=8-2", "https://www.amazon.com/Voltage-Lithium-Battery-Milwaukee-48-59-1812/dp/B07FMY32P1/ref=sr_1_2?keywords=Milwaukee+48-59-1812+M18%E2%84%A2+%26+M12%E2%84%A2+Multi-Voltage+Charger&amp;qid=1695174184&amp;sr=8-2")</f>
        <v>https://www.amazon.com/Voltage-Lithium-Battery-Milwaukee-48-59-1812/dp/B07FMY32P1/ref=sr_1_2?keywords=Milwaukee+48-59-1812+M18%E2%84%A2+%26+M12%E2%84%A2+Multi-Voltage+Charger&amp;qid=1695174184&amp;sr=8-2</v>
      </c>
      <c r="F4731" t="s">
        <v>9146</v>
      </c>
      <c r="G4731" t="e">
        <f ca="1">_xludf.IMAGE("https://edmondsonsupply.com/cdn/shop/products/60113_48-59-1812_3-lg.webp?v=1656530513")</f>
        <v>#NAME?</v>
      </c>
      <c r="H4731" t="e">
        <f ca="1">_xludf.IMAGE("https://m.media-amazon.com/images/I/71SCF7elt5L._AC_UL320_.jpg")</f>
        <v>#NAME?</v>
      </c>
      <c r="I4731" t="s">
        <v>4741</v>
      </c>
      <c r="J4731">
        <v>26.98</v>
      </c>
      <c r="K4731" s="4">
        <v>-0.65849999999999997</v>
      </c>
      <c r="L4731">
        <v>4.5999999999999996</v>
      </c>
      <c r="M4731">
        <v>1794</v>
      </c>
      <c r="O4731" t="s">
        <v>25</v>
      </c>
      <c r="P4731" t="s">
        <v>6721</v>
      </c>
      <c r="Q4731" t="s">
        <v>6722</v>
      </c>
    </row>
    <row r="4732" spans="1:17" ht="15.5" x14ac:dyDescent="0.35">
      <c r="A4732"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4732"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4732" t="s">
        <v>8776</v>
      </c>
      <c r="D4732" t="s">
        <v>9147</v>
      </c>
      <c r="E4732" s="3" t="str">
        <f>HYPERLINK("https://www.amazon.com/Bosch-OSL114C-2-Starlock-Oscillating-Carbide/dp/B01DDA7QZA/ref=sr_1_9?keywords=Diablo+Tools+DOS125BW3+1-1%2F4+in.+Starlock+Bi-Metal+Oscillating+Blades+for+Nail-Embedded+Wood&amp;qid=1695174253&amp;sr=8-9", "https://www.amazon.com/Bosch-OSL114C-2-Starlock-Oscillating-Carbide/dp/B01DDA7QZA/ref=sr_1_9?keywords=Diablo+Tools+DOS125BW3+1-1%2F4+in.+Starlock+Bi-Metal+Oscillating+Blades+for+Nail-Embedded+Wood&amp;qid=1695174253&amp;sr=8-9")</f>
        <v>https://www.amazon.com/Bosch-OSL114C-2-Starlock-Oscillating-Carbide/dp/B01DDA7QZA/ref=sr_1_9?keywords=Diablo+Tools+DOS125BW3+1-1%2F4+in.+Starlock+Bi-Metal+Oscillating+Blades+for+Nail-Embedded+Wood&amp;qid=1695174253&amp;sr=8-9</v>
      </c>
      <c r="F4732" t="s">
        <v>9148</v>
      </c>
      <c r="G4732" t="e">
        <f ca="1">_xludf.IMAGE("https://edmondsonsupply.com/cdn/shop/products/DOS125BW3_Main-Image.png?v=1633031100")</f>
        <v>#NAME?</v>
      </c>
      <c r="H4732" t="e">
        <f ca="1">_xludf.IMAGE("https://m.media-amazon.com/images/I/61p6lFst-PL._AC_UL320_.jpg")</f>
        <v>#NAME?</v>
      </c>
      <c r="I4732" t="s">
        <v>340</v>
      </c>
      <c r="J4732">
        <v>11.91</v>
      </c>
      <c r="K4732" s="4">
        <v>-0.65939999999999999</v>
      </c>
      <c r="L4732">
        <v>4.7</v>
      </c>
      <c r="M4732">
        <v>1399</v>
      </c>
      <c r="O4732" t="s">
        <v>25</v>
      </c>
      <c r="P4732" t="s">
        <v>8777</v>
      </c>
      <c r="Q4732" t="s">
        <v>8778</v>
      </c>
    </row>
    <row r="4733" spans="1:17" ht="15.5" x14ac:dyDescent="0.35">
      <c r="A4733" s="3" t="str">
        <f>HYPERLINK("https://edmondsonsupply.com/collections/electricians-tools/products/milwaukee-48-22-1502-fastback%E2%84%A2-folding-utility-knife-w-blade-storage", "https://edmondsonsupply.com/collections/electricians-tools/products/milwaukee-48-22-1502-fastback%E2%84%A2-folding-utility-knife-w-blade-storage")</f>
        <v>https://edmondsonsupply.com/collections/electricians-tools/products/milwaukee-48-22-1502-fastback%E2%84%A2-folding-utility-knife-w-blade-storage</v>
      </c>
      <c r="B4733" s="3" t="str">
        <f>HYPERLINK("https://edmondsonsupply.com/products/milwaukee-48-22-1502-fastback%e2%84%a2-folding-utility-knife-w-blade-storage", "https://edmondsonsupply.com/products/milwaukee-48-22-1502-fastback%e2%84%a2-folding-utility-knife-w-blade-storage")</f>
        <v>https://edmondsonsupply.com/products/milwaukee-48-22-1502-fastback%e2%84%a2-folding-utility-knife-w-blade-storage</v>
      </c>
      <c r="C4733" t="s">
        <v>2783</v>
      </c>
      <c r="D4733" t="s">
        <v>5664</v>
      </c>
      <c r="E4733" s="3" t="str">
        <f>HYPERLINK("https://www.amazon.com/Milwaukee-48-22-1933-Deburred-Carbide-Lockback/dp/B00D5YLP5W/ref=sr_1_7?keywords=Milwaukee+48-22-1502+FASTBACK%E2%84%A2+Folding+Utility+Knife+w%2F+Blade+Storage&amp;qid=1695173847&amp;sr=8-7", "https://www.amazon.com/Milwaukee-48-22-1933-Deburred-Carbide-Lockback/dp/B00D5YLP5W/ref=sr_1_7?keywords=Milwaukee+48-22-1502+FASTBACK%E2%84%A2+Folding+Utility+Knife+w%2F+Blade+Storage&amp;qid=1695173847&amp;sr=8-7")</f>
        <v>https://www.amazon.com/Milwaukee-48-22-1933-Deburred-Carbide-Lockback/dp/B00D5YLP5W/ref=sr_1_7?keywords=Milwaukee+48-22-1502+FASTBACK%E2%84%A2+Folding+Utility+Knife+w%2F+Blade+Storage&amp;qid=1695173847&amp;sr=8-7</v>
      </c>
      <c r="F4733" t="s">
        <v>5665</v>
      </c>
      <c r="G4733" t="e">
        <f ca="1">_xludf.IMAGE("https://edmondsonsupply.com/cdn/shop/products/48-22-1502_3.png?v=1587148345")</f>
        <v>#NAME?</v>
      </c>
      <c r="H4733" t="e">
        <f ca="1">_xludf.IMAGE("https://m.media-amazon.com/images/I/41vPWO+PD8L._AC_UL320_.jpg")</f>
        <v>#NAME?</v>
      </c>
      <c r="I4733" t="s">
        <v>2784</v>
      </c>
      <c r="J4733">
        <v>4.99</v>
      </c>
      <c r="K4733" s="4">
        <v>-0.66669999999999996</v>
      </c>
      <c r="L4733">
        <v>4.5</v>
      </c>
      <c r="M4733">
        <v>65</v>
      </c>
      <c r="O4733" t="s">
        <v>25</v>
      </c>
      <c r="P4733" t="s">
        <v>1707</v>
      </c>
      <c r="Q4733" t="s">
        <v>2785</v>
      </c>
    </row>
    <row r="4734" spans="1:17" ht="15.5" x14ac:dyDescent="0.35">
      <c r="A4734" s="3" t="str">
        <f>HYPERLINK("https://edmondsonsupply.com/collections/electricians-tools/products/klein-tools-56115-fiberglass-fish-tape-repair-kit", "https://edmondsonsupply.com/collections/electricians-tools/products/klein-tools-56115-fiberglass-fish-tape-repair-kit")</f>
        <v>https://edmondsonsupply.com/collections/electricians-tools/products/klein-tools-56115-fiberglass-fish-tape-repair-kit</v>
      </c>
      <c r="B4734" s="3" t="str">
        <f>HYPERLINK("https://edmondsonsupply.com/products/klein-tools-56115-fiberglass-fish-tape-repair-kit", "https://edmondsonsupply.com/products/klein-tools-56115-fiberglass-fish-tape-repair-kit")</f>
        <v>https://edmondsonsupply.com/products/klein-tools-56115-fiberglass-fish-tape-repair-kit</v>
      </c>
      <c r="C4734" t="s">
        <v>8459</v>
      </c>
      <c r="D4734" t="s">
        <v>6141</v>
      </c>
      <c r="E4734" s="3" t="str">
        <f>HYPERLINK("https://www.amazon.com/Illuminated-Attachments-Klein-Tools-80050/dp/B09FRBGCZD/ref=sr_1_7?keywords=Klein+Tools+56115+Fiberglass+Fish+Tape+Repair+Kit&amp;qid=1695174148&amp;sr=8-7", "https://www.amazon.com/Illuminated-Attachments-Klein-Tools-80050/dp/B09FRBGCZD/ref=sr_1_7?keywords=Klein+Tools+56115+Fiberglass+Fish+Tape+Repair+Kit&amp;qid=1695174148&amp;sr=8-7")</f>
        <v>https://www.amazon.com/Illuminated-Attachments-Klein-Tools-80050/dp/B09FRBGCZD/ref=sr_1_7?keywords=Klein+Tools+56115+Fiberglass+Fish+Tape+Repair+Kit&amp;qid=1695174148&amp;sr=8-7</v>
      </c>
      <c r="F4734" t="s">
        <v>6142</v>
      </c>
      <c r="G4734" t="e">
        <f ca="1">_xludf.IMAGE("https://edmondsonsupply.com/cdn/shop/products/56115.jpg?v=1666107209")</f>
        <v>#NAME?</v>
      </c>
      <c r="H4734" t="e">
        <f ca="1">_xludf.IMAGE("https://m.media-amazon.com/images/I/51K8WFeudSL._AC_UL320_.jpg")</f>
        <v>#NAME?</v>
      </c>
      <c r="I4734" t="s">
        <v>4155</v>
      </c>
      <c r="J4734">
        <v>49.99</v>
      </c>
      <c r="K4734" s="4">
        <v>-0.66669999999999996</v>
      </c>
      <c r="L4734">
        <v>4.3</v>
      </c>
      <c r="M4734">
        <v>22</v>
      </c>
      <c r="O4734" t="s">
        <v>25</v>
      </c>
      <c r="P4734" t="s">
        <v>8462</v>
      </c>
      <c r="Q4734" t="s">
        <v>8463</v>
      </c>
    </row>
    <row r="4735" spans="1:17" ht="15.5" x14ac:dyDescent="0.35">
      <c r="A4735"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4735" s="3" t="str">
        <f>HYPERLINK("https://edmondsonsupply.com/products/klein-tools-32800-6-in-1-multi-nut-driver-heavy-duty", "https://edmondsonsupply.com/products/klein-tools-32800-6-in-1-multi-nut-driver-heavy-duty")</f>
        <v>https://edmondsonsupply.com/products/klein-tools-32800-6-in-1-multi-nut-driver-heavy-duty</v>
      </c>
      <c r="C4735" t="s">
        <v>8108</v>
      </c>
      <c r="D4735" t="s">
        <v>9149</v>
      </c>
      <c r="E4735" s="3" t="str">
        <f>HYPERLINK("https://www.amazon.com/Screwdriver-Driver-Yellow-Klein-32476/dp/B000RFPDXC/ref=sr_1_5?keywords=Klein+Tools+32800+6-in-1+6-in-1+Multi-Bit+Nut+Driver%2C+Heavy+Duty&amp;qid=1695174226&amp;sr=8-5", "https://www.amazon.com/Screwdriver-Driver-Yellow-Klein-32476/dp/B000RFPDXC/ref=sr_1_5?keywords=Klein+Tools+32800+6-in-1+6-in-1+Multi-Bit+Nut+Driver%2C+Heavy+Duty&amp;qid=1695174226&amp;sr=8-5")</f>
        <v>https://www.amazon.com/Screwdriver-Driver-Yellow-Klein-32476/dp/B000RFPDXC/ref=sr_1_5?keywords=Klein+Tools+32800+6-in-1+6-in-1+Multi-Bit+Nut+Driver%2C+Heavy+Duty&amp;qid=1695174226&amp;sr=8-5</v>
      </c>
      <c r="F4735" t="s">
        <v>9150</v>
      </c>
      <c r="G4735" t="e">
        <f ca="1">_xludf.IMAGE("https://edmondsonsupply.com/cdn/shop/products/32800_alt2.jpg?v=1646595019")</f>
        <v>#NAME?</v>
      </c>
      <c r="H4735" t="e">
        <f ca="1">_xludf.IMAGE("https://m.media-amazon.com/images/I/51ZkueHIEQL._AC_UL320_.jpg")</f>
        <v>#NAME?</v>
      </c>
      <c r="I4735" t="s">
        <v>26</v>
      </c>
      <c r="J4735">
        <v>9.98</v>
      </c>
      <c r="K4735" s="4">
        <v>-0.66720000000000002</v>
      </c>
      <c r="L4735">
        <v>4.8</v>
      </c>
      <c r="M4735">
        <v>1242</v>
      </c>
      <c r="O4735" t="s">
        <v>25</v>
      </c>
      <c r="P4735" t="s">
        <v>8111</v>
      </c>
      <c r="Q4735" t="s">
        <v>8112</v>
      </c>
    </row>
    <row r="4736" spans="1:17" ht="15.5" x14ac:dyDescent="0.35">
      <c r="A4736"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736"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736" t="s">
        <v>6718</v>
      </c>
      <c r="D4736" t="s">
        <v>9151</v>
      </c>
      <c r="E4736" s="3" t="str">
        <f>HYPERLINK("https://www.amazon.com/Multi-Voltage-Replacement-48-59-1812-Compatible-Lithium-ion/dp/B094GWNXTK/ref=sr_1_10?keywords=Milwaukee+48-59-1812+M18%E2%84%A2+%26+M12%E2%84%A2+Multi-Voltage+Charger&amp;qid=1695174184&amp;sr=8-10", "https://www.amazon.com/Multi-Voltage-Replacement-48-59-1812-Compatible-Lithium-ion/dp/B094GWNXTK/ref=sr_1_10?keywords=Milwaukee+48-59-1812+M18%E2%84%A2+%26+M12%E2%84%A2+Multi-Voltage+Charger&amp;qid=1695174184&amp;sr=8-10")</f>
        <v>https://www.amazon.com/Multi-Voltage-Replacement-48-59-1812-Compatible-Lithium-ion/dp/B094GWNXTK/ref=sr_1_10?keywords=Milwaukee+48-59-1812+M18%E2%84%A2+%26+M12%E2%84%A2+Multi-Voltage+Charger&amp;qid=1695174184&amp;sr=8-10</v>
      </c>
      <c r="F4736" t="s">
        <v>9152</v>
      </c>
      <c r="G4736" t="e">
        <f ca="1">_xludf.IMAGE("https://edmondsonsupply.com/cdn/shop/products/60113_48-59-1812_3-lg.webp?v=1656530513")</f>
        <v>#NAME?</v>
      </c>
      <c r="H4736" t="e">
        <f ca="1">_xludf.IMAGE("https://m.media-amazon.com/images/I/71e5iPPW1uS._AC_UL320_.jpg")</f>
        <v>#NAME?</v>
      </c>
      <c r="I4736" t="s">
        <v>4741</v>
      </c>
      <c r="J4736">
        <v>25.99</v>
      </c>
      <c r="K4736" s="4">
        <v>-0.67100000000000004</v>
      </c>
      <c r="L4736">
        <v>4.5</v>
      </c>
      <c r="M4736">
        <v>417</v>
      </c>
      <c r="O4736" t="s">
        <v>25</v>
      </c>
      <c r="P4736" t="s">
        <v>6721</v>
      </c>
      <c r="Q4736" t="s">
        <v>6722</v>
      </c>
    </row>
    <row r="4737" spans="1:17" ht="15.5" x14ac:dyDescent="0.35">
      <c r="A4737"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4737"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4737" t="s">
        <v>7170</v>
      </c>
      <c r="D4737" t="s">
        <v>4058</v>
      </c>
      <c r="E4737" s="3" t="str">
        <f>HYPERLINK("https://www.amazon.com/Klein-Tools-610M-16-Inch-Magnetic/dp/B00093DZO6/ref=sr_1_9?keywords=Klein+Tools+635-4+Nut+Driver+Set%2C+Magnetic+Nut+Drivers%2C+Heavy+Duty%2C+4-Piece&amp;qid=1695174225&amp;sr=8-9", "https://www.amazon.com/Klein-Tools-610M-16-Inch-Magnetic/dp/B00093DZO6/ref=sr_1_9?keywords=Klein+Tools+635-4+Nut+Driver+Set%2C+Magnetic+Nut+Drivers%2C+Heavy+Duty%2C+4-Piece&amp;qid=1695174225&amp;sr=8-9")</f>
        <v>https://www.amazon.com/Klein-Tools-610M-16-Inch-Magnetic/dp/B00093DZO6/ref=sr_1_9?keywords=Klein+Tools+635-4+Nut+Driver+Set%2C+Magnetic+Nut+Drivers%2C+Heavy+Duty%2C+4-Piece&amp;qid=1695174225&amp;sr=8-9</v>
      </c>
      <c r="F4737" t="s">
        <v>4059</v>
      </c>
      <c r="G4737" t="e">
        <f ca="1">_xludf.IMAGE("https://edmondsonsupply.com/cdn/shop/products/635-4.jpg?v=1640815398")</f>
        <v>#NAME?</v>
      </c>
      <c r="H4737" t="e">
        <f ca="1">_xludf.IMAGE("https://m.media-amazon.com/images/I/51lgiheW64L._AC_UL320_.jpg")</f>
        <v>#NAME?</v>
      </c>
      <c r="I4737" t="s">
        <v>269</v>
      </c>
      <c r="J4737">
        <v>17.989999999999998</v>
      </c>
      <c r="K4737" s="4">
        <v>-0.67279999999999995</v>
      </c>
      <c r="L4737">
        <v>4.8</v>
      </c>
      <c r="M4737">
        <v>559</v>
      </c>
      <c r="O4737" t="s">
        <v>25</v>
      </c>
      <c r="P4737" t="s">
        <v>7171</v>
      </c>
      <c r="Q4737" t="s">
        <v>7172</v>
      </c>
    </row>
    <row r="4738" spans="1:17" ht="15.5" x14ac:dyDescent="0.35">
      <c r="A4738"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4738"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4738" t="s">
        <v>8905</v>
      </c>
      <c r="D4738" t="s">
        <v>9153</v>
      </c>
      <c r="E4738" s="3" t="str">
        <f>HYPERLINK("https://www.amazon.com/Milwaukee-48-11-2420-REDLITHIUM-Compact-Battery/dp/B00CHU9ZDE/ref=sr_1_1?keywords=Milwaukee+48-11-2411+M12+REDLITHIUM%E2%84%A2+Compact+Battery+Two+Pack&amp;qid=1695174226&amp;sr=8-1", "https://www.amazon.com/Milwaukee-48-11-2420-REDLITHIUM-Compact-Battery/dp/B00CHU9ZDE/ref=sr_1_1?keywords=Milwaukee+48-11-2411+M12+REDLITHIUM%E2%84%A2+Compact+Battery+Two+Pack&amp;qid=1695174226&amp;sr=8-1")</f>
        <v>https://www.amazon.com/Milwaukee-48-11-2420-REDLITHIUM-Compact-Battery/dp/B00CHU9ZDE/ref=sr_1_1?keywords=Milwaukee+48-11-2411+M12+REDLITHIUM%E2%84%A2+Compact+Battery+Two+Pack&amp;qid=1695174226&amp;sr=8-1</v>
      </c>
      <c r="F4738" t="s">
        <v>9154</v>
      </c>
      <c r="G4738" t="e">
        <f ca="1">_xludf.IMAGE("https://edmondsonsupply.com/cdn/shop/products/65014_48-11-2411-lg.jpg?v=1655484824")</f>
        <v>#NAME?</v>
      </c>
      <c r="H4738" t="e">
        <f ca="1">_xludf.IMAGE("https://m.media-amazon.com/images/I/51pGuoAJJNL._AC_UL320_.jpg")</f>
        <v>#NAME?</v>
      </c>
      <c r="I4738" t="s">
        <v>3253</v>
      </c>
      <c r="J4738">
        <v>29</v>
      </c>
      <c r="K4738" s="4">
        <v>-0.67420000000000002</v>
      </c>
      <c r="L4738">
        <v>4.8</v>
      </c>
      <c r="M4738">
        <v>4509</v>
      </c>
      <c r="O4738" t="s">
        <v>171</v>
      </c>
      <c r="P4738" t="s">
        <v>8908</v>
      </c>
      <c r="Q4738" t="s">
        <v>8909</v>
      </c>
    </row>
    <row r="4739" spans="1:17" ht="15.5" x14ac:dyDescent="0.35">
      <c r="A4739" s="3" t="str">
        <f>HYPERLINK("https://edmondsonsupply.com/collections/electricians-tools/products/milwaukee-2980-22-m18-fuel%E2%84%A2-4-1-2-6-braking-grinder-kit-paddle-switch-no-lock", "https://edmondsonsupply.com/collections/electricians-tools/products/milwaukee-2980-22-m18-fuel%E2%84%A2-4-1-2-6-braking-grinder-kit-paddle-switch-no-lock")</f>
        <v>https://edmondsonsupply.com/collections/electricians-tools/products/milwaukee-2980-22-m18-fuel%E2%84%A2-4-1-2-6-braking-grinder-kit-paddle-switch-no-lock</v>
      </c>
      <c r="B4739" s="3" t="str">
        <f>HYPERLINK("https://edmondsonsupply.com/products/milwaukee-2980-22-m18-fuel%e2%84%a2-4-1-2-6-braking-grinder-kit-paddle-switch-no-lock", "https://edmondsonsupply.com/products/milwaukee-2980-22-m18-fuel%e2%84%a2-4-1-2-6-braking-grinder-kit-paddle-switch-no-lock")</f>
        <v>https://edmondsonsupply.com/products/milwaukee-2980-22-m18-fuel%e2%84%a2-4-1-2-6-braking-grinder-kit-paddle-switch-no-lock</v>
      </c>
      <c r="C4739" t="s">
        <v>5976</v>
      </c>
      <c r="D4739" t="s">
        <v>5977</v>
      </c>
      <c r="E4739" s="3" t="str">
        <f>HYPERLINK("https://www.amazon.com/Milwaukee-2980-20-M18-FUEL-4-1/dp/B07VXK6NBC/ref=sr_1_1?keywords=Milwaukee+2980-22+M18+FUEL%E2%84%A2+4-1%2F2%E2%80%9D+-+6%E2%80%9D+Braking+Grinder+Kit%2C+Paddle+Switch+No-Lock&amp;qid=1695174008&amp;sr=8-1", "https://www.amazon.com/Milwaukee-2980-20-M18-FUEL-4-1/dp/B07VXK6NBC/ref=sr_1_1?keywords=Milwaukee+2980-22+M18+FUEL%E2%84%A2+4-1%2F2%E2%80%9D+-+6%E2%80%9D+Braking+Grinder+Kit%2C+Paddle+Switch+No-Lock&amp;qid=1695174008&amp;sr=8-1")</f>
        <v>https://www.amazon.com/Milwaukee-2980-20-M18-FUEL-4-1/dp/B07VXK6NBC/ref=sr_1_1?keywords=Milwaukee+2980-22+M18+FUEL%E2%84%A2+4-1%2F2%E2%80%9D+-+6%E2%80%9D+Braking+Grinder+Kit%2C+Paddle+Switch+No-Lock&amp;qid=1695174008&amp;sr=8-1</v>
      </c>
      <c r="F4739" t="s">
        <v>5978</v>
      </c>
      <c r="G4739" t="e">
        <f ca="1">_xludf.IMAGE("https://edmondsonsupply.com/cdn/shop/files/2980-21_2.webp?v=1686157900")</f>
        <v>#NAME?</v>
      </c>
      <c r="H4739" t="e">
        <f ca="1">_xludf.IMAGE("https://m.media-amazon.com/images/I/31Kt4bbcseL._AC_UL320_.jpg")</f>
        <v>#NAME?</v>
      </c>
      <c r="I4739" t="s">
        <v>5967</v>
      </c>
      <c r="J4739">
        <v>168.87</v>
      </c>
      <c r="K4739" s="4">
        <v>-0.67459999999999998</v>
      </c>
      <c r="L4739">
        <v>4.8</v>
      </c>
      <c r="M4739">
        <v>359</v>
      </c>
      <c r="O4739" t="s">
        <v>25</v>
      </c>
      <c r="P4739" t="s">
        <v>5968</v>
      </c>
      <c r="Q4739" t="s">
        <v>5979</v>
      </c>
    </row>
    <row r="4740" spans="1:17" ht="15.5" x14ac:dyDescent="0.35">
      <c r="A4740"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740"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740" t="s">
        <v>6718</v>
      </c>
      <c r="D4740" t="s">
        <v>9155</v>
      </c>
      <c r="E4740" s="3" t="str">
        <f>HYPERLINK("https://www.amazon.com/Biswaye-48-59-1812-48-11-2420-48-11-2440-48-11-1820/dp/B078X9YD57/ref=sr_1_4?keywords=Milwaukee+48-59-1812+M18%E2%84%A2+%26+M12%E2%84%A2+Multi-Voltage+Charger&amp;qid=1695174184&amp;sr=8-4", "https://www.amazon.com/Biswaye-48-59-1812-48-11-2420-48-11-2440-48-11-1820/dp/B078X9YD57/ref=sr_1_4?keywords=Milwaukee+48-59-1812+M18%E2%84%A2+%26+M12%E2%84%A2+Multi-Voltage+Charger&amp;qid=1695174184&amp;sr=8-4")</f>
        <v>https://www.amazon.com/Biswaye-48-59-1812-48-11-2420-48-11-2440-48-11-1820/dp/B078X9YD57/ref=sr_1_4?keywords=Milwaukee+48-59-1812+M18%E2%84%A2+%26+M12%E2%84%A2+Multi-Voltage+Charger&amp;qid=1695174184&amp;sr=8-4</v>
      </c>
      <c r="F4740" t="s">
        <v>9156</v>
      </c>
      <c r="G4740" t="e">
        <f ca="1">_xludf.IMAGE("https://edmondsonsupply.com/cdn/shop/products/60113_48-59-1812_3-lg.webp?v=1656530513")</f>
        <v>#NAME?</v>
      </c>
      <c r="H4740" t="e">
        <f ca="1">_xludf.IMAGE("https://m.media-amazon.com/images/I/61vbxmdTU-L._AC_UL320_.jpg")</f>
        <v>#NAME?</v>
      </c>
      <c r="I4740" t="s">
        <v>4741</v>
      </c>
      <c r="J4740">
        <v>25.65</v>
      </c>
      <c r="K4740" s="4">
        <v>-0.67530000000000001</v>
      </c>
      <c r="L4740">
        <v>4.5999999999999996</v>
      </c>
      <c r="M4740">
        <v>938</v>
      </c>
      <c r="O4740" t="s">
        <v>25</v>
      </c>
      <c r="P4740" t="s">
        <v>6721</v>
      </c>
      <c r="Q4740" t="s">
        <v>6722</v>
      </c>
    </row>
    <row r="4741" spans="1:17" ht="15.5" x14ac:dyDescent="0.35">
      <c r="A4741" s="3" t="str">
        <f>HYPERLINK("https://edmondsonsupply.com/collections/electricians-tools/products/klein-tools-et920-usb-digital-meter-usb-a-and-usb-c", "https://edmondsonsupply.com/collections/electricians-tools/products/klein-tools-et920-usb-digital-meter-usb-a-and-usb-c")</f>
        <v>https://edmondsonsupply.com/collections/electricians-tools/products/klein-tools-et920-usb-digital-meter-usb-a-and-usb-c</v>
      </c>
      <c r="B4741" s="3" t="str">
        <f>HYPERLINK("https://edmondsonsupply.com/products/klein-tools-et920-usb-digital-meter-usb-a-and-usb-c", "https://edmondsonsupply.com/products/klein-tools-et920-usb-digital-meter-usb-a-and-usb-c")</f>
        <v>https://edmondsonsupply.com/products/klein-tools-et920-usb-digital-meter-usb-a-and-usb-c</v>
      </c>
      <c r="C4741" t="s">
        <v>6471</v>
      </c>
      <c r="D4741" t="s">
        <v>9157</v>
      </c>
      <c r="E4741" s="3" t="str">
        <f>HYPERLINK("https://www.amazon.com/YOJOCK-Multimeter-Capacity-Voltmeter-Detector/dp/B0B99Z2GJK/ref=sr_1_4?keywords=Klein+Tools+ET920+USB+Digital+Meter%2C+USB-A+and+USB-C&amp;qid=1695174224&amp;sr=8-4", "https://www.amazon.com/YOJOCK-Multimeter-Capacity-Voltmeter-Detector/dp/B0B99Z2GJK/ref=sr_1_4?keywords=Klein+Tools+ET920+USB+Digital+Meter%2C+USB-A+and+USB-C&amp;qid=1695174224&amp;sr=8-4")</f>
        <v>https://www.amazon.com/YOJOCK-Multimeter-Capacity-Voltmeter-Detector/dp/B0B99Z2GJK/ref=sr_1_4?keywords=Klein+Tools+ET920+USB+Digital+Meter%2C+USB-A+and+USB-C&amp;qid=1695174224&amp;sr=8-4</v>
      </c>
      <c r="F4741" t="s">
        <v>9158</v>
      </c>
      <c r="G4741" t="e">
        <f ca="1">_xludf.IMAGE("https://edmondsonsupply.com/cdn/shop/products/et920.jpg?v=1642643803")</f>
        <v>#NAME?</v>
      </c>
      <c r="H4741" t="e">
        <f ca="1">_xludf.IMAGE("https://m.media-amazon.com/images/I/618dV4sHrLL._AC_UL320_.jpg")</f>
        <v>#NAME?</v>
      </c>
      <c r="I4741" t="s">
        <v>246</v>
      </c>
      <c r="J4741">
        <v>12.74</v>
      </c>
      <c r="K4741" s="4">
        <v>-0.68130000000000002</v>
      </c>
      <c r="L4741">
        <v>4.3</v>
      </c>
      <c r="M4741">
        <v>222</v>
      </c>
      <c r="O4741" t="s">
        <v>25</v>
      </c>
      <c r="P4741" t="s">
        <v>6474</v>
      </c>
      <c r="Q4741" t="s">
        <v>6475</v>
      </c>
    </row>
    <row r="4742" spans="1:17" ht="15.5" x14ac:dyDescent="0.35">
      <c r="A4742"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4742" s="3" t="str">
        <f>HYPERLINK("https://edmondsonsupply.com/products/klein-tools-65064-2-in-1-hex-head-screwdriver-1-4-5-16", "https://edmondsonsupply.com/products/klein-tools-65064-2-in-1-hex-head-screwdriver-1-4-5-16")</f>
        <v>https://edmondsonsupply.com/products/klein-tools-65064-2-in-1-hex-head-screwdriver-1-4-5-16</v>
      </c>
      <c r="C4742" t="s">
        <v>2093</v>
      </c>
      <c r="D4742" t="s">
        <v>5668</v>
      </c>
      <c r="E4742" s="3" t="str">
        <f>HYPERLINK("https://www.amazon.com/Klein-Tools-32483-Screwdriver-Phillips/dp/B000936PUC/ref=sr_1_10?keywords=Klein+Tools+65064+2-in-1+Nut+Driver%2C+Hex+Head%2C+1%2F4-Inch+and+5%2F16-Inch&amp;qid=1695173915&amp;sr=8-10", "https://www.amazon.com/Klein-Tools-32483-Screwdriver-Phillips/dp/B000936PUC/ref=sr_1_10?keywords=Klein+Tools+65064+2-in-1+Nut+Driver%2C+Hex+Head%2C+1%2F4-Inch+and+5%2F16-Inch&amp;qid=1695173915&amp;sr=8-10")</f>
        <v>https://www.amazon.com/Klein-Tools-32483-Screwdriver-Phillips/dp/B000936PUC/ref=sr_1_10?keywords=Klein+Tools+65064+2-in-1+Nut+Driver%2C+Hex+Head%2C+1%2F4-Inch+and+5%2F16-Inch&amp;qid=1695173915&amp;sr=8-10</v>
      </c>
      <c r="F4742" t="s">
        <v>5669</v>
      </c>
      <c r="G4742" t="e">
        <f ca="1">_xludf.IMAGE("https://edmondsonsupply.com/cdn/shop/products/65064.jpg?v=1587147719")</f>
        <v>#NAME?</v>
      </c>
      <c r="H4742" t="e">
        <f ca="1">_xludf.IMAGE("https://m.media-amazon.com/images/I/51KFiDupheL._AC_UL320_.jpg")</f>
        <v>#NAME?</v>
      </c>
      <c r="I4742" t="s">
        <v>143</v>
      </c>
      <c r="J4742">
        <v>4.99</v>
      </c>
      <c r="K4742" s="4">
        <v>-0.6875</v>
      </c>
      <c r="L4742">
        <v>4.7</v>
      </c>
      <c r="M4742">
        <v>4276</v>
      </c>
      <c r="O4742" t="s">
        <v>25</v>
      </c>
      <c r="P4742" t="s">
        <v>2096</v>
      </c>
      <c r="Q4742" t="s">
        <v>2097</v>
      </c>
    </row>
    <row r="4743" spans="1:17" ht="15.5" x14ac:dyDescent="0.35">
      <c r="A4743" s="3" t="str">
        <f>HYPERLINK("https://edmondsonsupply.com/collections/electricians-tools/products/klein-tools-635-6-nut-driver-set-magnetic-nut-drivers-heavy-duty-6-piece", "https://edmondsonsupply.com/collections/electricians-tools/products/klein-tools-635-6-nut-driver-set-magnetic-nut-drivers-heavy-duty-6-piece")</f>
        <v>https://edmondsonsupply.com/collections/electricians-tools/products/klein-tools-635-6-nut-driver-set-magnetic-nut-drivers-heavy-duty-6-piece</v>
      </c>
      <c r="B4743" s="3" t="str">
        <f>HYPERLINK("https://edmondsonsupply.com/products/klein-tools-635-6-nut-driver-set-magnetic-nut-drivers-heavy-duty-6-piece", "https://edmondsonsupply.com/products/klein-tools-635-6-nut-driver-set-magnetic-nut-drivers-heavy-duty-6-piece")</f>
        <v>https://edmondsonsupply.com/products/klein-tools-635-6-nut-driver-set-magnetic-nut-drivers-heavy-duty-6-piece</v>
      </c>
      <c r="C4743" t="s">
        <v>7877</v>
      </c>
      <c r="D4743" t="s">
        <v>1894</v>
      </c>
      <c r="E4743" s="3" t="str">
        <f>HYPERLINK("https://www.amazon.com/Magnetic-16-Inch-Klein-Tools-646M/dp/B000936QV0/ref=sr_1_4?keywords=Klein+Tools+635-6+Nut+Driver+Set%2C+Magnetic+Nut+Drivers%2C+Heavy+Duty%2C+6-Piece&amp;qid=1695174277&amp;sr=8-4", "https://www.amazon.com/Magnetic-16-Inch-Klein-Tools-646M/dp/B000936QV0/ref=sr_1_4?keywords=Klein+Tools+635-6+Nut+Driver+Set%2C+Magnetic+Nut+Drivers%2C+Heavy+Duty%2C+6-Piece&amp;qid=1695174277&amp;sr=8-4")</f>
        <v>https://www.amazon.com/Magnetic-16-Inch-Klein-Tools-646M/dp/B000936QV0/ref=sr_1_4?keywords=Klein+Tools+635-6+Nut+Driver+Set%2C+Magnetic+Nut+Drivers%2C+Heavy+Duty%2C+6-Piece&amp;qid=1695174277&amp;sr=8-4</v>
      </c>
      <c r="F4743" t="s">
        <v>1895</v>
      </c>
      <c r="G4743" t="e">
        <f ca="1">_xludf.IMAGE("https://edmondsonsupply.com/cdn/shop/products/635-6.jpg?v=1633031003")</f>
        <v>#NAME?</v>
      </c>
      <c r="H4743" t="e">
        <f ca="1">_xludf.IMAGE("https://m.media-amazon.com/images/I/41lkJ6KRq9L._AC_UL320_.jpg")</f>
        <v>#NAME?</v>
      </c>
      <c r="I4743" t="s">
        <v>300</v>
      </c>
      <c r="J4743">
        <v>24.99</v>
      </c>
      <c r="K4743" s="4">
        <v>-0.68759999999999999</v>
      </c>
      <c r="L4743">
        <v>4.8</v>
      </c>
      <c r="M4743">
        <v>1654</v>
      </c>
      <c r="O4743" t="s">
        <v>25</v>
      </c>
      <c r="P4743" t="s">
        <v>6296</v>
      </c>
      <c r="Q4743" t="s">
        <v>7878</v>
      </c>
    </row>
    <row r="4744" spans="1:17" ht="15.5" x14ac:dyDescent="0.35">
      <c r="A4744" s="3" t="str">
        <f>HYPERLINK("https://edmondsonsupply.com/collections/electricians-tools/products/klein-tools-50611-magnetic-wire-puller", "https://edmondsonsupply.com/collections/electricians-tools/products/klein-tools-50611-magnetic-wire-puller")</f>
        <v>https://edmondsonsupply.com/collections/electricians-tools/products/klein-tools-50611-magnetic-wire-puller</v>
      </c>
      <c r="B4744" s="3" t="str">
        <f>HYPERLINK("https://edmondsonsupply.com/products/klein-tools-50611-magnetic-wire-puller", "https://edmondsonsupply.com/products/klein-tools-50611-magnetic-wire-puller")</f>
        <v>https://edmondsonsupply.com/products/klein-tools-50611-magnetic-wire-puller</v>
      </c>
      <c r="C4744" t="s">
        <v>7886</v>
      </c>
      <c r="D4744" t="s">
        <v>8632</v>
      </c>
      <c r="E4744" s="3" t="str">
        <f>HYPERLINK("https://www.amazon.com/Klein-Tools-50611ML-Replacement-Stainless-Steel/dp/B09C6RH3Z9/ref=sr_1_2?keywords=Klein+Tools+50611+Magnetic+Wire+Puller&amp;qid=1695174156&amp;sr=8-2", "https://www.amazon.com/Klein-Tools-50611ML-Replacement-Stainless-Steel/dp/B09C6RH3Z9/ref=sr_1_2?keywords=Klein+Tools+50611+Magnetic+Wire+Puller&amp;qid=1695174156&amp;sr=8-2")</f>
        <v>https://www.amazon.com/Klein-Tools-50611ML-Replacement-Stainless-Steel/dp/B09C6RH3Z9/ref=sr_1_2?keywords=Klein+Tools+50611+Magnetic+Wire+Puller&amp;qid=1695174156&amp;sr=8-2</v>
      </c>
      <c r="F4744" t="s">
        <v>8633</v>
      </c>
      <c r="G4744" t="e">
        <f ca="1">_xludf.IMAGE("https://edmondsonsupply.com/cdn/shop/products/50611.jpg?v=1663951524")</f>
        <v>#NAME?</v>
      </c>
      <c r="H4744" t="e">
        <f ca="1">_xludf.IMAGE("https://m.media-amazon.com/images/I/31ni9F4mVRL._AC_UL320_.jpg")</f>
        <v>#NAME?</v>
      </c>
      <c r="I4744" t="s">
        <v>356</v>
      </c>
      <c r="J4744">
        <v>21.61</v>
      </c>
      <c r="K4744" s="4">
        <v>-0.69120000000000004</v>
      </c>
      <c r="L4744">
        <v>4</v>
      </c>
      <c r="M4744">
        <v>8</v>
      </c>
      <c r="O4744" t="s">
        <v>25</v>
      </c>
      <c r="P4744" t="s">
        <v>5007</v>
      </c>
      <c r="Q4744" t="s">
        <v>7887</v>
      </c>
    </row>
    <row r="4745" spans="1:17" ht="15.5" x14ac:dyDescent="0.35">
      <c r="A4745" s="3" t="str">
        <f>HYPERLINK("https://edmondsonsupply.com/collections/electricians-tools/products/fluke-80pk-1-bead-probe", "https://edmondsonsupply.com/collections/electricians-tools/products/fluke-80pk-1-bead-probe")</f>
        <v>https://edmondsonsupply.com/collections/electricians-tools/products/fluke-80pk-1-bead-probe</v>
      </c>
      <c r="B4745" s="3" t="str">
        <f>HYPERLINK("https://edmondsonsupply.com/products/fluke-80pk-1-bead-probe", "https://edmondsonsupply.com/products/fluke-80pk-1-bead-probe")</f>
        <v>https://edmondsonsupply.com/products/fluke-80pk-1-bead-probe</v>
      </c>
      <c r="C4745" t="s">
        <v>8672</v>
      </c>
      <c r="D4745" t="s">
        <v>9101</v>
      </c>
      <c r="E4745" s="3"/>
      <c r="F4745" t="s">
        <v>9102</v>
      </c>
      <c r="G4745" t="e">
        <f ca="1">_xludf.IMAGE("https://edmondsonsupply.com/cdn/shop/products/80pk-1a.png?v=1633466414")</f>
        <v>#NAME?</v>
      </c>
      <c r="H4745" t="e">
        <f ca="1">_xludf.IMAGE("https://m.media-amazon.com/images/I/61W04cxOQhL._AC_UY218_.jpg")</f>
        <v>#NAME?</v>
      </c>
      <c r="I4745" t="s">
        <v>1765</v>
      </c>
      <c r="J4745">
        <v>17.579999999999998</v>
      </c>
      <c r="K4745" s="4">
        <v>-0.6915</v>
      </c>
      <c r="L4745">
        <v>4.7</v>
      </c>
      <c r="M4745">
        <v>28</v>
      </c>
      <c r="O4745" t="s">
        <v>25</v>
      </c>
      <c r="P4745" t="s">
        <v>905</v>
      </c>
      <c r="Q4745" t="s">
        <v>8675</v>
      </c>
    </row>
    <row r="4746" spans="1:17" ht="15.5" x14ac:dyDescent="0.35">
      <c r="A4746" s="3" t="str">
        <f>HYPERLINK("https://edmondsonsupply.com/collections/electricians-tools/products/fluke-80pk-1-bead-probe", "https://edmondsonsupply.com/collections/electricians-tools/products/fluke-80pk-1-bead-probe")</f>
        <v>https://edmondsonsupply.com/collections/electricians-tools/products/fluke-80pk-1-bead-probe</v>
      </c>
      <c r="B4746" s="3" t="str">
        <f>HYPERLINK("https://edmondsonsupply.com/products/fluke-80pk-1-bead-probe", "https://edmondsonsupply.com/products/fluke-80pk-1-bead-probe")</f>
        <v>https://edmondsonsupply.com/products/fluke-80pk-1-bead-probe</v>
      </c>
      <c r="C4746" t="s">
        <v>8672</v>
      </c>
      <c r="D4746" t="s">
        <v>9099</v>
      </c>
      <c r="E4746" s="3" t="str">
        <f>HYPERLINK("https://www.amazon.com/Thermocouple-Temperature-Probe-Clamp-80BK/dp/B07JVYZST8/ref=sr_1_6?keywords=Fluke+80PK-1+Bead+Probe&amp;qid=1695174239&amp;sr=8-6", "https://www.amazon.com/Thermocouple-Temperature-Probe-Clamp-80BK/dp/B07JVYZST8/ref=sr_1_6?keywords=Fluke+80PK-1+Bead+Probe&amp;qid=1695174239&amp;sr=8-6")</f>
        <v>https://www.amazon.com/Thermocouple-Temperature-Probe-Clamp-80BK/dp/B07JVYZST8/ref=sr_1_6?keywords=Fluke+80PK-1+Bead+Probe&amp;qid=1695174239&amp;sr=8-6</v>
      </c>
      <c r="F4746" t="s">
        <v>9100</v>
      </c>
      <c r="G4746" t="e">
        <f ca="1">_xludf.IMAGE("https://edmondsonsupply.com/cdn/shop/products/80pk-1a.png?v=1633466414")</f>
        <v>#NAME?</v>
      </c>
      <c r="H4746" t="e">
        <f ca="1">_xludf.IMAGE("https://m.media-amazon.com/images/I/51hF6ZaqGWL._AC_UY218_.jpg")</f>
        <v>#NAME?</v>
      </c>
      <c r="I4746" t="s">
        <v>1765</v>
      </c>
      <c r="J4746">
        <v>17.579999999999998</v>
      </c>
      <c r="K4746" s="4">
        <v>-0.6915</v>
      </c>
      <c r="L4746">
        <v>4.5</v>
      </c>
      <c r="M4746">
        <v>213</v>
      </c>
      <c r="O4746" t="s">
        <v>25</v>
      </c>
      <c r="P4746" t="s">
        <v>905</v>
      </c>
      <c r="Q4746" t="s">
        <v>8675</v>
      </c>
    </row>
    <row r="4747" spans="1:17" ht="15.5" x14ac:dyDescent="0.35">
      <c r="A4747"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4747"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4747" t="s">
        <v>6718</v>
      </c>
      <c r="D4747" t="s">
        <v>9159</v>
      </c>
      <c r="E4747" s="3" t="str">
        <f>HYPERLINK("https://www.amazon.com/Eichxo-48-59-1812-Compatible-48-11-2420-48-11-2440/dp/B089NGH7NS/ref=sr_1_3?keywords=Milwaukee+48-59-1812+M18%E2%84%A2+%26+M12%E2%84%A2+Multi-Voltage+Charger&amp;qid=1695174184&amp;sr=8-3", "https://www.amazon.com/Eichxo-48-59-1812-Compatible-48-11-2420-48-11-2440/dp/B089NGH7NS/ref=sr_1_3?keywords=Milwaukee+48-59-1812+M18%E2%84%A2+%26+M12%E2%84%A2+Multi-Voltage+Charger&amp;qid=1695174184&amp;sr=8-3")</f>
        <v>https://www.amazon.com/Eichxo-48-59-1812-Compatible-48-11-2420-48-11-2440/dp/B089NGH7NS/ref=sr_1_3?keywords=Milwaukee+48-59-1812+M18%E2%84%A2+%26+M12%E2%84%A2+Multi-Voltage+Charger&amp;qid=1695174184&amp;sr=8-3</v>
      </c>
      <c r="F4747" t="s">
        <v>9160</v>
      </c>
      <c r="G4747" t="e">
        <f ca="1">_xludf.IMAGE("https://edmondsonsupply.com/cdn/shop/products/60113_48-59-1812_3-lg.webp?v=1656530513")</f>
        <v>#NAME?</v>
      </c>
      <c r="H4747" t="e">
        <f ca="1">_xludf.IMAGE("https://m.media-amazon.com/images/I/71V0OaVfJ8L._AC_UL320_.jpg")</f>
        <v>#NAME?</v>
      </c>
      <c r="I4747" t="s">
        <v>4741</v>
      </c>
      <c r="J4747">
        <v>23.99</v>
      </c>
      <c r="K4747" s="4">
        <v>-0.69630000000000003</v>
      </c>
      <c r="L4747">
        <v>4.5999999999999996</v>
      </c>
      <c r="M4747">
        <v>74</v>
      </c>
      <c r="O4747" t="s">
        <v>25</v>
      </c>
      <c r="P4747" t="s">
        <v>6721</v>
      </c>
      <c r="Q4747" t="s">
        <v>6722</v>
      </c>
    </row>
    <row r="4748" spans="1:17" ht="15.5" x14ac:dyDescent="0.35">
      <c r="A4748"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4748" s="3" t="str">
        <f>HYPERLINK("https://edmondsonsupply.com/products/klein-tools-66070-flip-impact-socket-set-7-piece", "https://edmondsonsupply.com/products/klein-tools-66070-flip-impact-socket-set-7-piece")</f>
        <v>https://edmondsonsupply.com/products/klein-tools-66070-flip-impact-socket-set-7-piece</v>
      </c>
      <c r="C4748" t="s">
        <v>6659</v>
      </c>
      <c r="D4748" t="s">
        <v>6621</v>
      </c>
      <c r="E4748" s="3" t="str">
        <f>HYPERLINK("https://www.amazon.com/16-Inch-Drivers-Klein-Tools-32768/dp/B09Q52LQ5G/ref=sr_1_4?keywords=Klein+Tools+66070+Flip+Impact+Socket+Set%2C+7-Piece&amp;qid=1695173845&amp;sr=8-4", "https://www.amazon.com/16-Inch-Drivers-Klein-Tools-32768/dp/B09Q52LQ5G/ref=sr_1_4?keywords=Klein+Tools+66070+Flip+Impact+Socket+Set%2C+7-Piece&amp;qid=1695173845&amp;sr=8-4")</f>
        <v>https://www.amazon.com/16-Inch-Drivers-Klein-Tools-32768/dp/B09Q52LQ5G/ref=sr_1_4?keywords=Klein+Tools+66070+Flip+Impact+Socket+Set%2C+7-Piece&amp;qid=1695173845&amp;sr=8-4</v>
      </c>
      <c r="F4748" t="s">
        <v>6622</v>
      </c>
      <c r="G4748" t="e">
        <f ca="1">_xludf.IMAGE("https://edmondsonsupply.com/cdn/shop/products/66070_b.jpg?v=1663251434")</f>
        <v>#NAME?</v>
      </c>
      <c r="H4748" t="e">
        <f ca="1">_xludf.IMAGE("https://m.media-amazon.com/images/I/51WsqEdVfRL._AC_UL320_.jpg")</f>
        <v>#NAME?</v>
      </c>
      <c r="I4748" t="s">
        <v>380</v>
      </c>
      <c r="J4748">
        <v>14.95</v>
      </c>
      <c r="K4748" s="4">
        <v>-0.70079999999999998</v>
      </c>
      <c r="L4748">
        <v>4.4000000000000004</v>
      </c>
      <c r="M4748">
        <v>1288</v>
      </c>
      <c r="O4748" t="s">
        <v>25</v>
      </c>
      <c r="P4748" t="s">
        <v>1114</v>
      </c>
      <c r="Q4748" t="s">
        <v>6662</v>
      </c>
    </row>
    <row r="4749" spans="1:17" ht="15.5" x14ac:dyDescent="0.35">
      <c r="A4749"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4749"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4749" t="s">
        <v>9080</v>
      </c>
      <c r="D4749" t="s">
        <v>9161</v>
      </c>
      <c r="E4749" s="3" t="str">
        <f>HYPERLINK("https://www.amazon.com/Biswaye-48-11-2402-48-11-2401-48-11-2420-48-11-2411/dp/B07C7S59HN/ref=sr_1_2?keywords=Milwaukee+48-11-2412+M12+REDLITHIUM%E2%84%A2+XC+Battery+Two+Pack&amp;qid=1695174210&amp;sr=8-2", "https://www.amazon.com/Biswaye-48-11-2402-48-11-2401-48-11-2420-48-11-2411/dp/B07C7S59HN/ref=sr_1_2?keywords=Milwaukee+48-11-2412+M12+REDLITHIUM%E2%84%A2+XC+Battery+Two+Pack&amp;qid=1695174210&amp;sr=8-2")</f>
        <v>https://www.amazon.com/Biswaye-48-11-2402-48-11-2401-48-11-2420-48-11-2411/dp/B07C7S59HN/ref=sr_1_2?keywords=Milwaukee+48-11-2412+M12+REDLITHIUM%E2%84%A2+XC+Battery+Two+Pack&amp;qid=1695174210&amp;sr=8-2</v>
      </c>
      <c r="F4749" t="s">
        <v>9162</v>
      </c>
      <c r="G4749" t="e">
        <f ca="1">_xludf.IMAGE("https://edmondsonsupply.com/cdn/shop/products/48-11-2412.jpg?v=1654795924")</f>
        <v>#NAME?</v>
      </c>
      <c r="H4749" t="e">
        <f ca="1">_xludf.IMAGE("https://m.media-amazon.com/images/I/61-b7UVQ5eL._AC_UL320_.jpg")</f>
        <v>#NAME?</v>
      </c>
      <c r="I4749" t="s">
        <v>739</v>
      </c>
      <c r="J4749">
        <v>37.99</v>
      </c>
      <c r="K4749" s="4">
        <v>-0.70550000000000002</v>
      </c>
      <c r="L4749">
        <v>4.5</v>
      </c>
      <c r="M4749">
        <v>470</v>
      </c>
      <c r="O4749" t="s">
        <v>25</v>
      </c>
      <c r="P4749" t="s">
        <v>9083</v>
      </c>
      <c r="Q4749" t="s">
        <v>9084</v>
      </c>
    </row>
    <row r="4750" spans="1:17" ht="15.5" x14ac:dyDescent="0.35">
      <c r="A4750"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4750" s="3" t="str">
        <f>HYPERLINK("https://edmondsonsupply.com/products/veto-pro-pac-tp-xxl-tool-pouch", "https://edmondsonsupply.com/products/veto-pro-pac-tp-xxl-tool-pouch")</f>
        <v>https://edmondsonsupply.com/products/veto-pro-pac-tp-xxl-tool-pouch</v>
      </c>
      <c r="C4750" t="s">
        <v>451</v>
      </c>
      <c r="D4750" t="s">
        <v>730</v>
      </c>
      <c r="E4750" s="3" t="str">
        <f>HYPERLINK("https://www.amazon.com/Veto-Pro-Pac-MB-Pouch/dp/B008471S4I/ref=sr_1_8?keywords=Veto+Pro+Pac+TP-XXL+Tool+Pouch&amp;qid=1695173851&amp;sr=8-8", "https://www.amazon.com/Veto-Pro-Pac-MB-Pouch/dp/B008471S4I/ref=sr_1_8?keywords=Veto+Pro+Pac+TP-XXL+Tool+Pouch&amp;qid=1695173851&amp;sr=8-8")</f>
        <v>https://www.amazon.com/Veto-Pro-Pac-MB-Pouch/dp/B008471S4I/ref=sr_1_8?keywords=Veto+Pro+Pac+TP-XXL+Tool+Pouch&amp;qid=1695173851&amp;sr=8-8</v>
      </c>
      <c r="F4750" t="s">
        <v>731</v>
      </c>
      <c r="G4750" t="e">
        <f ca="1">_xludf.IMAGE("https://edmondsonsupply.com/cdn/shop/products/01_TP-XXL.jpg?v=1633031173")</f>
        <v>#NAME?</v>
      </c>
      <c r="H4750" t="e">
        <f ca="1">_xludf.IMAGE("https://m.media-amazon.com/images/I/91BzQgD8ZJL._AC_UL320_.jpg")</f>
        <v>#NAME?</v>
      </c>
      <c r="I4750" t="s">
        <v>454</v>
      </c>
      <c r="J4750">
        <v>59.95</v>
      </c>
      <c r="K4750" s="4">
        <v>-0.71450000000000002</v>
      </c>
      <c r="L4750">
        <v>4.8</v>
      </c>
      <c r="M4750">
        <v>544</v>
      </c>
      <c r="O4750" t="s">
        <v>25</v>
      </c>
      <c r="P4750" t="s">
        <v>138</v>
      </c>
      <c r="Q4750" t="s">
        <v>455</v>
      </c>
    </row>
    <row r="4751" spans="1:17" ht="15.5" x14ac:dyDescent="0.35">
      <c r="A4751"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4751" s="3" t="str">
        <f>HYPERLINK("https://edmondsonsupply.com/products/klein-tools-935dagl-digital-level-with-programmable-angles", "https://edmondsonsupply.com/products/klein-tools-935dagl-digital-level-with-programmable-angles")</f>
        <v>https://edmondsonsupply.com/products/klein-tools-935dagl-digital-level-with-programmable-angles</v>
      </c>
      <c r="C4751" t="s">
        <v>7122</v>
      </c>
      <c r="D4751" t="s">
        <v>9163</v>
      </c>
      <c r="E4751" s="3" t="str">
        <f>HYPERLINK("https://www.amazon.com/Tourmate-Storage-Compatible-935DAGL-Digital/dp/B0BMFXM5QG/ref=sr_1_8?keywords=Klein+Tools+935DAGL+Digital+Level+with+Programmable+Angles&amp;qid=1695174178&amp;sr=8-8", "https://www.amazon.com/Tourmate-Storage-Compatible-935DAGL-Digital/dp/B0BMFXM5QG/ref=sr_1_8?keywords=Klein+Tools+935DAGL+Digital+Level+with+Programmable+Angles&amp;qid=1695174178&amp;sr=8-8")</f>
        <v>https://www.amazon.com/Tourmate-Storage-Compatible-935DAGL-Digital/dp/B0BMFXM5QG/ref=sr_1_8?keywords=Klein+Tools+935DAGL+Digital+Level+with+Programmable+Angles&amp;qid=1695174178&amp;sr=8-8</v>
      </c>
      <c r="F4751" t="s">
        <v>9164</v>
      </c>
      <c r="G4751" t="e">
        <f ca="1">_xludf.IMAGE("https://edmondsonsupply.com/cdn/shop/products/935dagl.jpg?v=1660749694")</f>
        <v>#NAME?</v>
      </c>
      <c r="H4751" t="e">
        <f ca="1">_xludf.IMAGE("https://m.media-amazon.com/images/I/814-6FvomjL._AC_UL320_.jpg")</f>
        <v>#NAME?</v>
      </c>
      <c r="I4751" t="s">
        <v>5197</v>
      </c>
      <c r="J4751">
        <v>16.989999999999998</v>
      </c>
      <c r="K4751" s="4">
        <v>-0.7167</v>
      </c>
      <c r="L4751">
        <v>5</v>
      </c>
      <c r="M4751">
        <v>1</v>
      </c>
      <c r="O4751" t="s">
        <v>25</v>
      </c>
      <c r="P4751" t="s">
        <v>7123</v>
      </c>
      <c r="Q4751" t="s">
        <v>7124</v>
      </c>
    </row>
    <row r="4752" spans="1:17" ht="15.5" x14ac:dyDescent="0.35">
      <c r="A4752"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4752" s="3" t="str">
        <f>HYPERLINK("https://edmondsonsupply.com/products/klein-tools-935dagl-digital-level-with-programmable-angles", "https://edmondsonsupply.com/products/klein-tools-935dagl-digital-level-with-programmable-angles")</f>
        <v>https://edmondsonsupply.com/products/klein-tools-935dagl-digital-level-with-programmable-angles</v>
      </c>
      <c r="C4752" t="s">
        <v>7122</v>
      </c>
      <c r="D4752" t="s">
        <v>9165</v>
      </c>
      <c r="E4752" s="3" t="str">
        <f>HYPERLINK("https://www.amazon.com/Aenllosi-Carrying-Compatible-935DAGL-Digital/dp/B092PRLB35/ref=sr_1_9?keywords=Klein+Tools+935DAGL+Digital+Level+with+Programmable+Angles&amp;qid=1695174178&amp;sr=8-9", "https://www.amazon.com/Aenllosi-Carrying-Compatible-935DAGL-Digital/dp/B092PRLB35/ref=sr_1_9?keywords=Klein+Tools+935DAGL+Digital+Level+with+Programmable+Angles&amp;qid=1695174178&amp;sr=8-9")</f>
        <v>https://www.amazon.com/Aenllosi-Carrying-Compatible-935DAGL-Digital/dp/B092PRLB35/ref=sr_1_9?keywords=Klein+Tools+935DAGL+Digital+Level+with+Programmable+Angles&amp;qid=1695174178&amp;sr=8-9</v>
      </c>
      <c r="F4752" t="s">
        <v>9166</v>
      </c>
      <c r="G4752" t="e">
        <f ca="1">_xludf.IMAGE("https://edmondsonsupply.com/cdn/shop/products/935dagl.jpg?v=1660749694")</f>
        <v>#NAME?</v>
      </c>
      <c r="H4752" t="e">
        <f ca="1">_xludf.IMAGE("https://m.media-amazon.com/images/I/81AX7yjEwxL._AC_UL320_.jpg")</f>
        <v>#NAME?</v>
      </c>
      <c r="I4752" t="s">
        <v>5197</v>
      </c>
      <c r="J4752">
        <v>16.989999999999998</v>
      </c>
      <c r="K4752" s="4">
        <v>-0.7167</v>
      </c>
      <c r="L4752">
        <v>4.5999999999999996</v>
      </c>
      <c r="M4752">
        <v>531</v>
      </c>
      <c r="O4752" t="s">
        <v>25</v>
      </c>
      <c r="P4752" t="s">
        <v>7123</v>
      </c>
      <c r="Q4752" t="s">
        <v>7124</v>
      </c>
    </row>
    <row r="4753" spans="1:17" ht="15.5" x14ac:dyDescent="0.35">
      <c r="A4753" s="3" t="str">
        <f>HYPERLINK("https://edmondsonsupply.com/collections/electricians-tools/products/klein-tools-ktsb15-step-drill-bit-15-double-fluted-7-8-to-1-3-8-inch", "https://edmondsonsupply.com/collections/electricians-tools/products/klein-tools-ktsb15-step-drill-bit-15-double-fluted-7-8-to-1-3-8-inch")</f>
        <v>https://edmondsonsupply.com/collections/electricians-tools/products/klein-tools-ktsb15-step-drill-bit-15-double-fluted-7-8-to-1-3-8-inch</v>
      </c>
      <c r="B4753" s="3" t="str">
        <f>HYPERLINK("https://edmondsonsupply.com/products/klein-tools-ktsb15-step-drill-bit-15-double-fluted-7-8-to-1-3-8-inch", "https://edmondsonsupply.com/products/klein-tools-ktsb15-step-drill-bit-15-double-fluted-7-8-to-1-3-8-inch")</f>
        <v>https://edmondsonsupply.com/products/klein-tools-ktsb15-step-drill-bit-15-double-fluted-7-8-to-1-3-8-inch</v>
      </c>
      <c r="C4753" t="s">
        <v>8694</v>
      </c>
      <c r="D4753" t="s">
        <v>8994</v>
      </c>
      <c r="E4753" s="3" t="str">
        <f>HYPERLINK("https://www.amazon.com/Jerax-tools-Straight-Stainless-highlighted/dp/B094VN88HK/ref=sr_1_8?keywords=Klein+Tools+KTSB15+Step+Drill+Bit&amp;qid=1695174298&amp;sr=8-8", "https://www.amazon.com/Jerax-tools-Straight-Stainless-highlighted/dp/B094VN88HK/ref=sr_1_8?keywords=Klein+Tools+KTSB15+Step+Drill+Bit&amp;qid=1695174298&amp;sr=8-8")</f>
        <v>https://www.amazon.com/Jerax-tools-Straight-Stainless-highlighted/dp/B094VN88HK/ref=sr_1_8?keywords=Klein+Tools+KTSB15+Step+Drill+Bit&amp;qid=1695174298&amp;sr=8-8</v>
      </c>
      <c r="F4753" t="s">
        <v>8995</v>
      </c>
      <c r="G4753" t="e">
        <f ca="1">_xludf.IMAGE("https://edmondsonsupply.com/cdn/shop/products/ktsb15.jpg?v=1633030886")</f>
        <v>#NAME?</v>
      </c>
      <c r="H4753" t="e">
        <f ca="1">_xludf.IMAGE("https://m.media-amazon.com/images/I/61uPaRTO-SL._AC_UY218_.jpg")</f>
        <v>#NAME?</v>
      </c>
      <c r="I4753" t="s">
        <v>5197</v>
      </c>
      <c r="J4753">
        <v>16.95</v>
      </c>
      <c r="K4753" s="4">
        <v>-0.71740000000000004</v>
      </c>
      <c r="L4753">
        <v>4.5</v>
      </c>
      <c r="M4753">
        <v>713</v>
      </c>
      <c r="O4753" t="s">
        <v>25</v>
      </c>
      <c r="P4753" t="s">
        <v>8697</v>
      </c>
      <c r="Q4753" t="s">
        <v>8698</v>
      </c>
    </row>
    <row r="4754" spans="1:17" ht="15.5" x14ac:dyDescent="0.35">
      <c r="A4754"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4754" s="3" t="str">
        <f>HYPERLINK("https://edmondsonsupply.com/products/diablo-tools-dmapl2530-1-in-x-16-in-x-18-in-sds-plus-2-cutter", "https://edmondsonsupply.com/products/diablo-tools-dmapl2530-1-in-x-16-in-x-18-in-sds-plus-2-cutter")</f>
        <v>https://edmondsonsupply.com/products/diablo-tools-dmapl2530-1-in-x-16-in-x-18-in-sds-plus-2-cutter</v>
      </c>
      <c r="C4754" t="s">
        <v>7435</v>
      </c>
      <c r="D4754" t="s">
        <v>9167</v>
      </c>
      <c r="E4754" s="3" t="str">
        <f>HYPERLINK("https://www.amazon.com/Diablo-DMAPL2170-16-SDS-Plus-2-Cutter/dp/B089LGDL7F/ref=sr_1_2?keywords=Diablo+Tools+DMAPL2530+1+in.+x+16+in.+x+18+in.+SDS-Plus+2-Cutter&amp;qid=1695174263&amp;sr=8-2", "https://www.amazon.com/Diablo-DMAPL2170-16-SDS-Plus-2-Cutter/dp/B089LGDL7F/ref=sr_1_2?keywords=Diablo+Tools+DMAPL2530+1+in.+x+16+in.+x+18+in.+SDS-Plus+2-Cutter&amp;qid=1695174263&amp;sr=8-2")</f>
        <v>https://www.amazon.com/Diablo-DMAPL2170-16-SDS-Plus-2-Cutter/dp/B089LGDL7F/ref=sr_1_2?keywords=Diablo+Tools+DMAPL2530+1+in.+x+16+in.+x+18+in.+SDS-Plus+2-Cutter&amp;qid=1695174263&amp;sr=8-2</v>
      </c>
      <c r="F4754" t="s">
        <v>9168</v>
      </c>
      <c r="G4754" t="e">
        <f ca="1">_xludf.IMAGE("https://edmondsonsupply.com/cdn/shop/products/DMAPL2530_Main-Image20200703.png?v=1627068300")</f>
        <v>#NAME?</v>
      </c>
      <c r="H4754" t="e">
        <f ca="1">_xludf.IMAGE("https://m.media-amazon.com/images/I/61cUBcEwKHL._AC_UL320_.jpg")</f>
        <v>#NAME?</v>
      </c>
      <c r="I4754" t="s">
        <v>7436</v>
      </c>
      <c r="J4754">
        <v>10.94</v>
      </c>
      <c r="K4754" s="4">
        <v>-0.71930000000000005</v>
      </c>
      <c r="L4754">
        <v>4.7</v>
      </c>
      <c r="M4754">
        <v>15</v>
      </c>
      <c r="O4754" t="s">
        <v>25</v>
      </c>
      <c r="P4754" t="s">
        <v>7437</v>
      </c>
      <c r="Q4754" t="s">
        <v>7438</v>
      </c>
    </row>
    <row r="4755" spans="1:17" ht="15.5" x14ac:dyDescent="0.35">
      <c r="A4755" s="3" t="str">
        <f>HYPERLINK("https://edmondsonsupply.com/collections/electricians-tools/products/pipe-vise-apw14-14-aluminum-pipe-wrench", "https://edmondsonsupply.com/collections/electricians-tools/products/pipe-vise-apw14-14-aluminum-pipe-wrench")</f>
        <v>https://edmondsonsupply.com/collections/electricians-tools/products/pipe-vise-apw14-14-aluminum-pipe-wrench</v>
      </c>
      <c r="B4755" s="3" t="str">
        <f>HYPERLINK("https://edmondsonsupply.com/products/pipe-vise-apw14-14-aluminum-pipe-wrench", "https://edmondsonsupply.com/products/pipe-vise-apw14-14-aluminum-pipe-wrench")</f>
        <v>https://edmondsonsupply.com/products/pipe-vise-apw14-14-aluminum-pipe-wrench</v>
      </c>
      <c r="C4755" t="s">
        <v>9169</v>
      </c>
      <c r="D4755" t="s">
        <v>9170</v>
      </c>
      <c r="E4755" s="3" t="str">
        <f>HYPERLINK("https://www.amazon.com/Aluminum-Wrench-Heavy-Forge-Plumbing/dp/B071DKXWNL/ref=sr_1_4?keywords=Pipe+Vise+APW14+14%22+HD+Aluminum+Pipe+Wrench&amp;qid=1695174037&amp;sr=8-4", "https://www.amazon.com/Aluminum-Wrench-Heavy-Forge-Plumbing/dp/B071DKXWNL/ref=sr_1_4?keywords=Pipe+Vise+APW14+14%22+HD+Aluminum+Pipe+Wrench&amp;qid=1695174037&amp;sr=8-4")</f>
        <v>https://www.amazon.com/Aluminum-Wrench-Heavy-Forge-Plumbing/dp/B071DKXWNL/ref=sr_1_4?keywords=Pipe+Vise+APW14+14%22+HD+Aluminum+Pipe+Wrench&amp;qid=1695174037&amp;sr=8-4</v>
      </c>
      <c r="F4755" t="s">
        <v>9171</v>
      </c>
      <c r="G4755" t="e">
        <f ca="1">_xludf.IMAGE("https://edmondsonsupply.com/cdn/shop/products/APW14.png?v=1681257860")</f>
        <v>#NAME?</v>
      </c>
      <c r="H4755" t="e">
        <f ca="1">_xludf.IMAGE("https://m.media-amazon.com/images/I/41KV0UI8SdL._AC_UL320_.jpg")</f>
        <v>#NAME?</v>
      </c>
      <c r="I4755" t="s">
        <v>9172</v>
      </c>
      <c r="J4755">
        <v>18.95</v>
      </c>
      <c r="K4755" s="4">
        <v>-0.72929999999999995</v>
      </c>
      <c r="L4755">
        <v>4.4000000000000004</v>
      </c>
      <c r="M4755">
        <v>76</v>
      </c>
      <c r="O4755" t="s">
        <v>25</v>
      </c>
      <c r="P4755" t="s">
        <v>138</v>
      </c>
      <c r="Q4755" t="s">
        <v>9173</v>
      </c>
    </row>
    <row r="4756" spans="1:17" ht="15.5" x14ac:dyDescent="0.35">
      <c r="A4756" s="3" t="str">
        <f>HYPERLINK("https://edmondsonsupply.com/collections/electricians-tools/products/diablo-tools-dou125cgp10-1-1-4-in-universal-fit-carbide-oscillating-blade-for-general-purpose-cuts", "https://edmondsonsupply.com/collections/electricians-tools/products/diablo-tools-dou125cgp10-1-1-4-in-universal-fit-carbide-oscillating-blade-for-general-purpose-cuts")</f>
        <v>https://edmondsonsupply.com/collections/electricians-tools/products/diablo-tools-dou125cgp10-1-1-4-in-universal-fit-carbide-oscillating-blade-for-general-purpose-cuts</v>
      </c>
      <c r="B4756" s="3" t="str">
        <f>HYPERLINK("https://edmondsonsupply.com/products/diablo-tools-dou125cgp10-1-1-4-in-universal-fit-carbide-oscillating-blade-for-general-purpose-cuts", "https://edmondsonsupply.com/products/diablo-tools-dou125cgp10-1-1-4-in-universal-fit-carbide-oscillating-blade-for-general-purpose-cuts")</f>
        <v>https://edmondsonsupply.com/products/diablo-tools-dou125cgp10-1-1-4-in-universal-fit-carbide-oscillating-blade-for-general-purpose-cuts</v>
      </c>
      <c r="C4756" t="s">
        <v>9174</v>
      </c>
      <c r="D4756" t="s">
        <v>5887</v>
      </c>
      <c r="E4756" s="3" t="str">
        <f>HYPERLINK("https://www.amazon.com/Diablo-Freud-DOU125CGP3-Universal-Oscillating/dp/B089KW6C8Q/ref=sr_1_2?keywords=Diablo+Tools+DOU125CGP10+1-1%2F4+in.+Universal+Fit+Carbide+Oscillating+Blade+for+General+Purpose+Cuts+%2810+pk%29&amp;qid=1695174065&amp;sr=8-2", "https://www.amazon.com/Diablo-Freud-DOU125CGP3-Universal-Oscillating/dp/B089KW6C8Q/ref=sr_1_2?keywords=Diablo+Tools+DOU125CGP10+1-1%2F4+in.+Universal+Fit+Carbide+Oscillating+Blade+for+General+Purpose+Cuts+%2810+pk%29&amp;qid=1695174065&amp;sr=8-2")</f>
        <v>https://www.amazon.com/Diablo-Freud-DOU125CGP3-Universal-Oscillating/dp/B089KW6C8Q/ref=sr_1_2?keywords=Diablo+Tools+DOU125CGP10+1-1%2F4+in.+Universal+Fit+Carbide+Oscillating+Blade+for+General+Purpose+Cuts+%2810+pk%29&amp;qid=1695174065&amp;sr=8-2</v>
      </c>
      <c r="F4756" t="s">
        <v>5888</v>
      </c>
      <c r="G4756" t="e">
        <f ca="1">_xludf.IMAGE("https://edmondsonsupply.com/cdn/shop/products/htobgrjt150mygkkk6to.webp?v=1677258458")</f>
        <v>#NAME?</v>
      </c>
      <c r="H4756" t="e">
        <f ca="1">_xludf.IMAGE("https://m.media-amazon.com/images/I/71lNEMXVnHL._AC_UL320_.jpg")</f>
        <v>#NAME?</v>
      </c>
      <c r="I4756" t="s">
        <v>8435</v>
      </c>
      <c r="J4756">
        <v>27.99</v>
      </c>
      <c r="K4756" s="4">
        <v>-0.73340000000000005</v>
      </c>
      <c r="L4756">
        <v>4.5</v>
      </c>
      <c r="M4756">
        <v>139</v>
      </c>
      <c r="O4756" t="s">
        <v>171</v>
      </c>
      <c r="P4756" t="s">
        <v>9175</v>
      </c>
      <c r="Q4756" t="s">
        <v>9176</v>
      </c>
    </row>
    <row r="4757" spans="1:17" ht="15.5" x14ac:dyDescent="0.35">
      <c r="A4757"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4757"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4757" t="s">
        <v>6824</v>
      </c>
      <c r="D4757" t="s">
        <v>7961</v>
      </c>
      <c r="E4757" s="3" t="str">
        <f>HYPERLINK("https://www.amazon.com/Klein-Tools-ET310TRANS-Replacement-Transmitter/dp/B0B6PZ31KW/ref=sr_1_3?keywords=Klein+Tools+ET310+Digital+Circuit+Breaker+Finder+with+GFCI+Outlet+Tester&amp;qid=1695173862&amp;sr=8-3", "https://www.amazon.com/Klein-Tools-ET310TRANS-Replacement-Transmitter/dp/B0B6PZ31KW/ref=sr_1_3?keywords=Klein+Tools+ET310+Digital+Circuit+Breaker+Finder+with+GFCI+Outlet+Tester&amp;qid=1695173862&amp;sr=8-3")</f>
        <v>https://www.amazon.com/Klein-Tools-ET310TRANS-Replacement-Transmitter/dp/B0B6PZ31KW/ref=sr_1_3?keywords=Klein+Tools+ET310+Digital+Circuit+Breaker+Finder+with+GFCI+Outlet+Tester&amp;qid=1695173862&amp;sr=8-3</v>
      </c>
      <c r="F4757" t="s">
        <v>7962</v>
      </c>
      <c r="G4757" t="e">
        <f ca="1">_xludf.IMAGE("https://edmondsonsupply.com/cdn/shop/products/et310_c.jpg?v=1646963918")</f>
        <v>#NAME?</v>
      </c>
      <c r="H4757" t="e">
        <f ca="1">_xludf.IMAGE("https://m.media-amazon.com/images/I/41ZLBVj0ZYL._AC_UL320_.jpg")</f>
        <v>#NAME?</v>
      </c>
      <c r="I4757" t="s">
        <v>380</v>
      </c>
      <c r="J4757">
        <v>12.99</v>
      </c>
      <c r="K4757" s="4">
        <v>-0.74</v>
      </c>
      <c r="L4757">
        <v>4.8</v>
      </c>
      <c r="M4757">
        <v>30</v>
      </c>
      <c r="O4757" t="s">
        <v>25</v>
      </c>
      <c r="P4757" t="s">
        <v>6825</v>
      </c>
      <c r="Q4757" t="s">
        <v>6826</v>
      </c>
    </row>
    <row r="4758" spans="1:17" ht="15.5" x14ac:dyDescent="0.35">
      <c r="A4758"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4758" s="3" t="str">
        <f>HYPERLINK("https://edmondsonsupply.com/products/klein-tools-935dagl-digital-level-with-programmable-angles", "https://edmondsonsupply.com/products/klein-tools-935dagl-digital-level-with-programmable-angles")</f>
        <v>https://edmondsonsupply.com/products/klein-tools-935dagl-digital-level-with-programmable-angles</v>
      </c>
      <c r="C4758" t="s">
        <v>7122</v>
      </c>
      <c r="D4758" t="s">
        <v>9177</v>
      </c>
      <c r="E4758" s="3" t="str">
        <f>HYPERLINK("https://www.amazon.com/JINMEI-Dedicated-935DAGL-Digital-Programmable/dp/B0966VF1XW/ref=sr_1_3?keywords=Klein+Tools+935DAGL+Digital+Level+with+Programmable+Angles&amp;qid=1695174178&amp;sr=8-3", "https://www.amazon.com/JINMEI-Dedicated-935DAGL-Digital-Programmable/dp/B0966VF1XW/ref=sr_1_3?keywords=Klein+Tools+935DAGL+Digital+Level+with+Programmable+Angles&amp;qid=1695174178&amp;sr=8-3")</f>
        <v>https://www.amazon.com/JINMEI-Dedicated-935DAGL-Digital-Programmable/dp/B0966VF1XW/ref=sr_1_3?keywords=Klein+Tools+935DAGL+Digital+Level+with+Programmable+Angles&amp;qid=1695174178&amp;sr=8-3</v>
      </c>
      <c r="F4758" t="s">
        <v>9178</v>
      </c>
      <c r="G4758" t="e">
        <f ca="1">_xludf.IMAGE("https://edmondsonsupply.com/cdn/shop/products/935dagl.jpg?v=1660749694")</f>
        <v>#NAME?</v>
      </c>
      <c r="H4758" t="e">
        <f ca="1">_xludf.IMAGE("https://m.media-amazon.com/images/I/71xWDKFCpDS._AC_UL320_.jpg")</f>
        <v>#NAME?</v>
      </c>
      <c r="I4758" t="s">
        <v>5197</v>
      </c>
      <c r="J4758">
        <v>14.99</v>
      </c>
      <c r="K4758" s="4">
        <v>-0.75</v>
      </c>
      <c r="L4758">
        <v>4.4000000000000004</v>
      </c>
      <c r="M4758">
        <v>25</v>
      </c>
      <c r="O4758" t="s">
        <v>25</v>
      </c>
      <c r="P4758" t="s">
        <v>7123</v>
      </c>
      <c r="Q4758" t="s">
        <v>7124</v>
      </c>
    </row>
    <row r="4759" spans="1:17" ht="15.5" x14ac:dyDescent="0.35">
      <c r="A4759"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4759"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4759" t="s">
        <v>6587</v>
      </c>
      <c r="D4759" t="s">
        <v>9179</v>
      </c>
      <c r="E4759" s="3" t="str">
        <f>HYPERLINK("https://www.amazon.com/Binval-Non-Contact-48V-1000V-Electrical-Breakpoint/dp/B0B8J45S13/ref=sr_1_10?keywords=Klein+Tools+NCVT-2P+Dual+Range+Non-Contact+Voltage+Tester+12+-+1000V+AC&amp;qid=1695174301&amp;sr=8-10", "https://www.amazon.com/Binval-Non-Contact-48V-1000V-Electrical-Breakpoint/dp/B0B8J45S13/ref=sr_1_10?keywords=Klein+Tools+NCVT-2P+Dual+Range+Non-Contact+Voltage+Tester+12+-+1000V+AC&amp;qid=1695174301&amp;sr=8-10")</f>
        <v>https://www.amazon.com/Binval-Non-Contact-48V-1000V-Electrical-Breakpoint/dp/B0B8J45S13/ref=sr_1_10?keywords=Klein+Tools+NCVT-2P+Dual+Range+Non-Contact+Voltage+Tester+12+-+1000V+AC&amp;qid=1695174301&amp;sr=8-10</v>
      </c>
      <c r="F4759" t="s">
        <v>9180</v>
      </c>
      <c r="G4759" t="e">
        <f ca="1">_xludf.IMAGE("https://edmondsonsupply.com/cdn/shop/products/ncvt2p.jpg?v=1633030824")</f>
        <v>#NAME?</v>
      </c>
      <c r="H4759" t="e">
        <f ca="1">_xludf.IMAGE("https://m.media-amazon.com/images/I/61hnJLfbVwL._AC_UL320_.jpg")</f>
        <v>#NAME?</v>
      </c>
      <c r="I4759" t="s">
        <v>6588</v>
      </c>
      <c r="J4759">
        <v>6.99</v>
      </c>
      <c r="K4759" s="4">
        <v>-0.75009999999999999</v>
      </c>
      <c r="L4759">
        <v>4.5</v>
      </c>
      <c r="M4759">
        <v>21</v>
      </c>
      <c r="O4759" t="s">
        <v>25</v>
      </c>
      <c r="P4759" t="s">
        <v>6589</v>
      </c>
      <c r="Q4759" t="s">
        <v>6590</v>
      </c>
    </row>
    <row r="4760" spans="1:17" ht="15.5" x14ac:dyDescent="0.35">
      <c r="A4760" s="3" t="str">
        <f>HYPERLINK("https://edmondsonsupply.com/collections/electricians-tools/products/veto-pro-pac-tp-xxl-blackout-tool-pouch", "https://edmondsonsupply.com/collections/electricians-tools/products/veto-pro-pac-tp-xxl-blackout-tool-pouch")</f>
        <v>https://edmondsonsupply.com/collections/electricians-tools/products/veto-pro-pac-tp-xxl-blackout-tool-pouch</v>
      </c>
      <c r="B4760" s="3" t="str">
        <f>HYPERLINK("https://edmondsonsupply.com/products/veto-pro-pac-tp-xxl-blackout-tool-pouch", "https://edmondsonsupply.com/products/veto-pro-pac-tp-xxl-blackout-tool-pouch")</f>
        <v>https://edmondsonsupply.com/products/veto-pro-pac-tp-xxl-blackout-tool-pouch</v>
      </c>
      <c r="C4760" t="s">
        <v>758</v>
      </c>
      <c r="D4760" t="s">
        <v>728</v>
      </c>
      <c r="E4760" s="3" t="str">
        <f>HYPERLINK("https://www.amazon.com/Veto-Pro-Pac-TP3-Pouch/dp/B008471T42/ref=sr_1_7?keywords=Veto+Pro+Pac+TP-XXL+Blackout+Tool+Pouch&amp;qid=1695173885&amp;sr=8-7", "https://www.amazon.com/Veto-Pro-Pac-TP3-Pouch/dp/B008471T42/ref=sr_1_7?keywords=Veto+Pro+Pac+TP-XXL+Blackout+Tool+Pouch&amp;qid=1695173885&amp;sr=8-7")</f>
        <v>https://www.amazon.com/Veto-Pro-Pac-TP3-Pouch/dp/B008471T42/ref=sr_1_7?keywords=Veto+Pro+Pac+TP-XXL+Blackout+Tool+Pouch&amp;qid=1695173885&amp;sr=8-7</v>
      </c>
      <c r="F4760" t="s">
        <v>729</v>
      </c>
      <c r="G4760" t="e">
        <f ca="1">_xludf.IMAGE("https://edmondsonsupply.com/cdn/shop/files/TP-xxl_blackout_600x830_0000_TP-XXL_BLACKOUT_0379.jpg?v=1685736106")</f>
        <v>#NAME?</v>
      </c>
      <c r="H4760" t="e">
        <f ca="1">_xludf.IMAGE("https://m.media-amazon.com/images/I/911jQmUqGIL._AC_UL320_.jpg")</f>
        <v>#NAME?</v>
      </c>
      <c r="I4760" t="s">
        <v>759</v>
      </c>
      <c r="J4760">
        <v>59.95</v>
      </c>
      <c r="K4760" s="4">
        <v>-0.75019999999999998</v>
      </c>
      <c r="L4760">
        <v>4.7</v>
      </c>
      <c r="M4760">
        <v>512</v>
      </c>
      <c r="O4760" t="s">
        <v>171</v>
      </c>
      <c r="P4760" t="s">
        <v>138</v>
      </c>
      <c r="Q4760" t="s">
        <v>760</v>
      </c>
    </row>
    <row r="4761" spans="1:17" ht="15.5" x14ac:dyDescent="0.35">
      <c r="A4761"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4761"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4761" t="s">
        <v>3118</v>
      </c>
      <c r="D4761" t="s">
        <v>5678</v>
      </c>
      <c r="E4761" s="3" t="str">
        <f>HYPERLINK("https://www.amazon.com/Journeyman-T-Handle-Klein-Tools-JTH6M4/dp/B005G394YO/ref=sr_1_6?keywords=Klein+Tools+JTH4E17+1%2F2-Inch+Hex+Key%2C+Journeyman+T-Handle%2C+4-Inch&amp;qid=1695173921&amp;sr=8-6", "https://www.amazon.com/Journeyman-T-Handle-Klein-Tools-JTH6M4/dp/B005G394YO/ref=sr_1_6?keywords=Klein+Tools+JTH4E17+1%2F2-Inch+Hex+Key%2C+Journeyman+T-Handle%2C+4-Inch&amp;qid=1695173921&amp;sr=8-6")</f>
        <v>https://www.amazon.com/Journeyman-T-Handle-Klein-Tools-JTH6M4/dp/B005G394YO/ref=sr_1_6?keywords=Klein+Tools+JTH4E17+1%2F2-Inch+Hex+Key%2C+Journeyman+T-Handle%2C+4-Inch&amp;qid=1695173921&amp;sr=8-6</v>
      </c>
      <c r="F4761" t="s">
        <v>5679</v>
      </c>
      <c r="G4761" t="e">
        <f ca="1">_xludf.IMAGE("https://edmondsonsupply.com/cdn/shop/products/jth4e17_583549be-7b42-43c7-9c3d-a92f2416ede5.jpg?v=1610655610")</f>
        <v>#NAME?</v>
      </c>
      <c r="H4761" t="e">
        <f ca="1">_xludf.IMAGE("https://m.media-amazon.com/images/I/51+1x0vz9XL._AC_UL320_.jpg")</f>
        <v>#NAME?</v>
      </c>
      <c r="I4761" t="s">
        <v>252</v>
      </c>
      <c r="J4761">
        <v>3.99</v>
      </c>
      <c r="K4761" s="4">
        <v>-0.75049999999999994</v>
      </c>
      <c r="L4761">
        <v>4.8</v>
      </c>
      <c r="M4761">
        <v>1532</v>
      </c>
      <c r="O4761" t="s">
        <v>25</v>
      </c>
      <c r="P4761" t="s">
        <v>3121</v>
      </c>
      <c r="Q4761" t="s">
        <v>3122</v>
      </c>
    </row>
    <row r="4762" spans="1:17" ht="15.5" x14ac:dyDescent="0.35">
      <c r="A4762"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4762" s="3" t="str">
        <f>HYPERLINK("https://edmondsonsupply.com/products/klein-tools-51608-1-2-inch-iron-conduit-bender-head", "https://edmondsonsupply.com/products/klein-tools-51608-1-2-inch-iron-conduit-bender-head")</f>
        <v>https://edmondsonsupply.com/products/klein-tools-51608-1-2-inch-iron-conduit-bender-head</v>
      </c>
      <c r="C4762" t="s">
        <v>6789</v>
      </c>
      <c r="D4762" t="s">
        <v>7987</v>
      </c>
      <c r="E4762" s="3" t="str">
        <f>HYPERLINK("https://www.amazon.com/Klein-Tools-51611-Conduit-Benders/dp/B08L5J5TRQ/ref=sr_1_6?keywords=Klein+Tools+51608+1%2F2-inch+Iron+Conduit+Bender+Head&amp;qid=1695174222&amp;sr=8-6", "https://www.amazon.com/Klein-Tools-51611-Conduit-Benders/dp/B08L5J5TRQ/ref=sr_1_6?keywords=Klein+Tools+51608+1%2F2-inch+Iron+Conduit+Bender+Head&amp;qid=1695174222&amp;sr=8-6")</f>
        <v>https://www.amazon.com/Klein-Tools-51611-Conduit-Benders/dp/B08L5J5TRQ/ref=sr_1_6?keywords=Klein+Tools+51608+1%2F2-inch+Iron+Conduit+Bender+Head&amp;qid=1695174222&amp;sr=8-6</v>
      </c>
      <c r="F4762" t="s">
        <v>7988</v>
      </c>
      <c r="G4762" t="e">
        <f ca="1">_xludf.IMAGE("https://edmondsonsupply.com/cdn/shop/products/51608.jpg?v=1643679335")</f>
        <v>#NAME?</v>
      </c>
      <c r="H4762" t="e">
        <f ca="1">_xludf.IMAGE("https://m.media-amazon.com/images/I/51VnnTm4FKL._AC_UL320_.jpg")</f>
        <v>#NAME?</v>
      </c>
      <c r="I4762" t="s">
        <v>198</v>
      </c>
      <c r="J4762">
        <v>9.9700000000000006</v>
      </c>
      <c r="K4762" s="4">
        <v>-0.75070000000000003</v>
      </c>
      <c r="L4762">
        <v>4.4000000000000004</v>
      </c>
      <c r="M4762">
        <v>68</v>
      </c>
      <c r="O4762" t="s">
        <v>25</v>
      </c>
      <c r="P4762" t="s">
        <v>6790</v>
      </c>
      <c r="Q4762" t="s">
        <v>6791</v>
      </c>
    </row>
    <row r="4763" spans="1:17" ht="15.5" x14ac:dyDescent="0.35">
      <c r="A4763"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4763"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4763" t="s">
        <v>5837</v>
      </c>
      <c r="D4763" t="s">
        <v>5980</v>
      </c>
      <c r="E4763" s="3" t="str">
        <f>HYPERLINK("https://www.amazon.com/Sabre-U-Flute-Carbide-Concrete-Drivers/dp/B0BF5T89Y5/ref=sr_1_5?keywords=Diablo+Tools+DMAMXCC5010+2+in.+x+7+in.+SDS-Max+Carbide+Tipped+Core+Bit&amp;qid=1695174008&amp;sr=8-5", "https://www.amazon.com/Sabre-U-Flute-Carbide-Concrete-Drivers/dp/B0BF5T89Y5/ref=sr_1_5?keywords=Diablo+Tools+DMAMXCC5010+2+in.+x+7+in.+SDS-Max+Carbide+Tipped+Core+Bit&amp;qid=1695174008&amp;sr=8-5")</f>
        <v>https://www.amazon.com/Sabre-U-Flute-Carbide-Concrete-Drivers/dp/B0BF5T89Y5/ref=sr_1_5?keywords=Diablo+Tools+DMAMXCC5010+2+in.+x+7+in.+SDS-Max+Carbide+Tipped+Core+Bit&amp;qid=1695174008&amp;sr=8-5</v>
      </c>
      <c r="F4763" t="s">
        <v>5981</v>
      </c>
      <c r="G4763" t="e">
        <f ca="1">_xludf.IMAGE("https://edmondsonsupply.com/cdn/shop/files/kbs61qpkymnshwvx13k1.webp?v=1686583113")</f>
        <v>#NAME?</v>
      </c>
      <c r="H4763" t="e">
        <f ca="1">_xludf.IMAGE("https://m.media-amazon.com/images/I/61K848Vxn2L._AC_UL320_.jpg")</f>
        <v>#NAME?</v>
      </c>
      <c r="I4763" t="s">
        <v>5840</v>
      </c>
      <c r="J4763">
        <v>24.99</v>
      </c>
      <c r="K4763" s="4">
        <v>-0.75380000000000003</v>
      </c>
      <c r="L4763">
        <v>4.5999999999999996</v>
      </c>
      <c r="M4763">
        <v>180</v>
      </c>
      <c r="O4763" t="s">
        <v>25</v>
      </c>
      <c r="P4763" t="s">
        <v>5841</v>
      </c>
      <c r="Q4763" t="s">
        <v>5842</v>
      </c>
    </row>
    <row r="4764" spans="1:17" ht="15.5" x14ac:dyDescent="0.35">
      <c r="A4764"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4764"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4764" t="s">
        <v>9181</v>
      </c>
      <c r="D4764" t="s">
        <v>9182</v>
      </c>
      <c r="E4764" s="3" t="str">
        <f>HYPERLINK("https://www.amazon.com/48-44-2872-Replacement-Milwaukee-Brushless-Rotatable/dp/B0BQNCBGBR/ref=sr_1_7?keywords=Milwaukee+2872-20+M18%E2%84%A2+Brushless+Threaded+Rod+Cutter+%28Tool+Only%29&amp;qid=1695174132&amp;sr=8-7", "https://www.amazon.com/48-44-2872-Replacement-Milwaukee-Brushless-Rotatable/dp/B0BQNCBGBR/ref=sr_1_7?keywords=Milwaukee+2872-20+M18%E2%84%A2+Brushless+Threaded+Rod+Cutter+%28Tool+Only%29&amp;qid=1695174132&amp;sr=8-7")</f>
        <v>https://www.amazon.com/48-44-2872-Replacement-Milwaukee-Brushless-Rotatable/dp/B0BQNCBGBR/ref=sr_1_7?keywords=Milwaukee+2872-20+M18%E2%84%A2+Brushless+Threaded+Rod+Cutter+%28Tool+Only%29&amp;qid=1695174132&amp;sr=8-7</v>
      </c>
      <c r="F4764" t="s">
        <v>9183</v>
      </c>
      <c r="G4764" t="e">
        <f ca="1">_xludf.IMAGE("https://edmondsonsupply.com/cdn/shop/products/2872-20_2.webp?v=1668024311")</f>
        <v>#NAME?</v>
      </c>
      <c r="H4764" t="e">
        <f ca="1">_xludf.IMAGE("https://m.media-amazon.com/images/I/41l4Zl2dPPL._AC_UL320_.jpg")</f>
        <v>#NAME?</v>
      </c>
      <c r="I4764" t="s">
        <v>9184</v>
      </c>
      <c r="J4764">
        <v>85</v>
      </c>
      <c r="K4764" s="4">
        <v>-0.7571</v>
      </c>
      <c r="L4764">
        <v>3.6</v>
      </c>
      <c r="M4764">
        <v>3</v>
      </c>
      <c r="O4764" t="s">
        <v>25</v>
      </c>
      <c r="P4764" t="s">
        <v>9185</v>
      </c>
      <c r="Q4764" t="s">
        <v>9186</v>
      </c>
    </row>
    <row r="4765" spans="1:17" ht="15.5" x14ac:dyDescent="0.35">
      <c r="A4765"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4765" s="3" t="str">
        <f>HYPERLINK("https://edmondsonsupply.com/products/klein-tools-9416r-1000v-insulated-tool-kit-3-piece", "https://edmondsonsupply.com/products/klein-tools-9416r-1000v-insulated-tool-kit-3-piece")</f>
        <v>https://edmondsonsupply.com/products/klein-tools-9416r-1000v-insulated-tool-kit-3-piece</v>
      </c>
      <c r="C4765" t="s">
        <v>6428</v>
      </c>
      <c r="D4765" t="s">
        <v>5091</v>
      </c>
      <c r="E4765" s="3" t="str">
        <f>HYPERLINK("https://www.amazon.com/Klein-Tools-85073INS-Insulated-Screwdriver/dp/B0BF79WQZX/ref=sr_1_4?keywords=Klein+Tools+9416R+1000V+Insulated+Tool+Kit%2C+3-Piece&amp;qid=1695174123&amp;sr=8-4", "https://www.amazon.com/Klein-Tools-85073INS-Insulated-Screwdriver/dp/B0BF79WQZX/ref=sr_1_4?keywords=Klein+Tools+9416R+1000V+Insulated+Tool+Kit%2C+3-Piece&amp;qid=1695174123&amp;sr=8-4")</f>
        <v>https://www.amazon.com/Klein-Tools-85073INS-Insulated-Screwdriver/dp/B0BF79WQZX/ref=sr_1_4?keywords=Klein+Tools+9416R+1000V+Insulated+Tool+Kit%2C+3-Piece&amp;qid=1695174123&amp;sr=8-4</v>
      </c>
      <c r="F4765" t="s">
        <v>5092</v>
      </c>
      <c r="G4765" t="e">
        <f ca="1">_xludf.IMAGE("https://edmondsonsupply.com/cdn/shop/products/9416r.jpg?v=1667327475")</f>
        <v>#NAME?</v>
      </c>
      <c r="H4765" t="e">
        <f ca="1">_xludf.IMAGE("https://m.media-amazon.com/images/I/51dL7msUIqL._AC_UL320_.jpg")</f>
        <v>#NAME?</v>
      </c>
      <c r="I4765" t="s">
        <v>6429</v>
      </c>
      <c r="J4765">
        <v>19.97</v>
      </c>
      <c r="K4765" s="4">
        <v>-0.76500000000000001</v>
      </c>
      <c r="L4765">
        <v>4.9000000000000004</v>
      </c>
      <c r="M4765">
        <v>205</v>
      </c>
      <c r="O4765" t="s">
        <v>25</v>
      </c>
      <c r="P4765" t="s">
        <v>6430</v>
      </c>
      <c r="Q4765" t="s">
        <v>6431</v>
      </c>
    </row>
    <row r="4766" spans="1:17" ht="15.5" x14ac:dyDescent="0.35">
      <c r="A4766"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4766" s="3" t="str">
        <f>HYPERLINK("https://edmondsonsupply.com/products/klein-tools-31856-1-1-8-inch-carbide-hole-cutter", "https://edmondsonsupply.com/products/klein-tools-31856-1-1-8-inch-carbide-hole-cutter")</f>
        <v>https://edmondsonsupply.com/products/klein-tools-31856-1-1-8-inch-carbide-hole-cutter</v>
      </c>
      <c r="C4766" t="s">
        <v>6035</v>
      </c>
      <c r="D4766" t="s">
        <v>9187</v>
      </c>
      <c r="E4766" s="3" t="str">
        <f>HYPERLINK("https://www.amazon.com/ASNOMY-Tungsten-Carbide-Titanium-Plated-Plastic/dp/B096FNS45K/ref=sr_1_10?keywords=Klein+Tools+31856+1-1%2F8-Inch+Carbide+Hole+Cutter&amp;qid=1695174011&amp;sr=8-10", "https://www.amazon.com/ASNOMY-Tungsten-Carbide-Titanium-Plated-Plastic/dp/B096FNS45K/ref=sr_1_10?keywords=Klein+Tools+31856+1-1%2F8-Inch+Carbide+Hole+Cutter&amp;qid=1695174011&amp;sr=8-10")</f>
        <v>https://www.amazon.com/ASNOMY-Tungsten-Carbide-Titanium-Plated-Plastic/dp/B096FNS45K/ref=sr_1_10?keywords=Klein+Tools+31856+1-1%2F8-Inch+Carbide+Hole+Cutter&amp;qid=1695174011&amp;sr=8-10</v>
      </c>
      <c r="F4766" t="s">
        <v>9188</v>
      </c>
      <c r="G4766" t="e">
        <f ca="1">_xludf.IMAGE("https://edmondsonsupply.com/cdn/shop/files/31856.jpg?v=1685712345")</f>
        <v>#NAME?</v>
      </c>
      <c r="H4766" t="e">
        <f ca="1">_xludf.IMAGE("https://m.media-amazon.com/images/I/51dDMdgdtSS._AC_UL320_.jpg")</f>
        <v>#NAME?</v>
      </c>
      <c r="I4766" t="s">
        <v>261</v>
      </c>
      <c r="J4766">
        <v>7.99</v>
      </c>
      <c r="K4766" s="4">
        <v>-0.77800000000000002</v>
      </c>
      <c r="L4766">
        <v>4.3</v>
      </c>
      <c r="M4766">
        <v>902</v>
      </c>
      <c r="O4766" t="s">
        <v>25</v>
      </c>
      <c r="P4766" t="s">
        <v>6038</v>
      </c>
      <c r="Q4766" t="s">
        <v>6039</v>
      </c>
    </row>
    <row r="4767" spans="1:17" ht="15.5" x14ac:dyDescent="0.35">
      <c r="A4767"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4767" s="3" t="str">
        <f>HYPERLINK("https://edmondsonsupply.com/products/klein-tools-56341-stainless-steel-fish-tape-1-8-inch-x-240-foot", "https://edmondsonsupply.com/products/klein-tools-56341-stainless-steel-fish-tape-1-8-inch-x-240-foot")</f>
        <v>https://edmondsonsupply.com/products/klein-tools-56341-stainless-steel-fish-tape-1-8-inch-x-240-foot</v>
      </c>
      <c r="C4767" t="s">
        <v>7829</v>
      </c>
      <c r="D4767" t="s">
        <v>9189</v>
      </c>
      <c r="E4767" s="3" t="str">
        <f>HYPERLINK("https://www.amazon.com/Klein-Tools-56331-Optimized-Housing/dp/B081TVR4N7/ref=sr_1_8?keywords=Klein+Tools+56341+Stainless+Steel+Fish+Tape%2C+1%2F8-Inch+x+240-Foot&amp;qid=1695174134&amp;sr=8-8", "https://www.amazon.com/Klein-Tools-56331-Optimized-Housing/dp/B081TVR4N7/ref=sr_1_8?keywords=Klein+Tools+56341+Stainless+Steel+Fish+Tape%2C+1%2F8-Inch+x+240-Foot&amp;qid=1695174134&amp;sr=8-8")</f>
        <v>https://www.amazon.com/Klein-Tools-56331-Optimized-Housing/dp/B081TVR4N7/ref=sr_1_8?keywords=Klein+Tools+56341+Stainless+Steel+Fish+Tape%2C+1%2F8-Inch+x+240-Foot&amp;qid=1695174134&amp;sr=8-8</v>
      </c>
      <c r="F4767" t="s">
        <v>9190</v>
      </c>
      <c r="G4767" t="e">
        <f ca="1">_xludf.IMAGE("https://edmondsonsupply.com/cdn/shop/products/56341.jpg?v=1666901345")</f>
        <v>#NAME?</v>
      </c>
      <c r="H4767" t="e">
        <f ca="1">_xludf.IMAGE("https://m.media-amazon.com/images/I/71Wab7hH7jS._AC_UL320_.jpg")</f>
        <v>#NAME?</v>
      </c>
      <c r="I4767" t="s">
        <v>7832</v>
      </c>
      <c r="J4767">
        <v>24.99</v>
      </c>
      <c r="K4767" s="4">
        <v>-0.78269999999999995</v>
      </c>
      <c r="L4767">
        <v>4.5999999999999996</v>
      </c>
      <c r="M4767">
        <v>5187</v>
      </c>
      <c r="O4767" t="s">
        <v>25</v>
      </c>
      <c r="P4767" t="s">
        <v>7833</v>
      </c>
      <c r="Q4767" t="s">
        <v>7834</v>
      </c>
    </row>
    <row r="4768" spans="1:17" ht="15.5" x14ac:dyDescent="0.35">
      <c r="A4768" s="3" t="str">
        <f>HYPERLINK("https://edmondsonsupply.com/collections/electricians-tools/products/milwaukee-48-22-1540-fastback%E2%84%A2-5-in-1-folding-knife", "https://edmondsonsupply.com/collections/electricians-tools/products/milwaukee-48-22-1540-fastback%E2%84%A2-5-in-1-folding-knife")</f>
        <v>https://edmondsonsupply.com/collections/electricians-tools/products/milwaukee-48-22-1540-fastback%E2%84%A2-5-in-1-folding-knife</v>
      </c>
      <c r="B4768" s="3" t="str">
        <f>HYPERLINK("https://edmondsonsupply.com/products/milwaukee-48-22-1540-fastback%e2%84%a2-5-in-1-folding-knife", "https://edmondsonsupply.com/products/milwaukee-48-22-1540-fastback%e2%84%a2-5-in-1-folding-knife")</f>
        <v>https://edmondsonsupply.com/products/milwaukee-48-22-1540-fastback%e2%84%a2-5-in-1-folding-knife</v>
      </c>
      <c r="C4768" t="s">
        <v>2507</v>
      </c>
      <c r="D4768" t="s">
        <v>5664</v>
      </c>
      <c r="E4768" s="3" t="str">
        <f>HYPERLINK("https://www.amazon.com/Milwaukee-48-22-1933-Deburred-Carbide-Lockback/dp/B00D5YLP5W/ref=sr_1_6?keywords=Milwaukee+48-22-1540+FASTBACK%E2%84%A2+5-in-1+Folding+Knife&amp;qid=1695173855&amp;sr=8-6", "https://www.amazon.com/Milwaukee-48-22-1933-Deburred-Carbide-Lockback/dp/B00D5YLP5W/ref=sr_1_6?keywords=Milwaukee+48-22-1540+FASTBACK%E2%84%A2+5-in-1+Folding+Knife&amp;qid=1695173855&amp;sr=8-6")</f>
        <v>https://www.amazon.com/Milwaukee-48-22-1933-Deburred-Carbide-Lockback/dp/B00D5YLP5W/ref=sr_1_6?keywords=Milwaukee+48-22-1540+FASTBACK%E2%84%A2+5-in-1+Folding+Knife&amp;qid=1695173855&amp;sr=8-6</v>
      </c>
      <c r="F4768" t="s">
        <v>5665</v>
      </c>
      <c r="G4768" t="e">
        <f ca="1">_xludf.IMAGE("https://edmondsonsupply.com/cdn/shop/products/48-22-1540_1.png?v=1587142762")</f>
        <v>#NAME?</v>
      </c>
      <c r="H4768" t="e">
        <f ca="1">_xludf.IMAGE("https://m.media-amazon.com/images/I/41vPWO+PD8L._AC_UL320_.jpg")</f>
        <v>#NAME?</v>
      </c>
      <c r="I4768" t="s">
        <v>2510</v>
      </c>
      <c r="J4768">
        <v>4.99</v>
      </c>
      <c r="K4768" s="4">
        <v>-0.79179999999999995</v>
      </c>
      <c r="L4768">
        <v>4.5</v>
      </c>
      <c r="M4768">
        <v>65</v>
      </c>
      <c r="O4768" t="s">
        <v>25</v>
      </c>
      <c r="P4768" t="s">
        <v>2511</v>
      </c>
      <c r="Q4768" t="s">
        <v>2512</v>
      </c>
    </row>
    <row r="4769" spans="1:17" ht="15.5" x14ac:dyDescent="0.35">
      <c r="A4769"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4769" s="3" t="str">
        <f>HYPERLINK("https://edmondsonsupply.com/products/fluke-c60-soft-carrying-case", "https://edmondsonsupply.com/products/fluke-c60-soft-carrying-case")</f>
        <v>https://edmondsonsupply.com/products/fluke-c60-soft-carrying-case</v>
      </c>
      <c r="C4769" t="s">
        <v>265</v>
      </c>
      <c r="D4769" t="s">
        <v>803</v>
      </c>
      <c r="E4769" s="3" t="str">
        <f>HYPERLINK("https://www.amazon.com/KingSung-Zippered-Multimeter-Shock-Proof-Single-Layer/dp/B0B7HW73BH/ref=sr_1_6?keywords=Fluke+C60+Soft+Carrying+Case&amp;qid=1695174290&amp;sr=8-6", "https://www.amazon.com/KingSung-Zippered-Multimeter-Shock-Proof-Single-Layer/dp/B0B7HW73BH/ref=sr_1_6?keywords=Fluke+C60+Soft+Carrying+Case&amp;qid=1695174290&amp;sr=8-6")</f>
        <v>https://www.amazon.com/KingSung-Zippered-Multimeter-Shock-Proof-Single-Layer/dp/B0B7HW73BH/ref=sr_1_6?keywords=Fluke+C60+Soft+Carrying+Case&amp;qid=1695174290&amp;sr=8-6</v>
      </c>
      <c r="F4769" t="s">
        <v>804</v>
      </c>
      <c r="G4769" t="e">
        <f ca="1">_xludf.IMAGE("https://edmondsonsupply.com/cdn/shop/products/c60.png?v=1633030926")</f>
        <v>#NAME?</v>
      </c>
      <c r="H4769" t="e">
        <f ca="1">_xludf.IMAGE("https://m.media-amazon.com/images/I/81t9HZxI6YL._AC_UL320_.jpg")</f>
        <v>#NAME?</v>
      </c>
      <c r="I4769" t="s">
        <v>268</v>
      </c>
      <c r="J4769">
        <v>9.99</v>
      </c>
      <c r="K4769" s="4">
        <v>-0.79810000000000003</v>
      </c>
      <c r="L4769">
        <v>4.4000000000000004</v>
      </c>
      <c r="M4769">
        <v>40</v>
      </c>
      <c r="O4769" t="s">
        <v>25</v>
      </c>
      <c r="P4769" t="s">
        <v>269</v>
      </c>
      <c r="Q4769" t="s">
        <v>270</v>
      </c>
    </row>
    <row r="4770" spans="1:17" ht="15.5" x14ac:dyDescent="0.35">
      <c r="A4770"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4770" s="3" t="str">
        <f>HYPERLINK("https://edmondsonsupply.com/products/klein-tools-94130-1000v-insulated-tool-kit-5-piece", "https://edmondsonsupply.com/products/klein-tools-94130-1000v-insulated-tool-kit-5-piece")</f>
        <v>https://edmondsonsupply.com/products/klein-tools-94130-1000v-insulated-tool-kit-5-piece</v>
      </c>
      <c r="C4770" t="s">
        <v>2221</v>
      </c>
      <c r="D4770" t="s">
        <v>5091</v>
      </c>
      <c r="E4770" s="3" t="str">
        <f>HYPERLINK("https://www.amazon.com/Klein-Tools-85073INS-Insulated-Screwdriver/dp/B0BF79WQZX/ref=sr_1_6?keywords=Klein+Tools+94130+1000V+Insulated+Tool+Kit%2C+5-Piece&amp;qid=1695173888&amp;sr=8-6", "https://www.amazon.com/Klein-Tools-85073INS-Insulated-Screwdriver/dp/B0BF79WQZX/ref=sr_1_6?keywords=Klein+Tools+94130+1000V+Insulated+Tool+Kit%2C+5-Piece&amp;qid=1695173888&amp;sr=8-6")</f>
        <v>https://www.amazon.com/Klein-Tools-85073INS-Insulated-Screwdriver/dp/B0BF79WQZX/ref=sr_1_6?keywords=Klein+Tools+94130+1000V+Insulated+Tool+Kit%2C+5-Piece&amp;qid=1695173888&amp;sr=8-6</v>
      </c>
      <c r="F4770" t="s">
        <v>5092</v>
      </c>
      <c r="G4770" t="e">
        <f ca="1">_xludf.IMAGE("https://edmondsonsupply.com/cdn/shop/products/94130.jpg?v=1633030386")</f>
        <v>#NAME?</v>
      </c>
      <c r="H4770" t="e">
        <f ca="1">_xludf.IMAGE("https://m.media-amazon.com/images/I/51dL7msUIqL._AC_UL320_.jpg")</f>
        <v>#NAME?</v>
      </c>
      <c r="I4770" t="s">
        <v>2224</v>
      </c>
      <c r="J4770">
        <v>19.97</v>
      </c>
      <c r="K4770" s="4">
        <v>-0.80030000000000001</v>
      </c>
      <c r="L4770">
        <v>4.9000000000000004</v>
      </c>
      <c r="M4770">
        <v>205</v>
      </c>
      <c r="O4770" t="s">
        <v>25</v>
      </c>
      <c r="P4770" t="s">
        <v>2225</v>
      </c>
      <c r="Q4770" t="s">
        <v>2226</v>
      </c>
    </row>
    <row r="4771" spans="1:17" ht="15.5" x14ac:dyDescent="0.35">
      <c r="A4771"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4771"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4771" t="s">
        <v>4395</v>
      </c>
      <c r="D4771" t="s">
        <v>5694</v>
      </c>
      <c r="E4771" s="3" t="str">
        <f>HYPERLINK("https://www.amazon.com/GEARWRENCH-Piece-Metric-Ball-Long/dp/B098TYMJ3X/ref=sr_1_4?keywords=Wiha+Tools+66990+9+Piece+MagicRing+Ball+End+Long+Arm+Hex+L-Key+Set+-+Metric&amp;qid=1695173977&amp;sr=8-4", "https://www.amazon.com/GEARWRENCH-Piece-Metric-Ball-Long/dp/B098TYMJ3X/ref=sr_1_4?keywords=Wiha+Tools+66990+9+Piece+MagicRing+Ball+End+Long+Arm+Hex+L-Key+Set+-+Metric&amp;qid=1695173977&amp;sr=8-4")</f>
        <v>https://www.amazon.com/GEARWRENCH-Piece-Metric-Ball-Long/dp/B098TYMJ3X/ref=sr_1_4?keywords=Wiha+Tools+66990+9+Piece+MagicRing+Ball+End+Long+Arm+Hex+L-Key+Set+-+Metric&amp;qid=1695173977&amp;sr=8-4</v>
      </c>
      <c r="F4771" t="s">
        <v>5695</v>
      </c>
      <c r="G4771" t="e">
        <f ca="1">_xludf.IMAGE("https://edmondsonsupply.com/cdn/shop/files/13e958aad91c16597a10bc35346fe94965ff7cc5_1000x_585c36ae-bd90-4c7e-95df-eb1519527f63.webp?v=1690841217")</f>
        <v>#NAME?</v>
      </c>
      <c r="H4771" t="e">
        <f ca="1">_xludf.IMAGE("https://m.media-amazon.com/images/I/71dwiLrur9S._AC_UL320_.jpg")</f>
        <v>#NAME?</v>
      </c>
      <c r="I4771" t="s">
        <v>4398</v>
      </c>
      <c r="J4771">
        <v>7.83</v>
      </c>
      <c r="K4771" s="4">
        <v>-0.80059999999999998</v>
      </c>
      <c r="L4771">
        <v>4.7</v>
      </c>
      <c r="M4771">
        <v>255</v>
      </c>
      <c r="O4771" t="s">
        <v>25</v>
      </c>
      <c r="P4771" t="s">
        <v>4399</v>
      </c>
      <c r="Q4771" t="s">
        <v>4400</v>
      </c>
    </row>
    <row r="4772" spans="1:17" ht="15.5" x14ac:dyDescent="0.35">
      <c r="A4772"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4772"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4772" t="s">
        <v>7170</v>
      </c>
      <c r="D4772" t="s">
        <v>3438</v>
      </c>
      <c r="E4772" s="3" t="str">
        <f>HYPERLINK("https://www.amazon.com/4-Inch-Magnetic-Cushion-Klein-Tools/dp/B01D6DZRFA/ref=sr_1_5?keywords=Klein+Tools+635-4+Nut+Driver+Set%2C+Magnetic+Nut+Drivers%2C+Heavy+Duty%2C+4-Piece&amp;qid=1695174225&amp;sr=8-5", "https://www.amazon.com/4-Inch-Magnetic-Cushion-Klein-Tools/dp/B01D6DZRFA/ref=sr_1_5?keywords=Klein+Tools+635-4+Nut+Driver+Set%2C+Magnetic+Nut+Drivers%2C+Heavy+Duty%2C+4-Piece&amp;qid=1695174225&amp;sr=8-5")</f>
        <v>https://www.amazon.com/4-Inch-Magnetic-Cushion-Klein-Tools/dp/B01D6DZRFA/ref=sr_1_5?keywords=Klein+Tools+635-4+Nut+Driver+Set%2C+Magnetic+Nut+Drivers%2C+Heavy+Duty%2C+4-Piece&amp;qid=1695174225&amp;sr=8-5</v>
      </c>
      <c r="F4772" t="s">
        <v>3439</v>
      </c>
      <c r="G4772" t="e">
        <f ca="1">_xludf.IMAGE("https://edmondsonsupply.com/cdn/shop/products/635-4.jpg?v=1640815398")</f>
        <v>#NAME?</v>
      </c>
      <c r="H4772" t="e">
        <f ca="1">_xludf.IMAGE("https://m.media-amazon.com/images/I/41DrStZKvjL._AC_UL320_.jpg")</f>
        <v>#NAME?</v>
      </c>
      <c r="I4772" t="s">
        <v>269</v>
      </c>
      <c r="J4772">
        <v>10.91</v>
      </c>
      <c r="K4772" s="4">
        <v>-0.80159999999999998</v>
      </c>
      <c r="L4772">
        <v>4.7</v>
      </c>
      <c r="M4772">
        <v>971</v>
      </c>
      <c r="O4772" t="s">
        <v>25</v>
      </c>
      <c r="P4772" t="s">
        <v>7171</v>
      </c>
      <c r="Q4772" t="s">
        <v>7172</v>
      </c>
    </row>
    <row r="4773" spans="1:17" ht="15.5" x14ac:dyDescent="0.35">
      <c r="A4773"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4773" s="3" t="str">
        <f>HYPERLINK("https://edmondsonsupply.com/products/klein-tools-vdv526-200-lan-scout-%c2%ae-jr-2-cable-tester", "https://edmondsonsupply.com/products/klein-tools-vdv526-200-lan-scout-%c2%ae-jr-2-cable-tester")</f>
        <v>https://edmondsonsupply.com/products/klein-tools-vdv526-200-lan-scout-%c2%ae-jr-2-cable-tester</v>
      </c>
      <c r="C4773" t="s">
        <v>6500</v>
      </c>
      <c r="D4773" t="s">
        <v>9191</v>
      </c>
      <c r="E4773" s="3" t="str">
        <f>HYPERLINK("https://www.amazon.com/Klein-Tools-VDV999-200-Replacement-Continuity/dp/B092XBPPXV/ref=sr_1_2?keywords=Klein+Tools+VDV526-200+LAN+Scout+%C2%AE+Jr.+2+Cable+Tester&amp;qid=1695174153&amp;sr=8-2", "https://www.amazon.com/Klein-Tools-VDV999-200-Replacement-Continuity/dp/B092XBPPXV/ref=sr_1_2?keywords=Klein+Tools+VDV526-200+LAN+Scout+%C2%AE+Jr.+2+Cable+Tester&amp;qid=1695174153&amp;sr=8-2")</f>
        <v>https://www.amazon.com/Klein-Tools-VDV999-200-Replacement-Continuity/dp/B092XBPPXV/ref=sr_1_2?keywords=Klein+Tools+VDV526-200+LAN+Scout+%C2%AE+Jr.+2+Cable+Tester&amp;qid=1695174153&amp;sr=8-2</v>
      </c>
      <c r="F4773" t="s">
        <v>9192</v>
      </c>
      <c r="G4773" t="e">
        <f ca="1">_xludf.IMAGE("https://edmondsonsupply.com/cdn/shop/products/vdv526200.jpg?v=1663689949")</f>
        <v>#NAME?</v>
      </c>
      <c r="H4773" t="e">
        <f ca="1">_xludf.IMAGE("https://m.media-amazon.com/images/I/41g0sTAqWKS._AC_UY218_.jpg")</f>
        <v>#NAME?</v>
      </c>
      <c r="I4773" t="s">
        <v>3359</v>
      </c>
      <c r="J4773">
        <v>10.89</v>
      </c>
      <c r="K4773" s="4">
        <v>-0.80189999999999995</v>
      </c>
      <c r="L4773">
        <v>4.3</v>
      </c>
      <c r="M4773">
        <v>27</v>
      </c>
      <c r="O4773" t="s">
        <v>25</v>
      </c>
      <c r="P4773" t="s">
        <v>6503</v>
      </c>
      <c r="Q4773" t="s">
        <v>6504</v>
      </c>
    </row>
    <row r="4774" spans="1:17" ht="15.5" x14ac:dyDescent="0.35">
      <c r="A4774"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4774"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4774" t="s">
        <v>8776</v>
      </c>
      <c r="D4774" t="s">
        <v>9193</v>
      </c>
      <c r="E4774" s="3" t="str">
        <f>HYPERLINK("https://www.amazon.com/Bosch-OSL114F-3-Starlock-Oscillating-Bi-Metal/dp/B01DDA7VU0/ref=sr_1_7?keywords=Diablo+Tools+DOS125BW3+1-1%2F4+in.+Starlock+Bi-Metal+Oscillating+Blades+for+Nail-Embedded+Wood&amp;qid=1695174253&amp;sr=8-7", "https://www.amazon.com/Bosch-OSL114F-3-Starlock-Oscillating-Bi-Metal/dp/B01DDA7VU0/ref=sr_1_7?keywords=Diablo+Tools+DOS125BW3+1-1%2F4+in.+Starlock+Bi-Metal+Oscillating+Blades+for+Nail-Embedded+Wood&amp;qid=1695174253&amp;sr=8-7")</f>
        <v>https://www.amazon.com/Bosch-OSL114F-3-Starlock-Oscillating-Bi-Metal/dp/B01DDA7VU0/ref=sr_1_7?keywords=Diablo+Tools+DOS125BW3+1-1%2F4+in.+Starlock+Bi-Metal+Oscillating+Blades+for+Nail-Embedded+Wood&amp;qid=1695174253&amp;sr=8-7</v>
      </c>
      <c r="F4774" t="s">
        <v>9194</v>
      </c>
      <c r="G4774" t="e">
        <f ca="1">_xludf.IMAGE("https://edmondsonsupply.com/cdn/shop/products/DOS125BW3_Main-Image.png?v=1633031100")</f>
        <v>#NAME?</v>
      </c>
      <c r="H4774" t="e">
        <f ca="1">_xludf.IMAGE("https://m.media-amazon.com/images/I/71tfMS58-jL._AC_UL320_.jpg")</f>
        <v>#NAME?</v>
      </c>
      <c r="I4774" t="s">
        <v>340</v>
      </c>
      <c r="J4774">
        <v>6.82</v>
      </c>
      <c r="K4774" s="4">
        <v>-0.80500000000000005</v>
      </c>
      <c r="L4774">
        <v>4.7</v>
      </c>
      <c r="M4774">
        <v>771</v>
      </c>
      <c r="O4774" t="s">
        <v>25</v>
      </c>
      <c r="P4774" t="s">
        <v>8777</v>
      </c>
      <c r="Q4774" t="s">
        <v>8778</v>
      </c>
    </row>
    <row r="4775" spans="1:17" ht="15.5" x14ac:dyDescent="0.35">
      <c r="A4775" s="3" t="str">
        <f>HYPERLINK("https://edmondsonsupply.com/collections/electricians-tools/products/klein-tools-66080-2-in-1-penta-hex-flip-socket-with-adapter", "https://edmondsonsupply.com/collections/electricians-tools/products/klein-tools-66080-2-in-1-penta-hex-flip-socket-with-adapter")</f>
        <v>https://edmondsonsupply.com/collections/electricians-tools/products/klein-tools-66080-2-in-1-penta-hex-flip-socket-with-adapter</v>
      </c>
      <c r="B4775" s="3" t="str">
        <f>HYPERLINK("https://edmondsonsupply.com/products/klein-tools-66080-2-in-1-penta-hex-flip-socket-with-adapter", "https://edmondsonsupply.com/products/klein-tools-66080-2-in-1-penta-hex-flip-socket-with-adapter")</f>
        <v>https://edmondsonsupply.com/products/klein-tools-66080-2-in-1-penta-hex-flip-socket-with-adapter</v>
      </c>
      <c r="C4775" t="s">
        <v>9195</v>
      </c>
      <c r="D4775" t="s">
        <v>7234</v>
      </c>
      <c r="E4775" s="3" t="str">
        <f>HYPERLINK("https://www.amazon.com/Klein-Tools-66079-Impact-Adapter/dp/B0B33WGYX5/ref=sr_1_2?keywords=Klein+Tools+66080+2-in-1+Penta%2FHex+Flip+Socket+with+Adapter&amp;qid=1695174165&amp;sr=8-2", "https://www.amazon.com/Klein-Tools-66079-Impact-Adapter/dp/B0B33WGYX5/ref=sr_1_2?keywords=Klein+Tools+66080+2-in-1+Penta%2FHex+Flip+Socket+with+Adapter&amp;qid=1695174165&amp;sr=8-2")</f>
        <v>https://www.amazon.com/Klein-Tools-66079-Impact-Adapter/dp/B0B33WGYX5/ref=sr_1_2?keywords=Klein+Tools+66080+2-in-1+Penta%2FHex+Flip+Socket+with+Adapter&amp;qid=1695174165&amp;sr=8-2</v>
      </c>
      <c r="F4775" t="s">
        <v>7235</v>
      </c>
      <c r="G4775" t="e">
        <f ca="1">_xludf.IMAGE("https://edmondsonsupply.com/cdn/shop/products/66080.jpg?v=1663076636")</f>
        <v>#NAME?</v>
      </c>
      <c r="H4775" t="e">
        <f ca="1">_xludf.IMAGE("https://m.media-amazon.com/images/I/41eZRUf3qGL._AC_UL320_.jpg")</f>
        <v>#NAME?</v>
      </c>
      <c r="I4775" t="s">
        <v>2614</v>
      </c>
      <c r="J4775">
        <v>9.6</v>
      </c>
      <c r="K4775" s="4">
        <v>-0.8095</v>
      </c>
      <c r="L4775">
        <v>3.8</v>
      </c>
      <c r="M4775">
        <v>5</v>
      </c>
      <c r="O4775" t="s">
        <v>25</v>
      </c>
      <c r="P4775" t="s">
        <v>9196</v>
      </c>
      <c r="Q4775" t="s">
        <v>9197</v>
      </c>
    </row>
    <row r="4776" spans="1:17" ht="15.5" x14ac:dyDescent="0.35">
      <c r="A4776"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4776" s="3" t="str">
        <f>HYPERLINK("https://edmondsonsupply.com/products/klein-tools-31902-bi-metal-hole-saw-kit-8-piece", "https://edmondsonsupply.com/products/klein-tools-31902-bi-metal-hole-saw-kit-8-piece")</f>
        <v>https://edmondsonsupply.com/products/klein-tools-31902-bi-metal-hole-saw-kit-8-piece</v>
      </c>
      <c r="C4776" t="s">
        <v>6259</v>
      </c>
      <c r="D4776" t="s">
        <v>7386</v>
      </c>
      <c r="E4776" s="3" t="str">
        <f>HYPERLINK("https://www.amazon.com/Bi-Metal-8-Inch-Klein-Tools-31958/dp/B01987566S/ref=sr_1_5?keywords=Klein+Tools+31902+Bi-Metal+Hole+Saw+Kit%2C+8-Piece&amp;qid=1695174040&amp;sr=8-5", "https://www.amazon.com/Bi-Metal-8-Inch-Klein-Tools-31958/dp/B01987566S/ref=sr_1_5?keywords=Klein+Tools+31902+Bi-Metal+Hole+Saw+Kit%2C+8-Piece&amp;qid=1695174040&amp;sr=8-5")</f>
        <v>https://www.amazon.com/Bi-Metal-8-Inch-Klein-Tools-31958/dp/B01987566S/ref=sr_1_5?keywords=Klein+Tools+31902+Bi-Metal+Hole+Saw+Kit%2C+8-Piece&amp;qid=1695174040&amp;sr=8-5</v>
      </c>
      <c r="F4776" t="s">
        <v>7387</v>
      </c>
      <c r="G4776" t="e">
        <f ca="1">_xludf.IMAGE("https://edmondsonsupply.com/cdn/shop/products/31902.jpg?v=1679665390")</f>
        <v>#NAME?</v>
      </c>
      <c r="H4776" t="e">
        <f ca="1">_xludf.IMAGE("https://m.media-amazon.com/images/I/417oWF+SE6L._AC_UL320_.jpg")</f>
        <v>#NAME?</v>
      </c>
      <c r="I4776" t="s">
        <v>320</v>
      </c>
      <c r="J4776">
        <v>13.99</v>
      </c>
      <c r="K4776" s="4">
        <v>-0.81340000000000001</v>
      </c>
      <c r="L4776">
        <v>4.5999999999999996</v>
      </c>
      <c r="M4776">
        <v>252</v>
      </c>
      <c r="O4776" t="s">
        <v>25</v>
      </c>
      <c r="P4776" t="s">
        <v>6260</v>
      </c>
      <c r="Q4776" t="s">
        <v>6261</v>
      </c>
    </row>
    <row r="4777" spans="1:17" ht="15.5" x14ac:dyDescent="0.35">
      <c r="A4777"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4777"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4777" t="s">
        <v>6595</v>
      </c>
      <c r="D4777" t="s">
        <v>9191</v>
      </c>
      <c r="E4777" s="3" t="str">
        <f>HYPERLINK("https://www.amazon.com/Klein-Tools-VDV999-200-Replacement-Continuity/dp/B092XBPPXV/ref=sr_1_2?keywords=Klein+Tools+VDV526-052+Cable+Tester%2C+LAN+Scout%C2%AE+Jr.+Continuity+Tester&amp;qid=1695174034&amp;sr=8-2", "https://www.amazon.com/Klein-Tools-VDV999-200-Replacement-Continuity/dp/B092XBPPXV/ref=sr_1_2?keywords=Klein+Tools+VDV526-052+Cable+Tester%2C+LAN+Scout%C2%AE+Jr.+Continuity+Tester&amp;qid=1695174034&amp;sr=8-2")</f>
        <v>https://www.amazon.com/Klein-Tools-VDV999-200-Replacement-Continuity/dp/B092XBPPXV/ref=sr_1_2?keywords=Klein+Tools+VDV526-052+Cable+Tester%2C+LAN+Scout%C2%AE+Jr.+Continuity+Tester&amp;qid=1695174034&amp;sr=8-2</v>
      </c>
      <c r="F4777" t="s">
        <v>9192</v>
      </c>
      <c r="G4777" t="e">
        <f ca="1">_xludf.IMAGE("https://edmondsonsupply.com/cdn/shop/files/vdv526-052.jpg?v=1685032494")</f>
        <v>#NAME?</v>
      </c>
      <c r="H4777" t="e">
        <f ca="1">_xludf.IMAGE("https://m.media-amazon.com/images/I/41g0sTAqWKS._AC_UY218_.jpg")</f>
        <v>#NAME?</v>
      </c>
      <c r="I4777" t="s">
        <v>5197</v>
      </c>
      <c r="J4777">
        <v>10.89</v>
      </c>
      <c r="K4777" s="4">
        <v>-0.81840000000000002</v>
      </c>
      <c r="L4777">
        <v>4.3</v>
      </c>
      <c r="M4777">
        <v>27</v>
      </c>
      <c r="O4777" t="s">
        <v>25</v>
      </c>
      <c r="P4777" t="s">
        <v>6596</v>
      </c>
      <c r="Q4777" t="s">
        <v>6597</v>
      </c>
    </row>
    <row r="4778" spans="1:17" ht="15.5" x14ac:dyDescent="0.35">
      <c r="A4778"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4778" s="3" t="str">
        <f>HYPERLINK("https://edmondsonsupply.com/products/klein-tools-32535-10-in-1-10-fold-screwdriver-nut-driver", "https://edmondsonsupply.com/products/klein-tools-32535-10-in-1-10-fold-screwdriver-nut-driver")</f>
        <v>https://edmondsonsupply.com/products/klein-tools-32535-10-in-1-10-fold-screwdriver-nut-driver</v>
      </c>
      <c r="C4778" t="s">
        <v>4368</v>
      </c>
      <c r="D4778" t="s">
        <v>5668</v>
      </c>
      <c r="E4778" s="3" t="str">
        <f>HYPERLINK("https://www.amazon.com/Klein-Tools-32483-Screwdriver-Phillips/dp/B000936PUC/ref=sr_1_6?keywords=Klein+Tools+32535+10-in-1+10+Fold+Screwdriver+%2F+Nut+Driver&amp;qid=1695173914&amp;sr=8-6", "https://www.amazon.com/Klein-Tools-32483-Screwdriver-Phillips/dp/B000936PUC/ref=sr_1_6?keywords=Klein+Tools+32535+10-in-1+10+Fold+Screwdriver+%2F+Nut+Driver&amp;qid=1695173914&amp;sr=8-6")</f>
        <v>https://www.amazon.com/Klein-Tools-32483-Screwdriver-Phillips/dp/B000936PUC/ref=sr_1_6?keywords=Klein+Tools+32535+10-in-1+10+Fold+Screwdriver+%2F+Nut+Driver&amp;qid=1695173914&amp;sr=8-6</v>
      </c>
      <c r="F4778" t="s">
        <v>5669</v>
      </c>
      <c r="G4778" t="e">
        <f ca="1">_xludf.IMAGE("https://edmondsonsupply.com/cdn/shop/products/32535.jpg?v=1633030894")</f>
        <v>#NAME?</v>
      </c>
      <c r="H4778" t="e">
        <f ca="1">_xludf.IMAGE("https://m.media-amazon.com/images/I/51KFiDupheL._AC_UL320_.jpg")</f>
        <v>#NAME?</v>
      </c>
      <c r="I4778" t="s">
        <v>26</v>
      </c>
      <c r="J4778">
        <v>4.99</v>
      </c>
      <c r="K4778" s="4">
        <v>-0.83360000000000001</v>
      </c>
      <c r="L4778">
        <v>4.7</v>
      </c>
      <c r="M4778">
        <v>4276</v>
      </c>
      <c r="O4778" t="s">
        <v>25</v>
      </c>
      <c r="P4778" t="s">
        <v>4371</v>
      </c>
      <c r="Q4778" t="s">
        <v>4372</v>
      </c>
    </row>
    <row r="4779" spans="1:17" ht="15.5" x14ac:dyDescent="0.35">
      <c r="A4779" s="3" t="str">
        <f>HYPERLINK("https://edmondsonsupply.com/collections/electricians-tools/products/diablo-tools-dou125cgp10-1-1-4-in-universal-fit-carbide-oscillating-blade-for-general-purpose-cuts", "https://edmondsonsupply.com/collections/electricians-tools/products/diablo-tools-dou125cgp10-1-1-4-in-universal-fit-carbide-oscillating-blade-for-general-purpose-cuts")</f>
        <v>https://edmondsonsupply.com/collections/electricians-tools/products/diablo-tools-dou125cgp10-1-1-4-in-universal-fit-carbide-oscillating-blade-for-general-purpose-cuts</v>
      </c>
      <c r="B4779" s="3" t="str">
        <f>HYPERLINK("https://edmondsonsupply.com/products/diablo-tools-dou125cgp10-1-1-4-in-universal-fit-carbide-oscillating-blade-for-general-purpose-cuts", "https://edmondsonsupply.com/products/diablo-tools-dou125cgp10-1-1-4-in-universal-fit-carbide-oscillating-blade-for-general-purpose-cuts")</f>
        <v>https://edmondsonsupply.com/products/diablo-tools-dou125cgp10-1-1-4-in-universal-fit-carbide-oscillating-blade-for-general-purpose-cuts</v>
      </c>
      <c r="C4779" t="s">
        <v>9174</v>
      </c>
      <c r="D4779" t="s">
        <v>5949</v>
      </c>
      <c r="E4779" s="3" t="str">
        <f>HYPERLINK("https://www.amazon.com/Diablo-Freud-DOU125CGP-Universal-Oscillating/dp/B089LGJV4X/ref=sr_1_1?keywords=Diablo+Tools+DOU125CGP10+1-1%2F4+in.+Universal+Fit+Carbide+Oscillating+Blade+for+General+Purpose+Cuts+%2810+pk%29&amp;qid=1695174065&amp;sr=8-1", "https://www.amazon.com/Diablo-Freud-DOU125CGP-Universal-Oscillating/dp/B089LGJV4X/ref=sr_1_1?keywords=Diablo+Tools+DOU125CGP10+1-1%2F4+in.+Universal+Fit+Carbide+Oscillating+Blade+for+General+Purpose+Cuts+%2810+pk%29&amp;qid=1695174065&amp;sr=8-1")</f>
        <v>https://www.amazon.com/Diablo-Freud-DOU125CGP-Universal-Oscillating/dp/B089LGJV4X/ref=sr_1_1?keywords=Diablo+Tools+DOU125CGP10+1-1%2F4+in.+Universal+Fit+Carbide+Oscillating+Blade+for+General+Purpose+Cuts+%2810+pk%29&amp;qid=1695174065&amp;sr=8-1</v>
      </c>
      <c r="F4779" t="s">
        <v>5950</v>
      </c>
      <c r="G4779" t="e">
        <f ca="1">_xludf.IMAGE("https://edmondsonsupply.com/cdn/shop/products/htobgrjt150mygkkk6to.webp?v=1677258458")</f>
        <v>#NAME?</v>
      </c>
      <c r="H4779" t="e">
        <f ca="1">_xludf.IMAGE("https://m.media-amazon.com/images/I/71lNEMXVnHL._AC_UL320_.jpg")</f>
        <v>#NAME?</v>
      </c>
      <c r="I4779" t="s">
        <v>8435</v>
      </c>
      <c r="J4779">
        <v>16.989999999999998</v>
      </c>
      <c r="K4779" s="4">
        <v>-0.83819999999999995</v>
      </c>
      <c r="L4779">
        <v>4.5999999999999996</v>
      </c>
      <c r="M4779">
        <v>38</v>
      </c>
      <c r="O4779" t="s">
        <v>171</v>
      </c>
      <c r="P4779" t="s">
        <v>9175</v>
      </c>
      <c r="Q4779" t="s">
        <v>9176</v>
      </c>
    </row>
    <row r="4780" spans="1:17" ht="15.5" x14ac:dyDescent="0.35">
      <c r="A4780" s="3" t="str">
        <f>HYPERLINK("https://edmondsonsupply.com/collections/electricians-tools/products/klein-tools-510212blk-tool-bag-black-canvas-12-inch", "https://edmondsonsupply.com/collections/electricians-tools/products/klein-tools-510212blk-tool-bag-black-canvas-12-inch")</f>
        <v>https://edmondsonsupply.com/collections/electricians-tools/products/klein-tools-510212blk-tool-bag-black-canvas-12-inch</v>
      </c>
      <c r="B4780" s="3" t="str">
        <f>HYPERLINK("https://edmondsonsupply.com/products/klein-tools-510212blk-tool-bag-black-canvas-12-inch", "https://edmondsonsupply.com/products/klein-tools-510212blk-tool-bag-black-canvas-12-inch")</f>
        <v>https://edmondsonsupply.com/products/klein-tools-510212blk-tool-bag-black-canvas-12-inch</v>
      </c>
      <c r="C4780" t="s">
        <v>585</v>
      </c>
      <c r="D4780" t="s">
        <v>805</v>
      </c>
      <c r="E4780" s="3" t="str">
        <f>HYPERLINK("https://www.amazon.com/Klein-Tools-5139B-Cordura-Ballistic/dp/B000OQSS6S/ref=sr_1_5?keywords=Klein+Tools+510212BLK+Tool+Bag%2C+Black+Canvas%2C+12-Inch&amp;qid=1695174136&amp;sr=8-5", "https://www.amazon.com/Klein-Tools-5139B-Cordura-Ballistic/dp/B000OQSS6S/ref=sr_1_5?keywords=Klein+Tools+510212BLK+Tool+Bag%2C+Black+Canvas%2C+12-Inch&amp;qid=1695174136&amp;sr=8-5")</f>
        <v>https://www.amazon.com/Klein-Tools-5139B-Cordura-Ballistic/dp/B000OQSS6S/ref=sr_1_5?keywords=Klein+Tools+510212BLK+Tool+Bag%2C+Black+Canvas%2C+12-Inch&amp;qid=1695174136&amp;sr=8-5</v>
      </c>
      <c r="F4780" t="s">
        <v>806</v>
      </c>
      <c r="G4780" t="e">
        <f ca="1">_xludf.IMAGE("https://edmondsonsupply.com/cdn/shop/products/510212blk.jpg?v=1666026613")</f>
        <v>#NAME?</v>
      </c>
      <c r="H4780" t="e">
        <f ca="1">_xludf.IMAGE("https://m.media-amazon.com/images/I/61oItU6FQmL._AC_UL320_.jpg")</f>
        <v>#NAME?</v>
      </c>
      <c r="I4780" t="s">
        <v>588</v>
      </c>
      <c r="J4780">
        <v>10.99</v>
      </c>
      <c r="K4780" s="4">
        <v>-0.84299999999999997</v>
      </c>
      <c r="L4780">
        <v>4.8</v>
      </c>
      <c r="M4780">
        <v>2712</v>
      </c>
      <c r="O4780" t="s">
        <v>25</v>
      </c>
      <c r="P4780" t="s">
        <v>589</v>
      </c>
      <c r="Q4780" t="s">
        <v>590</v>
      </c>
    </row>
    <row r="4781" spans="1:17" ht="15.5" x14ac:dyDescent="0.35">
      <c r="A4781"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4781" s="3" t="str">
        <f>HYPERLINK("https://edmondsonsupply.com/products/klein-tools-et600-insulation-resistance-tester", "https://edmondsonsupply.com/products/klein-tools-et600-insulation-resistance-tester")</f>
        <v>https://edmondsonsupply.com/products/klein-tools-et600-insulation-resistance-tester</v>
      </c>
      <c r="C4781" t="s">
        <v>6505</v>
      </c>
      <c r="D4781" t="s">
        <v>9198</v>
      </c>
      <c r="E4781" s="3" t="str">
        <f>HYPERLINK("https://www.amazon.com/RLSOCO-Klein-Multimeter-Megohmmeter-Insulation-Tester/dp/B0BYH8S16J/ref=sr_1_6?keywords=Klein+Tools+ET600+Insulation+Resistance+Tester&amp;qid=1695173907&amp;sr=8-6", "https://www.amazon.com/RLSOCO-Klein-Multimeter-Megohmmeter-Insulation-Tester/dp/B0BYH8S16J/ref=sr_1_6?keywords=Klein+Tools+ET600+Insulation+Resistance+Tester&amp;qid=1695173907&amp;sr=8-6")</f>
        <v>https://www.amazon.com/RLSOCO-Klein-Multimeter-Megohmmeter-Insulation-Tester/dp/B0BYH8S16J/ref=sr_1_6?keywords=Klein+Tools+ET600+Insulation+Resistance+Tester&amp;qid=1695173907&amp;sr=8-6</v>
      </c>
      <c r="F4781" t="s">
        <v>9199</v>
      </c>
      <c r="G4781" t="e">
        <f ca="1">_xludf.IMAGE("https://edmondsonsupply.com/cdn/shop/products/et600_accessories_b.jpg?v=1677685603")</f>
        <v>#NAME?</v>
      </c>
      <c r="H4781" t="e">
        <f ca="1">_xludf.IMAGE("https://m.media-amazon.com/images/I/81KLTELWY+L._AC_UY218_.jpg")</f>
        <v>#NAME?</v>
      </c>
      <c r="I4781" t="s">
        <v>6506</v>
      </c>
      <c r="J4781">
        <v>24.99</v>
      </c>
      <c r="K4781" s="4">
        <v>-0.84850000000000003</v>
      </c>
      <c r="L4781">
        <v>4.4000000000000004</v>
      </c>
      <c r="M4781">
        <v>3</v>
      </c>
      <c r="O4781" t="s">
        <v>25</v>
      </c>
      <c r="P4781" t="s">
        <v>6507</v>
      </c>
      <c r="Q4781" t="s">
        <v>6508</v>
      </c>
    </row>
    <row r="4782" spans="1:17" ht="15.5" x14ac:dyDescent="0.35">
      <c r="A4782"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4782" s="3" t="str">
        <f>HYPERLINK("https://edmondsonsupply.com/products/klein-tools-935dagl-digital-level-with-programmable-angles", "https://edmondsonsupply.com/products/klein-tools-935dagl-digital-level-with-programmable-angles")</f>
        <v>https://edmondsonsupply.com/products/klein-tools-935dagl-digital-level-with-programmable-angles</v>
      </c>
      <c r="C4782" t="s">
        <v>7122</v>
      </c>
      <c r="D4782" t="s">
        <v>9200</v>
      </c>
      <c r="E4782" s="3" t="str">
        <f>HYPERLINK("https://www.amazon.com/Klein-Tools-69346-Plumbers-935DAGL/dp/B08ZT2R999/ref=sr_1_4?keywords=Klein+Tools+935DAGL+Digital+Level+with+Programmable+Angles&amp;qid=1695174178&amp;sr=8-4", "https://www.amazon.com/Klein-Tools-69346-Plumbers-935DAGL/dp/B08ZT2R999/ref=sr_1_4?keywords=Klein+Tools+935DAGL+Digital+Level+with+Programmable+Angles&amp;qid=1695174178&amp;sr=8-4")</f>
        <v>https://www.amazon.com/Klein-Tools-69346-Plumbers-935DAGL/dp/B08ZT2R999/ref=sr_1_4?keywords=Klein+Tools+935DAGL+Digital+Level+with+Programmable+Angles&amp;qid=1695174178&amp;sr=8-4</v>
      </c>
      <c r="F4782" t="s">
        <v>9201</v>
      </c>
      <c r="G4782" t="e">
        <f ca="1">_xludf.IMAGE("https://edmondsonsupply.com/cdn/shop/products/935dagl.jpg?v=1660749694")</f>
        <v>#NAME?</v>
      </c>
      <c r="H4782" t="e">
        <f ca="1">_xludf.IMAGE("https://m.media-amazon.com/images/I/51jUEHY1GwL._AC_UL320_.jpg")</f>
        <v>#NAME?</v>
      </c>
      <c r="I4782" t="s">
        <v>5197</v>
      </c>
      <c r="J4782">
        <v>8.99</v>
      </c>
      <c r="K4782" s="4">
        <v>-0.85009999999999997</v>
      </c>
      <c r="L4782">
        <v>4.2</v>
      </c>
      <c r="M4782">
        <v>279</v>
      </c>
      <c r="O4782" t="s">
        <v>25</v>
      </c>
      <c r="P4782" t="s">
        <v>7123</v>
      </c>
      <c r="Q4782" t="s">
        <v>7124</v>
      </c>
    </row>
    <row r="4783" spans="1:17" ht="15.5" x14ac:dyDescent="0.35">
      <c r="A4783"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4783" s="3" t="str">
        <f>HYPERLINK("https://edmondsonsupply.com/products/klein-tools-31870-carbide-hole-cutter-2-1-2-inch", "https://edmondsonsupply.com/products/klein-tools-31870-carbide-hole-cutter-2-1-2-inch")</f>
        <v>https://edmondsonsupply.com/products/klein-tools-31870-carbide-hole-cutter-2-1-2-inch</v>
      </c>
      <c r="C4783" t="s">
        <v>6295</v>
      </c>
      <c r="D4783" t="s">
        <v>8657</v>
      </c>
      <c r="E4783" s="3" t="str">
        <f>HYPERLINK("https://www.amazon.com/Bi-Metal-2-Inch-Klein-Tools-31940/dp/B0171X0J7W/ref=sr_1_6?keywords=Klein+Tools+31870+Carbide+Hole+Cutter%2C+2-1%2F2-Inch&amp;qid=1695174279&amp;sr=8-6", "https://www.amazon.com/Bi-Metal-2-Inch-Klein-Tools-31940/dp/B0171X0J7W/ref=sr_1_6?keywords=Klein+Tools+31870+Carbide+Hole+Cutter%2C+2-1%2F2-Inch&amp;qid=1695174279&amp;sr=8-6")</f>
        <v>https://www.amazon.com/Bi-Metal-2-Inch-Klein-Tools-31940/dp/B0171X0J7W/ref=sr_1_6?keywords=Klein+Tools+31870+Carbide+Hole+Cutter%2C+2-1%2F2-Inch&amp;qid=1695174279&amp;sr=8-6</v>
      </c>
      <c r="F4783" t="s">
        <v>8658</v>
      </c>
      <c r="G4783" t="e">
        <f ca="1">_xludf.IMAGE("https://edmondsonsupply.com/cdn/shop/products/31870_alt1.jpg?v=1633030999")</f>
        <v>#NAME?</v>
      </c>
      <c r="H4783" t="e">
        <f ca="1">_xludf.IMAGE("https://m.media-amazon.com/images/I/41Jwj0FSz4L._AC_UL320_.jpg")</f>
        <v>#NAME?</v>
      </c>
      <c r="I4783" t="s">
        <v>300</v>
      </c>
      <c r="J4783">
        <v>11.98</v>
      </c>
      <c r="K4783" s="4">
        <v>-0.85019999999999996</v>
      </c>
      <c r="L4783">
        <v>4.5999999999999996</v>
      </c>
      <c r="M4783">
        <v>406</v>
      </c>
      <c r="O4783" t="s">
        <v>25</v>
      </c>
      <c r="P4783" t="s">
        <v>6296</v>
      </c>
      <c r="Q4783" t="s">
        <v>6297</v>
      </c>
    </row>
    <row r="4784" spans="1:17" ht="15.5" x14ac:dyDescent="0.35">
      <c r="A4784"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4784"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4784" t="s">
        <v>9080</v>
      </c>
      <c r="D4784" t="s">
        <v>9202</v>
      </c>
      <c r="E4784" s="3" t="str">
        <f>HYPERLINK("https://www.amazon.com/Replacement-48-11-2420-48-11-2440-48-11-2402-48-11-2411/dp/B08H5F4FDF/ref=sr_1_1?keywords=Milwaukee+48-11-2412+M12+REDLITHIUM%E2%84%A2+XC+Battery+Two+Pack&amp;qid=1695174210&amp;sr=8-1", "https://www.amazon.com/Replacement-48-11-2420-48-11-2440-48-11-2402-48-11-2411/dp/B08H5F4FDF/ref=sr_1_1?keywords=Milwaukee+48-11-2412+M12+REDLITHIUM%E2%84%A2+XC+Battery+Two+Pack&amp;qid=1695174210&amp;sr=8-1")</f>
        <v>https://www.amazon.com/Replacement-48-11-2420-48-11-2440-48-11-2402-48-11-2411/dp/B08H5F4FDF/ref=sr_1_1?keywords=Milwaukee+48-11-2412+M12+REDLITHIUM%E2%84%A2+XC+Battery+Two+Pack&amp;qid=1695174210&amp;sr=8-1</v>
      </c>
      <c r="F4784" t="s">
        <v>9203</v>
      </c>
      <c r="G4784" t="e">
        <f ca="1">_xludf.IMAGE("https://edmondsonsupply.com/cdn/shop/products/48-11-2412.jpg?v=1654795924")</f>
        <v>#NAME?</v>
      </c>
      <c r="H4784" t="e">
        <f ca="1">_xludf.IMAGE("https://m.media-amazon.com/images/I/71cGUkJ7ZzL._AC_UL320_.jpg")</f>
        <v>#NAME?</v>
      </c>
      <c r="I4784" t="s">
        <v>739</v>
      </c>
      <c r="J4784">
        <v>18.989999999999998</v>
      </c>
      <c r="K4784" s="4">
        <v>-0.8528</v>
      </c>
      <c r="L4784">
        <v>4.2</v>
      </c>
      <c r="M4784">
        <v>538</v>
      </c>
      <c r="O4784" t="s">
        <v>25</v>
      </c>
      <c r="P4784" t="s">
        <v>9083</v>
      </c>
      <c r="Q4784" t="s">
        <v>9084</v>
      </c>
    </row>
    <row r="4785" spans="1:17" ht="15.5" x14ac:dyDescent="0.35">
      <c r="A4785"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4785" s="3" t="str">
        <f>HYPERLINK("https://edmondsonsupply.com/products/fluke-62-max-mini-infrared-thermometer", "https://edmondsonsupply.com/products/fluke-62-max-mini-infrared-thermometer")</f>
        <v>https://edmondsonsupply.com/products/fluke-62-max-mini-infrared-thermometer</v>
      </c>
      <c r="C4785" t="s">
        <v>2312</v>
      </c>
      <c r="D4785" t="s">
        <v>5704</v>
      </c>
      <c r="E4785" s="3" t="str">
        <f>HYPERLINK("https://www.amazon.com/Aproca-Storage-Travel-Fluke-Thermometer/dp/B07WMQ8G1Q/ref=sr_1_9?keywords=Fluke+62+MAX+Mini+Infrared+Thermometer&amp;qid=1695173898&amp;sr=8-9", "https://www.amazon.com/Aproca-Storage-Travel-Fluke-Thermometer/dp/B07WMQ8G1Q/ref=sr_1_9?keywords=Fluke+62+MAX+Mini+Infrared+Thermometer&amp;qid=1695173898&amp;sr=8-9")</f>
        <v>https://www.amazon.com/Aproca-Storage-Travel-Fluke-Thermometer/dp/B07WMQ8G1Q/ref=sr_1_9?keywords=Fluke+62+MAX+Mini+Infrared+Thermometer&amp;qid=1695173898&amp;sr=8-9</v>
      </c>
      <c r="F4785" t="s">
        <v>5705</v>
      </c>
      <c r="G4785" t="e">
        <f ca="1">_xludf.IMAGE("https://edmondsonsupply.com/cdn/shop/products/62max.jpg?v=1633030769")</f>
        <v>#NAME?</v>
      </c>
      <c r="H4785" t="e">
        <f ca="1">_xludf.IMAGE("https://m.media-amazon.com/images/I/81nOJJ+KQaL._AC_UY218_.jpg")</f>
        <v>#NAME?</v>
      </c>
      <c r="I4785" t="s">
        <v>2315</v>
      </c>
      <c r="J4785">
        <v>16.989999999999998</v>
      </c>
      <c r="K4785" s="4">
        <v>-0.8619</v>
      </c>
      <c r="L4785">
        <v>4.7</v>
      </c>
      <c r="M4785">
        <v>58</v>
      </c>
      <c r="O4785" t="s">
        <v>171</v>
      </c>
      <c r="P4785" t="s">
        <v>460</v>
      </c>
      <c r="Q4785" t="s">
        <v>2316</v>
      </c>
    </row>
    <row r="4786" spans="1:17" ht="15.5" x14ac:dyDescent="0.35">
      <c r="A4786"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4786" s="3" t="str">
        <f>HYPERLINK("https://edmondsonsupply.com/products/fluke-62-max-mini-infrared-thermometer", "https://edmondsonsupply.com/products/fluke-62-max-mini-infrared-thermometer")</f>
        <v>https://edmondsonsupply.com/products/fluke-62-max-mini-infrared-thermometer</v>
      </c>
      <c r="C4786" t="s">
        <v>2312</v>
      </c>
      <c r="D4786" t="s">
        <v>5706</v>
      </c>
      <c r="E4786" s="3" t="str">
        <f>HYPERLINK("https://www.amazon.com/co2crea-Travel-Infrared-Thermometer-Yellow/dp/B08FHPGX3X/ref=sr_1_2?keywords=Fluke+62+MAX+Mini+Infrared+Thermometer&amp;qid=1695173898&amp;sr=8-2", "https://www.amazon.com/co2crea-Travel-Infrared-Thermometer-Yellow/dp/B08FHPGX3X/ref=sr_1_2?keywords=Fluke+62+MAX+Mini+Infrared+Thermometer&amp;qid=1695173898&amp;sr=8-2")</f>
        <v>https://www.amazon.com/co2crea-Travel-Infrared-Thermometer-Yellow/dp/B08FHPGX3X/ref=sr_1_2?keywords=Fluke+62+MAX+Mini+Infrared+Thermometer&amp;qid=1695173898&amp;sr=8-2</v>
      </c>
      <c r="F4786" t="s">
        <v>5707</v>
      </c>
      <c r="G4786" t="e">
        <f ca="1">_xludf.IMAGE("https://edmondsonsupply.com/cdn/shop/products/62max.jpg?v=1633030769")</f>
        <v>#NAME?</v>
      </c>
      <c r="H4786" t="e">
        <f ca="1">_xludf.IMAGE("https://m.media-amazon.com/images/I/819lhKmR58L._AC_UY218_.jpg")</f>
        <v>#NAME?</v>
      </c>
      <c r="I4786" t="s">
        <v>2315</v>
      </c>
      <c r="J4786">
        <v>16.989999999999998</v>
      </c>
      <c r="K4786" s="4">
        <v>-0.8619</v>
      </c>
      <c r="L4786">
        <v>4.5999999999999996</v>
      </c>
      <c r="M4786">
        <v>519</v>
      </c>
      <c r="O4786" t="s">
        <v>171</v>
      </c>
      <c r="P4786" t="s">
        <v>460</v>
      </c>
      <c r="Q4786" t="s">
        <v>2316</v>
      </c>
    </row>
    <row r="4787" spans="1:17" ht="15.5" x14ac:dyDescent="0.35">
      <c r="A4787" s="3" t="str">
        <f>HYPERLINK("https://edmondsonsupply.com/collections/electricians-tools/products/klein-tools-56115-fiberglass-fish-tape-repair-kit", "https://edmondsonsupply.com/collections/electricians-tools/products/klein-tools-56115-fiberglass-fish-tape-repair-kit")</f>
        <v>https://edmondsonsupply.com/collections/electricians-tools/products/klein-tools-56115-fiberglass-fish-tape-repair-kit</v>
      </c>
      <c r="B4787" s="3" t="str">
        <f>HYPERLINK("https://edmondsonsupply.com/products/klein-tools-56115-fiberglass-fish-tape-repair-kit", "https://edmondsonsupply.com/products/klein-tools-56115-fiberglass-fish-tape-repair-kit")</f>
        <v>https://edmondsonsupply.com/products/klein-tools-56115-fiberglass-fish-tape-repair-kit</v>
      </c>
      <c r="C4787" t="s">
        <v>8459</v>
      </c>
      <c r="D4787" t="s">
        <v>9204</v>
      </c>
      <c r="E4787" s="3" t="str">
        <f>HYPERLINK("https://www.amazon.com/Klein-Tools-56025-Non-conductive-Repair/dp/B00HAN9204/ref=sr_1_2?keywords=Klein+Tools+56115+Fiberglass+Fish+Tape+Repair+Kit&amp;qid=1695174148&amp;sr=8-2", "https://www.amazon.com/Klein-Tools-56025-Non-conductive-Repair/dp/B00HAN9204/ref=sr_1_2?keywords=Klein+Tools+56115+Fiberglass+Fish+Tape+Repair+Kit&amp;qid=1695174148&amp;sr=8-2")</f>
        <v>https://www.amazon.com/Klein-Tools-56025-Non-conductive-Repair/dp/B00HAN9204/ref=sr_1_2?keywords=Klein+Tools+56115+Fiberglass+Fish+Tape+Repair+Kit&amp;qid=1695174148&amp;sr=8-2</v>
      </c>
      <c r="F4787" t="s">
        <v>9205</v>
      </c>
      <c r="G4787" t="e">
        <f ca="1">_xludf.IMAGE("https://edmondsonsupply.com/cdn/shop/products/56115.jpg?v=1666107209")</f>
        <v>#NAME?</v>
      </c>
      <c r="H4787" t="e">
        <f ca="1">_xludf.IMAGE("https://m.media-amazon.com/images/I/61oANbkd41L._AC_UL320_.jpg")</f>
        <v>#NAME?</v>
      </c>
      <c r="I4787" t="s">
        <v>4155</v>
      </c>
      <c r="J4787">
        <v>19.989999999999998</v>
      </c>
      <c r="K4787" s="4">
        <v>-0.86670000000000003</v>
      </c>
      <c r="L4787">
        <v>4.5</v>
      </c>
      <c r="M4787">
        <v>194</v>
      </c>
      <c r="O4787" t="s">
        <v>25</v>
      </c>
      <c r="P4787" t="s">
        <v>8462</v>
      </c>
      <c r="Q4787" t="s">
        <v>8463</v>
      </c>
    </row>
    <row r="4788" spans="1:17" ht="15.5" x14ac:dyDescent="0.35">
      <c r="A4788"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4788" s="3" t="str">
        <f>HYPERLINK("https://edmondsonsupply.com/products/klein-tools-et450-advanced-circuit-tracer-kit", "https://edmondsonsupply.com/products/klein-tools-et450-advanced-circuit-tracer-kit")</f>
        <v>https://edmondsonsupply.com/products/klein-tools-et450-advanced-circuit-tracer-kit</v>
      </c>
      <c r="C4788" t="s">
        <v>2849</v>
      </c>
      <c r="D4788" t="s">
        <v>5713</v>
      </c>
      <c r="E4788" s="3" t="str">
        <f>HYPERLINK("https://www.amazon.com/RLSOCO-Advanced-Circuit-Kit-Compact-Organizer/dp/B0BVVRMV9H/ref=sr_1_2?keywords=Klein+Tools+ET450+Advanced+Circuit+Tracer+Kit&amp;qid=1695173869&amp;sr=8-2", "https://www.amazon.com/RLSOCO-Advanced-Circuit-Kit-Compact-Organizer/dp/B0BVVRMV9H/ref=sr_1_2?keywords=Klein+Tools+ET450+Advanced+Circuit+Tracer+Kit&amp;qid=1695173869&amp;sr=8-2")</f>
        <v>https://www.amazon.com/RLSOCO-Advanced-Circuit-Kit-Compact-Organizer/dp/B0BVVRMV9H/ref=sr_1_2?keywords=Klein+Tools+ET450+Advanced+Circuit+Tracer+Kit&amp;qid=1695173869&amp;sr=8-2</v>
      </c>
      <c r="F4788" t="s">
        <v>5714</v>
      </c>
      <c r="G4788" t="e">
        <f ca="1">_xludf.IMAGE("https://edmondsonsupply.com/cdn/shop/products/et450.jpg?v=1660165248")</f>
        <v>#NAME?</v>
      </c>
      <c r="H4788" t="e">
        <f ca="1">_xludf.IMAGE("https://m.media-amazon.com/images/I/81VXJWrj4rL._AC_UL320_.jpg")</f>
        <v>#NAME?</v>
      </c>
      <c r="I4788" t="s">
        <v>759</v>
      </c>
      <c r="J4788">
        <v>28.99</v>
      </c>
      <c r="K4788" s="4">
        <v>-0.87919999999999998</v>
      </c>
      <c r="L4788">
        <v>4.4000000000000004</v>
      </c>
      <c r="M4788">
        <v>17</v>
      </c>
      <c r="O4788" t="s">
        <v>25</v>
      </c>
      <c r="P4788" t="s">
        <v>2852</v>
      </c>
      <c r="Q4788" t="s">
        <v>2853</v>
      </c>
    </row>
    <row r="4789" spans="1:17" ht="15.5" x14ac:dyDescent="0.35">
      <c r="A4789"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4789" s="3" t="str">
        <f>HYPERLINK("https://edmondsonsupply.com/products/klein-tools-80028-electricians-tool-kit-28-piece", "https://edmondsonsupply.com/products/klein-tools-80028-electricians-tool-kit-28-piece")</f>
        <v>https://edmondsonsupply.com/products/klein-tools-80028-electricians-tool-kit-28-piece</v>
      </c>
      <c r="C4789" t="s">
        <v>4066</v>
      </c>
      <c r="D4789" t="s">
        <v>5715</v>
      </c>
      <c r="E4789" s="3" t="str">
        <f>HYPERLINK("https://www.amazon.com/Klein-Tools-80019-Screwdriver-Industrial/dp/B08VW84W2G/ref=sr_1_5?keywords=Klein+Tools+80028+Electrician%27s+Tool+Kit%2C+28-Piece&amp;qid=1695173883&amp;sr=8-5", "https://www.amazon.com/Klein-Tools-80019-Screwdriver-Industrial/dp/B08VW84W2G/ref=sr_1_5?keywords=Klein+Tools+80028+Electrician%27s+Tool+Kit%2C+28-Piece&amp;qid=1695173883&amp;sr=8-5")</f>
        <v>https://www.amazon.com/Klein-Tools-80019-Screwdriver-Industrial/dp/B08VW84W2G/ref=sr_1_5?keywords=Klein+Tools+80028+Electrician%27s+Tool+Kit%2C+28-Piece&amp;qid=1695173883&amp;sr=8-5</v>
      </c>
      <c r="F4789" t="s">
        <v>5716</v>
      </c>
      <c r="G4789" t="e">
        <f ca="1">_xludf.IMAGE("https://edmondsonsupply.com/cdn/shop/files/80028_d.jpg?v=1686062794")</f>
        <v>#NAME?</v>
      </c>
      <c r="H4789" t="e">
        <f ca="1">_xludf.IMAGE("https://m.media-amazon.com/images/I/61UoMiQVT8L._AC_UL320_.jpg")</f>
        <v>#NAME?</v>
      </c>
      <c r="I4789" t="s">
        <v>4069</v>
      </c>
      <c r="J4789">
        <v>49.99</v>
      </c>
      <c r="K4789" s="4">
        <v>-0.87949999999999995</v>
      </c>
      <c r="L4789">
        <v>4.8</v>
      </c>
      <c r="M4789">
        <v>1119</v>
      </c>
      <c r="O4789" t="s">
        <v>25</v>
      </c>
      <c r="P4789" t="s">
        <v>4070</v>
      </c>
      <c r="Q4789" t="s">
        <v>4071</v>
      </c>
    </row>
    <row r="4790" spans="1:17" ht="15.5" x14ac:dyDescent="0.35">
      <c r="A4790"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4790" s="3" t="str">
        <f>HYPERLINK("https://edmondsonsupply.com/products/klein-tools-31902-bi-metal-hole-saw-kit-8-piece", "https://edmondsonsupply.com/products/klein-tools-31902-bi-metal-hole-saw-kit-8-piece")</f>
        <v>https://edmondsonsupply.com/products/klein-tools-31902-bi-metal-hole-saw-kit-8-piece</v>
      </c>
      <c r="C4790" t="s">
        <v>6259</v>
      </c>
      <c r="D4790" t="s">
        <v>6049</v>
      </c>
      <c r="E4790" s="3" t="str">
        <f>HYPERLINK("https://www.amazon.com/Bi-Metal-8-Inch-Klein-Tools-31922/dp/B019874Q0K/ref=sr_1_7?keywords=Klein+Tools+31902+Bi-Metal+Hole+Saw+Kit%2C+8-Piece&amp;qid=1695174040&amp;sr=8-7", "https://www.amazon.com/Bi-Metal-8-Inch-Klein-Tools-31922/dp/B019874Q0K/ref=sr_1_7?keywords=Klein+Tools+31902+Bi-Metal+Hole+Saw+Kit%2C+8-Piece&amp;qid=1695174040&amp;sr=8-7")</f>
        <v>https://www.amazon.com/Bi-Metal-8-Inch-Klein-Tools-31922/dp/B019874Q0K/ref=sr_1_7?keywords=Klein+Tools+31902+Bi-Metal+Hole+Saw+Kit%2C+8-Piece&amp;qid=1695174040&amp;sr=8-7</v>
      </c>
      <c r="F4790" t="s">
        <v>7576</v>
      </c>
      <c r="G4790" t="e">
        <f ca="1">_xludf.IMAGE("https://edmondsonsupply.com/cdn/shop/products/31902.jpg?v=1679665390")</f>
        <v>#NAME?</v>
      </c>
      <c r="H4790" t="e">
        <f ca="1">_xludf.IMAGE("https://m.media-amazon.com/images/I/41GAmyLoB4L._AC_UL320_.jpg")</f>
        <v>#NAME?</v>
      </c>
      <c r="I4790" t="s">
        <v>320</v>
      </c>
      <c r="J4790">
        <v>8.99</v>
      </c>
      <c r="K4790" s="4">
        <v>-0.88009999999999999</v>
      </c>
      <c r="L4790">
        <v>4.5</v>
      </c>
      <c r="M4790">
        <v>366</v>
      </c>
      <c r="O4790" t="s">
        <v>25</v>
      </c>
      <c r="P4790" t="s">
        <v>6260</v>
      </c>
      <c r="Q4790" t="s">
        <v>6261</v>
      </c>
    </row>
    <row r="4791" spans="1:17" ht="15.5" x14ac:dyDescent="0.35">
      <c r="A4791"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4791" s="3" t="str">
        <f>HYPERLINK("https://edmondsonsupply.com/products/klein-tools-31902-bi-metal-hole-saw-kit-8-piece", "https://edmondsonsupply.com/products/klein-tools-31902-bi-metal-hole-saw-kit-8-piece")</f>
        <v>https://edmondsonsupply.com/products/klein-tools-31902-bi-metal-hole-saw-kit-8-piece</v>
      </c>
      <c r="C4791" t="s">
        <v>6259</v>
      </c>
      <c r="D4791" t="s">
        <v>9206</v>
      </c>
      <c r="E4791" s="3" t="str">
        <f>HYPERLINK("https://www.amazon.com/Bi-Metal-SUNGATOR-14-Piece-General-Drywall/dp/B07N1KNR4M/ref=sr_1_8?keywords=Klein+Tools+31902+Bi-Metal+Hole+Saw+Kit%2C+8-Piece&amp;qid=1695174040&amp;sr=8-8", "https://www.amazon.com/Bi-Metal-SUNGATOR-14-Piece-General-Drywall/dp/B07N1KNR4M/ref=sr_1_8?keywords=Klein+Tools+31902+Bi-Metal+Hole+Saw+Kit%2C+8-Piece&amp;qid=1695174040&amp;sr=8-8")</f>
        <v>https://www.amazon.com/Bi-Metal-SUNGATOR-14-Piece-General-Drywall/dp/B07N1KNR4M/ref=sr_1_8?keywords=Klein+Tools+31902+Bi-Metal+Hole+Saw+Kit%2C+8-Piece&amp;qid=1695174040&amp;sr=8-8</v>
      </c>
      <c r="F4791" t="s">
        <v>9207</v>
      </c>
      <c r="G4791" t="e">
        <f ca="1">_xludf.IMAGE("https://edmondsonsupply.com/cdn/shop/products/31902.jpg?v=1679665390")</f>
        <v>#NAME?</v>
      </c>
      <c r="H4791" t="e">
        <f ca="1">_xludf.IMAGE("https://m.media-amazon.com/images/I/61hKcjE+14L._AC_UL320_.jpg")</f>
        <v>#NAME?</v>
      </c>
      <c r="I4791" t="s">
        <v>320</v>
      </c>
      <c r="J4791">
        <v>8.99</v>
      </c>
      <c r="K4791" s="4">
        <v>-0.88009999999999999</v>
      </c>
      <c r="L4791">
        <v>4.4000000000000004</v>
      </c>
      <c r="M4791">
        <v>3398</v>
      </c>
      <c r="O4791" t="s">
        <v>25</v>
      </c>
      <c r="P4791" t="s">
        <v>6260</v>
      </c>
      <c r="Q4791" t="s">
        <v>6261</v>
      </c>
    </row>
    <row r="4792" spans="1:17" ht="15.5" x14ac:dyDescent="0.35">
      <c r="A4792" s="3" t="str">
        <f>HYPERLINK("https://edmondsonsupply.com/collections/electricians-tools/products/milwaukee-0970-20-m18-fuel%E2%84%A2-packout%E2%84%A2-2-5-gallon-wet-dry-vacuum", "https://edmondsonsupply.com/collections/electricians-tools/products/milwaukee-0970-20-m18-fuel%E2%84%A2-packout%E2%84%A2-2-5-gallon-wet-dry-vacuum")</f>
        <v>https://edmondsonsupply.com/collections/electricians-tools/products/milwaukee-0970-20-m18-fuel%E2%84%A2-packout%E2%84%A2-2-5-gallon-wet-dry-vacuum</v>
      </c>
      <c r="B4792"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4792" t="s">
        <v>4882</v>
      </c>
      <c r="D4792" t="s">
        <v>5717</v>
      </c>
      <c r="E4792" s="3" t="str">
        <f>HYPERLINK("https://www.amazon.com/KitchenKipper-14-37-0016-Assembly-Compatible-Milwaukee/dp/B0C5QLZ8LK/ref=sr_1_3?keywords=Milwaukee+0970-20+M18+FUEL%E2%84%A2+PACKOUT%E2%84%A2+2.5+Gallon+Wet%2FDry+Vacuum&amp;qid=1695173920&amp;sr=8-3", "https://www.amazon.com/KitchenKipper-14-37-0016-Assembly-Compatible-Milwaukee/dp/B0C5QLZ8LK/ref=sr_1_3?keywords=Milwaukee+0970-20+M18+FUEL%E2%84%A2+PACKOUT%E2%84%A2+2.5+Gallon+Wet%2FDry+Vacuum&amp;qid=1695173920&amp;sr=8-3")</f>
        <v>https://www.amazon.com/KitchenKipper-14-37-0016-Assembly-Compatible-Milwaukee/dp/B0C5QLZ8LK/ref=sr_1_3?keywords=Milwaukee+0970-20+M18+FUEL%E2%84%A2+PACKOUT%E2%84%A2+2.5+Gallon+Wet%2FDry+Vacuum&amp;qid=1695173920&amp;sr=8-3</v>
      </c>
      <c r="F4792" t="s">
        <v>5718</v>
      </c>
      <c r="G4792" t="e">
        <f ca="1">_xludf.IMAGE("https://edmondsonsupply.com/cdn/shop/products/0970-20_3webp.webp?v=1668442362")</f>
        <v>#NAME?</v>
      </c>
      <c r="H4792" t="e">
        <f ca="1">_xludf.IMAGE("https://m.media-amazon.com/images/I/51+EmXP9D+L._AC_UL320_.jpg")</f>
        <v>#NAME?</v>
      </c>
      <c r="I4792" t="s">
        <v>715</v>
      </c>
      <c r="J4792">
        <v>22.99</v>
      </c>
      <c r="K4792" s="4">
        <v>-0.88449999999999995</v>
      </c>
      <c r="L4792">
        <v>5</v>
      </c>
      <c r="M4792">
        <v>3</v>
      </c>
      <c r="O4792" t="s">
        <v>171</v>
      </c>
      <c r="P4792" t="s">
        <v>4885</v>
      </c>
      <c r="Q4792" t="s">
        <v>4886</v>
      </c>
    </row>
    <row r="4793" spans="1:17" ht="15.5" x14ac:dyDescent="0.35">
      <c r="A4793" s="3" t="str">
        <f>HYPERLINK("https://edmondsonsupply.com/collections/electricians-tools/products/milwaukee-2554-20-m12-fuel%E2%84%A2-3-8-stubby-impact-wrench-tool-only", "https://edmondsonsupply.com/collections/electricians-tools/products/milwaukee-2554-20-m12-fuel%E2%84%A2-3-8-stubby-impact-wrench-tool-only")</f>
        <v>https://edmondsonsupply.com/collections/electricians-tools/products/milwaukee-2554-20-m12-fuel%E2%84%A2-3-8-stubby-impact-wrench-tool-only</v>
      </c>
      <c r="B4793" s="3" t="str">
        <f>HYPERLINK("https://edmondsonsupply.com/products/milwaukee-2554-20-m12-fuel%e2%84%a2-3-8-stubby-impact-wrench-tool-only", "https://edmondsonsupply.com/products/milwaukee-2554-20-m12-fuel%e2%84%a2-3-8-stubby-impact-wrench-tool-only")</f>
        <v>https://edmondsonsupply.com/products/milwaukee-2554-20-m12-fuel%e2%84%a2-3-8-stubby-impact-wrench-tool-only</v>
      </c>
      <c r="C4793" t="s">
        <v>9208</v>
      </c>
      <c r="D4793" t="s">
        <v>9209</v>
      </c>
      <c r="E4793" s="3" t="str">
        <f>HYPERLINK("https://www.amazon.com/Khanka-Storage-Replacement-Milwaukee-2554-20/dp/B09Y1XBLTR/ref=sr_1_3?keywords=Milwaukee+2554-20+M12+FUEL%E2%84%A2+3%2F8%22+Stubby+Impact+Wrench+%28Tool+Only%29&amp;qid=1695174093&amp;sr=8-3", "https://www.amazon.com/Khanka-Storage-Replacement-Milwaukee-2554-20/dp/B09Y1XBLTR/ref=sr_1_3?keywords=Milwaukee+2554-20+M12+FUEL%E2%84%A2+3%2F8%22+Stubby+Impact+Wrench+%28Tool+Only%29&amp;qid=1695174093&amp;sr=8-3")</f>
        <v>https://www.amazon.com/Khanka-Storage-Replacement-Milwaukee-2554-20/dp/B09Y1XBLTR/ref=sr_1_3?keywords=Milwaukee+2554-20+M12+FUEL%E2%84%A2+3%2F8%22+Stubby+Impact+Wrench+%28Tool+Only%29&amp;qid=1695174093&amp;sr=8-3</v>
      </c>
      <c r="F4793" t="s">
        <v>9210</v>
      </c>
      <c r="G4793" t="e">
        <f ca="1">_xludf.IMAGE("https://edmondsonsupply.com/cdn/shop/products/2554-20_1.webp?v=1671646494")</f>
        <v>#NAME?</v>
      </c>
      <c r="H4793" t="e">
        <f ca="1">_xludf.IMAGE("https://m.media-amazon.com/images/I/81IKdaIxH0L._AC_UL320_.jpg")</f>
        <v>#NAME?</v>
      </c>
      <c r="I4793" t="s">
        <v>715</v>
      </c>
      <c r="J4793">
        <v>22.99</v>
      </c>
      <c r="K4793" s="4">
        <v>-0.88449999999999995</v>
      </c>
      <c r="L4793">
        <v>4.8</v>
      </c>
      <c r="M4793">
        <v>96</v>
      </c>
      <c r="O4793" t="s">
        <v>25</v>
      </c>
      <c r="P4793" t="s">
        <v>9211</v>
      </c>
      <c r="Q4793" t="s">
        <v>9212</v>
      </c>
    </row>
    <row r="4794" spans="1:17" ht="15.5" x14ac:dyDescent="0.35">
      <c r="A4794"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4794"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4794" t="s">
        <v>9181</v>
      </c>
      <c r="D4794" t="s">
        <v>9213</v>
      </c>
      <c r="E4794" s="3" t="str">
        <f>HYPERLINK("https://www.amazon.com/48-44-2872-Brushless-Milwaukee-Rotatable-Markings%EF%BC%8C1/dp/B0C1FVXFHM/ref=sr_1_6?keywords=Milwaukee+2872-20+M18%E2%84%A2+Brushless+Threaded+Rod+Cutter+%28Tool+Only%29&amp;qid=1695174132&amp;sr=8-6", "https://www.amazon.com/48-44-2872-Brushless-Milwaukee-Rotatable-Markings%EF%BC%8C1/dp/B0C1FVXFHM/ref=sr_1_6?keywords=Milwaukee+2872-20+M18%E2%84%A2+Brushless+Threaded+Rod+Cutter+%28Tool+Only%29&amp;qid=1695174132&amp;sr=8-6")</f>
        <v>https://www.amazon.com/48-44-2872-Brushless-Milwaukee-Rotatable-Markings%EF%BC%8C1/dp/B0C1FVXFHM/ref=sr_1_6?keywords=Milwaukee+2872-20+M18%E2%84%A2+Brushless+Threaded+Rod+Cutter+%28Tool+Only%29&amp;qid=1695174132&amp;sr=8-6</v>
      </c>
      <c r="F4794" t="s">
        <v>9214</v>
      </c>
      <c r="G4794" t="e">
        <f ca="1">_xludf.IMAGE("https://edmondsonsupply.com/cdn/shop/products/2872-20_2.webp?v=1668024311")</f>
        <v>#NAME?</v>
      </c>
      <c r="H4794" t="e">
        <f ca="1">_xludf.IMAGE("https://m.media-amazon.com/images/I/51KlpQmcnDL._AC_UL320_.jpg")</f>
        <v>#NAME?</v>
      </c>
      <c r="I4794" t="s">
        <v>9184</v>
      </c>
      <c r="J4794">
        <v>37.99</v>
      </c>
      <c r="K4794" s="4">
        <v>-0.89149999999999996</v>
      </c>
      <c r="L4794">
        <v>4.2</v>
      </c>
      <c r="M4794">
        <v>4</v>
      </c>
      <c r="O4794" t="s">
        <v>25</v>
      </c>
      <c r="P4794" t="s">
        <v>9185</v>
      </c>
      <c r="Q4794" t="s">
        <v>9186</v>
      </c>
    </row>
    <row r="4795" spans="1:17" ht="15.5" x14ac:dyDescent="0.35">
      <c r="A4795"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4795"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4795" t="s">
        <v>9181</v>
      </c>
      <c r="D4795" t="s">
        <v>9215</v>
      </c>
      <c r="E4795" s="3" t="str">
        <f>HYPERLINK("https://www.amazon.com/Fortool-48-44-2872-Replacement-Milwaukee-Brushless/dp/B0B15BFYP1/ref=sr_1_2?keywords=Milwaukee+2872-20+M18%E2%84%A2+Brushless+Threaded+Rod+Cutter+%28Tool+Only%29&amp;qid=1695174132&amp;sr=8-2", "https://www.amazon.com/Fortool-48-44-2872-Replacement-Milwaukee-Brushless/dp/B0B15BFYP1/ref=sr_1_2?keywords=Milwaukee+2872-20+M18%E2%84%A2+Brushless+Threaded+Rod+Cutter+%28Tool+Only%29&amp;qid=1695174132&amp;sr=8-2")</f>
        <v>https://www.amazon.com/Fortool-48-44-2872-Replacement-Milwaukee-Brushless/dp/B0B15BFYP1/ref=sr_1_2?keywords=Milwaukee+2872-20+M18%E2%84%A2+Brushless+Threaded+Rod+Cutter+%28Tool+Only%29&amp;qid=1695174132&amp;sr=8-2</v>
      </c>
      <c r="F4795" t="s">
        <v>9216</v>
      </c>
      <c r="G4795" t="e">
        <f ca="1">_xludf.IMAGE("https://edmondsonsupply.com/cdn/shop/products/2872-20_2.webp?v=1668024311")</f>
        <v>#NAME?</v>
      </c>
      <c r="H4795" t="e">
        <f ca="1">_xludf.IMAGE("https://m.media-amazon.com/images/I/81-M-iQ0pSL._AC_UL320_.jpg")</f>
        <v>#NAME?</v>
      </c>
      <c r="I4795" t="s">
        <v>9184</v>
      </c>
      <c r="J4795">
        <v>37.950000000000003</v>
      </c>
      <c r="K4795" s="4">
        <v>-0.89159999999999995</v>
      </c>
      <c r="L4795">
        <v>5</v>
      </c>
      <c r="M4795">
        <v>8</v>
      </c>
      <c r="O4795" t="s">
        <v>25</v>
      </c>
      <c r="P4795" t="s">
        <v>9185</v>
      </c>
      <c r="Q4795" t="s">
        <v>9186</v>
      </c>
    </row>
    <row r="4796" spans="1:17" ht="15.5" x14ac:dyDescent="0.35">
      <c r="A4796"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4796"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4796" t="s">
        <v>9181</v>
      </c>
      <c r="D4796" t="s">
        <v>9217</v>
      </c>
      <c r="E4796" s="3" t="str">
        <f>HYPERLINK("https://www.amazon.com/48-44-2872-Replacement-Milwaukee-Brushless-Rotatable/dp/B0C1BLM5YH/ref=sr_1_1?keywords=Milwaukee+2872-20+M18%E2%84%A2+Brushless+Threaded+Rod+Cutter+%28Tool+Only%29&amp;qid=1695174132&amp;sr=8-1", "https://www.amazon.com/48-44-2872-Replacement-Milwaukee-Brushless-Rotatable/dp/B0C1BLM5YH/ref=sr_1_1?keywords=Milwaukee+2872-20+M18%E2%84%A2+Brushless+Threaded+Rod+Cutter+%28Tool+Only%29&amp;qid=1695174132&amp;sr=8-1")</f>
        <v>https://www.amazon.com/48-44-2872-Replacement-Milwaukee-Brushless-Rotatable/dp/B0C1BLM5YH/ref=sr_1_1?keywords=Milwaukee+2872-20+M18%E2%84%A2+Brushless+Threaded+Rod+Cutter+%28Tool+Only%29&amp;qid=1695174132&amp;sr=8-1</v>
      </c>
      <c r="F4796" t="s">
        <v>9218</v>
      </c>
      <c r="G4796" t="e">
        <f ca="1">_xludf.IMAGE("https://edmondsonsupply.com/cdn/shop/products/2872-20_2.webp?v=1668024311")</f>
        <v>#NAME?</v>
      </c>
      <c r="H4796" t="e">
        <f ca="1">_xludf.IMAGE("https://m.media-amazon.com/images/I/61MNql9nzLL._AC_UL320_.jpg")</f>
        <v>#NAME?</v>
      </c>
      <c r="I4796" t="s">
        <v>9184</v>
      </c>
      <c r="J4796">
        <v>37.19</v>
      </c>
      <c r="K4796" s="4">
        <v>-0.89370000000000005</v>
      </c>
      <c r="L4796">
        <v>1</v>
      </c>
      <c r="M4796">
        <v>1</v>
      </c>
      <c r="O4796" t="s">
        <v>25</v>
      </c>
      <c r="P4796" t="s">
        <v>9185</v>
      </c>
      <c r="Q4796" t="s">
        <v>9186</v>
      </c>
    </row>
    <row r="4797" spans="1:17" ht="15.5" x14ac:dyDescent="0.35">
      <c r="A4797"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4797"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4797" t="s">
        <v>9181</v>
      </c>
      <c r="D4797" t="s">
        <v>9219</v>
      </c>
      <c r="E4797" s="3" t="str">
        <f>HYPERLINK("https://www.amazon.com/48-44-2872-Replacement-2872-20-2872-21-XTPTFABS/dp/B0BV6P4JZT/ref=sr_1_8?keywords=Milwaukee+2872-20+M18%E2%84%A2+Brushless+Threaded+Rod+Cutter+%28Tool+Only%29&amp;qid=1695174132&amp;sr=8-8", "https://www.amazon.com/48-44-2872-Replacement-2872-20-2872-21-XTPTFABS/dp/B0BV6P4JZT/ref=sr_1_8?keywords=Milwaukee+2872-20+M18%E2%84%A2+Brushless+Threaded+Rod+Cutter+%28Tool+Only%29&amp;qid=1695174132&amp;sr=8-8")</f>
        <v>https://www.amazon.com/48-44-2872-Replacement-2872-20-2872-21-XTPTFABS/dp/B0BV6P4JZT/ref=sr_1_8?keywords=Milwaukee+2872-20+M18%E2%84%A2+Brushless+Threaded+Rod+Cutter+%28Tool+Only%29&amp;qid=1695174132&amp;sr=8-8</v>
      </c>
      <c r="F4797" t="s">
        <v>9220</v>
      </c>
      <c r="G4797" t="e">
        <f ca="1">_xludf.IMAGE("https://edmondsonsupply.com/cdn/shop/products/2872-20_2.webp?v=1668024311")</f>
        <v>#NAME?</v>
      </c>
      <c r="H4797" t="e">
        <f ca="1">_xludf.IMAGE("https://m.media-amazon.com/images/I/512Dj4yfDVL._AC_UL320_.jpg")</f>
        <v>#NAME?</v>
      </c>
      <c r="I4797" t="s">
        <v>9184</v>
      </c>
      <c r="J4797">
        <v>35.99</v>
      </c>
      <c r="K4797" s="4">
        <v>-0.8972</v>
      </c>
      <c r="L4797">
        <v>3</v>
      </c>
      <c r="M4797">
        <v>4</v>
      </c>
      <c r="O4797" t="s">
        <v>25</v>
      </c>
      <c r="P4797" t="s">
        <v>9185</v>
      </c>
      <c r="Q4797" t="s">
        <v>9186</v>
      </c>
    </row>
    <row r="4798" spans="1:17" ht="15.5" x14ac:dyDescent="0.35">
      <c r="A4798" s="3" t="str">
        <f>HYPERLINK("https://edmondsonsupply.com/collections/electricians-tools/products/milwaukee-0970-20-m18-fuel%E2%84%A2-packout%E2%84%A2-2-5-gallon-wet-dry-vacuum", "https://edmondsonsupply.com/collections/electricians-tools/products/milwaukee-0970-20-m18-fuel%E2%84%A2-packout%E2%84%A2-2-5-gallon-wet-dry-vacuum")</f>
        <v>https://edmondsonsupply.com/collections/electricians-tools/products/milwaukee-0970-20-m18-fuel%E2%84%A2-packout%E2%84%A2-2-5-gallon-wet-dry-vacuum</v>
      </c>
      <c r="B4798"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4798" t="s">
        <v>4882</v>
      </c>
      <c r="D4798" t="s">
        <v>5727</v>
      </c>
      <c r="E4798" s="3" t="str">
        <f>HYPERLINK("https://www.amazon.com/Aryavos-Replacement-49-90-1900-Compatible-Milwaukee/dp/B0B7M6DM8K/ref=sr_1_4?keywords=Milwaukee+0970-20+M18+FUEL%E2%84%A2+PACKOUT%E2%84%A2+2.5+Gallon+Wet%2FDry+Vacuum&amp;qid=1695173920&amp;sr=8-4", "https://www.amazon.com/Aryavos-Replacement-49-90-1900-Compatible-Milwaukee/dp/B0B7M6DM8K/ref=sr_1_4?keywords=Milwaukee+0970-20+M18+FUEL%E2%84%A2+PACKOUT%E2%84%A2+2.5+Gallon+Wet%2FDry+Vacuum&amp;qid=1695173920&amp;sr=8-4")</f>
        <v>https://www.amazon.com/Aryavos-Replacement-49-90-1900-Compatible-Milwaukee/dp/B0B7M6DM8K/ref=sr_1_4?keywords=Milwaukee+0970-20+M18+FUEL%E2%84%A2+PACKOUT%E2%84%A2+2.5+Gallon+Wet%2FDry+Vacuum&amp;qid=1695173920&amp;sr=8-4</v>
      </c>
      <c r="F4798" t="s">
        <v>5728</v>
      </c>
      <c r="G4798" t="e">
        <f ca="1">_xludf.IMAGE("https://edmondsonsupply.com/cdn/shop/products/0970-20_3webp.webp?v=1668442362")</f>
        <v>#NAME?</v>
      </c>
      <c r="H4798" t="e">
        <f ca="1">_xludf.IMAGE("https://m.media-amazon.com/images/I/61qFe9bSfoL._AC_UL320_.jpg")</f>
        <v>#NAME?</v>
      </c>
      <c r="I4798" t="s">
        <v>715</v>
      </c>
      <c r="J4798">
        <v>18.989999999999998</v>
      </c>
      <c r="K4798" s="4">
        <v>-0.90459999999999996</v>
      </c>
      <c r="L4798">
        <v>4.4000000000000004</v>
      </c>
      <c r="M4798">
        <v>17</v>
      </c>
      <c r="O4798" t="s">
        <v>171</v>
      </c>
      <c r="P4798" t="s">
        <v>4885</v>
      </c>
      <c r="Q4798" t="s">
        <v>4886</v>
      </c>
    </row>
    <row r="4799" spans="1:17" ht="15.5" x14ac:dyDescent="0.35">
      <c r="A4799" s="3" t="str">
        <f>HYPERLINK("https://edmondsonsupply.com/collections/electricians-tools/products/fluke-62-max-handheld-infrared-laser-thermometer", "https://edmondsonsupply.com/collections/electricians-tools/products/fluke-62-max-handheld-infrared-laser-thermometer")</f>
        <v>https://edmondsonsupply.com/collections/electricians-tools/products/fluke-62-max-handheld-infrared-laser-thermometer</v>
      </c>
      <c r="B4799" s="3" t="str">
        <f>HYPERLINK("https://edmondsonsupply.com/products/fluke-62-max-handheld-infrared-laser-thermometer", "https://edmondsonsupply.com/products/fluke-62-max-handheld-infrared-laser-thermometer")</f>
        <v>https://edmondsonsupply.com/products/fluke-62-max-handheld-infrared-laser-thermometer</v>
      </c>
      <c r="C4799" t="s">
        <v>8963</v>
      </c>
      <c r="D4799" t="s">
        <v>5704</v>
      </c>
      <c r="E4799" s="3" t="str">
        <f>HYPERLINK("https://www.amazon.com/Aproca-Storage-Travel-Fluke-Thermometer/dp/B07WMQ8G1Q/ref=sr_1_8?keywords=Fluke+62+MAX+Handheld+Infrared+Laser+Thermometer&amp;qid=1695174240&amp;sr=8-8", "https://www.amazon.com/Aproca-Storage-Travel-Fluke-Thermometer/dp/B07WMQ8G1Q/ref=sr_1_8?keywords=Fluke+62+MAX+Handheld+Infrared+Laser+Thermometer&amp;qid=1695174240&amp;sr=8-8")</f>
        <v>https://www.amazon.com/Aproca-Storage-Travel-Fluke-Thermometer/dp/B07WMQ8G1Q/ref=sr_1_8?keywords=Fluke+62+MAX+Handheld+Infrared+Laser+Thermometer&amp;qid=1695174240&amp;sr=8-8</v>
      </c>
      <c r="F4799" t="s">
        <v>5705</v>
      </c>
      <c r="G4799" t="e">
        <f ca="1">_xludf.IMAGE("https://edmondsonsupply.com/cdn/shop/products/Fluke_62_MAX__back_499x1024px_E_NR-18387.jpg?v=1633031180")</f>
        <v>#NAME?</v>
      </c>
      <c r="H4799" t="e">
        <f ca="1">_xludf.IMAGE("https://m.media-amazon.com/images/I/81nOJJ+KQaL._AC_UY218_.jpg")</f>
        <v>#NAME?</v>
      </c>
      <c r="I4799" t="s">
        <v>483</v>
      </c>
      <c r="J4799">
        <v>16.989999999999998</v>
      </c>
      <c r="K4799" s="4">
        <v>-0.90559999999999996</v>
      </c>
      <c r="L4799">
        <v>4.7</v>
      </c>
      <c r="M4799">
        <v>58</v>
      </c>
      <c r="O4799" t="s">
        <v>25</v>
      </c>
      <c r="P4799" t="s">
        <v>400</v>
      </c>
      <c r="Q4799" t="s">
        <v>8964</v>
      </c>
    </row>
    <row r="4800" spans="1:17" ht="15.5" x14ac:dyDescent="0.35">
      <c r="A4800"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4800" s="3" t="str">
        <f>HYPERLINK("https://edmondsonsupply.com/products/klein-tools-57032-screwdriver-set-torque-6-piece", "https://edmondsonsupply.com/products/klein-tools-57032-screwdriver-set-torque-6-piece")</f>
        <v>https://edmondsonsupply.com/products/klein-tools-57032-screwdriver-set-torque-6-piece</v>
      </c>
      <c r="C4800" t="s">
        <v>8194</v>
      </c>
      <c r="D4800" t="s">
        <v>9221</v>
      </c>
      <c r="E4800" s="3" t="str">
        <f>HYPERLINK("https://www.amazon.com/Screwdriver-Multi-bit-Klein-Tools-80027/dp/B0912BW9HP/ref=sr_1_5?keywords=Klein+Tools+57032+Screwdriver+Set%2C+Torque%2C+6-Piece&amp;qid=1695174073&amp;sr=8-5", "https://www.amazon.com/Screwdriver-Multi-bit-Klein-Tools-80027/dp/B0912BW9HP/ref=sr_1_5?keywords=Klein+Tools+57032+Screwdriver+Set%2C+Torque%2C+6-Piece&amp;qid=1695174073&amp;sr=8-5")</f>
        <v>https://www.amazon.com/Screwdriver-Multi-bit-Klein-Tools-80027/dp/B0912BW9HP/ref=sr_1_5?keywords=Klein+Tools+57032+Screwdriver+Set%2C+Torque%2C+6-Piece&amp;qid=1695174073&amp;sr=8-5</v>
      </c>
      <c r="F4800" t="s">
        <v>9222</v>
      </c>
      <c r="G4800" t="e">
        <f ca="1">_xludf.IMAGE("https://edmondsonsupply.com/cdn/shop/products/57032set.jpg?v=1675348782")</f>
        <v>#NAME?</v>
      </c>
      <c r="H4800" t="e">
        <f ca="1">_xludf.IMAGE("https://m.media-amazon.com/images/I/51-QRUty7rL._AC_UL320_.jpg")</f>
        <v>#NAME?</v>
      </c>
      <c r="I4800" t="s">
        <v>533</v>
      </c>
      <c r="J4800">
        <v>21.99</v>
      </c>
      <c r="K4800" s="4">
        <v>-0.92669999999999997</v>
      </c>
      <c r="L4800">
        <v>4.8</v>
      </c>
      <c r="M4800">
        <v>13277</v>
      </c>
      <c r="O4800" t="s">
        <v>25</v>
      </c>
      <c r="P4800" t="s">
        <v>8197</v>
      </c>
      <c r="Q4800" t="s">
        <v>8198</v>
      </c>
    </row>
    <row r="4801" spans="1:17" ht="15.5" x14ac:dyDescent="0.35">
      <c r="A4801" s="3" t="str">
        <f>HYPERLINK("https://edmondsonsupply.com/collections/electricians-tools/products/fluke-64-max-ir-thermometer", "https://edmondsonsupply.com/collections/electricians-tools/products/fluke-64-max-ir-thermometer")</f>
        <v>https://edmondsonsupply.com/collections/electricians-tools/products/fluke-64-max-ir-thermometer</v>
      </c>
      <c r="B4801" s="3" t="str">
        <f>HYPERLINK("https://edmondsonsupply.com/products/fluke-64-max-ir-thermometer", "https://edmondsonsupply.com/products/fluke-64-max-ir-thermometer")</f>
        <v>https://edmondsonsupply.com/products/fluke-64-max-ir-thermometer</v>
      </c>
      <c r="C4801" t="s">
        <v>8385</v>
      </c>
      <c r="D4801" t="s">
        <v>5706</v>
      </c>
      <c r="E4801" s="3" t="str">
        <f>HYPERLINK("https://www.amazon.com/co2crea-Travel-Infrared-Thermometer-Yellow/dp/B08FHPGX3X/ref=sr_1_3?keywords=Fluke+64+MAX+IR+Thermometer&amp;qid=1695174126&amp;sr=8-3", "https://www.amazon.com/co2crea-Travel-Infrared-Thermometer-Yellow/dp/B08FHPGX3X/ref=sr_1_3?keywords=Fluke+64+MAX+IR+Thermometer&amp;qid=1695174126&amp;sr=8-3")</f>
        <v>https://www.amazon.com/co2crea-Travel-Infrared-Thermometer-Yellow/dp/B08FHPGX3X/ref=sr_1_3?keywords=Fluke+64+MAX+IR+Thermometer&amp;qid=1695174126&amp;sr=8-3</v>
      </c>
      <c r="F4801" t="s">
        <v>5707</v>
      </c>
      <c r="G4801" t="e">
        <f ca="1">_xludf.IMAGE("https://edmondsonsupply.com/cdn/shop/products/fluke_64max_portrait_1500x1000_dcb53742-d539-4285-8994-6293320d293a.webp?v=1668107951")</f>
        <v>#NAME?</v>
      </c>
      <c r="H4801" t="e">
        <f ca="1">_xludf.IMAGE("https://m.media-amazon.com/images/I/819lhKmR58L._AC_UY218_.jpg")</f>
        <v>#NAME?</v>
      </c>
      <c r="I4801" t="s">
        <v>8388</v>
      </c>
      <c r="J4801">
        <v>16.989999999999998</v>
      </c>
      <c r="K4801" s="4">
        <v>-0.93340000000000001</v>
      </c>
      <c r="L4801">
        <v>4.5999999999999996</v>
      </c>
      <c r="M4801">
        <v>519</v>
      </c>
      <c r="O4801" t="s">
        <v>171</v>
      </c>
      <c r="P4801" t="s">
        <v>8389</v>
      </c>
      <c r="Q4801" t="s">
        <v>8390</v>
      </c>
    </row>
    <row r="4802" spans="1:17" ht="15.5" x14ac:dyDescent="0.35">
      <c r="A4802"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4802" s="3" t="str">
        <f>HYPERLINK("https://edmondsonsupply.com/products/klein-tools-57032-screwdriver-set-torque-6-piece", "https://edmondsonsupply.com/products/klein-tools-57032-screwdriver-set-torque-6-piece")</f>
        <v>https://edmondsonsupply.com/products/klein-tools-57032-screwdriver-set-torque-6-piece</v>
      </c>
      <c r="C4802" t="s">
        <v>8194</v>
      </c>
      <c r="D4802" t="s">
        <v>4698</v>
      </c>
      <c r="E4802" s="3" t="str">
        <f>HYPERLINK("https://www.amazon.com/Klein-Tools-85615-Screwdriver-Electronics/dp/B0C1QBJGVD/ref=sr_1_3?keywords=Klein+Tools+57032+Screwdriver+Set%2C+Torque%2C+6-Piece&amp;qid=1695174073&amp;sr=8-3", "https://www.amazon.com/Klein-Tools-85615-Screwdriver-Electronics/dp/B0C1QBJGVD/ref=sr_1_3?keywords=Klein+Tools+57032+Screwdriver+Set%2C+Torque%2C+6-Piece&amp;qid=1695174073&amp;sr=8-3")</f>
        <v>https://www.amazon.com/Klein-Tools-85615-Screwdriver-Electronics/dp/B0C1QBJGVD/ref=sr_1_3?keywords=Klein+Tools+57032+Screwdriver+Set%2C+Torque%2C+6-Piece&amp;qid=1695174073&amp;sr=8-3</v>
      </c>
      <c r="F4802" t="s">
        <v>4699</v>
      </c>
      <c r="G4802" t="e">
        <f ca="1">_xludf.IMAGE("https://edmondsonsupply.com/cdn/shop/products/57032set.jpg?v=1675348782")</f>
        <v>#NAME?</v>
      </c>
      <c r="H4802" t="e">
        <f ca="1">_xludf.IMAGE("https://m.media-amazon.com/images/I/51YOOIPbR9L._AC_UL320_.jpg")</f>
        <v>#NAME?</v>
      </c>
      <c r="I4802" t="s">
        <v>533</v>
      </c>
      <c r="J4802">
        <v>19.97</v>
      </c>
      <c r="K4802" s="4">
        <v>-0.93340000000000001</v>
      </c>
      <c r="L4802">
        <v>4.5999999999999996</v>
      </c>
      <c r="M4802">
        <v>13</v>
      </c>
      <c r="O4802" t="s">
        <v>25</v>
      </c>
      <c r="P4802" t="s">
        <v>8197</v>
      </c>
      <c r="Q4802" t="s">
        <v>8198</v>
      </c>
    </row>
    <row r="4803" spans="1:17" ht="15.5" x14ac:dyDescent="0.35">
      <c r="A4803" s="3" t="str">
        <f>HYPERLINK("https://edmondsonsupply.com/collections/electricians-tools/products/fluke-971-temperature-humidity-meter", "https://edmondsonsupply.com/collections/electricians-tools/products/fluke-971-temperature-humidity-meter")</f>
        <v>https://edmondsonsupply.com/collections/electricians-tools/products/fluke-971-temperature-humidity-meter</v>
      </c>
      <c r="B4803" s="3" t="str">
        <f>HYPERLINK("https://edmondsonsupply.com/products/fluke-971-temperature-humidity-meter", "https://edmondsonsupply.com/products/fluke-971-temperature-humidity-meter")</f>
        <v>https://edmondsonsupply.com/products/fluke-971-temperature-humidity-meter</v>
      </c>
      <c r="C4803" t="s">
        <v>8949</v>
      </c>
      <c r="D4803" t="s">
        <v>9223</v>
      </c>
      <c r="E4803" s="3" t="str">
        <f>HYPERLINK("https://www.amazon.com/Co2Crea-Travel-Fluke-Temperature-Humidity/dp/B07PWK6C9S/ref=sr_1_2?keywords=Fluke+971+Temperature+Humidity+Meter&amp;qid=1695174288&amp;sr=8-2", "https://www.amazon.com/Co2Crea-Travel-Fluke-Temperature-Humidity/dp/B07PWK6C9S/ref=sr_1_2?keywords=Fluke+971+Temperature+Humidity+Meter&amp;qid=1695174288&amp;sr=8-2")</f>
        <v>https://www.amazon.com/Co2Crea-Travel-Fluke-Temperature-Humidity/dp/B07PWK6C9S/ref=sr_1_2?keywords=Fluke+971+Temperature+Humidity+Meter&amp;qid=1695174288&amp;sr=8-2</v>
      </c>
      <c r="F4803" t="s">
        <v>9224</v>
      </c>
      <c r="G4803" t="e">
        <f ca="1">_xludf.IMAGE("https://edmondsonsupply.com/cdn/shop/products/971_72dpi_495x1024px_E_NR-9830.jpg?v=1633030933")</f>
        <v>#NAME?</v>
      </c>
      <c r="H4803" t="e">
        <f ca="1">_xludf.IMAGE("https://m.media-amazon.com/images/I/71r9OtdekbL._AC_UY218_.jpg")</f>
        <v>#NAME?</v>
      </c>
      <c r="I4803" t="s">
        <v>8951</v>
      </c>
      <c r="J4803">
        <v>26.99</v>
      </c>
      <c r="K4803" s="4">
        <v>-0.93720000000000003</v>
      </c>
      <c r="L4803">
        <v>4.7</v>
      </c>
      <c r="M4803">
        <v>58</v>
      </c>
      <c r="O4803" t="s">
        <v>25</v>
      </c>
      <c r="P4803" t="s">
        <v>8952</v>
      </c>
      <c r="Q4803" t="s">
        <v>8953</v>
      </c>
    </row>
    <row r="4804" spans="1:17" ht="15.5" x14ac:dyDescent="0.35">
      <c r="A4804" s="3" t="str">
        <f>HYPERLINK("https://edmondsonsupply.com/collections/electricians-tools/products/milwaukee-2746-20-m18-fuel%E2%84%A2-18-gauge-brad-nailer-tool-only", "https://edmondsonsupply.com/collections/electricians-tools/products/milwaukee-2746-20-m18-fuel%E2%84%A2-18-gauge-brad-nailer-tool-only")</f>
        <v>https://edmondsonsupply.com/collections/electricians-tools/products/milwaukee-2746-20-m18-fuel%E2%84%A2-18-gauge-brad-nailer-tool-only</v>
      </c>
      <c r="B4804" s="3" t="str">
        <f>HYPERLINK("https://edmondsonsupply.com/products/milwaukee-2746-20-m18-fuel%e2%84%a2-18-gauge-brad-nailer-tool-only", "https://edmondsonsupply.com/products/milwaukee-2746-20-m18-fuel%e2%84%a2-18-gauge-brad-nailer-tool-only")</f>
        <v>https://edmondsonsupply.com/products/milwaukee-2746-20-m18-fuel%e2%84%a2-18-gauge-brad-nailer-tool-only</v>
      </c>
      <c r="C4804" t="s">
        <v>8439</v>
      </c>
      <c r="D4804" t="s">
        <v>9225</v>
      </c>
      <c r="E4804" s="3" t="str">
        <f>HYPERLINK("https://www.amazon.com/42-38-0017-Milwaukee-2746-20-Nailer-Kit%EF%BC%884pack%EF%BC%89/dp/B0C9R2W6VB/ref=sr_1_5?keywords=Milwaukee+2746-20+M18+FUEL%E2%84%A2+18+Gauge+Brad+Nailer+%28TOOL+ONLY%29&amp;qid=1695174088&amp;sr=8-5", "https://www.amazon.com/42-38-0017-Milwaukee-2746-20-Nailer-Kit%EF%BC%884pack%EF%BC%89/dp/B0C9R2W6VB/ref=sr_1_5?keywords=Milwaukee+2746-20+M18+FUEL%E2%84%A2+18+Gauge+Brad+Nailer+%28TOOL+ONLY%29&amp;qid=1695174088&amp;sr=8-5")</f>
        <v>https://www.amazon.com/42-38-0017-Milwaukee-2746-20-Nailer-Kit%EF%BC%884pack%EF%BC%89/dp/B0C9R2W6VB/ref=sr_1_5?keywords=Milwaukee+2746-20+M18+FUEL%E2%84%A2+18+Gauge+Brad+Nailer+%28TOOL+ONLY%29&amp;qid=1695174088&amp;sr=8-5</v>
      </c>
      <c r="F4804" t="s">
        <v>9226</v>
      </c>
      <c r="G4804" t="e">
        <f ca="1">_xludf.IMAGE("https://edmondsonsupply.com/cdn/shop/products/2746-20_1.png?v=1672864388")</f>
        <v>#NAME?</v>
      </c>
      <c r="H4804" t="e">
        <f ca="1">_xludf.IMAGE("https://m.media-amazon.com/images/I/61IIHif55dL._AC_UL320_.jpg")</f>
        <v>#NAME?</v>
      </c>
      <c r="I4804" t="s">
        <v>5012</v>
      </c>
      <c r="J4804">
        <v>15.99</v>
      </c>
      <c r="K4804" s="4">
        <v>-0.94650000000000001</v>
      </c>
      <c r="L4804">
        <v>2.2000000000000002</v>
      </c>
      <c r="M4804">
        <v>4</v>
      </c>
      <c r="O4804" t="s">
        <v>25</v>
      </c>
      <c r="P4804" t="s">
        <v>8442</v>
      </c>
      <c r="Q4804" t="s">
        <v>8443</v>
      </c>
    </row>
    <row r="4805" spans="1:17" ht="15.5" x14ac:dyDescent="0.35">
      <c r="A4805" s="3" t="str">
        <f>HYPERLINK("https://edmondsonsupply.com/collections/electricians-tools/products/fluke-64-max-ir-thermometer", "https://edmondsonsupply.com/collections/electricians-tools/products/fluke-64-max-ir-thermometer")</f>
        <v>https://edmondsonsupply.com/collections/electricians-tools/products/fluke-64-max-ir-thermometer</v>
      </c>
      <c r="B4805" s="3" t="str">
        <f>HYPERLINK("https://edmondsonsupply.com/products/fluke-64-max-ir-thermometer", "https://edmondsonsupply.com/products/fluke-64-max-ir-thermometer")</f>
        <v>https://edmondsonsupply.com/products/fluke-64-max-ir-thermometer</v>
      </c>
      <c r="C4805" t="s">
        <v>8385</v>
      </c>
      <c r="D4805" t="s">
        <v>9227</v>
      </c>
      <c r="E4805" s="3" t="str">
        <f>HYPERLINK("https://www.amazon.com/KingSung-Infrared-Thermometer-ThermoPro-Drop-Resistant/dp/B0BJ1M2PB5/ref=sr_1_4?keywords=Fluke+64+MAX+IR+Thermometer&amp;qid=1695174126&amp;sr=8-4", "https://www.amazon.com/KingSung-Infrared-Thermometer-ThermoPro-Drop-Resistant/dp/B0BJ1M2PB5/ref=sr_1_4?keywords=Fluke+64+MAX+IR+Thermometer&amp;qid=1695174126&amp;sr=8-4")</f>
        <v>https://www.amazon.com/KingSung-Infrared-Thermometer-ThermoPro-Drop-Resistant/dp/B0BJ1M2PB5/ref=sr_1_4?keywords=Fluke+64+MAX+IR+Thermometer&amp;qid=1695174126&amp;sr=8-4</v>
      </c>
      <c r="F4805" t="s">
        <v>9228</v>
      </c>
      <c r="G4805" t="e">
        <f ca="1">_xludf.IMAGE("https://edmondsonsupply.com/cdn/shop/products/fluke_64max_portrait_1500x1000_dcb53742-d539-4285-8994-6293320d293a.webp?v=1668107951")</f>
        <v>#NAME?</v>
      </c>
      <c r="H4805" t="e">
        <f ca="1">_xludf.IMAGE("https://m.media-amazon.com/images/I/81SowGSP+eL._AC_UY218_.jpg")</f>
        <v>#NAME?</v>
      </c>
      <c r="I4805" t="s">
        <v>8388</v>
      </c>
      <c r="J4805">
        <v>11.99</v>
      </c>
      <c r="K4805" s="4">
        <v>-0.95299999999999996</v>
      </c>
      <c r="L4805">
        <v>4.7</v>
      </c>
      <c r="M4805">
        <v>15</v>
      </c>
      <c r="O4805" t="s">
        <v>171</v>
      </c>
      <c r="P4805" t="s">
        <v>8389</v>
      </c>
      <c r="Q4805" t="s">
        <v>8390</v>
      </c>
    </row>
    <row r="4806" spans="1:17" ht="15.5" x14ac:dyDescent="0.35">
      <c r="A4806" s="3" t="str">
        <f>HYPERLINK("https://edmondsonsupply.com/collections/electricians-tools/products/fluke-64-max-ir-thermometer", "https://edmondsonsupply.com/collections/electricians-tools/products/fluke-64-max-ir-thermometer")</f>
        <v>https://edmondsonsupply.com/collections/electricians-tools/products/fluke-64-max-ir-thermometer</v>
      </c>
      <c r="B4806" s="3" t="str">
        <f>HYPERLINK("https://edmondsonsupply.com/products/fluke-64-max-ir-thermometer", "https://edmondsonsupply.com/products/fluke-64-max-ir-thermometer")</f>
        <v>https://edmondsonsupply.com/products/fluke-64-max-ir-thermometer</v>
      </c>
      <c r="C4806" t="s">
        <v>8385</v>
      </c>
      <c r="D4806" t="s">
        <v>9229</v>
      </c>
      <c r="E4806" s="3" t="str">
        <f>HYPERLINK("https://www.amazon.com/LTGEM-Case-Fluke-Infrared-Thermometer-Black/dp/B06XX5Z4K1/ref=sr_1_5?keywords=Fluke+64+MAX+IR+Thermometer&amp;qid=1695174126&amp;sr=8-5", "https://www.amazon.com/LTGEM-Case-Fluke-Infrared-Thermometer-Black/dp/B06XX5Z4K1/ref=sr_1_5?keywords=Fluke+64+MAX+IR+Thermometer&amp;qid=1695174126&amp;sr=8-5")</f>
        <v>https://www.amazon.com/LTGEM-Case-Fluke-Infrared-Thermometer-Black/dp/B06XX5Z4K1/ref=sr_1_5?keywords=Fluke+64+MAX+IR+Thermometer&amp;qid=1695174126&amp;sr=8-5</v>
      </c>
      <c r="F4806" t="s">
        <v>9230</v>
      </c>
      <c r="G4806" t="e">
        <f ca="1">_xludf.IMAGE("https://edmondsonsupply.com/cdn/shop/products/fluke_64max_portrait_1500x1000_dcb53742-d539-4285-8994-6293320d293a.webp?v=1668107951")</f>
        <v>#NAME?</v>
      </c>
      <c r="H4806" t="e">
        <f ca="1">_xludf.IMAGE("https://m.media-amazon.com/images/I/81zfVObJ5ZL._AC_UY218_.jpg")</f>
        <v>#NAME?</v>
      </c>
      <c r="I4806" t="s">
        <v>8388</v>
      </c>
      <c r="J4806">
        <v>11.99</v>
      </c>
      <c r="K4806" s="4">
        <v>-0.95299999999999996</v>
      </c>
      <c r="L4806">
        <v>4.5999999999999996</v>
      </c>
      <c r="M4806">
        <v>379</v>
      </c>
      <c r="O4806" t="s">
        <v>171</v>
      </c>
      <c r="P4806" t="s">
        <v>8389</v>
      </c>
      <c r="Q4806" t="s">
        <v>8390</v>
      </c>
    </row>
    <row r="4807" spans="1:17" ht="15.5" x14ac:dyDescent="0.35">
      <c r="A4807"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4807" s="3" t="str">
        <f>HYPERLINK("https://edmondsonsupply.com/products/klein-tools-57032-screwdriver-set-torque-6-piece", "https://edmondsonsupply.com/products/klein-tools-57032-screwdriver-set-torque-6-piece")</f>
        <v>https://edmondsonsupply.com/products/klein-tools-57032-screwdriver-set-torque-6-piece</v>
      </c>
      <c r="C4807" t="s">
        <v>8194</v>
      </c>
      <c r="D4807" t="s">
        <v>9231</v>
      </c>
      <c r="E4807" s="3" t="str">
        <f>HYPERLINK("https://www.amazon.com/Screwdriver-Cushion-Grip-Klein-Tools-85742/dp/B0917X34P6/ref=sr_1_6?keywords=Klein+Tools+57032+Screwdriver+Set%2C+Torque%2C+6-Piece&amp;qid=1695174073&amp;sr=8-6", "https://www.amazon.com/Screwdriver-Cushion-Grip-Klein-Tools-85742/dp/B0917X34P6/ref=sr_1_6?keywords=Klein+Tools+57032+Screwdriver+Set%2C+Torque%2C+6-Piece&amp;qid=1695174073&amp;sr=8-6")</f>
        <v>https://www.amazon.com/Screwdriver-Cushion-Grip-Klein-Tools-85742/dp/B0917X34P6/ref=sr_1_6?keywords=Klein+Tools+57032+Screwdriver+Set%2C+Torque%2C+6-Piece&amp;qid=1695174073&amp;sr=8-6</v>
      </c>
      <c r="F4807" t="s">
        <v>9232</v>
      </c>
      <c r="G4807" t="e">
        <f ca="1">_xludf.IMAGE("https://edmondsonsupply.com/cdn/shop/products/57032set.jpg?v=1675348782")</f>
        <v>#NAME?</v>
      </c>
      <c r="H4807" t="e">
        <f ca="1">_xludf.IMAGE("https://m.media-amazon.com/images/I/51oASlfAJbS._AC_UL320_.jpg")</f>
        <v>#NAME?</v>
      </c>
      <c r="I4807" t="s">
        <v>533</v>
      </c>
      <c r="J4807">
        <v>13.19</v>
      </c>
      <c r="K4807" s="4">
        <v>-0.95599999999999996</v>
      </c>
      <c r="L4807">
        <v>4.7</v>
      </c>
      <c r="M4807">
        <v>91</v>
      </c>
      <c r="O4807" t="s">
        <v>25</v>
      </c>
      <c r="P4807" t="s">
        <v>8197</v>
      </c>
      <c r="Q4807" t="s">
        <v>8198</v>
      </c>
    </row>
    <row r="4808" spans="1:17" ht="15.5" x14ac:dyDescent="0.35">
      <c r="A4808" s="3" t="str">
        <f>HYPERLINK("https://edmondsonsupply.com/collections/electricians-tools/products/milwaukee-2746-21ct-m18-fuel%E2%84%A2-18-gauge-brad-nailer-kit", "https://edmondsonsupply.com/collections/electricians-tools/products/milwaukee-2746-21ct-m18-fuel%E2%84%A2-18-gauge-brad-nailer-kit")</f>
        <v>https://edmondsonsupply.com/collections/electricians-tools/products/milwaukee-2746-21ct-m18-fuel%E2%84%A2-18-gauge-brad-nailer-kit</v>
      </c>
      <c r="B4808" s="3" t="str">
        <f>HYPERLINK("https://edmondsonsupply.com/products/milwaukee-2746-21ct-m18-fuel%e2%84%a2-18-gauge-brad-nailer-kit", "https://edmondsonsupply.com/products/milwaukee-2746-21ct-m18-fuel%e2%84%a2-18-gauge-brad-nailer-kit")</f>
        <v>https://edmondsonsupply.com/products/milwaukee-2746-21ct-m18-fuel%e2%84%a2-18-gauge-brad-nailer-kit</v>
      </c>
      <c r="C4808" t="s">
        <v>8910</v>
      </c>
      <c r="D4808" t="s">
        <v>9225</v>
      </c>
      <c r="E4808" s="3" t="str">
        <f>HYPERLINK("https://www.amazon.com/42-38-0017-Milwaukee-2746-20-Nailer-Kit%EF%BC%884pack%EF%BC%89/dp/B0C9R2W6VB/ref=sr_1_3?keywords=Milwaukee+2746-21CT+M18+FUEL%E2%84%A2+18+Gauge+Brad+Nailer+Kit&amp;qid=1695174106&amp;sr=8-3", "https://www.amazon.com/42-38-0017-Milwaukee-2746-20-Nailer-Kit%EF%BC%884pack%EF%BC%89/dp/B0C9R2W6VB/ref=sr_1_3?keywords=Milwaukee+2746-21CT+M18+FUEL%E2%84%A2+18+Gauge+Brad+Nailer+Kit&amp;qid=1695174106&amp;sr=8-3")</f>
        <v>https://www.amazon.com/42-38-0017-Milwaukee-2746-20-Nailer-Kit%EF%BC%884pack%EF%BC%89/dp/B0C9R2W6VB/ref=sr_1_3?keywords=Milwaukee+2746-21CT+M18+FUEL%E2%84%A2+18+Gauge+Brad+Nailer+Kit&amp;qid=1695174106&amp;sr=8-3</v>
      </c>
      <c r="F4808" t="s">
        <v>9226</v>
      </c>
      <c r="G4808" t="e">
        <f ca="1">_xludf.IMAGE("https://edmondsonsupply.com/cdn/shop/products/2746-21CT_KIT.webp?v=1671649531")</f>
        <v>#NAME?</v>
      </c>
      <c r="H4808" t="e">
        <f ca="1">_xludf.IMAGE("https://m.media-amazon.com/images/I/61IIHif55dL._AC_UL320_.jpg")</f>
        <v>#NAME?</v>
      </c>
      <c r="I4808" t="s">
        <v>4208</v>
      </c>
      <c r="J4808">
        <v>15.99</v>
      </c>
      <c r="K4808" s="4">
        <v>-0.95989999999999998</v>
      </c>
      <c r="L4808">
        <v>2.2000000000000002</v>
      </c>
      <c r="M4808">
        <v>4</v>
      </c>
      <c r="O4808" t="s">
        <v>25</v>
      </c>
      <c r="P4808" t="s">
        <v>8911</v>
      </c>
      <c r="Q4808" t="s">
        <v>8912</v>
      </c>
    </row>
    <row r="4809" spans="1:17" ht="15.5" x14ac:dyDescent="0.35">
      <c r="A4809"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4809" s="3" t="str">
        <f>HYPERLINK("https://edmondsonsupply.com/products/fluke-325-true-rms-clamp-meter", "https://edmondsonsupply.com/products/fluke-325-true-rms-clamp-meter")</f>
        <v>https://edmondsonsupply.com/products/fluke-325-true-rms-clamp-meter</v>
      </c>
      <c r="C4809" t="s">
        <v>7585</v>
      </c>
      <c r="D4809" t="s">
        <v>9233</v>
      </c>
      <c r="E4809" s="3" t="str">
        <f>HYPERLINK("https://www.amazon.com/TUDIA-Carrying-Storage-Replacement-Compatible/dp/B08G59FC1C/ref=sr_1_2?keywords=Fluke+325+True+RMS+Clamp+Meter&amp;qid=1695174241&amp;sr=8-2", "https://www.amazon.com/TUDIA-Carrying-Storage-Replacement-Compatible/dp/B08G59FC1C/ref=sr_1_2?keywords=Fluke+325+True+RMS+Clamp+Meter&amp;qid=1695174241&amp;sr=8-2")</f>
        <v>https://www.amazon.com/TUDIA-Carrying-Storage-Replacement-Compatible/dp/B08G59FC1C/ref=sr_1_2?keywords=Fluke+325+True+RMS+Clamp+Meter&amp;qid=1695174241&amp;sr=8-2</v>
      </c>
      <c r="F4809" t="s">
        <v>9234</v>
      </c>
      <c r="G4809" t="e">
        <f ca="1">_xludf.IMAGE("https://edmondsonsupply.com/cdn/shop/products/Fluke_325_clamp_meter_1280x873px_E_NR-14655.jpg?v=1688679209")</f>
        <v>#NAME?</v>
      </c>
      <c r="H4809" t="e">
        <f ca="1">_xludf.IMAGE("https://m.media-amazon.com/images/I/714TcsWZCxL._AC_UY218_.jpg")</f>
        <v>#NAME?</v>
      </c>
      <c r="I4809" t="s">
        <v>7586</v>
      </c>
      <c r="J4809">
        <v>12.99</v>
      </c>
      <c r="K4809" s="4">
        <v>-0.96519999999999995</v>
      </c>
      <c r="L4809">
        <v>4.3</v>
      </c>
      <c r="M4809">
        <v>9</v>
      </c>
      <c r="O4809" t="s">
        <v>25</v>
      </c>
      <c r="P4809" t="s">
        <v>4069</v>
      </c>
      <c r="Q4809" t="s">
        <v>7587</v>
      </c>
    </row>
    <row r="4810" spans="1:17" ht="15.5" x14ac:dyDescent="0.35">
      <c r="A4810" s="3" t="str">
        <f>HYPERLINK("https://edmondsonsupply.com/collections/electricians-tools/products/klein-tools-ti290-rechargeable-pro-thermal-imager", "https://edmondsonsupply.com/collections/electricians-tools/products/klein-tools-ti290-rechargeable-pro-thermal-imager")</f>
        <v>https://edmondsonsupply.com/collections/electricians-tools/products/klein-tools-ti290-rechargeable-pro-thermal-imager</v>
      </c>
      <c r="B4810" s="3" t="str">
        <f>HYPERLINK("https://edmondsonsupply.com/products/klein-tools-ti290-rechargeable-pro-thermal-imager", "https://edmondsonsupply.com/products/klein-tools-ti290-rechargeable-pro-thermal-imager")</f>
        <v>https://edmondsonsupply.com/products/klein-tools-ti290-rechargeable-pro-thermal-imager</v>
      </c>
      <c r="C4810" t="s">
        <v>8222</v>
      </c>
      <c r="D4810" t="s">
        <v>9235</v>
      </c>
      <c r="E4810" s="3" t="str">
        <f>HYPERLINK("https://www.amazon.com/USA-Neoprene-Thermal-Imager-Carrying/dp/B09P1WGCJG/ref=sr_1_7?keywords=Klein+Tools+TI290+Rechargeable+Pro+Thermal+Imager&amp;qid=1695174066&amp;sr=8-7", "https://www.amazon.com/USA-Neoprene-Thermal-Imager-Carrying/dp/B09P1WGCJG/ref=sr_1_7?keywords=Klein+Tools+TI290+Rechargeable+Pro+Thermal+Imager&amp;qid=1695174066&amp;sr=8-7")</f>
        <v>https://www.amazon.com/USA-Neoprene-Thermal-Imager-Carrying/dp/B09P1WGCJG/ref=sr_1_7?keywords=Klein+Tools+TI290+Rechargeable+Pro+Thermal+Imager&amp;qid=1695174066&amp;sr=8-7</v>
      </c>
      <c r="F4810" t="s">
        <v>9236</v>
      </c>
      <c r="G4810" t="e">
        <f ca="1">_xludf.IMAGE("https://edmondsonsupply.com/cdn/shop/products/ti290_family.jpg?v=1677681932")</f>
        <v>#NAME?</v>
      </c>
      <c r="H4810" t="e">
        <f ca="1">_xludf.IMAGE("https://m.media-amazon.com/images/I/71oo0hC6x+L._AC_UY218_.jpg")</f>
        <v>#NAME?</v>
      </c>
      <c r="I4810" t="s">
        <v>8225</v>
      </c>
      <c r="J4810">
        <v>12.99</v>
      </c>
      <c r="K4810" s="4">
        <v>-0.97399999999999998</v>
      </c>
      <c r="L4810">
        <v>3</v>
      </c>
      <c r="M4810">
        <v>1</v>
      </c>
      <c r="O4810" t="s">
        <v>25</v>
      </c>
      <c r="P4810" t="s">
        <v>8226</v>
      </c>
      <c r="Q4810" t="s">
        <v>8227</v>
      </c>
    </row>
    <row r="4811" spans="1:17" ht="15.5" x14ac:dyDescent="0.35">
      <c r="A4811"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4811" s="3" t="str">
        <f>HYPERLINK("https://edmondsonsupply.com/products/fluke-1587-fc-insulation-multimeter", "https://edmondsonsupply.com/products/fluke-1587-fc-insulation-multimeter")</f>
        <v>https://edmondsonsupply.com/products/fluke-1587-fc-insulation-multimeter</v>
      </c>
      <c r="C4811" t="s">
        <v>4074</v>
      </c>
      <c r="D4811" t="s">
        <v>5739</v>
      </c>
      <c r="E4811" s="3" t="str">
        <f>HYPERLINK("https://www.amazon.com/RLSOCO-Multimeter-Megohmmeter-Insulation-Resistance/dp/B086MC4V89/ref=sr_1_6?keywords=Fluke+1587+FC+Insulation+Multimeter&amp;qid=1695173858&amp;sr=8-6", "https://www.amazon.com/RLSOCO-Multimeter-Megohmmeter-Insulation-Resistance/dp/B086MC4V89/ref=sr_1_6?keywords=Fluke+1587+FC+Insulation+Multimeter&amp;qid=1695173858&amp;sr=8-6")</f>
        <v>https://www.amazon.com/RLSOCO-Multimeter-Megohmmeter-Insulation-Resistance/dp/B086MC4V89/ref=sr_1_6?keywords=Fluke+1587+FC+Insulation+Multimeter&amp;qid=1695173858&amp;sr=8-6</v>
      </c>
      <c r="F4811" t="s">
        <v>5740</v>
      </c>
      <c r="G4811" t="e">
        <f ca="1">_xludf.IMAGE("https://edmondsonsupply.com/cdn/shop/products/Fluke_1587_FC_True-rms_Insulation_Multimeter__1280x1006px_E_NR-20298.jpg?v=1633031188")</f>
        <v>#NAME?</v>
      </c>
      <c r="H4811" t="e">
        <f ca="1">_xludf.IMAGE("https://m.media-amazon.com/images/I/81t3qhimpSL._AC_UL320_.jpg")</f>
        <v>#NAME?</v>
      </c>
      <c r="I4811" t="s">
        <v>4077</v>
      </c>
      <c r="J4811">
        <v>23.99</v>
      </c>
      <c r="K4811" s="4">
        <v>-0.97419999999999995</v>
      </c>
      <c r="L4811">
        <v>4.4000000000000004</v>
      </c>
      <c r="M4811">
        <v>70</v>
      </c>
      <c r="O4811" t="s">
        <v>25</v>
      </c>
      <c r="P4811" t="s">
        <v>4078</v>
      </c>
      <c r="Q4811" t="s">
        <v>4079</v>
      </c>
    </row>
    <row r="4812" spans="1:17" ht="15.5" x14ac:dyDescent="0.35">
      <c r="A4812" s="3" t="str">
        <f>HYPERLINK("https://edmondsonsupply.com/collections/electricians-tools/products/milwaukee-2746-21ct-m18-fuel%E2%84%A2-18-gauge-brad-nailer-kit", "https://edmondsonsupply.com/collections/electricians-tools/products/milwaukee-2746-21ct-m18-fuel%E2%84%A2-18-gauge-brad-nailer-kit")</f>
        <v>https://edmondsonsupply.com/collections/electricians-tools/products/milwaukee-2746-21ct-m18-fuel%E2%84%A2-18-gauge-brad-nailer-kit</v>
      </c>
      <c r="B4812" s="3" t="str">
        <f>HYPERLINK("https://edmondsonsupply.com/products/milwaukee-2746-21ct-m18-fuel%e2%84%a2-18-gauge-brad-nailer-kit", "https://edmondsonsupply.com/products/milwaukee-2746-21ct-m18-fuel%e2%84%a2-18-gauge-brad-nailer-kit")</f>
        <v>https://edmondsonsupply.com/products/milwaukee-2746-21ct-m18-fuel%e2%84%a2-18-gauge-brad-nailer-kit</v>
      </c>
      <c r="C4812" t="s">
        <v>8910</v>
      </c>
      <c r="D4812" t="s">
        <v>9237</v>
      </c>
      <c r="E4812" s="3" t="str">
        <f>HYPERLINK("https://www.amazon.com/Follde-42-38-0017-Milwaukee-2746-20-Nailers/dp/B0BYFTJMYT/ref=sr_1_5?keywords=Milwaukee+2746-21CT+M18+FUEL%E2%84%A2+18+Gauge+Brad+Nailer+Kit&amp;qid=1695174106&amp;sr=8-5", "https://www.amazon.com/Follde-42-38-0017-Milwaukee-2746-20-Nailers/dp/B0BYFTJMYT/ref=sr_1_5?keywords=Milwaukee+2746-21CT+M18+FUEL%E2%84%A2+18+Gauge+Brad+Nailer+Kit&amp;qid=1695174106&amp;sr=8-5")</f>
        <v>https://www.amazon.com/Follde-42-38-0017-Milwaukee-2746-20-Nailers/dp/B0BYFTJMYT/ref=sr_1_5?keywords=Milwaukee+2746-21CT+M18+FUEL%E2%84%A2+18+Gauge+Brad+Nailer+Kit&amp;qid=1695174106&amp;sr=8-5</v>
      </c>
      <c r="F4812" t="s">
        <v>9238</v>
      </c>
      <c r="G4812" t="e">
        <f ca="1">_xludf.IMAGE("https://edmondsonsupply.com/cdn/shop/products/2746-21CT_KIT.webp?v=1671649531")</f>
        <v>#NAME?</v>
      </c>
      <c r="H4812" t="e">
        <f ca="1">_xludf.IMAGE("https://m.media-amazon.com/images/I/51t1hcWDSQL._AC_UL320_.jpg")</f>
        <v>#NAME?</v>
      </c>
      <c r="I4812" t="s">
        <v>4208</v>
      </c>
      <c r="J4812">
        <v>8.2899999999999991</v>
      </c>
      <c r="K4812" s="4">
        <v>-0.97919999999999996</v>
      </c>
      <c r="L4812">
        <v>2.7</v>
      </c>
      <c r="M4812">
        <v>14</v>
      </c>
      <c r="O4812" t="s">
        <v>25</v>
      </c>
      <c r="P4812" t="s">
        <v>8911</v>
      </c>
      <c r="Q4812" t="s">
        <v>8912</v>
      </c>
    </row>
    <row r="4813" spans="1:17" ht="15.5" x14ac:dyDescent="0.35">
      <c r="A4813"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4813"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4813" t="s">
        <v>6355</v>
      </c>
      <c r="D4813" t="s">
        <v>6252</v>
      </c>
      <c r="E4813" s="3" t="str">
        <f>HYPERLINK("https://www.amazon.com/Klein-Tools-JTH6E09BE-Ball-End-Journeyman/dp/B0CGLVC75M/ref=sr_1_7?keywords=Klein+Tools+JTH6E06BE+3%2F32-Inch+Ball+End+Hex+Key+with+T-Handle%2C+6-Inch&amp;qid=1695174255&amp;sr=8-7", "https://www.amazon.com/Klein-Tools-JTH6E09BE-Ball-End-Journeyman/dp/B0CGLVC75M/ref=sr_1_7?keywords=Klein+Tools+JTH6E06BE+3%2F32-Inch+Ball+End+Hex+Key+with+T-Handle%2C+6-Inch&amp;qid=1695174255&amp;sr=8-7")</f>
        <v>https://www.amazon.com/Klein-Tools-JTH6E09BE-Ball-End-Journeyman/dp/B0CGLVC75M/ref=sr_1_7?keywords=Klein+Tools+JTH6E06BE+3%2F32-Inch+Ball+End+Hex+Key+with+T-Handle%2C+6-Inch&amp;qid=1695174255&amp;sr=8-7</v>
      </c>
      <c r="F4813" t="s">
        <v>6253</v>
      </c>
      <c r="G4813" t="e">
        <f ca="1">_xludf.IMAGE("https://edmondsonsupply.com/cdn/shop/products/jth6e13be_f61308c8-99eb-44df-aac2-25c9159d6b6d.jpg?v=1633031148")</f>
        <v>#NAME?</v>
      </c>
      <c r="H4813" t="e">
        <f ca="1">_xludf.IMAGE("https://m.media-amazon.com/images/I/41bN+I19ReL._AC_UL320_.jpg")</f>
        <v>#NAME?</v>
      </c>
      <c r="I4813" t="s">
        <v>2388</v>
      </c>
      <c r="J4813">
        <v>14.36</v>
      </c>
      <c r="K4813" s="4">
        <v>1.8777999999999999</v>
      </c>
      <c r="L4813">
        <v>4.9000000000000004</v>
      </c>
      <c r="M4813">
        <v>65</v>
      </c>
      <c r="O4813" t="s">
        <v>25</v>
      </c>
      <c r="P4813" t="s">
        <v>6356</v>
      </c>
      <c r="Q4813" t="s">
        <v>6357</v>
      </c>
    </row>
    <row r="4814" spans="1:17" ht="15.5" x14ac:dyDescent="0.35">
      <c r="A4814"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4814" s="3" t="str">
        <f>HYPERLINK("https://edmondsonsupply.com/products/klein-tools-rt110-receptacle-tester", "https://edmondsonsupply.com/products/klein-tools-rt110-receptacle-tester")</f>
        <v>https://edmondsonsupply.com/products/klein-tools-rt110-receptacle-tester</v>
      </c>
      <c r="C4814" t="s">
        <v>6021</v>
      </c>
      <c r="D4814" t="s">
        <v>6386</v>
      </c>
      <c r="E4814" s="3" t="str">
        <f>HYPERLINK("https://www.amazon.com/Klein-Tools-Flashing-Electrical-Receptacle/dp/B0BRM9Q8SF/ref=sr_1_2?keywords=Klein+Tools+RT110+Receptacle+Tester&amp;qid=1695174267&amp;sr=8-2", "https://www.amazon.com/Klein-Tools-Flashing-Electrical-Receptacle/dp/B0BRM9Q8SF/ref=sr_1_2?keywords=Klein+Tools+RT110+Receptacle+Tester&amp;qid=1695174267&amp;sr=8-2")</f>
        <v>https://www.amazon.com/Klein-Tools-Flashing-Electrical-Receptacle/dp/B0BRM9Q8SF/ref=sr_1_2?keywords=Klein+Tools+RT110+Receptacle+Tester&amp;qid=1695174267&amp;sr=8-2</v>
      </c>
      <c r="F4814" t="s">
        <v>6387</v>
      </c>
      <c r="G4814" t="e">
        <f ca="1">_xludf.IMAGE("https://edmondsonsupply.com/cdn/shop/products/rt110.jpg?v=1633031036")</f>
        <v>#NAME?</v>
      </c>
      <c r="H4814" t="e">
        <f ca="1">_xludf.IMAGE("https://m.media-amazon.com/images/I/41xqNIeskEL._AC_UL320_.jpg")</f>
        <v>#NAME?</v>
      </c>
      <c r="I4814" t="s">
        <v>1427</v>
      </c>
      <c r="J4814">
        <v>28.69</v>
      </c>
      <c r="K4814" s="4">
        <v>1.8775999999999999</v>
      </c>
      <c r="L4814">
        <v>5</v>
      </c>
      <c r="M4814">
        <v>2</v>
      </c>
      <c r="O4814" t="s">
        <v>25</v>
      </c>
      <c r="P4814" t="s">
        <v>6024</v>
      </c>
      <c r="Q4814" t="s">
        <v>6025</v>
      </c>
    </row>
    <row r="4815" spans="1:17" ht="15.5" x14ac:dyDescent="0.35">
      <c r="A4815"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4815" s="3" t="str">
        <f>HYPERLINK("https://edmondsonsupply.com/products/klein-tools-65200-electricians-mini-ratchet-set-5-piece", "https://edmondsonsupply.com/products/klein-tools-65200-electricians-mini-ratchet-set-5-piece")</f>
        <v>https://edmondsonsupply.com/products/klein-tools-65200-electricians-mini-ratchet-set-5-piece</v>
      </c>
      <c r="C4815" t="s">
        <v>140</v>
      </c>
      <c r="D4815" t="s">
        <v>163</v>
      </c>
      <c r="E4815" s="3" t="str">
        <f>HYPERLINK("https://www.amazon.com/Klein-Tools-Precision-Screwdriver-Phillips/dp/B0BK4M6YR9/ref=sr_1_6?keywords=Klein+Tools+65200+Slim-Profile+Mini+Ratchet+Set%2C+5-Piece&amp;qid=1695173845&amp;sr=8-6", "https://www.amazon.com/Klein-Tools-Precision-Screwdriver-Phillips/dp/B0BK4M6YR9/ref=sr_1_6?keywords=Klein+Tools+65200+Slim-Profile+Mini+Ratchet+Set%2C+5-Piece&amp;qid=1695173845&amp;sr=8-6")</f>
        <v>https://www.amazon.com/Klein-Tools-Precision-Screwdriver-Phillips/dp/B0BK4M6YR9/ref=sr_1_6?keywords=Klein+Tools+65200+Slim-Profile+Mini+Ratchet+Set%2C+5-Piece&amp;qid=1695173845&amp;sr=8-6</v>
      </c>
      <c r="F4815" t="s">
        <v>164</v>
      </c>
      <c r="G4815" t="e">
        <f ca="1">_xludf.IMAGE("https://edmondsonsupply.com/cdn/shop/products/65200.jpg?v=1633030630")</f>
        <v>#NAME?</v>
      </c>
      <c r="H4815" t="e">
        <f ca="1">_xludf.IMAGE("https://m.media-amazon.com/images/I/51dEfrYf+TL._AC_UL320_.jpg")</f>
        <v>#NAME?</v>
      </c>
      <c r="I4815" t="s">
        <v>143</v>
      </c>
      <c r="J4815">
        <v>45.93</v>
      </c>
      <c r="K4815" s="4">
        <v>1.8759999999999999</v>
      </c>
      <c r="L4815">
        <v>5</v>
      </c>
      <c r="M4815">
        <v>5</v>
      </c>
      <c r="O4815" t="s">
        <v>25</v>
      </c>
      <c r="P4815" t="s">
        <v>144</v>
      </c>
      <c r="Q4815" t="s">
        <v>145</v>
      </c>
    </row>
    <row r="4816" spans="1:17" ht="15.5" x14ac:dyDescent="0.35">
      <c r="A4816" s="3" t="str">
        <f>HYPERLINK("https://edmondsonsupply.com/collections/electricians-tools/products/klein-tools-ktsb03-step-drill-bit-double-fluted-3-1-4-to-3-4-inch", "https://edmondsonsupply.com/collections/electricians-tools/products/klein-tools-ktsb03-step-drill-bit-double-fluted-3-1-4-to-3-4-inch")</f>
        <v>https://edmondsonsupply.com/collections/electricians-tools/products/klein-tools-ktsb03-step-drill-bit-double-fluted-3-1-4-to-3-4-inch</v>
      </c>
      <c r="B4816" s="3" t="str">
        <f>HYPERLINK("https://edmondsonsupply.com/products/klein-tools-ktsb03-step-drill-bit-double-fluted-3-1-4-to-3-4-inch", "https://edmondsonsupply.com/products/klein-tools-ktsb03-step-drill-bit-double-fluted-3-1-4-to-3-4-inch")</f>
        <v>https://edmondsonsupply.com/products/klein-tools-ktsb03-step-drill-bit-double-fluted-3-1-4-to-3-4-inch</v>
      </c>
      <c r="C4816" t="s">
        <v>1978</v>
      </c>
      <c r="D4816" t="s">
        <v>1979</v>
      </c>
      <c r="E4816" s="3" t="str">
        <f>HYPERLINK("https://www.amazon.com/Klein-Tools-25951-Electricians-Titanium/dp/B0BLFRJLDX/ref=sr_1_2?keywords=Klein+Tools+KTSB03+Step+Drill+Bit+Double+Fluted&amp;qid=1695173948&amp;sr=8-2", "https://www.amazon.com/Klein-Tools-25951-Electricians-Titanium/dp/B0BLFRJLDX/ref=sr_1_2?keywords=Klein+Tools+KTSB03+Step+Drill+Bit+Double+Fluted&amp;qid=1695173948&amp;sr=8-2")</f>
        <v>https://www.amazon.com/Klein-Tools-25951-Electricians-Titanium/dp/B0BLFRJLDX/ref=sr_1_2?keywords=Klein+Tools+KTSB03+Step+Drill+Bit+Double+Fluted&amp;qid=1695173948&amp;sr=8-2</v>
      </c>
      <c r="F4816" t="s">
        <v>1980</v>
      </c>
      <c r="G4816" t="e">
        <f ca="1">_xludf.IMAGE("https://edmondsonsupply.com/cdn/shop/products/ktsb03.jpg?v=1666012212")</f>
        <v>#NAME?</v>
      </c>
      <c r="H4816" t="e">
        <f ca="1">_xludf.IMAGE("https://m.media-amazon.com/images/I/61dZd3WvlgL._AC_UY218_.jpg")</f>
        <v>#NAME?</v>
      </c>
      <c r="I4816" t="s">
        <v>571</v>
      </c>
      <c r="J4816">
        <v>99.99</v>
      </c>
      <c r="K4816" s="4">
        <v>1.8576999999999999</v>
      </c>
      <c r="L4816">
        <v>3.8</v>
      </c>
      <c r="M4816">
        <v>6</v>
      </c>
      <c r="O4816" t="s">
        <v>25</v>
      </c>
      <c r="P4816" t="s">
        <v>1981</v>
      </c>
      <c r="Q4816" t="s">
        <v>1982</v>
      </c>
    </row>
    <row r="4817" spans="1:17" ht="15.5" x14ac:dyDescent="0.35">
      <c r="A4817"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4817" s="3" t="str">
        <f>HYPERLINK("https://edmondsonsupply.com/products/klein-tools-60345-hard-hat-earmuffs-full-brim-style", "https://edmondsonsupply.com/products/klein-tools-60345-hard-hat-earmuffs-full-brim-style")</f>
        <v>https://edmondsonsupply.com/products/klein-tools-60345-hard-hat-earmuffs-full-brim-style</v>
      </c>
      <c r="C4817" t="s">
        <v>868</v>
      </c>
      <c r="D4817" t="s">
        <v>869</v>
      </c>
      <c r="E4817" s="3" t="str">
        <f>HYPERLINK("https://www.amazon.com/Klein-Tools-Rechargeable-Headlamp-Earmuffs/dp/B0C1PYTDR6/ref=sr_1_2?keywords=Klein+Tools+60502+Hard+Hat+Earmuffs%2C+Full+Brim+Style&amp;qid=1695174082&amp;sr=8-2", "https://www.amazon.com/Klein-Tools-Rechargeable-Headlamp-Earmuffs/dp/B0C1PYTDR6/ref=sr_1_2?keywords=Klein+Tools+60502+Hard+Hat+Earmuffs%2C+Full+Brim+Style&amp;qid=1695174082&amp;sr=8-2")</f>
        <v>https://www.amazon.com/Klein-Tools-Rechargeable-Headlamp-Earmuffs/dp/B0C1PYTDR6/ref=sr_1_2?keywords=Klein+Tools+60502+Hard+Hat+Earmuffs%2C+Full+Brim+Style&amp;qid=1695174082&amp;sr=8-2</v>
      </c>
      <c r="F4817" t="s">
        <v>870</v>
      </c>
      <c r="G4817" t="e">
        <f ca="1">_xludf.IMAGE("https://edmondsonsupply.com/cdn/shop/products/60502.jpg?v=1674486730")</f>
        <v>#NAME?</v>
      </c>
      <c r="H4817" t="e">
        <f ca="1">_xludf.IMAGE("https://m.media-amazon.com/images/I/416L7EyyxQL._AC_UL320_.jpg")</f>
        <v>#NAME?</v>
      </c>
      <c r="I4817" t="s">
        <v>26</v>
      </c>
      <c r="J4817">
        <v>84.96</v>
      </c>
      <c r="K4817" s="4">
        <v>1.8329</v>
      </c>
      <c r="L4817">
        <v>5</v>
      </c>
      <c r="M4817">
        <v>1</v>
      </c>
      <c r="O4817" t="s">
        <v>25</v>
      </c>
      <c r="P4817" t="s">
        <v>562</v>
      </c>
      <c r="Q4817" t="s">
        <v>871</v>
      </c>
    </row>
    <row r="4818" spans="1:17" ht="15.5" x14ac:dyDescent="0.35">
      <c r="A4818" s="3" t="str">
        <f>HYPERLINK("https://edmondsonsupply.com/collections/electricians-tools/products/milwaukee-48-22-2930-4-in-1-precision-multi-bit-screwdriver", "https://edmondsonsupply.com/collections/electricians-tools/products/milwaukee-48-22-2930-4-in-1-precision-multi-bit-screwdriver")</f>
        <v>https://edmondsonsupply.com/collections/electricians-tools/products/milwaukee-48-22-2930-4-in-1-precision-multi-bit-screwdriver</v>
      </c>
      <c r="B4818" s="3" t="str">
        <f>HYPERLINK("https://edmondsonsupply.com/products/milwaukee-48-22-2930-4-in-1-precision-multi-bit-screwdriver", "https://edmondsonsupply.com/products/milwaukee-48-22-2930-4-in-1-precision-multi-bit-screwdriver")</f>
        <v>https://edmondsonsupply.com/products/milwaukee-48-22-2930-4-in-1-precision-multi-bit-screwdriver</v>
      </c>
      <c r="C4818" t="s">
        <v>1886</v>
      </c>
      <c r="D4818" t="s">
        <v>1985</v>
      </c>
      <c r="E4818" s="3" t="str">
        <f>HYPERLINK("https://www.amazon.com/48-22-2330-Milwaukee-Ratcheting-Multi-Bit-Screwdriver/dp/B0C2VXJ8ZN/ref=sr_1_1?keywords=Milwaukee+48-22-2930+4-in-1+Precision+Multi-Bit+Screwdriver&amp;qid=1695173899&amp;sr=8-1", "https://www.amazon.com/48-22-2330-Milwaukee-Ratcheting-Multi-Bit-Screwdriver/dp/B0C2VXJ8ZN/ref=sr_1_1?keywords=Milwaukee+48-22-2930+4-in-1+Precision+Multi-Bit+Screwdriver&amp;qid=1695173899&amp;sr=8-1")</f>
        <v>https://www.amazon.com/48-22-2330-Milwaukee-Ratcheting-Multi-Bit-Screwdriver/dp/B0C2VXJ8ZN/ref=sr_1_1?keywords=Milwaukee+48-22-2930+4-in-1+Precision+Multi-Bit+Screwdriver&amp;qid=1695173899&amp;sr=8-1</v>
      </c>
      <c r="F4818" t="s">
        <v>1986</v>
      </c>
      <c r="G4818" t="e">
        <f ca="1">_xludf.IMAGE("https://edmondsonsupply.com/cdn/shop/files/48-22-2930_PrimaryImage_WEB.webp?v=1686154438")</f>
        <v>#NAME?</v>
      </c>
      <c r="H4818" t="e">
        <f ca="1">_xludf.IMAGE("https://m.media-amazon.com/images/I/51NHRcqTkvL._AC_UL320_.jpg")</f>
        <v>#NAME?</v>
      </c>
      <c r="I4818" t="s">
        <v>1211</v>
      </c>
      <c r="J4818">
        <v>36.72</v>
      </c>
      <c r="K4818" s="4">
        <v>1.8310999999999999</v>
      </c>
      <c r="L4818">
        <v>5</v>
      </c>
      <c r="M4818">
        <v>1</v>
      </c>
      <c r="O4818" t="s">
        <v>25</v>
      </c>
      <c r="P4818" t="s">
        <v>1889</v>
      </c>
      <c r="Q4818" t="s">
        <v>1890</v>
      </c>
    </row>
    <row r="4819" spans="1:17" ht="15.5" x14ac:dyDescent="0.35">
      <c r="A4819" s="3" t="str">
        <f>HYPERLINK("https://edmondsonsupply.com/collections/electricians-tools/products/diablo-tools-dsp2060-9-16-in-x-6-in-spade-bit", "https://edmondsonsupply.com/collections/electricians-tools/products/diablo-tools-dsp2060-9-16-in-x-6-in-spade-bit")</f>
        <v>https://edmondsonsupply.com/collections/electricians-tools/products/diablo-tools-dsp2060-9-16-in-x-6-in-spade-bit</v>
      </c>
      <c r="B4819" s="3" t="str">
        <f>HYPERLINK("https://edmondsonsupply.com/products/diablo-tools-dsp2060-9-16-in-x-6-in-spade-bit", "https://edmondsonsupply.com/products/diablo-tools-dsp2060-9-16-in-x-6-in-spade-bit")</f>
        <v>https://edmondsonsupply.com/products/diablo-tools-dsp2060-9-16-in-x-6-in-spade-bit</v>
      </c>
      <c r="C4819" t="s">
        <v>6388</v>
      </c>
      <c r="D4819" t="s">
        <v>6389</v>
      </c>
      <c r="E4819" s="3" t="str">
        <f>HYPERLINK("https://www.amazon.com/IVY-Classic-10709-6-Inch-High-Carbon/dp/B00065DQLY/ref=sr_1_10?keywords=Diablo+Tools+DSP2060+9%2F16+in.+x+6+in.+Spade+Bit&amp;qid=1695174098&amp;sr=8-10", "https://www.amazon.com/IVY-Classic-10709-6-Inch-High-Carbon/dp/B00065DQLY/ref=sr_1_10?keywords=Diablo+Tools+DSP2060+9%2F16+in.+x+6+in.+Spade+Bit&amp;qid=1695174098&amp;sr=8-10")</f>
        <v>https://www.amazon.com/IVY-Classic-10709-6-Inch-High-Carbon/dp/B00065DQLY/ref=sr_1_10?keywords=Diablo+Tools+DSP2060+9%2F16+in.+x+6+in.+Spade+Bit&amp;qid=1695174098&amp;sr=8-10</v>
      </c>
      <c r="F4819" t="s">
        <v>6390</v>
      </c>
      <c r="G4819" t="e">
        <f ca="1">_xludf.IMAGE("https://edmondsonsupply.com/cdn/shop/products/aedhx1bor2stxnsd8b2m.webp?v=1670512947")</f>
        <v>#NAME?</v>
      </c>
      <c r="H4819" t="e">
        <f ca="1">_xludf.IMAGE("https://m.media-amazon.com/images/I/5106VM2iHWL._AC_UL320_.jpg")</f>
        <v>#NAME?</v>
      </c>
      <c r="I4819" t="s">
        <v>1613</v>
      </c>
      <c r="J4819">
        <v>8.14</v>
      </c>
      <c r="K4819" s="4">
        <v>1.8264</v>
      </c>
      <c r="L4819">
        <v>4.5999999999999996</v>
      </c>
      <c r="M4819">
        <v>483</v>
      </c>
      <c r="O4819" t="s">
        <v>25</v>
      </c>
      <c r="P4819" t="s">
        <v>6391</v>
      </c>
      <c r="Q4819" t="s">
        <v>6392</v>
      </c>
    </row>
    <row r="4820" spans="1:17" ht="15.5" x14ac:dyDescent="0.35">
      <c r="A4820"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4820"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4820" t="s">
        <v>6393</v>
      </c>
      <c r="D4820" t="s">
        <v>3865</v>
      </c>
      <c r="E4820" s="3" t="str">
        <f>HYPERLINK("https://www.amazon.com/Klein-Tools-85153K-Screw-Holding-Screwdriver/dp/B0CFRP1K3L/ref=sr_1_4?keywords=Klein+Tools+614-2+1%2F16-Inch+Slotted+Electronics+Screwdriver%2C+2-Inch&amp;qid=1695174229&amp;sr=8-4", "https://www.amazon.com/Klein-Tools-85153K-Screw-Holding-Screwdriver/dp/B0CFRP1K3L/ref=sr_1_4?keywords=Klein+Tools+614-2+1%2F16-Inch+Slotted+Electronics+Screwdriver%2C+2-Inch&amp;qid=1695174229&amp;sr=8-4")</f>
        <v>https://www.amazon.com/Klein-Tools-85153K-Screw-Holding-Screwdriver/dp/B0CFRP1K3L/ref=sr_1_4?keywords=Klein+Tools+614-2+1%2F16-Inch+Slotted+Electronics+Screwdriver%2C+2-Inch&amp;qid=1695174229&amp;sr=8-4</v>
      </c>
      <c r="F4820" t="s">
        <v>3866</v>
      </c>
      <c r="G4820" t="e">
        <f ca="1">_xludf.IMAGE("https://edmondsonsupply.com/cdn/shop/products/614-2.jpg?v=1637284311")</f>
        <v>#NAME?</v>
      </c>
      <c r="H4820" t="e">
        <f ca="1">_xludf.IMAGE("https://m.media-amazon.com/images/I/41KoRmOkBpL._AC_UL320_.jpg")</f>
        <v>#NAME?</v>
      </c>
      <c r="I4820" t="s">
        <v>6394</v>
      </c>
      <c r="J4820">
        <v>23.97</v>
      </c>
      <c r="K4820" s="4">
        <v>1.8232999999999999</v>
      </c>
      <c r="L4820">
        <v>5</v>
      </c>
      <c r="M4820">
        <v>1</v>
      </c>
      <c r="O4820" t="s">
        <v>25</v>
      </c>
      <c r="P4820" t="s">
        <v>6395</v>
      </c>
      <c r="Q4820" t="s">
        <v>6396</v>
      </c>
    </row>
    <row r="4821" spans="1:17" ht="15.5" x14ac:dyDescent="0.35">
      <c r="A4821"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4821" s="3" t="str">
        <f>HYPERLINK("https://edmondsonsupply.com/products/klein-tools-3005cr-ratcheting-crimper-10-22-awg", "https://edmondsonsupply.com/products/klein-tools-3005cr-ratcheting-crimper-10-22-awg")</f>
        <v>https://edmondsonsupply.com/products/klein-tools-3005cr-ratcheting-crimper-10-22-awg</v>
      </c>
      <c r="C4821" t="s">
        <v>1987</v>
      </c>
      <c r="D4821" t="s">
        <v>1988</v>
      </c>
      <c r="E4821" s="3" t="str">
        <f>HYPERLINK("https://www.amazon.com/Automatic-Stripper-Ratcheting-Insulated-Terminal/dp/B0BM3NKTGN/ref=sr_1_5?keywords=Klein+Tools+3005CR+Ratcheting+Crimper%2C+10-22+AWG+-+Insulated+Terminals&amp;qid=1695173864&amp;sr=8-5", "https://www.amazon.com/Automatic-Stripper-Ratcheting-Insulated-Terminal/dp/B0BM3NKTGN/ref=sr_1_5?keywords=Klein+Tools+3005CR+Ratcheting+Crimper%2C+10-22+AWG+-+Insulated+Terminals&amp;qid=1695173864&amp;sr=8-5")</f>
        <v>https://www.amazon.com/Automatic-Stripper-Ratcheting-Insulated-Terminal/dp/B0BM3NKTGN/ref=sr_1_5?keywords=Klein+Tools+3005CR+Ratcheting+Crimper%2C+10-22+AWG+-+Insulated+Terminals&amp;qid=1695173864&amp;sr=8-5</v>
      </c>
      <c r="F4821" t="s">
        <v>1989</v>
      </c>
      <c r="G4821" t="e">
        <f ca="1">_xludf.IMAGE("https://edmondsonsupply.com/cdn/shop/products/3005cr.jpg?v=1587146892")</f>
        <v>#NAME?</v>
      </c>
      <c r="H4821" t="e">
        <f ca="1">_xludf.IMAGE("https://m.media-amazon.com/images/I/41G9n+KVXLL._AC_UL320_.jpg")</f>
        <v>#NAME?</v>
      </c>
      <c r="I4821" t="s">
        <v>824</v>
      </c>
      <c r="J4821">
        <v>84.49</v>
      </c>
      <c r="K4821" s="4">
        <v>1.8191999999999999</v>
      </c>
      <c r="L4821">
        <v>4.5999999999999996</v>
      </c>
      <c r="M4821">
        <v>1243</v>
      </c>
      <c r="O4821" t="s">
        <v>25</v>
      </c>
      <c r="P4821" t="s">
        <v>1990</v>
      </c>
      <c r="Q4821" t="s">
        <v>1991</v>
      </c>
    </row>
    <row r="4822" spans="1:17" ht="15.5" x14ac:dyDescent="0.35">
      <c r="A4822"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4822" s="3" t="str">
        <f>HYPERLINK("https://edmondsonsupply.com/products/klein-tools-32314-14-in-1-precision-screwdriver-nut-driver", "https://edmondsonsupply.com/products/klein-tools-32314-14-in-1-precision-screwdriver-nut-driver")</f>
        <v>https://edmondsonsupply.com/products/klein-tools-32314-14-in-1-precision-screwdriver-nut-driver</v>
      </c>
      <c r="C4822" t="s">
        <v>1999</v>
      </c>
      <c r="D4822" t="s">
        <v>2004</v>
      </c>
      <c r="E4822" s="3" t="str">
        <f>HYPERLINK("https://www.amazon.com/Klein-Tools-Electronic-Screwdriver-Tamperproof/dp/B09Q66YZ6V/ref=sr_1_7?keywords=Klein+Tools+32314+14-in-1+Precision+Screwdriver%2F+Nut+Driver&amp;qid=1695173878&amp;sr=8-7", "https://www.amazon.com/Klein-Tools-Electronic-Screwdriver-Tamperproof/dp/B09Q66YZ6V/ref=sr_1_7?keywords=Klein+Tools+32314+14-in-1+Precision+Screwdriver%2F+Nut+Driver&amp;qid=1695173878&amp;sr=8-7")</f>
        <v>https://www.amazon.com/Klein-Tools-Electronic-Screwdriver-Tamperproof/dp/B09Q66YZ6V/ref=sr_1_7?keywords=Klein+Tools+32314+14-in-1+Precision+Screwdriver%2F+Nut+Driver&amp;qid=1695173878&amp;sr=8-7</v>
      </c>
      <c r="F4822" t="s">
        <v>2005</v>
      </c>
      <c r="G4822" t="e">
        <f ca="1">_xludf.IMAGE("https://edmondsonsupply.com/cdn/shop/products/32314.jpg?v=1646593726")</f>
        <v>#NAME?</v>
      </c>
      <c r="H4822" t="e">
        <f ca="1">_xludf.IMAGE("https://m.media-amazon.com/images/I/41HuaH+HvHL._AC_UL320_.jpg")</f>
        <v>#NAME?</v>
      </c>
      <c r="I4822" t="s">
        <v>143</v>
      </c>
      <c r="J4822">
        <v>44.94</v>
      </c>
      <c r="K4822" s="4">
        <v>1.8140000000000001</v>
      </c>
      <c r="L4822">
        <v>4.7</v>
      </c>
      <c r="M4822">
        <v>7</v>
      </c>
      <c r="O4822" t="s">
        <v>25</v>
      </c>
      <c r="P4822" t="s">
        <v>2002</v>
      </c>
      <c r="Q4822" t="s">
        <v>2003</v>
      </c>
    </row>
    <row r="4823" spans="1:17" ht="15.5" x14ac:dyDescent="0.35">
      <c r="A4823"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4823" s="3" t="str">
        <f>HYPERLINK("https://edmondsonsupply.com/products/klein-tools-32314-14-in-1-precision-screwdriver-nut-driver", "https://edmondsonsupply.com/products/klein-tools-32314-14-in-1-precision-screwdriver-nut-driver")</f>
        <v>https://edmondsonsupply.com/products/klein-tools-32314-14-in-1-precision-screwdriver-nut-driver</v>
      </c>
      <c r="C4823" t="s">
        <v>1999</v>
      </c>
      <c r="D4823" t="s">
        <v>2000</v>
      </c>
      <c r="E4823" s="3" t="str">
        <f>HYPERLINK("https://www.amazon.com/Klein-Tools-Screwdriver-Electronic-Tamperproof/dp/B0BF5CJP5B/ref=sr_1_4?keywords=Klein+Tools+32314+14-in-1+Precision+Screwdriver%2F+Nut+Driver&amp;qid=1695173878&amp;sr=8-4", "https://www.amazon.com/Klein-Tools-Screwdriver-Electronic-Tamperproof/dp/B0BF5CJP5B/ref=sr_1_4?keywords=Klein+Tools+32314+14-in-1+Precision+Screwdriver%2F+Nut+Driver&amp;qid=1695173878&amp;sr=8-4")</f>
        <v>https://www.amazon.com/Klein-Tools-Screwdriver-Electronic-Tamperproof/dp/B0BF5CJP5B/ref=sr_1_4?keywords=Klein+Tools+32314+14-in-1+Precision+Screwdriver%2F+Nut+Driver&amp;qid=1695173878&amp;sr=8-4</v>
      </c>
      <c r="F4823" t="s">
        <v>2001</v>
      </c>
      <c r="G4823" t="e">
        <f ca="1">_xludf.IMAGE("https://edmondsonsupply.com/cdn/shop/products/32314.jpg?v=1646593726")</f>
        <v>#NAME?</v>
      </c>
      <c r="H4823" t="e">
        <f ca="1">_xludf.IMAGE("https://m.media-amazon.com/images/I/51UXV8J5F1L._AC_UL320_.jpg")</f>
        <v>#NAME?</v>
      </c>
      <c r="I4823" t="s">
        <v>143</v>
      </c>
      <c r="J4823">
        <v>44.94</v>
      </c>
      <c r="K4823" s="4">
        <v>1.8140000000000001</v>
      </c>
      <c r="L4823">
        <v>4.9000000000000004</v>
      </c>
      <c r="M4823">
        <v>9</v>
      </c>
      <c r="O4823" t="s">
        <v>25</v>
      </c>
      <c r="P4823" t="s">
        <v>2002</v>
      </c>
      <c r="Q4823" t="s">
        <v>2003</v>
      </c>
    </row>
    <row r="4824" spans="1:17" ht="15.5" x14ac:dyDescent="0.35">
      <c r="A4824" s="3" t="str">
        <f>HYPERLINK("https://edmondsonsupply.com/collections/electricians-tools/products/klein-tools-50611ml-magnetic-wire-puller-replacement-leader", "https://edmondsonsupply.com/collections/electricians-tools/products/klein-tools-50611ml-magnetic-wire-puller-replacement-leader")</f>
        <v>https://edmondsonsupply.com/collections/electricians-tools/products/klein-tools-50611ml-magnetic-wire-puller-replacement-leader</v>
      </c>
      <c r="B4824" s="3" t="str">
        <f>HYPERLINK("https://edmondsonsupply.com/products/klein-tools-50611ml-magnetic-wire-puller-replacement-leader", "https://edmondsonsupply.com/products/klein-tools-50611ml-magnetic-wire-puller-replacement-leader")</f>
        <v>https://edmondsonsupply.com/products/klein-tools-50611ml-magnetic-wire-puller-replacement-leader</v>
      </c>
      <c r="C4824" t="s">
        <v>6397</v>
      </c>
      <c r="D4824" t="s">
        <v>6398</v>
      </c>
      <c r="E4824" s="3" t="str">
        <f>HYPERLINK("https://www.amazon.com/Magnetic-Puller-Stainless-Steel-Klein-Tools/dp/B093J6Z5QT/ref=sr_1_3?keywords=Klein+Tools+50611ML+Magnetic+Wire+Puller+Replacement+Leader&amp;qid=1695174150&amp;sr=8-3", "https://www.amazon.com/Magnetic-Puller-Stainless-Steel-Klein-Tools/dp/B093J6Z5QT/ref=sr_1_3?keywords=Klein+Tools+50611ML+Magnetic+Wire+Puller+Replacement+Leader&amp;qid=1695174150&amp;sr=8-3")</f>
        <v>https://www.amazon.com/Magnetic-Puller-Stainless-Steel-Klein-Tools/dp/B093J6Z5QT/ref=sr_1_3?keywords=Klein+Tools+50611ML+Magnetic+Wire+Puller+Replacement+Leader&amp;qid=1695174150&amp;sr=8-3</v>
      </c>
      <c r="F4824" t="s">
        <v>6399</v>
      </c>
      <c r="G4824" t="e">
        <f ca="1">_xludf.IMAGE("https://edmondsonsupply.com/cdn/shop/products/50611ml.jpg?v=1664399271")</f>
        <v>#NAME?</v>
      </c>
      <c r="H4824" t="e">
        <f ca="1">_xludf.IMAGE("https://m.media-amazon.com/images/I/5165nncGD9S._AC_UL320_.jpg")</f>
        <v>#NAME?</v>
      </c>
      <c r="I4824" t="s">
        <v>471</v>
      </c>
      <c r="J4824">
        <v>69.97</v>
      </c>
      <c r="K4824" s="4">
        <v>1.7999000000000001</v>
      </c>
      <c r="L4824">
        <v>4.5999999999999996</v>
      </c>
      <c r="M4824">
        <v>500</v>
      </c>
      <c r="O4824" t="s">
        <v>25</v>
      </c>
      <c r="P4824" t="s">
        <v>6400</v>
      </c>
      <c r="Q4824" t="s">
        <v>6401</v>
      </c>
    </row>
    <row r="4825" spans="1:17" ht="15.5" x14ac:dyDescent="0.35">
      <c r="A4825"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4825" s="3" t="str">
        <f>HYPERLINK("https://edmondsonsupply.com/products/klein-tools-66076-flip-impact-socket-9-16-and-1-2-inch", "https://edmondsonsupply.com/products/klein-tools-66076-flip-impact-socket-9-16-and-1-2-inch")</f>
        <v>https://edmondsonsupply.com/products/klein-tools-66076-flip-impact-socket-9-16-and-1-2-inch</v>
      </c>
      <c r="C4825" t="s">
        <v>6085</v>
      </c>
      <c r="D4825" t="s">
        <v>6402</v>
      </c>
      <c r="E4825" s="3" t="str">
        <f>HYPERLINK("https://www.amazon.com/Klein-Tools-32900-Impact-Driver/dp/B09PZG4F8X/ref=sr_1_7?keywords=Klein+Tools+66076+Flip+Impact+Socket%2C+9%2F16+and+1%2F2-Inch&amp;qid=1695174172&amp;sr=8-7", "https://www.amazon.com/Klein-Tools-32900-Impact-Driver/dp/B09PZG4F8X/ref=sr_1_7?keywords=Klein+Tools+66076+Flip+Impact+Socket%2C+9%2F16+and+1%2F2-Inch&amp;qid=1695174172&amp;sr=8-7")</f>
        <v>https://www.amazon.com/Klein-Tools-32900-Impact-Driver/dp/B09PZG4F8X/ref=sr_1_7?keywords=Klein+Tools+66076+Flip+Impact+Socket%2C+9%2F16+and+1%2F2-Inch&amp;qid=1695174172&amp;sr=8-7</v>
      </c>
      <c r="F4825" t="s">
        <v>6403</v>
      </c>
      <c r="G4825" t="e">
        <f ca="1">_xludf.IMAGE("https://edmondsonsupply.com/cdn/shop/products/66076.jpg?v=1663083814")</f>
        <v>#NAME?</v>
      </c>
      <c r="H4825" t="e">
        <f ca="1">_xludf.IMAGE("https://m.media-amazon.com/images/I/51qL2uXqcTL._AC_UL320_.jpg")</f>
        <v>#NAME?</v>
      </c>
      <c r="I4825" t="s">
        <v>6086</v>
      </c>
      <c r="J4825">
        <v>29.97</v>
      </c>
      <c r="K4825" s="4">
        <v>1.7983</v>
      </c>
      <c r="L4825">
        <v>4.7</v>
      </c>
      <c r="M4825">
        <v>2493</v>
      </c>
      <c r="O4825" t="s">
        <v>25</v>
      </c>
      <c r="P4825" t="s">
        <v>6087</v>
      </c>
      <c r="Q4825" t="s">
        <v>6088</v>
      </c>
    </row>
    <row r="4826" spans="1:17" ht="15.5" x14ac:dyDescent="0.35">
      <c r="A4826"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4826" s="3" t="str">
        <f>HYPERLINK("https://edmondsonsupply.com/products/klein-tools-rt250-gfci-receptacle-tester-with-lcd", "https://edmondsonsupply.com/products/klein-tools-rt250-gfci-receptacle-tester-with-lcd")</f>
        <v>https://edmondsonsupply.com/products/klein-tools-rt250-gfci-receptacle-tester-with-lcd</v>
      </c>
      <c r="C4826" t="s">
        <v>6197</v>
      </c>
      <c r="D4826" t="s">
        <v>6404</v>
      </c>
      <c r="E4826" s="3" t="str">
        <f>HYPERLINK("https://www.amazon.com/Klein-Tools-Receptacle-Standard-Electrical/dp/B0BD3YZ7JV/ref=sr_1_7?keywords=Klein+Tools+RT250+GFCI+Receptacle+Tester+with+LCD&amp;qid=1695174176&amp;sr=8-7", "https://www.amazon.com/Klein-Tools-Receptacle-Standard-Electrical/dp/B0BD3YZ7JV/ref=sr_1_7?keywords=Klein+Tools+RT250+GFCI+Receptacle+Tester+with+LCD&amp;qid=1695174176&amp;sr=8-7")</f>
        <v>https://www.amazon.com/Klein-Tools-Receptacle-Standard-Electrical/dp/B0BD3YZ7JV/ref=sr_1_7?keywords=Klein+Tools+RT250+GFCI+Receptacle+Tester+with+LCD&amp;qid=1695174176&amp;sr=8-7</v>
      </c>
      <c r="F4826" t="s">
        <v>6405</v>
      </c>
      <c r="G4826" t="e">
        <f ca="1">_xludf.IMAGE("https://edmondsonsupply.com/cdn/shop/products/rt250_photo_c.jpg?v=1661363824")</f>
        <v>#NAME?</v>
      </c>
      <c r="H4826" t="e">
        <f ca="1">_xludf.IMAGE("https://m.media-amazon.com/images/I/51iiNw5cTJL._AC_UL320_.jpg")</f>
        <v>#NAME?</v>
      </c>
      <c r="I4826" t="s">
        <v>2247</v>
      </c>
      <c r="J4826">
        <v>61.4</v>
      </c>
      <c r="K4826" s="4">
        <v>1.7947</v>
      </c>
      <c r="L4826">
        <v>4.7</v>
      </c>
      <c r="M4826">
        <v>6</v>
      </c>
      <c r="O4826" t="s">
        <v>25</v>
      </c>
      <c r="P4826" t="s">
        <v>6200</v>
      </c>
      <c r="Q4826" t="s">
        <v>6201</v>
      </c>
    </row>
    <row r="4827" spans="1:17" ht="15.5" x14ac:dyDescent="0.35">
      <c r="A4827" s="3" t="str">
        <f>HYPERLINK("https://edmondsonsupply.com/collections/electricians-tools/products/klein-tools-85616-precision-screwdriver-set-torx%C2%AE-4-piece", "https://edmondsonsupply.com/collections/electricians-tools/products/klein-tools-85616-precision-screwdriver-set-torx%C2%AE-4-piece")</f>
        <v>https://edmondsonsupply.com/collections/electricians-tools/products/klein-tools-85616-precision-screwdriver-set-torx%C2%AE-4-piece</v>
      </c>
      <c r="B4827" s="3" t="str">
        <f>HYPERLINK("https://edmondsonsupply.com/products/klein-tools-85616-precision-screwdriver-set-torx%c2%ae-4-piece", "https://edmondsonsupply.com/products/klein-tools-85616-precision-screwdriver-set-torx%c2%ae-4-piece")</f>
        <v>https://edmondsonsupply.com/products/klein-tools-85616-precision-screwdriver-set-torx%c2%ae-4-piece</v>
      </c>
      <c r="C4827" t="s">
        <v>2012</v>
      </c>
      <c r="D4827" t="s">
        <v>2013</v>
      </c>
      <c r="E4827" s="3" t="str">
        <f>HYPERLINK("https://www.amazon.com/Klein-Tools-85614-Electronic-Screwdriver/dp/B0076RWZMQ/ref=sr_1_4?keywords=Klein+Tools+85616+Precision+Screwdriver+Set%2C+TORX%C2%AE+4-Piece&amp;qid=1695173993&amp;sr=8-4", "https://www.amazon.com/Klein-Tools-85614-Electronic-Screwdriver/dp/B0076RWZMQ/ref=sr_1_4?keywords=Klein+Tools+85616+Precision+Screwdriver+Set%2C+TORX%C2%AE+4-Piece&amp;qid=1695173993&amp;sr=8-4")</f>
        <v>https://www.amazon.com/Klein-Tools-85614-Electronic-Screwdriver/dp/B0076RWZMQ/ref=sr_1_4?keywords=Klein+Tools+85616+Precision+Screwdriver+Set%2C+TORX%C2%AE+4-Piece&amp;qid=1695173993&amp;sr=8-4</v>
      </c>
      <c r="F4827" t="s">
        <v>2014</v>
      </c>
      <c r="G4827" t="e">
        <f ca="1">_xludf.IMAGE("https://edmondsonsupply.com/cdn/shop/files/85616_kit.jpg?v=1689873488")</f>
        <v>#NAME?</v>
      </c>
      <c r="H4827" t="e">
        <f ca="1">_xludf.IMAGE("https://m.media-amazon.com/images/I/510TMeDdIiL._AC_UL320_.jpg")</f>
        <v>#NAME?</v>
      </c>
      <c r="I4827" t="s">
        <v>893</v>
      </c>
      <c r="J4827">
        <v>55.67</v>
      </c>
      <c r="K4827" s="4">
        <v>1.7877000000000001</v>
      </c>
      <c r="L4827">
        <v>4.8</v>
      </c>
      <c r="M4827">
        <v>590</v>
      </c>
      <c r="O4827" t="s">
        <v>25</v>
      </c>
      <c r="P4827" t="s">
        <v>894</v>
      </c>
      <c r="Q4827" t="s">
        <v>2015</v>
      </c>
    </row>
    <row r="4828" spans="1:17" ht="15.5" x14ac:dyDescent="0.35">
      <c r="A4828"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4828" s="3" t="str">
        <f>HYPERLINK("https://edmondsonsupply.com/products/klein-tools-jth4e08-1-8-inch-hex-key-journeyman-t-handle-4-inch", "https://edmondsonsupply.com/products/klein-tools-jth4e08-1-8-inch-hex-key-journeyman-t-handle-4-inch")</f>
        <v>https://edmondsonsupply.com/products/klein-tools-jth4e08-1-8-inch-hex-key-journeyman-t-handle-4-inch</v>
      </c>
      <c r="C4828" t="s">
        <v>6406</v>
      </c>
      <c r="D4828" t="s">
        <v>2386</v>
      </c>
      <c r="E4828" s="3" t="str">
        <f>HYPERLINK("https://www.amazon.com/Journeyman-T-Handle-Klein-Tools-JTH6E13BE/dp/B004QW52YW/ref=sr_1_6?keywords=Klein+Tools+JTH4E08+1%2F8-Inch+Hex+Key%2C+Journeyman+T-Handle%2C+4-Inch&amp;qid=1695174216&amp;sr=8-6", "https://www.amazon.com/Journeyman-T-Handle-Klein-Tools-JTH6E13BE/dp/B004QW52YW/ref=sr_1_6?keywords=Klein+Tools+JTH4E08+1%2F8-Inch+Hex+Key%2C+Journeyman+T-Handle%2C+4-Inch&amp;qid=1695174216&amp;sr=8-6")</f>
        <v>https://www.amazon.com/Journeyman-T-Handle-Klein-Tools-JTH6E13BE/dp/B004QW52YW/ref=sr_1_6?keywords=Klein+Tools+JTH4E08+1%2F8-Inch+Hex+Key%2C+Journeyman+T-Handle%2C+4-Inch&amp;qid=1695174216&amp;sr=8-6</v>
      </c>
      <c r="F4828" t="s">
        <v>2387</v>
      </c>
      <c r="G4828" t="e">
        <f ca="1">_xludf.IMAGE("https://edmondsonsupply.com/cdn/shop/products/jth4e06_0950e3ec-22b0-4cdd-acd1-822980009e67.jpg?v=1645564818")</f>
        <v>#NAME?</v>
      </c>
      <c r="H4828" t="e">
        <f ca="1">_xludf.IMAGE("https://m.media-amazon.com/images/I/51f9vBFVXgL._AC_UL320_.jpg")</f>
        <v>#NAME?</v>
      </c>
      <c r="I4828" t="s">
        <v>6228</v>
      </c>
      <c r="J4828">
        <v>10.55</v>
      </c>
      <c r="K4828" s="4">
        <v>1.7836000000000001</v>
      </c>
      <c r="L4828">
        <v>4.7</v>
      </c>
      <c r="M4828">
        <v>32</v>
      </c>
      <c r="O4828" t="s">
        <v>25</v>
      </c>
      <c r="P4828" t="s">
        <v>6407</v>
      </c>
      <c r="Q4828" t="s">
        <v>6408</v>
      </c>
    </row>
    <row r="4829" spans="1:17" ht="15.5" x14ac:dyDescent="0.35">
      <c r="A4829" s="3" t="str">
        <f>HYPERLINK("https://edmondsonsupply.com/collections/electricians-tools/products/diablo-tools-dsp2060-9-16-in-x-6-in-spade-bit", "https://edmondsonsupply.com/collections/electricians-tools/products/diablo-tools-dsp2060-9-16-in-x-6-in-spade-bit")</f>
        <v>https://edmondsonsupply.com/collections/electricians-tools/products/diablo-tools-dsp2060-9-16-in-x-6-in-spade-bit</v>
      </c>
      <c r="B4829" s="3" t="str">
        <f>HYPERLINK("https://edmondsonsupply.com/products/diablo-tools-dsp2060-9-16-in-x-6-in-spade-bit", "https://edmondsonsupply.com/products/diablo-tools-dsp2060-9-16-in-x-6-in-spade-bit")</f>
        <v>https://edmondsonsupply.com/products/diablo-tools-dsp2060-9-16-in-x-6-in-spade-bit</v>
      </c>
      <c r="C4829" t="s">
        <v>6388</v>
      </c>
      <c r="D4829" t="s">
        <v>6409</v>
      </c>
      <c r="E4829" s="3" t="str">
        <f>HYPERLINK("https://www.amazon.com/DEWALT-DW1575-16-Inch-6-Inch-Spade/dp/B0001LQYFS/ref=sr_1_2?keywords=Diablo+Tools+DSP2060+9%2F16+in.+x+6+in.+Spade+Bit&amp;qid=1695174098&amp;sr=8-2", "https://www.amazon.com/DEWALT-DW1575-16-Inch-6-Inch-Spade/dp/B0001LQYFS/ref=sr_1_2?keywords=Diablo+Tools+DSP2060+9%2F16+in.+x+6+in.+Spade+Bit&amp;qid=1695174098&amp;sr=8-2")</f>
        <v>https://www.amazon.com/DEWALT-DW1575-16-Inch-6-Inch-Spade/dp/B0001LQYFS/ref=sr_1_2?keywords=Diablo+Tools+DSP2060+9%2F16+in.+x+6+in.+Spade+Bit&amp;qid=1695174098&amp;sr=8-2</v>
      </c>
      <c r="F4829" t="s">
        <v>6410</v>
      </c>
      <c r="G4829" t="e">
        <f ca="1">_xludf.IMAGE("https://edmondsonsupply.com/cdn/shop/products/aedhx1bor2stxnsd8b2m.webp?v=1670512947")</f>
        <v>#NAME?</v>
      </c>
      <c r="H4829" t="e">
        <f ca="1">_xludf.IMAGE("https://m.media-amazon.com/images/I/61eaUcy1beS._AC_UL320_.jpg")</f>
        <v>#NAME?</v>
      </c>
      <c r="I4829" t="s">
        <v>1613</v>
      </c>
      <c r="J4829">
        <v>7.98</v>
      </c>
      <c r="K4829" s="4">
        <v>1.7707999999999999</v>
      </c>
      <c r="L4829">
        <v>4.5999999999999996</v>
      </c>
      <c r="M4829">
        <v>6815</v>
      </c>
      <c r="O4829" t="s">
        <v>25</v>
      </c>
      <c r="P4829" t="s">
        <v>6391</v>
      </c>
      <c r="Q4829" t="s">
        <v>6392</v>
      </c>
    </row>
    <row r="4830" spans="1:17" ht="15.5" x14ac:dyDescent="0.35">
      <c r="A4830"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4830"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4830" t="s">
        <v>6236</v>
      </c>
      <c r="D4830" t="s">
        <v>6411</v>
      </c>
      <c r="E4830" s="3" t="str">
        <f>HYPERLINK("https://www.amazon.com/Klein-Tools-Multi-bit-Screwdriver-Adjustable/dp/B0B2DDKN6X/ref=sr_1_5?keywords=Klein+Tools+32308+8-in-1+Multi-Bit+Adjustable+Length+Stubby+Screwdriver&amp;qid=1695174224&amp;sr=8-5", "https://www.amazon.com/Klein-Tools-Multi-bit-Screwdriver-Adjustable/dp/B0B2DDKN6X/ref=sr_1_5?keywords=Klein+Tools+32308+8-in-1+Multi-Bit+Adjustable+Length+Stubby+Screwdriver&amp;qid=1695174224&amp;sr=8-5")</f>
        <v>https://www.amazon.com/Klein-Tools-Multi-bit-Screwdriver-Adjustable/dp/B0B2DDKN6X/ref=sr_1_5?keywords=Klein+Tools+32308+8-in-1+Multi-Bit+Adjustable+Length+Stubby+Screwdriver&amp;qid=1695174224&amp;sr=8-5</v>
      </c>
      <c r="F4830" t="s">
        <v>6412</v>
      </c>
      <c r="G4830" t="e">
        <f ca="1">_xludf.IMAGE("https://edmondsonsupply.com/cdn/shop/products/32308_b.jpg?v=1647348209")</f>
        <v>#NAME?</v>
      </c>
      <c r="H4830" t="e">
        <f ca="1">_xludf.IMAGE("https://m.media-amazon.com/images/I/513U9I4oXnL._AC_UL320_.jpg")</f>
        <v>#NAME?</v>
      </c>
      <c r="I4830" t="s">
        <v>4985</v>
      </c>
      <c r="J4830">
        <v>46.94</v>
      </c>
      <c r="K4830" s="4">
        <v>1.7661</v>
      </c>
      <c r="L4830">
        <v>4.9000000000000004</v>
      </c>
      <c r="M4830">
        <v>14</v>
      </c>
      <c r="O4830" t="s">
        <v>25</v>
      </c>
      <c r="P4830" t="s">
        <v>996</v>
      </c>
      <c r="Q4830" t="s">
        <v>6239</v>
      </c>
    </row>
    <row r="4831" spans="1:17" ht="15.5" x14ac:dyDescent="0.35">
      <c r="A4831" s="3" t="str">
        <f>HYPERLINK("https://edmondsonsupply.com/collections/electricians-tools/products/milwaukee-2458-21-m12%E2%84%A2-cordless-lithium-ion-palm-nailer-kit", "https://edmondsonsupply.com/collections/electricians-tools/products/milwaukee-2458-21-m12%E2%84%A2-cordless-lithium-ion-palm-nailer-kit")</f>
        <v>https://edmondsonsupply.com/collections/electricians-tools/products/milwaukee-2458-21-m12%E2%84%A2-cordless-lithium-ion-palm-nailer-kit</v>
      </c>
      <c r="B4831" s="3" t="str">
        <f>HYPERLINK("https://edmondsonsupply.com/products/milwaukee-2458-21-m12%e2%84%a2-cordless-lithium-ion-palm-nailer-kit", "https://edmondsonsupply.com/products/milwaukee-2458-21-m12%e2%84%a2-cordless-lithium-ion-palm-nailer-kit")</f>
        <v>https://edmondsonsupply.com/products/milwaukee-2458-21-m12%e2%84%a2-cordless-lithium-ion-palm-nailer-kit</v>
      </c>
      <c r="C4831" t="s">
        <v>6413</v>
      </c>
      <c r="D4831" t="s">
        <v>6414</v>
      </c>
      <c r="E4831" s="3" t="str">
        <f>HYPERLINK("https://www.amazon.com/Milwaukee-2742-21CT-Lithiumion-Brushless-Cordless/dp/B01DE8ZIVK/ref=sr_1_4?keywords=Milwaukee+2458-21+M12%E2%84%A2+Cordless+Lithium-Ion+Palm+Nailer+Kit&amp;qid=1695174057&amp;sr=8-4", "https://www.amazon.com/Milwaukee-2742-21CT-Lithiumion-Brushless-Cordless/dp/B01DE8ZIVK/ref=sr_1_4?keywords=Milwaukee+2458-21+M12%E2%84%A2+Cordless+Lithium-Ion+Palm+Nailer+Kit&amp;qid=1695174057&amp;sr=8-4")</f>
        <v>https://www.amazon.com/Milwaukee-2742-21CT-Lithiumion-Brushless-Cordless/dp/B01DE8ZIVK/ref=sr_1_4?keywords=Milwaukee+2458-21+M12%E2%84%A2+Cordless+Lithium-Ion+Palm+Nailer+Kit&amp;qid=1695174057&amp;sr=8-4</v>
      </c>
      <c r="F4831" t="s">
        <v>6415</v>
      </c>
      <c r="G4831" t="e">
        <f ca="1">_xludf.IMAGE("https://edmondsonsupply.com/cdn/shop/products/52383_2458-20-lg_ec645d87-9219-4c87-aa67-2ea9ff2860d3.webp?v=1679330758")</f>
        <v>#NAME?</v>
      </c>
      <c r="H4831" t="e">
        <f ca="1">_xludf.IMAGE("https://m.media-amazon.com/images/I/91k7A8RmbNL._AC_UL320_.jpg")</f>
        <v>#NAME?</v>
      </c>
      <c r="I4831" t="s">
        <v>715</v>
      </c>
      <c r="J4831">
        <v>550</v>
      </c>
      <c r="K4831" s="4">
        <v>1.7638</v>
      </c>
      <c r="L4831">
        <v>3.8</v>
      </c>
      <c r="M4831">
        <v>33</v>
      </c>
      <c r="O4831" t="s">
        <v>25</v>
      </c>
      <c r="P4831" t="s">
        <v>6416</v>
      </c>
      <c r="Q4831" t="s">
        <v>6417</v>
      </c>
    </row>
    <row r="4832" spans="1:17" ht="15.5" x14ac:dyDescent="0.35">
      <c r="A4832"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4832" s="3" t="str">
        <f>HYPERLINK("https://edmondsonsupply.com/products/klein-tools-605-4-1-4-inch-cabinet-tip-screwdriver-4-inch-shank", "https://edmondsonsupply.com/products/klein-tools-605-4-1-4-inch-cabinet-tip-screwdriver-4-inch-shank")</f>
        <v>https://edmondsonsupply.com/products/klein-tools-605-4-1-4-inch-cabinet-tip-screwdriver-4-inch-shank</v>
      </c>
      <c r="C4832" t="s">
        <v>6418</v>
      </c>
      <c r="D4832" t="s">
        <v>6419</v>
      </c>
      <c r="E4832" s="3" t="str">
        <f>HYPERLINK("https://www.amazon.com/Klein-Tools-Screwdriver-Precision-Electronics/dp/B0CDQJLP83/ref=sr_1_6?keywords=Klein+Tools+605-4+1%2F4-Inch+Cabinet+Tip+Screwdriver+4-Inch+Shank&amp;qid=1695174135&amp;sr=8-6", "https://www.amazon.com/Klein-Tools-Screwdriver-Precision-Electronics/dp/B0CDQJLP83/ref=sr_1_6?keywords=Klein+Tools+605-4+1%2F4-Inch+Cabinet+Tip+Screwdriver+4-Inch+Shank&amp;qid=1695174135&amp;sr=8-6")</f>
        <v>https://www.amazon.com/Klein-Tools-Screwdriver-Precision-Electronics/dp/B0CDQJLP83/ref=sr_1_6?keywords=Klein+Tools+605-4+1%2F4-Inch+Cabinet+Tip+Screwdriver+4-Inch+Shank&amp;qid=1695174135&amp;sr=8-6</v>
      </c>
      <c r="F4832" t="s">
        <v>6420</v>
      </c>
      <c r="G4832" t="e">
        <f ca="1">_xludf.IMAGE("https://edmondsonsupply.com/cdn/shop/products/605-6_ac5e56ca-920d-4d55-842f-c7dc8361f892.jpg?v=1665688377")</f>
        <v>#NAME?</v>
      </c>
      <c r="H4832" t="e">
        <f ca="1">_xludf.IMAGE("https://m.media-amazon.com/images/I/31h2+ShYAnL._AC_UL320_.jpg")</f>
        <v>#NAME?</v>
      </c>
      <c r="I4832" t="s">
        <v>924</v>
      </c>
      <c r="J4832">
        <v>24.84</v>
      </c>
      <c r="K4832" s="4">
        <v>1.7630999999999999</v>
      </c>
      <c r="L4832">
        <v>4.7</v>
      </c>
      <c r="M4832">
        <v>332</v>
      </c>
      <c r="O4832" t="s">
        <v>25</v>
      </c>
      <c r="P4832" t="s">
        <v>6421</v>
      </c>
      <c r="Q4832" t="s">
        <v>6422</v>
      </c>
    </row>
    <row r="4833" spans="1:17" ht="15.5" x14ac:dyDescent="0.35">
      <c r="A4833"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4833" s="3" t="str">
        <f>HYPERLINK("https://edmondsonsupply.com/products/klein-tools-646-1-4-1-4-inch-nut-driver-with-6-inch-hollow-shaft", "https://edmondsonsupply.com/products/klein-tools-646-1-4-1-4-inch-nut-driver-with-6-inch-hollow-shaft")</f>
        <v>https://edmondsonsupply.com/products/klein-tools-646-1-4-1-4-inch-nut-driver-with-6-inch-hollow-shaft</v>
      </c>
      <c r="C4833" t="s">
        <v>1478</v>
      </c>
      <c r="D4833" t="s">
        <v>2021</v>
      </c>
      <c r="E4833" s="3" t="str">
        <f>HYPERLINK("https://www.amazon.com/Insulated-Klein-Tools-646-1-4-INS/dp/B000MKMH5O/ref=sr_1_2?keywords=Klein+Tools+646-1%2F4+1%2F4-Inch+Nut+Driver+with+6-Inch+Hollow+Shaft&amp;qid=1695173897&amp;sr=8-2", "https://www.amazon.com/Insulated-Klein-Tools-646-1-4-INS/dp/B000MKMH5O/ref=sr_1_2?keywords=Klein+Tools+646-1%2F4+1%2F4-Inch+Nut+Driver+with+6-Inch+Hollow+Shaft&amp;qid=1695173897&amp;sr=8-2")</f>
        <v>https://www.amazon.com/Insulated-Klein-Tools-646-1-4-INS/dp/B000MKMH5O/ref=sr_1_2?keywords=Klein+Tools+646-1%2F4+1%2F4-Inch+Nut+Driver+with+6-Inch+Hollow+Shaft&amp;qid=1695173897&amp;sr=8-2</v>
      </c>
      <c r="F4833" t="s">
        <v>2022</v>
      </c>
      <c r="G4833" t="e">
        <f ca="1">_xludf.IMAGE("https://edmondsonsupply.com/cdn/shop/products/646-1-2_08d87fa9-eac4-4869-8d3b-bb680d4b1d53.jpg?v=1587150676")</f>
        <v>#NAME?</v>
      </c>
      <c r="H4833" t="e">
        <f ca="1">_xludf.IMAGE("https://m.media-amazon.com/images/I/41Nr0vSgHCL._AC_UL320_.jpg")</f>
        <v>#NAME?</v>
      </c>
      <c r="I4833" t="s">
        <v>1003</v>
      </c>
      <c r="J4833">
        <v>22.02</v>
      </c>
      <c r="K4833" s="4">
        <v>1.7559</v>
      </c>
      <c r="L4833">
        <v>4.7</v>
      </c>
      <c r="M4833">
        <v>274</v>
      </c>
      <c r="O4833" t="s">
        <v>25</v>
      </c>
      <c r="P4833" t="s">
        <v>1481</v>
      </c>
      <c r="Q4833" t="s">
        <v>1482</v>
      </c>
    </row>
    <row r="4834" spans="1:17" ht="15.5" x14ac:dyDescent="0.35">
      <c r="A4834" s="3" t="str">
        <f>HYPERLINK("https://edmondsonsupply.com/collections/electricians-tools/products/diablo-tools-dmapl4060-1-4-in-x-2-in-x-4-in-rebar-demon%E2%84%A2-sds-plus-4-cutter-full-carbide-head-hammer-bit", "https://edmondsonsupply.com/collections/electricians-tools/products/diablo-tools-dmapl4060-1-4-in-x-2-in-x-4-in-rebar-demon%E2%84%A2-sds-plus-4-cutter-full-carbide-head-hammer-bit")</f>
        <v>https://edmondsonsupply.com/collections/electricians-tools/products/diablo-tools-dmapl4060-1-4-in-x-2-in-x-4-in-rebar-demon%E2%84%A2-sds-plus-4-cutter-full-carbide-head-hammer-bit</v>
      </c>
      <c r="B4834" s="3" t="str">
        <f>HYPERLINK("https://edmondsonsupply.com/products/diablo-tools-dmapl4060-1-4-in-x-2-in-x-4-in-rebar-demon%e2%84%a2-sds-plus-4-cutter-full-carbide-head-hammer-bit", "https://edmondsonsupply.com/products/diablo-tools-dmapl4060-1-4-in-x-2-in-x-4-in-rebar-demon%e2%84%a2-sds-plus-4-cutter-full-carbide-head-hammer-bit")</f>
        <v>https://edmondsonsupply.com/products/diablo-tools-dmapl4060-1-4-in-x-2-in-x-4-in-rebar-demon%e2%84%a2-sds-plus-4-cutter-full-carbide-head-hammer-bit</v>
      </c>
      <c r="C4834" t="s">
        <v>5982</v>
      </c>
      <c r="D4834" t="s">
        <v>6423</v>
      </c>
      <c r="E4834" s="3" t="str">
        <f>HYPERLINK("https://www.amazon.com/Diablo-SDS-Plus-4-Cutter-Carbide-Hammer/dp/B089KWVTD3/ref=sr_1_4?keywords=Diablo+Tools+DMAPL4060+1%2F4+in.+x+2+in.+x+4+in.+Rebar+Demon%E2%84%A2+SDS%E2%80%91Plus+4%E2%80%91Cutter+Full+Carbide+Head+Hammer+Bit&amp;qid=1695174225&amp;sr=8-4", "https://www.amazon.com/Diablo-SDS-Plus-4-Cutter-Carbide-Hammer/dp/B089KWVTD3/ref=sr_1_4?keywords=Diablo+Tools+DMAPL4060+1%2F4+in.+x+2+in.+x+4+in.+Rebar+Demon%E2%84%A2+SDS%E2%80%91Plus+4%E2%80%91Cutter+Full+Carbide+Head+Hammer+Bit&amp;qid=1695174225&amp;sr=8-4")</f>
        <v>https://www.amazon.com/Diablo-SDS-Plus-4-Cutter-Carbide-Hammer/dp/B089KWVTD3/ref=sr_1_4?keywords=Diablo+Tools+DMAPL4060+1%2F4+in.+x+2+in.+x+4+in.+Rebar+Demon%E2%84%A2+SDS%E2%80%91Plus+4%E2%80%91Cutter+Full+Carbide+Head+Hammer+Bit&amp;qid=1695174225&amp;sr=8-4</v>
      </c>
      <c r="F4834" t="s">
        <v>6424</v>
      </c>
      <c r="G4834" t="e">
        <f ca="1">_xludf.IMAGE("https://edmondsonsupply.com/cdn/shop/products/4060.webp?v=1647637028")</f>
        <v>#NAME?</v>
      </c>
      <c r="H4834" t="e">
        <f ca="1">_xludf.IMAGE("https://m.media-amazon.com/images/I/61IkB-DVS1L._AC_UL320_.jpg")</f>
        <v>#NAME?</v>
      </c>
      <c r="I4834" t="s">
        <v>5983</v>
      </c>
      <c r="J4834">
        <v>9.5</v>
      </c>
      <c r="K4834" s="4">
        <v>1.7378</v>
      </c>
      <c r="L4834">
        <v>4.7</v>
      </c>
      <c r="M4834">
        <v>4</v>
      </c>
      <c r="O4834" t="s">
        <v>25</v>
      </c>
      <c r="P4834" t="s">
        <v>5984</v>
      </c>
      <c r="Q4834" t="s">
        <v>5985</v>
      </c>
    </row>
    <row r="4835" spans="1:17" ht="15.5" x14ac:dyDescent="0.35">
      <c r="A4835"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4835"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4835" t="s">
        <v>6425</v>
      </c>
      <c r="D4835" t="s">
        <v>6022</v>
      </c>
      <c r="E4835" s="3" t="str">
        <f>HYPERLINK("https://www.amazon.com/Klein-Tools-Receptacle-Testers-Multimeter/dp/B0B7817ZG5/ref=sr_1_8?keywords=Klein+Tools+ET45VP+AC%2FDC+Voltage+and+GFCI+Receptacle+Outlet+Test+Kit&amp;qid=1695174178&amp;sr=8-8", "https://www.amazon.com/Klein-Tools-Receptacle-Testers-Multimeter/dp/B0B7817ZG5/ref=sr_1_8?keywords=Klein+Tools+ET45VP+AC%2FDC+Voltage+and+GFCI+Receptacle+Outlet+Test+Kit&amp;qid=1695174178&amp;sr=8-8")</f>
        <v>https://www.amazon.com/Klein-Tools-Receptacle-Testers-Multimeter/dp/B0B7817ZG5/ref=sr_1_8?keywords=Klein+Tools+ET45VP+AC%2FDC+Voltage+and+GFCI+Receptacle+Outlet+Test+Kit&amp;qid=1695174178&amp;sr=8-8</v>
      </c>
      <c r="F4835" t="s">
        <v>6023</v>
      </c>
      <c r="G4835" t="e">
        <f ca="1">_xludf.IMAGE("https://edmondsonsupply.com/cdn/shop/products/et45vp.jpg?v=1660755922")</f>
        <v>#NAME?</v>
      </c>
      <c r="H4835" t="e">
        <f ca="1">_xludf.IMAGE("https://m.media-amazon.com/images/I/61wZRMpKAcL._AC_UL320_.jpg")</f>
        <v>#NAME?</v>
      </c>
      <c r="I4835" t="s">
        <v>2586</v>
      </c>
      <c r="J4835">
        <v>48.99</v>
      </c>
      <c r="K4835" s="4">
        <v>1.7262</v>
      </c>
      <c r="L4835">
        <v>4.7</v>
      </c>
      <c r="M4835">
        <v>406</v>
      </c>
      <c r="O4835" t="s">
        <v>25</v>
      </c>
      <c r="P4835" t="s">
        <v>6426</v>
      </c>
      <c r="Q4835" t="s">
        <v>6427</v>
      </c>
    </row>
    <row r="4836" spans="1:17" ht="15.5" x14ac:dyDescent="0.35">
      <c r="A4836"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4836" s="3" t="str">
        <f>HYPERLINK("https://edmondsonsupply.com/products/klein-tools-9416r-1000v-insulated-tool-kit-3-piece", "https://edmondsonsupply.com/products/klein-tools-9416r-1000v-insulated-tool-kit-3-piece")</f>
        <v>https://edmondsonsupply.com/products/klein-tools-9416r-1000v-insulated-tool-kit-3-piece</v>
      </c>
      <c r="C4836" t="s">
        <v>6428</v>
      </c>
      <c r="D4836" t="s">
        <v>2222</v>
      </c>
      <c r="E4836" s="3" t="str">
        <f>HYPERLINK("https://www.amazon.com/Insulated-9-Piece-Klein-Tools-33524/dp/B000MKIR9E/ref=sr_1_2?keywords=Klein+Tools+9416R+1000V+Insulated+Tool+Kit%2C+3-Piece&amp;qid=1695174123&amp;sr=8-2", "https://www.amazon.com/Insulated-9-Piece-Klein-Tools-33524/dp/B000MKIR9E/ref=sr_1_2?keywords=Klein+Tools+9416R+1000V+Insulated+Tool+Kit%2C+3-Piece&amp;qid=1695174123&amp;sr=8-2")</f>
        <v>https://www.amazon.com/Insulated-9-Piece-Klein-Tools-33524/dp/B000MKIR9E/ref=sr_1_2?keywords=Klein+Tools+9416R+1000V+Insulated+Tool+Kit%2C+3-Piece&amp;qid=1695174123&amp;sr=8-2</v>
      </c>
      <c r="F4836" t="s">
        <v>2223</v>
      </c>
      <c r="G4836" t="e">
        <f ca="1">_xludf.IMAGE("https://edmondsonsupply.com/cdn/shop/products/9416r.jpg?v=1667327475")</f>
        <v>#NAME?</v>
      </c>
      <c r="H4836" t="e">
        <f ca="1">_xludf.IMAGE("https://m.media-amazon.com/images/I/71+Db525CfL._AC_UL320_.jpg")</f>
        <v>#NAME?</v>
      </c>
      <c r="I4836" t="s">
        <v>6429</v>
      </c>
      <c r="J4836">
        <v>229.49</v>
      </c>
      <c r="K4836" s="4">
        <v>1.7001999999999999</v>
      </c>
      <c r="L4836">
        <v>4.4000000000000004</v>
      </c>
      <c r="M4836">
        <v>26</v>
      </c>
      <c r="O4836" t="s">
        <v>25</v>
      </c>
      <c r="P4836" t="s">
        <v>6430</v>
      </c>
      <c r="Q4836" t="s">
        <v>6431</v>
      </c>
    </row>
    <row r="4837" spans="1:17" ht="15.5" x14ac:dyDescent="0.35">
      <c r="A4837"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4837"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4837" t="s">
        <v>6432</v>
      </c>
      <c r="D4837" t="s">
        <v>330</v>
      </c>
      <c r="E4837" s="3" t="str">
        <f>HYPERLINK("https://www.amazon.com/Klein-Tools-Resistant-Corrosion-Mushrooming/dp/B093PYTVK3/ref=sr_1_9?keywords=Klein+Tools+5416+Tool+Bag%2C+Bull-Pin+and+Bolt+Pouch%2C+Belt+Strap+Connect%2C+5+x+10+x+9-Inch&amp;qid=1695174042&amp;sr=8-9", "https://www.amazon.com/Klein-Tools-Resistant-Corrosion-Mushrooming/dp/B093PYTVK3/ref=sr_1_9?keywords=Klein+Tools+5416+Tool+Bag%2C+Bull-Pin+and+Bolt+Pouch%2C+Belt+Strap+Connect%2C+5+x+10+x+9-Inch&amp;qid=1695174042&amp;sr=8-9")</f>
        <v>https://www.amazon.com/Klein-Tools-Resistant-Corrosion-Mushrooming/dp/B093PYTVK3/ref=sr_1_9?keywords=Klein+Tools+5416+Tool+Bag%2C+Bull-Pin+and+Bolt+Pouch%2C+Belt+Strap+Connect%2C+5+x+10+x+9-Inch&amp;qid=1695174042&amp;sr=8-9</v>
      </c>
      <c r="F4837" t="s">
        <v>331</v>
      </c>
      <c r="G4837" t="e">
        <f ca="1">_xludf.IMAGE("https://edmondsonsupply.com/cdn/shop/products/5416.jpg?v=1679664980")</f>
        <v>#NAME?</v>
      </c>
      <c r="H4837" t="e">
        <f ca="1">_xludf.IMAGE("https://m.media-amazon.com/images/I/51QTKZXYEJS._AC_UL320_.jpg")</f>
        <v>#NAME?</v>
      </c>
      <c r="I4837" t="s">
        <v>6242</v>
      </c>
      <c r="J4837">
        <v>47.98</v>
      </c>
      <c r="K4837" s="4">
        <v>1.6955</v>
      </c>
      <c r="L4837">
        <v>4.4000000000000004</v>
      </c>
      <c r="M4837">
        <v>58</v>
      </c>
      <c r="O4837" t="s">
        <v>25</v>
      </c>
      <c r="P4837" t="s">
        <v>6433</v>
      </c>
      <c r="Q4837" t="s">
        <v>6434</v>
      </c>
    </row>
    <row r="4838" spans="1:17" ht="15.5" x14ac:dyDescent="0.35">
      <c r="A4838"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4838" s="3" t="str">
        <f>HYPERLINK("https://edmondsonsupply.com/products/milwaukee-48-39-0521-18-tpi-band-saw-blade-deep-cut-3-pack", "https://edmondsonsupply.com/products/milwaukee-48-39-0521-18-tpi-band-saw-blade-deep-cut-3-pack")</f>
        <v>https://edmondsonsupply.com/products/milwaukee-48-39-0521-18-tpi-band-saw-blade-deep-cut-3-pack</v>
      </c>
      <c r="C4838" t="s">
        <v>5843</v>
      </c>
      <c r="D4838" t="s">
        <v>6435</v>
      </c>
      <c r="E4838" s="3" t="str">
        <f>HYPERLINK("https://www.amazon.com/Milwaukee-48-39-0572-Sub-Compact-Portable-Blade/dp/B083W3GY5W/ref=sr_1_10?keywords=Milwaukee+48-39-0521+18+TPI+Band+Saw+Blade%2C+Deep+Cut-+3+Pack&amp;qid=1695174009&amp;sr=8-10", "https://www.amazon.com/Milwaukee-48-39-0572-Sub-Compact-Portable-Blade/dp/B083W3GY5W/ref=sr_1_10?keywords=Milwaukee+48-39-0521+18+TPI+Band+Saw+Blade%2C+Deep+Cut-+3+Pack&amp;qid=1695174009&amp;sr=8-10")</f>
        <v>https://www.amazon.com/Milwaukee-48-39-0572-Sub-Compact-Portable-Blade/dp/B083W3GY5W/ref=sr_1_10?keywords=Milwaukee+48-39-0521+18+TPI+Band+Saw+Blade%2C+Deep+Cut-+3+Pack&amp;qid=1695174009&amp;sr=8-10</v>
      </c>
      <c r="F4838" t="s">
        <v>6436</v>
      </c>
      <c r="G4838" t="e">
        <f ca="1">_xludf.IMAGE("https://edmondsonsupply.com/cdn/shop/files/21432_48-39-0510_1.jpg?v=1686932969")</f>
        <v>#NAME?</v>
      </c>
      <c r="H4838" t="e">
        <f ca="1">_xludf.IMAGE("https://m.media-amazon.com/images/I/71vFJYQfiQL._AC_UL320_.jpg")</f>
        <v>#NAME?</v>
      </c>
      <c r="I4838" t="s">
        <v>2247</v>
      </c>
      <c r="J4838">
        <v>59.11</v>
      </c>
      <c r="K4838" s="4">
        <v>1.6904999999999999</v>
      </c>
      <c r="L4838">
        <v>4.5</v>
      </c>
      <c r="M4838">
        <v>45</v>
      </c>
      <c r="O4838" t="s">
        <v>25</v>
      </c>
      <c r="P4838" t="s">
        <v>5846</v>
      </c>
      <c r="Q4838" t="s">
        <v>5847</v>
      </c>
    </row>
    <row r="4839" spans="1:17" ht="15.5" x14ac:dyDescent="0.35">
      <c r="A4839"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4839"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4839" t="s">
        <v>6437</v>
      </c>
      <c r="D4839" t="s">
        <v>6435</v>
      </c>
      <c r="E4839" s="3" t="str">
        <f>HYPERLINK("https://www.amazon.com/Milwaukee-48-39-0572-Sub-Compact-Portable-Blade/dp/B083W3GY5W/ref=sr_1_3?keywords=Milwaukee+48-39-0572+18+TPI+Standard+Compact+Portable+Band+Saw+Blade+BULK+100&amp;qid=1695174058&amp;sr=8-3", "https://www.amazon.com/Milwaukee-48-39-0572-Sub-Compact-Portable-Blade/dp/B083W3GY5W/ref=sr_1_3?keywords=Milwaukee+48-39-0572+18+TPI+Standard+Compact+Portable+Band+Saw+Blade+BULK+100&amp;qid=1695174058&amp;sr=8-3")</f>
        <v>https://www.amazon.com/Milwaukee-48-39-0572-Sub-Compact-Portable-Blade/dp/B083W3GY5W/ref=sr_1_3?keywords=Milwaukee+48-39-0572+18+TPI+Standard+Compact+Portable+Band+Saw+Blade+BULK+100&amp;qid=1695174058&amp;sr=8-3</v>
      </c>
      <c r="F4839" t="s">
        <v>6436</v>
      </c>
      <c r="G4839" t="e">
        <f ca="1">_xludf.IMAGE("https://edmondsonsupply.com/cdn/shop/products/21432_48-39-0510.jpg?v=1678901662")</f>
        <v>#NAME?</v>
      </c>
      <c r="H4839" t="e">
        <f ca="1">_xludf.IMAGE("https://m.media-amazon.com/images/I/71vFJYQfiQL._AC_UL320_.jpg")</f>
        <v>#NAME?</v>
      </c>
      <c r="I4839" t="s">
        <v>2247</v>
      </c>
      <c r="J4839">
        <v>59.11</v>
      </c>
      <c r="K4839" s="4">
        <v>1.6904999999999999</v>
      </c>
      <c r="L4839">
        <v>4.5</v>
      </c>
      <c r="M4839">
        <v>45</v>
      </c>
      <c r="O4839" t="s">
        <v>25</v>
      </c>
      <c r="P4839" t="s">
        <v>6313</v>
      </c>
      <c r="Q4839" t="s">
        <v>6438</v>
      </c>
    </row>
    <row r="4840" spans="1:17" ht="15.5" x14ac:dyDescent="0.35">
      <c r="A4840"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4840" s="3" t="str">
        <f>HYPERLINK("https://edmondsonsupply.com/products/klein-tools-3005cr-ratcheting-crimper-10-22-awg", "https://edmondsonsupply.com/products/klein-tools-3005cr-ratcheting-crimper-10-22-awg")</f>
        <v>https://edmondsonsupply.com/products/klein-tools-3005cr-ratcheting-crimper-10-22-awg</v>
      </c>
      <c r="C4840" t="s">
        <v>1987</v>
      </c>
      <c r="D4840" t="s">
        <v>2046</v>
      </c>
      <c r="E4840" s="3" t="str">
        <f>HYPERLINK("https://www.amazon.com/Dismantling-Knife-1000V-Insulated-Ratcheting-Terminal/dp/B0BGJ84H4F/ref=sr_1_2?keywords=Klein+Tools+3005CR+Ratcheting+Crimper%2C+10-22+AWG+-+Insulated+Terminals&amp;qid=1695173864&amp;sr=8-2", "https://www.amazon.com/Dismantling-Knife-1000V-Insulated-Ratcheting-Terminal/dp/B0BGJ84H4F/ref=sr_1_2?keywords=Klein+Tools+3005CR+Ratcheting+Crimper%2C+10-22+AWG+-+Insulated+Terminals&amp;qid=1695173864&amp;sr=8-2")</f>
        <v>https://www.amazon.com/Dismantling-Knife-1000V-Insulated-Ratcheting-Terminal/dp/B0BGJ84H4F/ref=sr_1_2?keywords=Klein+Tools+3005CR+Ratcheting+Crimper%2C+10-22+AWG+-+Insulated+Terminals&amp;qid=1695173864&amp;sr=8-2</v>
      </c>
      <c r="F4840" t="s">
        <v>2047</v>
      </c>
      <c r="G4840" t="e">
        <f ca="1">_xludf.IMAGE("https://edmondsonsupply.com/cdn/shop/products/3005cr.jpg?v=1587146892")</f>
        <v>#NAME?</v>
      </c>
      <c r="H4840" t="e">
        <f ca="1">_xludf.IMAGE("https://m.media-amazon.com/images/I/41tkLMUuJaL._AC_UL320_.jpg")</f>
        <v>#NAME?</v>
      </c>
      <c r="I4840" t="s">
        <v>824</v>
      </c>
      <c r="J4840">
        <v>79.69</v>
      </c>
      <c r="K4840" s="4">
        <v>1.659</v>
      </c>
      <c r="L4840">
        <v>4.8</v>
      </c>
      <c r="M4840">
        <v>793</v>
      </c>
      <c r="O4840" t="s">
        <v>25</v>
      </c>
      <c r="P4840" t="s">
        <v>1990</v>
      </c>
      <c r="Q4840" t="s">
        <v>1991</v>
      </c>
    </row>
    <row r="4841" spans="1:17" ht="15.5" x14ac:dyDescent="0.35">
      <c r="A4841"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4841"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4841" t="s">
        <v>6439</v>
      </c>
      <c r="D4841" t="s">
        <v>6440</v>
      </c>
      <c r="E4841" s="3" t="str">
        <f>HYPERLINK("https://www.amazon.com/Klein-Tools-Screwdriver-16-Inch-Drivers/dp/B0C4H7N4GS/ref=sr_1_3?keywords=Klein+Tools+32768+3-in-1+Impact+Flip+Socket+Set%2C+1%2F4-Inch%2C+5%2F16-Inch%2C+2-Piece&amp;qid=1695174135&amp;sr=8-3", "https://www.amazon.com/Klein-Tools-Screwdriver-16-Inch-Drivers/dp/B0C4H7N4GS/ref=sr_1_3?keywords=Klein+Tools+32768+3-in-1+Impact+Flip+Socket+Set%2C+1%2F4-Inch%2C+5%2F16-Inch%2C+2-Piece&amp;qid=1695174135&amp;sr=8-3")</f>
        <v>https://www.amazon.com/Klein-Tools-Screwdriver-16-Inch-Drivers/dp/B0C4H7N4GS/ref=sr_1_3?keywords=Klein+Tools+32768+3-in-1+Impact+Flip+Socket+Set%2C+1%2F4-Inch%2C+5%2F16-Inch%2C+2-Piece&amp;qid=1695174135&amp;sr=8-3</v>
      </c>
      <c r="F4841" t="s">
        <v>6441</v>
      </c>
      <c r="G4841" t="e">
        <f ca="1">_xludf.IMAGE("https://edmondsonsupply.com/cdn/shop/products/32768.jpg?v=1666022946")</f>
        <v>#NAME?</v>
      </c>
      <c r="H4841" t="e">
        <f ca="1">_xludf.IMAGE("https://m.media-amazon.com/images/I/41GpUvTL7xL._AC_UL320_.jpg")</f>
        <v>#NAME?</v>
      </c>
      <c r="I4841" t="s">
        <v>2784</v>
      </c>
      <c r="J4841">
        <v>39.76</v>
      </c>
      <c r="K4841" s="4">
        <v>1.6559999999999999</v>
      </c>
      <c r="L4841">
        <v>5</v>
      </c>
      <c r="M4841">
        <v>1</v>
      </c>
      <c r="O4841" t="s">
        <v>25</v>
      </c>
      <c r="P4841" t="s">
        <v>854</v>
      </c>
      <c r="Q4841" t="s">
        <v>6442</v>
      </c>
    </row>
    <row r="4842" spans="1:17" ht="15.5" x14ac:dyDescent="0.35">
      <c r="A4842"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4842"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4842" t="s">
        <v>6443</v>
      </c>
      <c r="D4842" t="s">
        <v>2386</v>
      </c>
      <c r="E4842" s="3" t="str">
        <f>HYPERLINK("https://www.amazon.com/Journeyman-T-Handle-Klein-Tools-JTH6E13BE/dp/B004QW52YW/ref=sr_1_9?keywords=Klein+Tools+JTH4E06+3%2F32-Inch+Hex+Key%2C+Journeyman+T-Handle%2C+4-Inch&amp;qid=1695174228&amp;sr=8-9", "https://www.amazon.com/Journeyman-T-Handle-Klein-Tools-JTH6E13BE/dp/B004QW52YW/ref=sr_1_9?keywords=Klein+Tools+JTH4E06+3%2F32-Inch+Hex+Key%2C+Journeyman+T-Handle%2C+4-Inch&amp;qid=1695174228&amp;sr=8-9")</f>
        <v>https://www.amazon.com/Journeyman-T-Handle-Klein-Tools-JTH6E13BE/dp/B004QW52YW/ref=sr_1_9?keywords=Klein+Tools+JTH4E06+3%2F32-Inch+Hex+Key%2C+Journeyman+T-Handle%2C+4-Inch&amp;qid=1695174228&amp;sr=8-9</v>
      </c>
      <c r="F4842" t="s">
        <v>2387</v>
      </c>
      <c r="G4842" t="e">
        <f ca="1">_xludf.IMAGE("https://edmondsonsupply.com/cdn/shop/products/jth4e06.jpg?v=1635112029")</f>
        <v>#NAME?</v>
      </c>
      <c r="H4842" t="e">
        <f ca="1">_xludf.IMAGE("https://m.media-amazon.com/images/I/51f9vBFVXgL._AC_UL320_.jpg")</f>
        <v>#NAME?</v>
      </c>
      <c r="I4842" t="s">
        <v>6444</v>
      </c>
      <c r="J4842">
        <v>10.55</v>
      </c>
      <c r="K4842" s="4">
        <v>1.6440999999999999</v>
      </c>
      <c r="L4842">
        <v>4.7</v>
      </c>
      <c r="M4842">
        <v>32</v>
      </c>
      <c r="O4842" t="s">
        <v>25</v>
      </c>
      <c r="P4842" t="s">
        <v>2044</v>
      </c>
      <c r="Q4842" t="s">
        <v>6445</v>
      </c>
    </row>
    <row r="4843" spans="1:17" ht="15.5" x14ac:dyDescent="0.35">
      <c r="A4843" s="3" t="str">
        <f>HYPERLINK("https://edmondsonsupply.com/collections/electricians-tools/products/milwaukee-49-56-0072-1-3-8-hole-dozer%E2%84%A2-hole-saw-bi-metal-cup", "https://edmondsonsupply.com/collections/electricians-tools/products/milwaukee-49-56-0072-1-3-8-hole-dozer%E2%84%A2-hole-saw-bi-metal-cup")</f>
        <v>https://edmondsonsupply.com/collections/electricians-tools/products/milwaukee-49-56-0072-1-3-8-hole-dozer%E2%84%A2-hole-saw-bi-metal-cup</v>
      </c>
      <c r="B4843" s="3" t="str">
        <f>HYPERLINK("https://edmondsonsupply.com/products/milwaukee-49-56-0072-1-3-8-hole-dozer%e2%84%a2-hole-saw-bi-metal-cup", "https://edmondsonsupply.com/products/milwaukee-49-56-0072-1-3-8-hole-dozer%e2%84%a2-hole-saw-bi-metal-cup")</f>
        <v>https://edmondsonsupply.com/products/milwaukee-49-56-0072-1-3-8-hole-dozer%e2%84%a2-hole-saw-bi-metal-cup</v>
      </c>
      <c r="C4843" t="s">
        <v>6446</v>
      </c>
      <c r="D4843" t="s">
        <v>6447</v>
      </c>
      <c r="E4843" s="3" t="str">
        <f>HYPERLINK("https://www.amazon.com/Milwaukee-Electric-Tool-49-56-0193-Bi-Metal/dp/B0017WTULA/ref=sr_1_4?keywords=Milwaukee+49-56-0072+1-3%2F8%22+HOLE+DOZER%E2%84%A2+Hole+Saw+Bi-Metal+Cup&amp;qid=1695174054&amp;sr=8-4", "https://www.amazon.com/Milwaukee-Electric-Tool-49-56-0193-Bi-Metal/dp/B0017WTULA/ref=sr_1_4?keywords=Milwaukee+49-56-0072+1-3%2F8%22+HOLE+DOZER%E2%84%A2+Hole+Saw+Bi-Metal+Cup&amp;qid=1695174054&amp;sr=8-4")</f>
        <v>https://www.amazon.com/Milwaukee-Electric-Tool-49-56-0193-Bi-Metal/dp/B0017WTULA/ref=sr_1_4?keywords=Milwaukee+49-56-0072+1-3%2F8%22+HOLE+DOZER%E2%84%A2+Hole+Saw+Bi-Metal+Cup&amp;qid=1695174054&amp;sr=8-4</v>
      </c>
      <c r="F4843" t="s">
        <v>6448</v>
      </c>
      <c r="G4843" t="e">
        <f ca="1">_xludf.IMAGE("https://edmondsonsupply.com/cdn/shop/products/49-56-0052_101_2_442dad6a-cfd3-4167-9bee-4c5b358f3b1a.webp?v=1679417936")</f>
        <v>#NAME?</v>
      </c>
      <c r="H4843" t="e">
        <f ca="1">_xludf.IMAGE("https://m.media-amazon.com/images/I/51Yfl2-hbuL._AC_UL320_.jpg")</f>
        <v>#NAME?</v>
      </c>
      <c r="I4843" t="s">
        <v>2347</v>
      </c>
      <c r="J4843">
        <v>18.45</v>
      </c>
      <c r="K4843" s="4">
        <v>1.6395</v>
      </c>
      <c r="L4843">
        <v>4.5999999999999996</v>
      </c>
      <c r="M4843">
        <v>249</v>
      </c>
      <c r="O4843" t="s">
        <v>25</v>
      </c>
      <c r="P4843" t="s">
        <v>3464</v>
      </c>
      <c r="Q4843" t="s">
        <v>6449</v>
      </c>
    </row>
    <row r="4844" spans="1:17" ht="15.5" x14ac:dyDescent="0.35">
      <c r="A4844" s="3" t="str">
        <f>HYPERLINK("https://edmondsonsupply.com/collections/electricians-tools/products/milwaukee-49-56-0082-1-1-2-hole-dozer%E2%84%A2-hole-saw-bi-metal-cup", "https://edmondsonsupply.com/collections/electricians-tools/products/milwaukee-49-56-0082-1-1-2-hole-dozer%E2%84%A2-hole-saw-bi-metal-cup")</f>
        <v>https://edmondsonsupply.com/collections/electricians-tools/products/milwaukee-49-56-0082-1-1-2-hole-dozer%E2%84%A2-hole-saw-bi-metal-cup</v>
      </c>
      <c r="B4844" s="3" t="str">
        <f>HYPERLINK("https://edmondsonsupply.com/products/milwaukee-49-56-0082-1-1-2-hole-dozer%e2%84%a2-hole-saw-bi-metal-cup", "https://edmondsonsupply.com/products/milwaukee-49-56-0082-1-1-2-hole-dozer%e2%84%a2-hole-saw-bi-metal-cup")</f>
        <v>https://edmondsonsupply.com/products/milwaukee-49-56-0082-1-1-2-hole-dozer%e2%84%a2-hole-saw-bi-metal-cup</v>
      </c>
      <c r="C4844" t="s">
        <v>6188</v>
      </c>
      <c r="D4844" t="s">
        <v>6447</v>
      </c>
      <c r="E4844" s="3" t="str">
        <f>HYPERLINK("https://www.amazon.com/Milwaukee-Electric-Tool-49-56-0193-Bi-Metal/dp/B0017WTULA/ref=sr_1_4?keywords=Milwaukee+49-56-0082+1-1%2F2%22+HOLE+DOZER%E2%84%A2+Hole+Saw+Bi-Metal+Cup&amp;qid=1695174052&amp;sr=8-4", "https://www.amazon.com/Milwaukee-Electric-Tool-49-56-0193-Bi-Metal/dp/B0017WTULA/ref=sr_1_4?keywords=Milwaukee+49-56-0082+1-1%2F2%22+HOLE+DOZER%E2%84%A2+Hole+Saw+Bi-Metal+Cup&amp;qid=1695174052&amp;sr=8-4")</f>
        <v>https://www.amazon.com/Milwaukee-Electric-Tool-49-56-0193-Bi-Metal/dp/B0017WTULA/ref=sr_1_4?keywords=Milwaukee+49-56-0082+1-1%2F2%22+HOLE+DOZER%E2%84%A2+Hole+Saw+Bi-Metal+Cup&amp;qid=1695174052&amp;sr=8-4</v>
      </c>
      <c r="F4844" t="s">
        <v>6448</v>
      </c>
      <c r="G4844" t="e">
        <f ca="1">_xludf.IMAGE("https://edmondsonsupply.com/cdn/shop/products/49-56-0052_101_2_3e59b3b5-5134-4f73-a3fb-157d3c19d4d7.webp?v=1679416989")</f>
        <v>#NAME?</v>
      </c>
      <c r="H4844" t="e">
        <f ca="1">_xludf.IMAGE("https://m.media-amazon.com/images/I/51Yfl2-hbuL._AC_UL320_.jpg")</f>
        <v>#NAME?</v>
      </c>
      <c r="I4844" t="s">
        <v>2347</v>
      </c>
      <c r="J4844">
        <v>18.45</v>
      </c>
      <c r="K4844" s="4">
        <v>1.6395</v>
      </c>
      <c r="L4844">
        <v>4.5999999999999996</v>
      </c>
      <c r="M4844">
        <v>249</v>
      </c>
      <c r="O4844" t="s">
        <v>25</v>
      </c>
      <c r="P4844" t="s">
        <v>3464</v>
      </c>
      <c r="Q4844" t="s">
        <v>6191</v>
      </c>
    </row>
    <row r="4845" spans="1:17" ht="15.5" x14ac:dyDescent="0.35">
      <c r="A4845"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4845" s="3" t="str">
        <f>HYPERLINK("https://edmondsonsupply.com/products/klein-tools-630m-magnetic-nut-driver-set-3-inch-shafts-2-piece", "https://edmondsonsupply.com/products/klein-tools-630m-magnetic-nut-driver-set-3-inch-shafts-2-piece")</f>
        <v>https://edmondsonsupply.com/products/klein-tools-630m-magnetic-nut-driver-set-3-inch-shafts-2-piece</v>
      </c>
      <c r="C4845" t="s">
        <v>1690</v>
      </c>
      <c r="D4845" t="s">
        <v>2054</v>
      </c>
      <c r="E4845" s="3" t="str">
        <f>HYPERLINK("https://www.amazon.com/Driver-Metric-3-Inch-7-Piece-Klein/dp/B0009ORXQQ/ref=sr_1_5?keywords=Klein+Tools+630M+Magnetic+Nut+Driver+Set%2C+3-Inch+Shafts%2C+2-Piece&amp;qid=1695173928&amp;sr=8-5", "https://www.amazon.com/Driver-Metric-3-Inch-7-Piece-Klein/dp/B0009ORXQQ/ref=sr_1_5?keywords=Klein+Tools+630M+Magnetic+Nut+Driver+Set%2C+3-Inch+Shafts%2C+2-Piece&amp;qid=1695173928&amp;sr=8-5")</f>
        <v>https://www.amazon.com/Driver-Metric-3-Inch-7-Piece-Klein/dp/B0009ORXQQ/ref=sr_1_5?keywords=Klein+Tools+630M+Magnetic+Nut+Driver+Set%2C+3-Inch+Shafts%2C+2-Piece&amp;qid=1695173928&amp;sr=8-5</v>
      </c>
      <c r="F4845" t="s">
        <v>2055</v>
      </c>
      <c r="G4845" t="e">
        <f ca="1">_xludf.IMAGE("https://edmondsonsupply.com/cdn/shop/products/630m.jpg?v=1587143237")</f>
        <v>#NAME?</v>
      </c>
      <c r="H4845" t="e">
        <f ca="1">_xludf.IMAGE("https://m.media-amazon.com/images/I/61CnDJJyViL._AC_UL320_.jpg")</f>
        <v>#NAME?</v>
      </c>
      <c r="I4845" t="s">
        <v>1687</v>
      </c>
      <c r="J4845">
        <v>49.99</v>
      </c>
      <c r="K4845" s="4">
        <v>1.6324000000000001</v>
      </c>
      <c r="L4845">
        <v>4.8</v>
      </c>
      <c r="M4845">
        <v>588</v>
      </c>
      <c r="O4845" t="s">
        <v>25</v>
      </c>
      <c r="P4845" t="s">
        <v>1693</v>
      </c>
      <c r="Q4845" t="s">
        <v>1694</v>
      </c>
    </row>
    <row r="4846" spans="1:17" ht="15.5" x14ac:dyDescent="0.35">
      <c r="A4846"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4846" s="3" t="str">
        <f>HYPERLINK("https://edmondsonsupply.com/products/klein-tools-rt110-receptacle-tester", "https://edmondsonsupply.com/products/klein-tools-rt110-receptacle-tester")</f>
        <v>https://edmondsonsupply.com/products/klein-tools-rt110-receptacle-tester</v>
      </c>
      <c r="C4846" t="s">
        <v>6021</v>
      </c>
      <c r="D4846" t="s">
        <v>4313</v>
      </c>
      <c r="E4846" s="3" t="str">
        <f>HYPERLINK("https://www.amazon.com/Klein-Tools-80097-Beginner-3-Piece/dp/B0B7Z178B1/ref=sr_1_9?keywords=Klein+Tools+RT110+Receptacle+Tester&amp;qid=1695174267&amp;sr=8-9", "https://www.amazon.com/Klein-Tools-80097-Beginner-3-Piece/dp/B0B7Z178B1/ref=sr_1_9?keywords=Klein+Tools+RT110+Receptacle+Tester&amp;qid=1695174267&amp;sr=8-9")</f>
        <v>https://www.amazon.com/Klein-Tools-80097-Beginner-3-Piece/dp/B0B7Z178B1/ref=sr_1_9?keywords=Klein+Tools+RT110+Receptacle+Tester&amp;qid=1695174267&amp;sr=8-9</v>
      </c>
      <c r="F4846" t="s">
        <v>4314</v>
      </c>
      <c r="G4846" t="e">
        <f ca="1">_xludf.IMAGE("https://edmondsonsupply.com/cdn/shop/products/rt110.jpg?v=1633031036")</f>
        <v>#NAME?</v>
      </c>
      <c r="H4846" t="e">
        <f ca="1">_xludf.IMAGE("https://m.media-amazon.com/images/I/51TWbZ0INyL._AC_UL320_.jpg")</f>
        <v>#NAME?</v>
      </c>
      <c r="I4846" t="s">
        <v>1427</v>
      </c>
      <c r="J4846">
        <v>25.99</v>
      </c>
      <c r="K4846" s="4">
        <v>1.6068</v>
      </c>
      <c r="L4846">
        <v>4.5999999999999996</v>
      </c>
      <c r="M4846">
        <v>121</v>
      </c>
      <c r="O4846" t="s">
        <v>25</v>
      </c>
      <c r="P4846" t="s">
        <v>6024</v>
      </c>
      <c r="Q4846" t="s">
        <v>6025</v>
      </c>
    </row>
    <row r="4847" spans="1:17" ht="15.5" x14ac:dyDescent="0.35">
      <c r="A4847"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4847" s="3" t="str">
        <f>HYPERLINK("https://edmondsonsupply.com/products/diablo-tools-dsp1060-1-in-x-4-in-spade-bit", "https://edmondsonsupply.com/products/diablo-tools-dsp1060-1-in-x-4-in-spade-bit")</f>
        <v>https://edmondsonsupply.com/products/diablo-tools-dsp1060-1-in-x-4-in-spade-bit</v>
      </c>
      <c r="C4847" t="s">
        <v>6298</v>
      </c>
      <c r="D4847" t="s">
        <v>6450</v>
      </c>
      <c r="E4847" s="3" t="str">
        <f>HYPERLINK("https://www.amazon.com/Diablo-SPEEDemon-Spade-Bit/dp/B089KXW89T/ref=sr_1_1?keywords=Diablo+Tools+DSP1060+1+in.+x+4+in.+Spade+Bit&amp;qid=1695174100&amp;sr=8-1", "https://www.amazon.com/Diablo-SPEEDemon-Spade-Bit/dp/B089KXW89T/ref=sr_1_1?keywords=Diablo+Tools+DSP1060+1+in.+x+4+in.+Spade+Bit&amp;qid=1695174100&amp;sr=8-1")</f>
        <v>https://www.amazon.com/Diablo-SPEEDemon-Spade-Bit/dp/B089KXW89T/ref=sr_1_1?keywords=Diablo+Tools+DSP1060+1+in.+x+4+in.+Spade+Bit&amp;qid=1695174100&amp;sr=8-1</v>
      </c>
      <c r="F4847" t="s">
        <v>6451</v>
      </c>
      <c r="G4847" t="e">
        <f ca="1">_xludf.IMAGE("https://edmondsonsupply.com/cdn/shop/products/hanbmwlurgioczoyawta.webp?v=1670510289")</f>
        <v>#NAME?</v>
      </c>
      <c r="H4847" t="e">
        <f ca="1">_xludf.IMAGE("https://m.media-amazon.com/images/I/61J14M5Q68L._AC_UL320_.jpg")</f>
        <v>#NAME?</v>
      </c>
      <c r="I4847" t="s">
        <v>6301</v>
      </c>
      <c r="J4847">
        <v>6.74</v>
      </c>
      <c r="K4847" s="4">
        <v>1.6023000000000001</v>
      </c>
      <c r="L4847">
        <v>4.3</v>
      </c>
      <c r="M4847">
        <v>14</v>
      </c>
      <c r="O4847" t="s">
        <v>25</v>
      </c>
      <c r="P4847" t="s">
        <v>6302</v>
      </c>
      <c r="Q4847" t="s">
        <v>6303</v>
      </c>
    </row>
    <row r="4848" spans="1:17" ht="15.5" x14ac:dyDescent="0.35">
      <c r="A4848"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4848" s="3" t="str">
        <f>HYPERLINK("https://edmondsonsupply.com/products/klein-tools-vdv427-300-impact-punchdown-tool-66-110-blade", "https://edmondsonsupply.com/products/klein-tools-vdv427-300-impact-punchdown-tool-66-110-blade")</f>
        <v>https://edmondsonsupply.com/products/klein-tools-vdv427-300-impact-punchdown-tool-66-110-blade</v>
      </c>
      <c r="C4848" t="s">
        <v>6289</v>
      </c>
      <c r="D4848" t="s">
        <v>6452</v>
      </c>
      <c r="E4848" s="3" t="str">
        <f>HYPERLINK("https://www.amazon.com/Technology-Connectors-Applications-Klein-Tools/dp/B0BM3B5HST/ref=sr_1_4?keywords=Klein+Tools+VDV427-300+Impact+Punchdown+Tool%2C+66%2F110+Blade&amp;qid=1695174221&amp;sr=8-4", "https://www.amazon.com/Technology-Connectors-Applications-Klein-Tools/dp/B0BM3B5HST/ref=sr_1_4?keywords=Klein+Tools+VDV427-300+Impact+Punchdown+Tool%2C+66%2F110+Blade&amp;qid=1695174221&amp;sr=8-4")</f>
        <v>https://www.amazon.com/Technology-Connectors-Applications-Klein-Tools/dp/B0BM3B5HST/ref=sr_1_4?keywords=Klein+Tools+VDV427-300+Impact+Punchdown+Tool%2C+66%2F110+Blade&amp;qid=1695174221&amp;sr=8-4</v>
      </c>
      <c r="F4848" t="s">
        <v>6453</v>
      </c>
      <c r="G4848" t="e">
        <f ca="1">_xludf.IMAGE("https://edmondsonsupply.com/cdn/shop/products/vdv427300.jpg?v=1646010568")</f>
        <v>#NAME?</v>
      </c>
      <c r="H4848" t="e">
        <f ca="1">_xludf.IMAGE("https://m.media-amazon.com/images/I/51XDsqYrc6L._AC_UL320_.jpg")</f>
        <v>#NAME?</v>
      </c>
      <c r="I4848" t="s">
        <v>246</v>
      </c>
      <c r="J4848">
        <v>103.96</v>
      </c>
      <c r="K4848" s="4">
        <v>1.601</v>
      </c>
      <c r="L4848">
        <v>4.7</v>
      </c>
      <c r="M4848">
        <v>312</v>
      </c>
      <c r="O4848" t="s">
        <v>25</v>
      </c>
      <c r="P4848" t="s">
        <v>1027</v>
      </c>
      <c r="Q4848" t="s">
        <v>6292</v>
      </c>
    </row>
    <row r="4849" spans="1:17" ht="15.5" x14ac:dyDescent="0.35">
      <c r="A4849" s="3" t="str">
        <f>HYPERLINK("https://edmondsonsupply.com/collections/electricians-tools/products/klein-tools-rt390", "https://edmondsonsupply.com/collections/electricians-tools/products/klein-tools-rt390")</f>
        <v>https://edmondsonsupply.com/collections/electricians-tools/products/klein-tools-rt390</v>
      </c>
      <c r="B4849" s="3" t="str">
        <f>HYPERLINK("https://edmondsonsupply.com/products/klein-tools-rt390", "https://edmondsonsupply.com/products/klein-tools-rt390")</f>
        <v>https://edmondsonsupply.com/products/klein-tools-rt390</v>
      </c>
      <c r="C4849" t="s">
        <v>6454</v>
      </c>
      <c r="D4849" t="s">
        <v>6455</v>
      </c>
      <c r="E4849" s="3" t="str">
        <f>HYPERLINK("https://www.amazon.com/Klein-Tools-Advanced-Analyzer-Identifies/dp/B0CCS6L8DC/ref=sr_1_2?keywords=Klein+Tools+RT390+Circuit+Analyzer&amp;qid=1695173904&amp;sr=8-2", "https://www.amazon.com/Klein-Tools-Advanced-Analyzer-Identifies/dp/B0CCS6L8DC/ref=sr_1_2?keywords=Klein+Tools+RT390+Circuit+Analyzer&amp;qid=1695173904&amp;sr=8-2")</f>
        <v>https://www.amazon.com/Klein-Tools-Advanced-Analyzer-Identifies/dp/B0CCS6L8DC/ref=sr_1_2?keywords=Klein+Tools+RT390+Circuit+Analyzer&amp;qid=1695173904&amp;sr=8-2</v>
      </c>
      <c r="F4849" t="s">
        <v>6456</v>
      </c>
      <c r="G4849" t="e">
        <f ca="1">_xludf.IMAGE("https://edmondsonsupply.com/cdn/shop/products/rt390.jpg?v=1677683463")</f>
        <v>#NAME?</v>
      </c>
      <c r="H4849" t="e">
        <f ca="1">_xludf.IMAGE("https://m.media-amazon.com/images/I/61pWayFxCIL._AC_UL320_.jpg")</f>
        <v>#NAME?</v>
      </c>
      <c r="I4849" t="s">
        <v>4155</v>
      </c>
      <c r="J4849">
        <v>389.98</v>
      </c>
      <c r="K4849" s="4">
        <v>1.6</v>
      </c>
      <c r="L4849">
        <v>5</v>
      </c>
      <c r="M4849">
        <v>1</v>
      </c>
      <c r="O4849" t="s">
        <v>25</v>
      </c>
      <c r="P4849" t="s">
        <v>6457</v>
      </c>
      <c r="Q4849" t="s">
        <v>6458</v>
      </c>
    </row>
    <row r="4850" spans="1:17" ht="15.5" x14ac:dyDescent="0.35">
      <c r="A4850" s="3" t="str">
        <f>HYPERLINK("https://edmondsonsupply.com/collections/electricians-tools/products/tajima-vrb2-5b-v-rex%E2%84%A2-ii-premium-tempered-steel-utility-knife-blades-5-blade-pack", "https://edmondsonsupply.com/collections/electricians-tools/products/tajima-vrb2-5b-v-rex%E2%84%A2-ii-premium-tempered-steel-utility-knife-blades-5-blade-pack")</f>
        <v>https://edmondsonsupply.com/collections/electricians-tools/products/tajima-vrb2-5b-v-rex%E2%84%A2-ii-premium-tempered-steel-utility-knife-blades-5-blade-pack</v>
      </c>
      <c r="B4850" s="3" t="str">
        <f>HYPERLINK("https://edmondsonsupply.com/products/tajima-vrb2-5b-v-rex%e2%84%a2-ii-premium-tempered-steel-utility-knife-blades-5-blade-pack", "https://edmondsonsupply.com/products/tajima-vrb2-5b-v-rex%e2%84%a2-ii-premium-tempered-steel-utility-knife-blades-5-blade-pack")</f>
        <v>https://edmondsonsupply.com/products/tajima-vrb2-5b-v-rex%e2%84%a2-ii-premium-tempered-steel-utility-knife-blades-5-blade-pack</v>
      </c>
      <c r="C4850" t="s">
        <v>5999</v>
      </c>
      <c r="D4850" t="s">
        <v>6459</v>
      </c>
      <c r="E4850" s="3" t="str">
        <f>HYPERLINK("https://www.amazon.com/Tajima-VRB2-5B-Premium-Tempered-Utility/dp/B00PX98GTA/ref=sr_1_1?keywords=Tajima+VRB2-5B+V-REX%E2%84%A2+II%2C+Premium+Tempered+Steel+Utility+Knife+Blades%2C+5-Blade+Pack&amp;qid=1695174251&amp;sr=8-1", "https://www.amazon.com/Tajima-VRB2-5B-Premium-Tempered-Utility/dp/B00PX98GTA/ref=sr_1_1?keywords=Tajima+VRB2-5B+V-REX%E2%84%A2+II%2C+Premium+Tempered+Steel+Utility+Knife+Blades%2C+5-Blade+Pack&amp;qid=1695174251&amp;sr=8-1")</f>
        <v>https://www.amazon.com/Tajima-VRB2-5B-Premium-Tempered-Utility/dp/B00PX98GTA/ref=sr_1_1?keywords=Tajima+VRB2-5B+V-REX%E2%84%A2+II%2C+Premium+Tempered+Steel+Utility+Knife+Blades%2C+5-Blade+Pack&amp;qid=1695174251&amp;sr=8-1</v>
      </c>
      <c r="F4850" t="s">
        <v>6460</v>
      </c>
      <c r="G4850" t="e">
        <f ca="1">_xludf.IMAGE("https://edmondsonsupply.com/cdn/shop/products/VRB2-5B.jpg?v=1633031167")</f>
        <v>#NAME?</v>
      </c>
      <c r="H4850" t="e">
        <f ca="1">_xludf.IMAGE("https://m.media-amazon.com/images/I/91F8smvxXFL._AC_UL320_.jpg")</f>
        <v>#NAME?</v>
      </c>
      <c r="I4850" t="s">
        <v>1386</v>
      </c>
      <c r="J4850">
        <v>8.99</v>
      </c>
      <c r="K4850" s="4">
        <v>1.5759000000000001</v>
      </c>
      <c r="L4850">
        <v>4.5999999999999996</v>
      </c>
      <c r="M4850">
        <v>85</v>
      </c>
      <c r="O4850" t="s">
        <v>25</v>
      </c>
      <c r="P4850" t="s">
        <v>138</v>
      </c>
      <c r="Q4850" t="s">
        <v>6000</v>
      </c>
    </row>
    <row r="4851" spans="1:17" ht="15.5" x14ac:dyDescent="0.35">
      <c r="A4851"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4851" s="3" t="str">
        <f>HYPERLINK("https://edmondsonsupply.com/products/diablo-tools-d0824x-8-1-4-in-x-24-tooth-framing-saw-blade", "https://edmondsonsupply.com/products/diablo-tools-d0824x-8-1-4-in-x-24-tooth-framing-saw-blade")</f>
        <v>https://edmondsonsupply.com/products/diablo-tools-d0824x-8-1-4-in-x-24-tooth-framing-saw-blade</v>
      </c>
      <c r="C4851" t="s">
        <v>6161</v>
      </c>
      <c r="D4851" t="s">
        <v>6461</v>
      </c>
      <c r="E4851" s="3" t="str">
        <f>HYPERLINK("https://www.amazon.com/Freud-D0824X-Diablo-4-inch-Framing/dp/B00W68OTLK/ref=sr_1_1?keywords=Diablo+Tools+D0824X+8-1%2F4+in.+x+24+Tooth+Framing+Saw+Blade&amp;qid=1695174053&amp;sr=8-1", "https://www.amazon.com/Freud-D0824X-Diablo-4-inch-Framing/dp/B00W68OTLK/ref=sr_1_1?keywords=Diablo+Tools+D0824X+8-1%2F4+in.+x+24+Tooth+Framing+Saw+Blade&amp;qid=1695174053&amp;sr=8-1")</f>
        <v>https://www.amazon.com/Freud-D0824X-Diablo-4-inch-Framing/dp/B00W68OTLK/ref=sr_1_1?keywords=Diablo+Tools+D0824X+8-1%2F4+in.+x+24+Tooth+Framing+Saw+Blade&amp;qid=1695174053&amp;sr=8-1</v>
      </c>
      <c r="F4851" t="s">
        <v>6462</v>
      </c>
      <c r="G4851" t="e">
        <f ca="1">_xludf.IMAGE("https://edmondsonsupply.com/cdn/shop/products/waqxzlwfclzed6nt6ziy.webp?v=1678979454")</f>
        <v>#NAME?</v>
      </c>
      <c r="H4851" t="e">
        <f ca="1">_xludf.IMAGE("https://m.media-amazon.com/images/I/71hGL+ZBRfL._AC_UL320_.jpg")</f>
        <v>#NAME?</v>
      </c>
      <c r="I4851" t="s">
        <v>6164</v>
      </c>
      <c r="J4851">
        <v>48.44</v>
      </c>
      <c r="K4851" s="4">
        <v>1.5535000000000001</v>
      </c>
      <c r="L4851">
        <v>4.5</v>
      </c>
      <c r="M4851">
        <v>23</v>
      </c>
      <c r="O4851" t="s">
        <v>25</v>
      </c>
      <c r="P4851" t="s">
        <v>6165</v>
      </c>
      <c r="Q4851" t="s">
        <v>6166</v>
      </c>
    </row>
    <row r="4852" spans="1:17" ht="15.5" x14ac:dyDescent="0.35">
      <c r="A4852"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4852" s="3" t="str">
        <f>HYPERLINK("https://edmondsonsupply.com/products/klein-tools-65064-2-in-1-hex-head-screwdriver-1-4-5-16", "https://edmondsonsupply.com/products/klein-tools-65064-2-in-1-hex-head-screwdriver-1-4-5-16")</f>
        <v>https://edmondsonsupply.com/products/klein-tools-65064-2-in-1-hex-head-screwdriver-1-4-5-16</v>
      </c>
      <c r="C4852" t="s">
        <v>2093</v>
      </c>
      <c r="D4852" t="s">
        <v>2094</v>
      </c>
      <c r="E4852" s="3" t="str">
        <f>HYPERLINK("https://www.amazon.com/Klein-Tools-Magnetic-Drivers-16-Inch/dp/B0BGPTVP3Z/ref=sr_1_4?keywords=Klein+Tools+65064+2-in-1+Nut+Driver%2C+Hex+Head%2C+1%2F4-Inch+and+5%2F16-Inch&amp;qid=1695173915&amp;sr=8-4", "https://www.amazon.com/Klein-Tools-Magnetic-Drivers-16-Inch/dp/B0BGPTVP3Z/ref=sr_1_4?keywords=Klein+Tools+65064+2-in-1+Nut+Driver%2C+Hex+Head%2C+1%2F4-Inch+and+5%2F16-Inch&amp;qid=1695173915&amp;sr=8-4")</f>
        <v>https://www.amazon.com/Klein-Tools-Magnetic-Drivers-16-Inch/dp/B0BGPTVP3Z/ref=sr_1_4?keywords=Klein+Tools+65064+2-in-1+Nut+Driver%2C+Hex+Head%2C+1%2F4-Inch+and+5%2F16-Inch&amp;qid=1695173915&amp;sr=8-4</v>
      </c>
      <c r="F4852" t="s">
        <v>2095</v>
      </c>
      <c r="G4852" t="e">
        <f ca="1">_xludf.IMAGE("https://edmondsonsupply.com/cdn/shop/products/65064.jpg?v=1587147719")</f>
        <v>#NAME?</v>
      </c>
      <c r="H4852" t="e">
        <f ca="1">_xludf.IMAGE("https://m.media-amazon.com/images/I/41iqeifLYLL._AC_UL320_.jpg")</f>
        <v>#NAME?</v>
      </c>
      <c r="I4852" t="s">
        <v>143</v>
      </c>
      <c r="J4852">
        <v>40.26</v>
      </c>
      <c r="K4852" s="4">
        <v>1.5209999999999999</v>
      </c>
      <c r="L4852">
        <v>5</v>
      </c>
      <c r="M4852">
        <v>1</v>
      </c>
      <c r="O4852" t="s">
        <v>25</v>
      </c>
      <c r="P4852" t="s">
        <v>2096</v>
      </c>
      <c r="Q4852" t="s">
        <v>2097</v>
      </c>
    </row>
    <row r="4853" spans="1:17" ht="15.5" x14ac:dyDescent="0.35">
      <c r="A4853"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4853"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4853" t="s">
        <v>6463</v>
      </c>
      <c r="D4853" t="s">
        <v>2345</v>
      </c>
      <c r="E4853" s="3" t="str">
        <f>HYPERLINK("https://www.amazon.com/Klein-Tools-JTH6M3BE-Journeyman-T-Handle/dp/B0CGLYY7WP/ref=sr_1_2?keywords=Klein+Tools+JTH6M6BE+6+mm+Ball-End+Hex+Key%2C+Journeyman%E2%84%A2+T-Handle%2C+6-Inch&amp;qid=1695174142&amp;sr=8-2", "https://www.amazon.com/Klein-Tools-JTH6M3BE-Journeyman-T-Handle/dp/B0CGLYY7WP/ref=sr_1_2?keywords=Klein+Tools+JTH6M6BE+6+mm+Ball-End+Hex+Key%2C+Journeyman%E2%84%A2+T-Handle%2C+6-Inch&amp;qid=1695174142&amp;sr=8-2")</f>
        <v>https://www.amazon.com/Klein-Tools-JTH6M3BE-Journeyman-T-Handle/dp/B0CGLYY7WP/ref=sr_1_2?keywords=Klein+Tools+JTH6M6BE+6+mm+Ball-End+Hex+Key%2C+Journeyman%E2%84%A2+T-Handle%2C+6-Inch&amp;qid=1695174142&amp;sr=8-2</v>
      </c>
      <c r="F4853" t="s">
        <v>2346</v>
      </c>
      <c r="G4853" t="e">
        <f ca="1">_xludf.IMAGE("https://edmondsonsupply.com/cdn/shop/products/jth6m8be_8608088e-2ec0-429e-80d7-5bd927a3a1b6.jpg?v=1666111557")</f>
        <v>#NAME?</v>
      </c>
      <c r="H4853" t="e">
        <f ca="1">_xludf.IMAGE("https://m.media-amazon.com/images/I/413sTNFMd7L._AC_UL320_.jpg")</f>
        <v>#NAME?</v>
      </c>
      <c r="I4853" t="s">
        <v>2639</v>
      </c>
      <c r="J4853">
        <v>15.1</v>
      </c>
      <c r="K4853" s="4">
        <v>1.5208999999999999</v>
      </c>
      <c r="L4853">
        <v>4.5999999999999996</v>
      </c>
      <c r="M4853">
        <v>184</v>
      </c>
      <c r="O4853" t="s">
        <v>25</v>
      </c>
      <c r="P4853" t="s">
        <v>6464</v>
      </c>
      <c r="Q4853" t="s">
        <v>6465</v>
      </c>
    </row>
    <row r="4854" spans="1:17" ht="15.5" x14ac:dyDescent="0.35">
      <c r="A4854"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4854"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4854" t="s">
        <v>6276</v>
      </c>
      <c r="D4854" t="s">
        <v>6338</v>
      </c>
      <c r="E4854" s="3" t="str">
        <f>HYPERLINK("https://www.amazon.com/Journeyman-T-Handle-Klein-Tools-JTH9M8/dp/B005G3HJSC/ref=sr_1_10?keywords=Klein+Tools+JTH9E13+1%2F4-Inch+Hex+Key+with+Journeyman+T-Handle%2C+9-Inch&amp;qid=1695174307&amp;sr=8-10", "https://www.amazon.com/Journeyman-T-Handle-Klein-Tools-JTH9M8/dp/B005G3HJSC/ref=sr_1_10?keywords=Klein+Tools+JTH9E13+1%2F4-Inch+Hex+Key+with+Journeyman+T-Handle%2C+9-Inch&amp;qid=1695174307&amp;sr=8-10")</f>
        <v>https://www.amazon.com/Journeyman-T-Handle-Klein-Tools-JTH9M8/dp/B005G3HJSC/ref=sr_1_10?keywords=Klein+Tools+JTH9E13+1%2F4-Inch+Hex+Key+with+Journeyman+T-Handle%2C+9-Inch&amp;qid=1695174307&amp;sr=8-10</v>
      </c>
      <c r="F4854" t="s">
        <v>6339</v>
      </c>
      <c r="G4854" t="e">
        <f ca="1">_xludf.IMAGE("https://edmondsonsupply.com/cdn/shop/products/jth9e12_7dcdbf9a-5acd-4824-8919-6aeb4a790072.jpg?v=1604060723")</f>
        <v>#NAME?</v>
      </c>
      <c r="H4854" t="e">
        <f ca="1">_xludf.IMAGE("https://m.media-amazon.com/images/I/51+1x0vz9XL._AC_UL320_.jpg")</f>
        <v>#NAME?</v>
      </c>
      <c r="I4854" t="s">
        <v>4617</v>
      </c>
      <c r="J4854">
        <v>16.27</v>
      </c>
      <c r="K4854" s="4">
        <v>1.5068999999999999</v>
      </c>
      <c r="L4854">
        <v>5</v>
      </c>
      <c r="M4854">
        <v>4</v>
      </c>
      <c r="O4854" t="s">
        <v>25</v>
      </c>
      <c r="P4854" t="s">
        <v>6277</v>
      </c>
      <c r="Q4854" t="s">
        <v>6278</v>
      </c>
    </row>
    <row r="4855" spans="1:17" ht="15.5" x14ac:dyDescent="0.35">
      <c r="A4855"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4855"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4855" t="s">
        <v>6437</v>
      </c>
      <c r="D4855" t="s">
        <v>6466</v>
      </c>
      <c r="E4855" s="3" t="str">
        <f>HYPERLINK("https://www.amazon.com/Milwaukee-48-39-0572-Sub-Compact-Portable-27-Inch/dp/B084GCHPC3/ref=sr_1_10?keywords=Milwaukee+48-39-0572+18+TPI+Standard+Compact+Portable+Band+Saw+Blade+BULK+100&amp;qid=1695174058&amp;sr=8-10", "https://www.amazon.com/Milwaukee-48-39-0572-Sub-Compact-Portable-27-Inch/dp/B084GCHPC3/ref=sr_1_10?keywords=Milwaukee+48-39-0572+18+TPI+Standard+Compact+Portable+Band+Saw+Blade+BULK+100&amp;qid=1695174058&amp;sr=8-10")</f>
        <v>https://www.amazon.com/Milwaukee-48-39-0572-Sub-Compact-Portable-27-Inch/dp/B084GCHPC3/ref=sr_1_10?keywords=Milwaukee+48-39-0572+18+TPI+Standard+Compact+Portable+Band+Saw+Blade+BULK+100&amp;qid=1695174058&amp;sr=8-10</v>
      </c>
      <c r="F4855" t="s">
        <v>6467</v>
      </c>
      <c r="G4855" t="e">
        <f ca="1">_xludf.IMAGE("https://edmondsonsupply.com/cdn/shop/products/21432_48-39-0510.jpg?v=1678901662")</f>
        <v>#NAME?</v>
      </c>
      <c r="H4855" t="e">
        <f ca="1">_xludf.IMAGE("https://m.media-amazon.com/images/I/71bCNL-RA5L._AC_UL320_.jpg")</f>
        <v>#NAME?</v>
      </c>
      <c r="I4855" t="s">
        <v>2247</v>
      </c>
      <c r="J4855">
        <v>54.99</v>
      </c>
      <c r="K4855" s="4">
        <v>1.5029999999999999</v>
      </c>
      <c r="L4855">
        <v>4.5999999999999996</v>
      </c>
      <c r="M4855">
        <v>78</v>
      </c>
      <c r="O4855" t="s">
        <v>25</v>
      </c>
      <c r="P4855" t="s">
        <v>6313</v>
      </c>
      <c r="Q4855" t="s">
        <v>6438</v>
      </c>
    </row>
    <row r="4856" spans="1:17" ht="15.5" x14ac:dyDescent="0.35">
      <c r="A4856"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4856" s="3" t="str">
        <f>HYPERLINK("https://edmondsonsupply.com/products/klein-tools-11045-wire-stripper-cutter-10-18-awg-solid", "https://edmondsonsupply.com/products/klein-tools-11045-wire-stripper-cutter-10-18-awg-solid")</f>
        <v>https://edmondsonsupply.com/products/klein-tools-11045-wire-stripper-cutter-10-18-awg-solid</v>
      </c>
      <c r="C4856" t="s">
        <v>6016</v>
      </c>
      <c r="D4856" t="s">
        <v>4580</v>
      </c>
      <c r="E4856" s="3" t="str">
        <f>HYPERLINK("https://www.amazon.com/Heavy-Stripper-Cutter-Crimper-Multi/dp/B08BX9RTPX/ref=sr_1_5?keywords=Klein+Tools+11045+Wire+Stripper%2FCutter+%2810-18+AWG+Solid%29&amp;qid=1695174263&amp;sr=8-5", "https://www.amazon.com/Heavy-Stripper-Cutter-Crimper-Multi/dp/B08BX9RTPX/ref=sr_1_5?keywords=Klein+Tools+11045+Wire+Stripper%2FCutter+%2810-18+AWG+Solid%29&amp;qid=1695174263&amp;sr=8-5")</f>
        <v>https://www.amazon.com/Heavy-Stripper-Cutter-Crimper-Multi/dp/B08BX9RTPX/ref=sr_1_5?keywords=Klein+Tools+11045+Wire+Stripper%2FCutter+%2810-18+AWG+Solid%29&amp;qid=1695174263&amp;sr=8-5</v>
      </c>
      <c r="F4856" t="s">
        <v>4581</v>
      </c>
      <c r="G4856" t="e">
        <f ca="1">_xludf.IMAGE("https://edmondsonsupply.com/cdn/shop/products/11045.jpg?v=1633031022")</f>
        <v>#NAME?</v>
      </c>
      <c r="H4856" t="e">
        <f ca="1">_xludf.IMAGE("https://m.media-amazon.com/images/I/51Oylu1vHoL._AC_UL320_.jpg")</f>
        <v>#NAME?</v>
      </c>
      <c r="I4856" t="s">
        <v>143</v>
      </c>
      <c r="J4856">
        <v>39.97</v>
      </c>
      <c r="K4856" s="4">
        <v>1.5027999999999999</v>
      </c>
      <c r="L4856">
        <v>4.7</v>
      </c>
      <c r="M4856">
        <v>726</v>
      </c>
      <c r="O4856" t="s">
        <v>25</v>
      </c>
      <c r="P4856" t="s">
        <v>6019</v>
      </c>
      <c r="Q4856" t="s">
        <v>6020</v>
      </c>
    </row>
    <row r="4857" spans="1:17" ht="15.5" x14ac:dyDescent="0.35">
      <c r="A4857"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4857" s="3" t="str">
        <f>HYPERLINK("https://edmondsonsupply.com/products/klein-tools-vaco-s10m-5-16-magnetic-nut-driver-3-hollow-shaft", "https://edmondsonsupply.com/products/klein-tools-vaco-s10m-5-16-magnetic-nut-driver-3-hollow-shaft")</f>
        <v>https://edmondsonsupply.com/products/klein-tools-vaco-s10m-5-16-magnetic-nut-driver-3-hollow-shaft</v>
      </c>
      <c r="C4857" t="s">
        <v>6468</v>
      </c>
      <c r="D4857" t="s">
        <v>1894</v>
      </c>
      <c r="E4857" s="3" t="str">
        <f>HYPERLINK("https://www.amazon.com/Magnetic-16-Inch-Klein-Tools-646M/dp/B000936QV0/ref=sr_1_10?keywords=Klein+Tools+S10M+5%2F16-Inch+Magnetic+Nut+Driver+3-Inch+Shaft&amp;qid=1695174019&amp;sr=8-10", "https://www.amazon.com/Magnetic-16-Inch-Klein-Tools-646M/dp/B000936QV0/ref=sr_1_10?keywords=Klein+Tools+S10M+5%2F16-Inch+Magnetic+Nut+Driver+3-Inch+Shaft&amp;qid=1695174019&amp;sr=8-10")</f>
        <v>https://www.amazon.com/Magnetic-16-Inch-Klein-Tools-646M/dp/B000936QV0/ref=sr_1_10?keywords=Klein+Tools+S10M+5%2F16-Inch+Magnetic+Nut+Driver+3-Inch+Shaft&amp;qid=1695174019&amp;sr=8-10</v>
      </c>
      <c r="F4857" t="s">
        <v>1895</v>
      </c>
      <c r="G4857" t="e">
        <f ca="1">_xludf.IMAGE("https://edmondsonsupply.com/cdn/shop/products/s10m_alt2.jpg?v=1587143022")</f>
        <v>#NAME?</v>
      </c>
      <c r="H4857" t="e">
        <f ca="1">_xludf.IMAGE("https://m.media-amazon.com/images/I/41lkJ6KRq9L._AC_UL320_.jpg")</f>
        <v>#NAME?</v>
      </c>
      <c r="I4857" t="s">
        <v>2577</v>
      </c>
      <c r="J4857">
        <v>24.99</v>
      </c>
      <c r="K4857" s="4">
        <v>1.5015000000000001</v>
      </c>
      <c r="L4857">
        <v>4.8</v>
      </c>
      <c r="M4857">
        <v>1654</v>
      </c>
      <c r="O4857" t="s">
        <v>25</v>
      </c>
      <c r="P4857" t="s">
        <v>6469</v>
      </c>
      <c r="Q4857" t="s">
        <v>6470</v>
      </c>
    </row>
    <row r="4858" spans="1:17" ht="15.5" x14ac:dyDescent="0.35">
      <c r="A4858"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4858" s="3" t="str">
        <f>HYPERLINK("https://edmondsonsupply.com/products/klein-tools-et45-ac-dc-voltage-tester", "https://edmondsonsupply.com/products/klein-tools-et45-ac-dc-voltage-tester")</f>
        <v>https://edmondsonsupply.com/products/klein-tools-et45-ac-dc-voltage-tester</v>
      </c>
      <c r="C4858" t="s">
        <v>6080</v>
      </c>
      <c r="D4858" t="s">
        <v>3854</v>
      </c>
      <c r="E4858" s="3" t="str">
        <f>HYPERLINK("https://www.amazon.com/Klein-Tools-80077-Electronic-Non-Contact/dp/B0B11F7Q69/ref=sr_1_7?keywords=Klein+Tools+ET45+AC%2FDC+Voltage+Tester&amp;qid=1695174290&amp;sr=8-7", "https://www.amazon.com/Klein-Tools-80077-Electronic-Non-Contact/dp/B0B11F7Q69/ref=sr_1_7?keywords=Klein+Tools+ET45+AC%2FDC+Voltage+Tester&amp;qid=1695174290&amp;sr=8-7")</f>
        <v>https://www.amazon.com/Klein-Tools-80077-Electronic-Non-Contact/dp/B0B11F7Q69/ref=sr_1_7?keywords=Klein+Tools+ET45+AC%2FDC+Voltage+Tester&amp;qid=1695174290&amp;sr=8-7</v>
      </c>
      <c r="F4858" t="s">
        <v>3855</v>
      </c>
      <c r="G4858" t="e">
        <f ca="1">_xludf.IMAGE("https://edmondsonsupply.com/cdn/shop/products/et45.jpg?v=1647786270")</f>
        <v>#NAME?</v>
      </c>
      <c r="H4858" t="e">
        <f ca="1">_xludf.IMAGE("https://m.media-amazon.com/images/I/51cU3aEkbCL._AC_UL320_.jpg")</f>
        <v>#NAME?</v>
      </c>
      <c r="I4858" t="s">
        <v>2337</v>
      </c>
      <c r="J4858">
        <v>29.99</v>
      </c>
      <c r="K4858" s="4">
        <v>1.5013000000000001</v>
      </c>
      <c r="L4858">
        <v>4.5999999999999996</v>
      </c>
      <c r="M4858">
        <v>183</v>
      </c>
      <c r="O4858" t="s">
        <v>25</v>
      </c>
      <c r="P4858" t="s">
        <v>6083</v>
      </c>
      <c r="Q4858" t="s">
        <v>6084</v>
      </c>
    </row>
    <row r="4859" spans="1:17" ht="15.5" x14ac:dyDescent="0.35">
      <c r="A4859" s="3" t="str">
        <f>HYPERLINK("https://edmondsonsupply.com/collections/electricians-tools/products/klein-tools-et920-usb-digital-meter-usb-a-and-usb-c", "https://edmondsonsupply.com/collections/electricians-tools/products/klein-tools-et920-usb-digital-meter-usb-a-and-usb-c")</f>
        <v>https://edmondsonsupply.com/collections/electricians-tools/products/klein-tools-et920-usb-digital-meter-usb-a-and-usb-c</v>
      </c>
      <c r="B4859" s="3" t="str">
        <f>HYPERLINK("https://edmondsonsupply.com/products/klein-tools-et920-usb-digital-meter-usb-a-and-usb-c", "https://edmondsonsupply.com/products/klein-tools-et920-usb-digital-meter-usb-a-and-usb-c")</f>
        <v>https://edmondsonsupply.com/products/klein-tools-et920-usb-digital-meter-usb-a-and-usb-c</v>
      </c>
      <c r="C4859" t="s">
        <v>6471</v>
      </c>
      <c r="D4859" t="s">
        <v>6472</v>
      </c>
      <c r="E4859" s="3" t="str">
        <f>HYPERLINK("https://www.amazon.com/Klein-Tools-Digital-Voltage-Non-Contact/dp/B0BM3QKQ5G/ref=sr_1_2?keywords=Klein+Tools+ET920+USB+Digital+Meter%2C+USB-A+and+USB-C&amp;qid=1695174224&amp;sr=8-2", "https://www.amazon.com/Klein-Tools-Digital-Voltage-Non-Contact/dp/B0BM3QKQ5G/ref=sr_1_2?keywords=Klein+Tools+ET920+USB+Digital+Meter%2C+USB-A+and+USB-C&amp;qid=1695174224&amp;sr=8-2")</f>
        <v>https://www.amazon.com/Klein-Tools-Digital-Voltage-Non-Contact/dp/B0BM3QKQ5G/ref=sr_1_2?keywords=Klein+Tools+ET920+USB+Digital+Meter%2C+USB-A+and+USB-C&amp;qid=1695174224&amp;sr=8-2</v>
      </c>
      <c r="F4859" t="s">
        <v>6473</v>
      </c>
      <c r="G4859" t="e">
        <f ca="1">_xludf.IMAGE("https://edmondsonsupply.com/cdn/shop/products/et920.jpg?v=1642643803")</f>
        <v>#NAME?</v>
      </c>
      <c r="H4859" t="e">
        <f ca="1">_xludf.IMAGE("https://m.media-amazon.com/images/I/51EgBu7yVDL._AC_UL320_.jpg")</f>
        <v>#NAME?</v>
      </c>
      <c r="I4859" t="s">
        <v>246</v>
      </c>
      <c r="J4859">
        <v>99.96</v>
      </c>
      <c r="K4859" s="4">
        <v>1.5008999999999999</v>
      </c>
      <c r="L4859">
        <v>5</v>
      </c>
      <c r="M4859">
        <v>1</v>
      </c>
      <c r="O4859" t="s">
        <v>25</v>
      </c>
      <c r="P4859" t="s">
        <v>6474</v>
      </c>
      <c r="Q4859" t="s">
        <v>6475</v>
      </c>
    </row>
    <row r="4860" spans="1:17" ht="15.5" x14ac:dyDescent="0.35">
      <c r="A4860" s="3" t="str">
        <f>HYPERLINK("https://edmondsonsupply.com/collections/electricians-tools/products/klein-tools-607-3-mini-screwdriver-3-32-inch-cabinet-tip-3-inch", "https://edmondsonsupply.com/collections/electricians-tools/products/klein-tools-607-3-mini-screwdriver-3-32-inch-cabinet-tip-3-inch")</f>
        <v>https://edmondsonsupply.com/collections/electricians-tools/products/klein-tools-607-3-mini-screwdriver-3-32-inch-cabinet-tip-3-inch</v>
      </c>
      <c r="B4860" s="3" t="str">
        <f>HYPERLINK("https://edmondsonsupply.com/products/klein-tools-607-3-mini-screwdriver-3-32-inch-cabinet-tip-3-inch", "https://edmondsonsupply.com/products/klein-tools-607-3-mini-screwdriver-3-32-inch-cabinet-tip-3-inch")</f>
        <v>https://edmondsonsupply.com/products/klein-tools-607-3-mini-screwdriver-3-32-inch-cabinet-tip-3-inch</v>
      </c>
      <c r="C4860" t="s">
        <v>6476</v>
      </c>
      <c r="D4860" t="s">
        <v>6477</v>
      </c>
      <c r="E4860" s="3" t="str">
        <f>HYPERLINK("https://www.amazon.com/Insulated-Screwdriver-Klein-Tools-607-3-INS/dp/B00J9S35OW/ref=sr_1_1?keywords=Klein+Tools+607-3+Mini+Screwdriver%2C+3%2F32-Inch+Cabinet+Tip%2C+3-Inch&amp;qid=1695174302&amp;sr=8-1", "https://www.amazon.com/Insulated-Screwdriver-Klein-Tools-607-3-INS/dp/B00J9S35OW/ref=sr_1_1?keywords=Klein+Tools+607-3+Mini+Screwdriver%2C+3%2F32-Inch+Cabinet+Tip%2C+3-Inch&amp;qid=1695174302&amp;sr=8-1")</f>
        <v>https://www.amazon.com/Insulated-Screwdriver-Klein-Tools-607-3-INS/dp/B00J9S35OW/ref=sr_1_1?keywords=Klein+Tools+607-3+Mini+Screwdriver%2C+3%2F32-Inch+Cabinet+Tip%2C+3-Inch&amp;qid=1695174302&amp;sr=8-1</v>
      </c>
      <c r="F4860" t="s">
        <v>6478</v>
      </c>
      <c r="G4860" t="e">
        <f ca="1">_xludf.IMAGE("https://edmondsonsupply.com/cdn/shop/products/607-3_5e9ac034-1968-449c-957e-7d3aa01f1413.jpg?v=1633030814")</f>
        <v>#NAME?</v>
      </c>
      <c r="H4860" t="e">
        <f ca="1">_xludf.IMAGE("https://m.media-amazon.com/images/I/51qSRHnYpuL._AC_UL320_.jpg")</f>
        <v>#NAME?</v>
      </c>
      <c r="I4860" t="s">
        <v>2347</v>
      </c>
      <c r="J4860">
        <v>17.48</v>
      </c>
      <c r="K4860" s="4">
        <v>1.5006999999999999</v>
      </c>
      <c r="L4860">
        <v>4.2</v>
      </c>
      <c r="M4860">
        <v>62</v>
      </c>
      <c r="O4860" t="s">
        <v>25</v>
      </c>
      <c r="P4860" t="s">
        <v>6479</v>
      </c>
      <c r="Q4860" t="s">
        <v>6480</v>
      </c>
    </row>
    <row r="4861" spans="1:17" ht="15.5" x14ac:dyDescent="0.35">
      <c r="A4861"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4861" s="3" t="str">
        <f>HYPERLINK("https://edmondsonsupply.com/products/klein-tools-31856-1-1-8-inch-carbide-hole-cutter", "https://edmondsonsupply.com/products/klein-tools-31856-1-1-8-inch-carbide-hole-cutter")</f>
        <v>https://edmondsonsupply.com/products/klein-tools-31856-1-1-8-inch-carbide-hole-cutter</v>
      </c>
      <c r="C4861" t="s">
        <v>6035</v>
      </c>
      <c r="D4861" t="s">
        <v>6481</v>
      </c>
      <c r="E4861" s="3" t="str">
        <f>HYPERLINK("https://www.amazon.com/Carbide-Cutter-Klein-Tools-31872/dp/B003CCR97A/ref=sr_1_3?keywords=Klein+Tools+31856+1-1%2F8-Inch+Carbide+Hole+Cutter&amp;qid=1695174011&amp;sr=8-3", "https://www.amazon.com/Carbide-Cutter-Klein-Tools-31872/dp/B003CCR97A/ref=sr_1_3?keywords=Klein+Tools+31856+1-1%2F8-Inch+Carbide+Hole+Cutter&amp;qid=1695174011&amp;sr=8-3")</f>
        <v>https://www.amazon.com/Carbide-Cutter-Klein-Tools-31872/dp/B003CCR97A/ref=sr_1_3?keywords=Klein+Tools+31856+1-1%2F8-Inch+Carbide+Hole+Cutter&amp;qid=1695174011&amp;sr=8-3</v>
      </c>
      <c r="F4861" t="s">
        <v>6482</v>
      </c>
      <c r="G4861" t="e">
        <f ca="1">_xludf.IMAGE("https://edmondsonsupply.com/cdn/shop/files/31856.jpg?v=1685712345")</f>
        <v>#NAME?</v>
      </c>
      <c r="H4861" t="e">
        <f ca="1">_xludf.IMAGE("https://m.media-amazon.com/images/I/61oX7BDmtJL._AC_UL320_.jpg")</f>
        <v>#NAME?</v>
      </c>
      <c r="I4861" t="s">
        <v>261</v>
      </c>
      <c r="J4861">
        <v>89.99</v>
      </c>
      <c r="K4861" s="4">
        <v>1.5004</v>
      </c>
      <c r="L4861">
        <v>4.7</v>
      </c>
      <c r="M4861">
        <v>929</v>
      </c>
      <c r="O4861" t="s">
        <v>25</v>
      </c>
      <c r="P4861" t="s">
        <v>6038</v>
      </c>
      <c r="Q4861" t="s">
        <v>6039</v>
      </c>
    </row>
    <row r="4862" spans="1:17" ht="15.5" x14ac:dyDescent="0.35">
      <c r="A4862"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4862" s="3" t="str">
        <f>HYPERLINK("https://edmondsonsupply.com/products/klein-tools-32314-14-in-1-precision-screwdriver-nut-driver", "https://edmondsonsupply.com/products/klein-tools-32314-14-in-1-precision-screwdriver-nut-driver")</f>
        <v>https://edmondsonsupply.com/products/klein-tools-32314-14-in-1-precision-screwdriver-nut-driver</v>
      </c>
      <c r="C4862" t="s">
        <v>1999</v>
      </c>
      <c r="D4862" t="s">
        <v>2107</v>
      </c>
      <c r="E4862" s="3" t="str">
        <f>HYPERLINK("https://www.amazon.com/Screwdriver-Adjustable-Klein-Tools-Electronic/dp/B0BM34Q1QR/ref=sr_1_6?keywords=Klein+Tools+32314+14-in-1+Precision+Screwdriver%2F+Nut+Driver&amp;qid=1695173878&amp;sr=8-6", "https://www.amazon.com/Screwdriver-Adjustable-Klein-Tools-Electronic/dp/B0BM34Q1QR/ref=sr_1_6?keywords=Klein+Tools+32314+14-in-1+Precision+Screwdriver%2F+Nut+Driver&amp;qid=1695173878&amp;sr=8-6")</f>
        <v>https://www.amazon.com/Screwdriver-Adjustable-Klein-Tools-Electronic/dp/B0BM34Q1QR/ref=sr_1_6?keywords=Klein+Tools+32314+14-in-1+Precision+Screwdriver%2F+Nut+Driver&amp;qid=1695173878&amp;sr=8-6</v>
      </c>
      <c r="F4862" t="s">
        <v>2108</v>
      </c>
      <c r="G4862" t="e">
        <f ca="1">_xludf.IMAGE("https://edmondsonsupply.com/cdn/shop/products/32314.jpg?v=1646593726")</f>
        <v>#NAME?</v>
      </c>
      <c r="H4862" t="e">
        <f ca="1">_xludf.IMAGE("https://m.media-amazon.com/images/I/41C5e4ThtpL._AC_UL320_.jpg")</f>
        <v>#NAME?</v>
      </c>
      <c r="I4862" t="s">
        <v>143</v>
      </c>
      <c r="J4862">
        <v>39.74</v>
      </c>
      <c r="K4862" s="4">
        <v>1.4883999999999999</v>
      </c>
      <c r="L4862">
        <v>5</v>
      </c>
      <c r="M4862">
        <v>1</v>
      </c>
      <c r="O4862" t="s">
        <v>25</v>
      </c>
      <c r="P4862" t="s">
        <v>2002</v>
      </c>
      <c r="Q4862" t="s">
        <v>2003</v>
      </c>
    </row>
    <row r="4863" spans="1:17" ht="15.5" x14ac:dyDescent="0.35">
      <c r="A4863"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4863" s="3" t="str">
        <f>HYPERLINK("https://edmondsonsupply.com/products/diablo-tools-d0604dh-6-1-2-in-x-4-tooth-fiber-cement", "https://edmondsonsupply.com/products/diablo-tools-d0604dh-6-1-2-in-x-4-tooth-fiber-cement")</f>
        <v>https://edmondsonsupply.com/products/diablo-tools-d0604dh-6-1-2-in-x-4-tooth-fiber-cement</v>
      </c>
      <c r="C4863" t="s">
        <v>6483</v>
      </c>
      <c r="D4863" t="s">
        <v>6484</v>
      </c>
      <c r="E4863" s="3" t="str">
        <f>HYPERLINK("https://www.amazon.com/Freud-Diablo-Company-Fiber-Cement-D0604DH/dp/B09711QP6W/ref=sr_1_1?keywords=Diablo+Tools+D0604DH+6-1%2F2+in.+x+4+Tooth+Fiber+Cement&amp;qid=1695174076&amp;sr=8-1", "https://www.amazon.com/Freud-Diablo-Company-Fiber-Cement-D0604DH/dp/B09711QP6W/ref=sr_1_1?keywords=Diablo+Tools+D0604DH+6-1%2F2+in.+x+4+Tooth+Fiber+Cement&amp;qid=1695174076&amp;sr=8-1")</f>
        <v>https://www.amazon.com/Freud-Diablo-Company-Fiber-Cement-D0604DH/dp/B09711QP6W/ref=sr_1_1?keywords=Diablo+Tools+D0604DH+6-1%2F2+in.+x+4+Tooth+Fiber+Cement&amp;qid=1695174076&amp;sr=8-1</v>
      </c>
      <c r="F4863" t="s">
        <v>6485</v>
      </c>
      <c r="G4863" t="e">
        <f ca="1">_xludf.IMAGE("https://edmondsonsupply.com/cdn/shop/products/b97gznmuns4ffl0mabzf.webp?v=1679319668")</f>
        <v>#NAME?</v>
      </c>
      <c r="H4863" t="e">
        <f ca="1">_xludf.IMAGE("https://m.media-amazon.com/images/I/61Cy1FOFicL._AC_UL320_.jpg")</f>
        <v>#NAME?</v>
      </c>
      <c r="I4863" t="s">
        <v>380</v>
      </c>
      <c r="J4863">
        <v>123.99</v>
      </c>
      <c r="K4863" s="4">
        <v>1.4813000000000001</v>
      </c>
      <c r="L4863">
        <v>1</v>
      </c>
      <c r="M4863">
        <v>1</v>
      </c>
      <c r="O4863" t="s">
        <v>25</v>
      </c>
      <c r="P4863" t="s">
        <v>6486</v>
      </c>
      <c r="Q4863" t="s">
        <v>6487</v>
      </c>
    </row>
    <row r="4864" spans="1:17" ht="15.5" x14ac:dyDescent="0.35">
      <c r="A4864"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4864"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4864" t="s">
        <v>6425</v>
      </c>
      <c r="D4864" t="s">
        <v>2698</v>
      </c>
      <c r="E4864" s="3" t="str">
        <f>HYPERLINK("https://www.amazon.com/Non-Contact-Receptacle-Klein-Tools-RT250KIT/dp/B08YDFQ2FV/ref=sr_1_6?keywords=Klein+Tools+ET45VP+AC%2FDC+Voltage+and+GFCI+Receptacle+Outlet+Test+Kit&amp;qid=1695174178&amp;sr=8-6", "https://www.amazon.com/Non-Contact-Receptacle-Klein-Tools-RT250KIT/dp/B08YDFQ2FV/ref=sr_1_6?keywords=Klein+Tools+ET45VP+AC%2FDC+Voltage+and+GFCI+Receptacle+Outlet+Test+Kit&amp;qid=1695174178&amp;sr=8-6")</f>
        <v>https://www.amazon.com/Non-Contact-Receptacle-Klein-Tools-RT250KIT/dp/B08YDFQ2FV/ref=sr_1_6?keywords=Klein+Tools+ET45VP+AC%2FDC+Voltage+and+GFCI+Receptacle+Outlet+Test+Kit&amp;qid=1695174178&amp;sr=8-6</v>
      </c>
      <c r="F4864" t="s">
        <v>2699</v>
      </c>
      <c r="G4864" t="e">
        <f ca="1">_xludf.IMAGE("https://edmondsonsupply.com/cdn/shop/products/et45vp.jpg?v=1660755922")</f>
        <v>#NAME?</v>
      </c>
      <c r="H4864" t="e">
        <f ca="1">_xludf.IMAGE("https://m.media-amazon.com/images/I/61WaBlkJfxL._AC_UL320_.jpg")</f>
        <v>#NAME?</v>
      </c>
      <c r="I4864" t="s">
        <v>2586</v>
      </c>
      <c r="J4864">
        <v>44.54</v>
      </c>
      <c r="K4864" s="4">
        <v>1.4785999999999999</v>
      </c>
      <c r="L4864">
        <v>4.8</v>
      </c>
      <c r="M4864">
        <v>1269</v>
      </c>
      <c r="O4864" t="s">
        <v>25</v>
      </c>
      <c r="P4864" t="s">
        <v>6426</v>
      </c>
      <c r="Q4864" t="s">
        <v>6427</v>
      </c>
    </row>
    <row r="4865" spans="1:17" ht="15.5" x14ac:dyDescent="0.35">
      <c r="A4865"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4865"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4865" t="s">
        <v>2115</v>
      </c>
      <c r="D4865" t="s">
        <v>2116</v>
      </c>
      <c r="E4865" s="3" t="str">
        <f>HYPERLINK("https://www.amazon.com/Klein-Tools-Screwdriver-Adjustable-Multi-bit/dp/B0C9994NG7/ref=sr_1_5?keywords=Klein+Tools+32304+14-in-1+HVAC+Adjustable-Length+Impact+Screwdriver+with+Flip+Socket&amp;qid=1695173856&amp;sr=8-5", "https://www.amazon.com/Klein-Tools-Screwdriver-Adjustable-Multi-bit/dp/B0C9994NG7/ref=sr_1_5?keywords=Klein+Tools+32304+14-in-1+HVAC+Adjustable-Length+Impact+Screwdriver+with+Flip+Socket&amp;qid=1695173856&amp;sr=8-5")</f>
        <v>https://www.amazon.com/Klein-Tools-Screwdriver-Adjustable-Multi-bit/dp/B0C9994NG7/ref=sr_1_5?keywords=Klein+Tools+32304+14-in-1+HVAC+Adjustable-Length+Impact+Screwdriver+with+Flip+Socket&amp;qid=1695173856&amp;sr=8-5</v>
      </c>
      <c r="F4865" t="s">
        <v>2117</v>
      </c>
      <c r="G4865" t="e">
        <f ca="1">_xludf.IMAGE("https://edmondsonsupply.com/cdn/shop/products/32304.jpg?v=1666019479")</f>
        <v>#NAME?</v>
      </c>
      <c r="H4865" t="e">
        <f ca="1">_xludf.IMAGE("https://m.media-amazon.com/images/I/51++VSv2MoL._AC_UL320_.jpg")</f>
        <v>#NAME?</v>
      </c>
      <c r="I4865" t="s">
        <v>859</v>
      </c>
      <c r="J4865">
        <v>61.73</v>
      </c>
      <c r="K4865" s="4">
        <v>1.4722</v>
      </c>
      <c r="L4865">
        <v>5</v>
      </c>
      <c r="M4865">
        <v>1</v>
      </c>
      <c r="O4865" t="s">
        <v>25</v>
      </c>
      <c r="P4865" t="s">
        <v>602</v>
      </c>
      <c r="Q4865" t="s">
        <v>2118</v>
      </c>
    </row>
    <row r="4866" spans="1:17" ht="15.5" x14ac:dyDescent="0.35">
      <c r="A4866" s="3" t="str">
        <f>HYPERLINK("https://edmondsonsupply.com/collections/electricians-tools/products/diablo-tools-d0724da-7-1-4-in-24-tooth-%E2%84%A2-framing-demolition-saw-blade", "https://edmondsonsupply.com/collections/electricians-tools/products/diablo-tools-d0724da-7-1-4-in-24-tooth-%E2%84%A2-framing-demolition-saw-blade")</f>
        <v>https://edmondsonsupply.com/collections/electricians-tools/products/diablo-tools-d0724da-7-1-4-in-24-tooth-%E2%84%A2-framing-demolition-saw-blade</v>
      </c>
      <c r="B4866" s="3" t="str">
        <f>HYPERLINK("https://edmondsonsupply.com/products/diablo-tools-d0724da-7-1-4-in-24-tooth-%e2%84%a2-framing-demolition-saw-blade", "https://edmondsonsupply.com/products/diablo-tools-d0724da-7-1-4-in-24-tooth-%e2%84%a2-framing-demolition-saw-blade")</f>
        <v>https://edmondsonsupply.com/products/diablo-tools-d0724da-7-1-4-in-24-tooth-%e2%84%a2-framing-demolition-saw-blade</v>
      </c>
      <c r="C4866" t="s">
        <v>6107</v>
      </c>
      <c r="D4866" t="s">
        <v>6272</v>
      </c>
      <c r="E4866" s="3" t="str">
        <f>HYPERLINK("https://www.amazon.com/Diablo-D0724DA-Framing-Deconstruction-Circular/dp/B00XT9KFVS/ref=sr_1_2?keywords=Diablo+Tools+D0724DA+7-1%2F4+in.+24-Tooth+%E2%84%A2+Framing%2FDemolition+Saw+Blade&amp;qid=1695174061&amp;sr=8-2", "https://www.amazon.com/Diablo-D0724DA-Framing-Deconstruction-Circular/dp/B00XT9KFVS/ref=sr_1_2?keywords=Diablo+Tools+D0724DA+7-1%2F4+in.+24-Tooth+%E2%84%A2+Framing%2FDemolition+Saw+Blade&amp;qid=1695174061&amp;sr=8-2")</f>
        <v>https://www.amazon.com/Diablo-D0724DA-Framing-Deconstruction-Circular/dp/B00XT9KFVS/ref=sr_1_2?keywords=Diablo+Tools+D0724DA+7-1%2F4+in.+24-Tooth+%E2%84%A2+Framing%2FDemolition+Saw+Blade&amp;qid=1695174061&amp;sr=8-2</v>
      </c>
      <c r="F4866" t="s">
        <v>6273</v>
      </c>
      <c r="G4866" t="e">
        <f ca="1">_xludf.IMAGE("https://edmondsonsupply.com/cdn/shop/products/ms7ofgpqtqo0aptxxu1k.webp?v=1678973703")</f>
        <v>#NAME?</v>
      </c>
      <c r="H4866" t="e">
        <f ca="1">_xludf.IMAGE("https://m.media-amazon.com/images/I/61NkAJf3i9L._AC_UL320_.jpg")</f>
        <v>#NAME?</v>
      </c>
      <c r="I4866" t="s">
        <v>2784</v>
      </c>
      <c r="J4866">
        <v>36.9</v>
      </c>
      <c r="K4866" s="4">
        <v>1.4649000000000001</v>
      </c>
      <c r="L4866">
        <v>4.7</v>
      </c>
      <c r="M4866">
        <v>10</v>
      </c>
      <c r="O4866" t="s">
        <v>25</v>
      </c>
      <c r="P4866" t="s">
        <v>6110</v>
      </c>
      <c r="Q4866" t="s">
        <v>6111</v>
      </c>
    </row>
    <row r="4867" spans="1:17" ht="15.5" x14ac:dyDescent="0.35">
      <c r="A4867"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4867"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4867" t="s">
        <v>6355</v>
      </c>
      <c r="D4867" t="s">
        <v>6488</v>
      </c>
      <c r="E4867" s="3" t="str">
        <f>HYPERLINK("https://www.amazon.com/Klein-Tools-JTH6E12BE-Journeyman-T-Handle/dp/B0CFKJBMTP/ref=sr_1_6?keywords=Klein+Tools+JTH6E06BE+3%2F32-Inch+Ball+End+Hex+Key+with+T-Handle%2C+6-Inch&amp;qid=1695174255&amp;sr=8-6", "https://www.amazon.com/Klein-Tools-JTH6E12BE-Journeyman-T-Handle/dp/B0CFKJBMTP/ref=sr_1_6?keywords=Klein+Tools+JTH6E06BE+3%2F32-Inch+Ball+End+Hex+Key+with+T-Handle%2C+6-Inch&amp;qid=1695174255&amp;sr=8-6")</f>
        <v>https://www.amazon.com/Klein-Tools-JTH6E12BE-Journeyman-T-Handle/dp/B0CFKJBMTP/ref=sr_1_6?keywords=Klein+Tools+JTH6E06BE+3%2F32-Inch+Ball+End+Hex+Key+with+T-Handle%2C+6-Inch&amp;qid=1695174255&amp;sr=8-6</v>
      </c>
      <c r="F4867" t="s">
        <v>6489</v>
      </c>
      <c r="G4867" t="e">
        <f ca="1">_xludf.IMAGE("https://edmondsonsupply.com/cdn/shop/products/jth6e13be_f61308c8-99eb-44df-aac2-25c9159d6b6d.jpg?v=1633031148")</f>
        <v>#NAME?</v>
      </c>
      <c r="H4867" t="e">
        <f ca="1">_xludf.IMAGE("https://m.media-amazon.com/images/I/41bN+I19ReL._AC_UL320_.jpg")</f>
        <v>#NAME?</v>
      </c>
      <c r="I4867" t="s">
        <v>2388</v>
      </c>
      <c r="J4867">
        <v>12.3</v>
      </c>
      <c r="K4867" s="4">
        <v>1.4649000000000001</v>
      </c>
      <c r="L4867">
        <v>4.5</v>
      </c>
      <c r="M4867">
        <v>9</v>
      </c>
      <c r="O4867" t="s">
        <v>25</v>
      </c>
      <c r="P4867" t="s">
        <v>6356</v>
      </c>
      <c r="Q4867" t="s">
        <v>6357</v>
      </c>
    </row>
    <row r="4868" spans="1:17" ht="15.5" x14ac:dyDescent="0.35">
      <c r="A4868" s="3" t="str">
        <f>HYPERLINK("https://edmondsonsupply.com/collections/electricians-tools/products/milwaukee-48-03-3025-sds-max-to-sds-plus-bit-adapter", "https://edmondsonsupply.com/collections/electricians-tools/products/milwaukee-48-03-3025-sds-max-to-sds-plus-bit-adapter")</f>
        <v>https://edmondsonsupply.com/collections/electricians-tools/products/milwaukee-48-03-3025-sds-max-to-sds-plus-bit-adapter</v>
      </c>
      <c r="B4868" s="3" t="str">
        <f>HYPERLINK("https://edmondsonsupply.com/products/milwaukee-48-03-3025-sds-max-to-sds-plus-bit-adapter", "https://edmondsonsupply.com/products/milwaukee-48-03-3025-sds-max-to-sds-plus-bit-adapter")</f>
        <v>https://edmondsonsupply.com/products/milwaukee-48-03-3025-sds-max-to-sds-plus-bit-adapter</v>
      </c>
      <c r="C4868" t="s">
        <v>6490</v>
      </c>
      <c r="D4868" t="s">
        <v>6365</v>
      </c>
      <c r="E4868" s="3" t="str">
        <f>HYPERLINK("https://www.amazon.com/Milwaukee-48-03-3012-SDS-Max-Spline-Adapter/dp/B00I3PGEOA/ref=sr_1_4?keywords=Milwaukee+48-03-3025+SDS+Max+to+SDS+Plus+Bit+Adapter&amp;qid=1695174094&amp;sr=8-4", "https://www.amazon.com/Milwaukee-48-03-3012-SDS-Max-Spline-Adapter/dp/B00I3PGEOA/ref=sr_1_4?keywords=Milwaukee+48-03-3025+SDS+Max+to+SDS+Plus+Bit+Adapter&amp;qid=1695174094&amp;sr=8-4")</f>
        <v>https://www.amazon.com/Milwaukee-48-03-3012-SDS-Max-Spline-Adapter/dp/B00I3PGEOA/ref=sr_1_4?keywords=Milwaukee+48-03-3025+SDS+Max+to+SDS+Plus+Bit+Adapter&amp;qid=1695174094&amp;sr=8-4</v>
      </c>
      <c r="F4868" t="s">
        <v>6366</v>
      </c>
      <c r="G4868" t="e">
        <f ca="1">_xludf.IMAGE("https://edmondsonsupply.com/cdn/shop/products/48-03-3025_1.png?v=1674073468")</f>
        <v>#NAME?</v>
      </c>
      <c r="H4868" t="e">
        <f ca="1">_xludf.IMAGE("https://m.media-amazon.com/images/I/61QrQEYLIrL._AC_UL320_.jpg")</f>
        <v>#NAME?</v>
      </c>
      <c r="I4868" t="s">
        <v>6491</v>
      </c>
      <c r="J4868">
        <v>166.85</v>
      </c>
      <c r="K4868" s="4">
        <v>1.4626999999999999</v>
      </c>
      <c r="L4868">
        <v>4.5999999999999996</v>
      </c>
      <c r="M4868">
        <v>2</v>
      </c>
      <c r="O4868" t="s">
        <v>25</v>
      </c>
      <c r="P4868" t="s">
        <v>6492</v>
      </c>
      <c r="Q4868" t="s">
        <v>6493</v>
      </c>
    </row>
    <row r="4869" spans="1:17" ht="15.5" x14ac:dyDescent="0.35">
      <c r="A4869" s="3" t="str">
        <f>HYPERLINK("https://edmondsonsupply.com/collections/electricians-tools/products/milwaukee-49-56-0197-3-5-8-hole-dozer%E2%84%A2-hole-saw-bi-metal-cup", "https://edmondsonsupply.com/collections/electricians-tools/products/milwaukee-49-56-0197-3-5-8-hole-dozer%E2%84%A2-hole-saw-bi-metal-cup")</f>
        <v>https://edmondsonsupply.com/collections/electricians-tools/products/milwaukee-49-56-0197-3-5-8-hole-dozer%E2%84%A2-hole-saw-bi-metal-cup</v>
      </c>
      <c r="B4869" s="3" t="str">
        <f>HYPERLINK("https://edmondsonsupply.com/products/milwaukee-49-56-0197-3-5-8-hole-dozer%e2%84%a2-hole-saw-bi-metal-cup", "https://edmondsonsupply.com/products/milwaukee-49-56-0197-3-5-8-hole-dozer%e2%84%a2-hole-saw-bi-metal-cup")</f>
        <v>https://edmondsonsupply.com/products/milwaukee-49-56-0197-3-5-8-hole-dozer%e2%84%a2-hole-saw-bi-metal-cup</v>
      </c>
      <c r="C4869" t="s">
        <v>6494</v>
      </c>
      <c r="D4869" t="s">
        <v>6189</v>
      </c>
      <c r="E4869" s="3" t="str">
        <f>HYPERLINK("https://www.amazon.com/Milwaukee-49-56-0233-2-Inch-Hardened-Hole/dp/B0017WPX5M/ref=sr_1_4?keywords=Milwaukee+49-56-0197+3-5%2F8%22+HOLE+DOZER%E2%84%A2+Hole+Saw+Bi-Metal+Cup&amp;qid=1695174058&amp;sr=8-4", "https://www.amazon.com/Milwaukee-49-56-0233-2-Inch-Hardened-Hole/dp/B0017WPX5M/ref=sr_1_4?keywords=Milwaukee+49-56-0197+3-5%2F8%22+HOLE+DOZER%E2%84%A2+Hole+Saw+Bi-Metal+Cup&amp;qid=1695174058&amp;sr=8-4")</f>
        <v>https://www.amazon.com/Milwaukee-49-56-0233-2-Inch-Hardened-Hole/dp/B0017WPX5M/ref=sr_1_4?keywords=Milwaukee+49-56-0197+3-5%2F8%22+HOLE+DOZER%E2%84%A2+Hole+Saw+Bi-Metal+Cup&amp;qid=1695174058&amp;sr=8-4</v>
      </c>
      <c r="F4869" t="s">
        <v>6190</v>
      </c>
      <c r="G4869" t="e">
        <f ca="1">_xludf.IMAGE("https://edmondsonsupply.com/cdn/shop/products/49-56-0052_101_1_b485d0b4-965d-40fc-a007-7e23c4d86724.webp?v=1678912947")</f>
        <v>#NAME?</v>
      </c>
      <c r="H4869" t="e">
        <f ca="1">_xludf.IMAGE("https://m.media-amazon.com/images/I/513LvIL5ILL._AC_UL320_.jpg")</f>
        <v>#NAME?</v>
      </c>
      <c r="I4869" t="s">
        <v>6495</v>
      </c>
      <c r="J4869">
        <v>29.99</v>
      </c>
      <c r="K4869" s="4">
        <v>1.4601999999999999</v>
      </c>
      <c r="L4869">
        <v>4.8</v>
      </c>
      <c r="M4869">
        <v>201</v>
      </c>
      <c r="O4869" t="s">
        <v>25</v>
      </c>
      <c r="P4869" t="s">
        <v>6496</v>
      </c>
      <c r="Q4869" t="s">
        <v>6497</v>
      </c>
    </row>
    <row r="4870" spans="1:17" ht="15.5" x14ac:dyDescent="0.35">
      <c r="A4870"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4870"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4870" t="s">
        <v>6236</v>
      </c>
      <c r="D4870" t="s">
        <v>6498</v>
      </c>
      <c r="E4870" s="3" t="str">
        <f>HYPERLINK("https://www.amazon.com/Screwdriver-Adjustable-Multi-bit-Magnetic-Phillips/dp/B09YTXLJXC/ref=sr_1_2?keywords=Klein+Tools+32308+8-in-1+Multi-Bit+Adjustable+Length+Stubby+Screwdriver&amp;qid=1695174224&amp;sr=8-2", "https://www.amazon.com/Screwdriver-Adjustable-Multi-bit-Magnetic-Phillips/dp/B09YTXLJXC/ref=sr_1_2?keywords=Klein+Tools+32308+8-in-1+Multi-Bit+Adjustable+Length+Stubby+Screwdriver&amp;qid=1695174224&amp;sr=8-2")</f>
        <v>https://www.amazon.com/Screwdriver-Adjustable-Multi-bit-Magnetic-Phillips/dp/B09YTXLJXC/ref=sr_1_2?keywords=Klein+Tools+32308+8-in-1+Multi-Bit+Adjustable+Length+Stubby+Screwdriver&amp;qid=1695174224&amp;sr=8-2</v>
      </c>
      <c r="F4870" t="s">
        <v>6499</v>
      </c>
      <c r="G4870" t="e">
        <f ca="1">_xludf.IMAGE("https://edmondsonsupply.com/cdn/shop/products/32308_b.jpg?v=1647348209")</f>
        <v>#NAME?</v>
      </c>
      <c r="H4870" t="e">
        <f ca="1">_xludf.IMAGE("https://m.media-amazon.com/images/I/51RZKWZjlyL._AC_UL320_.jpg")</f>
        <v>#NAME?</v>
      </c>
      <c r="I4870" t="s">
        <v>4985</v>
      </c>
      <c r="J4870">
        <v>41.74</v>
      </c>
      <c r="K4870" s="4">
        <v>1.4596</v>
      </c>
      <c r="L4870">
        <v>4.7</v>
      </c>
      <c r="M4870">
        <v>51</v>
      </c>
      <c r="O4870" t="s">
        <v>25</v>
      </c>
      <c r="P4870" t="s">
        <v>996</v>
      </c>
      <c r="Q4870" t="s">
        <v>6239</v>
      </c>
    </row>
    <row r="4871" spans="1:17" ht="15.5" x14ac:dyDescent="0.35">
      <c r="A4871"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4871" s="3" t="str">
        <f>HYPERLINK("https://edmondsonsupply.com/products/klein-tools-vdv526-200-lan-scout-%c2%ae-jr-2-cable-tester", "https://edmondsonsupply.com/products/klein-tools-vdv526-200-lan-scout-%c2%ae-jr-2-cable-tester")</f>
        <v>https://edmondsonsupply.com/products/klein-tools-vdv526-200-lan-scout-%c2%ae-jr-2-cable-tester</v>
      </c>
      <c r="C4871" t="s">
        <v>6500</v>
      </c>
      <c r="D4871" t="s">
        <v>6501</v>
      </c>
      <c r="E4871" s="3" t="str">
        <f>HYPERLINK("https://www.amazon.com/Klein-Tools-VDV500-820-VDV526-200-Connections/dp/B09T6ZKDCM/ref=sr_1_5?keywords=Klein+Tools+VDV526-200+LAN+Scout+%C2%AE+Jr.+2+Cable+Tester&amp;qid=1695174153&amp;sr=8-5", "https://www.amazon.com/Klein-Tools-VDV500-820-VDV526-200-Connections/dp/B09T6ZKDCM/ref=sr_1_5?keywords=Klein+Tools+VDV526-200+LAN+Scout+%C2%AE+Jr.+2+Cable+Tester&amp;qid=1695174153&amp;sr=8-5")</f>
        <v>https://www.amazon.com/Klein-Tools-VDV500-820-VDV526-200-Connections/dp/B09T6ZKDCM/ref=sr_1_5?keywords=Klein+Tools+VDV526-200+LAN+Scout+%C2%AE+Jr.+2+Cable+Tester&amp;qid=1695174153&amp;sr=8-5</v>
      </c>
      <c r="F4871" t="s">
        <v>6502</v>
      </c>
      <c r="G4871" t="e">
        <f ca="1">_xludf.IMAGE("https://edmondsonsupply.com/cdn/shop/products/vdv526200.jpg?v=1663689949")</f>
        <v>#NAME?</v>
      </c>
      <c r="H4871" t="e">
        <f ca="1">_xludf.IMAGE("https://m.media-amazon.com/images/I/51X1EYSldCL._AC_UY218_.jpg")</f>
        <v>#NAME?</v>
      </c>
      <c r="I4871" t="s">
        <v>3359</v>
      </c>
      <c r="J4871">
        <v>134.94</v>
      </c>
      <c r="K4871" s="4">
        <v>1.4548000000000001</v>
      </c>
      <c r="L4871">
        <v>4.8</v>
      </c>
      <c r="M4871">
        <v>8</v>
      </c>
      <c r="O4871" t="s">
        <v>25</v>
      </c>
      <c r="P4871" t="s">
        <v>6503</v>
      </c>
      <c r="Q4871" t="s">
        <v>6504</v>
      </c>
    </row>
    <row r="4872" spans="1:17" ht="15.5" x14ac:dyDescent="0.35">
      <c r="A4872"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4872" s="3" t="str">
        <f>HYPERLINK("https://edmondsonsupply.com/products/klein-tools-et600-insulation-resistance-tester", "https://edmondsonsupply.com/products/klein-tools-et600-insulation-resistance-tester")</f>
        <v>https://edmondsonsupply.com/products/klein-tools-et600-insulation-resistance-tester</v>
      </c>
      <c r="C4872" t="s">
        <v>6505</v>
      </c>
      <c r="D4872" t="s">
        <v>2850</v>
      </c>
      <c r="E4872" s="3" t="str">
        <f>HYPERLINK("https://www.amazon.com/Klein-Tools-Megohmmeter-Insulation-Ohms-Resistance-Auto-Ranging/dp/B0C2V14DQF/ref=sr_1_7?keywords=Klein+Tools+ET600+Insulation+Resistance+Tester&amp;qid=1695173907&amp;sr=8-7", "https://www.amazon.com/Klein-Tools-Megohmmeter-Insulation-Ohms-Resistance-Auto-Ranging/dp/B0C2V14DQF/ref=sr_1_7?keywords=Klein+Tools+ET600+Insulation+Resistance+Tester&amp;qid=1695173907&amp;sr=8-7")</f>
        <v>https://www.amazon.com/Klein-Tools-Megohmmeter-Insulation-Ohms-Resistance-Auto-Ranging/dp/B0C2V14DQF/ref=sr_1_7?keywords=Klein+Tools+ET600+Insulation+Resistance+Tester&amp;qid=1695173907&amp;sr=8-7</v>
      </c>
      <c r="F4872" t="s">
        <v>2851</v>
      </c>
      <c r="G4872" t="e">
        <f ca="1">_xludf.IMAGE("https://edmondsonsupply.com/cdn/shop/products/et600_accessories_b.jpg?v=1677685603")</f>
        <v>#NAME?</v>
      </c>
      <c r="H4872" t="e">
        <f ca="1">_xludf.IMAGE("https://m.media-amazon.com/images/I/61413mHKf0L._AC_UY218_.jpg")</f>
        <v>#NAME?</v>
      </c>
      <c r="I4872" t="s">
        <v>6506</v>
      </c>
      <c r="J4872">
        <v>404.98</v>
      </c>
      <c r="K4872" s="4">
        <v>1.4545999999999999</v>
      </c>
      <c r="L4872">
        <v>5</v>
      </c>
      <c r="M4872">
        <v>1</v>
      </c>
      <c r="O4872" t="s">
        <v>25</v>
      </c>
      <c r="P4872" t="s">
        <v>6507</v>
      </c>
      <c r="Q4872" t="s">
        <v>6508</v>
      </c>
    </row>
    <row r="4873" spans="1:17" ht="15.5" x14ac:dyDescent="0.35">
      <c r="A4873" s="3" t="str">
        <f>HYPERLINK("https://edmondsonsupply.com/collections/electricians-tools/products/greenlee-612-1-1-2-foam-conduit-piston", "https://edmondsonsupply.com/collections/electricians-tools/products/greenlee-612-1-1-2-foam-conduit-piston")</f>
        <v>https://edmondsonsupply.com/collections/electricians-tools/products/greenlee-612-1-1-2-foam-conduit-piston</v>
      </c>
      <c r="B4873" s="3" t="str">
        <f>HYPERLINK("https://edmondsonsupply.com/products/greenlee-612-1-1-2-foam-conduit-piston", "https://edmondsonsupply.com/products/greenlee-612-1-1-2-foam-conduit-piston")</f>
        <v>https://edmondsonsupply.com/products/greenlee-612-1-1-2-foam-conduit-piston</v>
      </c>
      <c r="C4873" t="s">
        <v>6509</v>
      </c>
      <c r="D4873" t="s">
        <v>6171</v>
      </c>
      <c r="E4873" s="3" t="str">
        <f>HYPERLINK("https://www.amazon.com/Greenlee-613-Piston-Conduit-Pack/dp/B0184XZKN6/ref=sr_1_5?keywords=Greenlee+612+1-1%2F2%22+Foam+Conduit+Piston&amp;qid=1695173998&amp;sr=8-5", "https://www.amazon.com/Greenlee-613-Piston-Conduit-Pack/dp/B0184XZKN6/ref=sr_1_5?keywords=Greenlee+612+1-1%2F2%22+Foam+Conduit+Piston&amp;qid=1695173998&amp;sr=8-5")</f>
        <v>https://www.amazon.com/Greenlee-613-Piston-Conduit-Pack/dp/B0184XZKN6/ref=sr_1_5?keywords=Greenlee+612+1-1%2F2%22+Foam+Conduit+Piston&amp;qid=1695173998&amp;sr=8-5</v>
      </c>
      <c r="F4873" t="s">
        <v>6172</v>
      </c>
      <c r="G4873" t="e">
        <f ca="1">_xludf.IMAGE("https://edmondsonsupply.com/cdn/shop/files/612.png?v=1687451101")</f>
        <v>#NAME?</v>
      </c>
      <c r="H4873" t="e">
        <f ca="1">_xludf.IMAGE("https://m.media-amazon.com/images/I/51w6IU+nu3L._AC_UL320_.jpg")</f>
        <v>#NAME?</v>
      </c>
      <c r="I4873" t="s">
        <v>6510</v>
      </c>
      <c r="J4873">
        <v>27.79</v>
      </c>
      <c r="K4873" s="4">
        <v>1.4528000000000001</v>
      </c>
      <c r="L4873">
        <v>5</v>
      </c>
      <c r="M4873">
        <v>5</v>
      </c>
      <c r="O4873" t="s">
        <v>25</v>
      </c>
      <c r="P4873" t="s">
        <v>138</v>
      </c>
      <c r="Q4873" t="s">
        <v>6511</v>
      </c>
    </row>
    <row r="4874" spans="1:17" ht="15.5" x14ac:dyDescent="0.35">
      <c r="A4874"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4874"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4874" t="s">
        <v>6512</v>
      </c>
      <c r="D4874" t="s">
        <v>6513</v>
      </c>
      <c r="E4874" s="3" t="str">
        <f>HYPERLINK("https://www.amazon.com/Klein-Tools-D201-7CSTA-Multi-Purpose-High-Leverage/dp/B093PYY2DS/ref=sr_1_4?keywords=Klein+Tools+D248-8+Diagonal+Cutting+Pliers%2C+Angled+Head%2C+Short+Jaw%2C+8-Inch&amp;qid=1695174274&amp;sr=8-4", "https://www.amazon.com/Klein-Tools-D201-7CSTA-Multi-Purpose-High-Leverage/dp/B093PYY2DS/ref=sr_1_4?keywords=Klein+Tools+D248-8+Diagonal+Cutting+Pliers%2C+Angled+Head%2C+Short+Jaw%2C+8-Inch&amp;qid=1695174274&amp;sr=8-4")</f>
        <v>https://www.amazon.com/Klein-Tools-D201-7CSTA-Multi-Purpose-High-Leverage/dp/B093PYY2DS/ref=sr_1_4?keywords=Klein+Tools+D248-8+Diagonal+Cutting+Pliers%2C+Angled+Head%2C+Short+Jaw%2C+8-Inch&amp;qid=1695174274&amp;sr=8-4</v>
      </c>
      <c r="F4874" t="s">
        <v>6514</v>
      </c>
      <c r="G4874" t="e">
        <f ca="1">_xludf.IMAGE("https://edmondsonsupply.com/cdn/shop/products/d2488.jpg?v=1633030997")</f>
        <v>#NAME?</v>
      </c>
      <c r="H4874" t="e">
        <f ca="1">_xludf.IMAGE("https://m.media-amazon.com/images/I/41JQ0I2wH6S._AC_UL320_.jpg")</f>
        <v>#NAME?</v>
      </c>
      <c r="I4874" t="s">
        <v>824</v>
      </c>
      <c r="J4874">
        <v>73.33</v>
      </c>
      <c r="K4874" s="4">
        <v>1.4468000000000001</v>
      </c>
      <c r="L4874">
        <v>4.8</v>
      </c>
      <c r="M4874">
        <v>5</v>
      </c>
      <c r="O4874" t="s">
        <v>25</v>
      </c>
      <c r="P4874" t="s">
        <v>5277</v>
      </c>
      <c r="Q4874" t="s">
        <v>6515</v>
      </c>
    </row>
    <row r="4875" spans="1:17" ht="15.5" x14ac:dyDescent="0.35">
      <c r="A4875" s="3" t="str">
        <f>HYPERLINK("https://edmondsonsupply.com/collections/electricians-tools/products/klein-tools-60160-standard-safety-glasses-gray-lens", "https://edmondsonsupply.com/collections/electricians-tools/products/klein-tools-60160-standard-safety-glasses-gray-lens")</f>
        <v>https://edmondsonsupply.com/collections/electricians-tools/products/klein-tools-60160-standard-safety-glasses-gray-lens</v>
      </c>
      <c r="B4875" s="3" t="str">
        <f>HYPERLINK("https://edmondsonsupply.com/products/klein-tools-60160-standard-safety-glasses-gray-lens", "https://edmondsonsupply.com/products/klein-tools-60160-standard-safety-glasses-gray-lens")</f>
        <v>https://edmondsonsupply.com/products/klein-tools-60160-standard-safety-glasses-gray-lens</v>
      </c>
      <c r="C4875" t="s">
        <v>929</v>
      </c>
      <c r="D4875" t="s">
        <v>1156</v>
      </c>
      <c r="E4875" s="3" t="str">
        <f>HYPERLINK("https://www.amazon.com/Klein-Tools-60173-Protective-Resistant/dp/B08B7BCQSX/ref=sr_1_10?keywords=Klein+Tools+60160+Standard+Safety+Glasses%2C+Gray+Lens&amp;qid=1695174305&amp;sr=8-10", "https://www.amazon.com/Klein-Tools-60173-Protective-Resistant/dp/B08B7BCQSX/ref=sr_1_10?keywords=Klein+Tools+60160+Standard+Safety+Glasses%2C+Gray+Lens&amp;qid=1695174305&amp;sr=8-10")</f>
        <v>https://www.amazon.com/Klein-Tools-60173-Protective-Resistant/dp/B08B7BCQSX/ref=sr_1_10?keywords=Klein+Tools+60160+Standard+Safety+Glasses%2C+Gray+Lens&amp;qid=1695174305&amp;sr=8-10</v>
      </c>
      <c r="F4875" t="s">
        <v>1157</v>
      </c>
      <c r="G4875" t="e">
        <f ca="1">_xludf.IMAGE("https://edmondsonsupply.com/cdn/shop/products/60160.jpg?v=1633030843")</f>
        <v>#NAME?</v>
      </c>
      <c r="H4875" t="e">
        <f ca="1">_xludf.IMAGE("https://m.media-amazon.com/images/I/51A3qkx5B2L._AC_UL320_.jpg")</f>
        <v>#NAME?</v>
      </c>
      <c r="I4875" t="s">
        <v>924</v>
      </c>
      <c r="J4875">
        <v>21.99</v>
      </c>
      <c r="K4875" s="4">
        <v>1.4460999999999999</v>
      </c>
      <c r="L4875">
        <v>4.4000000000000004</v>
      </c>
      <c r="M4875">
        <v>374</v>
      </c>
      <c r="O4875" t="s">
        <v>25</v>
      </c>
      <c r="P4875" t="s">
        <v>925</v>
      </c>
      <c r="Q4875" t="s">
        <v>932</v>
      </c>
    </row>
    <row r="4876" spans="1:17" ht="15.5" x14ac:dyDescent="0.35">
      <c r="A4876"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4876" s="3" t="str">
        <f>HYPERLINK("https://edmondsonsupply.com/products/klein-tools-j203-8-pliers-needle-nose-side-cutters-8-inch", "https://edmondsonsupply.com/products/klein-tools-j203-8-pliers-needle-nose-side-cutters-8-inch")</f>
        <v>https://edmondsonsupply.com/products/klein-tools-j203-8-pliers-needle-nose-side-cutters-8-inch</v>
      </c>
      <c r="C4876" t="s">
        <v>6516</v>
      </c>
      <c r="D4876" t="s">
        <v>6517</v>
      </c>
      <c r="E4876" s="3" t="str">
        <f>HYPERLINK("https://www.amazon.com/Klein-Tools-J2000-9NECRTP-Linemans-Journeyman/dp/B0BFXQNZ95/ref=sr_1_3?keywords=Klein+Tools+J203-8+Pliers%2C+Needle+Nose+Side-Cutters%2C+8-Inch&amp;qid=1695174221&amp;sr=8-3", "https://www.amazon.com/Klein-Tools-J2000-9NECRTP-Linemans-Journeyman/dp/B0BFXQNZ95/ref=sr_1_3?keywords=Klein+Tools+J203-8+Pliers%2C+Needle+Nose+Side-Cutters%2C+8-Inch&amp;qid=1695174221&amp;sr=8-3")</f>
        <v>https://www.amazon.com/Klein-Tools-J2000-9NECRTP-Linemans-Journeyman/dp/B0BFXQNZ95/ref=sr_1_3?keywords=Klein+Tools+J203-8+Pliers%2C+Needle+Nose+Side-Cutters%2C+8-Inch&amp;qid=1695174221&amp;sr=8-3</v>
      </c>
      <c r="F4876" t="s">
        <v>6518</v>
      </c>
      <c r="G4876" t="e">
        <f ca="1">_xludf.IMAGE("https://edmondsonsupply.com/cdn/shop/products/j2038.jpg?v=1644709677")</f>
        <v>#NAME?</v>
      </c>
      <c r="H4876" t="e">
        <f ca="1">_xludf.IMAGE("https://m.media-amazon.com/images/I/31WJjr8yAWL._AC_UL320_.jpg")</f>
        <v>#NAME?</v>
      </c>
      <c r="I4876" t="s">
        <v>6519</v>
      </c>
      <c r="J4876">
        <v>93.96</v>
      </c>
      <c r="K4876" s="4">
        <v>1.4412</v>
      </c>
      <c r="L4876">
        <v>5</v>
      </c>
      <c r="M4876">
        <v>1</v>
      </c>
      <c r="O4876" t="s">
        <v>25</v>
      </c>
      <c r="P4876" t="s">
        <v>6520</v>
      </c>
      <c r="Q4876" t="s">
        <v>6521</v>
      </c>
    </row>
    <row r="4877" spans="1:17" ht="15.5" x14ac:dyDescent="0.35">
      <c r="A4877"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4877" s="3" t="str">
        <f>HYPERLINK("https://edmondsonsupply.com/products/klein-tools-32500mag-11-in-1-magnetic-screwdriver-nut-driver", "https://edmondsonsupply.com/products/klein-tools-32500mag-11-in-1-magnetic-screwdriver-nut-driver")</f>
        <v>https://edmondsonsupply.com/products/klein-tools-32500mag-11-in-1-magnetic-screwdriver-nut-driver</v>
      </c>
      <c r="C4877" t="s">
        <v>6522</v>
      </c>
      <c r="D4877" t="s">
        <v>6523</v>
      </c>
      <c r="E4877" s="3" t="str">
        <f>HYPERLINK("https://www.amazon.com/Klein-Tools-32500MAG-Multi-Bit-Screwdriver/dp/B0BNL72TB8/ref=sr_1_2?keywords=Klein+Tools+32500MAG+11-in-1+Magnetic+Screwdriver+%2F+Nut+Driver&amp;qid=1695174303&amp;sr=8-2", "https://www.amazon.com/Klein-Tools-32500MAG-Multi-Bit-Screwdriver/dp/B0BNL72TB8/ref=sr_1_2?keywords=Klein+Tools+32500MAG+11-in-1+Magnetic+Screwdriver+%2F+Nut+Driver&amp;qid=1695174303&amp;sr=8-2")</f>
        <v>https://www.amazon.com/Klein-Tools-32500MAG-Multi-Bit-Screwdriver/dp/B0BNL72TB8/ref=sr_1_2?keywords=Klein+Tools+32500MAG+11-in-1+Magnetic+Screwdriver+%2F+Nut+Driver&amp;qid=1695174303&amp;sr=8-2</v>
      </c>
      <c r="F4877" t="s">
        <v>6524</v>
      </c>
      <c r="G4877" t="e">
        <f ca="1">_xludf.IMAGE("https://edmondsonsupply.com/cdn/shop/products/32500mag.jpg?v=1633030832")</f>
        <v>#NAME?</v>
      </c>
      <c r="H4877" t="e">
        <f ca="1">_xludf.IMAGE("https://m.media-amazon.com/images/I/51J0MF0VVbL._AC_UL320_.jpg")</f>
        <v>#NAME?</v>
      </c>
      <c r="I4877" t="s">
        <v>2288</v>
      </c>
      <c r="J4877">
        <v>50.94</v>
      </c>
      <c r="K4877" s="4">
        <v>1.4292</v>
      </c>
      <c r="L4877">
        <v>5</v>
      </c>
      <c r="M4877">
        <v>2</v>
      </c>
      <c r="O4877" t="s">
        <v>25</v>
      </c>
      <c r="P4877" t="s">
        <v>6525</v>
      </c>
      <c r="Q4877" t="s">
        <v>6526</v>
      </c>
    </row>
    <row r="4878" spans="1:17" ht="15.5" x14ac:dyDescent="0.35">
      <c r="A4878"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4878" s="3" t="str">
        <f>HYPERLINK("https://edmondsonsupply.com/products/klein-tools-32500mag-11-in-1-magnetic-screwdriver-nut-driver", "https://edmondsonsupply.com/products/klein-tools-32500mag-11-in-1-magnetic-screwdriver-nut-driver")</f>
        <v>https://edmondsonsupply.com/products/klein-tools-32500mag-11-in-1-magnetic-screwdriver-nut-driver</v>
      </c>
      <c r="C4878" t="s">
        <v>6522</v>
      </c>
      <c r="D4878" t="s">
        <v>6527</v>
      </c>
      <c r="E4878" s="3" t="str">
        <f>HYPERLINK("https://www.amazon.com/Klein-Tools-32807MAG-Multi-Bit-Screwdriver/dp/B09Q64R2HY/ref=sr_1_4?keywords=Klein+Tools+32500MAG+11-in-1+Magnetic+Screwdriver+%2F+Nut+Driver&amp;qid=1695174303&amp;sr=8-4", "https://www.amazon.com/Klein-Tools-32807MAG-Multi-Bit-Screwdriver/dp/B09Q64R2HY/ref=sr_1_4?keywords=Klein+Tools+32500MAG+11-in-1+Magnetic+Screwdriver+%2F+Nut+Driver&amp;qid=1695174303&amp;sr=8-4")</f>
        <v>https://www.amazon.com/Klein-Tools-32807MAG-Multi-Bit-Screwdriver/dp/B09Q64R2HY/ref=sr_1_4?keywords=Klein+Tools+32500MAG+11-in-1+Magnetic+Screwdriver+%2F+Nut+Driver&amp;qid=1695174303&amp;sr=8-4</v>
      </c>
      <c r="F4878" t="s">
        <v>6528</v>
      </c>
      <c r="G4878" t="e">
        <f ca="1">_xludf.IMAGE("https://edmondsonsupply.com/cdn/shop/products/32500mag.jpg?v=1633030832")</f>
        <v>#NAME?</v>
      </c>
      <c r="H4878" t="e">
        <f ca="1">_xludf.IMAGE("https://m.media-amazon.com/images/I/411icJxYT8L._AC_UL320_.jpg")</f>
        <v>#NAME?</v>
      </c>
      <c r="I4878" t="s">
        <v>2288</v>
      </c>
      <c r="J4878">
        <v>50.94</v>
      </c>
      <c r="K4878" s="4">
        <v>1.4292</v>
      </c>
      <c r="L4878">
        <v>4.7</v>
      </c>
      <c r="M4878">
        <v>7</v>
      </c>
      <c r="O4878" t="s">
        <v>25</v>
      </c>
      <c r="P4878" t="s">
        <v>6525</v>
      </c>
      <c r="Q4878" t="s">
        <v>6526</v>
      </c>
    </row>
    <row r="4879" spans="1:17" ht="15.5" x14ac:dyDescent="0.35">
      <c r="A4879"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4879"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4879" t="s">
        <v>6529</v>
      </c>
      <c r="D4879" t="s">
        <v>6530</v>
      </c>
      <c r="E4879" s="3" t="str">
        <f>HYPERLINK("https://www.amazon.com/Klein-Tools-Electrical-Dual-Range-Non-Contact/dp/B0BD3WBV6W/ref=sr_1_3?keywords=Klein+Tools+NCVT3PKIT+Dual+Range+NCVT+and+AC%2FDC+Voltage+Tester+Electrical+Test+Kit&amp;qid=1695174124&amp;sr=8-3", "https://www.amazon.com/Klein-Tools-Electrical-Dual-Range-Non-Contact/dp/B0BD3WBV6W/ref=sr_1_3?keywords=Klein+Tools+NCVT3PKIT+Dual+Range+NCVT+and+AC%2FDC+Voltage+Tester+Electrical+Test+Kit&amp;qid=1695174124&amp;sr=8-3")</f>
        <v>https://www.amazon.com/Klein-Tools-Electrical-Dual-Range-Non-Contact/dp/B0BD3WBV6W/ref=sr_1_3?keywords=Klein+Tools+NCVT3PKIT+Dual+Range+NCVT+and+AC%2FDC+Voltage+Tester+Electrical+Test+Kit&amp;qid=1695174124&amp;sr=8-3</v>
      </c>
      <c r="F4879" t="s">
        <v>6531</v>
      </c>
      <c r="G4879" t="e">
        <f ca="1">_xludf.IMAGE("https://edmondsonsupply.com/cdn/shop/products/ncvt3pkit.jpg?v=1667228452")</f>
        <v>#NAME?</v>
      </c>
      <c r="H4879" t="e">
        <f ca="1">_xludf.IMAGE("https://m.media-amazon.com/images/I/51Bb9uu7nIL._AC_UL320_.jpg")</f>
        <v>#NAME?</v>
      </c>
      <c r="I4879" t="s">
        <v>571</v>
      </c>
      <c r="J4879">
        <v>84.96</v>
      </c>
      <c r="K4879" s="4">
        <v>1.4280999999999999</v>
      </c>
      <c r="L4879">
        <v>5</v>
      </c>
      <c r="M4879">
        <v>1</v>
      </c>
      <c r="O4879" t="s">
        <v>25</v>
      </c>
      <c r="P4879" t="s">
        <v>6532</v>
      </c>
      <c r="Q4879" t="s">
        <v>6533</v>
      </c>
    </row>
    <row r="4880" spans="1:17" ht="15.5" x14ac:dyDescent="0.35">
      <c r="A4880"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4880" s="3" t="str">
        <f>HYPERLINK("https://edmondsonsupply.com/products/klein-tools-69417-rare-earth-magnetic-meter-hanger", "https://edmondsonsupply.com/products/klein-tools-69417-rare-earth-magnetic-meter-hanger")</f>
        <v>https://edmondsonsupply.com/products/klein-tools-69417-rare-earth-magnetic-meter-hanger</v>
      </c>
      <c r="C4880" t="s">
        <v>1413</v>
      </c>
      <c r="D4880" t="s">
        <v>6534</v>
      </c>
      <c r="E4880" s="3" t="str">
        <f>HYPERLINK("https://www.amazon.com/Replacement-Klein-Tools-Rare-Earth-Magnetic/dp/B0BGJ4RHHH/ref=sr_1_10?keywords=Klein+Tools+69417+Rare+Earth+Magnetic+Meter+Hanger%2C+with+Strap&amp;qid=1695173948&amp;sr=8-10", "https://www.amazon.com/Replacement-Klein-Tools-Rare-Earth-Magnetic/dp/B0BGJ4RHHH/ref=sr_1_10?keywords=Klein+Tools+69417+Rare+Earth+Magnetic+Meter+Hanger%2C+with+Strap&amp;qid=1695173948&amp;sr=8-10")</f>
        <v>https://www.amazon.com/Replacement-Klein-Tools-Rare-Earth-Magnetic/dp/B0BGJ4RHHH/ref=sr_1_10?keywords=Klein+Tools+69417+Rare+Earth+Magnetic+Meter+Hanger%2C+with+Strap&amp;qid=1695173948&amp;sr=8-10</v>
      </c>
      <c r="F4880" t="s">
        <v>6535</v>
      </c>
      <c r="G4880" t="e">
        <f ca="1">_xludf.IMAGE("https://edmondsonsupply.com/cdn/shop/products/69417.jpg?v=1587150163")</f>
        <v>#NAME?</v>
      </c>
      <c r="H4880" t="e">
        <f ca="1">_xludf.IMAGE("https://m.media-amazon.com/images/I/51XR88q6Q5L._AC_UL320_.jpg")</f>
        <v>#NAME?</v>
      </c>
      <c r="I4880" t="s">
        <v>288</v>
      </c>
      <c r="J4880">
        <v>33.96</v>
      </c>
      <c r="K4880" s="4">
        <v>1.4274</v>
      </c>
      <c r="L4880">
        <v>4.5</v>
      </c>
      <c r="M4880">
        <v>10</v>
      </c>
      <c r="O4880" t="s">
        <v>25</v>
      </c>
      <c r="P4880" t="s">
        <v>845</v>
      </c>
      <c r="Q4880" t="s">
        <v>1416</v>
      </c>
    </row>
    <row r="4881" spans="1:17" ht="15.5" x14ac:dyDescent="0.35">
      <c r="A4881"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4881" s="3" t="str">
        <f>HYPERLINK("https://edmondsonsupply.com/products/milwaukee-48-22-0305-folding-jab-saw", "https://edmondsonsupply.com/products/milwaukee-48-22-0305-folding-jab-saw")</f>
        <v>https://edmondsonsupply.com/products/milwaukee-48-22-0305-folding-jab-saw</v>
      </c>
      <c r="C4881" t="s">
        <v>2139</v>
      </c>
      <c r="D4881" t="s">
        <v>2140</v>
      </c>
      <c r="E4881" s="3" t="str">
        <f>HYPERLINK("https://www.amazon.com/Milwaukee-48-22-0305-Compatible-Reciprocating-Included/dp/B082ZR5YFG/ref=sr_1_3?keywords=Milwaukee+48-22-0305+Folding+Jab+Saw&amp;qid=1695173950&amp;sr=8-3", "https://www.amazon.com/Milwaukee-48-22-0305-Compatible-Reciprocating-Included/dp/B082ZR5YFG/ref=sr_1_3?keywords=Milwaukee+48-22-0305+Folding+Jab+Saw&amp;qid=1695173950&amp;sr=8-3")</f>
        <v>https://www.amazon.com/Milwaukee-48-22-0305-Compatible-Reciprocating-Included/dp/B082ZR5YFG/ref=sr_1_3?keywords=Milwaukee+48-22-0305+Folding+Jab+Saw&amp;qid=1695173950&amp;sr=8-3</v>
      </c>
      <c r="F4881" t="s">
        <v>2141</v>
      </c>
      <c r="G4881" t="e">
        <f ca="1">_xludf.IMAGE("https://edmondsonsupply.com/cdn/shop/products/49678_48-22-0305-lg.jpg?v=1587148349")</f>
        <v>#NAME?</v>
      </c>
      <c r="H4881" t="e">
        <f ca="1">_xludf.IMAGE("https://m.media-amazon.com/images/I/61OX-FKNXSL._AC_UL320_.jpg")</f>
        <v>#NAME?</v>
      </c>
      <c r="I4881" t="s">
        <v>893</v>
      </c>
      <c r="J4881">
        <v>48.1</v>
      </c>
      <c r="K4881" s="4">
        <v>1.4086000000000001</v>
      </c>
      <c r="L4881">
        <v>5</v>
      </c>
      <c r="M4881">
        <v>3</v>
      </c>
      <c r="O4881" t="s">
        <v>25</v>
      </c>
      <c r="P4881" t="s">
        <v>2142</v>
      </c>
      <c r="Q4881" t="s">
        <v>2143</v>
      </c>
    </row>
    <row r="4882" spans="1:17" ht="15.5" x14ac:dyDescent="0.35">
      <c r="A4882"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4882"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4882" t="s">
        <v>6231</v>
      </c>
      <c r="D4882" t="s">
        <v>2156</v>
      </c>
      <c r="E4882" s="3" t="str">
        <f>HYPERLINK("https://www.amazon.com/Klein-Tools-80064-Circuit-Non-Contact/dp/B09WJKKBP2/ref=sr_1_6?keywords=Klein+Tools+NCVT1PKIT+Non-Contact+Voltage+and+GFCI+Receptacle+Test+Kit&amp;qid=1695174067&amp;sr=8-6", "https://www.amazon.com/Klein-Tools-80064-Circuit-Non-Contact/dp/B09WJKKBP2/ref=sr_1_6?keywords=Klein+Tools+NCVT1PKIT+Non-Contact+Voltage+and+GFCI+Receptacle+Test+Kit&amp;qid=1695174067&amp;sr=8-6")</f>
        <v>https://www.amazon.com/Klein-Tools-80064-Circuit-Non-Contact/dp/B09WJKKBP2/ref=sr_1_6?keywords=Klein+Tools+NCVT1PKIT+Non-Contact+Voltage+and+GFCI+Receptacle+Test+Kit&amp;qid=1695174067&amp;sr=8-6</v>
      </c>
      <c r="F4882" t="s">
        <v>2157</v>
      </c>
      <c r="G4882" t="e">
        <f ca="1">_xludf.IMAGE("https://edmondsonsupply.com/cdn/shop/products/ncvt1pkit.jpg?v=1677682920")</f>
        <v>#NAME?</v>
      </c>
      <c r="H4882" t="e">
        <f ca="1">_xludf.IMAGE("https://m.media-amazon.com/images/I/717V+W-xvwL._AC_UL320_.jpg")</f>
        <v>#NAME?</v>
      </c>
      <c r="I4882" t="s">
        <v>859</v>
      </c>
      <c r="J4882">
        <v>59.99</v>
      </c>
      <c r="K4882" s="4">
        <v>1.4025000000000001</v>
      </c>
      <c r="L4882">
        <v>4.7</v>
      </c>
      <c r="M4882">
        <v>19569</v>
      </c>
      <c r="O4882" t="s">
        <v>25</v>
      </c>
      <c r="P4882" t="s">
        <v>6234</v>
      </c>
      <c r="Q4882" t="s">
        <v>6235</v>
      </c>
    </row>
    <row r="4883" spans="1:17" ht="15.5" x14ac:dyDescent="0.35">
      <c r="A4883"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4883"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4883" t="s">
        <v>2155</v>
      </c>
      <c r="D4883" t="s">
        <v>2156</v>
      </c>
      <c r="E4883" s="3" t="str">
        <f>HYPERLINK("https://www.amazon.com/Klein-Tools-80064-Circuit-Non-Contact/dp/B09WJKKBP2/ref=sr_1_5?keywords=Klein+Tools+NCVT1XTKIT+Non-Contact+Voltage+and+GFCI+Receptacle+Premium+Test+Kit&amp;qid=1695173872&amp;sr=8-5", "https://www.amazon.com/Klein-Tools-80064-Circuit-Non-Contact/dp/B09WJKKBP2/ref=sr_1_5?keywords=Klein+Tools+NCVT1XTKIT+Non-Contact+Voltage+and+GFCI+Receptacle+Premium+Test+Kit&amp;qid=1695173872&amp;sr=8-5")</f>
        <v>https://www.amazon.com/Klein-Tools-80064-Circuit-Non-Contact/dp/B09WJKKBP2/ref=sr_1_5?keywords=Klein+Tools+NCVT1XTKIT+Non-Contact+Voltage+and+GFCI+Receptacle+Premium+Test+Kit&amp;qid=1695173872&amp;sr=8-5</v>
      </c>
      <c r="F4883" t="s">
        <v>2157</v>
      </c>
      <c r="G4883" t="e">
        <f ca="1">_xludf.IMAGE("https://edmondsonsupply.com/cdn/shop/products/ncvt1xtkit.jpg?v=1674497102")</f>
        <v>#NAME?</v>
      </c>
      <c r="H4883" t="e">
        <f ca="1">_xludf.IMAGE("https://m.media-amazon.com/images/I/717V+W-xvwL._AC_UL320_.jpg")</f>
        <v>#NAME?</v>
      </c>
      <c r="I4883" t="s">
        <v>471</v>
      </c>
      <c r="J4883">
        <v>59.99</v>
      </c>
      <c r="K4883" s="4">
        <v>1.4006000000000001</v>
      </c>
      <c r="L4883">
        <v>4.7</v>
      </c>
      <c r="M4883">
        <v>19569</v>
      </c>
      <c r="O4883" t="s">
        <v>25</v>
      </c>
      <c r="P4883" t="s">
        <v>2158</v>
      </c>
      <c r="Q4883" t="s">
        <v>2159</v>
      </c>
    </row>
    <row r="4884" spans="1:17" ht="15.5" x14ac:dyDescent="0.35">
      <c r="A4884"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4884" s="3" t="str">
        <f>HYPERLINK("https://edmondsonsupply.com/products/diablo-tools-dsp1060-1-in-x-4-in-spade-bit", "https://edmondsonsupply.com/products/diablo-tools-dsp1060-1-in-x-4-in-spade-bit")</f>
        <v>https://edmondsonsupply.com/products/diablo-tools-dsp1060-1-in-x-4-in-spade-bit</v>
      </c>
      <c r="C4884" t="s">
        <v>6298</v>
      </c>
      <c r="D4884" t="s">
        <v>6536</v>
      </c>
      <c r="E4884" s="3" t="str">
        <f>HYPERLINK("https://www.amazon.com/Diablo-1-1-SPEEDemon-Spade-Bit/dp/B089KWFTKZ/ref=sr_1_2?keywords=Diablo+Tools+DSP1060+1+in.+x+4+in.+Spade+Bit&amp;qid=1695174100&amp;sr=8-2", "https://www.amazon.com/Diablo-1-1-SPEEDemon-Spade-Bit/dp/B089KWFTKZ/ref=sr_1_2?keywords=Diablo+Tools+DSP1060+1+in.+x+4+in.+Spade+Bit&amp;qid=1695174100&amp;sr=8-2")</f>
        <v>https://www.amazon.com/Diablo-1-1-SPEEDemon-Spade-Bit/dp/B089KWFTKZ/ref=sr_1_2?keywords=Diablo+Tools+DSP1060+1+in.+x+4+in.+Spade+Bit&amp;qid=1695174100&amp;sr=8-2</v>
      </c>
      <c r="F4884" t="s">
        <v>6537</v>
      </c>
      <c r="G4884" t="e">
        <f ca="1">_xludf.IMAGE("https://edmondsonsupply.com/cdn/shop/products/hanbmwlurgioczoyawta.webp?v=1670510289")</f>
        <v>#NAME?</v>
      </c>
      <c r="H4884" t="e">
        <f ca="1">_xludf.IMAGE("https://m.media-amazon.com/images/I/61urRK8nv-L._AC_UL320_.jpg")</f>
        <v>#NAME?</v>
      </c>
      <c r="I4884" t="s">
        <v>6301</v>
      </c>
      <c r="J4884">
        <v>6.19</v>
      </c>
      <c r="K4884" s="4">
        <v>1.39</v>
      </c>
      <c r="L4884">
        <v>4.7</v>
      </c>
      <c r="M4884">
        <v>76</v>
      </c>
      <c r="O4884" t="s">
        <v>25</v>
      </c>
      <c r="P4884" t="s">
        <v>6302</v>
      </c>
      <c r="Q4884" t="s">
        <v>6303</v>
      </c>
    </row>
    <row r="4885" spans="1:17" ht="15.5" x14ac:dyDescent="0.35">
      <c r="A4885" s="3" t="str">
        <f>HYPERLINK("https://edmondsonsupply.com/collections/electricians-tools/products/diablo-tools-d0536x-5-3-8-in-x-36-tooth-finish-trim-saw-blade", "https://edmondsonsupply.com/collections/electricians-tools/products/diablo-tools-d0536x-5-3-8-in-x-36-tooth-finish-trim-saw-blade")</f>
        <v>https://edmondsonsupply.com/collections/electricians-tools/products/diablo-tools-d0536x-5-3-8-in-x-36-tooth-finish-trim-saw-blade</v>
      </c>
      <c r="B4885" s="3" t="str">
        <f>HYPERLINK("https://edmondsonsupply.com/products/diablo-tools-d0536x-5-3-8-in-x-36-tooth-finish-trim-saw-blade", "https://edmondsonsupply.com/products/diablo-tools-d0536x-5-3-8-in-x-36-tooth-finish-trim-saw-blade")</f>
        <v>https://edmondsonsupply.com/products/diablo-tools-d0536x-5-3-8-in-x-36-tooth-finish-trim-saw-blade</v>
      </c>
      <c r="C4885" t="s">
        <v>6538</v>
      </c>
      <c r="D4885" t="s">
        <v>6539</v>
      </c>
      <c r="E4885" s="3" t="str">
        <f>HYPERLINK("https://www.amazon.com/Freud-D0536X-Diablo-8-Inch-Cordless/dp/B076HCJL4B/ref=sr_1_2?keywords=Diablo+Tools+D0536X+5-3%2F8+in.+x+36+Tooth+Finish+Trim+Saw+Blade&amp;qid=1695174052&amp;sr=8-2", "https://www.amazon.com/Freud-D0536X-Diablo-8-Inch-Cordless/dp/B076HCJL4B/ref=sr_1_2?keywords=Diablo+Tools+D0536X+5-3%2F8+in.+x+36+Tooth+Finish+Trim+Saw+Blade&amp;qid=1695174052&amp;sr=8-2")</f>
        <v>https://www.amazon.com/Freud-D0536X-Diablo-8-Inch-Cordless/dp/B076HCJL4B/ref=sr_1_2?keywords=Diablo+Tools+D0536X+5-3%2F8+in.+x+36+Tooth+Finish+Trim+Saw+Blade&amp;qid=1695174052&amp;sr=8-2</v>
      </c>
      <c r="F4885" t="s">
        <v>6540</v>
      </c>
      <c r="G4885" t="e">
        <f ca="1">_xludf.IMAGE("https://edmondsonsupply.com/cdn/shop/products/tlu1mfykudka2gxayxql.webp?v=1679326425")</f>
        <v>#NAME?</v>
      </c>
      <c r="H4885" t="e">
        <f ca="1">_xludf.IMAGE("https://m.media-amazon.com/images/I/61HBiOgAoRL._AC_UL320_.jpg")</f>
        <v>#NAME?</v>
      </c>
      <c r="I4885" t="s">
        <v>4985</v>
      </c>
      <c r="J4885">
        <v>40.479999999999997</v>
      </c>
      <c r="K4885" s="4">
        <v>1.3854</v>
      </c>
      <c r="L4885">
        <v>4.5999999999999996</v>
      </c>
      <c r="M4885">
        <v>100</v>
      </c>
      <c r="O4885" t="s">
        <v>25</v>
      </c>
      <c r="P4885" t="s">
        <v>6541</v>
      </c>
      <c r="Q4885" t="s">
        <v>6542</v>
      </c>
    </row>
    <row r="4886" spans="1:17" ht="15.5" x14ac:dyDescent="0.35">
      <c r="A4886"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4886" s="3" t="str">
        <f>HYPERLINK("https://edmondsonsupply.com/products/klein-tools-rt310-afci-gfci-outlet-tester", "https://edmondsonsupply.com/products/klein-tools-rt310-afci-gfci-outlet-tester")</f>
        <v>https://edmondsonsupply.com/products/klein-tools-rt310-afci-gfci-outlet-tester</v>
      </c>
      <c r="C4886" t="s">
        <v>6210</v>
      </c>
      <c r="D4886" t="s">
        <v>6543</v>
      </c>
      <c r="E4886" s="3" t="str">
        <f>HYPERLINK("https://www.amazon.com/Klein-Tools-Receptacle-Electrical-Receptacles/dp/B09P84542L/ref=sr_1_3?keywords=Klein+Tools+RT310+AFCI+%2F+GFCI+Outlet+Tester&amp;qid=1695173970&amp;sr=8-3", "https://www.amazon.com/Klein-Tools-Receptacle-Electrical-Receptacles/dp/B09P84542L/ref=sr_1_3?keywords=Klein+Tools+RT310+AFCI+%2F+GFCI+Outlet+Tester&amp;qid=1695173970&amp;sr=8-3")</f>
        <v>https://www.amazon.com/Klein-Tools-Receptacle-Electrical-Receptacles/dp/B09P84542L/ref=sr_1_3?keywords=Klein+Tools+RT310+AFCI+%2F+GFCI+Outlet+Tester&amp;qid=1695173970&amp;sr=8-3</v>
      </c>
      <c r="F4886" t="s">
        <v>6544</v>
      </c>
      <c r="G4886" t="e">
        <f ca="1">_xludf.IMAGE("https://edmondsonsupply.com/cdn/shop/products/rt310.jpg?v=1587148552")</f>
        <v>#NAME?</v>
      </c>
      <c r="H4886" t="e">
        <f ca="1">_xludf.IMAGE("https://m.media-amazon.com/images/I/51JAT1Kr0DL._AC_UL320_.jpg")</f>
        <v>#NAME?</v>
      </c>
      <c r="I4886" t="s">
        <v>246</v>
      </c>
      <c r="J4886">
        <v>94.96</v>
      </c>
      <c r="K4886" s="4">
        <v>1.3757999999999999</v>
      </c>
      <c r="L4886">
        <v>4.7</v>
      </c>
      <c r="M4886">
        <v>499</v>
      </c>
      <c r="O4886" t="s">
        <v>25</v>
      </c>
      <c r="P4886" t="s">
        <v>6213</v>
      </c>
      <c r="Q4886" t="s">
        <v>6214</v>
      </c>
    </row>
    <row r="4887" spans="1:17" ht="15.5" x14ac:dyDescent="0.35">
      <c r="A4887" s="3" t="str">
        <f>HYPERLINK("https://edmondsonsupply.com/collections/electricians-tools/products/klein-tools-46037-cable-splicers-kit", "https://edmondsonsupply.com/collections/electricians-tools/products/klein-tools-46037-cable-splicers-kit")</f>
        <v>https://edmondsonsupply.com/collections/electricians-tools/products/klein-tools-46037-cable-splicers-kit</v>
      </c>
      <c r="B4887" s="3" t="str">
        <f>HYPERLINK("https://edmondsonsupply.com/products/klein-tools-46037-cable-splicers-kit", "https://edmondsonsupply.com/products/klein-tools-46037-cable-splicers-kit")</f>
        <v>https://edmondsonsupply.com/products/klein-tools-46037-cable-splicers-kit</v>
      </c>
      <c r="C4887" t="s">
        <v>6545</v>
      </c>
      <c r="D4887" t="s">
        <v>6546</v>
      </c>
      <c r="E4887" s="3" t="str">
        <f>HYPERLINK("https://www.amazon.com/Dismantling-Knife-1000V-Insulated-Electricians-Free-Fall/dp/B0BM2ZZM12/ref=sr_1_8?keywords=Klein+Tools+46037+Cable+Splicer%27s+Kit&amp;qid=1695174157&amp;sr=8-8", "https://www.amazon.com/Dismantling-Knife-1000V-Insulated-Electricians-Free-Fall/dp/B0BM2ZZM12/ref=sr_1_8?keywords=Klein+Tools+46037+Cable+Splicer%27s+Kit&amp;qid=1695174157&amp;sr=8-8")</f>
        <v>https://www.amazon.com/Dismantling-Knife-1000V-Insulated-Electricians-Free-Fall/dp/B0BM2ZZM12/ref=sr_1_8?keywords=Klein+Tools+46037+Cable+Splicer%27s+Kit&amp;qid=1695174157&amp;sr=8-8</v>
      </c>
      <c r="F4887" t="s">
        <v>6547</v>
      </c>
      <c r="G4887" t="e">
        <f ca="1">_xludf.IMAGE("https://edmondsonsupply.com/cdn/shop/products/46037.jpg?v=1663351986")</f>
        <v>#NAME?</v>
      </c>
      <c r="H4887" t="e">
        <f ca="1">_xludf.IMAGE("https://m.media-amazon.com/images/I/41uZ3RjcrvL._AC_UL320_.jpg")</f>
        <v>#NAME?</v>
      </c>
      <c r="I4887" t="s">
        <v>246</v>
      </c>
      <c r="J4887">
        <v>94.92</v>
      </c>
      <c r="K4887" s="4">
        <v>1.3748</v>
      </c>
      <c r="L4887">
        <v>4.8</v>
      </c>
      <c r="M4887">
        <v>793</v>
      </c>
      <c r="O4887" t="s">
        <v>25</v>
      </c>
      <c r="P4887" t="s">
        <v>6548</v>
      </c>
      <c r="Q4887" t="s">
        <v>6549</v>
      </c>
    </row>
    <row r="4888" spans="1:17" ht="15.5" x14ac:dyDescent="0.35">
      <c r="A4888" s="3" t="str">
        <f>HYPERLINK("https://edmondsonsupply.com/collections/electricians-tools/products/malco-tools-tb1-soft-sided-tool-bag", "https://edmondsonsupply.com/collections/electricians-tools/products/malco-tools-tb1-soft-sided-tool-bag")</f>
        <v>https://edmondsonsupply.com/collections/electricians-tools/products/malco-tools-tb1-soft-sided-tool-bag</v>
      </c>
      <c r="B4888" s="3" t="str">
        <f>HYPERLINK("https://edmondsonsupply.com/products/malco-tools-tb1-soft-sided-tool-bag", "https://edmondsonsupply.com/products/malco-tools-tb1-soft-sided-tool-bag")</f>
        <v>https://edmondsonsupply.com/products/malco-tools-tb1-soft-sided-tool-bag</v>
      </c>
      <c r="C4888" t="s">
        <v>308</v>
      </c>
      <c r="D4888" t="s">
        <v>309</v>
      </c>
      <c r="E4888" s="3" t="str">
        <f>HYPERLINK("https://www.amazon.com/Malco-Soft-Sided-Tool-Pocket/dp/B0943Y3HYS/ref=sr_1_1?keywords=Malco+Tools+TB1+Soft+Sided+Tool+Bag&amp;qid=1695174126&amp;sr=8-1", "https://www.amazon.com/Malco-Soft-Sided-Tool-Pocket/dp/B0943Y3HYS/ref=sr_1_1?keywords=Malco+Tools+TB1+Soft+Sided+Tool+Bag&amp;qid=1695174126&amp;sr=8-1")</f>
        <v>https://www.amazon.com/Malco-Soft-Sided-Tool-Pocket/dp/B0943Y3HYS/ref=sr_1_1?keywords=Malco+Tools+TB1+Soft+Sided+Tool+Bag&amp;qid=1695174126&amp;sr=8-1</v>
      </c>
      <c r="F4888" t="s">
        <v>310</v>
      </c>
      <c r="G4888" t="e">
        <f ca="1">_xludf.IMAGE("https://edmondsonsupply.com/cdn/shop/products/TB1-catalog-2-440x440.jpg?v=1668089126")</f>
        <v>#NAME?</v>
      </c>
      <c r="H4888" t="e">
        <f ca="1">_xludf.IMAGE("https://m.media-amazon.com/images/I/31LWmbOibWS._AC_UL320_.jpg")</f>
        <v>#NAME?</v>
      </c>
      <c r="I4888" t="s">
        <v>311</v>
      </c>
      <c r="J4888">
        <v>170.5</v>
      </c>
      <c r="K4888" s="4">
        <v>1.3684000000000001</v>
      </c>
      <c r="L4888">
        <v>1</v>
      </c>
      <c r="M4888">
        <v>1</v>
      </c>
      <c r="O4888" t="s">
        <v>25</v>
      </c>
      <c r="P4888" t="s">
        <v>312</v>
      </c>
      <c r="Q4888" t="s">
        <v>313</v>
      </c>
    </row>
    <row r="4889" spans="1:17" ht="15.5" x14ac:dyDescent="0.35">
      <c r="A4889" s="3" t="str">
        <f>HYPERLINK("https://edmondsonsupply.com/collections/electricians-tools/products/malco-mshc-2-inch-c-rhex-cleanable-reversible-magnetic-hex-driver-1-4-5-16", "https://edmondsonsupply.com/collections/electricians-tools/products/malco-mshc-2-inch-c-rhex-cleanable-reversible-magnetic-hex-driver-1-4-5-16")</f>
        <v>https://edmondsonsupply.com/collections/electricians-tools/products/malco-mshc-2-inch-c-rhex-cleanable-reversible-magnetic-hex-driver-1-4-5-16</v>
      </c>
      <c r="B4889"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4889" t="s">
        <v>134</v>
      </c>
      <c r="D4889" t="s">
        <v>178</v>
      </c>
      <c r="E4889" s="3" t="str">
        <f>HYPERLINK("https://www.amazon.com/Malco-MSHMLC2-Construction-Cleanable-Reversible/dp/B0BX77PFCY/ref=sr_1_4?keywords=Malco+Tools+MSHC+2-Inch+C-Rhex+Cleanable%2C+Reversible+Magnetic+Hex+Driver%2C+1%2F4&amp;qid=1695173843&amp;sr=8-4", "https://www.amazon.com/Malco-MSHMLC2-Construction-Cleanable-Reversible/dp/B0BX77PFCY/ref=sr_1_4?keywords=Malco+Tools+MSHC+2-Inch+C-Rhex+Cleanable%2C+Reversible+Magnetic+Hex+Driver%2C+1%2F4&amp;qid=1695173843&amp;sr=8-4")</f>
        <v>https://www.amazon.com/Malco-MSHMLC2-Construction-Cleanable-Reversible/dp/B0BX77PFCY/ref=sr_1_4?keywords=Malco+Tools+MSHC+2-Inch+C-Rhex+Cleanable%2C+Reversible+Magnetic+Hex+Driver%2C+1%2F4&amp;qid=1695173843&amp;sr=8-4</v>
      </c>
      <c r="F4889" t="s">
        <v>179</v>
      </c>
      <c r="G4889" t="e">
        <f ca="1">_xludf.IMAGE("https://edmondsonsupply.com/cdn/shop/products/Malco-MSHC-CRHEX-Slim-Design.jpg?v=1646614493")</f>
        <v>#NAME?</v>
      </c>
      <c r="H4889" t="e">
        <f ca="1">_xludf.IMAGE("https://m.media-amazon.com/images/I/61SpFpw6GjL._AC_UL320_.jpg")</f>
        <v>#NAME?</v>
      </c>
      <c r="I4889" t="s">
        <v>137</v>
      </c>
      <c r="J4889">
        <v>13.91</v>
      </c>
      <c r="K4889" s="4">
        <v>1.3615999999999999</v>
      </c>
      <c r="L4889">
        <v>3</v>
      </c>
      <c r="M4889">
        <v>4</v>
      </c>
      <c r="O4889" t="s">
        <v>25</v>
      </c>
      <c r="P4889" t="s">
        <v>138</v>
      </c>
      <c r="Q4889" t="s">
        <v>139</v>
      </c>
    </row>
    <row r="4890" spans="1:17" ht="15.5" x14ac:dyDescent="0.35">
      <c r="A4890"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4890" s="3" t="str">
        <f>HYPERLINK("https://edmondsonsupply.com/products/klein-tools-630-3-8-3-8-inch-nut-driver-with-3-inch-hollow-shaft", "https://edmondsonsupply.com/products/klein-tools-630-3-8-3-8-inch-nut-driver-with-3-inch-hollow-shaft")</f>
        <v>https://edmondsonsupply.com/products/klein-tools-630-3-8-3-8-inch-nut-driver-with-3-inch-hollow-shaft</v>
      </c>
      <c r="C4890" t="s">
        <v>6150</v>
      </c>
      <c r="D4890" t="s">
        <v>6550</v>
      </c>
      <c r="E4890" s="3" t="str">
        <f>HYPERLINK("https://www.amazon.com/Insulated-Klein-Tools-646-3-8-INS/dp/B000MKH62I/ref=sr_1_5?keywords=Klein+Tools+630-3%2F8+3%2F8-Inch+Nut+Driver+with+3-Inch+Hollow+Shaft&amp;qid=1695174289&amp;sr=8-5", "https://www.amazon.com/Insulated-Klein-Tools-646-3-8-INS/dp/B000MKH62I/ref=sr_1_5?keywords=Klein+Tools+630-3%2F8+3%2F8-Inch+Nut+Driver+with+3-Inch+Hollow+Shaft&amp;qid=1695174289&amp;sr=8-5")</f>
        <v>https://www.amazon.com/Insulated-Klein-Tools-646-3-8-INS/dp/B000MKH62I/ref=sr_1_5?keywords=Klein+Tools+630-3%2F8+3%2F8-Inch+Nut+Driver+with+3-Inch+Hollow+Shaft&amp;qid=1695174289&amp;sr=8-5</v>
      </c>
      <c r="F4890" t="s">
        <v>6551</v>
      </c>
      <c r="G4890" t="e">
        <f ca="1">_xludf.IMAGE("https://edmondsonsupply.com/cdn/shop/products/630-1-2_e23f9fbd-a282-44d7-b743-2cfe0f84edfa.jpg?v=1633030906")</f>
        <v>#NAME?</v>
      </c>
      <c r="H4890" t="e">
        <f ca="1">_xludf.IMAGE("https://m.media-amazon.com/images/I/613x9jx46fL._AC_UL320_.jpg")</f>
        <v>#NAME?</v>
      </c>
      <c r="I4890" t="s">
        <v>924</v>
      </c>
      <c r="J4890">
        <v>21.18</v>
      </c>
      <c r="K4890" s="4">
        <v>1.3560000000000001</v>
      </c>
      <c r="L4890">
        <v>4.7</v>
      </c>
      <c r="M4890">
        <v>274</v>
      </c>
      <c r="O4890" t="s">
        <v>25</v>
      </c>
      <c r="P4890" t="s">
        <v>6153</v>
      </c>
      <c r="Q4890" t="s">
        <v>6154</v>
      </c>
    </row>
    <row r="4891" spans="1:17" ht="15.5" x14ac:dyDescent="0.35">
      <c r="A4891"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4891"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4891" t="s">
        <v>6393</v>
      </c>
      <c r="D4891" t="s">
        <v>6552</v>
      </c>
      <c r="E4891" s="3" t="str">
        <f>HYPERLINK("https://www.amazon.com/Klein-Tools-32293-Screwdriver-Double-Ended/dp/B07WWZZQD2/ref=sr_1_6?keywords=Klein+Tools+614-2+1%2F16-Inch+Slotted+Electronics+Screwdriver%2C+2-Inch&amp;qid=1695174229&amp;sr=8-6", "https://www.amazon.com/Klein-Tools-32293-Screwdriver-Double-Ended/dp/B07WWZZQD2/ref=sr_1_6?keywords=Klein+Tools+614-2+1%2F16-Inch+Slotted+Electronics+Screwdriver%2C+2-Inch&amp;qid=1695174229&amp;sr=8-6")</f>
        <v>https://www.amazon.com/Klein-Tools-32293-Screwdriver-Double-Ended/dp/B07WWZZQD2/ref=sr_1_6?keywords=Klein+Tools+614-2+1%2F16-Inch+Slotted+Electronics+Screwdriver%2C+2-Inch&amp;qid=1695174229&amp;sr=8-6</v>
      </c>
      <c r="F4891" t="s">
        <v>6553</v>
      </c>
      <c r="G4891" t="e">
        <f ca="1">_xludf.IMAGE("https://edmondsonsupply.com/cdn/shop/products/614-2.jpg?v=1637284311")</f>
        <v>#NAME?</v>
      </c>
      <c r="H4891" t="e">
        <f ca="1">_xludf.IMAGE("https://m.media-amazon.com/images/I/41yk4NC2BmL._AC_UL320_.jpg")</f>
        <v>#NAME?</v>
      </c>
      <c r="I4891" t="s">
        <v>6394</v>
      </c>
      <c r="J4891">
        <v>19.98</v>
      </c>
      <c r="K4891" s="4">
        <v>1.3533999999999999</v>
      </c>
      <c r="L4891">
        <v>4.8</v>
      </c>
      <c r="M4891">
        <v>2782</v>
      </c>
      <c r="O4891" t="s">
        <v>25</v>
      </c>
      <c r="P4891" t="s">
        <v>6395</v>
      </c>
      <c r="Q4891" t="s">
        <v>6396</v>
      </c>
    </row>
    <row r="4892" spans="1:17" ht="15.5" x14ac:dyDescent="0.35">
      <c r="A4892"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4892" s="3" t="str">
        <f>HYPERLINK("https://edmondsonsupply.com/products/klein-tools-69410-replacement-test-lead-set-right-angle", "https://edmondsonsupply.com/products/klein-tools-69410-replacement-test-lead-set-right-angle")</f>
        <v>https://edmondsonsupply.com/products/klein-tools-69410-replacement-test-lead-set-right-angle</v>
      </c>
      <c r="C4892" t="s">
        <v>1463</v>
      </c>
      <c r="D4892" t="s">
        <v>2190</v>
      </c>
      <c r="E4892" s="3" t="str">
        <f>HYPERLINK("https://www.amazon.com/Klein-Tools-Multimeter-Auto-Ranging-Replacement/dp/B0CF1HLRLZ/ref=sr_1_3?keywords=Klein+Tools+69410+Replacement+Test+Lead+Set%2C+Right+Angle&amp;qid=1695173944&amp;sr=8-3", "https://www.amazon.com/Klein-Tools-Multimeter-Auto-Ranging-Replacement/dp/B0CF1HLRLZ/ref=sr_1_3?keywords=Klein+Tools+69410+Replacement+Test+Lead+Set%2C+Right+Angle&amp;qid=1695173944&amp;sr=8-3")</f>
        <v>https://www.amazon.com/Klein-Tools-Multimeter-Auto-Ranging-Replacement/dp/B0CF1HLRLZ/ref=sr_1_3?keywords=Klein+Tools+69410+Replacement+Test+Lead+Set%2C+Right+Angle&amp;qid=1695173944&amp;sr=8-3</v>
      </c>
      <c r="F4892" t="s">
        <v>2191</v>
      </c>
      <c r="G4892" t="e">
        <f ca="1">_xludf.IMAGE("https://edmondsonsupply.com/cdn/shop/products/69410.jpg?v=1587143393")</f>
        <v>#NAME?</v>
      </c>
      <c r="H4892" t="e">
        <f ca="1">_xludf.IMAGE("https://m.media-amazon.com/images/I/511gqqz-o+L._AC_UY218_.jpg")</f>
        <v>#NAME?</v>
      </c>
      <c r="I4892" t="s">
        <v>893</v>
      </c>
      <c r="J4892">
        <v>46.9</v>
      </c>
      <c r="K4892" s="4">
        <v>1.3485</v>
      </c>
      <c r="L4892">
        <v>4.7</v>
      </c>
      <c r="M4892">
        <v>3817</v>
      </c>
      <c r="O4892" t="s">
        <v>25</v>
      </c>
      <c r="P4892" t="s">
        <v>1466</v>
      </c>
      <c r="Q4892" t="s">
        <v>1467</v>
      </c>
    </row>
    <row r="4893" spans="1:17" ht="15.5" x14ac:dyDescent="0.35">
      <c r="A4893"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4893" s="3" t="str">
        <f>HYPERLINK("https://edmondsonsupply.com/products/klein-tools-et45-ac-dc-voltage-tester", "https://edmondsonsupply.com/products/klein-tools-et45-ac-dc-voltage-tester")</f>
        <v>https://edmondsonsupply.com/products/klein-tools-et45-ac-dc-voltage-tester</v>
      </c>
      <c r="C4893" t="s">
        <v>6080</v>
      </c>
      <c r="D4893" t="s">
        <v>6554</v>
      </c>
      <c r="E4893" s="3" t="str">
        <f>HYPERLINK("https://www.amazon.com/Electronic-Voltage-Klein-Tools-ET60/dp/B06WWFGHQZ/ref=sr_1_6?keywords=Klein+Tools+ET45+AC%2FDC+Voltage+Tester&amp;qid=1695174290&amp;sr=8-6", "https://www.amazon.com/Electronic-Voltage-Klein-Tools-ET60/dp/B06WWFGHQZ/ref=sr_1_6?keywords=Klein+Tools+ET45+AC%2FDC+Voltage+Tester&amp;qid=1695174290&amp;sr=8-6")</f>
        <v>https://www.amazon.com/Electronic-Voltage-Klein-Tools-ET60/dp/B06WWFGHQZ/ref=sr_1_6?keywords=Klein+Tools+ET45+AC%2FDC+Voltage+Tester&amp;qid=1695174290&amp;sr=8-6</v>
      </c>
      <c r="F4893" t="s">
        <v>6555</v>
      </c>
      <c r="G4893" t="e">
        <f ca="1">_xludf.IMAGE("https://edmondsonsupply.com/cdn/shop/products/et45.jpg?v=1647786270")</f>
        <v>#NAME?</v>
      </c>
      <c r="H4893" t="e">
        <f ca="1">_xludf.IMAGE("https://m.media-amazon.com/images/I/61bFp93k0pL._AC_UL320_.jpg")</f>
        <v>#NAME?</v>
      </c>
      <c r="I4893" t="s">
        <v>2337</v>
      </c>
      <c r="J4893">
        <v>28.05</v>
      </c>
      <c r="K4893" s="4">
        <v>1.3393999999999999</v>
      </c>
      <c r="L4893">
        <v>4.5999999999999996</v>
      </c>
      <c r="M4893">
        <v>1112</v>
      </c>
      <c r="O4893" t="s">
        <v>25</v>
      </c>
      <c r="P4893" t="s">
        <v>6083</v>
      </c>
      <c r="Q4893" t="s">
        <v>6084</v>
      </c>
    </row>
    <row r="4894" spans="1:17" ht="15.5" x14ac:dyDescent="0.35">
      <c r="A4894"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4894"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4894" t="s">
        <v>6439</v>
      </c>
      <c r="D4894" t="s">
        <v>6556</v>
      </c>
      <c r="E4894" s="3" t="str">
        <f>HYPERLINK("https://www.amazon.com/Klein-Tools-Impact-Driver-Socket/dp/B0BNL4KNLD/ref=sr_1_4?keywords=Klein+Tools+32768+3-in-1+Impact+Flip+Socket+Set%2C+1%2F4-Inch%2C+5%2F16-Inch%2C+2-Piece&amp;qid=1695174135&amp;sr=8-4", "https://www.amazon.com/Klein-Tools-Impact-Driver-Socket/dp/B0BNL4KNLD/ref=sr_1_4?keywords=Klein+Tools+32768+3-in-1+Impact+Flip+Socket+Set%2C+1%2F4-Inch%2C+5%2F16-Inch%2C+2-Piece&amp;qid=1695174135&amp;sr=8-4")</f>
        <v>https://www.amazon.com/Klein-Tools-Impact-Driver-Socket/dp/B0BNL4KNLD/ref=sr_1_4?keywords=Klein+Tools+32768+3-in-1+Impact+Flip+Socket+Set%2C+1%2F4-Inch%2C+5%2F16-Inch%2C+2-Piece&amp;qid=1695174135&amp;sr=8-4</v>
      </c>
      <c r="F4894" t="s">
        <v>6557</v>
      </c>
      <c r="G4894" t="e">
        <f ca="1">_xludf.IMAGE("https://edmondsonsupply.com/cdn/shop/products/32768.jpg?v=1666022946")</f>
        <v>#NAME?</v>
      </c>
      <c r="H4894" t="e">
        <f ca="1">_xludf.IMAGE("https://m.media-amazon.com/images/I/41nFo8SbgZL._AC_UL320_.jpg")</f>
        <v>#NAME?</v>
      </c>
      <c r="I4894" t="s">
        <v>2784</v>
      </c>
      <c r="J4894">
        <v>34.979999999999997</v>
      </c>
      <c r="K4894" s="4">
        <v>1.3367</v>
      </c>
      <c r="L4894">
        <v>5</v>
      </c>
      <c r="M4894">
        <v>7</v>
      </c>
      <c r="O4894" t="s">
        <v>25</v>
      </c>
      <c r="P4894" t="s">
        <v>854</v>
      </c>
      <c r="Q4894" t="s">
        <v>6442</v>
      </c>
    </row>
    <row r="4895" spans="1:17" ht="15.5" x14ac:dyDescent="0.35">
      <c r="A4895"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4895" s="3" t="str">
        <f>HYPERLINK("https://edmondsonsupply.com/products/klein-tools-32900-7-in-1-impact-flip-socket-with-handle", "https://edmondsonsupply.com/products/klein-tools-32900-7-in-1-impact-flip-socket-with-handle")</f>
        <v>https://edmondsonsupply.com/products/klein-tools-32900-7-in-1-impact-flip-socket-with-handle</v>
      </c>
      <c r="C4895" t="s">
        <v>6184</v>
      </c>
      <c r="D4895" t="s">
        <v>6558</v>
      </c>
      <c r="E4895" s="3" t="str">
        <f>HYPERLINK("https://www.amazon.com/Klein-Tools-J215-8CR-Multitool-Twisting/dp/B0BNL9XZLY/ref=sr_1_4?keywords=Klein+Tools+32900+7-in-1+Impact+Flip+Socket+with+Handle&amp;qid=1695174143&amp;sr=8-4", "https://www.amazon.com/Klein-Tools-J215-8CR-Multitool-Twisting/dp/B0BNL9XZLY/ref=sr_1_4?keywords=Klein+Tools+32900+7-in-1+Impact+Flip+Socket+with+Handle&amp;qid=1695174143&amp;sr=8-4")</f>
        <v>https://www.amazon.com/Klein-Tools-J215-8CR-Multitool-Twisting/dp/B0BNL9XZLY/ref=sr_1_4?keywords=Klein+Tools+32900+7-in-1+Impact+Flip+Socket+with+Handle&amp;qid=1695174143&amp;sr=8-4</v>
      </c>
      <c r="F4895" t="s">
        <v>6559</v>
      </c>
      <c r="G4895" t="e">
        <f ca="1">_xludf.IMAGE("https://edmondsonsupply.com/cdn/shop/products/32900_b.jpg?v=1666024787")</f>
        <v>#NAME?</v>
      </c>
      <c r="H4895" t="e">
        <f ca="1">_xludf.IMAGE("https://m.media-amazon.com/images/I/51OtnaqJyqL._AC_UL320_.jpg")</f>
        <v>#NAME?</v>
      </c>
      <c r="I4895" t="s">
        <v>824</v>
      </c>
      <c r="J4895">
        <v>69.94</v>
      </c>
      <c r="K4895" s="4">
        <v>1.3337000000000001</v>
      </c>
      <c r="L4895">
        <v>4</v>
      </c>
      <c r="M4895">
        <v>3</v>
      </c>
      <c r="O4895" t="s">
        <v>25</v>
      </c>
      <c r="P4895" t="s">
        <v>73</v>
      </c>
      <c r="Q4895" t="s">
        <v>6187</v>
      </c>
    </row>
    <row r="4896" spans="1:17" ht="15.5" x14ac:dyDescent="0.35">
      <c r="A4896"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4896" s="3" t="str">
        <f>HYPERLINK("https://edmondsonsupply.com/products/klein-tools-32900-7-in-1-impact-flip-socket-with-handle", "https://edmondsonsupply.com/products/klein-tools-32900-7-in-1-impact-flip-socket-with-handle")</f>
        <v>https://edmondsonsupply.com/products/klein-tools-32900-7-in-1-impact-flip-socket-with-handle</v>
      </c>
      <c r="C4896" t="s">
        <v>6184</v>
      </c>
      <c r="D4896" t="s">
        <v>6560</v>
      </c>
      <c r="E4896" s="3" t="str">
        <f>HYPERLINK("https://www.amazon.com/Klein-Tools-Recharge-Headlamp-Runtime/dp/B0BNL563BW/ref=sr_1_5?keywords=Klein+Tools+32900+7-in-1+Impact+Flip+Socket+with+Handle&amp;qid=1695174143&amp;sr=8-5", "https://www.amazon.com/Klein-Tools-Recharge-Headlamp-Runtime/dp/B0BNL563BW/ref=sr_1_5?keywords=Klein+Tools+32900+7-in-1+Impact+Flip+Socket+with+Handle&amp;qid=1695174143&amp;sr=8-5")</f>
        <v>https://www.amazon.com/Klein-Tools-Recharge-Headlamp-Runtime/dp/B0BNL563BW/ref=sr_1_5?keywords=Klein+Tools+32900+7-in-1+Impact+Flip+Socket+with+Handle&amp;qid=1695174143&amp;sr=8-5</v>
      </c>
      <c r="F4896" t="s">
        <v>6561</v>
      </c>
      <c r="G4896" t="e">
        <f ca="1">_xludf.IMAGE("https://edmondsonsupply.com/cdn/shop/products/32900_b.jpg?v=1666024787")</f>
        <v>#NAME?</v>
      </c>
      <c r="H4896" t="e">
        <f ca="1">_xludf.IMAGE("https://m.media-amazon.com/images/I/51gNBTMFaDL._AC_UL320_.jpg")</f>
        <v>#NAME?</v>
      </c>
      <c r="I4896" t="s">
        <v>824</v>
      </c>
      <c r="J4896">
        <v>69.94</v>
      </c>
      <c r="K4896" s="4">
        <v>1.3337000000000001</v>
      </c>
      <c r="L4896">
        <v>4.3</v>
      </c>
      <c r="M4896">
        <v>3</v>
      </c>
      <c r="O4896" t="s">
        <v>25</v>
      </c>
      <c r="P4896" t="s">
        <v>73</v>
      </c>
      <c r="Q4896" t="s">
        <v>6187</v>
      </c>
    </row>
    <row r="4897" spans="1:17" ht="15.5" x14ac:dyDescent="0.35">
      <c r="A4897"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4897" s="3" t="str">
        <f>HYPERLINK("https://edmondsonsupply.com/products/diablo-tools-d0760x-7-1-4-in-x-60-tooth-ultra-finish-saw-blade", "https://edmondsonsupply.com/products/diablo-tools-d0760x-7-1-4-in-x-60-tooth-ultra-finish-saw-blade")</f>
        <v>https://edmondsonsupply.com/products/diablo-tools-d0760x-7-1-4-in-x-60-tooth-ultra-finish-saw-blade</v>
      </c>
      <c r="C4897" t="s">
        <v>6011</v>
      </c>
      <c r="D4897" t="s">
        <v>6562</v>
      </c>
      <c r="E4897" s="3" t="str">
        <f>HYPERLINK("https://www.amazon.com/D0760A-Diablo-60-Tooth-Finishing-Circular/dp/B0763T4PLZ/ref=sr_1_1?keywords=Diablo+Tools+D0760X+7-1%2F4+in.+x+60+Tooth+Ultra+Finish+Saw+Blade&amp;qid=1695174054&amp;sr=8-1", "https://www.amazon.com/D0760A-Diablo-60-Tooth-Finishing-Circular/dp/B0763T4PLZ/ref=sr_1_1?keywords=Diablo+Tools+D0760X+7-1%2F4+in.+x+60+Tooth+Ultra+Finish+Saw+Blade&amp;qid=1695174054&amp;sr=8-1")</f>
        <v>https://www.amazon.com/D0760A-Diablo-60-Tooth-Finishing-Circular/dp/B0763T4PLZ/ref=sr_1_1?keywords=Diablo+Tools+D0760X+7-1%2F4+in.+x+60+Tooth+Ultra+Finish+Saw+Blade&amp;qid=1695174054&amp;sr=8-1</v>
      </c>
      <c r="F4897" t="s">
        <v>6563</v>
      </c>
      <c r="G4897" t="e">
        <f ca="1">_xludf.IMAGE("https://edmondsonsupply.com/cdn/shop/products/vlfiqrihhfwf5bxirasx.webp?v=1678977162")</f>
        <v>#NAME?</v>
      </c>
      <c r="H4897" t="e">
        <f ca="1">_xludf.IMAGE("https://m.media-amazon.com/images/I/61WSwNmsWWL._AC_UL320_.jpg")</f>
        <v>#NAME?</v>
      </c>
      <c r="I4897" t="s">
        <v>893</v>
      </c>
      <c r="J4897">
        <v>46.55</v>
      </c>
      <c r="K4897" s="4">
        <v>1.331</v>
      </c>
      <c r="L4897">
        <v>4.7</v>
      </c>
      <c r="M4897">
        <v>16</v>
      </c>
      <c r="O4897" t="s">
        <v>25</v>
      </c>
      <c r="P4897" t="s">
        <v>6014</v>
      </c>
      <c r="Q4897" t="s">
        <v>6015</v>
      </c>
    </row>
    <row r="4898" spans="1:17" ht="15.5" x14ac:dyDescent="0.35">
      <c r="A4898"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4898" s="3" t="str">
        <f>HYPERLINK("https://edmondsonsupply.com/products/klein-tools-vdv427-300-impact-punchdown-tool-66-110-blade", "https://edmondsonsupply.com/products/klein-tools-vdv427-300-impact-punchdown-tool-66-110-blade")</f>
        <v>https://edmondsonsupply.com/products/klein-tools-vdv427-300-impact-punchdown-tool-66-110-blade</v>
      </c>
      <c r="C4898" t="s">
        <v>6289</v>
      </c>
      <c r="D4898" t="s">
        <v>6564</v>
      </c>
      <c r="E4898" s="3" t="str">
        <f>HYPERLINK("https://www.amazon.com/Klein-Tools-VDV526-200-VDV427-300-Punchdown/dp/B09T6Y965V/ref=sr_1_7?keywords=Klein+Tools+VDV427-300+Impact+Punchdown+Tool%2C+66%2F110+Blade&amp;qid=1695174221&amp;sr=8-7", "https://www.amazon.com/Klein-Tools-VDV526-200-VDV427-300-Punchdown/dp/B09T6Y965V/ref=sr_1_7?keywords=Klein+Tools+VDV427-300+Impact+Punchdown+Tool%2C+66%2F110+Blade&amp;qid=1695174221&amp;sr=8-7")</f>
        <v>https://www.amazon.com/Klein-Tools-VDV526-200-VDV427-300-Punchdown/dp/B09T6Y965V/ref=sr_1_7?keywords=Klein+Tools+VDV427-300+Impact+Punchdown+Tool%2C+66%2F110+Blade&amp;qid=1695174221&amp;sr=8-7</v>
      </c>
      <c r="F4898" t="s">
        <v>6565</v>
      </c>
      <c r="G4898" t="e">
        <f ca="1">_xludf.IMAGE("https://edmondsonsupply.com/cdn/shop/products/vdv427300.jpg?v=1646010568")</f>
        <v>#NAME?</v>
      </c>
      <c r="H4898" t="e">
        <f ca="1">_xludf.IMAGE("https://m.media-amazon.com/images/I/411dxfFTZ6L._AC_UL320_.jpg")</f>
        <v>#NAME?</v>
      </c>
      <c r="I4898" t="s">
        <v>246</v>
      </c>
      <c r="J4898">
        <v>93.07</v>
      </c>
      <c r="K4898" s="4">
        <v>1.3285</v>
      </c>
      <c r="L4898">
        <v>5</v>
      </c>
      <c r="M4898">
        <v>7</v>
      </c>
      <c r="O4898" t="s">
        <v>25</v>
      </c>
      <c r="P4898" t="s">
        <v>1027</v>
      </c>
      <c r="Q4898" t="s">
        <v>6292</v>
      </c>
    </row>
    <row r="4899" spans="1:17" ht="15.5" x14ac:dyDescent="0.35">
      <c r="A4899" s="3" t="str">
        <f>HYPERLINK("https://edmondsonsupply.com/collections/electricians-tools/products/greenlee-612-1-1-2-foam-conduit-piston", "https://edmondsonsupply.com/collections/electricians-tools/products/greenlee-612-1-1-2-foam-conduit-piston")</f>
        <v>https://edmondsonsupply.com/collections/electricians-tools/products/greenlee-612-1-1-2-foam-conduit-piston</v>
      </c>
      <c r="B4899" s="3" t="str">
        <f>HYPERLINK("https://edmondsonsupply.com/products/greenlee-612-1-1-2-foam-conduit-piston", "https://edmondsonsupply.com/products/greenlee-612-1-1-2-foam-conduit-piston")</f>
        <v>https://edmondsonsupply.com/products/greenlee-612-1-1-2-foam-conduit-piston</v>
      </c>
      <c r="C4899" t="s">
        <v>6509</v>
      </c>
      <c r="D4899" t="s">
        <v>6566</v>
      </c>
      <c r="E4899" s="3" t="str">
        <f>HYPERLINK("https://www.amazon.com/Greenlee-612-2-Piston-Conduit-Pack/dp/B003STCZE4/ref=sr_1_2?keywords=Greenlee+612+1-1%2F2%22+Foam+Conduit+Piston&amp;qid=1695173998&amp;sr=8-2", "https://www.amazon.com/Greenlee-612-2-Piston-Conduit-Pack/dp/B003STCZE4/ref=sr_1_2?keywords=Greenlee+612+1-1%2F2%22+Foam+Conduit+Piston&amp;qid=1695173998&amp;sr=8-2")</f>
        <v>https://www.amazon.com/Greenlee-612-2-Piston-Conduit-Pack/dp/B003STCZE4/ref=sr_1_2?keywords=Greenlee+612+1-1%2F2%22+Foam+Conduit+Piston&amp;qid=1695173998&amp;sr=8-2</v>
      </c>
      <c r="F4899" t="s">
        <v>6567</v>
      </c>
      <c r="G4899" t="e">
        <f ca="1">_xludf.IMAGE("https://edmondsonsupply.com/cdn/shop/files/612.png?v=1687451101")</f>
        <v>#NAME?</v>
      </c>
      <c r="H4899" t="e">
        <f ca="1">_xludf.IMAGE("https://m.media-amazon.com/images/I/91+NtS500CL._AC_UL320_.jpg")</f>
        <v>#NAME?</v>
      </c>
      <c r="I4899" t="s">
        <v>6510</v>
      </c>
      <c r="J4899">
        <v>26.34</v>
      </c>
      <c r="K4899" s="4">
        <v>1.3248</v>
      </c>
      <c r="L4899">
        <v>5</v>
      </c>
      <c r="M4899">
        <v>6</v>
      </c>
      <c r="O4899" t="s">
        <v>25</v>
      </c>
      <c r="P4899" t="s">
        <v>138</v>
      </c>
      <c r="Q4899" t="s">
        <v>6511</v>
      </c>
    </row>
    <row r="4900" spans="1:17" ht="15.5" x14ac:dyDescent="0.35">
      <c r="A4900" s="3" t="str">
        <f>HYPERLINK("https://edmondsonsupply.com/collections/electricians-tools/products/diablo-tools-dsp1060-1-in-x-4-in-spade-bit", "https://edmondsonsupply.com/collections/electricians-tools/products/diablo-tools-dsp1060-1-in-x-4-in-spade-bit")</f>
        <v>https://edmondsonsupply.com/collections/electricians-tools/products/diablo-tools-dsp1060-1-in-x-4-in-spade-bit</v>
      </c>
      <c r="B4900" s="3" t="str">
        <f>HYPERLINK("https://edmondsonsupply.com/products/diablo-tools-dsp1060-1-in-x-4-in-spade-bit", "https://edmondsonsupply.com/products/diablo-tools-dsp1060-1-in-x-4-in-spade-bit")</f>
        <v>https://edmondsonsupply.com/products/diablo-tools-dsp1060-1-in-x-4-in-spade-bit</v>
      </c>
      <c r="C4900" t="s">
        <v>6298</v>
      </c>
      <c r="D4900" t="s">
        <v>6568</v>
      </c>
      <c r="E4900" s="3" t="str">
        <f>HYPERLINK("https://www.amazon.com/Diablo-DSP1020-SPEEDemon-Spade-Bit/dp/B089LMWCBQ/ref=sr_1_8?keywords=Diablo+Tools+DSP1060+1+in.+x+4+in.+Spade+Bit&amp;qid=1695174100&amp;sr=8-8", "https://www.amazon.com/Diablo-DSP1020-SPEEDemon-Spade-Bit/dp/B089LMWCBQ/ref=sr_1_8?keywords=Diablo+Tools+DSP1060+1+in.+x+4+in.+Spade+Bit&amp;qid=1695174100&amp;sr=8-8")</f>
        <v>https://www.amazon.com/Diablo-DSP1020-SPEEDemon-Spade-Bit/dp/B089LMWCBQ/ref=sr_1_8?keywords=Diablo+Tools+DSP1060+1+in.+x+4+in.+Spade+Bit&amp;qid=1695174100&amp;sr=8-8</v>
      </c>
      <c r="F4900" t="s">
        <v>6569</v>
      </c>
      <c r="G4900" t="e">
        <f ca="1">_xludf.IMAGE("https://edmondsonsupply.com/cdn/shop/products/hanbmwlurgioczoyawta.webp?v=1670510289")</f>
        <v>#NAME?</v>
      </c>
      <c r="H4900" t="e">
        <f ca="1">_xludf.IMAGE("https://m.media-amazon.com/images/I/61Ys49qYq0L._AC_UL320_.jpg")</f>
        <v>#NAME?</v>
      </c>
      <c r="I4900" t="s">
        <v>6301</v>
      </c>
      <c r="J4900">
        <v>6.01</v>
      </c>
      <c r="K4900" s="4">
        <v>1.3205</v>
      </c>
      <c r="L4900">
        <v>4.2</v>
      </c>
      <c r="M4900">
        <v>12</v>
      </c>
      <c r="O4900" t="s">
        <v>25</v>
      </c>
      <c r="P4900" t="s">
        <v>6302</v>
      </c>
      <c r="Q4900" t="s">
        <v>6303</v>
      </c>
    </row>
    <row r="4901" spans="1:17" ht="15.5" x14ac:dyDescent="0.35">
      <c r="A4901" s="3" t="str">
        <f>HYPERLINK("https://edmondsonsupply.com/collections/electricians-tools/products/klein-tools-85091-power-conduit-reamer", "https://edmondsonsupply.com/collections/electricians-tools/products/klein-tools-85091-power-conduit-reamer")</f>
        <v>https://edmondsonsupply.com/collections/electricians-tools/products/klein-tools-85091-power-conduit-reamer</v>
      </c>
      <c r="B4901" s="3" t="str">
        <f>HYPERLINK("https://edmondsonsupply.com/products/klein-tools-85091-power-conduit-reamer", "https://edmondsonsupply.com/products/klein-tools-85091-power-conduit-reamer")</f>
        <v>https://edmondsonsupply.com/products/klein-tools-85091-power-conduit-reamer</v>
      </c>
      <c r="C4901" t="s">
        <v>6570</v>
      </c>
      <c r="D4901" t="s">
        <v>6571</v>
      </c>
      <c r="E4901" s="3" t="str">
        <f>HYPERLINK("https://www.amazon.com/Klein-Tools-Conduit-Screwdriver-Thin-Wall/dp/B0BGPT4RV4/ref=sr_1_2?keywords=Klein+Tools+85091+Power+Conduit+Reamer&amp;qid=1695174290&amp;sr=8-2", "https://www.amazon.com/Klein-Tools-Conduit-Screwdriver-Thin-Wall/dp/B0BGPT4RV4/ref=sr_1_2?keywords=Klein+Tools+85091+Power+Conduit+Reamer&amp;qid=1695174290&amp;sr=8-2")</f>
        <v>https://www.amazon.com/Klein-Tools-Conduit-Screwdriver-Thin-Wall/dp/B0BGPT4RV4/ref=sr_1_2?keywords=Klein+Tools+85091+Power+Conduit+Reamer&amp;qid=1695174290&amp;sr=8-2</v>
      </c>
      <c r="F4901" t="s">
        <v>6572</v>
      </c>
      <c r="G4901" t="e">
        <f ca="1">_xludf.IMAGE("https://edmondsonsupply.com/cdn/shop/products/85091.jpg?v=1633030889")</f>
        <v>#NAME?</v>
      </c>
      <c r="H4901" t="e">
        <f ca="1">_xludf.IMAGE("https://m.media-amazon.com/images/I/31hKQJsNkcL._AC_UL320_.jpg")</f>
        <v>#NAME?</v>
      </c>
      <c r="I4901" t="s">
        <v>859</v>
      </c>
      <c r="J4901">
        <v>57.83</v>
      </c>
      <c r="K4901" s="4">
        <v>1.3160000000000001</v>
      </c>
      <c r="L4901">
        <v>5</v>
      </c>
      <c r="M4901">
        <v>2</v>
      </c>
      <c r="O4901" t="s">
        <v>25</v>
      </c>
      <c r="P4901" t="s">
        <v>6573</v>
      </c>
      <c r="Q4901" t="s">
        <v>6574</v>
      </c>
    </row>
    <row r="4902" spans="1:17" ht="15.5" x14ac:dyDescent="0.35">
      <c r="A4902"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4902" s="3" t="str">
        <f>HYPERLINK("https://edmondsonsupply.com/products/klein-tools-32314-14-in-1-precision-screwdriver-nut-driver", "https://edmondsonsupply.com/products/klein-tools-32314-14-in-1-precision-screwdriver-nut-driver")</f>
        <v>https://edmondsonsupply.com/products/klein-tools-32314-14-in-1-precision-screwdriver-nut-driver</v>
      </c>
      <c r="C4902" t="s">
        <v>1999</v>
      </c>
      <c r="D4902" t="s">
        <v>2212</v>
      </c>
      <c r="E4902" s="3" t="str">
        <f>HYPERLINK("https://www.amazon.com/Klein-Tools-Ratcheting-Screwdriver-Tamperproof/dp/B09Y88M7X7/ref=sr_1_5?keywords=Klein+Tools+32314+14-in-1+Precision+Screwdriver%2F+Nut+Driver&amp;qid=1695173878&amp;sr=8-5", "https://www.amazon.com/Klein-Tools-Ratcheting-Screwdriver-Tamperproof/dp/B09Y88M7X7/ref=sr_1_5?keywords=Klein+Tools+32314+14-in-1+Precision+Screwdriver%2F+Nut+Driver&amp;qid=1695173878&amp;sr=8-5")</f>
        <v>https://www.amazon.com/Klein-Tools-Ratcheting-Screwdriver-Tamperproof/dp/B09Y88M7X7/ref=sr_1_5?keywords=Klein+Tools+32314+14-in-1+Precision+Screwdriver%2F+Nut+Driver&amp;qid=1695173878&amp;sr=8-5</v>
      </c>
      <c r="F4902" t="s">
        <v>2213</v>
      </c>
      <c r="G4902" t="e">
        <f ca="1">_xludf.IMAGE("https://edmondsonsupply.com/cdn/shop/products/32314.jpg?v=1646593726")</f>
        <v>#NAME?</v>
      </c>
      <c r="H4902" t="e">
        <f ca="1">_xludf.IMAGE("https://m.media-amazon.com/images/I/41GYmy8nNDL._AC_UL320_.jpg")</f>
        <v>#NAME?</v>
      </c>
      <c r="I4902" t="s">
        <v>143</v>
      </c>
      <c r="J4902">
        <v>36.94</v>
      </c>
      <c r="K4902" s="4">
        <v>1.3130999999999999</v>
      </c>
      <c r="L4902">
        <v>4.7</v>
      </c>
      <c r="M4902">
        <v>22</v>
      </c>
      <c r="O4902" t="s">
        <v>25</v>
      </c>
      <c r="P4902" t="s">
        <v>2002</v>
      </c>
      <c r="Q4902" t="s">
        <v>2003</v>
      </c>
    </row>
    <row r="4903" spans="1:17" ht="15.5" x14ac:dyDescent="0.35">
      <c r="A4903"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4903" s="3" t="str">
        <f>HYPERLINK("https://edmondsonsupply.com/products/klein-tools-60162-professional-safety-glasses-gray-lens", "https://edmondsonsupply.com/products/klein-tools-60162-professional-safety-glasses-gray-lens")</f>
        <v>https://edmondsonsupply.com/products/klein-tools-60162-professional-safety-glasses-gray-lens</v>
      </c>
      <c r="C4903" t="s">
        <v>833</v>
      </c>
      <c r="D4903" t="s">
        <v>882</v>
      </c>
      <c r="E4903" s="3" t="str">
        <f>HYPERLINK("https://www.amazon.com/Klein-Tools-60539-Professional-Protective/dp/B0BLQ6F4MQ/ref=sr_1_9?keywords=Klein+Tools+60162+Professional+Safety+Glasses%2C+Gray+Lens&amp;qid=1695174302&amp;sr=8-9", "https://www.amazon.com/Klein-Tools-60539-Professional-Protective/dp/B0BLQ6F4MQ/ref=sr_1_9?keywords=Klein+Tools+60162+Professional+Safety+Glasses%2C+Gray+Lens&amp;qid=1695174302&amp;sr=8-9")</f>
        <v>https://www.amazon.com/Klein-Tools-60539-Professional-Protective/dp/B0BLQ6F4MQ/ref=sr_1_9?keywords=Klein+Tools+60162+Professional+Safety+Glasses%2C+Gray+Lens&amp;qid=1695174302&amp;sr=8-9</v>
      </c>
      <c r="F4903" t="s">
        <v>883</v>
      </c>
      <c r="G4903" t="e">
        <f ca="1">_xludf.IMAGE("https://edmondsonsupply.com/cdn/shop/products/60162.jpg?v=1633030847")</f>
        <v>#NAME?</v>
      </c>
      <c r="H4903" t="e">
        <f ca="1">_xludf.IMAGE("https://m.media-amazon.com/images/I/41z93jotzdL._AC_UL320_.jpg")</f>
        <v>#NAME?</v>
      </c>
      <c r="I4903" t="s">
        <v>834</v>
      </c>
      <c r="J4903">
        <v>29.99</v>
      </c>
      <c r="K4903" s="4">
        <v>1.3087</v>
      </c>
      <c r="L4903">
        <v>4.4000000000000004</v>
      </c>
      <c r="M4903">
        <v>11</v>
      </c>
      <c r="O4903" t="s">
        <v>25</v>
      </c>
      <c r="P4903" t="s">
        <v>835</v>
      </c>
      <c r="Q4903" t="s">
        <v>836</v>
      </c>
    </row>
    <row r="4904" spans="1:17" ht="15.5" x14ac:dyDescent="0.35">
      <c r="A4904"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4904" s="3" t="str">
        <f>HYPERLINK("https://edmondsonsupply.com/products/klein-tools-60161-professional-safety-glasses-clear-lens", "https://edmondsonsupply.com/products/klein-tools-60161-professional-safety-glasses-clear-lens")</f>
        <v>https://edmondsonsupply.com/products/klein-tools-60161-professional-safety-glasses-clear-lens</v>
      </c>
      <c r="C4904" t="s">
        <v>884</v>
      </c>
      <c r="D4904" t="s">
        <v>882</v>
      </c>
      <c r="E4904" s="3" t="str">
        <f>HYPERLINK("https://www.amazon.com/Klein-Tools-60539-Professional-Protective/dp/B0BLQ6F4MQ/ref=sr_1_9?keywords=Klein+Tools+60161+Professional+Safety+Glasses%2C+Clear+Lens&amp;qid=1695174304&amp;sr=8-9", "https://www.amazon.com/Klein-Tools-60539-Professional-Protective/dp/B0BLQ6F4MQ/ref=sr_1_9?keywords=Klein+Tools+60161+Professional+Safety+Glasses%2C+Clear+Lens&amp;qid=1695174304&amp;sr=8-9")</f>
        <v>https://www.amazon.com/Klein-Tools-60539-Professional-Protective/dp/B0BLQ6F4MQ/ref=sr_1_9?keywords=Klein+Tools+60161+Professional+Safety+Glasses%2C+Clear+Lens&amp;qid=1695174304&amp;sr=8-9</v>
      </c>
      <c r="F4904" t="s">
        <v>883</v>
      </c>
      <c r="G4904" t="e">
        <f ca="1">_xludf.IMAGE("https://edmondsonsupply.com/cdn/shop/products/60161.jpg?v=1633030845")</f>
        <v>#NAME?</v>
      </c>
      <c r="H4904" t="e">
        <f ca="1">_xludf.IMAGE("https://m.media-amazon.com/images/I/41z93jotzdL._AC_UL320_.jpg")</f>
        <v>#NAME?</v>
      </c>
      <c r="I4904" t="s">
        <v>834</v>
      </c>
      <c r="J4904">
        <v>29.99</v>
      </c>
      <c r="K4904" s="4">
        <v>1.3087</v>
      </c>
      <c r="L4904">
        <v>4.4000000000000004</v>
      </c>
      <c r="M4904">
        <v>11</v>
      </c>
      <c r="O4904" t="s">
        <v>25</v>
      </c>
      <c r="P4904" t="s">
        <v>835</v>
      </c>
      <c r="Q4904" t="s">
        <v>885</v>
      </c>
    </row>
    <row r="4905" spans="1:17" ht="15.5" x14ac:dyDescent="0.35">
      <c r="A4905" s="3" t="str">
        <f>HYPERLINK("https://edmondsonsupply.com/collections/electricians-tools/products/diablo-tools-dmapl4060-1-4-in-x-2-in-x-4-in-rebar-demon%E2%84%A2-sds-plus-4-cutter-full-carbide-head-hammer-bit", "https://edmondsonsupply.com/collections/electricians-tools/products/diablo-tools-dmapl4060-1-4-in-x-2-in-x-4-in-rebar-demon%E2%84%A2-sds-plus-4-cutter-full-carbide-head-hammer-bit")</f>
        <v>https://edmondsonsupply.com/collections/electricians-tools/products/diablo-tools-dmapl4060-1-4-in-x-2-in-x-4-in-rebar-demon%E2%84%A2-sds-plus-4-cutter-full-carbide-head-hammer-bit</v>
      </c>
      <c r="B4905" s="3" t="str">
        <f>HYPERLINK("https://edmondsonsupply.com/products/diablo-tools-dmapl4060-1-4-in-x-2-in-x-4-in-rebar-demon%e2%84%a2-sds-plus-4-cutter-full-carbide-head-hammer-bit", "https://edmondsonsupply.com/products/diablo-tools-dmapl4060-1-4-in-x-2-in-x-4-in-rebar-demon%e2%84%a2-sds-plus-4-cutter-full-carbide-head-hammer-bit")</f>
        <v>https://edmondsonsupply.com/products/diablo-tools-dmapl4060-1-4-in-x-2-in-x-4-in-rebar-demon%e2%84%a2-sds-plus-4-cutter-full-carbide-head-hammer-bit</v>
      </c>
      <c r="C4905" t="s">
        <v>5982</v>
      </c>
      <c r="D4905" t="s">
        <v>6575</v>
      </c>
      <c r="E4905" s="3" t="str">
        <f>HYPERLINK("https://www.amazon.com/Diablo-Freud-DMAPL4070-SDS-Plus-4-Cutter/dp/B089KVLDML/ref=sr_1_3?keywords=Diablo+Tools+DMAPL4060+1%2F4+in.+x+2+in.+x+4+in.+Rebar+Demon%E2%84%A2+SDS%E2%80%91Plus+4%E2%80%91Cutter+Full+Carbide+Head+Hammer+Bit&amp;qid=1695174225&amp;sr=8-3", "https://www.amazon.com/Diablo-Freud-DMAPL4070-SDS-Plus-4-Cutter/dp/B089KVLDML/ref=sr_1_3?keywords=Diablo+Tools+DMAPL4060+1%2F4+in.+x+2+in.+x+4+in.+Rebar+Demon%E2%84%A2+SDS%E2%80%91Plus+4%E2%80%91Cutter+Full+Carbide+Head+Hammer+Bit&amp;qid=1695174225&amp;sr=8-3")</f>
        <v>https://www.amazon.com/Diablo-Freud-DMAPL4070-SDS-Plus-4-Cutter/dp/B089KVLDML/ref=sr_1_3?keywords=Diablo+Tools+DMAPL4060+1%2F4+in.+x+2+in.+x+4+in.+Rebar+Demon%E2%84%A2+SDS%E2%80%91Plus+4%E2%80%91Cutter+Full+Carbide+Head+Hammer+Bit&amp;qid=1695174225&amp;sr=8-3</v>
      </c>
      <c r="F4905" t="s">
        <v>6576</v>
      </c>
      <c r="G4905" t="e">
        <f ca="1">_xludf.IMAGE("https://edmondsonsupply.com/cdn/shop/products/4060.webp?v=1647637028")</f>
        <v>#NAME?</v>
      </c>
      <c r="H4905" t="e">
        <f ca="1">_xludf.IMAGE("https://m.media-amazon.com/images/I/61fLLQz5xPL._AC_UL320_.jpg")</f>
        <v>#NAME?</v>
      </c>
      <c r="I4905" t="s">
        <v>5983</v>
      </c>
      <c r="J4905">
        <v>8.01</v>
      </c>
      <c r="K4905" s="4">
        <v>1.3084</v>
      </c>
      <c r="L4905">
        <v>4.4000000000000004</v>
      </c>
      <c r="M4905">
        <v>28</v>
      </c>
      <c r="O4905" t="s">
        <v>25</v>
      </c>
      <c r="P4905" t="s">
        <v>5984</v>
      </c>
      <c r="Q4905" t="s">
        <v>5985</v>
      </c>
    </row>
    <row r="4906" spans="1:17" ht="15.5" x14ac:dyDescent="0.35">
      <c r="A4906"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4906" s="3" t="str">
        <f>HYPERLINK("https://edmondsonsupply.com/products/klein-tools-94130-1000v-insulated-tool-kit-5-piece", "https://edmondsonsupply.com/products/klein-tools-94130-1000v-insulated-tool-kit-5-piece")</f>
        <v>https://edmondsonsupply.com/products/klein-tools-94130-1000v-insulated-tool-kit-5-piece</v>
      </c>
      <c r="C4906" t="s">
        <v>2221</v>
      </c>
      <c r="D4906" t="s">
        <v>2222</v>
      </c>
      <c r="E4906" s="3" t="str">
        <f>HYPERLINK("https://www.amazon.com/Insulated-9-Piece-Klein-Tools-33524/dp/B000MKIR9E/ref=sr_1_1?keywords=Klein+Tools+94130+1000V+Insulated+Tool+Kit%2C+5-Piece&amp;qid=1695173888&amp;sr=8-1", "https://www.amazon.com/Insulated-9-Piece-Klein-Tools-33524/dp/B000MKIR9E/ref=sr_1_1?keywords=Klein+Tools+94130+1000V+Insulated+Tool+Kit%2C+5-Piece&amp;qid=1695173888&amp;sr=8-1")</f>
        <v>https://www.amazon.com/Insulated-9-Piece-Klein-Tools-33524/dp/B000MKIR9E/ref=sr_1_1?keywords=Klein+Tools+94130+1000V+Insulated+Tool+Kit%2C+5-Piece&amp;qid=1695173888&amp;sr=8-1</v>
      </c>
      <c r="F4906" t="s">
        <v>2223</v>
      </c>
      <c r="G4906" t="e">
        <f ca="1">_xludf.IMAGE("https://edmondsonsupply.com/cdn/shop/products/94130.jpg?v=1633030386")</f>
        <v>#NAME?</v>
      </c>
      <c r="H4906" t="e">
        <f ca="1">_xludf.IMAGE("https://m.media-amazon.com/images/I/71+Db525CfL._AC_UL320_.jpg")</f>
        <v>#NAME?</v>
      </c>
      <c r="I4906" t="s">
        <v>2224</v>
      </c>
      <c r="J4906">
        <v>229.99</v>
      </c>
      <c r="K4906" s="4">
        <v>1.3001</v>
      </c>
      <c r="L4906">
        <v>4.4000000000000004</v>
      </c>
      <c r="M4906">
        <v>26</v>
      </c>
      <c r="O4906" t="s">
        <v>25</v>
      </c>
      <c r="P4906" t="s">
        <v>2225</v>
      </c>
      <c r="Q4906" t="s">
        <v>2226</v>
      </c>
    </row>
    <row r="4907" spans="1:17" ht="15.5" x14ac:dyDescent="0.35">
      <c r="A4907" s="3" t="str">
        <f>HYPERLINK("https://edmondsonsupply.com/collections/electricians-tools/products/diablo-tools-dmamm1010-1-8-in-x-2-in-x-3-in-multi-material-carbide-tipped-hammer-drill-bit", "https://edmondsonsupply.com/collections/electricians-tools/products/diablo-tools-dmamm1010-1-8-in-x-2-in-x-3-in-multi-material-carbide-tipped-hammer-drill-bit")</f>
        <v>https://edmondsonsupply.com/collections/electricians-tools/products/diablo-tools-dmamm1010-1-8-in-x-2-in-x-3-in-multi-material-carbide-tipped-hammer-drill-bit</v>
      </c>
      <c r="B4907" s="3" t="str">
        <f>HYPERLINK("https://edmondsonsupply.com/products/diablo-tools-dmamm1010-1-8-in-x-2-in-x-3-in-multi-material-carbide-tipped-hammer-drill-bit", "https://edmondsonsupply.com/products/diablo-tools-dmamm1010-1-8-in-x-2-in-x-3-in-multi-material-carbide-tipped-hammer-drill-bit")</f>
        <v>https://edmondsonsupply.com/products/diablo-tools-dmamm1010-1-8-in-x-2-in-x-3-in-multi-material-carbide-tipped-hammer-drill-bit</v>
      </c>
      <c r="C4907" t="s">
        <v>6577</v>
      </c>
      <c r="D4907" t="s">
        <v>6578</v>
      </c>
      <c r="E4907" s="3" t="str">
        <f>HYPERLINK("https://www.amazon.com/Diablo-DMAMM1120-Multi-Material-Carbide-Tipped/dp/B089LGQPBS/ref=sr_1_3?keywords=Diablo+Tools+DMAMM1010+1%2F8+in.+x+2+in.+x+3+in.+Multi-Material+Carbide+Tipped+Hammer+Drill+Bit&amp;qid=1695174242&amp;sr=8-3", "https://www.amazon.com/Diablo-DMAMM1120-Multi-Material-Carbide-Tipped/dp/B089LGQPBS/ref=sr_1_3?keywords=Diablo+Tools+DMAMM1010+1%2F8+in.+x+2+in.+x+3+in.+Multi-Material+Carbide+Tipped+Hammer+Drill+Bit&amp;qid=1695174242&amp;sr=8-3")</f>
        <v>https://www.amazon.com/Diablo-DMAMM1120-Multi-Material-Carbide-Tipped/dp/B089LGQPBS/ref=sr_1_3?keywords=Diablo+Tools+DMAMM1010+1%2F8+in.+x+2+in.+x+3+in.+Multi-Material+Carbide+Tipped+Hammer+Drill+Bit&amp;qid=1695174242&amp;sr=8-3</v>
      </c>
      <c r="F4907" t="s">
        <v>6579</v>
      </c>
      <c r="G4907" t="e">
        <f ca="1">_xludf.IMAGE("https://edmondsonsupply.com/cdn/shop/products/DMAMM1010_Main-Image20200702.png?v=1633031179")</f>
        <v>#NAME?</v>
      </c>
      <c r="H4907" t="e">
        <f ca="1">_xludf.IMAGE("https://m.media-amazon.com/images/I/61aXKxa+esL._AC_UL320_.jpg")</f>
        <v>#NAME?</v>
      </c>
      <c r="I4907" t="s">
        <v>6580</v>
      </c>
      <c r="J4907">
        <v>11.42</v>
      </c>
      <c r="K4907" s="4">
        <v>1.2978000000000001</v>
      </c>
      <c r="L4907">
        <v>3.8</v>
      </c>
      <c r="M4907">
        <v>2</v>
      </c>
      <c r="O4907" t="s">
        <v>25</v>
      </c>
      <c r="P4907" t="s">
        <v>138</v>
      </c>
      <c r="Q4907" t="s">
        <v>6581</v>
      </c>
    </row>
    <row r="4908" spans="1:17" ht="15.5" x14ac:dyDescent="0.35">
      <c r="A4908" s="3" t="str">
        <f>HYPERLINK("https://edmondsonsupply.com/collections/electricians-tools/products/milwaukee-49-90-2022-air-tip%E2%84%A2-dust-collector", "https://edmondsonsupply.com/collections/electricians-tools/products/milwaukee-49-90-2022-air-tip%E2%84%A2-dust-collector")</f>
        <v>https://edmondsonsupply.com/collections/electricians-tools/products/milwaukee-49-90-2022-air-tip%E2%84%A2-dust-collector</v>
      </c>
      <c r="B4908" s="3" t="str">
        <f>HYPERLINK("https://edmondsonsupply.com/products/milwaukee-49-90-2022-air-tip%e2%84%a2-dust-collector", "https://edmondsonsupply.com/products/milwaukee-49-90-2022-air-tip%e2%84%a2-dust-collector")</f>
        <v>https://edmondsonsupply.com/products/milwaukee-49-90-2022-air-tip%e2%84%a2-dust-collector</v>
      </c>
      <c r="C4908" t="s">
        <v>6582</v>
      </c>
      <c r="D4908" t="s">
        <v>6583</v>
      </c>
      <c r="E4908" s="3" t="str">
        <f>HYPERLINK("https://www.amazon.com/Compatible-Milwaukee-49-90-2022-Collector-Attachment/dp/B0BQ3PFPND/ref=sr_1_1?keywords=Milwaukee+49-90-2022+AIR-TIP%E2%84%A2+Dust+Collector&amp;qid=1695174091&amp;sr=8-1", "https://www.amazon.com/Compatible-Milwaukee-49-90-2022-Collector-Attachment/dp/B0BQ3PFPND/ref=sr_1_1?keywords=Milwaukee+49-90-2022+AIR-TIP%E2%84%A2+Dust+Collector&amp;qid=1695174091&amp;sr=8-1")</f>
        <v>https://www.amazon.com/Compatible-Milwaukee-49-90-2022-Collector-Attachment/dp/B0BQ3PFPND/ref=sr_1_1?keywords=Milwaukee+49-90-2022+AIR-TIP%E2%84%A2+Dust+Collector&amp;qid=1695174091&amp;sr=8-1</v>
      </c>
      <c r="F4908" t="s">
        <v>6584</v>
      </c>
      <c r="G4908" t="e">
        <f ca="1">_xludf.IMAGE("https://edmondsonsupply.com/cdn/shop/products/49-90-2022_2.webp?v=1675705092")</f>
        <v>#NAME?</v>
      </c>
      <c r="H4908" t="e">
        <f ca="1">_xludf.IMAGE("https://m.media-amazon.com/images/I/41vBnvsMxEL._AC_UL320_.jpg")</f>
        <v>#NAME?</v>
      </c>
      <c r="I4908" t="s">
        <v>1931</v>
      </c>
      <c r="J4908">
        <v>113.89</v>
      </c>
      <c r="K4908" s="4">
        <v>1.2783</v>
      </c>
      <c r="L4908">
        <v>3</v>
      </c>
      <c r="M4908">
        <v>1</v>
      </c>
      <c r="O4908" t="s">
        <v>25</v>
      </c>
      <c r="P4908" t="s">
        <v>6585</v>
      </c>
      <c r="Q4908" t="s">
        <v>6586</v>
      </c>
    </row>
    <row r="4909" spans="1:17" ht="15.5" x14ac:dyDescent="0.35">
      <c r="A4909"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4909"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4909" t="s">
        <v>6587</v>
      </c>
      <c r="D4909" t="s">
        <v>2996</v>
      </c>
      <c r="E4909" s="3" t="str">
        <f>HYPERLINK("https://www.amazon.com/Klein-Tools-NCVT-4IR-Non-Contact-Tester/dp/B0BD41QXCP/ref=sr_1_5?keywords=Klein+Tools+NCVT-2P+Dual+Range+Non-Contact+Voltage+Tester+12+-+1000V+AC&amp;qid=1695174301&amp;sr=8-5", "https://www.amazon.com/Klein-Tools-NCVT-4IR-Non-Contact-Tester/dp/B0BD41QXCP/ref=sr_1_5?keywords=Klein+Tools+NCVT-2P+Dual+Range+Non-Contact+Voltage+Tester+12+-+1000V+AC&amp;qid=1695174301&amp;sr=8-5")</f>
        <v>https://www.amazon.com/Klein-Tools-NCVT-4IR-Non-Contact-Tester/dp/B0BD41QXCP/ref=sr_1_5?keywords=Klein+Tools+NCVT-2P+Dual+Range+Non-Contact+Voltage+Tester+12+-+1000V+AC&amp;qid=1695174301&amp;sr=8-5</v>
      </c>
      <c r="F4909" t="s">
        <v>2997</v>
      </c>
      <c r="G4909" t="e">
        <f ca="1">_xludf.IMAGE("https://edmondsonsupply.com/cdn/shop/products/ncvt2p.jpg?v=1633030824")</f>
        <v>#NAME?</v>
      </c>
      <c r="H4909" t="e">
        <f ca="1">_xludf.IMAGE("https://m.media-amazon.com/images/I/418deU9NDfL._AC_UL320_.jpg")</f>
        <v>#NAME?</v>
      </c>
      <c r="I4909" t="s">
        <v>6588</v>
      </c>
      <c r="J4909">
        <v>63.65</v>
      </c>
      <c r="K4909" s="4">
        <v>1.2757000000000001</v>
      </c>
      <c r="L4909">
        <v>5</v>
      </c>
      <c r="M4909">
        <v>1</v>
      </c>
      <c r="O4909" t="s">
        <v>25</v>
      </c>
      <c r="P4909" t="s">
        <v>6589</v>
      </c>
      <c r="Q4909" t="s">
        <v>6590</v>
      </c>
    </row>
    <row r="4910" spans="1:17" ht="15.5" x14ac:dyDescent="0.35">
      <c r="A4910" s="3" t="str">
        <f>HYPERLINK("https://edmondsonsupply.com/collections/electricians-tools/products/klein-tools-85073ins-screwdriver-set-1000v-insulated-3-piece", "https://edmondsonsupply.com/collections/electricians-tools/products/klein-tools-85073ins-screwdriver-set-1000v-insulated-3-piece")</f>
        <v>https://edmondsonsupply.com/collections/electricians-tools/products/klein-tools-85073ins-screwdriver-set-1000v-insulated-3-piece</v>
      </c>
      <c r="B4910"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4910" t="s">
        <v>2244</v>
      </c>
      <c r="D4910" t="s">
        <v>2245</v>
      </c>
      <c r="E4910" s="3" t="str">
        <f>HYPERLINK("https://www.amazon.com/Klein-Tools-33736INS-Screwdriver-Magnetizer/dp/B09GPZPMTD/ref=sr_1_3?keywords=Klein+Tools+85073INS+Screwdriver+Set%2C+1000V+Insulated%2C+3-Piece&amp;qid=1695173857&amp;sr=8-3", "https://www.amazon.com/Klein-Tools-33736INS-Screwdriver-Magnetizer/dp/B09GPZPMTD/ref=sr_1_3?keywords=Klein+Tools+85073INS+Screwdriver+Set%2C+1000V+Insulated%2C+3-Piece&amp;qid=1695173857&amp;sr=8-3")</f>
        <v>https://www.amazon.com/Klein-Tools-33736INS-Screwdriver-Magnetizer/dp/B09GPZPMTD/ref=sr_1_3?keywords=Klein+Tools+85073INS+Screwdriver+Set%2C+1000V+Insulated%2C+3-Piece&amp;qid=1695173857&amp;sr=8-3</v>
      </c>
      <c r="F4910" t="s">
        <v>2246</v>
      </c>
      <c r="G4910" t="e">
        <f ca="1">_xludf.IMAGE("https://edmondsonsupply.com/cdn/shop/products/85073ins.jpg?v=1664890503")</f>
        <v>#NAME?</v>
      </c>
      <c r="H4910" t="e">
        <f ca="1">_xludf.IMAGE("https://m.media-amazon.com/images/I/51W2DUA3c7L._AC_UL320_.jpg")</f>
        <v>#NAME?</v>
      </c>
      <c r="I4910" t="s">
        <v>2247</v>
      </c>
      <c r="J4910">
        <v>49.99</v>
      </c>
      <c r="K4910" s="4">
        <v>1.2754000000000001</v>
      </c>
      <c r="L4910">
        <v>4.8</v>
      </c>
      <c r="M4910">
        <v>419</v>
      </c>
      <c r="O4910" t="s">
        <v>25</v>
      </c>
      <c r="P4910" t="s">
        <v>2158</v>
      </c>
      <c r="Q4910" t="s">
        <v>2248</v>
      </c>
    </row>
    <row r="4911" spans="1:17" ht="15.5" x14ac:dyDescent="0.35">
      <c r="A4911"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4911"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4911" t="s">
        <v>6051</v>
      </c>
      <c r="D4911" t="s">
        <v>6591</v>
      </c>
      <c r="E4911" s="3" t="str">
        <f>HYPERLINK("https://www.amazon.com/Klein-Tools-66078-Impact-Adapter/dp/B0B33T15XS/ref=sr_1_7?keywords=Klein+Tools+66079+Flip+Impact+Socket+Adapter%2C+Small%2C+1%2F4+to+1%2F4-Inch&amp;qid=1695173882&amp;sr=8-7", "https://www.amazon.com/Klein-Tools-66078-Impact-Adapter/dp/B0B33T15XS/ref=sr_1_7?keywords=Klein+Tools+66079+Flip+Impact+Socket+Adapter%2C+Small%2C+1%2F4+to+1%2F4-Inch&amp;qid=1695173882&amp;sr=8-7")</f>
        <v>https://www.amazon.com/Klein-Tools-66078-Impact-Adapter/dp/B0B33T15XS/ref=sr_1_7?keywords=Klein+Tools+66079+Flip+Impact+Socket+Adapter%2C+Small%2C+1%2F4+to+1%2F4-Inch&amp;qid=1695173882&amp;sr=8-7</v>
      </c>
      <c r="F4911" t="s">
        <v>6592</v>
      </c>
      <c r="G4911" t="e">
        <f ca="1">_xludf.IMAGE("https://edmondsonsupply.com/cdn/shop/products/66079.jpg?v=1669735923")</f>
        <v>#NAME?</v>
      </c>
      <c r="H4911" t="e">
        <f ca="1">_xludf.IMAGE("https://m.media-amazon.com/images/I/51cFYcsM3kL._AC_UL320_.jpg")</f>
        <v>#NAME?</v>
      </c>
      <c r="I4911" t="s">
        <v>6052</v>
      </c>
      <c r="J4911">
        <v>15.58</v>
      </c>
      <c r="K4911" s="4">
        <v>1.2710999999999999</v>
      </c>
      <c r="L4911">
        <v>5</v>
      </c>
      <c r="M4911">
        <v>1</v>
      </c>
      <c r="O4911" t="s">
        <v>25</v>
      </c>
      <c r="P4911" t="s">
        <v>6053</v>
      </c>
      <c r="Q4911" t="s">
        <v>6054</v>
      </c>
    </row>
    <row r="4912" spans="1:17" ht="15.5" x14ac:dyDescent="0.35">
      <c r="A4912"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4912" s="3" t="str">
        <f>HYPERLINK("https://edmondsonsupply.com/products/klein-tools-69381-heavy-duty-alligator-clip-test-leads-3-foot", "https://edmondsonsupply.com/products/klein-tools-69381-heavy-duty-alligator-clip-test-leads-3-foot")</f>
        <v>https://edmondsonsupply.com/products/klein-tools-69381-heavy-duty-alligator-clip-test-leads-3-foot</v>
      </c>
      <c r="C4912" t="s">
        <v>6089</v>
      </c>
      <c r="D4912" t="s">
        <v>2828</v>
      </c>
      <c r="E4912" s="3" t="str">
        <f>HYPERLINK("https://www.amazon.com/Klein-Tools-Replacement-Alligator-Heavy-Duty/dp/B0C3B9WXP6/ref=sr_1_3?keywords=Klein+Tools+69381+Heavy-Duty+Alligator+Clip+Test+Leads%2C+3-Foot&amp;qid=1695174138&amp;sr=8-3", "https://www.amazon.com/Klein-Tools-Replacement-Alligator-Heavy-Duty/dp/B0C3B9WXP6/ref=sr_1_3?keywords=Klein+Tools+69381+Heavy-Duty+Alligator+Clip+Test+Leads%2C+3-Foot&amp;qid=1695174138&amp;sr=8-3")</f>
        <v>https://www.amazon.com/Klein-Tools-Replacement-Alligator-Heavy-Duty/dp/B0C3B9WXP6/ref=sr_1_3?keywords=Klein+Tools+69381+Heavy-Duty+Alligator+Clip+Test+Leads%2C+3-Foot&amp;qid=1695174138&amp;sr=8-3</v>
      </c>
      <c r="F4912" t="s">
        <v>2829</v>
      </c>
      <c r="G4912" t="e">
        <f ca="1">_xludf.IMAGE("https://edmondsonsupply.com/cdn/shop/products/69381_photo.jpg?v=1666889006")</f>
        <v>#NAME?</v>
      </c>
      <c r="H4912" t="e">
        <f ca="1">_xludf.IMAGE("https://m.media-amazon.com/images/I/51n7wUjxshL._AC_UY218_.jpg")</f>
        <v>#NAME?</v>
      </c>
      <c r="I4912" t="s">
        <v>276</v>
      </c>
      <c r="J4912">
        <v>33.96</v>
      </c>
      <c r="K4912" s="4">
        <v>1.2655000000000001</v>
      </c>
      <c r="L4912">
        <v>4.5</v>
      </c>
      <c r="M4912">
        <v>10</v>
      </c>
      <c r="O4912" t="s">
        <v>25</v>
      </c>
      <c r="P4912" t="s">
        <v>277</v>
      </c>
      <c r="Q4912" t="s">
        <v>6092</v>
      </c>
    </row>
    <row r="4913" spans="1:17" ht="15.5" x14ac:dyDescent="0.35">
      <c r="A4913"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4913" s="3" t="str">
        <f>HYPERLINK("https://edmondsonsupply.com/products/klein-tools-11046-wire-stripper-cutter-16-26-awg-stranded", "https://edmondsonsupply.com/products/klein-tools-11046-wire-stripper-cutter-16-26-awg-stranded")</f>
        <v>https://edmondsonsupply.com/products/klein-tools-11046-wire-stripper-cutter-16-26-awg-stranded</v>
      </c>
      <c r="C4913" t="s">
        <v>2278</v>
      </c>
      <c r="D4913" t="s">
        <v>2279</v>
      </c>
      <c r="E4913" s="3" t="str">
        <f>HYPERLINK("https://www.amazon.com/Klein-Tools-Stripper-Cutter-Stranded/dp/B0BNL42TPG/ref=sr_1_4?keywords=Klein+Tools+11046+Wire+Stripper%2FCutter+16-26+AWG+Stranded&amp;qid=1695173951&amp;sr=8-4", "https://www.amazon.com/Klein-Tools-Stripper-Cutter-Stranded/dp/B0BNL42TPG/ref=sr_1_4?keywords=Klein+Tools+11046+Wire+Stripper%2FCutter+16-26+AWG+Stranded&amp;qid=1695173951&amp;sr=8-4")</f>
        <v>https://www.amazon.com/Klein-Tools-Stripper-Cutter-Stranded/dp/B0BNL42TPG/ref=sr_1_4?keywords=Klein+Tools+11046+Wire+Stripper%2FCutter+16-26+AWG+Stranded&amp;qid=1695173951&amp;sr=8-4</v>
      </c>
      <c r="F4913" t="s">
        <v>2280</v>
      </c>
      <c r="G4913" t="e">
        <f ca="1">_xludf.IMAGE("https://edmondsonsupply.com/cdn/shop/products/11046.jpg?v=1587147965")</f>
        <v>#NAME?</v>
      </c>
      <c r="H4913" t="e">
        <f ca="1">_xludf.IMAGE("https://m.media-amazon.com/images/I/41Mnz0ZqGoL._AC_UL320_.jpg")</f>
        <v>#NAME?</v>
      </c>
      <c r="I4913" t="s">
        <v>143</v>
      </c>
      <c r="J4913">
        <v>35.96</v>
      </c>
      <c r="K4913" s="4">
        <v>1.2517</v>
      </c>
      <c r="L4913">
        <v>4.7</v>
      </c>
      <c r="M4913">
        <v>4</v>
      </c>
      <c r="O4913" t="s">
        <v>25</v>
      </c>
      <c r="P4913" t="s">
        <v>2281</v>
      </c>
      <c r="Q4913" t="s">
        <v>2282</v>
      </c>
    </row>
    <row r="4914" spans="1:17" ht="15.5" x14ac:dyDescent="0.35">
      <c r="A4914"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4914" s="3" t="str">
        <f>HYPERLINK("https://edmondsonsupply.com/products/klein-tools-65200-electricians-mini-ratchet-set-5-piece", "https://edmondsonsupply.com/products/klein-tools-65200-electricians-mini-ratchet-set-5-piece")</f>
        <v>https://edmondsonsupply.com/products/klein-tools-65200-electricians-mini-ratchet-set-5-piece</v>
      </c>
      <c r="C4914" t="s">
        <v>140</v>
      </c>
      <c r="D4914" t="s">
        <v>180</v>
      </c>
      <c r="E4914" s="3" t="str">
        <f>HYPERLINK("https://www.amazon.com/Klein-Tools-Ratchet-5-Piece-Impact/dp/B0BNL31N8K/ref=sr_1_2?keywords=Klein+Tools+65200+Slim-Profile+Mini+Ratchet+Set%2C+5-Piece&amp;qid=1695173845&amp;sr=8-2", "https://www.amazon.com/Klein-Tools-Ratchet-5-Piece-Impact/dp/B0BNL31N8K/ref=sr_1_2?keywords=Klein+Tools+65200+Slim-Profile+Mini+Ratchet+Set%2C+5-Piece&amp;qid=1695173845&amp;sr=8-2")</f>
        <v>https://www.amazon.com/Klein-Tools-Ratchet-5-Piece-Impact/dp/B0BNL31N8K/ref=sr_1_2?keywords=Klein+Tools+65200+Slim-Profile+Mini+Ratchet+Set%2C+5-Piece&amp;qid=1695173845&amp;sr=8-2</v>
      </c>
      <c r="F4914" t="s">
        <v>181</v>
      </c>
      <c r="G4914" t="e">
        <f ca="1">_xludf.IMAGE("https://edmondsonsupply.com/cdn/shop/products/65200.jpg?v=1633030630")</f>
        <v>#NAME?</v>
      </c>
      <c r="H4914" t="e">
        <f ca="1">_xludf.IMAGE("https://m.media-amazon.com/images/I/41JD1cfUw6L._AC_UL320_.jpg")</f>
        <v>#NAME?</v>
      </c>
      <c r="I4914" t="s">
        <v>143</v>
      </c>
      <c r="J4914">
        <v>35.950000000000003</v>
      </c>
      <c r="K4914" s="4">
        <v>1.2511000000000001</v>
      </c>
      <c r="L4914">
        <v>4.9000000000000004</v>
      </c>
      <c r="M4914">
        <v>10</v>
      </c>
      <c r="O4914" t="s">
        <v>25</v>
      </c>
      <c r="P4914" t="s">
        <v>144</v>
      </c>
      <c r="Q4914" t="s">
        <v>145</v>
      </c>
    </row>
    <row r="4915" spans="1:17" ht="15.5" x14ac:dyDescent="0.35">
      <c r="A4915"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4915" s="3" t="str">
        <f>HYPERLINK("https://edmondsonsupply.com/products/klein-tools-32314-14-in-1-precision-screwdriver-nut-driver", "https://edmondsonsupply.com/products/klein-tools-32314-14-in-1-precision-screwdriver-nut-driver")</f>
        <v>https://edmondsonsupply.com/products/klein-tools-32314-14-in-1-precision-screwdriver-nut-driver</v>
      </c>
      <c r="C4915" t="s">
        <v>1999</v>
      </c>
      <c r="D4915" t="s">
        <v>2283</v>
      </c>
      <c r="E4915" s="3" t="str">
        <f>HYPERLINK("https://www.amazon.com/Klein-Tools-Screwdriver-Electronic-Tamperproof/dp/B0BC81C7SH/ref=sr_1_2?keywords=Klein+Tools+32314+14-in-1+Precision+Screwdriver%2F+Nut+Driver&amp;qid=1695173878&amp;sr=8-2", "https://www.amazon.com/Klein-Tools-Screwdriver-Electronic-Tamperproof/dp/B0BC81C7SH/ref=sr_1_2?keywords=Klein+Tools+32314+14-in-1+Precision+Screwdriver%2F+Nut+Driver&amp;qid=1695173878&amp;sr=8-2")</f>
        <v>https://www.amazon.com/Klein-Tools-Screwdriver-Electronic-Tamperproof/dp/B0BC81C7SH/ref=sr_1_2?keywords=Klein+Tools+32314+14-in-1+Precision+Screwdriver%2F+Nut+Driver&amp;qid=1695173878&amp;sr=8-2</v>
      </c>
      <c r="F4915" t="s">
        <v>2284</v>
      </c>
      <c r="G4915" t="e">
        <f ca="1">_xludf.IMAGE("https://edmondsonsupply.com/cdn/shop/products/32314.jpg?v=1646593726")</f>
        <v>#NAME?</v>
      </c>
      <c r="H4915" t="e">
        <f ca="1">_xludf.IMAGE("https://m.media-amazon.com/images/I/412Eu5ze4AL._AC_UL320_.jpg")</f>
        <v>#NAME?</v>
      </c>
      <c r="I4915" t="s">
        <v>143</v>
      </c>
      <c r="J4915">
        <v>35.94</v>
      </c>
      <c r="K4915" s="4">
        <v>1.2504999999999999</v>
      </c>
      <c r="L4915">
        <v>5</v>
      </c>
      <c r="M4915">
        <v>2</v>
      </c>
      <c r="O4915" t="s">
        <v>25</v>
      </c>
      <c r="P4915" t="s">
        <v>2002</v>
      </c>
      <c r="Q4915" t="s">
        <v>2003</v>
      </c>
    </row>
    <row r="4916" spans="1:17" ht="15.5" x14ac:dyDescent="0.35">
      <c r="A4916"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4916" s="3" t="str">
        <f>HYPERLINK("https://edmondsonsupply.com/products/klein-tools-rt310-afci-gfci-outlet-tester", "https://edmondsonsupply.com/products/klein-tools-rt310-afci-gfci-outlet-tester")</f>
        <v>https://edmondsonsupply.com/products/klein-tools-rt310-afci-gfci-outlet-tester</v>
      </c>
      <c r="C4916" t="s">
        <v>6210</v>
      </c>
      <c r="D4916" t="s">
        <v>6593</v>
      </c>
      <c r="E4916" s="3" t="str">
        <f>HYPERLINK("https://www.amazon.com/Klein-Tools-American-Electrical-Receptacles/dp/B08MFYB28G/ref=sr_1_6?keywords=Klein+Tools+RT310+AFCI+%2F+GFCI+Outlet+Tester&amp;qid=1695173970&amp;sr=8-6", "https://www.amazon.com/Klein-Tools-American-Electrical-Receptacles/dp/B08MFYB28G/ref=sr_1_6?keywords=Klein+Tools+RT310+AFCI+%2F+GFCI+Outlet+Tester&amp;qid=1695173970&amp;sr=8-6")</f>
        <v>https://www.amazon.com/Klein-Tools-American-Electrical-Receptacles/dp/B08MFYB28G/ref=sr_1_6?keywords=Klein+Tools+RT310+AFCI+%2F+GFCI+Outlet+Tester&amp;qid=1695173970&amp;sr=8-6</v>
      </c>
      <c r="F4916" t="s">
        <v>6594</v>
      </c>
      <c r="G4916" t="e">
        <f ca="1">_xludf.IMAGE("https://edmondsonsupply.com/cdn/shop/products/rt310.jpg?v=1587148552")</f>
        <v>#NAME?</v>
      </c>
      <c r="H4916" t="e">
        <f ca="1">_xludf.IMAGE("https://m.media-amazon.com/images/I/5196xTz0FYL._AC_UL320_.jpg")</f>
        <v>#NAME?</v>
      </c>
      <c r="I4916" t="s">
        <v>246</v>
      </c>
      <c r="J4916">
        <v>89.94</v>
      </c>
      <c r="K4916" s="4">
        <v>1.2502</v>
      </c>
      <c r="L4916">
        <v>4.5</v>
      </c>
      <c r="M4916">
        <v>48</v>
      </c>
      <c r="O4916" t="s">
        <v>25</v>
      </c>
      <c r="P4916" t="s">
        <v>6213</v>
      </c>
      <c r="Q4916" t="s">
        <v>6214</v>
      </c>
    </row>
    <row r="4917" spans="1:17" ht="15.5" x14ac:dyDescent="0.35">
      <c r="A4917"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4917"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4917" t="s">
        <v>6595</v>
      </c>
      <c r="D4917" t="s">
        <v>6501</v>
      </c>
      <c r="E4917" s="3" t="str">
        <f>HYPERLINK("https://www.amazon.com/Klein-Tools-VDV500-820-VDV526-200-Connections/dp/B09T6ZKDCM/ref=sr_1_8?keywords=Klein+Tools+VDV526-052+Cable+Tester%2C+LAN+Scout%C2%AE+Jr.+Continuity+Tester&amp;qid=1695174034&amp;sr=8-8", "https://www.amazon.com/Klein-Tools-VDV500-820-VDV526-200-Connections/dp/B09T6ZKDCM/ref=sr_1_8?keywords=Klein+Tools+VDV526-052+Cable+Tester%2C+LAN+Scout%C2%AE+Jr.+Continuity+Tester&amp;qid=1695174034&amp;sr=8-8")</f>
        <v>https://www.amazon.com/Klein-Tools-VDV500-820-VDV526-200-Connections/dp/B09T6ZKDCM/ref=sr_1_8?keywords=Klein+Tools+VDV526-052+Cable+Tester%2C+LAN+Scout%C2%AE+Jr.+Continuity+Tester&amp;qid=1695174034&amp;sr=8-8</v>
      </c>
      <c r="F4917" t="s">
        <v>6502</v>
      </c>
      <c r="G4917" t="e">
        <f ca="1">_xludf.IMAGE("https://edmondsonsupply.com/cdn/shop/files/vdv526-052.jpg?v=1685032494")</f>
        <v>#NAME?</v>
      </c>
      <c r="H4917" t="e">
        <f ca="1">_xludf.IMAGE("https://m.media-amazon.com/images/I/51X1EYSldCL._AC_UY218_.jpg")</f>
        <v>#NAME?</v>
      </c>
      <c r="I4917" t="s">
        <v>5197</v>
      </c>
      <c r="J4917">
        <v>134.94</v>
      </c>
      <c r="K4917" s="4">
        <v>1.2501</v>
      </c>
      <c r="L4917">
        <v>4.8</v>
      </c>
      <c r="M4917">
        <v>8</v>
      </c>
      <c r="O4917" t="s">
        <v>25</v>
      </c>
      <c r="P4917" t="s">
        <v>6596</v>
      </c>
      <c r="Q4917" t="s">
        <v>6597</v>
      </c>
    </row>
    <row r="4918" spans="1:17" ht="15.5" x14ac:dyDescent="0.35">
      <c r="A4918"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4918" s="3" t="str">
        <f>HYPERLINK("https://edmondsonsupply.com/products/klein-tools-11053-klein-kurve%c2%ae-wire-stripper-cutter", "https://edmondsonsupply.com/products/klein-tools-11053-klein-kurve%c2%ae-wire-stripper-cutter")</f>
        <v>https://edmondsonsupply.com/products/klein-tools-11053-klein-kurve%c2%ae-wire-stripper-cutter</v>
      </c>
      <c r="C4918" t="s">
        <v>2285</v>
      </c>
      <c r="D4918" t="s">
        <v>2286</v>
      </c>
      <c r="E4918" s="3" t="str">
        <f>HYPERLINK("https://www.amazon.com/Insulated-Klein-Kurve-Klein-Tools-11055-INS/dp/B000MKIPPU/ref=sr_1_3?keywords=Klein+Tools+11053+Klein-Kurve%C2%AE+Wire+Stripper%2FCutter&amp;qid=1695173869&amp;sr=8-3", "https://www.amazon.com/Insulated-Klein-Kurve-Klein-Tools-11055-INS/dp/B000MKIPPU/ref=sr_1_3?keywords=Klein+Tools+11053+Klein-Kurve%C2%AE+Wire+Stripper%2FCutter&amp;qid=1695173869&amp;sr=8-3")</f>
        <v>https://www.amazon.com/Insulated-Klein-Kurve-Klein-Tools-11055-INS/dp/B000MKIPPU/ref=sr_1_3?keywords=Klein+Tools+11053+Klein-Kurve%C2%AE+Wire+Stripper%2FCutter&amp;qid=1695173869&amp;sr=8-3</v>
      </c>
      <c r="F4918" t="s">
        <v>2287</v>
      </c>
      <c r="G4918" t="e">
        <f ca="1">_xludf.IMAGE("https://edmondsonsupply.com/cdn/shop/products/11053.jpg?v=1633030511")</f>
        <v>#NAME?</v>
      </c>
      <c r="H4918" t="e">
        <f ca="1">_xludf.IMAGE("https://m.media-amazon.com/images/I/51U7ZuALPYL._AC_UL320_.jpg")</f>
        <v>#NAME?</v>
      </c>
      <c r="I4918" t="s">
        <v>2288</v>
      </c>
      <c r="J4918">
        <v>47.07</v>
      </c>
      <c r="K4918" s="4">
        <v>1.2445999999999999</v>
      </c>
      <c r="L4918">
        <v>4.0999999999999996</v>
      </c>
      <c r="M4918">
        <v>17</v>
      </c>
      <c r="O4918" t="s">
        <v>25</v>
      </c>
      <c r="P4918" t="s">
        <v>2289</v>
      </c>
      <c r="Q4918" t="s">
        <v>2290</v>
      </c>
    </row>
    <row r="4919" spans="1:17" ht="15.5" x14ac:dyDescent="0.35">
      <c r="A4919" s="3" t="str">
        <f>HYPERLINK("https://edmondsonsupply.com/collections/electricians-tools/products/tajima-lcb-65-20-rock-hard-blade%E2%84%A2-h-utility-knife-blades-7-point-20-blade-hard-pack", "https://edmondsonsupply.com/collections/electricians-tools/products/tajima-lcb-65-20-rock-hard-blade%E2%84%A2-h-utility-knife-blades-7-point-20-blade-hard-pack")</f>
        <v>https://edmondsonsupply.com/collections/electricians-tools/products/tajima-lcb-65-20-rock-hard-blade%E2%84%A2-h-utility-knife-blades-7-point-20-blade-hard-pack</v>
      </c>
      <c r="B4919" s="3" t="str">
        <f>HYPERLINK("https://edmondsonsupply.com/products/tajima-lcb-65-20-rock-hard-blade%e2%84%a2-h-utility-knife-blades-7-point-20-blade-hard-pack", "https://edmondsonsupply.com/products/tajima-lcb-65-20-rock-hard-blade%e2%84%a2-h-utility-knife-blades-7-point-20-blade-hard-pack")</f>
        <v>https://edmondsonsupply.com/products/tajima-lcb-65-20-rock-hard-blade%e2%84%a2-h-utility-knife-blades-7-point-20-blade-hard-pack</v>
      </c>
      <c r="C4919" t="s">
        <v>2364</v>
      </c>
      <c r="D4919" t="s">
        <v>2365</v>
      </c>
      <c r="E4919" s="3" t="str">
        <f>HYPERLINK("https://www.amazon.com/Tajima-LCB-65-20-Replacement-Snap-Blades-Aluminist/dp/B0757V77QS/ref=sr_1_1?keywords=Tajima+LCB-65-20+Rock+Hard+Blade%E2%84%A2+H+Utility+Knife+Blades%2C+7-Point%2C+20-Blade+Hard+Pack&amp;qid=1695173916&amp;sr=8-1", "https://www.amazon.com/Tajima-LCB-65-20-Replacement-Snap-Blades-Aluminist/dp/B0757V77QS/ref=sr_1_1?keywords=Tajima+LCB-65-20+Rock+Hard+Blade%E2%84%A2+H+Utility+Knife+Blades%2C+7-Point%2C+20-Blade+Hard+Pack&amp;qid=1695173916&amp;sr=8-1")</f>
        <v>https://www.amazon.com/Tajima-LCB-65-20-Replacement-Snap-Blades-Aluminist/dp/B0757V77QS/ref=sr_1_1?keywords=Tajima+LCB-65-20+Rock+Hard+Blade%E2%84%A2+H+Utility+Knife+Blades%2C+7-Point%2C+20-Blade+Hard+Pack&amp;qid=1695173916&amp;sr=8-1</v>
      </c>
      <c r="F4919" t="s">
        <v>2366</v>
      </c>
      <c r="G4919" t="e">
        <f ca="1">_xludf.IMAGE("https://edmondsonsupply.com/cdn/shop/products/LCB-65-20.jpg?v=1633031161")</f>
        <v>#NAME?</v>
      </c>
      <c r="H4919" t="e">
        <f ca="1">_xludf.IMAGE("https://m.media-amazon.com/images/I/41iB2Ns9RDL._AC_UL320_.jpg")</f>
        <v>#NAME?</v>
      </c>
      <c r="I4919" t="s">
        <v>6598</v>
      </c>
      <c r="J4919">
        <v>53.9</v>
      </c>
      <c r="K4919" s="4">
        <v>1.2430000000000001</v>
      </c>
      <c r="L4919">
        <v>4.2</v>
      </c>
      <c r="M4919">
        <v>14</v>
      </c>
      <c r="O4919" t="s">
        <v>25</v>
      </c>
      <c r="P4919" t="s">
        <v>1786</v>
      </c>
      <c r="Q4919" t="s">
        <v>2367</v>
      </c>
    </row>
    <row r="4920" spans="1:17" ht="15.5" x14ac:dyDescent="0.35">
      <c r="A4920" s="3" t="str">
        <f>HYPERLINK("https://edmondsonsupply.com/collections/electricians-tools/products/klein-5416tfr", "https://edmondsonsupply.com/collections/electricians-tools/products/klein-5416tfr")</f>
        <v>https://edmondsonsupply.com/collections/electricians-tools/products/klein-5416tfr</v>
      </c>
      <c r="B4920" s="3" t="str">
        <f>HYPERLINK("https://edmondsonsupply.com/products/klein-5416tfr", "https://edmondsonsupply.com/products/klein-5416tfr")</f>
        <v>https://edmondsonsupply.com/products/klein-5416tfr</v>
      </c>
      <c r="C4920" t="s">
        <v>5986</v>
      </c>
      <c r="D4920" t="s">
        <v>6599</v>
      </c>
      <c r="E4920" s="3" t="str">
        <f>HYPERLINK("https://www.amazon.com/Klein-Tools-Resistant-Reinforced-Flame-Resistant/dp/B0BFXQNQMY/ref=sr_1_3?keywords=Klein+Tools+5416TFR+Tool+Bag%2C+Flame+Resistant+Bolt+Bag%2C+No.+4+Canvas%2C+5+x+10+x+9-Inch&amp;qid=1695173952&amp;sr=8-3", "https://www.amazon.com/Klein-Tools-Resistant-Reinforced-Flame-Resistant/dp/B0BFXQNQMY/ref=sr_1_3?keywords=Klein+Tools+5416TFR+Tool+Bag%2C+Flame+Resistant+Bolt+Bag%2C+No.+4+Canvas%2C+5+x+10+x+9-Inch&amp;qid=1695173952&amp;sr=8-3")</f>
        <v>https://www.amazon.com/Klein-Tools-Resistant-Reinforced-Flame-Resistant/dp/B0BFXQNQMY/ref=sr_1_3?keywords=Klein+Tools+5416TFR+Tool+Bag%2C+Flame+Resistant+Bolt+Bag%2C+No.+4+Canvas%2C+5+x+10+x+9-Inch&amp;qid=1695173952&amp;sr=8-3</v>
      </c>
      <c r="F4920" t="s">
        <v>6600</v>
      </c>
      <c r="G4920" t="e">
        <f ca="1">_xludf.IMAGE("https://edmondsonsupply.com/cdn/shop/products/5416tfr.jpg?v=1587149359")</f>
        <v>#NAME?</v>
      </c>
      <c r="H4920" t="e">
        <f ca="1">_xludf.IMAGE("https://m.media-amazon.com/images/I/51j4R+keFlL._AC_UL320_.jpg")</f>
        <v>#NAME?</v>
      </c>
      <c r="I4920" t="s">
        <v>577</v>
      </c>
      <c r="J4920">
        <v>44.43</v>
      </c>
      <c r="K4920" s="4">
        <v>1.2225999999999999</v>
      </c>
      <c r="L4920">
        <v>5</v>
      </c>
      <c r="M4920">
        <v>2</v>
      </c>
      <c r="O4920" t="s">
        <v>25</v>
      </c>
      <c r="P4920" t="s">
        <v>5989</v>
      </c>
      <c r="Q4920" t="s">
        <v>5990</v>
      </c>
    </row>
    <row r="4921" spans="1:17" ht="15.5" x14ac:dyDescent="0.35">
      <c r="A4921" s="3" t="str">
        <f>HYPERLINK("https://edmondsonsupply.com/collections/electricians-tools/products/klein-tools-jth68m-8pc-6-metric-journeyman-t-handle-set-with-stand", "https://edmondsonsupply.com/collections/electricians-tools/products/klein-tools-jth68m-8pc-6-metric-journeyman-t-handle-set-with-stand")</f>
        <v>https://edmondsonsupply.com/collections/electricians-tools/products/klein-tools-jth68m-8pc-6-metric-journeyman-t-handle-set-with-stand</v>
      </c>
      <c r="B4921" s="3" t="str">
        <f>HYPERLINK("https://edmondsonsupply.com/products/klein-tools-jth68m-8pc-6-metric-journeyman-t-handle-set-with-stand", "https://edmondsonsupply.com/products/klein-tools-jth68m-8pc-6-metric-journeyman-t-handle-set-with-stand")</f>
        <v>https://edmondsonsupply.com/products/klein-tools-jth68m-8pc-6-metric-journeyman-t-handle-set-with-stand</v>
      </c>
      <c r="C4921" t="s">
        <v>2298</v>
      </c>
      <c r="D4921" t="s">
        <v>2299</v>
      </c>
      <c r="E4921" s="3" t="str">
        <f>HYPERLINK("https://www.amazon.com/T-Handle-8-Piece-Klein-Tools-JTH68MB/dp/B004DB8GSK/ref=sr_1_1?keywords=Klein+Tools+JTH68M+Hex+Key+Set%2C+Metric%2C+Journeyman%E2%84%A2+T-Handle%2C+6-Inch+with+Stand%2C+8-Piece&amp;qid=1695173855&amp;sr=8-1", "https://www.amazon.com/T-Handle-8-Piece-Klein-Tools-JTH68MB/dp/B004DB8GSK/ref=sr_1_1?keywords=Klein+Tools+JTH68M+Hex+Key+Set%2C+Metric%2C+Journeyman%E2%84%A2+T-Handle%2C+6-Inch+with+Stand%2C+8-Piece&amp;qid=1695173855&amp;sr=8-1")</f>
        <v>https://www.amazon.com/T-Handle-8-Piece-Klein-Tools-JTH68MB/dp/B004DB8GSK/ref=sr_1_1?keywords=Klein+Tools+JTH68M+Hex+Key+Set%2C+Metric%2C+Journeyman%E2%84%A2+T-Handle%2C+6-Inch+with+Stand%2C+8-Piece&amp;qid=1695173855&amp;sr=8-1</v>
      </c>
      <c r="F4921" t="s">
        <v>2300</v>
      </c>
      <c r="G4921" t="e">
        <f ca="1">_xludf.IMAGE("https://edmondsonsupply.com/cdn/shop/products/jth68m.jpg?v=1587148489")</f>
        <v>#NAME?</v>
      </c>
      <c r="H4921" t="e">
        <f ca="1">_xludf.IMAGE("https://m.media-amazon.com/images/I/61XP-1Qh3UL._AC_UL320_.jpg")</f>
        <v>#NAME?</v>
      </c>
      <c r="I4921" t="s">
        <v>198</v>
      </c>
      <c r="J4921">
        <v>88.87</v>
      </c>
      <c r="K4921" s="4">
        <v>1.2222999999999999</v>
      </c>
      <c r="L4921">
        <v>4.5999999999999996</v>
      </c>
      <c r="M4921">
        <v>426</v>
      </c>
      <c r="O4921" t="s">
        <v>25</v>
      </c>
      <c r="P4921" t="s">
        <v>1310</v>
      </c>
      <c r="Q4921" t="s">
        <v>2301</v>
      </c>
    </row>
    <row r="4922" spans="1:17" ht="15.5" x14ac:dyDescent="0.35">
      <c r="A4922" s="3" t="str">
        <f>HYPERLINK("https://edmondsonsupply.com/collections/electricians-tools/products/klein-tools-51607-aluminum-conduit-bender-full-assembly-3-4-inch-emt-with-angle-setter%E2%84%A2", "https://edmondsonsupply.com/collections/electricians-tools/products/klein-tools-51607-aluminum-conduit-bender-full-assembly-3-4-inch-emt-with-angle-setter%E2%84%A2")</f>
        <v>https://edmondsonsupply.com/collections/electricians-tools/products/klein-tools-51607-aluminum-conduit-bender-full-assembly-3-4-inch-emt-with-angle-setter%E2%84%A2</v>
      </c>
      <c r="B4922" s="3" t="str">
        <f>HYPERLINK("https://edmondsonsupply.com/products/klein-tools-51607-aluminum-conduit-bender-full-assembly-3-4-inch-emt-with-angle-setter%e2%84%a2", "https://edmondsonsupply.com/products/klein-tools-51607-aluminum-conduit-bender-full-assembly-3-4-inch-emt-with-angle-setter%e2%84%a2")</f>
        <v>https://edmondsonsupply.com/products/klein-tools-51607-aluminum-conduit-bender-full-assembly-3-4-inch-emt-with-angle-setter%e2%84%a2</v>
      </c>
      <c r="C4922" t="s">
        <v>6601</v>
      </c>
      <c r="D4922" t="s">
        <v>6602</v>
      </c>
      <c r="E4922" s="3" t="str">
        <f>HYPERLINK("https://www.amazon.com/Conduit-Technology-Benchmark-Klein-Tools/dp/B08L3ZQCT1/ref=sr_1_5?keywords=Klein+Tools+51607+Aluminum+Conduit+Bender+Full+Assembly%2C+3%2F4-Inch+EMT+with+Angle+Setter%E2%84%A2&amp;qid=1695174169&amp;sr=8-5", "https://www.amazon.com/Conduit-Technology-Benchmark-Klein-Tools/dp/B08L3ZQCT1/ref=sr_1_5?keywords=Klein+Tools+51607+Aluminum+Conduit+Bender+Full+Assembly%2C+3%2F4-Inch+EMT+with+Angle+Setter%E2%84%A2&amp;qid=1695174169&amp;sr=8-5")</f>
        <v>https://www.amazon.com/Conduit-Technology-Benchmark-Klein-Tools/dp/B08L3ZQCT1/ref=sr_1_5?keywords=Klein+Tools+51607+Aluminum+Conduit+Bender+Full+Assembly%2C+3%2F4-Inch+EMT+with+Angle+Setter%E2%84%A2&amp;qid=1695174169&amp;sr=8-5</v>
      </c>
      <c r="F4922" t="s">
        <v>6603</v>
      </c>
      <c r="G4922" t="e">
        <f ca="1">_xludf.IMAGE("https://edmondsonsupply.com/cdn/shop/products/51607.jpg?v=1663942654")</f>
        <v>#NAME?</v>
      </c>
      <c r="H4922" t="e">
        <f ca="1">_xludf.IMAGE("https://m.media-amazon.com/images/I/41stj4NcdUL._AC_UL320_.jpg")</f>
        <v>#NAME?</v>
      </c>
      <c r="I4922" t="s">
        <v>946</v>
      </c>
      <c r="J4922">
        <v>99.97</v>
      </c>
      <c r="K4922" s="4">
        <v>1.222</v>
      </c>
      <c r="L4922">
        <v>4.7</v>
      </c>
      <c r="M4922">
        <v>60</v>
      </c>
      <c r="O4922" t="s">
        <v>25</v>
      </c>
      <c r="P4922" t="s">
        <v>6068</v>
      </c>
      <c r="Q4922" t="s">
        <v>6604</v>
      </c>
    </row>
    <row r="4923" spans="1:17" ht="15.5" x14ac:dyDescent="0.35">
      <c r="A4923"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4923" s="3" t="str">
        <f>HYPERLINK("https://edmondsonsupply.com/products/klein-tools-vdv500-123-probe-pro-tracing-probe", "https://edmondsonsupply.com/products/klein-tools-vdv500-123-probe-pro-tracing-probe")</f>
        <v>https://edmondsonsupply.com/products/klein-tools-vdv500-123-probe-pro-tracing-probe</v>
      </c>
      <c r="C4923" t="s">
        <v>6065</v>
      </c>
      <c r="D4923" t="s">
        <v>6605</v>
      </c>
      <c r="E4923" s="3" t="str">
        <f>HYPERLINK("https://www.amazon.com/Klein-Tools-VDV526-200-Replaceable-Non-Metallic/dp/B09Y84486X/ref=sr_1_5?keywords=Klein+Tools+VDV500-123+Probe-PRO+Tracing+Probe&amp;qid=1695173898&amp;sr=8-5", "https://www.amazon.com/Klein-Tools-VDV526-200-Replaceable-Non-Metallic/dp/B09Y84486X/ref=sr_1_5?keywords=Klein+Tools+VDV500-123+Probe-PRO+Tracing+Probe&amp;qid=1695173898&amp;sr=8-5")</f>
        <v>https://www.amazon.com/Klein-Tools-VDV526-200-Replaceable-Non-Metallic/dp/B09Y84486X/ref=sr_1_5?keywords=Klein+Tools+VDV500-123+Probe-PRO+Tracing+Probe&amp;qid=1695173898&amp;sr=8-5</v>
      </c>
      <c r="F4923" t="s">
        <v>6606</v>
      </c>
      <c r="G4923" t="e">
        <f ca="1">_xludf.IMAGE("https://edmondsonsupply.com/cdn/shop/products/vdv500123.jpg?v=1587142783")</f>
        <v>#NAME?</v>
      </c>
      <c r="H4923" t="e">
        <f ca="1">_xludf.IMAGE("https://m.media-amazon.com/images/I/51l43d13j-L._AC_UY218_.jpg")</f>
        <v>#NAME?</v>
      </c>
      <c r="I4923" t="s">
        <v>946</v>
      </c>
      <c r="J4923">
        <v>99.96</v>
      </c>
      <c r="K4923" s="4">
        <v>1.2218</v>
      </c>
      <c r="L4923">
        <v>4.8</v>
      </c>
      <c r="M4923">
        <v>12</v>
      </c>
      <c r="O4923" t="s">
        <v>25</v>
      </c>
      <c r="P4923" t="s">
        <v>6068</v>
      </c>
      <c r="Q4923" t="s">
        <v>6069</v>
      </c>
    </row>
    <row r="4924" spans="1:17" ht="15.5" x14ac:dyDescent="0.35">
      <c r="A4924"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4924" s="3" t="str">
        <f>HYPERLINK("https://edmondsonsupply.com/products/klein-tools-d502-10-pump-pliers-10-inch", "https://edmondsonsupply.com/products/klein-tools-d502-10-pump-pliers-10-inch")</f>
        <v>https://edmondsonsupply.com/products/klein-tools-d502-10-pump-pliers-10-inch</v>
      </c>
      <c r="C4924" t="s">
        <v>6607</v>
      </c>
      <c r="D4924" t="s">
        <v>6608</v>
      </c>
      <c r="E4924" s="3" t="str">
        <f>HYPERLINK("https://www.amazon.com/10-Inch-Insulated-Klein-Tools-D502-10-INS/dp/B0002RI9UO/ref=sr_1_2?keywords=Klein+Tools+D502-10+Pump+Pliers%2C+10-Inch&amp;qid=1695174291&amp;sr=8-2", "https://www.amazon.com/10-Inch-Insulated-Klein-Tools-D502-10-INS/dp/B0002RI9UO/ref=sr_1_2?keywords=Klein+Tools+D502-10+Pump+Pliers%2C+10-Inch&amp;qid=1695174291&amp;sr=8-2")</f>
        <v>https://www.amazon.com/10-Inch-Insulated-Klein-Tools-D502-10-INS/dp/B0002RI9UO/ref=sr_1_2?keywords=Klein+Tools+D502-10+Pump+Pliers%2C+10-Inch&amp;qid=1695174291&amp;sr=8-2</v>
      </c>
      <c r="F4924" t="s">
        <v>6609</v>
      </c>
      <c r="G4924" t="e">
        <f ca="1">_xludf.IMAGE("https://edmondsonsupply.com/cdn/shop/products/d50210_alt1.jpg?v=1633030884")</f>
        <v>#NAME?</v>
      </c>
      <c r="H4924" t="e">
        <f ca="1">_xludf.IMAGE("https://m.media-amazon.com/images/I/51Y-f5OqBUL._AC_UL320_.jpg")</f>
        <v>#NAME?</v>
      </c>
      <c r="I4924" t="s">
        <v>471</v>
      </c>
      <c r="J4924">
        <v>55.18</v>
      </c>
      <c r="K4924" s="4">
        <v>1.2081</v>
      </c>
      <c r="L4924">
        <v>4.5999999999999996</v>
      </c>
      <c r="M4924">
        <v>77</v>
      </c>
      <c r="O4924" t="s">
        <v>25</v>
      </c>
      <c r="P4924" t="s">
        <v>6610</v>
      </c>
      <c r="Q4924" t="s">
        <v>6611</v>
      </c>
    </row>
    <row r="4925" spans="1:17" ht="15.5" x14ac:dyDescent="0.35">
      <c r="A4925" s="3" t="str">
        <f>HYPERLINK("https://edmondsonsupply.com/collections/electricians-tools/products/diablo-tools-d0724x-7-1-4-in-x-24-tooth-framing-saw-blade", "https://edmondsonsupply.com/collections/electricians-tools/products/diablo-tools-d0724x-7-1-4-in-x-24-tooth-framing-saw-blade")</f>
        <v>https://edmondsonsupply.com/collections/electricians-tools/products/diablo-tools-d0724x-7-1-4-in-x-24-tooth-framing-saw-blade</v>
      </c>
      <c r="B4925" s="3" t="str">
        <f>HYPERLINK("https://edmondsonsupply.com/products/diablo-tools-d0724x-7-1-4-in-x-24-tooth-framing-saw-blade", "https://edmondsonsupply.com/products/diablo-tools-d0724x-7-1-4-in-x-24-tooth-framing-saw-blade")</f>
        <v>https://edmondsonsupply.com/products/diablo-tools-d0724x-7-1-4-in-x-24-tooth-framing-saw-blade</v>
      </c>
      <c r="C4925" t="s">
        <v>6271</v>
      </c>
      <c r="D4925" t="s">
        <v>6612</v>
      </c>
      <c r="E4925" s="3" t="str">
        <f>HYPERLINK("https://www.amazon.com/Diablo-2-Pack-Framing-Circular-Blades/dp/B09K81GP9V/ref=sr_1_4?keywords=Diablo+Tools+D0724X+7-1%2F4+in.+x+24+Tooth+Framing+Saw+Blade&amp;qid=1695174060&amp;sr=8-4", "https://www.amazon.com/Diablo-2-Pack-Framing-Circular-Blades/dp/B09K81GP9V/ref=sr_1_4?keywords=Diablo+Tools+D0724X+7-1%2F4+in.+x+24+Tooth+Framing+Saw+Blade&amp;qid=1695174060&amp;sr=8-4")</f>
        <v>https://www.amazon.com/Diablo-2-Pack-Framing-Circular-Blades/dp/B09K81GP9V/ref=sr_1_4?keywords=Diablo+Tools+D0724X+7-1%2F4+in.+x+24+Tooth+Framing+Saw+Blade&amp;qid=1695174060&amp;sr=8-4</v>
      </c>
      <c r="F4925" t="s">
        <v>6613</v>
      </c>
      <c r="G4925" t="e">
        <f ca="1">_xludf.IMAGE("https://edmondsonsupply.com/cdn/shop/products/D0724A_Main-Image20200218_ba34939c-8546-489a-9616-b05338ff91cc.png?v=1678971696")</f>
        <v>#NAME?</v>
      </c>
      <c r="H4925" t="e">
        <f ca="1">_xludf.IMAGE("https://m.media-amazon.com/images/I/61MhRzf0xyL._AC_UL320_.jpg")</f>
        <v>#NAME?</v>
      </c>
      <c r="I4925" t="s">
        <v>1427</v>
      </c>
      <c r="J4925">
        <v>21.98</v>
      </c>
      <c r="K4925" s="4">
        <v>1.2045999999999999</v>
      </c>
      <c r="L4925">
        <v>4.7</v>
      </c>
      <c r="M4925">
        <v>8</v>
      </c>
      <c r="O4925" t="s">
        <v>25</v>
      </c>
      <c r="P4925" t="s">
        <v>6274</v>
      </c>
      <c r="Q4925" t="s">
        <v>6275</v>
      </c>
    </row>
    <row r="4926" spans="1:17" ht="15.5" x14ac:dyDescent="0.35">
      <c r="A4926"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4926"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4926" t="s">
        <v>2115</v>
      </c>
      <c r="D4926" t="s">
        <v>2304</v>
      </c>
      <c r="E4926" s="3" t="str">
        <f>HYPERLINK("https://www.amazon.com/Screwdriver-Klein-Tools-Instruments-Thermometer/dp/B0B68FP3YG/ref=sr_1_2?keywords=Klein+Tools+32304+14-in-1+HVAC+Adjustable-Length+Impact+Screwdriver+with+Flip+Socket&amp;qid=1695173856&amp;sr=8-2", "https://www.amazon.com/Screwdriver-Klein-Tools-Instruments-Thermometer/dp/B0B68FP3YG/ref=sr_1_2?keywords=Klein+Tools+32304+14-in-1+HVAC+Adjustable-Length+Impact+Screwdriver+with+Flip+Socket&amp;qid=1695173856&amp;sr=8-2")</f>
        <v>https://www.amazon.com/Screwdriver-Klein-Tools-Instruments-Thermometer/dp/B0B68FP3YG/ref=sr_1_2?keywords=Klein+Tools+32304+14-in-1+HVAC+Adjustable-Length+Impact+Screwdriver+with+Flip+Socket&amp;qid=1695173856&amp;sr=8-2</v>
      </c>
      <c r="F4926" t="s">
        <v>2305</v>
      </c>
      <c r="G4926" t="e">
        <f ca="1">_xludf.IMAGE("https://edmondsonsupply.com/cdn/shop/products/32304.jpg?v=1666019479")</f>
        <v>#NAME?</v>
      </c>
      <c r="H4926" t="e">
        <f ca="1">_xludf.IMAGE("https://m.media-amazon.com/images/I/41yTQwoccbL._AC_UL320_.jpg")</f>
        <v>#NAME?</v>
      </c>
      <c r="I4926" t="s">
        <v>859</v>
      </c>
      <c r="J4926">
        <v>55.02</v>
      </c>
      <c r="K4926" s="4">
        <v>1.2034</v>
      </c>
      <c r="L4926">
        <v>4.5</v>
      </c>
      <c r="M4926">
        <v>39</v>
      </c>
      <c r="O4926" t="s">
        <v>25</v>
      </c>
      <c r="P4926" t="s">
        <v>602</v>
      </c>
      <c r="Q4926" t="s">
        <v>2118</v>
      </c>
    </row>
    <row r="4927" spans="1:17" ht="15.5" x14ac:dyDescent="0.35">
      <c r="A4927"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4927" s="3" t="str">
        <f>HYPERLINK("https://edmondsonsupply.com/products/klein-tools-5141-canvas-bag-4-pk-brown-black-gray-red", "https://edmondsonsupply.com/products/klein-tools-5141-canvas-bag-4-pk-brown-black-gray-red")</f>
        <v>https://edmondsonsupply.com/products/klein-tools-5141-canvas-bag-4-pk-brown-black-gray-red</v>
      </c>
      <c r="C4927" t="s">
        <v>243</v>
      </c>
      <c r="D4927" t="s">
        <v>327</v>
      </c>
      <c r="E4927" s="3" t="str">
        <f>HYPERLINK("https://www.amazon.com/Klein-Tools-Utility-Deposit-5539LCPAK/dp/B0BD3WW5HW/ref=sr_1_4?keywords=Klein+Tools+5141+Zipper+Bags%2C+Canvas+Tool+Pouches+Brown%2FBlack%2FGray%2FRed%2C+4-Pack&amp;qid=1695173934&amp;sr=8-4", "https://www.amazon.com/Klein-Tools-Utility-Deposit-5539LCPAK/dp/B0BD3WW5HW/ref=sr_1_4?keywords=Klein+Tools+5141+Zipper+Bags%2C+Canvas+Tool+Pouches+Brown%2FBlack%2FGray%2FRed%2C+4-Pack&amp;qid=1695173934&amp;sr=8-4")</f>
        <v>https://www.amazon.com/Klein-Tools-Utility-Deposit-5539LCPAK/dp/B0BD3WW5HW/ref=sr_1_4?keywords=Klein+Tools+5141+Zipper+Bags%2C+Canvas+Tool+Pouches+Brown%2FBlack%2FGray%2FRed%2C+4-Pack&amp;qid=1695173934&amp;sr=8-4</v>
      </c>
      <c r="F4927" t="s">
        <v>328</v>
      </c>
      <c r="G4927" t="e">
        <f ca="1">_xludf.IMAGE("https://edmondsonsupply.com/cdn/shop/products/5141.jpg?v=1633030517")</f>
        <v>#NAME?</v>
      </c>
      <c r="H4927" t="e">
        <f ca="1">_xludf.IMAGE("https://m.media-amazon.com/images/I/413RtvEllSL._AC_UL320_.jpg")</f>
        <v>#NAME?</v>
      </c>
      <c r="I4927" t="s">
        <v>246</v>
      </c>
      <c r="J4927">
        <v>88</v>
      </c>
      <c r="K4927" s="4">
        <v>1.2017</v>
      </c>
      <c r="L4927">
        <v>5</v>
      </c>
      <c r="M4927">
        <v>1</v>
      </c>
      <c r="O4927" t="s">
        <v>25</v>
      </c>
      <c r="P4927" t="s">
        <v>247</v>
      </c>
      <c r="Q4927" t="s">
        <v>248</v>
      </c>
    </row>
    <row r="4928" spans="1:17" ht="15.5" x14ac:dyDescent="0.35">
      <c r="A4928"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4928" s="3" t="str">
        <f>HYPERLINK("https://edmondsonsupply.com/products/klein-tools-32907-7-in-1-impact-flip-socket-set-no-handle", "https://edmondsonsupply.com/products/klein-tools-32907-7-in-1-impact-flip-socket-set-no-handle")</f>
        <v>https://edmondsonsupply.com/products/klein-tools-32907-7-in-1-impact-flip-socket-set-no-handle</v>
      </c>
      <c r="C4928" t="s">
        <v>1833</v>
      </c>
      <c r="D4928" t="s">
        <v>2308</v>
      </c>
      <c r="E4928" s="3" t="str">
        <f>HYPERLINK("https://www.amazon.com/Folding-20997TFHS618636-Impact-Driver-Socket/dp/B0CF2HPH97/ref=sr_1_9?keywords=Klein+Tools+32907+7-in-1+Impact+Flip+Socket+Set%2C+No+Handle&amp;qid=1695173886&amp;sr=8-9", "https://www.amazon.com/Folding-20997TFHS618636-Impact-Driver-Socket/dp/B0CF2HPH97/ref=sr_1_9?keywords=Klein+Tools+32907+7-in-1+Impact+Flip+Socket+Set%2C+No+Handle&amp;qid=1695173886&amp;sr=8-9")</f>
        <v>https://www.amazon.com/Folding-20997TFHS618636-Impact-Driver-Socket/dp/B0CF2HPH97/ref=sr_1_9?keywords=Klein+Tools+32907+7-in-1+Impact+Flip+Socket+Set%2C+No+Handle&amp;qid=1695173886&amp;sr=8-9</v>
      </c>
      <c r="F4928" t="s">
        <v>2309</v>
      </c>
      <c r="G4928" t="e">
        <f ca="1">_xludf.IMAGE("https://edmondsonsupply.com/cdn/shop/products/32907_b.jpg?v=1666025282")</f>
        <v>#NAME?</v>
      </c>
      <c r="H4928" t="e">
        <f ca="1">_xludf.IMAGE("https://m.media-amazon.com/images/I/51ARCE+JBfL._AC_UL320_.jpg")</f>
        <v>#NAME?</v>
      </c>
      <c r="I4928" t="s">
        <v>577</v>
      </c>
      <c r="J4928">
        <v>43.98</v>
      </c>
      <c r="K4928" s="4">
        <v>1.2000999999999999</v>
      </c>
      <c r="L4928">
        <v>4.5</v>
      </c>
      <c r="M4928">
        <v>777</v>
      </c>
      <c r="O4928" t="s">
        <v>25</v>
      </c>
      <c r="P4928" t="s">
        <v>1836</v>
      </c>
      <c r="Q4928" t="s">
        <v>1837</v>
      </c>
    </row>
    <row r="4929" spans="1:17" ht="15.5" x14ac:dyDescent="0.35">
      <c r="A4929"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4929" s="3" t="str">
        <f>HYPERLINK("https://edmondsonsupply.com/products/milwaukee-49-56-0505-1-4-diamond-max%e2%84%a2-hole-saw", "https://edmondsonsupply.com/products/milwaukee-49-56-0505-1-4-diamond-max%e2%84%a2-hole-saw")</f>
        <v>https://edmondsonsupply.com/products/milwaukee-49-56-0505-1-4-diamond-max%e2%84%a2-hole-saw</v>
      </c>
      <c r="C4929" t="s">
        <v>6614</v>
      </c>
      <c r="D4929" t="s">
        <v>6615</v>
      </c>
      <c r="E4929" s="3" t="str">
        <f>HYPERLINK("https://www.amazon.com/Milwaukee-49-56-5660-2-1-Diamond-Hole/dp/B00KQMUOOE/ref=sr_1_4?keywords=Milwaukee+49-56-0505+1%2F4%22+Diamond+MAX%E2%84%A2+Hole+Saw&amp;qid=1695174028&amp;sr=8-4", "https://www.amazon.com/Milwaukee-49-56-5660-2-1-Diamond-Hole/dp/B00KQMUOOE/ref=sr_1_4?keywords=Milwaukee+49-56-0505+1%2F4%22+Diamond+MAX%E2%84%A2+Hole+Saw&amp;qid=1695174028&amp;sr=8-4")</f>
        <v>https://www.amazon.com/Milwaukee-49-56-5660-2-1-Diamond-Hole/dp/B00KQMUOOE/ref=sr_1_4?keywords=Milwaukee+49-56-0505+1%2F4%22+Diamond+MAX%E2%84%A2+Hole+Saw&amp;qid=1695174028&amp;sr=8-4</v>
      </c>
      <c r="F4929" t="s">
        <v>6616</v>
      </c>
      <c r="G4929" t="e">
        <f ca="1">_xludf.IMAGE("https://edmondsonsupply.com/cdn/shop/products/49-56-0507_1.png?v=1680111300")</f>
        <v>#NAME?</v>
      </c>
      <c r="H4929" t="e">
        <f ca="1">_xludf.IMAGE("https://m.media-amazon.com/images/I/61nOa4J6FdL._AC_UL320_.jpg")</f>
        <v>#NAME?</v>
      </c>
      <c r="I4929" t="s">
        <v>577</v>
      </c>
      <c r="J4929">
        <v>43.97</v>
      </c>
      <c r="K4929" s="4">
        <v>1.1996</v>
      </c>
      <c r="L4929">
        <v>4.0999999999999996</v>
      </c>
      <c r="M4929">
        <v>14</v>
      </c>
      <c r="O4929" t="s">
        <v>25</v>
      </c>
      <c r="P4929" t="s">
        <v>6617</v>
      </c>
      <c r="Q4929" t="s">
        <v>6618</v>
      </c>
    </row>
    <row r="4930" spans="1:17" ht="15.5" x14ac:dyDescent="0.35">
      <c r="A4930"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4930" s="3" t="str">
        <f>HYPERLINK("https://edmondsonsupply.com/products/fluke-62-max-mini-infrared-thermometer", "https://edmondsonsupply.com/products/fluke-62-max-mini-infrared-thermometer")</f>
        <v>https://edmondsonsupply.com/products/fluke-62-max-mini-infrared-thermometer</v>
      </c>
      <c r="C4930" t="s">
        <v>2312</v>
      </c>
      <c r="D4930" t="s">
        <v>2313</v>
      </c>
      <c r="E4930" s="3" t="str">
        <f>HYPERLINK("https://www.amazon.com/FLUKE-FLUKE-62-INFRARED-THERMOMETER-1202F/dp/B00BX8RMAY/ref=sr_1_7?keywords=Fluke+62+MAX+Mini+Infrared+Thermometer&amp;qid=1695173898&amp;sr=8-7", "https://www.amazon.com/FLUKE-FLUKE-62-INFRARED-THERMOMETER-1202F/dp/B00BX8RMAY/ref=sr_1_7?keywords=Fluke+62+MAX+Mini+Infrared+Thermometer&amp;qid=1695173898&amp;sr=8-7")</f>
        <v>https://www.amazon.com/FLUKE-FLUKE-62-INFRARED-THERMOMETER-1202F/dp/B00BX8RMAY/ref=sr_1_7?keywords=Fluke+62+MAX+Mini+Infrared+Thermometer&amp;qid=1695173898&amp;sr=8-7</v>
      </c>
      <c r="F4930" t="s">
        <v>2314</v>
      </c>
      <c r="G4930" t="e">
        <f ca="1">_xludf.IMAGE("https://edmondsonsupply.com/cdn/shop/products/62max.jpg?v=1633030769")</f>
        <v>#NAME?</v>
      </c>
      <c r="H4930" t="e">
        <f ca="1">_xludf.IMAGE("https://m.media-amazon.com/images/I/51OF-Dz5VLL._AC_UY218_.jpg")</f>
        <v>#NAME?</v>
      </c>
      <c r="I4930" t="s">
        <v>2315</v>
      </c>
      <c r="J4930">
        <v>269.99</v>
      </c>
      <c r="K4930" s="4">
        <v>1.1952</v>
      </c>
      <c r="L4930">
        <v>5</v>
      </c>
      <c r="M4930">
        <v>3</v>
      </c>
      <c r="O4930" t="s">
        <v>171</v>
      </c>
      <c r="P4930" t="s">
        <v>460</v>
      </c>
      <c r="Q4930" t="s">
        <v>2316</v>
      </c>
    </row>
    <row r="4931" spans="1:17" ht="15.5" x14ac:dyDescent="0.35">
      <c r="A4931"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4931"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4931" t="s">
        <v>2115</v>
      </c>
      <c r="D4931" t="s">
        <v>2317</v>
      </c>
      <c r="E4931" s="3" t="str">
        <f>HYPERLINK("https://www.amazon.com/Klein-Tools-Precision-Screwdriver-Adjustable/dp/B0BRM3HJY8/ref=sr_1_7?keywords=Klein+Tools+32304+14-in-1+HVAC+Adjustable-Length+Impact+Screwdriver+with+Flip+Socket&amp;qid=1695173856&amp;sr=8-7", "https://www.amazon.com/Klein-Tools-Precision-Screwdriver-Adjustable/dp/B0BRM3HJY8/ref=sr_1_7?keywords=Klein+Tools+32304+14-in-1+HVAC+Adjustable-Length+Impact+Screwdriver+with+Flip+Socket&amp;qid=1695173856&amp;sr=8-7")</f>
        <v>https://www.amazon.com/Klein-Tools-Precision-Screwdriver-Adjustable/dp/B0BRM3HJY8/ref=sr_1_7?keywords=Klein+Tools+32304+14-in-1+HVAC+Adjustable-Length+Impact+Screwdriver+with+Flip+Socket&amp;qid=1695173856&amp;sr=8-7</v>
      </c>
      <c r="F4931" t="s">
        <v>2318</v>
      </c>
      <c r="G4931" t="e">
        <f ca="1">_xludf.IMAGE("https://edmondsonsupply.com/cdn/shop/products/32304.jpg?v=1666019479")</f>
        <v>#NAME?</v>
      </c>
      <c r="H4931" t="e">
        <f ca="1">_xludf.IMAGE("https://m.media-amazon.com/images/I/513WrxifIfL._AC_UL320_.jpg")</f>
        <v>#NAME?</v>
      </c>
      <c r="I4931" t="s">
        <v>859</v>
      </c>
      <c r="J4931">
        <v>54.74</v>
      </c>
      <c r="K4931" s="4">
        <v>1.1921999999999999</v>
      </c>
      <c r="L4931">
        <v>4.9000000000000004</v>
      </c>
      <c r="M4931">
        <v>9</v>
      </c>
      <c r="O4931" t="s">
        <v>25</v>
      </c>
      <c r="P4931" t="s">
        <v>602</v>
      </c>
      <c r="Q4931" t="s">
        <v>2118</v>
      </c>
    </row>
    <row r="4932" spans="1:17" ht="15.5" x14ac:dyDescent="0.35">
      <c r="A4932"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4932"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4932" t="s">
        <v>6344</v>
      </c>
      <c r="D4932" t="s">
        <v>2500</v>
      </c>
      <c r="E4932" s="3" t="str">
        <f>HYPERLINK("https://www.amazon.com/Journeyman-T-Handle-Klein-Tools-JTH9M6/dp/B005G3HJKU/ref=sr_1_7?keywords=Klein+Tools+JTH9E09+9%2F64-Inch+Hex+Key%2C+Journeyman%E2%84%A2+T-Handle%2C+9-Inch&amp;qid=1695174053&amp;sr=8-7", "https://www.amazon.com/Journeyman-T-Handle-Klein-Tools-JTH9M6/dp/B005G3HJKU/ref=sr_1_7?keywords=Klein+Tools+JTH9E09+9%2F64-Inch+Hex+Key%2C+Journeyman%E2%84%A2+T-Handle%2C+9-Inch&amp;qid=1695174053&amp;sr=8-7")</f>
        <v>https://www.amazon.com/Journeyman-T-Handle-Klein-Tools-JTH9M6/dp/B005G3HJKU/ref=sr_1_7?keywords=Klein+Tools+JTH9E09+9%2F64-Inch+Hex+Key%2C+Journeyman%E2%84%A2+T-Handle%2C+9-Inch&amp;qid=1695174053&amp;sr=8-7</v>
      </c>
      <c r="F4932" t="s">
        <v>2501</v>
      </c>
      <c r="G4932" t="e">
        <f ca="1">_xludf.IMAGE("https://edmondsonsupply.com/cdn/shop/files/jth6e15_a82bd56b-ad18-4460-9ae1-33c48a111839.jpg?v=1684942468")</f>
        <v>#NAME?</v>
      </c>
      <c r="H4932" t="e">
        <f ca="1">_xludf.IMAGE("https://m.media-amazon.com/images/I/51+1x0vz9XL._AC_UL320_.jpg")</f>
        <v>#NAME?</v>
      </c>
      <c r="I4932" t="s">
        <v>6122</v>
      </c>
      <c r="J4932">
        <v>9.84</v>
      </c>
      <c r="K4932" s="4">
        <v>1.1915</v>
      </c>
      <c r="L4932">
        <v>4.7</v>
      </c>
      <c r="M4932">
        <v>123</v>
      </c>
      <c r="O4932" t="s">
        <v>25</v>
      </c>
      <c r="P4932" t="s">
        <v>6123</v>
      </c>
      <c r="Q4932" t="s">
        <v>6345</v>
      </c>
    </row>
    <row r="4933" spans="1:17" ht="15.5" x14ac:dyDescent="0.35">
      <c r="A4933"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4933" s="3" t="str">
        <f>HYPERLINK("https://edmondsonsupply.com/products/klein-tools-32500mag-11-in-1-magnetic-screwdriver-nut-driver", "https://edmondsonsupply.com/products/klein-tools-32500mag-11-in-1-magnetic-screwdriver-nut-driver")</f>
        <v>https://edmondsonsupply.com/products/klein-tools-32500mag-11-in-1-magnetic-screwdriver-nut-driver</v>
      </c>
      <c r="C4933" t="s">
        <v>6522</v>
      </c>
      <c r="D4933" t="s">
        <v>6619</v>
      </c>
      <c r="E4933" s="3" t="str">
        <f>HYPERLINK("https://www.amazon.com/Klein-Tools-32807MAG-Magnetic-Screwdriver/dp/B08MG3L43V/ref=sr_1_8?keywords=Klein+Tools+32500MAG+11-in-1+Magnetic+Screwdriver+%2F+Nut+Driver&amp;qid=1695174303&amp;sr=8-8", "https://www.amazon.com/Klein-Tools-32807MAG-Magnetic-Screwdriver/dp/B08MG3L43V/ref=sr_1_8?keywords=Klein+Tools+32500MAG+11-in-1+Magnetic+Screwdriver+%2F+Nut+Driver&amp;qid=1695174303&amp;sr=8-8")</f>
        <v>https://www.amazon.com/Klein-Tools-32807MAG-Magnetic-Screwdriver/dp/B08MG3L43V/ref=sr_1_8?keywords=Klein+Tools+32500MAG+11-in-1+Magnetic+Screwdriver+%2F+Nut+Driver&amp;qid=1695174303&amp;sr=8-8</v>
      </c>
      <c r="F4933" t="s">
        <v>6620</v>
      </c>
      <c r="G4933" t="e">
        <f ca="1">_xludf.IMAGE("https://edmondsonsupply.com/cdn/shop/products/32500mag.jpg?v=1633030832")</f>
        <v>#NAME?</v>
      </c>
      <c r="H4933" t="e">
        <f ca="1">_xludf.IMAGE("https://m.media-amazon.com/images/I/51yRbCSFsxL._AC_UL320_.jpg")</f>
        <v>#NAME?</v>
      </c>
      <c r="I4933" t="s">
        <v>2288</v>
      </c>
      <c r="J4933">
        <v>45.94</v>
      </c>
      <c r="K4933" s="4">
        <v>1.1907000000000001</v>
      </c>
      <c r="L4933">
        <v>4.7</v>
      </c>
      <c r="M4933">
        <v>14</v>
      </c>
      <c r="O4933" t="s">
        <v>25</v>
      </c>
      <c r="P4933" t="s">
        <v>6525</v>
      </c>
      <c r="Q4933" t="s">
        <v>6526</v>
      </c>
    </row>
    <row r="4934" spans="1:17" ht="15.5" x14ac:dyDescent="0.35">
      <c r="A4934"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4934"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4934" t="s">
        <v>6051</v>
      </c>
      <c r="D4934" t="s">
        <v>6621</v>
      </c>
      <c r="E4934" s="3" t="str">
        <f>HYPERLINK("https://www.amazon.com/16-Inch-Drivers-Klein-Tools-32768/dp/B09Q52LQ5G/ref=sr_1_2?keywords=Klein+Tools+66079+Flip+Impact+Socket+Adapter%2C+Small%2C+1%2F4+to+1%2F4-Inch&amp;qid=1695173882&amp;sr=8-2", "https://www.amazon.com/16-Inch-Drivers-Klein-Tools-32768/dp/B09Q52LQ5G/ref=sr_1_2?keywords=Klein+Tools+66079+Flip+Impact+Socket+Adapter%2C+Small%2C+1%2F4+to+1%2F4-Inch&amp;qid=1695173882&amp;sr=8-2")</f>
        <v>https://www.amazon.com/16-Inch-Drivers-Klein-Tools-32768/dp/B09Q52LQ5G/ref=sr_1_2?keywords=Klein+Tools+66079+Flip+Impact+Socket+Adapter%2C+Small%2C+1%2F4+to+1%2F4-Inch&amp;qid=1695173882&amp;sr=8-2</v>
      </c>
      <c r="F4934" t="s">
        <v>6622</v>
      </c>
      <c r="G4934" t="e">
        <f ca="1">_xludf.IMAGE("https://edmondsonsupply.com/cdn/shop/products/66079.jpg?v=1669735923")</f>
        <v>#NAME?</v>
      </c>
      <c r="H4934" t="e">
        <f ca="1">_xludf.IMAGE("https://m.media-amazon.com/images/I/51WsqEdVfRL._AC_UL320_.jpg")</f>
        <v>#NAME?</v>
      </c>
      <c r="I4934" t="s">
        <v>6052</v>
      </c>
      <c r="J4934">
        <v>14.99</v>
      </c>
      <c r="K4934" s="4">
        <v>1.1851</v>
      </c>
      <c r="L4934">
        <v>4.4000000000000004</v>
      </c>
      <c r="M4934">
        <v>1288</v>
      </c>
      <c r="O4934" t="s">
        <v>25</v>
      </c>
      <c r="P4934" t="s">
        <v>6053</v>
      </c>
      <c r="Q4934" t="s">
        <v>6054</v>
      </c>
    </row>
    <row r="4935" spans="1:17" ht="15.5" x14ac:dyDescent="0.35">
      <c r="A4935"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4935" s="3" t="str">
        <f>HYPERLINK("https://edmondsonsupply.com/products/klein-tools-32305-15-in-1-multi-bit-ratcheting-screwdriver", "https://edmondsonsupply.com/products/klein-tools-32305-15-in-1-multi-bit-ratcheting-screwdriver")</f>
        <v>https://edmondsonsupply.com/products/klein-tools-32305-15-in-1-multi-bit-ratcheting-screwdriver</v>
      </c>
      <c r="C4935" t="s">
        <v>6262</v>
      </c>
      <c r="D4935" t="s">
        <v>6623</v>
      </c>
      <c r="E4935" s="3" t="str">
        <f>HYPERLINK("https://www.amazon.com/SATA-Multipurpose-Ratcheting-Screwdriver-Double-Sided/dp/B0CB14B5K6/ref=sr_1_5?keywords=Klein+Tools+32305+15-in-1+Multi-Bit+Ratcheting+Screwdriver&amp;qid=1695174215&amp;sr=8-5", "https://www.amazon.com/SATA-Multipurpose-Ratcheting-Screwdriver-Double-Sided/dp/B0CB14B5K6/ref=sr_1_5?keywords=Klein+Tools+32305+15-in-1+Multi-Bit+Ratcheting+Screwdriver&amp;qid=1695174215&amp;sr=8-5")</f>
        <v>https://www.amazon.com/SATA-Multipurpose-Ratcheting-Screwdriver-Double-Sided/dp/B0CB14B5K6/ref=sr_1_5?keywords=Klein+Tools+32305+15-in-1+Multi-Bit+Ratcheting+Screwdriver&amp;qid=1695174215&amp;sr=8-5</v>
      </c>
      <c r="F4935" t="s">
        <v>6624</v>
      </c>
      <c r="G4935" t="e">
        <f ca="1">_xludf.IMAGE("https://edmondsonsupply.com/cdn/shop/products/32305.jpg?v=1646965475")</f>
        <v>#NAME?</v>
      </c>
      <c r="H4935" t="e">
        <f ca="1">_xludf.IMAGE("https://m.media-amazon.com/images/I/41IWrP80qdL._AC_UL320_.jpg")</f>
        <v>#NAME?</v>
      </c>
      <c r="I4935" t="s">
        <v>2247</v>
      </c>
      <c r="J4935">
        <v>47.95</v>
      </c>
      <c r="K4935" s="4">
        <v>1.1825000000000001</v>
      </c>
      <c r="L4935">
        <v>4.5999999999999996</v>
      </c>
      <c r="M4935">
        <v>2936</v>
      </c>
      <c r="O4935" t="s">
        <v>25</v>
      </c>
      <c r="P4935" t="s">
        <v>6200</v>
      </c>
      <c r="Q4935" t="s">
        <v>6265</v>
      </c>
    </row>
    <row r="4936" spans="1:17" ht="15.5" x14ac:dyDescent="0.35">
      <c r="A4936" s="3" t="str">
        <f>HYPERLINK("https://edmondsonsupply.com/collections/electricians-tools/products/milwaukee-49-56-7000-small-thread-arbor-7-16-shank", "https://edmondsonsupply.com/collections/electricians-tools/products/milwaukee-49-56-7000-small-thread-arbor-7-16-shank")</f>
        <v>https://edmondsonsupply.com/collections/electricians-tools/products/milwaukee-49-56-7000-small-thread-arbor-7-16-shank</v>
      </c>
      <c r="B4936" s="3" t="str">
        <f>HYPERLINK("https://edmondsonsupply.com/products/milwaukee-49-56-7000-small-thread-arbor-7-16-shank", "https://edmondsonsupply.com/products/milwaukee-49-56-7000-small-thread-arbor-7-16-shank")</f>
        <v>https://edmondsonsupply.com/products/milwaukee-49-56-7000-small-thread-arbor-7-16-shank</v>
      </c>
      <c r="C4936" t="s">
        <v>5808</v>
      </c>
      <c r="D4936" t="s">
        <v>5809</v>
      </c>
      <c r="E4936" s="3" t="str">
        <f>HYPERLINK("https://www.amazon.com/Milwaukee-49-56-9100-16-Inch-Hole-Arbor/dp/B0019VAV2G/ref=sr_1_1?keywords=Milwaukee+49-56-7000+Small+Thread+Arbor%2C+7%2F16%22+Shank&amp;qid=1695174010&amp;sr=8-1", "https://www.amazon.com/Milwaukee-49-56-9100-16-Inch-Hole-Arbor/dp/B0019VAV2G/ref=sr_1_1?keywords=Milwaukee+49-56-7000+Small+Thread+Arbor%2C+7%2F16%22+Shank&amp;qid=1695174010&amp;sr=8-1")</f>
        <v>https://www.amazon.com/Milwaukee-49-56-9100-16-Inch-Hole-Arbor/dp/B0019VAV2G/ref=sr_1_1?keywords=Milwaukee+49-56-7000+Small+Thread+Arbor%2C+7%2F16%22+Shank&amp;qid=1695174010&amp;sr=8-1</v>
      </c>
      <c r="F4936" t="s">
        <v>5810</v>
      </c>
      <c r="G4936" t="e">
        <f ca="1">_xludf.IMAGE("https://edmondsonsupply.com/cdn/shop/files/51029_49-56-7000-lg.jpg?v=1686151660")</f>
        <v>#NAME?</v>
      </c>
      <c r="H4936" t="e">
        <f ca="1">_xludf.IMAGE("https://m.media-amazon.com/images/I/41OTK6p0M-S._AC_UL320_.jpg")</f>
        <v>#NAME?</v>
      </c>
      <c r="I4936" t="s">
        <v>5811</v>
      </c>
      <c r="J4936">
        <v>23.9</v>
      </c>
      <c r="K4936" s="4">
        <v>1.1787000000000001</v>
      </c>
      <c r="L4936">
        <v>4.5999999999999996</v>
      </c>
      <c r="M4936">
        <v>93</v>
      </c>
      <c r="O4936" t="s">
        <v>25</v>
      </c>
      <c r="P4936" t="s">
        <v>5812</v>
      </c>
      <c r="Q4936" t="s">
        <v>5813</v>
      </c>
    </row>
    <row r="4937" spans="1:17" ht="15.5" x14ac:dyDescent="0.35">
      <c r="A4937"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4937"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4937" t="s">
        <v>6236</v>
      </c>
      <c r="D4937" t="s">
        <v>6625</v>
      </c>
      <c r="E4937" s="3" t="str">
        <f>HYPERLINK("https://www.amazon.com/Klein-Tools-Multi-bit-Screwdriver-Adjustable/dp/B0B56P6P3L/ref=sr_1_3?keywords=Klein+Tools+32308+8-in-1+Multi-Bit+Adjustable+Length+Stubby+Screwdriver&amp;qid=1695174224&amp;sr=8-3", "https://www.amazon.com/Klein-Tools-Multi-bit-Screwdriver-Adjustable/dp/B0B56P6P3L/ref=sr_1_3?keywords=Klein+Tools+32308+8-in-1+Multi-Bit+Adjustable+Length+Stubby+Screwdriver&amp;qid=1695174224&amp;sr=8-3")</f>
        <v>https://www.amazon.com/Klein-Tools-Multi-bit-Screwdriver-Adjustable/dp/B0B56P6P3L/ref=sr_1_3?keywords=Klein+Tools+32308+8-in-1+Multi-Bit+Adjustable+Length+Stubby+Screwdriver&amp;qid=1695174224&amp;sr=8-3</v>
      </c>
      <c r="F4937" t="s">
        <v>6626</v>
      </c>
      <c r="G4937" t="e">
        <f ca="1">_xludf.IMAGE("https://edmondsonsupply.com/cdn/shop/products/32308_b.jpg?v=1647348209")</f>
        <v>#NAME?</v>
      </c>
      <c r="H4937" t="e">
        <f ca="1">_xludf.IMAGE("https://m.media-amazon.com/images/I/51GldL8hxaL._AC_UL320_.jpg")</f>
        <v>#NAME?</v>
      </c>
      <c r="I4937" t="s">
        <v>4985</v>
      </c>
      <c r="J4937">
        <v>36.94</v>
      </c>
      <c r="K4937" s="4">
        <v>1.1768000000000001</v>
      </c>
      <c r="L4937">
        <v>4.7</v>
      </c>
      <c r="M4937">
        <v>127</v>
      </c>
      <c r="O4937" t="s">
        <v>25</v>
      </c>
      <c r="P4937" t="s">
        <v>996</v>
      </c>
      <c r="Q4937" t="s">
        <v>6239</v>
      </c>
    </row>
    <row r="4938" spans="1:17" ht="15.5" x14ac:dyDescent="0.35">
      <c r="A4938"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4938"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4938" t="s">
        <v>6236</v>
      </c>
      <c r="D4938" t="s">
        <v>6627</v>
      </c>
      <c r="E4938" s="3" t="str">
        <f>HYPERLINK("https://www.amazon.com/Klein-Tools-Multi-bit-Screwdriver-Adjustable/dp/B0BC874NXV/ref=sr_1_9?keywords=Klein+Tools+32308+8-in-1+Multi-Bit+Adjustable+Length+Stubby+Screwdriver&amp;qid=1695174224&amp;sr=8-9", "https://www.amazon.com/Klein-Tools-Multi-bit-Screwdriver-Adjustable/dp/B0BC874NXV/ref=sr_1_9?keywords=Klein+Tools+32308+8-in-1+Multi-Bit+Adjustable+Length+Stubby+Screwdriver&amp;qid=1695174224&amp;sr=8-9")</f>
        <v>https://www.amazon.com/Klein-Tools-Multi-bit-Screwdriver-Adjustable/dp/B0BC874NXV/ref=sr_1_9?keywords=Klein+Tools+32308+8-in-1+Multi-Bit+Adjustable+Length+Stubby+Screwdriver&amp;qid=1695174224&amp;sr=8-9</v>
      </c>
      <c r="F4938" t="s">
        <v>6628</v>
      </c>
      <c r="G4938" t="e">
        <f ca="1">_xludf.IMAGE("https://edmondsonsupply.com/cdn/shop/products/32308_b.jpg?v=1647348209")</f>
        <v>#NAME?</v>
      </c>
      <c r="H4938" t="e">
        <f ca="1">_xludf.IMAGE("https://m.media-amazon.com/images/I/51DupKa9UOL._AC_UL320_.jpg")</f>
        <v>#NAME?</v>
      </c>
      <c r="I4938" t="s">
        <v>4985</v>
      </c>
      <c r="J4938">
        <v>36.94</v>
      </c>
      <c r="K4938" s="4">
        <v>1.1768000000000001</v>
      </c>
      <c r="L4938">
        <v>5</v>
      </c>
      <c r="M4938">
        <v>1</v>
      </c>
      <c r="O4938" t="s">
        <v>25</v>
      </c>
      <c r="P4938" t="s">
        <v>996</v>
      </c>
      <c r="Q4938" t="s">
        <v>6239</v>
      </c>
    </row>
    <row r="4939" spans="1:17" ht="15.5" x14ac:dyDescent="0.35">
      <c r="A4939"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4939" s="3" t="str">
        <f>HYPERLINK("https://edmondsonsupply.com/products/klein-tools-60345-hard-hat-earmuffs-full-brim-style", "https://edmondsonsupply.com/products/klein-tools-60345-hard-hat-earmuffs-full-brim-style")</f>
        <v>https://edmondsonsupply.com/products/klein-tools-60345-hard-hat-earmuffs-full-brim-style</v>
      </c>
      <c r="C4939" t="s">
        <v>868</v>
      </c>
      <c r="D4939" t="s">
        <v>888</v>
      </c>
      <c r="E4939" s="3" t="str">
        <f>HYPERLINK("https://www.amazon.com/Klein-Tools-Self-Wicking-Odor-Resistant-Sweatband/dp/B0B68NYYM7/ref=sr_1_8?keywords=Klein+Tools+60502+Hard+Hat+Earmuffs%2C+Full+Brim+Style&amp;qid=1695174082&amp;sr=8-8", "https://www.amazon.com/Klein-Tools-Self-Wicking-Odor-Resistant-Sweatband/dp/B0B68NYYM7/ref=sr_1_8?keywords=Klein+Tools+60502+Hard+Hat+Earmuffs%2C+Full+Brim+Style&amp;qid=1695174082&amp;sr=8-8")</f>
        <v>https://www.amazon.com/Klein-Tools-Self-Wicking-Odor-Resistant-Sweatband/dp/B0B68NYYM7/ref=sr_1_8?keywords=Klein+Tools+60502+Hard+Hat+Earmuffs%2C+Full+Brim+Style&amp;qid=1695174082&amp;sr=8-8</v>
      </c>
      <c r="F4939" t="s">
        <v>889</v>
      </c>
      <c r="G4939" t="e">
        <f ca="1">_xludf.IMAGE("https://edmondsonsupply.com/cdn/shop/products/60502.jpg?v=1674486730")</f>
        <v>#NAME?</v>
      </c>
      <c r="H4939" t="e">
        <f ca="1">_xludf.IMAGE("https://m.media-amazon.com/images/I/41IulVK0+jL._AC_UL320_.jpg")</f>
        <v>#NAME?</v>
      </c>
      <c r="I4939" t="s">
        <v>26</v>
      </c>
      <c r="J4939">
        <v>64.959999999999994</v>
      </c>
      <c r="K4939" s="4">
        <v>1.1660999999999999</v>
      </c>
      <c r="L4939">
        <v>4.5</v>
      </c>
      <c r="M4939">
        <v>15</v>
      </c>
      <c r="O4939" t="s">
        <v>25</v>
      </c>
      <c r="P4939" t="s">
        <v>562</v>
      </c>
      <c r="Q4939" t="s">
        <v>871</v>
      </c>
    </row>
    <row r="4940" spans="1:17" ht="15.5" x14ac:dyDescent="0.35">
      <c r="A4940"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4940" s="3" t="str">
        <f>HYPERLINK("https://edmondsonsupply.com/products/klein-tools-630-5-8-nut-driver-5-8-inch-4-inch-hollow-shaft", "https://edmondsonsupply.com/products/klein-tools-630-5-8-nut-driver-5-8-inch-4-inch-hollow-shaft")</f>
        <v>https://edmondsonsupply.com/products/klein-tools-630-5-8-nut-driver-5-8-inch-4-inch-hollow-shaft</v>
      </c>
      <c r="C4940" t="s">
        <v>6629</v>
      </c>
      <c r="D4940" t="s">
        <v>6630</v>
      </c>
      <c r="E4940" s="3" t="str">
        <f>HYPERLINK("https://www.amazon.com/Klein-Tools-646-5-8-INS-Insulated/dp/B000MKH632/ref=sr_1_4?keywords=Klein+Tools+630-5%2F8+Nut+Driver%2C+5%2F8-Inch%2C+4-Inch+Hollow+Shaft&amp;qid=1695174302&amp;sr=8-4", "https://www.amazon.com/Klein-Tools-646-5-8-INS-Insulated/dp/B000MKH632/ref=sr_1_4?keywords=Klein+Tools+630-5%2F8+Nut+Driver%2C+5%2F8-Inch%2C+4-Inch+Hollow+Shaft&amp;qid=1695174302&amp;sr=8-4")</f>
        <v>https://www.amazon.com/Klein-Tools-646-5-8-INS-Insulated/dp/B000MKH632/ref=sr_1_4?keywords=Klein+Tools+630-5%2F8+Nut+Driver%2C+5%2F8-Inch%2C+4-Inch+Hollow+Shaft&amp;qid=1695174302&amp;sr=8-4</v>
      </c>
      <c r="F4940" t="s">
        <v>6631</v>
      </c>
      <c r="G4940" t="e">
        <f ca="1">_xludf.IMAGE("https://edmondsonsupply.com/cdn/shop/products/630-1-2_df0ca74a-79e7-41f4-ad94-60312e01e692.jpg?v=1633031052")</f>
        <v>#NAME?</v>
      </c>
      <c r="H4940" t="e">
        <f ca="1">_xludf.IMAGE("https://m.media-amazon.com/images/I/41dKI+dlEDL._AC_UL320_.jpg")</f>
        <v>#NAME?</v>
      </c>
      <c r="I4940" t="s">
        <v>6632</v>
      </c>
      <c r="J4940">
        <v>26.99</v>
      </c>
      <c r="K4940" s="4">
        <v>1.1609</v>
      </c>
      <c r="L4940">
        <v>4.8</v>
      </c>
      <c r="M4940">
        <v>10</v>
      </c>
      <c r="O4940" t="s">
        <v>25</v>
      </c>
      <c r="P4940" t="s">
        <v>2328</v>
      </c>
      <c r="Q4940" t="s">
        <v>6633</v>
      </c>
    </row>
    <row r="4941" spans="1:17" ht="15.5" x14ac:dyDescent="0.35">
      <c r="A4941"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4941" s="3" t="str">
        <f>HYPERLINK("https://edmondsonsupply.com/products/klein-tools-630-5-8-nut-driver-5-8-inch-4-inch-hollow-shaft", "https://edmondsonsupply.com/products/klein-tools-630-5-8-nut-driver-5-8-inch-4-inch-hollow-shaft")</f>
        <v>https://edmondsonsupply.com/products/klein-tools-630-5-8-nut-driver-5-8-inch-4-inch-hollow-shaft</v>
      </c>
      <c r="C4941" t="s">
        <v>6629</v>
      </c>
      <c r="D4941" t="s">
        <v>6634</v>
      </c>
      <c r="E4941" s="3" t="str">
        <f>HYPERLINK("https://www.amazon.com/8-Inch-Cushion-Klein-Tools-640-5/dp/B00093D6YA/ref=sr_1_3?keywords=Klein+Tools+630-5%2F8+Nut+Driver%2C+5%2F8-Inch%2C+4-Inch+Hollow+Shaft&amp;qid=1695174302&amp;sr=8-3", "https://www.amazon.com/8-Inch-Cushion-Klein-Tools-640-5/dp/B00093D6YA/ref=sr_1_3?keywords=Klein+Tools+630-5%2F8+Nut+Driver%2C+5%2F8-Inch%2C+4-Inch+Hollow+Shaft&amp;qid=1695174302&amp;sr=8-3")</f>
        <v>https://www.amazon.com/8-Inch-Cushion-Klein-Tools-640-5/dp/B00093D6YA/ref=sr_1_3?keywords=Klein+Tools+630-5%2F8+Nut+Driver%2C+5%2F8-Inch%2C+4-Inch+Hollow+Shaft&amp;qid=1695174302&amp;sr=8-3</v>
      </c>
      <c r="F4941" t="s">
        <v>6635</v>
      </c>
      <c r="G4941" t="e">
        <f ca="1">_xludf.IMAGE("https://edmondsonsupply.com/cdn/shop/products/630-1-2_df0ca74a-79e7-41f4-ad94-60312e01e692.jpg?v=1633031052")</f>
        <v>#NAME?</v>
      </c>
      <c r="H4941" t="e">
        <f ca="1">_xludf.IMAGE("https://m.media-amazon.com/images/I/61gCORyBN2L._AC_UL320_.jpg")</f>
        <v>#NAME?</v>
      </c>
      <c r="I4941" t="s">
        <v>6632</v>
      </c>
      <c r="J4941">
        <v>26.99</v>
      </c>
      <c r="K4941" s="4">
        <v>1.1609</v>
      </c>
      <c r="L4941">
        <v>5</v>
      </c>
      <c r="M4941">
        <v>6</v>
      </c>
      <c r="O4941" t="s">
        <v>25</v>
      </c>
      <c r="P4941" t="s">
        <v>2328</v>
      </c>
      <c r="Q4941" t="s">
        <v>6633</v>
      </c>
    </row>
    <row r="4942" spans="1:17" ht="15.5" x14ac:dyDescent="0.35">
      <c r="A4942"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4942"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4942" t="s">
        <v>2344</v>
      </c>
      <c r="D4942" t="s">
        <v>2345</v>
      </c>
      <c r="E4942" s="3" t="str">
        <f>HYPERLINK("https://www.amazon.com/Klein-Tools-JTH6M3BE-Journeyman-T-Handle/dp/B0CGLYY7WP/ref=sr_1_4?keywords=Klein+Tools+JTH6E14+5%2F16-Inch+Hex+Key+with+Journeyman+T-Handle%2C+6-Inch&amp;qid=1695173855&amp;sr=8-4", "https://www.amazon.com/Klein-Tools-JTH6M3BE-Journeyman-T-Handle/dp/B0CGLYY7WP/ref=sr_1_4?keywords=Klein+Tools+JTH6E14+5%2F16-Inch+Hex+Key+with+Journeyman+T-Handle%2C+6-Inch&amp;qid=1695173855&amp;sr=8-4")</f>
        <v>https://www.amazon.com/Klein-Tools-JTH6M3BE-Journeyman-T-Handle/dp/B0CGLYY7WP/ref=sr_1_4?keywords=Klein+Tools+JTH6E14+5%2F16-Inch+Hex+Key+with+Journeyman+T-Handle%2C+6-Inch&amp;qid=1695173855&amp;sr=8-4</v>
      </c>
      <c r="F4942" t="s">
        <v>2346</v>
      </c>
      <c r="G4942" t="e">
        <f ca="1">_xludf.IMAGE("https://edmondsonsupply.com/cdn/shop/products/jth6e15.jpg?v=1587148489")</f>
        <v>#NAME?</v>
      </c>
      <c r="H4942" t="e">
        <f ca="1">_xludf.IMAGE("https://m.media-amazon.com/images/I/413sTNFMd7L._AC_UL320_.jpg")</f>
        <v>#NAME?</v>
      </c>
      <c r="I4942" t="s">
        <v>2347</v>
      </c>
      <c r="J4942">
        <v>15.1</v>
      </c>
      <c r="K4942" s="4">
        <v>1.1601999999999999</v>
      </c>
      <c r="L4942">
        <v>4.5999999999999996</v>
      </c>
      <c r="M4942">
        <v>184</v>
      </c>
      <c r="O4942" t="s">
        <v>25</v>
      </c>
      <c r="P4942" t="s">
        <v>1140</v>
      </c>
      <c r="Q4942" t="s">
        <v>2348</v>
      </c>
    </row>
    <row r="4943" spans="1:17" ht="15.5" x14ac:dyDescent="0.35">
      <c r="A4943" s="3" t="str">
        <f>HYPERLINK("https://edmondsonsupply.com/collections/electricians-tools/products/klein-tools-86600-1-4-inch-magnetic-hex-drivers-3-pack", "https://edmondsonsupply.com/collections/electricians-tools/products/klein-tools-86600-1-4-inch-magnetic-hex-drivers-3-pack")</f>
        <v>https://edmondsonsupply.com/collections/electricians-tools/products/klein-tools-86600-1-4-inch-magnetic-hex-drivers-3-pack</v>
      </c>
      <c r="B4943" s="3" t="str">
        <f>HYPERLINK("https://edmondsonsupply.com/products/klein-tools-86600-1-4-inch-magnetic-hex-drivers-3-pack", "https://edmondsonsupply.com/products/klein-tools-86600-1-4-inch-magnetic-hex-drivers-3-pack")</f>
        <v>https://edmondsonsupply.com/products/klein-tools-86600-1-4-inch-magnetic-hex-drivers-3-pack</v>
      </c>
      <c r="C4943" t="s">
        <v>5334</v>
      </c>
      <c r="D4943" t="s">
        <v>6621</v>
      </c>
      <c r="E4943" s="3" t="str">
        <f>HYPERLINK("https://www.amazon.com/16-Inch-Drivers-Klein-Tools-32768/dp/B09Q52LQ5G/ref=sr_1_5?keywords=Klein+Tools+86600+1%2F4-Inch+Magnetic+Hex+Drivers%2C+3-Pack&amp;qid=1695174220&amp;sr=8-5", "https://www.amazon.com/16-Inch-Drivers-Klein-Tools-32768/dp/B09Q52LQ5G/ref=sr_1_5?keywords=Klein+Tools+86600+1%2F4-Inch+Magnetic+Hex+Drivers%2C+3-Pack&amp;qid=1695174220&amp;sr=8-5")</f>
        <v>https://www.amazon.com/16-Inch-Drivers-Klein-Tools-32768/dp/B09Q52LQ5G/ref=sr_1_5?keywords=Klein+Tools+86600+1%2F4-Inch+Magnetic+Hex+Drivers%2C+3-Pack&amp;qid=1695174220&amp;sr=8-5</v>
      </c>
      <c r="F4943" t="s">
        <v>6622</v>
      </c>
      <c r="G4943" t="e">
        <f ca="1">_xludf.IMAGE("https://edmondsonsupply.com/cdn/shop/products/86600.png?v=1645569632")</f>
        <v>#NAME?</v>
      </c>
      <c r="H4943" t="e">
        <f ca="1">_xludf.IMAGE("https://m.media-amazon.com/images/I/51WsqEdVfRL._AC_UL320_.jpg")</f>
        <v>#NAME?</v>
      </c>
      <c r="I4943" t="s">
        <v>2347</v>
      </c>
      <c r="J4943">
        <v>14.99</v>
      </c>
      <c r="K4943" s="4">
        <v>1.1445000000000001</v>
      </c>
      <c r="L4943">
        <v>4.4000000000000004</v>
      </c>
      <c r="M4943">
        <v>1288</v>
      </c>
      <c r="O4943" t="s">
        <v>25</v>
      </c>
      <c r="P4943" t="s">
        <v>6193</v>
      </c>
      <c r="Q4943" t="s">
        <v>6636</v>
      </c>
    </row>
    <row r="4944" spans="1:17" ht="15.5" x14ac:dyDescent="0.35">
      <c r="A4944"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4944" s="3" t="str">
        <f>HYPERLINK("https://edmondsonsupply.com/products/klein-tools-69417-rare-earth-magnetic-meter-hanger", "https://edmondsonsupply.com/products/klein-tools-69417-rare-earth-magnetic-meter-hanger")</f>
        <v>https://edmondsonsupply.com/products/klein-tools-69417-rare-earth-magnetic-meter-hanger</v>
      </c>
      <c r="C4944" t="s">
        <v>1413</v>
      </c>
      <c r="D4944" t="s">
        <v>2356</v>
      </c>
      <c r="E4944" s="3" t="str">
        <f>HYPERLINK("https://www.amazon.com/Klein-Tools-Rare-Earth-Magnetic-Multimeter/dp/B0BGJ66GX4/ref=sr_1_4?keywords=Klein+Tools+69417+Rare+Earth+Magnetic+Meter+Hanger%2C+with+Strap&amp;qid=1695173948&amp;sr=8-4", "https://www.amazon.com/Klein-Tools-Rare-Earth-Magnetic-Multimeter/dp/B0BGJ66GX4/ref=sr_1_4?keywords=Klein+Tools+69417+Rare+Earth+Magnetic+Meter+Hanger%2C+with+Strap&amp;qid=1695173948&amp;sr=8-4")</f>
        <v>https://www.amazon.com/Klein-Tools-Rare-Earth-Magnetic-Multimeter/dp/B0BGJ66GX4/ref=sr_1_4?keywords=Klein+Tools+69417+Rare+Earth+Magnetic+Meter+Hanger%2C+with+Strap&amp;qid=1695173948&amp;sr=8-4</v>
      </c>
      <c r="F4944" t="s">
        <v>2357</v>
      </c>
      <c r="G4944" t="e">
        <f ca="1">_xludf.IMAGE("https://edmondsonsupply.com/cdn/shop/products/69417.jpg?v=1587150163")</f>
        <v>#NAME?</v>
      </c>
      <c r="H4944" t="e">
        <f ca="1">_xludf.IMAGE("https://m.media-amazon.com/images/I/51Em03gaEVL._AC_UL320_.jpg")</f>
        <v>#NAME?</v>
      </c>
      <c r="I4944" t="s">
        <v>288</v>
      </c>
      <c r="J4944">
        <v>29.99</v>
      </c>
      <c r="K4944" s="4">
        <v>1.1436999999999999</v>
      </c>
      <c r="L4944">
        <v>5</v>
      </c>
      <c r="M4944">
        <v>2</v>
      </c>
      <c r="O4944" t="s">
        <v>25</v>
      </c>
      <c r="P4944" t="s">
        <v>845</v>
      </c>
      <c r="Q4944" t="s">
        <v>1416</v>
      </c>
    </row>
    <row r="4945" spans="1:17" ht="15.5" x14ac:dyDescent="0.35">
      <c r="A4945" s="3" t="str">
        <f>HYPERLINK("https://edmondsonsupply.com/collections/electricians-tools/products/milwaukee-49-56-0072-1-3-8-hole-dozer%E2%84%A2-hole-saw-bi-metal-cup", "https://edmondsonsupply.com/collections/electricians-tools/products/milwaukee-49-56-0072-1-3-8-hole-dozer%E2%84%A2-hole-saw-bi-metal-cup")</f>
        <v>https://edmondsonsupply.com/collections/electricians-tools/products/milwaukee-49-56-0072-1-3-8-hole-dozer%E2%84%A2-hole-saw-bi-metal-cup</v>
      </c>
      <c r="B4945" s="3" t="str">
        <f>HYPERLINK("https://edmondsonsupply.com/products/milwaukee-49-56-0072-1-3-8-hole-dozer%e2%84%a2-hole-saw-bi-metal-cup", "https://edmondsonsupply.com/products/milwaukee-49-56-0072-1-3-8-hole-dozer%e2%84%a2-hole-saw-bi-metal-cup")</f>
        <v>https://edmondsonsupply.com/products/milwaukee-49-56-0072-1-3-8-hole-dozer%e2%84%a2-hole-saw-bi-metal-cup</v>
      </c>
      <c r="C4945" t="s">
        <v>6446</v>
      </c>
      <c r="D4945" t="s">
        <v>6637</v>
      </c>
      <c r="E4945" s="3" t="str">
        <f>HYPERLINK("https://www.amazon.com/Milwaukee-49-56-0426-Hole-Carbide-Pilot/dp/B004AGOTB6/ref=sr_1_5?keywords=Milwaukee+49-56-0072+1-3%2F8%22+HOLE+DOZER%E2%84%A2+Hole+Saw+Bi-Metal+Cup&amp;qid=1695174054&amp;sr=8-5", "https://www.amazon.com/Milwaukee-49-56-0426-Hole-Carbide-Pilot/dp/B004AGOTB6/ref=sr_1_5?keywords=Milwaukee+49-56-0072+1-3%2F8%22+HOLE+DOZER%E2%84%A2+Hole+Saw+Bi-Metal+Cup&amp;qid=1695174054&amp;sr=8-5")</f>
        <v>https://www.amazon.com/Milwaukee-49-56-0426-Hole-Carbide-Pilot/dp/B004AGOTB6/ref=sr_1_5?keywords=Milwaukee+49-56-0072+1-3%2F8%22+HOLE+DOZER%E2%84%A2+Hole+Saw+Bi-Metal+Cup&amp;qid=1695174054&amp;sr=8-5</v>
      </c>
      <c r="F4945" t="s">
        <v>6638</v>
      </c>
      <c r="G4945" t="e">
        <f ca="1">_xludf.IMAGE("https://edmondsonsupply.com/cdn/shop/products/49-56-0052_101_2_442dad6a-cfd3-4167-9bee-4c5b358f3b1a.webp?v=1679417936")</f>
        <v>#NAME?</v>
      </c>
      <c r="H4945" t="e">
        <f ca="1">_xludf.IMAGE("https://m.media-amazon.com/images/I/51HyOS36nPL._AC_UL320_.jpg")</f>
        <v>#NAME?</v>
      </c>
      <c r="I4945" t="s">
        <v>2347</v>
      </c>
      <c r="J4945">
        <v>14.95</v>
      </c>
      <c r="K4945" s="4">
        <v>1.1388</v>
      </c>
      <c r="L4945">
        <v>4</v>
      </c>
      <c r="M4945">
        <v>8</v>
      </c>
      <c r="O4945" t="s">
        <v>25</v>
      </c>
      <c r="P4945" t="s">
        <v>3464</v>
      </c>
      <c r="Q4945" t="s">
        <v>6449</v>
      </c>
    </row>
    <row r="4946" spans="1:17" ht="15.5" x14ac:dyDescent="0.35">
      <c r="A4946" s="3" t="str">
        <f>HYPERLINK("https://edmondsonsupply.com/collections/electricians-tools/products/klein-tools-86602-3-8-inch-magnetic-hex-drivers-3-pack", "https://edmondsonsupply.com/collections/electricians-tools/products/klein-tools-86602-3-8-inch-magnetic-hex-drivers-3-pack")</f>
        <v>https://edmondsonsupply.com/collections/electricians-tools/products/klein-tools-86602-3-8-inch-magnetic-hex-drivers-3-pack</v>
      </c>
      <c r="B4946" s="3" t="str">
        <f>HYPERLINK("https://edmondsonsupply.com/products/klein-tools-86602-3-8-inch-magnetic-hex-drivers-3-pack", "https://edmondsonsupply.com/products/klein-tools-86602-3-8-inch-magnetic-hex-drivers-3-pack")</f>
        <v>https://edmondsonsupply.com/products/klein-tools-86602-3-8-inch-magnetic-hex-drivers-3-pack</v>
      </c>
      <c r="C4946" t="s">
        <v>6192</v>
      </c>
      <c r="D4946" t="s">
        <v>6621</v>
      </c>
      <c r="E4946" s="3" t="str">
        <f>HYPERLINK("https://www.amazon.com/16-Inch-Drivers-Klein-Tools-32768/dp/B09Q52LQ5G/ref=sr_1_6?keywords=Klein+Tools+86602+3%2F8-Inch+Magnetic+Hex+Drivers%2C+3-Pack&amp;qid=1695174145&amp;sr=8-6", "https://www.amazon.com/16-Inch-Drivers-Klein-Tools-32768/dp/B09Q52LQ5G/ref=sr_1_6?keywords=Klein+Tools+86602+3%2F8-Inch+Magnetic+Hex+Drivers%2C+3-Pack&amp;qid=1695174145&amp;sr=8-6")</f>
        <v>https://www.amazon.com/16-Inch-Drivers-Klein-Tools-32768/dp/B09Q52LQ5G/ref=sr_1_6?keywords=Klein+Tools+86602+3%2F8-Inch+Magnetic+Hex+Drivers%2C+3-Pack&amp;qid=1695174145&amp;sr=8-6</v>
      </c>
      <c r="F4946" t="s">
        <v>6622</v>
      </c>
      <c r="G4946" t="e">
        <f ca="1">_xludf.IMAGE("https://edmondsonsupply.com/cdn/shop/products/86602.jpg?v=1664460860")</f>
        <v>#NAME?</v>
      </c>
      <c r="H4946" t="e">
        <f ca="1">_xludf.IMAGE("https://m.media-amazon.com/images/I/51WsqEdVfRL._AC_UL320_.jpg")</f>
        <v>#NAME?</v>
      </c>
      <c r="I4946" t="s">
        <v>2347</v>
      </c>
      <c r="J4946">
        <v>14.95</v>
      </c>
      <c r="K4946" s="4">
        <v>1.1388</v>
      </c>
      <c r="L4946">
        <v>4.4000000000000004</v>
      </c>
      <c r="M4946">
        <v>1288</v>
      </c>
      <c r="O4946" t="s">
        <v>25</v>
      </c>
      <c r="P4946" t="s">
        <v>6193</v>
      </c>
      <c r="Q4946" t="s">
        <v>6194</v>
      </c>
    </row>
    <row r="4947" spans="1:17" ht="15.5" x14ac:dyDescent="0.35">
      <c r="A4947"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4947"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4947" t="s">
        <v>2344</v>
      </c>
      <c r="D4947" t="s">
        <v>2368</v>
      </c>
      <c r="E4947" s="3" t="str">
        <f>HYPERLINK("https://www.amazon.com/Klein-Tools-JTH9E14-Journeyman-T-Handle/dp/B0CF2VDSX2/ref=sr_1_5?keywords=Klein+Tools+JTH6E14+5%2F16-Inch+Hex+Key+with+Journeyman+T-Handle%2C+6-Inch&amp;qid=1695173855&amp;sr=8-5", "https://www.amazon.com/Klein-Tools-JTH9E14-Journeyman-T-Handle/dp/B0CF2VDSX2/ref=sr_1_5?keywords=Klein+Tools+JTH6E14+5%2F16-Inch+Hex+Key+with+Journeyman+T-Handle%2C+6-Inch&amp;qid=1695173855&amp;sr=8-5")</f>
        <v>https://www.amazon.com/Klein-Tools-JTH9E14-Journeyman-T-Handle/dp/B0CF2VDSX2/ref=sr_1_5?keywords=Klein+Tools+JTH6E14+5%2F16-Inch+Hex+Key+with+Journeyman+T-Handle%2C+6-Inch&amp;qid=1695173855&amp;sr=8-5</v>
      </c>
      <c r="F4947" t="s">
        <v>2369</v>
      </c>
      <c r="G4947" t="e">
        <f ca="1">_xludf.IMAGE("https://edmondsonsupply.com/cdn/shop/products/jth6e15.jpg?v=1587148489")</f>
        <v>#NAME?</v>
      </c>
      <c r="H4947" t="e">
        <f ca="1">_xludf.IMAGE("https://m.media-amazon.com/images/I/317IAARii7L._AC_UL320_.jpg")</f>
        <v>#NAME?</v>
      </c>
      <c r="I4947" t="s">
        <v>2347</v>
      </c>
      <c r="J4947">
        <v>14.88</v>
      </c>
      <c r="K4947" s="4">
        <v>1.1288</v>
      </c>
      <c r="L4947">
        <v>4.5999999999999996</v>
      </c>
      <c r="M4947">
        <v>393</v>
      </c>
      <c r="O4947" t="s">
        <v>25</v>
      </c>
      <c r="P4947" t="s">
        <v>1140</v>
      </c>
      <c r="Q4947" t="s">
        <v>2348</v>
      </c>
    </row>
    <row r="4948" spans="1:17" ht="15.5" x14ac:dyDescent="0.35">
      <c r="A4948"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4948" s="3" t="str">
        <f>HYPERLINK("https://edmondsonsupply.com/products/klein-tools-32305-15-in-1-multi-bit-ratcheting-screwdriver", "https://edmondsonsupply.com/products/klein-tools-32305-15-in-1-multi-bit-ratcheting-screwdriver")</f>
        <v>https://edmondsonsupply.com/products/klein-tools-32305-15-in-1-multi-bit-ratcheting-screwdriver</v>
      </c>
      <c r="C4948" t="s">
        <v>6262</v>
      </c>
      <c r="D4948" t="s">
        <v>6639</v>
      </c>
      <c r="E4948" s="3" t="str">
        <f>HYPERLINK("https://www.amazon.com/Screwdriver-Adjustable-Multi-bit-Ratcheting-Phillips/dp/B0BRM1659C/ref=sr_1_10?keywords=Klein+Tools+32305+15-in-1+Multi-Bit+Ratcheting+Screwdriver&amp;qid=1695174215&amp;sr=8-10", "https://www.amazon.com/Screwdriver-Adjustable-Multi-bit-Ratcheting-Phillips/dp/B0BRM1659C/ref=sr_1_10?keywords=Klein+Tools+32305+15-in-1+Multi-Bit+Ratcheting+Screwdriver&amp;qid=1695174215&amp;sr=8-10")</f>
        <v>https://www.amazon.com/Screwdriver-Adjustable-Multi-bit-Ratcheting-Phillips/dp/B0BRM1659C/ref=sr_1_10?keywords=Klein+Tools+32305+15-in-1+Multi-Bit+Ratcheting+Screwdriver&amp;qid=1695174215&amp;sr=8-10</v>
      </c>
      <c r="F4948" t="s">
        <v>6640</v>
      </c>
      <c r="G4948" t="e">
        <f ca="1">_xludf.IMAGE("https://edmondsonsupply.com/cdn/shop/products/32305.jpg?v=1646965475")</f>
        <v>#NAME?</v>
      </c>
      <c r="H4948" t="e">
        <f ca="1">_xludf.IMAGE("https://m.media-amazon.com/images/I/41majwJr+TL._AC_UL320_.jpg")</f>
        <v>#NAME?</v>
      </c>
      <c r="I4948" t="s">
        <v>2247</v>
      </c>
      <c r="J4948">
        <v>46.74</v>
      </c>
      <c r="K4948" s="4">
        <v>1.1274</v>
      </c>
      <c r="L4948">
        <v>5</v>
      </c>
      <c r="M4948">
        <v>1</v>
      </c>
      <c r="O4948" t="s">
        <v>25</v>
      </c>
      <c r="P4948" t="s">
        <v>6200</v>
      </c>
      <c r="Q4948" t="s">
        <v>6265</v>
      </c>
    </row>
    <row r="4949" spans="1:17" ht="15.5" x14ac:dyDescent="0.35">
      <c r="A4949"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4949"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4949" t="s">
        <v>6439</v>
      </c>
      <c r="D4949" t="s">
        <v>6641</v>
      </c>
      <c r="E4949" s="3" t="str">
        <f>HYPERLINK("https://www.amazon.com/Malco-Reversible-16-Inch-Drivers-Lengths/dp/B0CB15L9TC/ref=sr_1_1?keywords=Klein+Tools+32768+3-in-1+Impact+Flip+Socket+Set%2C+1%2F4-Inch%2C+5%2F16-Inch%2C+2-Piece&amp;qid=1695174135&amp;sr=8-1", "https://www.amazon.com/Malco-Reversible-16-Inch-Drivers-Lengths/dp/B0CB15L9TC/ref=sr_1_1?keywords=Klein+Tools+32768+3-in-1+Impact+Flip+Socket+Set%2C+1%2F4-Inch%2C+5%2F16-Inch%2C+2-Piece&amp;qid=1695174135&amp;sr=8-1")</f>
        <v>https://www.amazon.com/Malco-Reversible-16-Inch-Drivers-Lengths/dp/B0CB15L9TC/ref=sr_1_1?keywords=Klein+Tools+32768+3-in-1+Impact+Flip+Socket+Set%2C+1%2F4-Inch%2C+5%2F16-Inch%2C+2-Piece&amp;qid=1695174135&amp;sr=8-1</v>
      </c>
      <c r="F4949" t="s">
        <v>6642</v>
      </c>
      <c r="G4949" t="e">
        <f ca="1">_xludf.IMAGE("https://edmondsonsupply.com/cdn/shop/products/32768.jpg?v=1666022946")</f>
        <v>#NAME?</v>
      </c>
      <c r="H4949" t="e">
        <f ca="1">_xludf.IMAGE("https://m.media-amazon.com/images/I/51HxE5o0OlL._AC_UL320_.jpg")</f>
        <v>#NAME?</v>
      </c>
      <c r="I4949" t="s">
        <v>2784</v>
      </c>
      <c r="J4949">
        <v>31.84</v>
      </c>
      <c r="K4949" s="4">
        <v>1.1269</v>
      </c>
      <c r="L4949">
        <v>4.8</v>
      </c>
      <c r="M4949">
        <v>1803</v>
      </c>
      <c r="O4949" t="s">
        <v>25</v>
      </c>
      <c r="P4949" t="s">
        <v>854</v>
      </c>
      <c r="Q4949" t="s">
        <v>6442</v>
      </c>
    </row>
    <row r="4950" spans="1:17" ht="15.5" x14ac:dyDescent="0.35">
      <c r="A4950"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4950" s="3" t="str">
        <f>HYPERLINK("https://edmondsonsupply.com/products/klein-tools-rt110-receptacle-tester", "https://edmondsonsupply.com/products/klein-tools-rt110-receptacle-tester")</f>
        <v>https://edmondsonsupply.com/products/klein-tools-rt110-receptacle-tester</v>
      </c>
      <c r="C4950" t="s">
        <v>6021</v>
      </c>
      <c r="D4950" t="s">
        <v>6643</v>
      </c>
      <c r="E4950" s="3" t="str">
        <f>HYPERLINK("https://www.amazon.com/Receptacle-Electrical-Klein-Tools-RT250/dp/B08QW7K1JJ/ref=sr_1_5?keywords=Klein+Tools+RT110+Receptacle+Tester&amp;qid=1695174267&amp;sr=8-5", "https://www.amazon.com/Receptacle-Electrical-Klein-Tools-RT250/dp/B08QW7K1JJ/ref=sr_1_5?keywords=Klein+Tools+RT110+Receptacle+Tester&amp;qid=1695174267&amp;sr=8-5")</f>
        <v>https://www.amazon.com/Receptacle-Electrical-Klein-Tools-RT250/dp/B08QW7K1JJ/ref=sr_1_5?keywords=Klein+Tools+RT110+Receptacle+Tester&amp;qid=1695174267&amp;sr=8-5</v>
      </c>
      <c r="F4950" t="s">
        <v>6644</v>
      </c>
      <c r="G4950" t="e">
        <f ca="1">_xludf.IMAGE("https://edmondsonsupply.com/cdn/shop/products/rt110.jpg?v=1633031036")</f>
        <v>#NAME?</v>
      </c>
      <c r="H4950" t="e">
        <f ca="1">_xludf.IMAGE("https://m.media-amazon.com/images/I/61j28ynJ7bL._AC_UL320_.jpg")</f>
        <v>#NAME?</v>
      </c>
      <c r="I4950" t="s">
        <v>1427</v>
      </c>
      <c r="J4950">
        <v>21.17</v>
      </c>
      <c r="K4950" s="4">
        <v>1.1234</v>
      </c>
      <c r="L4950">
        <v>4.8</v>
      </c>
      <c r="M4950">
        <v>7966</v>
      </c>
      <c r="O4950" t="s">
        <v>25</v>
      </c>
      <c r="P4950" t="s">
        <v>6024</v>
      </c>
      <c r="Q4950" t="s">
        <v>6025</v>
      </c>
    </row>
    <row r="4951" spans="1:17" ht="15.5" x14ac:dyDescent="0.35">
      <c r="A4951"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4951"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4951" t="s">
        <v>6355</v>
      </c>
      <c r="D4951" t="s">
        <v>2386</v>
      </c>
      <c r="E4951" s="3" t="str">
        <f>HYPERLINK("https://www.amazon.com/Journeyman-T-Handle-Klein-Tools-JTH6E13BE/dp/B004QW52YW/ref=sr_1_4?keywords=Klein+Tools+JTH6E06BE+3%2F32-Inch+Ball+End+Hex+Key+with+T-Handle%2C+6-Inch&amp;qid=1695174255&amp;sr=8-4", "https://www.amazon.com/Journeyman-T-Handle-Klein-Tools-JTH6E13BE/dp/B004QW52YW/ref=sr_1_4?keywords=Klein+Tools+JTH6E06BE+3%2F32-Inch+Ball+End+Hex+Key+with+T-Handle%2C+6-Inch&amp;qid=1695174255&amp;sr=8-4")</f>
        <v>https://www.amazon.com/Journeyman-T-Handle-Klein-Tools-JTH6E13BE/dp/B004QW52YW/ref=sr_1_4?keywords=Klein+Tools+JTH6E06BE+3%2F32-Inch+Ball+End+Hex+Key+with+T-Handle%2C+6-Inch&amp;qid=1695174255&amp;sr=8-4</v>
      </c>
      <c r="F4951" t="s">
        <v>2387</v>
      </c>
      <c r="G4951" t="e">
        <f ca="1">_xludf.IMAGE("https://edmondsonsupply.com/cdn/shop/products/jth6e13be_f61308c8-99eb-44df-aac2-25c9159d6b6d.jpg?v=1633031148")</f>
        <v>#NAME?</v>
      </c>
      <c r="H4951" t="e">
        <f ca="1">_xludf.IMAGE("https://m.media-amazon.com/images/I/51f9vBFVXgL._AC_UL320_.jpg")</f>
        <v>#NAME?</v>
      </c>
      <c r="I4951" t="s">
        <v>2388</v>
      </c>
      <c r="J4951">
        <v>10.55</v>
      </c>
      <c r="K4951" s="4">
        <v>1.1142000000000001</v>
      </c>
      <c r="L4951">
        <v>4.7</v>
      </c>
      <c r="M4951">
        <v>32</v>
      </c>
      <c r="O4951" t="s">
        <v>25</v>
      </c>
      <c r="P4951" t="s">
        <v>6356</v>
      </c>
      <c r="Q4951" t="s">
        <v>6357</v>
      </c>
    </row>
    <row r="4952" spans="1:17" ht="15.5" x14ac:dyDescent="0.35">
      <c r="A4952"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4952"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4952" t="s">
        <v>6358</v>
      </c>
      <c r="D4952" t="s">
        <v>2386</v>
      </c>
      <c r="E4952" s="3" t="str">
        <f>HYPERLINK("https://www.amazon.com/Journeyman-T-Handle-Klein-Tools-JTH6E13BE/dp/B004QW52YW/ref=sr_1_3?keywords=Klein+Tools+JTH6M3BE+3+mm+Ball+Hex+Key+Journeyman+T-Handle+6-Inch&amp;qid=1695174181&amp;sr=8-3", "https://www.amazon.com/Journeyman-T-Handle-Klein-Tools-JTH6E13BE/dp/B004QW52YW/ref=sr_1_3?keywords=Klein+Tools+JTH6M3BE+3+mm+Ball+Hex+Key+Journeyman+T-Handle+6-Inch&amp;qid=1695174181&amp;sr=8-3")</f>
        <v>https://www.amazon.com/Journeyman-T-Handle-Klein-Tools-JTH6E13BE/dp/B004QW52YW/ref=sr_1_3?keywords=Klein+Tools+JTH6M3BE+3+mm+Ball+Hex+Key+Journeyman+T-Handle+6-Inch&amp;qid=1695174181&amp;sr=8-3</v>
      </c>
      <c r="F4952" t="s">
        <v>2387</v>
      </c>
      <c r="G4952" t="e">
        <f ca="1">_xludf.IMAGE("https://edmondsonsupply.com/cdn/shop/products/jth6m8be_1b0aeba1-6d03-4a46-99d8-f6853368c71f.jpg?v=1655941616")</f>
        <v>#NAME?</v>
      </c>
      <c r="H4952" t="e">
        <f ca="1">_xludf.IMAGE("https://m.media-amazon.com/images/I/51f9vBFVXgL._AC_UL320_.jpg")</f>
        <v>#NAME?</v>
      </c>
      <c r="I4952" t="s">
        <v>2388</v>
      </c>
      <c r="J4952">
        <v>10.55</v>
      </c>
      <c r="K4952" s="4">
        <v>1.1142000000000001</v>
      </c>
      <c r="L4952">
        <v>4.7</v>
      </c>
      <c r="M4952">
        <v>32</v>
      </c>
      <c r="O4952" t="s">
        <v>25</v>
      </c>
      <c r="P4952" t="s">
        <v>2392</v>
      </c>
      <c r="Q4952" t="s">
        <v>6359</v>
      </c>
    </row>
    <row r="4953" spans="1:17" ht="15.5" x14ac:dyDescent="0.35">
      <c r="A4953"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4953" s="3" t="str">
        <f>HYPERLINK("https://edmondsonsupply.com/products/klein-tools-jth4e17-1-2-inch-hex-key-journeyman-t-handle-4-inch", "https://edmondsonsupply.com/products/klein-tools-jth4e17-1-2-inch-hex-key-journeyman-t-handle-4-inch")</f>
        <v>https://edmondsonsupply.com/products/klein-tools-jth4e17-1-2-inch-hex-key-journeyman-t-handle-4-inch</v>
      </c>
      <c r="C4953" t="s">
        <v>2385</v>
      </c>
      <c r="D4953" t="s">
        <v>2386</v>
      </c>
      <c r="E4953" s="3" t="str">
        <f>HYPERLINK("https://www.amazon.com/Journeyman-T-Handle-Klein-Tools-JTH6E13BE/dp/B004QW52YW/ref=sr_1_6?keywords=Klein+Tools+JTH4E11+3%2F16-Inch+Hex+Key+with+Journeyman+T-Handle%2C+4-Inch&amp;qid=1695173897&amp;sr=8-6", "https://www.amazon.com/Journeyman-T-Handle-Klein-Tools-JTH6E13BE/dp/B004QW52YW/ref=sr_1_6?keywords=Klein+Tools+JTH4E11+3%2F16-Inch+Hex+Key+with+Journeyman+T-Handle%2C+4-Inch&amp;qid=1695173897&amp;sr=8-6")</f>
        <v>https://www.amazon.com/Journeyman-T-Handle-Klein-Tools-JTH6E13BE/dp/B004QW52YW/ref=sr_1_6?keywords=Klein+Tools+JTH4E11+3%2F16-Inch+Hex+Key+with+Journeyman+T-Handle%2C+4-Inch&amp;qid=1695173897&amp;sr=8-6</v>
      </c>
      <c r="F4953" t="s">
        <v>2387</v>
      </c>
      <c r="G4953" t="e">
        <f ca="1">_xludf.IMAGE("https://edmondsonsupply.com/cdn/shop/products/jth4e17.jpg?v=1587144836")</f>
        <v>#NAME?</v>
      </c>
      <c r="H4953" t="e">
        <f ca="1">_xludf.IMAGE("https://m.media-amazon.com/images/I/51f9vBFVXgL._AC_UL320_.jpg")</f>
        <v>#NAME?</v>
      </c>
      <c r="I4953" t="s">
        <v>2388</v>
      </c>
      <c r="J4953">
        <v>10.55</v>
      </c>
      <c r="K4953" s="4">
        <v>1.1142000000000001</v>
      </c>
      <c r="L4953">
        <v>4.7</v>
      </c>
      <c r="M4953">
        <v>32</v>
      </c>
      <c r="O4953" t="s">
        <v>25</v>
      </c>
      <c r="P4953" t="s">
        <v>2389</v>
      </c>
      <c r="Q4953" t="s">
        <v>2390</v>
      </c>
    </row>
    <row r="4954" spans="1:17" ht="15.5" x14ac:dyDescent="0.35">
      <c r="A4954"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4954"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4954" t="s">
        <v>2391</v>
      </c>
      <c r="D4954" t="s">
        <v>2386</v>
      </c>
      <c r="E4954" s="3" t="str">
        <f>HYPERLINK("https://www.amazon.com/Journeyman-T-Handle-Klein-Tools-JTH6E13BE/dp/B004QW52YW/ref=sr_1_2?keywords=Klein+Tools+JTH6E11+3%2F16-Inch+Hex+Key%2C+Journeyman+T-Handle%2C+6-Inch&amp;qid=1695173898&amp;sr=8-2", "https://www.amazon.com/Journeyman-T-Handle-Klein-Tools-JTH6E13BE/dp/B004QW52YW/ref=sr_1_2?keywords=Klein+Tools+JTH6E11+3%2F16-Inch+Hex+Key%2C+Journeyman+T-Handle%2C+6-Inch&amp;qid=1695173898&amp;sr=8-2")</f>
        <v>https://www.amazon.com/Journeyman-T-Handle-Klein-Tools-JTH6E13BE/dp/B004QW52YW/ref=sr_1_2?keywords=Klein+Tools+JTH6E11+3%2F16-Inch+Hex+Key%2C+Journeyman+T-Handle%2C+6-Inch&amp;qid=1695173898&amp;sr=8-2</v>
      </c>
      <c r="F4954" t="s">
        <v>2387</v>
      </c>
      <c r="G4954" t="e">
        <f ca="1">_xludf.IMAGE("https://edmondsonsupply.com/cdn/shop/products/jth6e15_0266106d-0a3b-44ba-997b-66db7749d83f.jpg?v=1587144829")</f>
        <v>#NAME?</v>
      </c>
      <c r="H4954" t="e">
        <f ca="1">_xludf.IMAGE("https://m.media-amazon.com/images/I/51f9vBFVXgL._AC_UL320_.jpg")</f>
        <v>#NAME?</v>
      </c>
      <c r="I4954" t="s">
        <v>2388</v>
      </c>
      <c r="J4954">
        <v>10.55</v>
      </c>
      <c r="K4954" s="4">
        <v>1.1142000000000001</v>
      </c>
      <c r="L4954">
        <v>4.7</v>
      </c>
      <c r="M4954">
        <v>32</v>
      </c>
      <c r="O4954" t="s">
        <v>25</v>
      </c>
      <c r="P4954" t="s">
        <v>2392</v>
      </c>
      <c r="Q4954" t="s">
        <v>2393</v>
      </c>
    </row>
    <row r="4955" spans="1:17" ht="15.5" x14ac:dyDescent="0.35">
      <c r="A4955" s="3" t="str">
        <f>HYPERLINK("https://edmondsonsupply.com/collections/electricians-tools/products/greenlee-gsb01-1-2-step-bit-1", "https://edmondsonsupply.com/collections/electricians-tools/products/greenlee-gsb01-1-2-step-bit-1")</f>
        <v>https://edmondsonsupply.com/collections/electricians-tools/products/greenlee-gsb01-1-2-step-bit-1</v>
      </c>
      <c r="B4955" s="3" t="str">
        <f>HYPERLINK("https://edmondsonsupply.com/products/greenlee-gsb01-1-2-step-bit-1", "https://edmondsonsupply.com/products/greenlee-gsb01-1-2-step-bit-1")</f>
        <v>https://edmondsonsupply.com/products/greenlee-gsb01-1-2-step-bit-1</v>
      </c>
      <c r="C4955" t="s">
        <v>2319</v>
      </c>
      <c r="D4955" t="s">
        <v>2320</v>
      </c>
      <c r="E4955" s="3" t="str">
        <f>HYPERLINK("https://www.amazon.com/Greenlee-Patented-Split-Step-Design-Cutting/dp/B08TVGF4MS/ref=sr_1_5?keywords=Greenlee+GSB01+1%2F2%22+Step+Bit+%28%231%29&amp;qid=1695173990&amp;sr=8-5", "https://www.amazon.com/Greenlee-Patented-Split-Step-Design-Cutting/dp/B08TVGF4MS/ref=sr_1_5?keywords=Greenlee+GSB01+1%2F2%22+Step+Bit+%28%231%29&amp;qid=1695173990&amp;sr=8-5")</f>
        <v>https://www.amazon.com/Greenlee-Patented-Split-Step-Design-Cutting/dp/B08TVGF4MS/ref=sr_1_5?keywords=Greenlee+GSB01+1%2F2%22+Step+Bit+%28%231%29&amp;qid=1695173990&amp;sr=8-5</v>
      </c>
      <c r="F4955" t="s">
        <v>2321</v>
      </c>
      <c r="G4955" t="e">
        <f ca="1">_xludf.IMAGE("https://edmondsonsupply.com/cdn/shop/files/GSB01_CAT1_72dpi_1.jpg?v=1687790366")</f>
        <v>#NAME?</v>
      </c>
      <c r="H4955" t="e">
        <f ca="1">_xludf.IMAGE("https://m.media-amazon.com/images/I/41J5YEXJLpL._AC_UY218_.jpg")</f>
        <v>#NAME?</v>
      </c>
      <c r="I4955" t="s">
        <v>2322</v>
      </c>
      <c r="J4955">
        <v>65.81</v>
      </c>
      <c r="K4955" s="4">
        <v>1.1079000000000001</v>
      </c>
      <c r="L4955">
        <v>3.8</v>
      </c>
      <c r="M4955">
        <v>5</v>
      </c>
      <c r="O4955" t="s">
        <v>25</v>
      </c>
      <c r="P4955" t="s">
        <v>138</v>
      </c>
      <c r="Q4955" t="s">
        <v>2323</v>
      </c>
    </row>
    <row r="4956" spans="1:17" ht="15.5" x14ac:dyDescent="0.35">
      <c r="A4956"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4956"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4956" t="s">
        <v>6276</v>
      </c>
      <c r="D4956" t="s">
        <v>6645</v>
      </c>
      <c r="E4956" s="3" t="str">
        <f>HYPERLINK("https://www.amazon.com/Klein-Tools-JTH9M25-Journeyman-T-Handle/dp/B0CFXPBXYK/ref=sr_1_9?keywords=Klein+Tools+JTH9E13+1%2F4-Inch+Hex+Key+with+Journeyman+T-Handle%2C+9-Inch&amp;qid=1695174307&amp;sr=8-9", "https://www.amazon.com/Klein-Tools-JTH9M25-Journeyman-T-Handle/dp/B0CFXPBXYK/ref=sr_1_9?keywords=Klein+Tools+JTH9E13+1%2F4-Inch+Hex+Key+with+Journeyman+T-Handle%2C+9-Inch&amp;qid=1695174307&amp;sr=8-9")</f>
        <v>https://www.amazon.com/Klein-Tools-JTH9M25-Journeyman-T-Handle/dp/B0CFXPBXYK/ref=sr_1_9?keywords=Klein+Tools+JTH9E13+1%2F4-Inch+Hex+Key+with+Journeyman+T-Handle%2C+9-Inch&amp;qid=1695174307&amp;sr=8-9</v>
      </c>
      <c r="F4956" t="s">
        <v>6646</v>
      </c>
      <c r="G4956" t="e">
        <f ca="1">_xludf.IMAGE("https://edmondsonsupply.com/cdn/shop/products/jth9e12_7dcdbf9a-5acd-4824-8919-6aeb4a790072.jpg?v=1604060723")</f>
        <v>#NAME?</v>
      </c>
      <c r="H4956" t="e">
        <f ca="1">_xludf.IMAGE("https://m.media-amazon.com/images/I/41QPzTKY+AL._AC_UL320_.jpg")</f>
        <v>#NAME?</v>
      </c>
      <c r="I4956" t="s">
        <v>4617</v>
      </c>
      <c r="J4956">
        <v>13.68</v>
      </c>
      <c r="K4956" s="4">
        <v>1.1079000000000001</v>
      </c>
      <c r="L4956">
        <v>4.2</v>
      </c>
      <c r="M4956">
        <v>14</v>
      </c>
      <c r="O4956" t="s">
        <v>25</v>
      </c>
      <c r="P4956" t="s">
        <v>6277</v>
      </c>
      <c r="Q4956" t="s">
        <v>6278</v>
      </c>
    </row>
    <row r="4957" spans="1:17" ht="15.5" x14ac:dyDescent="0.35">
      <c r="A4957"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4957" s="3" t="str">
        <f>HYPERLINK("https://edmondsonsupply.com/products/klein-tools-32907-7-in-1-impact-flip-socket-set-no-handle", "https://edmondsonsupply.com/products/klein-tools-32907-7-in-1-impact-flip-socket-set-no-handle")</f>
        <v>https://edmondsonsupply.com/products/klein-tools-32907-7-in-1-impact-flip-socket-set-no-handle</v>
      </c>
      <c r="C4957" t="s">
        <v>1833</v>
      </c>
      <c r="D4957" t="s">
        <v>2403</v>
      </c>
      <c r="E4957" s="3" t="str">
        <f>HYPERLINK("https://www.amazon.com/Klein-Tools-Screwdriver-Multi-bit-Stubby/dp/B0CF2F1JXG/ref=sr_1_3?keywords=Klein+Tools+32907+7-in-1+Impact+Flip+Socket+Set%2C+No+Handle&amp;qid=1695173886&amp;sr=8-3", "https://www.amazon.com/Klein-Tools-Screwdriver-Multi-bit-Stubby/dp/B0CF2F1JXG/ref=sr_1_3?keywords=Klein+Tools+32907+7-in-1+Impact+Flip+Socket+Set%2C+No+Handle&amp;qid=1695173886&amp;sr=8-3")</f>
        <v>https://www.amazon.com/Klein-Tools-Screwdriver-Multi-bit-Stubby/dp/B0CF2F1JXG/ref=sr_1_3?keywords=Klein+Tools+32907+7-in-1+Impact+Flip+Socket+Set%2C+No+Handle&amp;qid=1695173886&amp;sr=8-3</v>
      </c>
      <c r="F4957" t="s">
        <v>2404</v>
      </c>
      <c r="G4957" t="e">
        <f ca="1">_xludf.IMAGE("https://edmondsonsupply.com/cdn/shop/products/32907_b.jpg?v=1666025282")</f>
        <v>#NAME?</v>
      </c>
      <c r="H4957" t="e">
        <f ca="1">_xludf.IMAGE("https://m.media-amazon.com/images/I/41r3ulT1BkL._AC_UL320_.jpg")</f>
        <v>#NAME?</v>
      </c>
      <c r="I4957" t="s">
        <v>577</v>
      </c>
      <c r="J4957">
        <v>41.98</v>
      </c>
      <c r="K4957" s="4">
        <v>1.1001000000000001</v>
      </c>
      <c r="L4957">
        <v>4.8</v>
      </c>
      <c r="M4957">
        <v>13277</v>
      </c>
      <c r="O4957" t="s">
        <v>25</v>
      </c>
      <c r="P4957" t="s">
        <v>1836</v>
      </c>
      <c r="Q4957" t="s">
        <v>1837</v>
      </c>
    </row>
    <row r="4958" spans="1:17" ht="15.5" x14ac:dyDescent="0.35">
      <c r="A4958"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4958" s="3" t="str">
        <f>HYPERLINK("https://edmondsonsupply.com/products/klein-tools-vdv526-200-lan-scout-%c2%ae-jr-2-cable-tester", "https://edmondsonsupply.com/products/klein-tools-vdv526-200-lan-scout-%c2%ae-jr-2-cable-tester")</f>
        <v>https://edmondsonsupply.com/products/klein-tools-vdv526-200-lan-scout-%c2%ae-jr-2-cable-tester</v>
      </c>
      <c r="C4958" t="s">
        <v>6500</v>
      </c>
      <c r="D4958" t="s">
        <v>6647</v>
      </c>
      <c r="E4958" s="3" t="str">
        <f>HYPERLINK("https://www.amazon.com/Klein-Tools-VDV526-200-Racheting-Installation/dp/B09T6ZR6BP/ref=sr_1_4?keywords=Klein+Tools+VDV526-200+LAN+Scout+%C2%AE+Jr.+2+Cable+Tester&amp;qid=1695174153&amp;sr=8-4", "https://www.amazon.com/Klein-Tools-VDV526-200-Racheting-Installation/dp/B09T6ZR6BP/ref=sr_1_4?keywords=Klein+Tools+VDV526-200+LAN+Scout+%C2%AE+Jr.+2+Cable+Tester&amp;qid=1695174153&amp;sr=8-4")</f>
        <v>https://www.amazon.com/Klein-Tools-VDV526-200-Racheting-Installation/dp/B09T6ZR6BP/ref=sr_1_4?keywords=Klein+Tools+VDV526-200+LAN+Scout+%C2%AE+Jr.+2+Cable+Tester&amp;qid=1695174153&amp;sr=8-4</v>
      </c>
      <c r="F4958" t="s">
        <v>6648</v>
      </c>
      <c r="G4958" t="e">
        <f ca="1">_xludf.IMAGE("https://edmondsonsupply.com/cdn/shop/products/vdv526200.jpg?v=1663689949")</f>
        <v>#NAME?</v>
      </c>
      <c r="H4958" t="e">
        <f ca="1">_xludf.IMAGE("https://m.media-amazon.com/images/I/51KxuoR6hnL._AC_UY218_.jpg")</f>
        <v>#NAME?</v>
      </c>
      <c r="I4958" t="s">
        <v>3359</v>
      </c>
      <c r="J4958">
        <v>114.96</v>
      </c>
      <c r="K4958" s="4">
        <v>1.0912999999999999</v>
      </c>
      <c r="L4958">
        <v>5</v>
      </c>
      <c r="M4958">
        <v>7</v>
      </c>
      <c r="O4958" t="s">
        <v>25</v>
      </c>
      <c r="P4958" t="s">
        <v>6503</v>
      </c>
      <c r="Q4958" t="s">
        <v>6504</v>
      </c>
    </row>
    <row r="4959" spans="1:17" ht="15.5" x14ac:dyDescent="0.35">
      <c r="A4959" s="3" t="str">
        <f>HYPERLINK("https://edmondsonsupply.com/collections/electricians-tools/products/klein-tools-50031-ratcheting-pvc-cutter", "https://edmondsonsupply.com/collections/electricians-tools/products/klein-tools-50031-ratcheting-pvc-cutter")</f>
        <v>https://edmondsonsupply.com/collections/electricians-tools/products/klein-tools-50031-ratcheting-pvc-cutter</v>
      </c>
      <c r="B4959" s="3" t="str">
        <f>HYPERLINK("https://edmondsonsupply.com/products/klein-tools-50031-ratcheting-pvc-cutter", "https://edmondsonsupply.com/products/klein-tools-50031-ratcheting-pvc-cutter")</f>
        <v>https://edmondsonsupply.com/products/klein-tools-50031-ratcheting-pvc-cutter</v>
      </c>
      <c r="C4959" t="s">
        <v>6649</v>
      </c>
      <c r="D4959" t="s">
        <v>6650</v>
      </c>
      <c r="E4959" s="3" t="str">
        <f>HYPERLINK("https://www.amazon.com/Capacity-Ratcheting-Klein-Tools-50034/dp/B019875KC8/ref=sr_1_5?keywords=Klein+Tools+50031+Ratcheting+PVC+Cutter&amp;qid=1695174227&amp;sr=8-5", "https://www.amazon.com/Capacity-Ratcheting-Klein-Tools-50034/dp/B019875KC8/ref=sr_1_5?keywords=Klein+Tools+50031+Ratcheting+PVC+Cutter&amp;qid=1695174227&amp;sr=8-5")</f>
        <v>https://www.amazon.com/Capacity-Ratcheting-Klein-Tools-50034/dp/B019875KC8/ref=sr_1_5?keywords=Klein+Tools+50031+Ratcheting+PVC+Cutter&amp;qid=1695174227&amp;sr=8-5</v>
      </c>
      <c r="F4959" t="s">
        <v>6651</v>
      </c>
      <c r="G4959" t="e">
        <f ca="1">_xludf.IMAGE("https://edmondsonsupply.com/cdn/shop/products/50031.jpg?v=1587145344")</f>
        <v>#NAME?</v>
      </c>
      <c r="H4959" t="e">
        <f ca="1">_xludf.IMAGE("https://m.media-amazon.com/images/I/51bEAgYDRXL._AC_UL320_.jpg")</f>
        <v>#NAME?</v>
      </c>
      <c r="I4959" t="s">
        <v>626</v>
      </c>
      <c r="J4959">
        <v>197.99</v>
      </c>
      <c r="K4959" s="4">
        <v>1.0843</v>
      </c>
      <c r="L4959">
        <v>5</v>
      </c>
      <c r="M4959">
        <v>10</v>
      </c>
      <c r="O4959" t="s">
        <v>25</v>
      </c>
      <c r="P4959" t="s">
        <v>6652</v>
      </c>
      <c r="Q4959" t="s">
        <v>6653</v>
      </c>
    </row>
    <row r="4960" spans="1:17" ht="15.5" x14ac:dyDescent="0.35">
      <c r="A4960" s="3" t="str">
        <f>HYPERLINK("https://edmondsonsupply.com/collections/electricians-tools/products/greenlee-gsb06-1-2-step-bit-6", "https://edmondsonsupply.com/collections/electricians-tools/products/greenlee-gsb06-1-2-step-bit-6")</f>
        <v>https://edmondsonsupply.com/collections/electricians-tools/products/greenlee-gsb06-1-2-step-bit-6</v>
      </c>
      <c r="B4960" s="3" t="str">
        <f>HYPERLINK("https://edmondsonsupply.com/products/greenlee-gsb06-1-2-step-bit-6", "https://edmondsonsupply.com/products/greenlee-gsb06-1-2-step-bit-6")</f>
        <v>https://edmondsonsupply.com/products/greenlee-gsb06-1-2-step-bit-6</v>
      </c>
      <c r="C4960" t="s">
        <v>2409</v>
      </c>
      <c r="D4960" t="s">
        <v>2320</v>
      </c>
      <c r="E4960" s="3" t="str">
        <f>HYPERLINK("https://www.amazon.com/Greenlee-Patented-Split-Step-Design-Cutting/dp/B08TVGF4MS/ref=sr_1_4?keywords=Greenlee+GSB06+1%2F2%22+Step+Bit+%28%236%29&amp;qid=1695173911&amp;sr=8-4", "https://www.amazon.com/Greenlee-Patented-Split-Step-Design-Cutting/dp/B08TVGF4MS/ref=sr_1_4?keywords=Greenlee+GSB06+1%2F2%22+Step+Bit+%28%236%29&amp;qid=1695173911&amp;sr=8-4")</f>
        <v>https://www.amazon.com/Greenlee-Patented-Split-Step-Design-Cutting/dp/B08TVGF4MS/ref=sr_1_4?keywords=Greenlee+GSB06+1%2F2%22+Step+Bit+%28%236%29&amp;qid=1695173911&amp;sr=8-4</v>
      </c>
      <c r="F4960" t="s">
        <v>2321</v>
      </c>
      <c r="G4960" t="e">
        <f ca="1">_xludf.IMAGE("https://edmondsonsupply.com/cdn/shop/files/GSB06_CAT1_72dpi.jpg?v=1687788659")</f>
        <v>#NAME?</v>
      </c>
      <c r="H4960" t="e">
        <f ca="1">_xludf.IMAGE("https://m.media-amazon.com/images/I/41J5YEXJLpL._AC_UY218_.jpg")</f>
        <v>#NAME?</v>
      </c>
      <c r="I4960" t="s">
        <v>2410</v>
      </c>
      <c r="J4960">
        <v>68.430000000000007</v>
      </c>
      <c r="K4960" s="4">
        <v>1.0806</v>
      </c>
      <c r="L4960">
        <v>3.8</v>
      </c>
      <c r="M4960">
        <v>5</v>
      </c>
      <c r="O4960" t="s">
        <v>25</v>
      </c>
      <c r="P4960" t="s">
        <v>2411</v>
      </c>
      <c r="Q4960" t="s">
        <v>2412</v>
      </c>
    </row>
    <row r="4961" spans="1:17" ht="15.5" x14ac:dyDescent="0.35">
      <c r="A4961" s="3" t="str">
        <f>HYPERLINK("https://edmondsonsupply.com/collections/electricians-tools/products/milwaukee-49-56-0509-diamond-max%E2%84%A2-hole-saws", "https://edmondsonsupply.com/collections/electricians-tools/products/milwaukee-49-56-0509-diamond-max%E2%84%A2-hole-saws")</f>
        <v>https://edmondsonsupply.com/collections/electricians-tools/products/milwaukee-49-56-0509-diamond-max%E2%84%A2-hole-saws</v>
      </c>
      <c r="B4961" s="3" t="str">
        <f>HYPERLINK("https://edmondsonsupply.com/products/milwaukee-49-56-0509-diamond-max%e2%84%a2-hole-saws", "https://edmondsonsupply.com/products/milwaukee-49-56-0509-diamond-max%e2%84%a2-hole-saws")</f>
        <v>https://edmondsonsupply.com/products/milwaukee-49-56-0509-diamond-max%e2%84%a2-hole-saws</v>
      </c>
      <c r="C4961" t="s">
        <v>6654</v>
      </c>
      <c r="D4961" t="s">
        <v>6655</v>
      </c>
      <c r="E4961" s="3" t="str">
        <f>HYPERLINK("https://www.amazon.com/Milwaukee-Electric-Tool-49-56-0305-Recessed/dp/B000CSWEXG/ref=sr_1_6?keywords=Milwaukee+49-56-0509+3%2F8%22+Diamond+MAX%E2%84%A2+Hole+Saw&amp;qid=1695174089&amp;sr=8-6", "https://www.amazon.com/Milwaukee-Electric-Tool-49-56-0305-Recessed/dp/B000CSWEXG/ref=sr_1_6?keywords=Milwaukee+49-56-0509+3%2F8%22+Diamond+MAX%E2%84%A2+Hole+Saw&amp;qid=1695174089&amp;sr=8-6")</f>
        <v>https://www.amazon.com/Milwaukee-Electric-Tool-49-56-0305-Recessed/dp/B000CSWEXG/ref=sr_1_6?keywords=Milwaukee+49-56-0509+3%2F8%22+Diamond+MAX%E2%84%A2+Hole+Saw&amp;qid=1695174089&amp;sr=8-6</v>
      </c>
      <c r="F4961" t="s">
        <v>6656</v>
      </c>
      <c r="G4961" t="e">
        <f ca="1">_xludf.IMAGE("https://edmondsonsupply.com/cdn/shop/products/images.jpg?v=1678461630")</f>
        <v>#NAME?</v>
      </c>
      <c r="H4961" t="e">
        <f ca="1">_xludf.IMAGE("https://m.media-amazon.com/images/I/81M-n8hCg6L._AC_UL320_.jpg")</f>
        <v>#NAME?</v>
      </c>
      <c r="I4961" t="s">
        <v>3867</v>
      </c>
      <c r="J4961">
        <v>41.47</v>
      </c>
      <c r="K4961" s="4">
        <v>1.0755999999999999</v>
      </c>
      <c r="L4961">
        <v>4.7</v>
      </c>
      <c r="M4961">
        <v>282</v>
      </c>
      <c r="O4961" t="s">
        <v>25</v>
      </c>
      <c r="P4961" t="s">
        <v>6657</v>
      </c>
      <c r="Q4961" t="s">
        <v>6658</v>
      </c>
    </row>
    <row r="4962" spans="1:17" ht="15.5" x14ac:dyDescent="0.35">
      <c r="A4962"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4962" s="3" t="str">
        <f>HYPERLINK("https://edmondsonsupply.com/products/klein-tools-66070-flip-impact-socket-set-7-piece", "https://edmondsonsupply.com/products/klein-tools-66070-flip-impact-socket-set-7-piece")</f>
        <v>https://edmondsonsupply.com/products/klein-tools-66070-flip-impact-socket-set-7-piece</v>
      </c>
      <c r="C4962" t="s">
        <v>6659</v>
      </c>
      <c r="D4962" t="s">
        <v>6660</v>
      </c>
      <c r="E4962" s="3" t="str">
        <f>HYPERLINK("https://www.amazon.com/Wera-056490-Tool-Check-Ratchet-Sockets/dp/B0C3MY7J6Z/ref=sr_1_5?keywords=Klein+Tools+66070+Flip+Impact+Socket+Set%2C+7-Piece&amp;qid=1695173845&amp;sr=8-5", "https://www.amazon.com/Wera-056490-Tool-Check-Ratchet-Sockets/dp/B0C3MY7J6Z/ref=sr_1_5?keywords=Klein+Tools+66070+Flip+Impact+Socket+Set%2C+7-Piece&amp;qid=1695173845&amp;sr=8-5")</f>
        <v>https://www.amazon.com/Wera-056490-Tool-Check-Ratchet-Sockets/dp/B0C3MY7J6Z/ref=sr_1_5?keywords=Klein+Tools+66070+Flip+Impact+Socket+Set%2C+7-Piece&amp;qid=1695173845&amp;sr=8-5</v>
      </c>
      <c r="F4962" t="s">
        <v>6661</v>
      </c>
      <c r="G4962" t="e">
        <f ca="1">_xludf.IMAGE("https://edmondsonsupply.com/cdn/shop/products/66070_b.jpg?v=1663251434")</f>
        <v>#NAME?</v>
      </c>
      <c r="H4962" t="e">
        <f ca="1">_xludf.IMAGE("https://m.media-amazon.com/images/I/51rgYJySnHL._AC_UL320_.jpg")</f>
        <v>#NAME?</v>
      </c>
      <c r="I4962" t="s">
        <v>380</v>
      </c>
      <c r="J4962">
        <v>103.56</v>
      </c>
      <c r="K4962" s="4">
        <v>1.0724</v>
      </c>
      <c r="L4962">
        <v>4.8</v>
      </c>
      <c r="M4962">
        <v>11932</v>
      </c>
      <c r="O4962" t="s">
        <v>25</v>
      </c>
      <c r="P4962" t="s">
        <v>1114</v>
      </c>
      <c r="Q4962" t="s">
        <v>6662</v>
      </c>
    </row>
    <row r="4963" spans="1:17" ht="15.5" x14ac:dyDescent="0.35">
      <c r="A4963"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4963" s="3" t="str">
        <f>HYPERLINK("https://edmondsonsupply.com/products/klein-tools-ncvt1xt-non-contact-voltage-tester-70-to-1000v-ac", "https://edmondsonsupply.com/products/klein-tools-ncvt1xt-non-contact-voltage-tester-70-to-1000v-ac")</f>
        <v>https://edmondsonsupply.com/products/klein-tools-ncvt1xt-non-contact-voltage-tester-70-to-1000v-ac</v>
      </c>
      <c r="C4963" t="s">
        <v>6346</v>
      </c>
      <c r="D4963" t="s">
        <v>6663</v>
      </c>
      <c r="E4963" s="3" t="str">
        <f>HYPERLINK("https://www.amazon.com/Klein-Tools-Electric-Non-Contact-Detector/dp/B0CB14H87T/ref=sr_1_2?keywords=Klein+Tools+NCVT1XT+Non-Contact+Voltage+Tester%2C+70+to+1000V+AC&amp;qid=1695174075&amp;sr=8-2", "https://www.amazon.com/Klein-Tools-Electric-Non-Contact-Detector/dp/B0CB14H87T/ref=sr_1_2?keywords=Klein+Tools+NCVT1XT+Non-Contact+Voltage+Tester%2C+70+to+1000V+AC&amp;qid=1695174075&amp;sr=8-2")</f>
        <v>https://www.amazon.com/Klein-Tools-Electric-Non-Contact-Detector/dp/B0CB14H87T/ref=sr_1_2?keywords=Klein+Tools+NCVT1XT+Non-Contact+Voltage+Tester%2C+70+to+1000V+AC&amp;qid=1695174075&amp;sr=8-2</v>
      </c>
      <c r="F4963" t="s">
        <v>6664</v>
      </c>
      <c r="G4963" t="e">
        <f ca="1">_xludf.IMAGE("https://edmondsonsupply.com/cdn/shop/products/ncvt1xt.jpg?v=1674496568")</f>
        <v>#NAME?</v>
      </c>
      <c r="H4963" t="e">
        <f ca="1">_xludf.IMAGE("https://m.media-amazon.com/images/I/51L3qoakqzL._AC_UL320_.jpg")</f>
        <v>#NAME?</v>
      </c>
      <c r="I4963" t="s">
        <v>893</v>
      </c>
      <c r="J4963">
        <v>41.31</v>
      </c>
      <c r="K4963" s="4">
        <v>1.0686</v>
      </c>
      <c r="L4963">
        <v>4.8</v>
      </c>
      <c r="M4963">
        <v>7966</v>
      </c>
      <c r="O4963" t="s">
        <v>25</v>
      </c>
      <c r="P4963" t="s">
        <v>6347</v>
      </c>
      <c r="Q4963" t="s">
        <v>6348</v>
      </c>
    </row>
    <row r="4964" spans="1:17" ht="15.5" x14ac:dyDescent="0.35">
      <c r="A4964" s="3" t="str">
        <f>HYPERLINK("https://edmondsonsupply.com/collections/electricians-tools/products/milwaukee-48-22-1521-compact-folding-knife", "https://edmondsonsupply.com/collections/electricians-tools/products/milwaukee-48-22-1521-compact-folding-knife")</f>
        <v>https://edmondsonsupply.com/collections/electricians-tools/products/milwaukee-48-22-1521-compact-folding-knife</v>
      </c>
      <c r="B4964" s="3" t="str">
        <f>HYPERLINK("https://edmondsonsupply.com/products/milwaukee-48-22-1521-compact-folding-knife", "https://edmondsonsupply.com/products/milwaukee-48-22-1521-compact-folding-knife")</f>
        <v>https://edmondsonsupply.com/products/milwaukee-48-22-1521-compact-folding-knife</v>
      </c>
      <c r="C4964" t="s">
        <v>6665</v>
      </c>
      <c r="D4964" t="s">
        <v>1942</v>
      </c>
      <c r="E4964" s="3" t="str">
        <f>HYPERLINK("https://www.amazon.com/Milwaukee-48-22-1505-FastbackTM-Folding-Utility/dp/B0C69TGH9K/ref=sr_1_2?keywords=Milwaukee+48-22-1521+Compact+Folding+Knife&amp;qid=1695174090&amp;sr=8-2", "https://www.amazon.com/Milwaukee-48-22-1505-FastbackTM-Folding-Utility/dp/B0C69TGH9K/ref=sr_1_2?keywords=Milwaukee+48-22-1521+Compact+Folding+Knife&amp;qid=1695174090&amp;sr=8-2")</f>
        <v>https://www.amazon.com/Milwaukee-48-22-1505-FastbackTM-Folding-Utility/dp/B0C69TGH9K/ref=sr_1_2?keywords=Milwaukee+48-22-1521+Compact+Folding+Knife&amp;qid=1695174090&amp;sr=8-2</v>
      </c>
      <c r="F4964" t="s">
        <v>1943</v>
      </c>
      <c r="G4964" t="e">
        <f ca="1">_xludf.IMAGE("https://edmondsonsupply.com/cdn/shop/products/48-22-1521_1.webp?v=1675359641")</f>
        <v>#NAME?</v>
      </c>
      <c r="H4964" t="e">
        <f ca="1">_xludf.IMAGE("https://m.media-amazon.com/images/I/41ZUsUsHByL._AC_UL320_.jpg")</f>
        <v>#NAME?</v>
      </c>
      <c r="I4964" t="s">
        <v>1211</v>
      </c>
      <c r="J4964">
        <v>26.75</v>
      </c>
      <c r="K4964" s="4">
        <v>1.0625</v>
      </c>
      <c r="L4964">
        <v>4.7</v>
      </c>
      <c r="M4964">
        <v>4</v>
      </c>
      <c r="O4964" t="s">
        <v>25</v>
      </c>
      <c r="P4964" t="s">
        <v>6666</v>
      </c>
      <c r="Q4964" t="s">
        <v>6667</v>
      </c>
    </row>
    <row r="4965" spans="1:17" ht="15.5" x14ac:dyDescent="0.35">
      <c r="A4965"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4965" s="3" t="str">
        <f>HYPERLINK("https://edmondsonsupply.com/products/klein-tools-65200-electricians-mini-ratchet-set-5-piece", "https://edmondsonsupply.com/products/klein-tools-65200-electricians-mini-ratchet-set-5-piece")</f>
        <v>https://edmondsonsupply.com/products/klein-tools-65200-electricians-mini-ratchet-set-5-piece</v>
      </c>
      <c r="C4965" t="s">
        <v>140</v>
      </c>
      <c r="D4965" t="s">
        <v>189</v>
      </c>
      <c r="E4965" s="3" t="str">
        <f>HYPERLINK("https://www.amazon.com/Klein-Tools-Multi-bit-Screwdriver-Adjustable/dp/B0BCT97D2B/ref=sr_1_3?keywords=Klein+Tools+65200+Slim-Profile+Mini+Ratchet+Set%2C+5-Piece&amp;qid=1695173845&amp;sr=8-3", "https://www.amazon.com/Klein-Tools-Multi-bit-Screwdriver-Adjustable/dp/B0BCT97D2B/ref=sr_1_3?keywords=Klein+Tools+65200+Slim-Profile+Mini+Ratchet+Set%2C+5-Piece&amp;qid=1695173845&amp;sr=8-3")</f>
        <v>https://www.amazon.com/Klein-Tools-Multi-bit-Screwdriver-Adjustable/dp/B0BCT97D2B/ref=sr_1_3?keywords=Klein+Tools+65200+Slim-Profile+Mini+Ratchet+Set%2C+5-Piece&amp;qid=1695173845&amp;sr=8-3</v>
      </c>
      <c r="F4965" t="s">
        <v>190</v>
      </c>
      <c r="G4965" t="e">
        <f ca="1">_xludf.IMAGE("https://edmondsonsupply.com/cdn/shop/products/65200.jpg?v=1633030630")</f>
        <v>#NAME?</v>
      </c>
      <c r="H4965" t="e">
        <f ca="1">_xludf.IMAGE("https://m.media-amazon.com/images/I/51FhukkqNXL._AC_UL320_.jpg")</f>
        <v>#NAME?</v>
      </c>
      <c r="I4965" t="s">
        <v>143</v>
      </c>
      <c r="J4965">
        <v>32.93</v>
      </c>
      <c r="K4965" s="4">
        <v>1.0620000000000001</v>
      </c>
      <c r="L4965">
        <v>5</v>
      </c>
      <c r="M4965">
        <v>7</v>
      </c>
      <c r="O4965" t="s">
        <v>25</v>
      </c>
      <c r="P4965" t="s">
        <v>144</v>
      </c>
      <c r="Q4965" t="s">
        <v>145</v>
      </c>
    </row>
    <row r="4966" spans="1:17" ht="15.5" x14ac:dyDescent="0.35">
      <c r="A4966"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4966" s="3" t="str">
        <f>HYPERLINK("https://edmondsonsupply.com/products/klein-tools-vdv427-300-impact-punchdown-tool-66-110-blade", "https://edmondsonsupply.com/products/klein-tools-vdv427-300-impact-punchdown-tool-66-110-blade")</f>
        <v>https://edmondsonsupply.com/products/klein-tools-vdv427-300-impact-punchdown-tool-66-110-blade</v>
      </c>
      <c r="C4966" t="s">
        <v>6289</v>
      </c>
      <c r="D4966" t="s">
        <v>6668</v>
      </c>
      <c r="E4966" s="3" t="str">
        <f>HYPERLINK("https://www.amazon.com/Klein-Tools-Free-Fall-VDV427-300-Punchdown/dp/B0BD3YB2HS/ref=sr_1_8?keywords=Klein+Tools+VDV427-300+Impact+Punchdown+Tool%2C+66%2F110+Blade&amp;qid=1695174221&amp;sr=8-8", "https://www.amazon.com/Klein-Tools-Free-Fall-VDV427-300-Punchdown/dp/B0BD3YB2HS/ref=sr_1_8?keywords=Klein+Tools+VDV427-300+Impact+Punchdown+Tool%2C+66%2F110+Blade&amp;qid=1695174221&amp;sr=8-8")</f>
        <v>https://www.amazon.com/Klein-Tools-Free-Fall-VDV427-300-Punchdown/dp/B0BD3YB2HS/ref=sr_1_8?keywords=Klein+Tools+VDV427-300+Impact+Punchdown+Tool%2C+66%2F110+Blade&amp;qid=1695174221&amp;sr=8-8</v>
      </c>
      <c r="F4966" t="s">
        <v>6669</v>
      </c>
      <c r="G4966" t="e">
        <f ca="1">_xludf.IMAGE("https://edmondsonsupply.com/cdn/shop/products/vdv427300.jpg?v=1646010568")</f>
        <v>#NAME?</v>
      </c>
      <c r="H4966" t="e">
        <f ca="1">_xludf.IMAGE("https://m.media-amazon.com/images/I/51JNLLq52ZL._AC_UL320_.jpg")</f>
        <v>#NAME?</v>
      </c>
      <c r="I4966" t="s">
        <v>246</v>
      </c>
      <c r="J4966">
        <v>82</v>
      </c>
      <c r="K4966" s="4">
        <v>1.0515000000000001</v>
      </c>
      <c r="L4966">
        <v>4</v>
      </c>
      <c r="M4966">
        <v>1</v>
      </c>
      <c r="O4966" t="s">
        <v>25</v>
      </c>
      <c r="P4966" t="s">
        <v>1027</v>
      </c>
      <c r="Q4966" t="s">
        <v>6292</v>
      </c>
    </row>
    <row r="4967" spans="1:17" ht="15.5" x14ac:dyDescent="0.35">
      <c r="A4967"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4967" s="3" t="str">
        <f>HYPERLINK("https://edmondsonsupply.com/products/klein-tools-jth9m5-4-mm-hex-key-journeyman-t-handle-9-inch", "https://edmondsonsupply.com/products/klein-tools-jth9m5-4-mm-hex-key-journeyman-t-handle-9-inch")</f>
        <v>https://edmondsonsupply.com/products/klein-tools-jth9m5-4-mm-hex-key-journeyman-t-handle-9-inch</v>
      </c>
      <c r="C4967" t="s">
        <v>6121</v>
      </c>
      <c r="D4967" t="s">
        <v>2633</v>
      </c>
      <c r="E4967" s="3" t="str">
        <f>HYPERLINK("https://www.amazon.com/Journeyman-T-Handle-Klein-Tools-JTH9M5/dp/B005G3HJDW/ref=sr_1_10?keywords=Klein+Tools+JTH9M4+4+mm+Hex+Key%2C+Journeyman+T-Handle%2C+9-Inch&amp;qid=1695174234&amp;sr=8-10", "https://www.amazon.com/Journeyman-T-Handle-Klein-Tools-JTH9M5/dp/B005G3HJDW/ref=sr_1_10?keywords=Klein+Tools+JTH9M4+4+mm+Hex+Key%2C+Journeyman+T-Handle%2C+9-Inch&amp;qid=1695174234&amp;sr=8-10")</f>
        <v>https://www.amazon.com/Journeyman-T-Handle-Klein-Tools-JTH9M5/dp/B005G3HJDW/ref=sr_1_10?keywords=Klein+Tools+JTH9M4+4+mm+Hex+Key%2C+Journeyman+T-Handle%2C+9-Inch&amp;qid=1695174234&amp;sr=8-10</v>
      </c>
      <c r="F4967" t="s">
        <v>2634</v>
      </c>
      <c r="G4967" t="e">
        <f ca="1">_xludf.IMAGE("https://edmondsonsupply.com/cdn/shop/products/jth9m_fa8a641d-d03f-4191-ab24-b9045963e4f7.jpg?v=1640191121")</f>
        <v>#NAME?</v>
      </c>
      <c r="H4967" t="e">
        <f ca="1">_xludf.IMAGE("https://m.media-amazon.com/images/I/51O91N8K8wL._AC_UL320_.jpg")</f>
        <v>#NAME?</v>
      </c>
      <c r="I4967" t="s">
        <v>6122</v>
      </c>
      <c r="J4967">
        <v>9.1999999999999993</v>
      </c>
      <c r="K4967" s="4">
        <v>1.0489999999999999</v>
      </c>
      <c r="L4967">
        <v>4.7</v>
      </c>
      <c r="M4967">
        <v>160</v>
      </c>
      <c r="O4967" t="s">
        <v>25</v>
      </c>
      <c r="P4967" t="s">
        <v>6123</v>
      </c>
      <c r="Q4967" t="s">
        <v>6124</v>
      </c>
    </row>
    <row r="4968" spans="1:17" ht="15.5" x14ac:dyDescent="0.35">
      <c r="A4968" s="3" t="str">
        <f>HYPERLINK("https://edmondsonsupply.com/collections/electricians-tools/products/greenlee-609-3-4-foam-conduit-piston", "https://edmondsonsupply.com/collections/electricians-tools/products/greenlee-609-3-4-foam-conduit-piston")</f>
        <v>https://edmondsonsupply.com/collections/electricians-tools/products/greenlee-609-3-4-foam-conduit-piston</v>
      </c>
      <c r="B4968" s="3" t="str">
        <f>HYPERLINK("https://edmondsonsupply.com/products/greenlee-609-3-4-foam-conduit-piston", "https://edmondsonsupply.com/products/greenlee-609-3-4-foam-conduit-piston")</f>
        <v>https://edmondsonsupply.com/products/greenlee-609-3-4-foam-conduit-piston</v>
      </c>
      <c r="C4968" t="s">
        <v>6095</v>
      </c>
      <c r="D4968" t="s">
        <v>6670</v>
      </c>
      <c r="E4968" s="3" t="str">
        <f>HYPERLINK("https://www.amazon.com/Greenlee-609-Single-Piston-Conduit/dp/B004QNZ8GS/ref=sr_1_5?keywords=Greenlee+609+3%2F4%22+Foam+Conduit+Piston&amp;qid=1695174000&amp;sr=8-5", "https://www.amazon.com/Greenlee-609-Single-Piston-Conduit/dp/B004QNZ8GS/ref=sr_1_5?keywords=Greenlee+609+3%2F4%22+Foam+Conduit+Piston&amp;qid=1695174000&amp;sr=8-5")</f>
        <v>https://www.amazon.com/Greenlee-609-Single-Piston-Conduit/dp/B004QNZ8GS/ref=sr_1_5?keywords=Greenlee+609+3%2F4%22+Foam+Conduit+Piston&amp;qid=1695174000&amp;sr=8-5</v>
      </c>
      <c r="F4968" t="s">
        <v>6671</v>
      </c>
      <c r="G4968" t="e">
        <f ca="1">_xludf.IMAGE("https://edmondsonsupply.com/cdn/shop/files/Greenlee-609_1.webp?v=1687448329")</f>
        <v>#NAME?</v>
      </c>
      <c r="H4968" t="e">
        <f ca="1">_xludf.IMAGE("https://m.media-amazon.com/images/I/71LqGT4IPqL._AC_UL320_.jpg")</f>
        <v>#NAME?</v>
      </c>
      <c r="I4968" t="s">
        <v>6098</v>
      </c>
      <c r="J4968">
        <v>13.97</v>
      </c>
      <c r="K4968" s="4">
        <v>1.0484</v>
      </c>
      <c r="L4968">
        <v>4.2</v>
      </c>
      <c r="M4968">
        <v>29</v>
      </c>
      <c r="O4968" t="s">
        <v>25</v>
      </c>
      <c r="P4968" t="s">
        <v>138</v>
      </c>
      <c r="Q4968" t="s">
        <v>6099</v>
      </c>
    </row>
    <row r="4969" spans="1:17" ht="15.5" x14ac:dyDescent="0.35">
      <c r="A4969"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4969"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4969" t="s">
        <v>2430</v>
      </c>
      <c r="D4969" t="s">
        <v>2431</v>
      </c>
      <c r="E4969" s="3" t="str">
        <f>HYPERLINK("https://www.amazon.com/Klein-Tools-Screwdriver-Precision-Electrician/dp/B0BR23NNNH/ref=sr_1_2?keywords=Klein+Tools+605-6+1%2F4-Inch+Cabinet+Tip+Screwdriver%2C+Heavy+Duty%2C+6-Inch&amp;qid=1695173888&amp;sr=8-2", "https://www.amazon.com/Klein-Tools-Screwdriver-Precision-Electrician/dp/B0BR23NNNH/ref=sr_1_2?keywords=Klein+Tools+605-6+1%2F4-Inch+Cabinet+Tip+Screwdriver%2C+Heavy+Duty%2C+6-Inch&amp;qid=1695173888&amp;sr=8-2")</f>
        <v>https://www.amazon.com/Klein-Tools-Screwdriver-Precision-Electrician/dp/B0BR23NNNH/ref=sr_1_2?keywords=Klein+Tools+605-6+1%2F4-Inch+Cabinet+Tip+Screwdriver%2C+Heavy+Duty%2C+6-Inch&amp;qid=1695173888&amp;sr=8-2</v>
      </c>
      <c r="F4969" t="s">
        <v>2432</v>
      </c>
      <c r="G4969" t="e">
        <f ca="1">_xludf.IMAGE("https://edmondsonsupply.com/cdn/shop/products/605-6.jpg?v=1587149759")</f>
        <v>#NAME?</v>
      </c>
      <c r="H4969" t="e">
        <f ca="1">_xludf.IMAGE("https://m.media-amazon.com/images/I/316TumgEKzL._AC_UL320_.jpg")</f>
        <v>#NAME?</v>
      </c>
      <c r="I4969" t="s">
        <v>2433</v>
      </c>
      <c r="J4969">
        <v>19.38</v>
      </c>
      <c r="K4969" s="4">
        <v>1.0421</v>
      </c>
      <c r="L4969">
        <v>5</v>
      </c>
      <c r="M4969">
        <v>3</v>
      </c>
      <c r="O4969" t="s">
        <v>25</v>
      </c>
      <c r="P4969" t="s">
        <v>2434</v>
      </c>
      <c r="Q4969" t="s">
        <v>2435</v>
      </c>
    </row>
    <row r="4970" spans="1:17" ht="15.5" x14ac:dyDescent="0.35">
      <c r="A4970"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4970"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4970" t="s">
        <v>6432</v>
      </c>
      <c r="D4970" t="s">
        <v>402</v>
      </c>
      <c r="E4970" s="3" t="str">
        <f>HYPERLINK("https://www.amazon.com/Klein-Tools-Bull-Pin-Canvas-Connection/dp/B0BFXN41G3/ref=sr_1_6?keywords=Klein+Tools+5416+Tool+Bag%2C+Bull-Pin+and+Bolt+Pouch%2C+Belt+Strap+Connect%2C+5+x+10+x+9-Inch&amp;qid=1695174042&amp;sr=8-6", "https://www.amazon.com/Klein-Tools-Bull-Pin-Canvas-Connection/dp/B0BFXN41G3/ref=sr_1_6?keywords=Klein+Tools+5416+Tool+Bag%2C+Bull-Pin+and+Bolt+Pouch%2C+Belt+Strap+Connect%2C+5+x+10+x+9-Inch&amp;qid=1695174042&amp;sr=8-6")</f>
        <v>https://www.amazon.com/Klein-Tools-Bull-Pin-Canvas-Connection/dp/B0BFXN41G3/ref=sr_1_6?keywords=Klein+Tools+5416+Tool+Bag%2C+Bull-Pin+and+Bolt+Pouch%2C+Belt+Strap+Connect%2C+5+x+10+x+9-Inch&amp;qid=1695174042&amp;sr=8-6</v>
      </c>
      <c r="F4970" t="s">
        <v>403</v>
      </c>
      <c r="G4970" t="e">
        <f ca="1">_xludf.IMAGE("https://edmondsonsupply.com/cdn/shop/products/5416.jpg?v=1679664980")</f>
        <v>#NAME?</v>
      </c>
      <c r="H4970" t="e">
        <f ca="1">_xludf.IMAGE("https://m.media-amazon.com/images/I/51SvuMGkytL._AC_UL320_.jpg")</f>
        <v>#NAME?</v>
      </c>
      <c r="I4970" t="s">
        <v>6242</v>
      </c>
      <c r="J4970">
        <v>36.29</v>
      </c>
      <c r="K4970" s="4">
        <v>1.0387999999999999</v>
      </c>
      <c r="L4970">
        <v>4.8</v>
      </c>
      <c r="M4970">
        <v>6</v>
      </c>
      <c r="O4970" t="s">
        <v>25</v>
      </c>
      <c r="P4970" t="s">
        <v>6433</v>
      </c>
      <c r="Q4970" t="s">
        <v>6434</v>
      </c>
    </row>
    <row r="4971" spans="1:17" ht="15.5" x14ac:dyDescent="0.35">
      <c r="A4971"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4971"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4971" t="s">
        <v>6437</v>
      </c>
      <c r="D4971" t="s">
        <v>6672</v>
      </c>
      <c r="E4971" s="3" t="str">
        <f>HYPERLINK("https://www.amazon.com/Milwaukee-Electric-Compact-Blades-Portableband/dp/B009G6W59S/ref=sr_1_5?keywords=Milwaukee+48-39-0572+18+TPI+Standard+Compact+Portable+Band+Saw+Blade+BULK+100&amp;qid=1695174058&amp;sr=8-5", "https://www.amazon.com/Milwaukee-Electric-Compact-Blades-Portableband/dp/B009G6W59S/ref=sr_1_5?keywords=Milwaukee+48-39-0572+18+TPI+Standard+Compact+Portable+Band+Saw+Blade+BULK+100&amp;qid=1695174058&amp;sr=8-5")</f>
        <v>https://www.amazon.com/Milwaukee-Electric-Compact-Blades-Portableband/dp/B009G6W59S/ref=sr_1_5?keywords=Milwaukee+48-39-0572+18+TPI+Standard+Compact+Portable+Band+Saw+Blade+BULK+100&amp;qid=1695174058&amp;sr=8-5</v>
      </c>
      <c r="F4971" t="s">
        <v>6673</v>
      </c>
      <c r="G4971" t="e">
        <f ca="1">_xludf.IMAGE("https://edmondsonsupply.com/cdn/shop/products/21432_48-39-0510.jpg?v=1678901662")</f>
        <v>#NAME?</v>
      </c>
      <c r="H4971" t="e">
        <f ca="1">_xludf.IMAGE("https://m.media-amazon.com/images/I/41uyV1taKuL._AC_UL320_.jpg")</f>
        <v>#NAME?</v>
      </c>
      <c r="I4971" t="s">
        <v>2247</v>
      </c>
      <c r="J4971">
        <v>44.75</v>
      </c>
      <c r="K4971" s="4">
        <v>1.0368999999999999</v>
      </c>
      <c r="L4971">
        <v>1</v>
      </c>
      <c r="M4971">
        <v>1</v>
      </c>
      <c r="O4971" t="s">
        <v>25</v>
      </c>
      <c r="P4971" t="s">
        <v>6313</v>
      </c>
      <c r="Q4971" t="s">
        <v>6438</v>
      </c>
    </row>
    <row r="4972" spans="1:17" ht="15.5" x14ac:dyDescent="0.35">
      <c r="A4972"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4972"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4972" t="s">
        <v>6674</v>
      </c>
      <c r="D4972" t="s">
        <v>6338</v>
      </c>
      <c r="E4972" s="3" t="str">
        <f>HYPERLINK("https://www.amazon.com/Journeyman-T-Handle-Klein-Tools-JTH9M8/dp/B005G3HJSC/ref=sr_1_1?keywords=Klein+Tools+JTH9M8+8+mm+Hex+Key%2C+Journeyman%E2%84%A2+T-Handle%2C+9-Inch&amp;qid=1695174169&amp;sr=8-1", "https://www.amazon.com/Journeyman-T-Handle-Klein-Tools-JTH9M8/dp/B005G3HJSC/ref=sr_1_1?keywords=Klein+Tools+JTH9M8+8+mm+Hex+Key%2C+Journeyman%E2%84%A2+T-Handle%2C+9-Inch&amp;qid=1695174169&amp;sr=8-1")</f>
        <v>https://www.amazon.com/Journeyman-T-Handle-Klein-Tools-JTH9M8/dp/B005G3HJSC/ref=sr_1_1?keywords=Klein+Tools+JTH9M8+8+mm+Hex+Key%2C+Journeyman%E2%84%A2+T-Handle%2C+9-Inch&amp;qid=1695174169&amp;sr=8-1</v>
      </c>
      <c r="F4972" t="s">
        <v>6339</v>
      </c>
      <c r="G4972" t="e">
        <f ca="1">_xludf.IMAGE("https://edmondsonsupply.com/cdn/shop/products/jth6m8_03ba3d30-ff38-4b9e-93e7-b0fc6da199d0.jpg?v=1662658324")</f>
        <v>#NAME?</v>
      </c>
      <c r="H4972" t="e">
        <f ca="1">_xludf.IMAGE("https://m.media-amazon.com/images/I/51+1x0vz9XL._AC_UL320_.jpg")</f>
        <v>#NAME?</v>
      </c>
      <c r="I4972" t="s">
        <v>1003</v>
      </c>
      <c r="J4972">
        <v>16.27</v>
      </c>
      <c r="K4972" s="4">
        <v>1.0363</v>
      </c>
      <c r="L4972">
        <v>5</v>
      </c>
      <c r="M4972">
        <v>4</v>
      </c>
      <c r="O4972" t="s">
        <v>25</v>
      </c>
      <c r="P4972" t="s">
        <v>1481</v>
      </c>
      <c r="Q4972" t="s">
        <v>6675</v>
      </c>
    </row>
    <row r="4973" spans="1:17" ht="15.5" x14ac:dyDescent="0.35">
      <c r="A4973" s="3" t="str">
        <f>HYPERLINK("https://edmondsonsupply.com/collections/electricians-tools/products/rack-a-tiers-80050-the-nut-snugger-magnetic-locknut-holder", "https://edmondsonsupply.com/collections/electricians-tools/products/rack-a-tiers-80050-the-nut-snugger-magnetic-locknut-holder")</f>
        <v>https://edmondsonsupply.com/collections/electricians-tools/products/rack-a-tiers-80050-the-nut-snugger-magnetic-locknut-holder</v>
      </c>
      <c r="B4973" s="3" t="str">
        <f>HYPERLINK("https://edmondsonsupply.com/products/rack-a-tiers-80050-the-nut-snugger-magnetic-locknut-holder", "https://edmondsonsupply.com/products/rack-a-tiers-80050-the-nut-snugger-magnetic-locknut-holder")</f>
        <v>https://edmondsonsupply.com/products/rack-a-tiers-80050-the-nut-snugger-magnetic-locknut-holder</v>
      </c>
      <c r="C4973" t="s">
        <v>6676</v>
      </c>
      <c r="D4973" t="s">
        <v>6677</v>
      </c>
      <c r="E4973" s="3" t="str">
        <f>HYPERLINK("https://www.amazon.com/Rack-Tiers-Nut-Snugger-Kit/dp/B0BX4MB59Q/ref=sr_1_1?keywords=Rack-A-Tiers+80050+The+Nut+Snugger+-+1%2F2%22+Magnetic+Locknut+Holder&amp;qid=1695173910&amp;sr=8-1", "https://www.amazon.com/Rack-Tiers-Nut-Snugger-Kit/dp/B0BX4MB59Q/ref=sr_1_1?keywords=Rack-A-Tiers+80050+The+Nut+Snugger+-+1%2F2%22+Magnetic+Locknut+Holder&amp;qid=1695173910&amp;sr=8-1")</f>
        <v>https://www.amazon.com/Rack-Tiers-Nut-Snugger-Kit/dp/B0BX4MB59Q/ref=sr_1_1?keywords=Rack-A-Tiers+80050+The+Nut+Snugger+-+1%2F2%22+Magnetic+Locknut+Holder&amp;qid=1695173910&amp;sr=8-1</v>
      </c>
      <c r="F4973" t="s">
        <v>6678</v>
      </c>
      <c r="G4973" t="e">
        <f ca="1">_xludf.IMAGE("https://edmondsonsupply.com/cdn/shop/products/820XX-Nut-Snugger.png?v=1667152378")</f>
        <v>#NAME?</v>
      </c>
      <c r="H4973" t="e">
        <f ca="1">_xludf.IMAGE("https://m.media-amazon.com/images/I/31gF-2h5bgL._AC_UY218_.jpg")</f>
        <v>#NAME?</v>
      </c>
      <c r="I4973" t="s">
        <v>4310</v>
      </c>
      <c r="J4973">
        <v>68.989999999999995</v>
      </c>
      <c r="K4973" s="4">
        <v>1.0297000000000001</v>
      </c>
      <c r="L4973">
        <v>5</v>
      </c>
      <c r="M4973">
        <v>2</v>
      </c>
      <c r="O4973" t="s">
        <v>25</v>
      </c>
      <c r="P4973" t="s">
        <v>6679</v>
      </c>
      <c r="Q4973" t="s">
        <v>6680</v>
      </c>
    </row>
    <row r="4974" spans="1:17" ht="15.5" x14ac:dyDescent="0.35">
      <c r="A4974"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4974" s="3" t="str">
        <f>HYPERLINK("https://edmondsonsupply.com/products/klein-tools-rt250-gfci-receptacle-tester-with-lcd", "https://edmondsonsupply.com/products/klein-tools-rt250-gfci-receptacle-tester-with-lcd")</f>
        <v>https://edmondsonsupply.com/products/klein-tools-rt250-gfci-receptacle-tester-with-lcd</v>
      </c>
      <c r="C4974" t="s">
        <v>6197</v>
      </c>
      <c r="D4974" t="s">
        <v>2698</v>
      </c>
      <c r="E4974" s="3" t="str">
        <f>HYPERLINK("https://www.amazon.com/Non-Contact-Receptacle-Klein-Tools-RT250KIT/dp/B08YDFQ2FV/ref=sr_1_4?keywords=Klein+Tools+RT250+GFCI+Receptacle+Tester+with+LCD&amp;qid=1695174176&amp;sr=8-4", "https://www.amazon.com/Non-Contact-Receptacle-Klein-Tools-RT250KIT/dp/B08YDFQ2FV/ref=sr_1_4?keywords=Klein+Tools+RT250+GFCI+Receptacle+Tester+with+LCD&amp;qid=1695174176&amp;sr=8-4")</f>
        <v>https://www.amazon.com/Non-Contact-Receptacle-Klein-Tools-RT250KIT/dp/B08YDFQ2FV/ref=sr_1_4?keywords=Klein+Tools+RT250+GFCI+Receptacle+Tester+with+LCD&amp;qid=1695174176&amp;sr=8-4</v>
      </c>
      <c r="F4974" t="s">
        <v>2699</v>
      </c>
      <c r="G4974" t="e">
        <f ca="1">_xludf.IMAGE("https://edmondsonsupply.com/cdn/shop/products/rt250_photo_c.jpg?v=1661363824")</f>
        <v>#NAME?</v>
      </c>
      <c r="H4974" t="e">
        <f ca="1">_xludf.IMAGE("https://m.media-amazon.com/images/I/61WaBlkJfxL._AC_UL320_.jpg")</f>
        <v>#NAME?</v>
      </c>
      <c r="I4974" t="s">
        <v>2247</v>
      </c>
      <c r="J4974">
        <v>44.54</v>
      </c>
      <c r="K4974" s="4">
        <v>1.0273000000000001</v>
      </c>
      <c r="L4974">
        <v>4.8</v>
      </c>
      <c r="M4974">
        <v>1269</v>
      </c>
      <c r="O4974" t="s">
        <v>25</v>
      </c>
      <c r="P4974" t="s">
        <v>6200</v>
      </c>
      <c r="Q4974" t="s">
        <v>6201</v>
      </c>
    </row>
    <row r="4975" spans="1:17" ht="15.5" x14ac:dyDescent="0.35">
      <c r="A4975"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4975" s="3" t="str">
        <f>HYPERLINK("https://edmondsonsupply.com/products/diablo-tools-d0660x-6-1-2-in-x-60-tooth-ultra-finish-saw-blade", "https://edmondsonsupply.com/products/diablo-tools-d0660x-6-1-2-in-x-60-tooth-ultra-finish-saw-blade")</f>
        <v>https://edmondsonsupply.com/products/diablo-tools-d0660x-6-1-2-in-x-60-tooth-ultra-finish-saw-blade</v>
      </c>
      <c r="C4975" t="s">
        <v>6681</v>
      </c>
      <c r="D4975" t="s">
        <v>6562</v>
      </c>
      <c r="E4975" s="3" t="str">
        <f>HYPERLINK("https://www.amazon.com/D0760A-Diablo-60-Tooth-Finishing-Circular/dp/B0763T4PLZ/ref=sr_1_1?keywords=Diablo+Tools+D0660X+6-1%2F2+in.+x+60+Tooth+Ultra+Finish+Saw+Blade&amp;qid=1695174055&amp;sr=8-1", "https://www.amazon.com/D0760A-Diablo-60-Tooth-Finishing-Circular/dp/B0763T4PLZ/ref=sr_1_1?keywords=Diablo+Tools+D0660X+6-1%2F2+in.+x+60+Tooth+Ultra+Finish+Saw+Blade&amp;qid=1695174055&amp;sr=8-1")</f>
        <v>https://www.amazon.com/D0760A-Diablo-60-Tooth-Finishing-Circular/dp/B0763T4PLZ/ref=sr_1_1?keywords=Diablo+Tools+D0660X+6-1%2F2+in.+x+60+Tooth+Ultra+Finish+Saw+Blade&amp;qid=1695174055&amp;sr=8-1</v>
      </c>
      <c r="F4975" t="s">
        <v>6563</v>
      </c>
      <c r="G4975" t="e">
        <f ca="1">_xludf.IMAGE("https://edmondsonsupply.com/cdn/shop/products/ma8p1gcmhxpwwhymtiim.webp?v=1678983644")</f>
        <v>#NAME?</v>
      </c>
      <c r="H4975" t="e">
        <f ca="1">_xludf.IMAGE("https://m.media-amazon.com/images/I/61WSwNmsWWL._AC_UL320_.jpg")</f>
        <v>#NAME?</v>
      </c>
      <c r="I4975" t="s">
        <v>1716</v>
      </c>
      <c r="J4975">
        <v>46.55</v>
      </c>
      <c r="K4975" s="4">
        <v>1.0266</v>
      </c>
      <c r="L4975">
        <v>4.7</v>
      </c>
      <c r="M4975">
        <v>16</v>
      </c>
      <c r="O4975" t="s">
        <v>25</v>
      </c>
      <c r="P4975" t="s">
        <v>6682</v>
      </c>
      <c r="Q4975" t="s">
        <v>6683</v>
      </c>
    </row>
    <row r="4976" spans="1:17" ht="15.5" x14ac:dyDescent="0.35">
      <c r="A4976"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4976" s="3" t="str">
        <f>HYPERLINK("https://edmondsonsupply.com/products/klein-tools-69381-heavy-duty-alligator-clip-test-leads-3-foot", "https://edmondsonsupply.com/products/klein-tools-69381-heavy-duty-alligator-clip-test-leads-3-foot")</f>
        <v>https://edmondsonsupply.com/products/klein-tools-69381-heavy-duty-alligator-clip-test-leads-3-foot</v>
      </c>
      <c r="C4976" t="s">
        <v>6089</v>
      </c>
      <c r="D4976" t="s">
        <v>6684</v>
      </c>
      <c r="E4976" s="3" t="str">
        <f>HYPERLINK("https://www.amazon.com/Klein-Tools-69367-Heavy-Duty-Replacement/dp/B09YTDG6FQ/ref=sr_1_7?keywords=Klein+Tools+69381+Heavy-Duty+Alligator+Clip+Test+Leads%2C+3-Foot&amp;qid=1695174138&amp;sr=8-7", "https://www.amazon.com/Klein-Tools-69367-Heavy-Duty-Replacement/dp/B09YTDG6FQ/ref=sr_1_7?keywords=Klein+Tools+69381+Heavy-Duty+Alligator+Clip+Test+Leads%2C+3-Foot&amp;qid=1695174138&amp;sr=8-7")</f>
        <v>https://www.amazon.com/Klein-Tools-69367-Heavy-Duty-Replacement/dp/B09YTDG6FQ/ref=sr_1_7?keywords=Klein+Tools+69381+Heavy-Duty+Alligator+Clip+Test+Leads%2C+3-Foot&amp;qid=1695174138&amp;sr=8-7</v>
      </c>
      <c r="F4976" t="s">
        <v>6685</v>
      </c>
      <c r="G4976" t="e">
        <f ca="1">_xludf.IMAGE("https://edmondsonsupply.com/cdn/shop/products/69381_photo.jpg?v=1666889006")</f>
        <v>#NAME?</v>
      </c>
      <c r="H4976" t="e">
        <f ca="1">_xludf.IMAGE("https://m.media-amazon.com/images/I/51hh7Ca5KIL._AC_UY218_.jpg")</f>
        <v>#NAME?</v>
      </c>
      <c r="I4976" t="s">
        <v>276</v>
      </c>
      <c r="J4976">
        <v>30.3</v>
      </c>
      <c r="K4976" s="4">
        <v>1.0213000000000001</v>
      </c>
      <c r="L4976">
        <v>4.8</v>
      </c>
      <c r="M4976">
        <v>12</v>
      </c>
      <c r="O4976" t="s">
        <v>25</v>
      </c>
      <c r="P4976" t="s">
        <v>277</v>
      </c>
      <c r="Q4976" t="s">
        <v>6092</v>
      </c>
    </row>
    <row r="4977" spans="1:17" ht="15.5" x14ac:dyDescent="0.35">
      <c r="A4977" s="3" t="str">
        <f>HYPERLINK("https://edmondsonsupply.com/collections/electricians-tools/products/milwaukee-2553-22", "https://edmondsonsupply.com/collections/electricians-tools/products/milwaukee-2553-22")</f>
        <v>https://edmondsonsupply.com/collections/electricians-tools/products/milwaukee-2553-22</v>
      </c>
      <c r="B4977" s="3" t="str">
        <f>HYPERLINK("https://edmondsonsupply.com/products/milwaukee-2553-22", "https://edmondsonsupply.com/products/milwaukee-2553-22")</f>
        <v>https://edmondsonsupply.com/products/milwaukee-2553-22</v>
      </c>
      <c r="C4977" t="s">
        <v>6686</v>
      </c>
      <c r="D4977" t="s">
        <v>6687</v>
      </c>
      <c r="E4977" s="3" t="str">
        <f>HYPERLINK("https://www.amazon.com/Milwaukee-2853-22-FUEL-Impact-Driver/dp/B07G9H57FM/ref=sr_1_10?keywords=Milwaukee+2553-22+M12+FUEL%E2%84%A2+1%2F4%22+Hex+Impact+Driver+Kit&amp;qid=1695174118&amp;sr=8-10", "https://www.amazon.com/Milwaukee-2853-22-FUEL-Impact-Driver/dp/B07G9H57FM/ref=sr_1_10?keywords=Milwaukee+2553-22+M12+FUEL%E2%84%A2+1%2F4%22+Hex+Impact+Driver+Kit&amp;qid=1695174118&amp;sr=8-10")</f>
        <v>https://www.amazon.com/Milwaukee-2853-22-FUEL-Impact-Driver/dp/B07G9H57FM/ref=sr_1_10?keywords=Milwaukee+2553-22+M12+FUEL%E2%84%A2+1%2F4%22+Hex+Impact+Driver+Kit&amp;qid=1695174118&amp;sr=8-10</v>
      </c>
      <c r="F4977" t="s">
        <v>6688</v>
      </c>
      <c r="G4977" t="e">
        <f ca="1">_xludf.IMAGE("https://edmondsonsupply.com/cdn/shop/products/2553-22_Kit.webp?v=1668445129")</f>
        <v>#NAME?</v>
      </c>
      <c r="H4977" t="e">
        <f ca="1">_xludf.IMAGE("https://m.media-amazon.com/images/I/61U85JXP9NL._AC_UL320_.jpg")</f>
        <v>#NAME?</v>
      </c>
      <c r="I4977" t="s">
        <v>6689</v>
      </c>
      <c r="J4977">
        <v>339</v>
      </c>
      <c r="K4977" s="4">
        <v>1.0059</v>
      </c>
      <c r="L4977">
        <v>4.8</v>
      </c>
      <c r="M4977">
        <v>528</v>
      </c>
      <c r="O4977" t="s">
        <v>25</v>
      </c>
      <c r="P4977" t="s">
        <v>5012</v>
      </c>
      <c r="Q4977" t="s">
        <v>6690</v>
      </c>
    </row>
    <row r="4978" spans="1:17" ht="15.5" x14ac:dyDescent="0.35">
      <c r="A4978"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4978" s="3" t="str">
        <f>HYPERLINK("https://edmondsonsupply.com/products/diablo-tools-d0624x-6-1-2-in-24-tooth-framing-saw-blade", "https://edmondsonsupply.com/products/diablo-tools-d0624x-6-1-2-in-24-tooth-framing-saw-blade")</f>
        <v>https://edmondsonsupply.com/products/diablo-tools-d0624x-6-1-2-in-24-tooth-framing-saw-blade</v>
      </c>
      <c r="C4978" t="s">
        <v>6070</v>
      </c>
      <c r="D4978" t="s">
        <v>6691</v>
      </c>
      <c r="E4978" s="3" t="str">
        <f>HYPERLINK("https://www.amazon.com/Freud-D0624A-Diablo-Perma-Shield-Framing/dp/B00USC8HBO/ref=sr_1_9?keywords=Diablo+Tools+D0624X+6-1%2F2+in.+24-Tooth+Framing+Saw+Blade&amp;qid=1695174066&amp;sr=8-9", "https://www.amazon.com/Freud-D0624A-Diablo-Perma-Shield-Framing/dp/B00USC8HBO/ref=sr_1_9?keywords=Diablo+Tools+D0624X+6-1%2F2+in.+24-Tooth+Framing+Saw+Blade&amp;qid=1695174066&amp;sr=8-9")</f>
        <v>https://www.amazon.com/Freud-D0624A-Diablo-Perma-Shield-Framing/dp/B00USC8HBO/ref=sr_1_9?keywords=Diablo+Tools+D0624X+6-1%2F2+in.+24-Tooth+Framing+Saw+Blade&amp;qid=1695174066&amp;sr=8-9</v>
      </c>
      <c r="F4978" t="s">
        <v>6692</v>
      </c>
      <c r="G4978" t="e">
        <f ca="1">_xludf.IMAGE("https://edmondsonsupply.com/cdn/shop/products/mfin0gl4ono6qztsnrth.webp?v=1678982694")</f>
        <v>#NAME?</v>
      </c>
      <c r="H4978" t="e">
        <f ca="1">_xludf.IMAGE("https://m.media-amazon.com/images/I/61LSrBh6xtL._AC_UL320_.jpg")</f>
        <v>#NAME?</v>
      </c>
      <c r="I4978" t="s">
        <v>6073</v>
      </c>
      <c r="J4978">
        <v>24</v>
      </c>
      <c r="K4978" s="4">
        <v>1.0049999999999999</v>
      </c>
      <c r="L4978">
        <v>4.7</v>
      </c>
      <c r="M4978">
        <v>408</v>
      </c>
      <c r="O4978" t="s">
        <v>25</v>
      </c>
      <c r="P4978" t="s">
        <v>6074</v>
      </c>
      <c r="Q4978" t="s">
        <v>6075</v>
      </c>
    </row>
    <row r="4979" spans="1:17" ht="15.5" x14ac:dyDescent="0.35">
      <c r="A4979" s="3" t="str">
        <f>HYPERLINK("https://edmondsonsupply.com/collections/electricians-tools/products/klein-tools-60492-lightweight-knee-pad-sleeves-m-l", "https://edmondsonsupply.com/collections/electricians-tools/products/klein-tools-60492-lightweight-knee-pad-sleeves-m-l")</f>
        <v>https://edmondsonsupply.com/collections/electricians-tools/products/klein-tools-60492-lightweight-knee-pad-sleeves-m-l</v>
      </c>
      <c r="B4979" s="3" t="str">
        <f>HYPERLINK("https://edmondsonsupply.com/products/klein-tools-60492-lightweight-knee-pad-sleeves-m-l", "https://edmondsonsupply.com/products/klein-tools-60492-lightweight-knee-pad-sleeves-m-l")</f>
        <v>https://edmondsonsupply.com/products/klein-tools-60492-lightweight-knee-pad-sleeves-m-l</v>
      </c>
      <c r="C4979" t="s">
        <v>890</v>
      </c>
      <c r="D4979" t="s">
        <v>891</v>
      </c>
      <c r="E4979" s="3" t="str">
        <f>HYPERLINK("https://www.amazon.com/Klein-Tools-60615-Breathable-Slip-Resistant/dp/B0BWB8VW7J/ref=sr_1_3?keywords=Klein+Tools+60492+Lightweight+Knee+Pad+Sleeves%2C+M%2FL&amp;qid=1695174171&amp;sr=8-3", "https://www.amazon.com/Klein-Tools-60615-Breathable-Slip-Resistant/dp/B0BWB8VW7J/ref=sr_1_3?keywords=Klein+Tools+60492+Lightweight+Knee+Pad+Sleeves%2C+M%2FL&amp;qid=1695174171&amp;sr=8-3")</f>
        <v>https://www.amazon.com/Klein-Tools-60615-Breathable-Slip-Resistant/dp/B0BWB8VW7J/ref=sr_1_3?keywords=Klein+Tools+60492+Lightweight+Knee+Pad+Sleeves%2C+M%2FL&amp;qid=1695174171&amp;sr=8-3</v>
      </c>
      <c r="F4979" t="s">
        <v>892</v>
      </c>
      <c r="G4979" t="e">
        <f ca="1">_xludf.IMAGE("https://edmondsonsupply.com/cdn/shop/products/60492_60592_photo.jpg?v=1663255234")</f>
        <v>#NAME?</v>
      </c>
      <c r="H4979" t="e">
        <f ca="1">_xludf.IMAGE("https://m.media-amazon.com/images/I/61FKkSJ3xeL._AC_UL320_.jpg")</f>
        <v>#NAME?</v>
      </c>
      <c r="I4979" t="s">
        <v>893</v>
      </c>
      <c r="J4979">
        <v>39.99</v>
      </c>
      <c r="K4979" s="4">
        <v>1.0024999999999999</v>
      </c>
      <c r="L4979">
        <v>4</v>
      </c>
      <c r="M4979">
        <v>18</v>
      </c>
      <c r="O4979" t="s">
        <v>25</v>
      </c>
      <c r="P4979" t="s">
        <v>894</v>
      </c>
      <c r="Q4979" t="s">
        <v>895</v>
      </c>
    </row>
    <row r="4980" spans="1:17" ht="15.5" x14ac:dyDescent="0.35">
      <c r="A4980"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4980"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4980" t="s">
        <v>6693</v>
      </c>
      <c r="D4980" t="s">
        <v>6694</v>
      </c>
      <c r="E4980" s="3" t="str">
        <f>HYPERLINK("https://www.amazon.com/Klein-Tools-80079-Rechargeable-Flashlight/dp/B0B11GSP2C/ref=sr_1_4?keywords=Klein+Tools+56411+Rechargeable+Waterproof+LED+Pocket+Light+with+Lanyard&amp;qid=1695174156&amp;sr=8-4", "https://www.amazon.com/Klein-Tools-80079-Rechargeable-Flashlight/dp/B0B11GSP2C/ref=sr_1_4?keywords=Klein+Tools+56411+Rechargeable+Waterproof+LED+Pocket+Light+with+Lanyard&amp;qid=1695174156&amp;sr=8-4")</f>
        <v>https://www.amazon.com/Klein-Tools-80079-Rechargeable-Flashlight/dp/B0B11GSP2C/ref=sr_1_4?keywords=Klein+Tools+56411+Rechargeable+Waterproof+LED+Pocket+Light+with+Lanyard&amp;qid=1695174156&amp;sr=8-4</v>
      </c>
      <c r="F4980" t="s">
        <v>6695</v>
      </c>
      <c r="G4980" t="e">
        <f ca="1">_xludf.IMAGE("https://edmondsonsupply.com/cdn/shop/products/56411.jpg?v=1663952448")</f>
        <v>#NAME?</v>
      </c>
      <c r="H4980" t="e">
        <f ca="1">_xludf.IMAGE("https://m.media-amazon.com/images/I/61kxSho0oaL._AC_UL320_.jpg")</f>
        <v>#NAME?</v>
      </c>
      <c r="I4980" t="s">
        <v>824</v>
      </c>
      <c r="J4980">
        <v>59.99</v>
      </c>
      <c r="K4980" s="4">
        <v>1.0017</v>
      </c>
      <c r="L4980">
        <v>4.9000000000000004</v>
      </c>
      <c r="M4980">
        <v>22</v>
      </c>
      <c r="O4980" t="s">
        <v>25</v>
      </c>
      <c r="P4980" t="s">
        <v>825</v>
      </c>
      <c r="Q4980" t="s">
        <v>6696</v>
      </c>
    </row>
    <row r="4981" spans="1:17" ht="15.5" x14ac:dyDescent="0.35">
      <c r="A4981" s="3" t="str">
        <f>HYPERLINK("https://edmondsonsupply.com/collections/electricians-tools/products/klein-tools-srs56038-polymer-fish-rod-set-glow-in-the-dark", "https://edmondsonsupply.com/collections/electricians-tools/products/klein-tools-srs56038-polymer-fish-rod-set-glow-in-the-dark")</f>
        <v>https://edmondsonsupply.com/collections/electricians-tools/products/klein-tools-srs56038-polymer-fish-rod-set-glow-in-the-dark</v>
      </c>
      <c r="B4981" s="3" t="str">
        <f>HYPERLINK("https://edmondsonsupply.com/products/klein-tools-srs56038-polymer-fish-rod-set-glow-in-the-dark", "https://edmondsonsupply.com/products/klein-tools-srs56038-polymer-fish-rod-set-glow-in-the-dark")</f>
        <v>https://edmondsonsupply.com/products/klein-tools-srs56038-polymer-fish-rod-set-glow-in-the-dark</v>
      </c>
      <c r="C4981" t="s">
        <v>2467</v>
      </c>
      <c r="D4981" t="s">
        <v>2468</v>
      </c>
      <c r="E4981" s="3" t="str">
        <f>HYPERLINK("https://www.amazon.com/Klein-Tools-50660-Stainless-Steel-Attachments/dp/B0BVJXRH9J/ref=sr_1_2?keywords=Klein+Tools+SRS56038+Polymer+Fish+Rod+Set+Glow-in-The-Dark&amp;qid=1695173917&amp;sr=8-2", "https://www.amazon.com/Klein-Tools-50660-Stainless-Steel-Attachments/dp/B0BVJXRH9J/ref=sr_1_2?keywords=Klein+Tools+SRS56038+Polymer+Fish+Rod+Set+Glow-in-The-Dark&amp;qid=1695173917&amp;sr=8-2")</f>
        <v>https://www.amazon.com/Klein-Tools-50660-Stainless-Steel-Attachments/dp/B0BVJXRH9J/ref=sr_1_2?keywords=Klein+Tools+SRS56038+Polymer+Fish+Rod+Set+Glow-in-The-Dark&amp;qid=1695173917&amp;sr=8-2</v>
      </c>
      <c r="F4981" t="s">
        <v>2469</v>
      </c>
      <c r="G4981" t="e">
        <f ca="1">_xludf.IMAGE("https://edmondsonsupply.com/cdn/shop/products/srs56038.jpg?v=1633030781")</f>
        <v>#NAME?</v>
      </c>
      <c r="H4981" t="e">
        <f ca="1">_xludf.IMAGE("https://m.media-amazon.com/images/I/61TfZQjceGL._AC_UL320_.jpg")</f>
        <v>#NAME?</v>
      </c>
      <c r="I4981" t="s">
        <v>824</v>
      </c>
      <c r="J4981">
        <v>59.97</v>
      </c>
      <c r="K4981" s="4">
        <v>1.0009999999999999</v>
      </c>
      <c r="L4981">
        <v>4.0999999999999996</v>
      </c>
      <c r="M4981">
        <v>6</v>
      </c>
      <c r="O4981" t="s">
        <v>25</v>
      </c>
      <c r="P4981" t="s">
        <v>2470</v>
      </c>
      <c r="Q4981" t="s">
        <v>2471</v>
      </c>
    </row>
    <row r="4982" spans="1:17" ht="15.5" x14ac:dyDescent="0.35">
      <c r="A4982"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4982" s="3" t="str">
        <f>HYPERLINK("https://edmondsonsupply.com/products/klein-tools-32305-15-in-1-multi-bit-ratcheting-screwdriver", "https://edmondsonsupply.com/products/klein-tools-32305-15-in-1-multi-bit-ratcheting-screwdriver")</f>
        <v>https://edmondsonsupply.com/products/klein-tools-32305-15-in-1-multi-bit-ratcheting-screwdriver</v>
      </c>
      <c r="C4982" t="s">
        <v>6262</v>
      </c>
      <c r="D4982" t="s">
        <v>6697</v>
      </c>
      <c r="E4982" s="3" t="str">
        <f>HYPERLINK("https://www.amazon.com/Klein-Tools-Screwdriver-Multi-bit-Ratcheting/dp/B0CGZMVQLX/ref=sr_1_3?keywords=Klein+Tools+32305+15-in-1+Multi-Bit+Ratcheting+Screwdriver&amp;qid=1695174215&amp;sr=8-3", "https://www.amazon.com/Klein-Tools-Screwdriver-Multi-bit-Ratcheting/dp/B0CGZMVQLX/ref=sr_1_3?keywords=Klein+Tools+32305+15-in-1+Multi-Bit+Ratcheting+Screwdriver&amp;qid=1695174215&amp;sr=8-3")</f>
        <v>https://www.amazon.com/Klein-Tools-Screwdriver-Multi-bit-Ratcheting/dp/B0CGZMVQLX/ref=sr_1_3?keywords=Klein+Tools+32305+15-in-1+Multi-Bit+Ratcheting+Screwdriver&amp;qid=1695174215&amp;sr=8-3</v>
      </c>
      <c r="F4982" t="s">
        <v>6698</v>
      </c>
      <c r="G4982" t="e">
        <f ca="1">_xludf.IMAGE("https://edmondsonsupply.com/cdn/shop/products/32305.jpg?v=1646965475")</f>
        <v>#NAME?</v>
      </c>
      <c r="H4982" t="e">
        <f ca="1">_xludf.IMAGE("https://m.media-amazon.com/images/I/517jUHF-i4L._AC_UL320_.jpg")</f>
        <v>#NAME?</v>
      </c>
      <c r="I4982" t="s">
        <v>2247</v>
      </c>
      <c r="J4982">
        <v>43.96</v>
      </c>
      <c r="K4982" s="4">
        <v>1.0008999999999999</v>
      </c>
      <c r="L4982">
        <v>4.8</v>
      </c>
      <c r="M4982">
        <v>13277</v>
      </c>
      <c r="O4982" t="s">
        <v>25</v>
      </c>
      <c r="P4982" t="s">
        <v>6200</v>
      </c>
      <c r="Q4982" t="s">
        <v>6265</v>
      </c>
    </row>
    <row r="4983" spans="1:17" ht="15.5" x14ac:dyDescent="0.35">
      <c r="A4983"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4983"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4983" t="s">
        <v>896</v>
      </c>
      <c r="D4983" t="s">
        <v>882</v>
      </c>
      <c r="E4983" s="3" t="str">
        <f>HYPERLINK("https://www.amazon.com/Klein-Tools-60539-Professional-Protective/dp/B0BLQ6F4MQ/ref=sr_1_3?keywords=Klein+Tools+60537+Professional+Safety+Glasses%2C+Full-Frame%2C+Indoor%2FOutdoor+Lens&amp;qid=1695174097&amp;sr=8-3", "https://www.amazon.com/Klein-Tools-60539-Professional-Protective/dp/B0BLQ6F4MQ/ref=sr_1_3?keywords=Klein+Tools+60537+Professional+Safety+Glasses%2C+Full-Frame%2C+Indoor%2FOutdoor+Lens&amp;qid=1695174097&amp;sr=8-3")</f>
        <v>https://www.amazon.com/Klein-Tools-60539-Professional-Protective/dp/B0BLQ6F4MQ/ref=sr_1_3?keywords=Klein+Tools+60537+Professional+Safety+Glasses%2C+Full-Frame%2C+Indoor%2FOutdoor+Lens&amp;qid=1695174097&amp;sr=8-3</v>
      </c>
      <c r="F4983" t="s">
        <v>883</v>
      </c>
      <c r="G4983" t="e">
        <f ca="1">_xludf.IMAGE("https://edmondsonsupply.com/cdn/shop/products/60537.jpg?v=1670947087")</f>
        <v>#NAME?</v>
      </c>
      <c r="H4983" t="e">
        <f ca="1">_xludf.IMAGE("https://m.media-amazon.com/images/I/41z93jotzdL._AC_UL320_.jpg")</f>
        <v>#NAME?</v>
      </c>
      <c r="I4983" t="s">
        <v>276</v>
      </c>
      <c r="J4983">
        <v>29.99</v>
      </c>
      <c r="K4983" s="4">
        <v>1.0006999999999999</v>
      </c>
      <c r="L4983">
        <v>4.4000000000000004</v>
      </c>
      <c r="M4983">
        <v>11</v>
      </c>
      <c r="O4983" t="s">
        <v>25</v>
      </c>
      <c r="P4983" t="s">
        <v>277</v>
      </c>
      <c r="Q4983" t="s">
        <v>897</v>
      </c>
    </row>
    <row r="4984" spans="1:17" ht="15.5" x14ac:dyDescent="0.35">
      <c r="A4984"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4984"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4984" t="s">
        <v>851</v>
      </c>
      <c r="D4984" t="s">
        <v>882</v>
      </c>
      <c r="E4984" s="3" t="str">
        <f>HYPERLINK("https://www.amazon.com/Klein-Tools-60539-Professional-Protective/dp/B0BLQ6F4MQ/ref=sr_1_9?keywords=Klein+Tools+60163+Professional+Safety+Glasses%2C+Full+Frame%2C+Clear+Lens&amp;qid=1695174311&amp;sr=8-9", "https://www.amazon.com/Klein-Tools-60539-Professional-Protective/dp/B0BLQ6F4MQ/ref=sr_1_9?keywords=Klein+Tools+60163+Professional+Safety+Glasses%2C+Full+Frame%2C+Clear+Lens&amp;qid=1695174311&amp;sr=8-9")</f>
        <v>https://www.amazon.com/Klein-Tools-60539-Professional-Protective/dp/B0BLQ6F4MQ/ref=sr_1_9?keywords=Klein+Tools+60163+Professional+Safety+Glasses%2C+Full+Frame%2C+Clear+Lens&amp;qid=1695174311&amp;sr=8-9</v>
      </c>
      <c r="F4984" t="s">
        <v>883</v>
      </c>
      <c r="G4984" t="e">
        <f ca="1">_xludf.IMAGE("https://edmondsonsupply.com/cdn/shop/products/60163.jpg?v=1633030848")</f>
        <v>#NAME?</v>
      </c>
      <c r="H4984" t="e">
        <f ca="1">_xludf.IMAGE("https://m.media-amazon.com/images/I/41z93jotzdL._AC_UL320_.jpg")</f>
        <v>#NAME?</v>
      </c>
      <c r="I4984" t="s">
        <v>276</v>
      </c>
      <c r="J4984">
        <v>29.99</v>
      </c>
      <c r="K4984" s="4">
        <v>1.0006999999999999</v>
      </c>
      <c r="L4984">
        <v>4.4000000000000004</v>
      </c>
      <c r="M4984">
        <v>11</v>
      </c>
      <c r="O4984" t="s">
        <v>25</v>
      </c>
      <c r="P4984" t="s">
        <v>277</v>
      </c>
      <c r="Q4984" t="s">
        <v>852</v>
      </c>
    </row>
    <row r="4985" spans="1:17" ht="15.5" x14ac:dyDescent="0.35">
      <c r="A4985"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4985"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4985" t="s">
        <v>1848</v>
      </c>
      <c r="D4985" t="s">
        <v>882</v>
      </c>
      <c r="E4985" s="3" t="str">
        <f>HYPERLINK("https://www.amazon.com/Klein-Tools-60539-Professional-Protective/dp/B0BLQ6F4MQ/ref=sr_1_7?keywords=Klein+Tools+60164+Professional+Safety+Glasses%2C+Full+Frame%2C+Gray+Lens&amp;qid=1695173933&amp;sr=8-7", "https://www.amazon.com/Klein-Tools-60539-Professional-Protective/dp/B0BLQ6F4MQ/ref=sr_1_7?keywords=Klein+Tools+60164+Professional+Safety+Glasses%2C+Full+Frame%2C+Gray+Lens&amp;qid=1695173933&amp;sr=8-7")</f>
        <v>https://www.amazon.com/Klein-Tools-60539-Professional-Protective/dp/B0BLQ6F4MQ/ref=sr_1_7?keywords=Klein+Tools+60164+Professional+Safety+Glasses%2C+Full+Frame%2C+Gray+Lens&amp;qid=1695173933&amp;sr=8-7</v>
      </c>
      <c r="F4985" t="s">
        <v>883</v>
      </c>
      <c r="G4985" t="e">
        <f ca="1">_xludf.IMAGE("https://edmondsonsupply.com/cdn/shop/products/60164.jpg?v=1633030851")</f>
        <v>#NAME?</v>
      </c>
      <c r="H4985" t="e">
        <f ca="1">_xludf.IMAGE("https://m.media-amazon.com/images/I/41z93jotzdL._AC_UL320_.jpg")</f>
        <v>#NAME?</v>
      </c>
      <c r="I4985" t="s">
        <v>276</v>
      </c>
      <c r="J4985">
        <v>29.99</v>
      </c>
      <c r="K4985" s="4">
        <v>1.0006999999999999</v>
      </c>
      <c r="L4985">
        <v>4.4000000000000004</v>
      </c>
      <c r="M4985">
        <v>11</v>
      </c>
      <c r="O4985" t="s">
        <v>25</v>
      </c>
      <c r="P4985" t="s">
        <v>277</v>
      </c>
      <c r="Q4985" t="s">
        <v>1849</v>
      </c>
    </row>
    <row r="4986" spans="1:17" ht="15.5" x14ac:dyDescent="0.35">
      <c r="A4986" s="3" t="str">
        <f>HYPERLINK("https://edmondsonsupply.com/collections/electricians-tools/products/klein-tools-60614-lightweight-knee-pad-sleeves-s-m", "https://edmondsonsupply.com/collections/electricians-tools/products/klein-tools-60614-lightweight-knee-pad-sleeves-s-m")</f>
        <v>https://edmondsonsupply.com/collections/electricians-tools/products/klein-tools-60614-lightweight-knee-pad-sleeves-s-m</v>
      </c>
      <c r="B4986" s="3" t="str">
        <f>HYPERLINK("https://edmondsonsupply.com/products/klein-tools-60614-lightweight-knee-pad-sleeves-s-m", "https://edmondsonsupply.com/products/klein-tools-60614-lightweight-knee-pad-sleeves-s-m")</f>
        <v>https://edmondsonsupply.com/products/klein-tools-60614-lightweight-knee-pad-sleeves-s-m</v>
      </c>
      <c r="C4986" t="s">
        <v>898</v>
      </c>
      <c r="D4986" t="s">
        <v>891</v>
      </c>
      <c r="E4986" s="3" t="str">
        <f>HYPERLINK("https://www.amazon.com/Klein-Tools-60615-Breathable-Slip-Resistant/dp/B0BWB8VW7J/ref=sr_1_2?keywords=Klein+Tools+60614+Lightweight+Knee+Pad+Sleeves%2C+S%2FM&amp;qid=1695174023&amp;sr=8-2", "https://www.amazon.com/Klein-Tools-60615-Breathable-Slip-Resistant/dp/B0BWB8VW7J/ref=sr_1_2?keywords=Klein+Tools+60614+Lightweight+Knee+Pad+Sleeves%2C+S%2FM&amp;qid=1695174023&amp;sr=8-2")</f>
        <v>https://www.amazon.com/Klein-Tools-60615-Breathable-Slip-Resistant/dp/B0BWB8VW7J/ref=sr_1_2?keywords=Klein+Tools+60614+Lightweight+Knee+Pad+Sleeves%2C+S%2FM&amp;qid=1695174023&amp;sr=8-2</v>
      </c>
      <c r="F4986" t="s">
        <v>892</v>
      </c>
      <c r="G4986" t="e">
        <f ca="1">_xludf.IMAGE("https://edmondsonsupply.com/cdn/shop/products/60492_60592_photo_4859ff57-33ad-45f9-87df-8dc6b9372281.jpg?v=1681742927")</f>
        <v>#NAME?</v>
      </c>
      <c r="H4986" t="e">
        <f ca="1">_xludf.IMAGE("https://m.media-amazon.com/images/I/61FKkSJ3xeL._AC_UL320_.jpg")</f>
        <v>#NAME?</v>
      </c>
      <c r="I4986" t="s">
        <v>577</v>
      </c>
      <c r="J4986">
        <v>39.99</v>
      </c>
      <c r="K4986" s="4">
        <v>1.0004999999999999</v>
      </c>
      <c r="L4986">
        <v>4</v>
      </c>
      <c r="M4986">
        <v>18</v>
      </c>
      <c r="O4986" t="s">
        <v>25</v>
      </c>
      <c r="P4986" t="s">
        <v>894</v>
      </c>
      <c r="Q4986" t="s">
        <v>899</v>
      </c>
    </row>
    <row r="4987" spans="1:17" ht="15.5" x14ac:dyDescent="0.35">
      <c r="A4987"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4987" s="3" t="str">
        <f>HYPERLINK("https://edmondsonsupply.com/products/klein-tools-d507-8-adjustable-wrench-extra-capacity-8-inch", "https://edmondsonsupply.com/products/klein-tools-d507-8-adjustable-wrench-extra-capacity-8-inch")</f>
        <v>https://edmondsonsupply.com/products/klein-tools-d507-8-adjustable-wrench-extra-capacity-8-inch</v>
      </c>
      <c r="C4987" t="s">
        <v>6699</v>
      </c>
      <c r="D4987" t="s">
        <v>4725</v>
      </c>
      <c r="E4987" s="3" t="str">
        <f>HYPERLINK("https://www.amazon.com/Klein-Tools-S18HB-Adjustable-Adjusts/dp/B0BN4LGV19/ref=sr_1_7?keywords=Klein+Tools+D507-8+Adjustable+Wrench%2C+Extra+Capacity+8-Inch&amp;qid=1695173949&amp;sr=8-7", "https://www.amazon.com/Klein-Tools-S18HB-Adjustable-Adjusts/dp/B0BN4LGV19/ref=sr_1_7?keywords=Klein+Tools+D507-8+Adjustable+Wrench%2C+Extra+Capacity+8-Inch&amp;qid=1695173949&amp;sr=8-7")</f>
        <v>https://www.amazon.com/Klein-Tools-S18HB-Adjustable-Adjusts/dp/B0BN4LGV19/ref=sr_1_7?keywords=Klein+Tools+D507-8+Adjustable+Wrench%2C+Extra+Capacity+8-Inch&amp;qid=1695173949&amp;sr=8-7</v>
      </c>
      <c r="F4987" t="s">
        <v>4726</v>
      </c>
      <c r="G4987" t="e">
        <f ca="1">_xludf.IMAGE("https://edmondsonsupply.com/cdn/shop/products/d5078_b.jpg?v=1666010497")</f>
        <v>#NAME?</v>
      </c>
      <c r="H4987" t="e">
        <f ca="1">_xludf.IMAGE("https://m.media-amazon.com/images/I/51WZHZOQNPL._AC_UL320_.jpg")</f>
        <v>#NAME?</v>
      </c>
      <c r="I4987" t="s">
        <v>26</v>
      </c>
      <c r="J4987">
        <v>59.99</v>
      </c>
      <c r="K4987" s="4">
        <v>1.0003</v>
      </c>
      <c r="L4987">
        <v>4.2</v>
      </c>
      <c r="M4987">
        <v>9</v>
      </c>
      <c r="O4987" t="s">
        <v>25</v>
      </c>
      <c r="P4987" t="s">
        <v>1327</v>
      </c>
      <c r="Q4987" t="s">
        <v>6700</v>
      </c>
    </row>
    <row r="4988" spans="1:17" ht="15.5" x14ac:dyDescent="0.35">
      <c r="A4988"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4988" s="3" t="str">
        <f>HYPERLINK("https://edmondsonsupply.com/products/klein-tools-60345-hard-hat-earmuffs-full-brim-style", "https://edmondsonsupply.com/products/klein-tools-60345-hard-hat-earmuffs-full-brim-style")</f>
        <v>https://edmondsonsupply.com/products/klein-tools-60345-hard-hat-earmuffs-full-brim-style</v>
      </c>
      <c r="C4988" t="s">
        <v>868</v>
      </c>
      <c r="D4988" t="s">
        <v>900</v>
      </c>
      <c r="E4988" s="3" t="str">
        <f>HYPERLINK("https://www.amazon.com/Klein-Tools-60407RL-Rechargeable-Odor-Resistant/dp/B08DDTV9M3/ref=sr_1_7?keywords=Klein+Tools+60502+Hard+Hat+Earmuffs%2C+Full+Brim+Style&amp;qid=1695174082&amp;sr=8-7", "https://www.amazon.com/Klein-Tools-60407RL-Rechargeable-Odor-Resistant/dp/B08DDTV9M3/ref=sr_1_7?keywords=Klein+Tools+60502+Hard+Hat+Earmuffs%2C+Full+Brim+Style&amp;qid=1695174082&amp;sr=8-7")</f>
        <v>https://www.amazon.com/Klein-Tools-60407RL-Rechargeable-Odor-Resistant/dp/B08DDTV9M3/ref=sr_1_7?keywords=Klein+Tools+60502+Hard+Hat+Earmuffs%2C+Full+Brim+Style&amp;qid=1695174082&amp;sr=8-7</v>
      </c>
      <c r="F4988" t="s">
        <v>901</v>
      </c>
      <c r="G4988" t="e">
        <f ca="1">_xludf.IMAGE("https://edmondsonsupply.com/cdn/shop/products/60502.jpg?v=1674486730")</f>
        <v>#NAME?</v>
      </c>
      <c r="H4988" t="e">
        <f ca="1">_xludf.IMAGE("https://m.media-amazon.com/images/I/61w2MM+yDgL._AC_UL320_.jpg")</f>
        <v>#NAME?</v>
      </c>
      <c r="I4988" t="s">
        <v>26</v>
      </c>
      <c r="J4988">
        <v>59.99</v>
      </c>
      <c r="K4988" s="4">
        <v>1.0003</v>
      </c>
      <c r="L4988">
        <v>4.7</v>
      </c>
      <c r="M4988">
        <v>1577</v>
      </c>
      <c r="O4988" t="s">
        <v>25</v>
      </c>
      <c r="P4988" t="s">
        <v>562</v>
      </c>
      <c r="Q4988" t="s">
        <v>871</v>
      </c>
    </row>
    <row r="4989" spans="1:17" ht="15.5" x14ac:dyDescent="0.35">
      <c r="A4989" s="3" t="str">
        <f>HYPERLINK("https://edmondsonsupply.com/collections/electricians-tools/products/klein-tools-32717-all-in-1-precision-screwdriver-set-with-case", "https://edmondsonsupply.com/collections/electricians-tools/products/klein-tools-32717-all-in-1-precision-screwdriver-set-with-case")</f>
        <v>https://edmondsonsupply.com/collections/electricians-tools/products/klein-tools-32717-all-in-1-precision-screwdriver-set-with-case</v>
      </c>
      <c r="B4989" s="3" t="str">
        <f>HYPERLINK("https://edmondsonsupply.com/products/klein-tools-32717-all-in-1-precision-screwdriver-set-with-case", "https://edmondsonsupply.com/products/klein-tools-32717-all-in-1-precision-screwdriver-set-with-case")</f>
        <v>https://edmondsonsupply.com/products/klein-tools-32717-all-in-1-precision-screwdriver-set-with-case</v>
      </c>
      <c r="C4989" t="s">
        <v>6701</v>
      </c>
      <c r="D4989" t="s">
        <v>6702</v>
      </c>
      <c r="E4989" s="3" t="str">
        <f>HYPERLINK("https://www.amazon.com/Klein-Tools-Screwdriver-Precision-Multi-Function/dp/B0BGPXB5KD/ref=sr_1_2?keywords=Klein+Tools+32717+All-in-1+Precision+Screwdriver+Set+with+Case&amp;qid=1695174242&amp;sr=8-2", "https://www.amazon.com/Klein-Tools-Screwdriver-Precision-Multi-Function/dp/B0BGPXB5KD/ref=sr_1_2?keywords=Klein+Tools+32717+All-in-1+Precision+Screwdriver+Set+with+Case&amp;qid=1695174242&amp;sr=8-2")</f>
        <v>https://www.amazon.com/Klein-Tools-Screwdriver-Precision-Multi-Function/dp/B0BGPXB5KD/ref=sr_1_2?keywords=Klein+Tools+32717+All-in-1+Precision+Screwdriver+Set+with+Case&amp;qid=1695174242&amp;sr=8-2</v>
      </c>
      <c r="F4989" t="s">
        <v>6703</v>
      </c>
      <c r="G4989" t="e">
        <f ca="1">_xludf.IMAGE("https://edmondsonsupply.com/cdn/shop/products/32717.jpg?v=1633031161")</f>
        <v>#NAME?</v>
      </c>
      <c r="H4989" t="e">
        <f ca="1">_xludf.IMAGE("https://m.media-amazon.com/images/I/51iOtnRuEmL._AC_UL320_.jpg")</f>
        <v>#NAME?</v>
      </c>
      <c r="I4989" t="s">
        <v>824</v>
      </c>
      <c r="J4989">
        <v>59.94</v>
      </c>
      <c r="K4989" s="4">
        <v>1</v>
      </c>
      <c r="L4989">
        <v>3.9</v>
      </c>
      <c r="M4989">
        <v>4</v>
      </c>
      <c r="O4989" t="s">
        <v>25</v>
      </c>
      <c r="P4989" t="s">
        <v>562</v>
      </c>
      <c r="Q4989" t="s">
        <v>6704</v>
      </c>
    </row>
    <row r="4990" spans="1:17" ht="15.5" x14ac:dyDescent="0.35">
      <c r="A4990" s="3" t="str">
        <f>HYPERLINK("https://edmondsonsupply.com/collections/electricians-tools/products/klein-tools-33736ins", "https://edmondsonsupply.com/collections/electricians-tools/products/klein-tools-33736ins")</f>
        <v>https://edmondsonsupply.com/collections/electricians-tools/products/klein-tools-33736ins</v>
      </c>
      <c r="B4990" s="3" t="str">
        <f>HYPERLINK("https://edmondsonsupply.com/products/klein-tools-33736ins", "https://edmondsonsupply.com/products/klein-tools-33736ins")</f>
        <v>https://edmondsonsupply.com/products/klein-tools-33736ins</v>
      </c>
      <c r="C4990" t="s">
        <v>1928</v>
      </c>
      <c r="D4990" t="s">
        <v>6705</v>
      </c>
      <c r="E4990" s="3" t="str">
        <f>HYPERLINK("https://www.amazon.com/Klein-Tools-Insulated-Screwdriver-Interchangeable/dp/B0BFXQ67BR/ref=sr_1_4?keywords=Klein+Tools+33736INS+Screwdriver+Set%2C+1000V+Slim-Tip+Insulated+and+Magnetizer%2C+6-Piece&amp;qid=1695173911&amp;sr=8-4", "https://www.amazon.com/Klein-Tools-Insulated-Screwdriver-Interchangeable/dp/B0BFXQ67BR/ref=sr_1_4?keywords=Klein+Tools+33736INS+Screwdriver+Set%2C+1000V+Slim-Tip+Insulated+and+Magnetizer%2C+6-Piece&amp;qid=1695173911&amp;sr=8-4")</f>
        <v>https://www.amazon.com/Klein-Tools-Insulated-Screwdriver-Interchangeable/dp/B0BFXQ67BR/ref=sr_1_4?keywords=Klein+Tools+33736INS+Screwdriver+Set%2C+1000V+Slim-Tip+Insulated+and+Magnetizer%2C+6-Piece&amp;qid=1695173911&amp;sr=8-4</v>
      </c>
      <c r="F4990" t="s">
        <v>6706</v>
      </c>
      <c r="G4990" t="e">
        <f ca="1">_xludf.IMAGE("https://edmondsonsupply.com/cdn/shop/products/33736ins.jpg?v=1664807705")</f>
        <v>#NAME?</v>
      </c>
      <c r="H4990" t="e">
        <f ca="1">_xludf.IMAGE("https://m.media-amazon.com/images/I/51RxT3qQViL._AC_UL320_.jpg")</f>
        <v>#NAME?</v>
      </c>
      <c r="I4990" t="s">
        <v>1931</v>
      </c>
      <c r="J4990">
        <v>99.98</v>
      </c>
      <c r="K4990" s="4">
        <v>1</v>
      </c>
      <c r="L4990">
        <v>5</v>
      </c>
      <c r="M4990">
        <v>1</v>
      </c>
      <c r="O4990" t="s">
        <v>25</v>
      </c>
      <c r="P4990" t="s">
        <v>1932</v>
      </c>
      <c r="Q4990" t="s">
        <v>1933</v>
      </c>
    </row>
    <row r="4991" spans="1:17" ht="15.5" x14ac:dyDescent="0.35">
      <c r="A4991"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4991" s="3" t="str">
        <f>HYPERLINK("https://edmondsonsupply.com/products/klein-tools-94130-1000v-insulated-tool-kit-5-piece", "https://edmondsonsupply.com/products/klein-tools-94130-1000v-insulated-tool-kit-5-piece")</f>
        <v>https://edmondsonsupply.com/products/klein-tools-94130-1000v-insulated-tool-kit-5-piece</v>
      </c>
      <c r="C4991" t="s">
        <v>2221</v>
      </c>
      <c r="D4991" t="s">
        <v>2478</v>
      </c>
      <c r="E4991" s="3" t="str">
        <f>HYPERLINK("https://www.amazon.com/Klein-Tools-Screwdriver-16-Piece-Insulated/dp/B0BD4188RR/ref=sr_1_5?keywords=Klein+Tools+94130+1000V+Insulated+Tool+Kit%2C+5-Piece&amp;qid=1695173888&amp;sr=8-5", "https://www.amazon.com/Klein-Tools-Screwdriver-16-Piece-Insulated/dp/B0BD4188RR/ref=sr_1_5?keywords=Klein+Tools+94130+1000V+Insulated+Tool+Kit%2C+5-Piece&amp;qid=1695173888&amp;sr=8-5")</f>
        <v>https://www.amazon.com/Klein-Tools-Screwdriver-16-Piece-Insulated/dp/B0BD4188RR/ref=sr_1_5?keywords=Klein+Tools+94130+1000V+Insulated+Tool+Kit%2C+5-Piece&amp;qid=1695173888&amp;sr=8-5</v>
      </c>
      <c r="F4991" t="s">
        <v>2479</v>
      </c>
      <c r="G4991" t="e">
        <f ca="1">_xludf.IMAGE("https://edmondsonsupply.com/cdn/shop/products/94130.jpg?v=1633030386")</f>
        <v>#NAME?</v>
      </c>
      <c r="H4991" t="e">
        <f ca="1">_xludf.IMAGE("https://m.media-amazon.com/images/I/51KtSSZfJ+L._AC_UL320_.jpg")</f>
        <v>#NAME?</v>
      </c>
      <c r="I4991" t="s">
        <v>2224</v>
      </c>
      <c r="J4991">
        <v>199.98</v>
      </c>
      <c r="K4991" s="4">
        <v>1</v>
      </c>
      <c r="L4991">
        <v>5</v>
      </c>
      <c r="M4991">
        <v>1</v>
      </c>
      <c r="O4991" t="s">
        <v>25</v>
      </c>
      <c r="P4991" t="s">
        <v>2225</v>
      </c>
      <c r="Q4991" t="s">
        <v>2226</v>
      </c>
    </row>
    <row r="4992" spans="1:17" ht="15.5" x14ac:dyDescent="0.35">
      <c r="A4992"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4992" s="3" t="str">
        <f>HYPERLINK("https://edmondsonsupply.com/products/klein-tools-55559-stand-up-zipper-bags-7-inch-and-14-inch-2-pack", "https://edmondsonsupply.com/products/klein-tools-55559-stand-up-zipper-bags-7-inch-and-14-inch-2-pack")</f>
        <v>https://edmondsonsupply.com/products/klein-tools-55559-stand-up-zipper-bags-7-inch-and-14-inch-2-pack</v>
      </c>
      <c r="C4992" t="s">
        <v>273</v>
      </c>
      <c r="D4992" t="s">
        <v>335</v>
      </c>
      <c r="E4992" s="3" t="str">
        <f>HYPERLINK("https://www.amazon.com/Klein-Tools-Stand-Up-14-Inch-Utility/dp/B0BNL5LYJJ/ref=sr_1_2?keywords=Klein+Tools+55559+Stand-up+Zipper+Bags%2C+7-Inch+and+14-Inch%2C+2-Pack&amp;qid=1695174132&amp;sr=8-2", "https://www.amazon.com/Klein-Tools-Stand-Up-14-Inch-Utility/dp/B0BNL5LYJJ/ref=sr_1_2?keywords=Klein+Tools+55559+Stand-up+Zipper+Bags%2C+7-Inch+and+14-Inch%2C+2-Pack&amp;qid=1695174132&amp;sr=8-2")</f>
        <v>https://www.amazon.com/Klein-Tools-Stand-Up-14-Inch-Utility/dp/B0BNL5LYJJ/ref=sr_1_2?keywords=Klein+Tools+55559+Stand-up+Zipper+Bags%2C+7-Inch+and+14-Inch%2C+2-Pack&amp;qid=1695174132&amp;sr=8-2</v>
      </c>
      <c r="F4992" t="s">
        <v>336</v>
      </c>
      <c r="G4992" t="e">
        <f ca="1">_xludf.IMAGE("https://edmondsonsupply.com/cdn/shop/products/55559.jpg?v=1666900727")</f>
        <v>#NAME?</v>
      </c>
      <c r="H4992" t="e">
        <f ca="1">_xludf.IMAGE("https://m.media-amazon.com/images/I/51YFgCm7c5L._AC_UL320_.jpg")</f>
        <v>#NAME?</v>
      </c>
      <c r="I4992" t="s">
        <v>276</v>
      </c>
      <c r="J4992">
        <v>29.98</v>
      </c>
      <c r="K4992" s="4">
        <v>1</v>
      </c>
      <c r="L4992">
        <v>4.5</v>
      </c>
      <c r="M4992">
        <v>2</v>
      </c>
      <c r="O4992" t="s">
        <v>25</v>
      </c>
      <c r="P4992" t="s">
        <v>277</v>
      </c>
      <c r="Q4992" t="s">
        <v>278</v>
      </c>
    </row>
    <row r="4993" spans="1:17" ht="15.5" x14ac:dyDescent="0.35">
      <c r="A4993" s="3" t="str">
        <f>HYPERLINK("https://edmondsonsupply.com/collections/electricians-tools/products/channellock-432", "https://edmondsonsupply.com/collections/electricians-tools/products/channellock-432")</f>
        <v>https://edmondsonsupply.com/collections/electricians-tools/products/channellock-432</v>
      </c>
      <c r="B4993" s="3" t="str">
        <f>HYPERLINK("https://edmondsonsupply.com/products/channellock-432", "https://edmondsonsupply.com/products/channellock-432")</f>
        <v>https://edmondsonsupply.com/products/channellock-432</v>
      </c>
      <c r="C4993" t="s">
        <v>2472</v>
      </c>
      <c r="D4993" t="s">
        <v>2473</v>
      </c>
      <c r="E4993" s="3" t="str">
        <f>HYPERLINK("https://www.amazon.com/Channellock-Tongue-12-Inch-Straight-Comfort/dp/B0BFXP68V9/ref=sr_1_5?keywords=Channellock+440+12%22+Straight+Jaw+Tongue+%26+Groove+Pliers&amp;qid=1695173955&amp;sr=8-5", "https://www.amazon.com/Channellock-Tongue-12-Inch-Straight-Comfort/dp/B0BFXP68V9/ref=sr_1_5?keywords=Channellock+440+12%22+Straight+Jaw+Tongue+%26+Groove+Pliers&amp;qid=1695173955&amp;sr=8-5")</f>
        <v>https://www.amazon.com/Channellock-Tongue-12-Inch-Straight-Comfort/dp/B0BFXP68V9/ref=sr_1_5?keywords=Channellock+440+12%22+Straight+Jaw+Tongue+%26+Groove+Pliers&amp;qid=1695173955&amp;sr=8-5</v>
      </c>
      <c r="F4993" t="s">
        <v>2474</v>
      </c>
      <c r="G4993" t="e">
        <f ca="1">_xludf.IMAGE("https://edmondsonsupply.com/cdn/shop/products/440-546x1024.jpg?v=1587148892")</f>
        <v>#NAME?</v>
      </c>
      <c r="H4993" t="e">
        <f ca="1">_xludf.IMAGE("https://m.media-amazon.com/images/I/41d-z+Tl0SL._AC_UL320_.jpg")</f>
        <v>#NAME?</v>
      </c>
      <c r="I4993" t="s">
        <v>2475</v>
      </c>
      <c r="J4993">
        <v>43.9</v>
      </c>
      <c r="K4993" s="4">
        <v>1</v>
      </c>
      <c r="L4993">
        <v>5</v>
      </c>
      <c r="M4993">
        <v>2</v>
      </c>
      <c r="O4993" t="s">
        <v>25</v>
      </c>
      <c r="P4993" t="s">
        <v>2476</v>
      </c>
      <c r="Q4993" t="s">
        <v>2477</v>
      </c>
    </row>
    <row r="4994" spans="1:17" ht="15.5" x14ac:dyDescent="0.35">
      <c r="A4994"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4994" s="3" t="str">
        <f>HYPERLINK("https://edmondsonsupply.com/products/klein-tools-32907-7-in-1-impact-flip-socket-set-no-handle", "https://edmondsonsupply.com/products/klein-tools-32907-7-in-1-impact-flip-socket-set-no-handle")</f>
        <v>https://edmondsonsupply.com/products/klein-tools-32907-7-in-1-impact-flip-socket-set-no-handle</v>
      </c>
      <c r="C4994" t="s">
        <v>1833</v>
      </c>
      <c r="D4994" t="s">
        <v>2480</v>
      </c>
      <c r="E4994" s="3" t="str">
        <f>HYPERLINK("https://www.amazon.com/Wiha-Magnetic-Setter-Metric-Impact/dp/B0C3BBFJC3/ref=sr_1_2?keywords=Klein+Tools+32907+7-in-1+Impact+Flip+Socket+Set%2C+No+Handle&amp;qid=1695173886&amp;sr=8-2", "https://www.amazon.com/Wiha-Magnetic-Setter-Metric-Impact/dp/B0C3BBFJC3/ref=sr_1_2?keywords=Klein+Tools+32907+7-in-1+Impact+Flip+Socket+Set%2C+No+Handle&amp;qid=1695173886&amp;sr=8-2")</f>
        <v>https://www.amazon.com/Wiha-Magnetic-Setter-Metric-Impact/dp/B0C3BBFJC3/ref=sr_1_2?keywords=Klein+Tools+32907+7-in-1+Impact+Flip+Socket+Set%2C+No+Handle&amp;qid=1695173886&amp;sr=8-2</v>
      </c>
      <c r="F4994" t="s">
        <v>2481</v>
      </c>
      <c r="G4994" t="e">
        <f ca="1">_xludf.IMAGE("https://edmondsonsupply.com/cdn/shop/products/32907_b.jpg?v=1666025282")</f>
        <v>#NAME?</v>
      </c>
      <c r="H4994" t="e">
        <f ca="1">_xludf.IMAGE("https://m.media-amazon.com/images/I/41L9R5NZDWL._AC_UL320_.jpg")</f>
        <v>#NAME?</v>
      </c>
      <c r="I4994" t="s">
        <v>577</v>
      </c>
      <c r="J4994">
        <v>39.979999999999997</v>
      </c>
      <c r="K4994" s="4">
        <v>1</v>
      </c>
      <c r="L4994">
        <v>4.5999999999999996</v>
      </c>
      <c r="M4994">
        <v>143</v>
      </c>
      <c r="O4994" t="s">
        <v>25</v>
      </c>
      <c r="P4994" t="s">
        <v>1836</v>
      </c>
      <c r="Q4994" t="s">
        <v>1837</v>
      </c>
    </row>
    <row r="4995" spans="1:17" ht="15.5" x14ac:dyDescent="0.35">
      <c r="A4995" s="3" t="str">
        <f>HYPERLINK("https://edmondsonsupply.com/collections/electricians-tools/products/klein-tools-56221-led-clip-light", "https://edmondsonsupply.com/collections/electricians-tools/products/klein-tools-56221-led-clip-light")</f>
        <v>https://edmondsonsupply.com/collections/electricians-tools/products/klein-tools-56221-led-clip-light</v>
      </c>
      <c r="B4995" s="3" t="str">
        <f>HYPERLINK("https://edmondsonsupply.com/products/klein-tools-56221-led-clip-light", "https://edmondsonsupply.com/products/klein-tools-56221-led-clip-light")</f>
        <v>https://edmondsonsupply.com/products/klein-tools-56221-led-clip-light</v>
      </c>
      <c r="C4995" t="s">
        <v>6707</v>
      </c>
      <c r="D4995" t="s">
        <v>6708</v>
      </c>
      <c r="E4995" s="3" t="str">
        <f>HYPERLINK("https://www.amazon.com/Rechargeable-Flashlight-Worklight-Klein-Tools/dp/B0947YMH51/ref=sr_1_7?keywords=Klein+Tools+56221+LED+Clip+Light&amp;qid=1695174297&amp;sr=8-7", "https://www.amazon.com/Rechargeable-Flashlight-Worklight-Klein-Tools/dp/B0947YMH51/ref=sr_1_7?keywords=Klein+Tools+56221+LED+Clip+Light&amp;qid=1695174297&amp;sr=8-7")</f>
        <v>https://www.amazon.com/Rechargeable-Flashlight-Worklight-Klein-Tools/dp/B0947YMH51/ref=sr_1_7?keywords=Klein+Tools+56221+LED+Clip+Light&amp;qid=1695174297&amp;sr=8-7</v>
      </c>
      <c r="F4995" t="s">
        <v>6709</v>
      </c>
      <c r="G4995" t="e">
        <f ca="1">_xludf.IMAGE("https://edmondsonsupply.com/cdn/shop/products/56221.jpg?v=1633030868")</f>
        <v>#NAME?</v>
      </c>
      <c r="H4995" t="e">
        <f ca="1">_xludf.IMAGE("https://m.media-amazon.com/images/I/51Of8ojN4aS._AC_UL320_.jpg")</f>
        <v>#NAME?</v>
      </c>
      <c r="I4995" t="s">
        <v>577</v>
      </c>
      <c r="J4995">
        <v>39.97</v>
      </c>
      <c r="K4995" s="4">
        <v>0.99950000000000006</v>
      </c>
      <c r="L4995">
        <v>4.5999999999999996</v>
      </c>
      <c r="M4995">
        <v>424</v>
      </c>
      <c r="O4995" t="s">
        <v>25</v>
      </c>
      <c r="P4995" t="s">
        <v>6144</v>
      </c>
      <c r="Q4995" t="s">
        <v>6710</v>
      </c>
    </row>
    <row r="4996" spans="1:17" ht="15.5" x14ac:dyDescent="0.35">
      <c r="A4996"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4996" s="3" t="str">
        <f>HYPERLINK("https://edmondsonsupply.com/products/klein-tools-ncvt1xt-non-contact-voltage-tester-70-to-1000v-ac", "https://edmondsonsupply.com/products/klein-tools-ncvt1xt-non-contact-voltage-tester-70-to-1000v-ac")</f>
        <v>https://edmondsonsupply.com/products/klein-tools-ncvt1xt-non-contact-voltage-tester-70-to-1000v-ac</v>
      </c>
      <c r="C4996" t="s">
        <v>6346</v>
      </c>
      <c r="D4996" t="s">
        <v>3501</v>
      </c>
      <c r="E4996" s="3" t="str">
        <f>HYPERLINK("https://www.amazon.com/Non-Contact-Voltage-Flashlight-Klein-Tools/dp/B00XJQ9ZE4/ref=sr_1_10?keywords=Klein+Tools+NCVT1XT+Non-Contact+Voltage+Tester%2C+70+to+1000V+AC&amp;qid=1695174075&amp;sr=8-10", "https://www.amazon.com/Non-Contact-Voltage-Flashlight-Klein-Tools/dp/B00XJQ9ZE4/ref=sr_1_10?keywords=Klein+Tools+NCVT1XT+Non-Contact+Voltage+Tester%2C+70+to+1000V+AC&amp;qid=1695174075&amp;sr=8-10")</f>
        <v>https://www.amazon.com/Non-Contact-Voltage-Flashlight-Klein-Tools/dp/B00XJQ9ZE4/ref=sr_1_10?keywords=Klein+Tools+NCVT1XT+Non-Contact+Voltage+Tester%2C+70+to+1000V+AC&amp;qid=1695174075&amp;sr=8-10</v>
      </c>
      <c r="F4996" t="s">
        <v>3502</v>
      </c>
      <c r="G4996" t="e">
        <f ca="1">_xludf.IMAGE("https://edmondsonsupply.com/cdn/shop/products/ncvt1xt.jpg?v=1674496568")</f>
        <v>#NAME?</v>
      </c>
      <c r="H4996" t="e">
        <f ca="1">_xludf.IMAGE("https://m.media-amazon.com/images/I/51dcyyMwUjL._AC_UL320_.jpg")</f>
        <v>#NAME?</v>
      </c>
      <c r="I4996" t="s">
        <v>893</v>
      </c>
      <c r="J4996">
        <v>39.89</v>
      </c>
      <c r="K4996" s="4">
        <v>0.99750000000000005</v>
      </c>
      <c r="L4996">
        <v>4.5</v>
      </c>
      <c r="M4996">
        <v>1685</v>
      </c>
      <c r="O4996" t="s">
        <v>25</v>
      </c>
      <c r="P4996" t="s">
        <v>6347</v>
      </c>
      <c r="Q4996" t="s">
        <v>6348</v>
      </c>
    </row>
    <row r="4997" spans="1:17" ht="15.5" x14ac:dyDescent="0.35">
      <c r="A4997" s="3" t="str">
        <f>HYPERLINK("https://edmondsonsupply.com/collections/electricians-tools/products/klein-tools-50900r-locknut-wrench-set", "https://edmondsonsupply.com/collections/electricians-tools/products/klein-tools-50900r-locknut-wrench-set")</f>
        <v>https://edmondsonsupply.com/collections/electricians-tools/products/klein-tools-50900r-locknut-wrench-set</v>
      </c>
      <c r="B4997" s="3" t="str">
        <f>HYPERLINK("https://edmondsonsupply.com/products/klein-tools-50900r-locknut-wrench-set", "https://edmondsonsupply.com/products/klein-tools-50900r-locknut-wrench-set")</f>
        <v>https://edmondsonsupply.com/products/klein-tools-50900r-locknut-wrench-set</v>
      </c>
      <c r="C4997" t="s">
        <v>6711</v>
      </c>
      <c r="D4997" t="s">
        <v>6712</v>
      </c>
      <c r="E4997" s="3" t="str">
        <f>HYPERLINK("https://www.amazon.com/Klein-Tools-Precision-Screwdriver-Insulated/dp/B0CGZJYYV9/ref=sr_1_2?keywords=Klein+Tools+50900R+Locknut+Wrench+Set&amp;qid=1695174005&amp;sr=8-2", "https://www.amazon.com/Klein-Tools-Precision-Screwdriver-Insulated/dp/B0CGZJYYV9/ref=sr_1_2?keywords=Klein+Tools+50900R+Locknut+Wrench+Set&amp;qid=1695174005&amp;sr=8-2")</f>
        <v>https://www.amazon.com/Klein-Tools-Precision-Screwdriver-Insulated/dp/B0CGZJYYV9/ref=sr_1_2?keywords=Klein+Tools+50900R+Locknut+Wrench+Set&amp;qid=1695174005&amp;sr=8-2</v>
      </c>
      <c r="F4997" t="s">
        <v>6713</v>
      </c>
      <c r="G4997" t="e">
        <f ca="1">_xludf.IMAGE("https://edmondsonsupply.com/cdn/shop/files/50900r.jpg?v=1689789107")</f>
        <v>#NAME?</v>
      </c>
      <c r="H4997" t="e">
        <f ca="1">_xludf.IMAGE("https://m.media-amazon.com/images/I/41gr5JfVk8L._AC_UL320_.jpg")</f>
        <v>#NAME?</v>
      </c>
      <c r="I4997" t="s">
        <v>276</v>
      </c>
      <c r="J4997">
        <v>29.94</v>
      </c>
      <c r="K4997" s="4">
        <v>0.99729999999999996</v>
      </c>
      <c r="L4997">
        <v>4.7</v>
      </c>
      <c r="M4997">
        <v>90</v>
      </c>
      <c r="O4997" t="s">
        <v>25</v>
      </c>
      <c r="P4997" t="s">
        <v>6714</v>
      </c>
      <c r="Q4997" t="s">
        <v>6715</v>
      </c>
    </row>
    <row r="4998" spans="1:17" ht="15.5" x14ac:dyDescent="0.35">
      <c r="A4998"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4998" s="3" t="str">
        <f>HYPERLINK("https://edmondsonsupply.com/products/klein-tools-3005cr-ratcheting-crimper-10-22-awg", "https://edmondsonsupply.com/products/klein-tools-3005cr-ratcheting-crimper-10-22-awg")</f>
        <v>https://edmondsonsupply.com/products/klein-tools-3005cr-ratcheting-crimper-10-22-awg</v>
      </c>
      <c r="C4998" t="s">
        <v>1987</v>
      </c>
      <c r="D4998" t="s">
        <v>2490</v>
      </c>
      <c r="E4998" s="3" t="str">
        <f>HYPERLINK("https://www.amazon.com/Klein-Tools-Terminals-Connectors-Non-Insulated/dp/B09T6YD8X4/ref=sr_1_3?keywords=Klein+Tools+3005CR+Ratcheting+Crimper%2C+10-22+AWG+-+Insulated+Terminals&amp;qid=1695173864&amp;sr=8-3", "https://www.amazon.com/Klein-Tools-Terminals-Connectors-Non-Insulated/dp/B09T6YD8X4/ref=sr_1_3?keywords=Klein+Tools+3005CR+Ratcheting+Crimper%2C+10-22+AWG+-+Insulated+Terminals&amp;qid=1695173864&amp;sr=8-3")</f>
        <v>https://www.amazon.com/Klein-Tools-Terminals-Connectors-Non-Insulated/dp/B09T6YD8X4/ref=sr_1_3?keywords=Klein+Tools+3005CR+Ratcheting+Crimper%2C+10-22+AWG+-+Insulated+Terminals&amp;qid=1695173864&amp;sr=8-3</v>
      </c>
      <c r="F4998" t="s">
        <v>2491</v>
      </c>
      <c r="G4998" t="e">
        <f ca="1">_xludf.IMAGE("https://edmondsonsupply.com/cdn/shop/products/3005cr.jpg?v=1587146892")</f>
        <v>#NAME?</v>
      </c>
      <c r="H4998" t="e">
        <f ca="1">_xludf.IMAGE("https://m.media-amazon.com/images/I/41P2x5W+flL._AC_UL320_.jpg")</f>
        <v>#NAME?</v>
      </c>
      <c r="I4998" t="s">
        <v>824</v>
      </c>
      <c r="J4998">
        <v>59.45</v>
      </c>
      <c r="K4998" s="4">
        <v>0.98370000000000002</v>
      </c>
      <c r="L4998">
        <v>5</v>
      </c>
      <c r="M4998">
        <v>1</v>
      </c>
      <c r="O4998" t="s">
        <v>25</v>
      </c>
      <c r="P4998" t="s">
        <v>1990</v>
      </c>
      <c r="Q4998" t="s">
        <v>1991</v>
      </c>
    </row>
    <row r="4999" spans="1:17" ht="15.5" x14ac:dyDescent="0.35">
      <c r="A4999"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4999" s="3" t="str">
        <f>HYPERLINK("https://edmondsonsupply.com/products/klein-tools-et45-ac-dc-voltage-tester", "https://edmondsonsupply.com/products/klein-tools-et45-ac-dc-voltage-tester")</f>
        <v>https://edmondsonsupply.com/products/klein-tools-et45-ac-dc-voltage-tester</v>
      </c>
      <c r="C4999" t="s">
        <v>6080</v>
      </c>
      <c r="D4999" t="s">
        <v>5294</v>
      </c>
      <c r="E4999" s="3" t="str">
        <f>HYPERLINK("https://www.amazon.com/Klein-Tools-NCVT2P-12-1000V-Flashing/dp/B07L5N8ZWS/ref=sr_1_8?keywords=Klein+Tools+ET45+AC%2FDC+Voltage+Tester&amp;qid=1695174290&amp;sr=8-8", "https://www.amazon.com/Klein-Tools-NCVT2P-12-1000V-Flashing/dp/B07L5N8ZWS/ref=sr_1_8?keywords=Klein+Tools+ET45+AC%2FDC+Voltage+Tester&amp;qid=1695174290&amp;sr=8-8")</f>
        <v>https://www.amazon.com/Klein-Tools-NCVT2P-12-1000V-Flashing/dp/B07L5N8ZWS/ref=sr_1_8?keywords=Klein+Tools+ET45+AC%2FDC+Voltage+Tester&amp;qid=1695174290&amp;sr=8-8</v>
      </c>
      <c r="F4999" t="s">
        <v>5295</v>
      </c>
      <c r="G4999" t="e">
        <f ca="1">_xludf.IMAGE("https://edmondsonsupply.com/cdn/shop/products/et45.jpg?v=1647786270")</f>
        <v>#NAME?</v>
      </c>
      <c r="H4999" t="e">
        <f ca="1">_xludf.IMAGE("https://m.media-amazon.com/images/I/51GASnKpZ1L._AC_UL320_.jpg")</f>
        <v>#NAME?</v>
      </c>
      <c r="I4999" t="s">
        <v>2337</v>
      </c>
      <c r="J4999">
        <v>23.76</v>
      </c>
      <c r="K4999" s="4">
        <v>0.98170000000000002</v>
      </c>
      <c r="L4999">
        <v>4.7</v>
      </c>
      <c r="M4999">
        <v>639</v>
      </c>
      <c r="O4999" t="s">
        <v>25</v>
      </c>
      <c r="P4999" t="s">
        <v>6083</v>
      </c>
      <c r="Q4999" t="s">
        <v>6084</v>
      </c>
    </row>
    <row r="5000" spans="1:17" ht="15.5" x14ac:dyDescent="0.35">
      <c r="A5000"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5000"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5000" t="s">
        <v>6512</v>
      </c>
      <c r="D5000" t="s">
        <v>6716</v>
      </c>
      <c r="E5000" s="3" t="str">
        <f>HYPERLINK("https://www.amazon.com/Klein-Tools-Diagonal-Multi-Purpose-High-Leverage/dp/B0BKQCRLT1/ref=sr_1_3?keywords=Klein+Tools+D248-8+Diagonal+Cutting+Pliers%2C+Angled+Head%2C+Short+Jaw%2C+8-Inch&amp;qid=1695174274&amp;sr=8-3", "https://www.amazon.com/Klein-Tools-Diagonal-Multi-Purpose-High-Leverage/dp/B0BKQCRLT1/ref=sr_1_3?keywords=Klein+Tools+D248-8+Diagonal+Cutting+Pliers%2C+Angled+Head%2C+Short+Jaw%2C+8-Inch&amp;qid=1695174274&amp;sr=8-3")</f>
        <v>https://www.amazon.com/Klein-Tools-Diagonal-Multi-Purpose-High-Leverage/dp/B0BKQCRLT1/ref=sr_1_3?keywords=Klein+Tools+D248-8+Diagonal+Cutting+Pliers%2C+Angled+Head%2C+Short+Jaw%2C+8-Inch&amp;qid=1695174274&amp;sr=8-3</v>
      </c>
      <c r="F5000" t="s">
        <v>6717</v>
      </c>
      <c r="G5000" t="e">
        <f ca="1">_xludf.IMAGE("https://edmondsonsupply.com/cdn/shop/products/d2488.jpg?v=1633030997")</f>
        <v>#NAME?</v>
      </c>
      <c r="H5000" t="e">
        <f ca="1">_xludf.IMAGE("https://m.media-amazon.com/images/I/31gN+DbPGvL._AC_UL320_.jpg")</f>
        <v>#NAME?</v>
      </c>
      <c r="I5000" t="s">
        <v>824</v>
      </c>
      <c r="J5000">
        <v>59.35</v>
      </c>
      <c r="K5000" s="4">
        <v>0.98029999999999995</v>
      </c>
      <c r="L5000">
        <v>5</v>
      </c>
      <c r="M5000">
        <v>1</v>
      </c>
      <c r="O5000" t="s">
        <v>25</v>
      </c>
      <c r="P5000" t="s">
        <v>5277</v>
      </c>
      <c r="Q5000" t="s">
        <v>6515</v>
      </c>
    </row>
    <row r="5001" spans="1:17" ht="15.5" x14ac:dyDescent="0.35">
      <c r="A5001"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5001"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5001" t="s">
        <v>6718</v>
      </c>
      <c r="D5001" t="s">
        <v>6719</v>
      </c>
      <c r="E5001" s="3" t="str">
        <f>HYPERLINK("https://www.amazon.com/Milwaukee-48-59-1850-LITHIUM-Batteries-48-59-1812/dp/B015GOE7B2/ref=sr_1_6?keywords=Milwaukee+48-59-1812+M18%E2%84%A2+%26+M12%E2%84%A2+Multi-Voltage+Charger&amp;qid=1695174184&amp;sr=8-6", "https://www.amazon.com/Milwaukee-48-59-1850-LITHIUM-Batteries-48-59-1812/dp/B015GOE7B2/ref=sr_1_6?keywords=Milwaukee+48-59-1812+M18%E2%84%A2+%26+M12%E2%84%A2+Multi-Voltage+Charger&amp;qid=1695174184&amp;sr=8-6")</f>
        <v>https://www.amazon.com/Milwaukee-48-59-1850-LITHIUM-Batteries-48-59-1812/dp/B015GOE7B2/ref=sr_1_6?keywords=Milwaukee+48-59-1812+M18%E2%84%A2+%26+M12%E2%84%A2+Multi-Voltage+Charger&amp;qid=1695174184&amp;sr=8-6</v>
      </c>
      <c r="F5001" t="s">
        <v>6720</v>
      </c>
      <c r="G5001" t="e">
        <f ca="1">_xludf.IMAGE("https://edmondsonsupply.com/cdn/shop/products/60113_48-59-1812_3-lg.webp?v=1656530513")</f>
        <v>#NAME?</v>
      </c>
      <c r="H5001" t="e">
        <f ca="1">_xludf.IMAGE("https://m.media-amazon.com/images/I/81vOom9f67L._AC_UL320_.jpg")</f>
        <v>#NAME?</v>
      </c>
      <c r="I5001" t="s">
        <v>4741</v>
      </c>
      <c r="J5001">
        <v>155.94999999999999</v>
      </c>
      <c r="K5001" s="4">
        <v>0.97409999999999997</v>
      </c>
      <c r="L5001">
        <v>4.7</v>
      </c>
      <c r="M5001">
        <v>738</v>
      </c>
      <c r="O5001" t="s">
        <v>25</v>
      </c>
      <c r="P5001" t="s">
        <v>6721</v>
      </c>
      <c r="Q5001" t="s">
        <v>6722</v>
      </c>
    </row>
    <row r="5002" spans="1:17" ht="15.5" x14ac:dyDescent="0.35">
      <c r="A5002"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5002" s="3" t="str">
        <f>HYPERLINK("https://edmondsonsupply.com/products/klein-tools-jth9m5-5-mm-hex-key-journeyman-t-handle-9-inch", "https://edmondsonsupply.com/products/klein-tools-jth9m5-5-mm-hex-key-journeyman-t-handle-9-inch")</f>
        <v>https://edmondsonsupply.com/products/klein-tools-jth9m5-5-mm-hex-key-journeyman-t-handle-9-inch</v>
      </c>
      <c r="C5002" t="s">
        <v>6167</v>
      </c>
      <c r="D5002" t="s">
        <v>2500</v>
      </c>
      <c r="E5002" s="3" t="str">
        <f>HYPERLINK("https://www.amazon.com/Journeyman-T-Handle-Klein-Tools-JTH9M6/dp/B005G3HJKU/ref=sr_1_9?keywords=Klein+Tools+JTH9M5+5+mm+Hex+Key%2C+Journeyman+T-Handle+9-Inch&amp;qid=1695174264&amp;sr=8-9", "https://www.amazon.com/Journeyman-T-Handle-Klein-Tools-JTH9M6/dp/B005G3HJKU/ref=sr_1_9?keywords=Klein+Tools+JTH9M5+5+mm+Hex+Key%2C+Journeyman+T-Handle+9-Inch&amp;qid=1695174264&amp;sr=8-9")</f>
        <v>https://www.amazon.com/Journeyman-T-Handle-Klein-Tools-JTH9M6/dp/B005G3HJKU/ref=sr_1_9?keywords=Klein+Tools+JTH9M5+5+mm+Hex+Key%2C+Journeyman+T-Handle+9-Inch&amp;qid=1695174264&amp;sr=8-9</v>
      </c>
      <c r="F5002" t="s">
        <v>2501</v>
      </c>
      <c r="G5002" t="e">
        <f ca="1">_xludf.IMAGE("https://edmondsonsupply.com/cdn/shop/products/jth9m_84ad507b-889a-4b5c-80a2-9633c898cd48.jpg?v=1633031048")</f>
        <v>#NAME?</v>
      </c>
      <c r="H5002" t="e">
        <f ca="1">_xludf.IMAGE("https://m.media-amazon.com/images/I/51+1x0vz9XL._AC_UL320_.jpg")</f>
        <v>#NAME?</v>
      </c>
      <c r="I5002" t="s">
        <v>2388</v>
      </c>
      <c r="J5002">
        <v>9.84</v>
      </c>
      <c r="K5002" s="4">
        <v>0.97189999999999999</v>
      </c>
      <c r="L5002">
        <v>4.7</v>
      </c>
      <c r="M5002">
        <v>123</v>
      </c>
      <c r="O5002" t="s">
        <v>25</v>
      </c>
      <c r="P5002" t="s">
        <v>6168</v>
      </c>
      <c r="Q5002" t="s">
        <v>6169</v>
      </c>
    </row>
    <row r="5003" spans="1:17" ht="15.5" x14ac:dyDescent="0.35">
      <c r="A5003" s="3" t="str">
        <f>HYPERLINK("https://edmondsonsupply.com/collections/electricians-tools/products/rack-a-tiers-80075-the-nut-snugger-3-4-magnetic-locknut-holder", "https://edmondsonsupply.com/collections/electricians-tools/products/rack-a-tiers-80075-the-nut-snugger-3-4-magnetic-locknut-holder")</f>
        <v>https://edmondsonsupply.com/collections/electricians-tools/products/rack-a-tiers-80075-the-nut-snugger-3-4-magnetic-locknut-holder</v>
      </c>
      <c r="B5003" s="3" t="str">
        <f>HYPERLINK("https://edmondsonsupply.com/products/rack-a-tiers-80075-the-nut-snugger-3-4-magnetic-locknut-holder", "https://edmondsonsupply.com/products/rack-a-tiers-80075-the-nut-snugger-3-4-magnetic-locknut-holder")</f>
        <v>https://edmondsonsupply.com/products/rack-a-tiers-80075-the-nut-snugger-3-4-magnetic-locknut-holder</v>
      </c>
      <c r="C5003" t="s">
        <v>6723</v>
      </c>
      <c r="D5003" t="s">
        <v>6677</v>
      </c>
      <c r="E5003" s="3" t="str">
        <f>HYPERLINK("https://www.amazon.com/Rack-Tiers-Nut-Snugger-Kit/dp/B0BX4MB59Q/ref=sr_1_1?keywords=Rack-A-Tiers+80075+The+Nut+Snugger+-+3%2F4%22+Magnetic+Locknut+Holder&amp;qid=1695173904&amp;sr=8-1", "https://www.amazon.com/Rack-Tiers-Nut-Snugger-Kit/dp/B0BX4MB59Q/ref=sr_1_1?keywords=Rack-A-Tiers+80075+The+Nut+Snugger+-+3%2F4%22+Magnetic+Locknut+Holder&amp;qid=1695173904&amp;sr=8-1")</f>
        <v>https://www.amazon.com/Rack-Tiers-Nut-Snugger-Kit/dp/B0BX4MB59Q/ref=sr_1_1?keywords=Rack-A-Tiers+80075+The+Nut+Snugger+-+3%2F4%22+Magnetic+Locknut+Holder&amp;qid=1695173904&amp;sr=8-1</v>
      </c>
      <c r="F5003" t="s">
        <v>6678</v>
      </c>
      <c r="G5003" t="e">
        <f ca="1">_xludf.IMAGE("https://edmondsonsupply.com/cdn/shop/products/820XX-Nut-Snugger_32ac94c2-c07d-4d16-9e48-14a49a647db8.png?v=1667152999")</f>
        <v>#NAME?</v>
      </c>
      <c r="H5003" t="e">
        <f ca="1">_xludf.IMAGE("https://m.media-amazon.com/images/I/31gF-2h5bgL._AC_UY218_.jpg")</f>
        <v>#NAME?</v>
      </c>
      <c r="I5003" t="s">
        <v>571</v>
      </c>
      <c r="J5003">
        <v>68.989999999999995</v>
      </c>
      <c r="K5003" s="4">
        <v>0.97170000000000001</v>
      </c>
      <c r="L5003">
        <v>5</v>
      </c>
      <c r="M5003">
        <v>2</v>
      </c>
      <c r="O5003" t="s">
        <v>25</v>
      </c>
      <c r="P5003" t="s">
        <v>3432</v>
      </c>
      <c r="Q5003" t="s">
        <v>6724</v>
      </c>
    </row>
    <row r="5004" spans="1:17" ht="15.5" x14ac:dyDescent="0.35">
      <c r="A5004"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5004"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5004" t="s">
        <v>6225</v>
      </c>
      <c r="D5004" t="s">
        <v>3163</v>
      </c>
      <c r="E5004" s="3" t="str">
        <f>HYPERLINK("https://www.amazon.com/Journeyman-T-Handle-Klein-Tools-JTH9E14/dp/B004QVAH4I/ref=sr_1_4?keywords=Klein+Tools+JTH4E09+9%2F64-Inch+Hex+Key+Journeyman+T-Handle+4-Inch&amp;qid=1695174238&amp;sr=8-4", "https://www.amazon.com/Journeyman-T-Handle-Klein-Tools-JTH9E14/dp/B004QVAH4I/ref=sr_1_4?keywords=Klein+Tools+JTH4E09+9%2F64-Inch+Hex+Key+Journeyman+T-Handle+4-Inch&amp;qid=1695174238&amp;sr=8-4")</f>
        <v>https://www.amazon.com/Journeyman-T-Handle-Klein-Tools-JTH9E14/dp/B004QVAH4I/ref=sr_1_4?keywords=Klein+Tools+JTH4E09+9%2F64-Inch+Hex+Key+Journeyman+T-Handle+4-Inch&amp;qid=1695174238&amp;sr=8-4</v>
      </c>
      <c r="F5004" t="s">
        <v>3164</v>
      </c>
      <c r="G5004" t="e">
        <f ca="1">_xludf.IMAGE("https://edmondsonsupply.com/cdn/shop/products/jth4e06_be5118a6-2e9d-44f5-81ad-c027572dd2d3.jpg?v=1635981570")</f>
        <v>#NAME?</v>
      </c>
      <c r="H5004" t="e">
        <f ca="1">_xludf.IMAGE("https://m.media-amazon.com/images/I/51Yb8h41vLL._AC_UL320_.jpg")</f>
        <v>#NAME?</v>
      </c>
      <c r="I5004" t="s">
        <v>6228</v>
      </c>
      <c r="J5004">
        <v>7.44</v>
      </c>
      <c r="K5004" s="4">
        <v>0.96309999999999996</v>
      </c>
      <c r="L5004">
        <v>4.8</v>
      </c>
      <c r="M5004">
        <v>114</v>
      </c>
      <c r="O5004" t="s">
        <v>25</v>
      </c>
      <c r="P5004" t="s">
        <v>6229</v>
      </c>
      <c r="Q5004" t="s">
        <v>6230</v>
      </c>
    </row>
    <row r="5005" spans="1:17" ht="15.5" x14ac:dyDescent="0.35">
      <c r="A5005"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5005" s="3" t="str">
        <f>HYPERLINK("https://edmondsonsupply.com/products/klein-tools-jth4e08-1-8-inch-hex-key-journeyman-t-handle-4-inch", "https://edmondsonsupply.com/products/klein-tools-jth4e08-1-8-inch-hex-key-journeyman-t-handle-4-inch")</f>
        <v>https://edmondsonsupply.com/products/klein-tools-jth4e08-1-8-inch-hex-key-journeyman-t-handle-4-inch</v>
      </c>
      <c r="C5005" t="s">
        <v>6406</v>
      </c>
      <c r="D5005" t="s">
        <v>3163</v>
      </c>
      <c r="E5005" s="3" t="str">
        <f>HYPERLINK("https://www.amazon.com/Journeyman-T-Handle-Klein-Tools-JTH9E14/dp/B004QVAH4I/ref=sr_1_4?keywords=Klein+Tools+JTH4E08+1%2F8-Inch+Hex+Key%2C+Journeyman+T-Handle%2C+4-Inch&amp;qid=1695174216&amp;sr=8-4", "https://www.amazon.com/Journeyman-T-Handle-Klein-Tools-JTH9E14/dp/B004QVAH4I/ref=sr_1_4?keywords=Klein+Tools+JTH4E08+1%2F8-Inch+Hex+Key%2C+Journeyman+T-Handle%2C+4-Inch&amp;qid=1695174216&amp;sr=8-4")</f>
        <v>https://www.amazon.com/Journeyman-T-Handle-Klein-Tools-JTH9E14/dp/B004QVAH4I/ref=sr_1_4?keywords=Klein+Tools+JTH4E08+1%2F8-Inch+Hex+Key%2C+Journeyman+T-Handle%2C+4-Inch&amp;qid=1695174216&amp;sr=8-4</v>
      </c>
      <c r="F5005" t="s">
        <v>3164</v>
      </c>
      <c r="G5005" t="e">
        <f ca="1">_xludf.IMAGE("https://edmondsonsupply.com/cdn/shop/products/jth4e06_0950e3ec-22b0-4cdd-acd1-822980009e67.jpg?v=1645564818")</f>
        <v>#NAME?</v>
      </c>
      <c r="H5005" t="e">
        <f ca="1">_xludf.IMAGE("https://m.media-amazon.com/images/I/51Yb8h41vLL._AC_UL320_.jpg")</f>
        <v>#NAME?</v>
      </c>
      <c r="I5005" t="s">
        <v>6228</v>
      </c>
      <c r="J5005">
        <v>7.44</v>
      </c>
      <c r="K5005" s="4">
        <v>0.96309999999999996</v>
      </c>
      <c r="L5005">
        <v>4.8</v>
      </c>
      <c r="M5005">
        <v>114</v>
      </c>
      <c r="O5005" t="s">
        <v>25</v>
      </c>
      <c r="P5005" t="s">
        <v>6407</v>
      </c>
      <c r="Q5005" t="s">
        <v>6408</v>
      </c>
    </row>
    <row r="5006" spans="1:17" ht="15.5" x14ac:dyDescent="0.35">
      <c r="A5006"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006" s="3" t="str">
        <f>HYPERLINK("https://edmondsonsupply.com/products/klein-tools-11053-klein-kurve%c2%ae-wire-stripper-cutter", "https://edmondsonsupply.com/products/klein-tools-11053-klein-kurve%c2%ae-wire-stripper-cutter")</f>
        <v>https://edmondsonsupply.com/products/klein-tools-11053-klein-kurve%c2%ae-wire-stripper-cutter</v>
      </c>
      <c r="C5006" t="s">
        <v>2285</v>
      </c>
      <c r="D5006" t="s">
        <v>2517</v>
      </c>
      <c r="E5006" s="3" t="str">
        <f>HYPERLINK("https://www.amazon.com/Klein-Tools-Klein-Kurve-Stripper-Stranded/dp/B0BHVPT335/ref=sr_1_2?keywords=Klein+Tools+11053+Klein-Kurve%C2%AE+Wire+Stripper%2FCutter&amp;qid=1695173869&amp;sr=8-2", "https://www.amazon.com/Klein-Tools-Klein-Kurve-Stripper-Stranded/dp/B0BHVPT335/ref=sr_1_2?keywords=Klein+Tools+11053+Klein-Kurve%C2%AE+Wire+Stripper%2FCutter&amp;qid=1695173869&amp;sr=8-2")</f>
        <v>https://www.amazon.com/Klein-Tools-Klein-Kurve-Stripper-Stranded/dp/B0BHVPT335/ref=sr_1_2?keywords=Klein+Tools+11053+Klein-Kurve%C2%AE+Wire+Stripper%2FCutter&amp;qid=1695173869&amp;sr=8-2</v>
      </c>
      <c r="F5006" t="s">
        <v>2518</v>
      </c>
      <c r="G5006" t="e">
        <f ca="1">_xludf.IMAGE("https://edmondsonsupply.com/cdn/shop/products/11053.jpg?v=1633030511")</f>
        <v>#NAME?</v>
      </c>
      <c r="H5006" t="e">
        <f ca="1">_xludf.IMAGE("https://m.media-amazon.com/images/I/41+jddPUDML._AC_UL320_.jpg")</f>
        <v>#NAME?</v>
      </c>
      <c r="I5006" t="s">
        <v>2288</v>
      </c>
      <c r="J5006">
        <v>40.96</v>
      </c>
      <c r="K5006" s="4">
        <v>0.95330000000000004</v>
      </c>
      <c r="L5006">
        <v>4.5</v>
      </c>
      <c r="M5006">
        <v>2</v>
      </c>
      <c r="O5006" t="s">
        <v>25</v>
      </c>
      <c r="P5006" t="s">
        <v>2289</v>
      </c>
      <c r="Q5006" t="s">
        <v>2290</v>
      </c>
    </row>
    <row r="5007" spans="1:17" ht="15.5" x14ac:dyDescent="0.35">
      <c r="A5007" s="3" t="str">
        <f>HYPERLINK("https://edmondsonsupply.com/collections/electricians-tools/products/klein-tools-60345-hard-hat-premium-karbn%E2%84%A2-pattern-non-vented-full-brim-class-e", "https://edmondsonsupply.com/collections/electricians-tools/products/klein-tools-60345-hard-hat-premium-karbn%E2%84%A2-pattern-non-vented-full-brim-class-e")</f>
        <v>https://edmondsonsupply.com/collections/electricians-tools/products/klein-tools-60345-hard-hat-premium-karbn%E2%84%A2-pattern-non-vented-full-brim-class-e</v>
      </c>
      <c r="B5007" s="3" t="str">
        <f>HYPERLINK("https://edmondsonsupply.com/products/klein-tools-60345-hard-hat-premium-karbn%e2%84%a2-pattern-non-vented-full-brim-class-e", "https://edmondsonsupply.com/products/klein-tools-60345-hard-hat-premium-karbn%e2%84%a2-pattern-non-vented-full-brim-class-e")</f>
        <v>https://edmondsonsupply.com/products/klein-tools-60345-hard-hat-premium-karbn%e2%84%a2-pattern-non-vented-full-brim-class-e</v>
      </c>
      <c r="C5007" t="s">
        <v>902</v>
      </c>
      <c r="D5007" t="s">
        <v>903</v>
      </c>
      <c r="E5007" s="3" t="str">
        <f>HYPERLINK("https://www.amazon.com/Klein-Tools-60347-Rechargeable-Sweat-Wicking/dp/B08SYM9K52/ref=sr_1_8?keywords=Klein+Tools+60345+Hard+Hat%2C+Premium+KARBN%E2%84%A2+Pattern%2C+Non-Vented+Full+Brim%2C+Class+E&amp;qid=1695174204&amp;sr=8-8", "https://www.amazon.com/Klein-Tools-60347-Rechargeable-Sweat-Wicking/dp/B08SYM9K52/ref=sr_1_8?keywords=Klein+Tools+60345+Hard+Hat%2C+Premium+KARBN%E2%84%A2+Pattern%2C+Non-Vented+Full+Brim%2C+Class+E&amp;qid=1695174204&amp;sr=8-8")</f>
        <v>https://www.amazon.com/Klein-Tools-60347-Rechargeable-Sweat-Wicking/dp/B08SYM9K52/ref=sr_1_8?keywords=Klein+Tools+60345+Hard+Hat%2C+Premium+KARBN%E2%84%A2+Pattern%2C+Non-Vented+Full+Brim%2C+Class+E&amp;qid=1695174204&amp;sr=8-8</v>
      </c>
      <c r="F5007" t="s">
        <v>904</v>
      </c>
      <c r="G5007" t="e">
        <f ca="1">_xludf.IMAGE("https://edmondsonsupply.com/cdn/shop/products/60345.jpg?v=1660171739")</f>
        <v>#NAME?</v>
      </c>
      <c r="H5007" t="e">
        <f ca="1">_xludf.IMAGE("https://m.media-amazon.com/images/I/61pIVbITWkL._AC_UL320_.jpg")</f>
        <v>#NAME?</v>
      </c>
      <c r="I5007" t="s">
        <v>905</v>
      </c>
      <c r="J5007">
        <v>116.88</v>
      </c>
      <c r="K5007" s="4">
        <v>0.94830000000000003</v>
      </c>
      <c r="L5007">
        <v>4.7</v>
      </c>
      <c r="M5007">
        <v>2542</v>
      </c>
      <c r="O5007" t="s">
        <v>25</v>
      </c>
      <c r="P5007" t="s">
        <v>906</v>
      </c>
      <c r="Q5007" t="s">
        <v>907</v>
      </c>
    </row>
    <row r="5008" spans="1:17" ht="15.5" x14ac:dyDescent="0.35">
      <c r="A5008"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5008" s="3" t="str">
        <f>HYPERLINK("https://edmondsonsupply.com/products/diablo-tools-d0824x-8-1-4-in-x-24-tooth-framing-saw-blade", "https://edmondsonsupply.com/products/diablo-tools-d0824x-8-1-4-in-x-24-tooth-framing-saw-blade")</f>
        <v>https://edmondsonsupply.com/products/diablo-tools-d0824x-8-1-4-in-x-24-tooth-framing-saw-blade</v>
      </c>
      <c r="C5008" t="s">
        <v>6161</v>
      </c>
      <c r="D5008" t="s">
        <v>6272</v>
      </c>
      <c r="E5008" s="3" t="str">
        <f>HYPERLINK("https://www.amazon.com/Diablo-D0724DA-Framing-Deconstruction-Circular/dp/B00XT9KFVS/ref=sr_1_7?keywords=Diablo+Tools+D0824X+8-1%2F4+in.+x+24+Tooth+Framing+Saw+Blade&amp;qid=1695174053&amp;sr=8-7", "https://www.amazon.com/Diablo-D0724DA-Framing-Deconstruction-Circular/dp/B00XT9KFVS/ref=sr_1_7?keywords=Diablo+Tools+D0824X+8-1%2F4+in.+x+24+Tooth+Framing+Saw+Blade&amp;qid=1695174053&amp;sr=8-7")</f>
        <v>https://www.amazon.com/Diablo-D0724DA-Framing-Deconstruction-Circular/dp/B00XT9KFVS/ref=sr_1_7?keywords=Diablo+Tools+D0824X+8-1%2F4+in.+x+24+Tooth+Framing+Saw+Blade&amp;qid=1695174053&amp;sr=8-7</v>
      </c>
      <c r="F5008" t="s">
        <v>6273</v>
      </c>
      <c r="G5008" t="e">
        <f ca="1">_xludf.IMAGE("https://edmondsonsupply.com/cdn/shop/products/waqxzlwfclzed6nt6ziy.webp?v=1678979454")</f>
        <v>#NAME?</v>
      </c>
      <c r="H5008" t="e">
        <f ca="1">_xludf.IMAGE("https://m.media-amazon.com/images/I/61NkAJf3i9L._AC_UL320_.jpg")</f>
        <v>#NAME?</v>
      </c>
      <c r="I5008" t="s">
        <v>6164</v>
      </c>
      <c r="J5008">
        <v>36.9</v>
      </c>
      <c r="K5008" s="4">
        <v>0.94520000000000004</v>
      </c>
      <c r="L5008">
        <v>4.7</v>
      </c>
      <c r="M5008">
        <v>10</v>
      </c>
      <c r="O5008" t="s">
        <v>25</v>
      </c>
      <c r="P5008" t="s">
        <v>6165</v>
      </c>
      <c r="Q5008" t="s">
        <v>6166</v>
      </c>
    </row>
    <row r="5009" spans="1:17" ht="15.5" x14ac:dyDescent="0.35">
      <c r="A5009"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5009"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5009" t="s">
        <v>6725</v>
      </c>
      <c r="D5009" t="s">
        <v>6726</v>
      </c>
      <c r="E5009" s="3" t="str">
        <f>HYPERLINK("https://www.amazon.com/Insulated-Screwdriver-Klein-Tools-605-7-INS/dp/B00J9S1EX6/ref=sr_1_10?keywords=Klein+Tools+6826INS+Insulated+Screwdriver%2C+1%2F4-Inch+Cabinet+Tip%2C+6-Inch+Shank&amp;qid=1695174154&amp;sr=8-10", "https://www.amazon.com/Insulated-Screwdriver-Klein-Tools-605-7-INS/dp/B00J9S1EX6/ref=sr_1_10?keywords=Klein+Tools+6826INS+Insulated+Screwdriver%2C+1%2F4-Inch+Cabinet+Tip%2C+6-Inch+Shank&amp;qid=1695174154&amp;sr=8-10")</f>
        <v>https://www.amazon.com/Insulated-Screwdriver-Klein-Tools-605-7-INS/dp/B00J9S1EX6/ref=sr_1_10?keywords=Klein+Tools+6826INS+Insulated+Screwdriver%2C+1%2F4-Inch+Cabinet+Tip%2C+6-Inch+Shank&amp;qid=1695174154&amp;sr=8-10</v>
      </c>
      <c r="F5009" t="s">
        <v>6727</v>
      </c>
      <c r="G5009" t="e">
        <f ca="1">_xludf.IMAGE("https://edmondsonsupply.com/cdn/shop/products/6826ins.jpg?v=1664814069")</f>
        <v>#NAME?</v>
      </c>
      <c r="H5009" t="e">
        <f ca="1">_xludf.IMAGE("https://m.media-amazon.com/images/I/41PbqrqWh2L._AC_UL320_.jpg")</f>
        <v>#NAME?</v>
      </c>
      <c r="I5009" t="s">
        <v>6073</v>
      </c>
      <c r="J5009">
        <v>23.22</v>
      </c>
      <c r="K5009" s="4">
        <v>0.93979999999999997</v>
      </c>
      <c r="L5009">
        <v>4.8</v>
      </c>
      <c r="M5009">
        <v>1064</v>
      </c>
      <c r="O5009" t="s">
        <v>25</v>
      </c>
      <c r="P5009" t="s">
        <v>6728</v>
      </c>
      <c r="Q5009" t="s">
        <v>6729</v>
      </c>
    </row>
    <row r="5010" spans="1:17" ht="15.5" x14ac:dyDescent="0.35">
      <c r="A5010" s="3" t="str">
        <f>HYPERLINK("https://edmondsonsupply.com/collections/electricians-tools/products/klein-tools-56403-rechargeable-personal-worklight", "https://edmondsonsupply.com/collections/electricians-tools/products/klein-tools-56403-rechargeable-personal-worklight")</f>
        <v>https://edmondsonsupply.com/collections/electricians-tools/products/klein-tools-56403-rechargeable-personal-worklight</v>
      </c>
      <c r="B5010" s="3" t="str">
        <f>HYPERLINK("https://edmondsonsupply.com/products/klein-tools-56403-rechargeable-personal-worklight", "https://edmondsonsupply.com/products/klein-tools-56403-rechargeable-personal-worklight")</f>
        <v>https://edmondsonsupply.com/products/klein-tools-56403-rechargeable-personal-worklight</v>
      </c>
      <c r="C5010" t="s">
        <v>2537</v>
      </c>
      <c r="D5010" t="s">
        <v>2538</v>
      </c>
      <c r="E5010" s="3" t="str">
        <f>HYPERLINK("https://www.amazon.com/Klein-Tools-Rechargeable-Flashlight-Worklight/dp/B0BC85LX49/ref=sr_1_2?keywords=Klein+Tools+56403+Rechargeable+Personal+Worklight&amp;qid=1695173953&amp;sr=8-2", "https://www.amazon.com/Klein-Tools-Rechargeable-Flashlight-Worklight/dp/B0BC85LX49/ref=sr_1_2?keywords=Klein+Tools+56403+Rechargeable+Personal+Worklight&amp;qid=1695173953&amp;sr=8-2")</f>
        <v>https://www.amazon.com/Klein-Tools-Rechargeable-Flashlight-Worklight/dp/B0BC85LX49/ref=sr_1_2?keywords=Klein+Tools+56403+Rechargeable+Personal+Worklight&amp;qid=1695173953&amp;sr=8-2</v>
      </c>
      <c r="F5010" t="s">
        <v>2539</v>
      </c>
      <c r="G5010" t="e">
        <f ca="1">_xludf.IMAGE("https://edmondsonsupply.com/cdn/shop/products/56403.jpg?v=1587143308")</f>
        <v>#NAME?</v>
      </c>
      <c r="H5010" t="e">
        <f ca="1">_xludf.IMAGE("https://m.media-amazon.com/images/I/61HjyBviEWL._AC_UL320_.jpg")</f>
        <v>#NAME?</v>
      </c>
      <c r="I5010" t="s">
        <v>380</v>
      </c>
      <c r="J5010">
        <v>96.47</v>
      </c>
      <c r="K5010" s="4">
        <v>0.93059999999999998</v>
      </c>
      <c r="L5010">
        <v>5</v>
      </c>
      <c r="M5010">
        <v>1</v>
      </c>
      <c r="O5010" t="s">
        <v>25</v>
      </c>
      <c r="P5010" t="s">
        <v>2540</v>
      </c>
      <c r="Q5010" t="s">
        <v>2541</v>
      </c>
    </row>
    <row r="5011" spans="1:17" ht="15.5" x14ac:dyDescent="0.35">
      <c r="A5011" s="3" t="str">
        <f>HYPERLINK("https://edmondsonsupply.com/collections/electricians-tools/products/milwaukee-48-22-1521-compact-folding-knife", "https://edmondsonsupply.com/collections/electricians-tools/products/milwaukee-48-22-1521-compact-folding-knife")</f>
        <v>https://edmondsonsupply.com/collections/electricians-tools/products/milwaukee-48-22-1521-compact-folding-knife</v>
      </c>
      <c r="B5011" s="3" t="str">
        <f>HYPERLINK("https://edmondsonsupply.com/products/milwaukee-48-22-1521-compact-folding-knife", "https://edmondsonsupply.com/products/milwaukee-48-22-1521-compact-folding-knife")</f>
        <v>https://edmondsonsupply.com/products/milwaukee-48-22-1521-compact-folding-knife</v>
      </c>
      <c r="C5011" t="s">
        <v>6665</v>
      </c>
      <c r="D5011" t="s">
        <v>4303</v>
      </c>
      <c r="E5011" s="3" t="str">
        <f>HYPERLINK("https://www.amazon.com/Milwaukee-48-22-1985-Fastback-Folding-Lanyard/dp/B00IQCDWIG/ref=sr_1_8?keywords=Milwaukee+48-22-1521+Compact+Folding+Knife&amp;qid=1695174090&amp;sr=8-8", "https://www.amazon.com/Milwaukee-48-22-1985-Fastback-Folding-Lanyard/dp/B00IQCDWIG/ref=sr_1_8?keywords=Milwaukee+48-22-1521+Compact+Folding+Knife&amp;qid=1695174090&amp;sr=8-8")</f>
        <v>https://www.amazon.com/Milwaukee-48-22-1985-Fastback-Folding-Lanyard/dp/B00IQCDWIG/ref=sr_1_8?keywords=Milwaukee+48-22-1521+Compact+Folding+Knife&amp;qid=1695174090&amp;sr=8-8</v>
      </c>
      <c r="F5011" t="s">
        <v>4304</v>
      </c>
      <c r="G5011" t="e">
        <f ca="1">_xludf.IMAGE("https://edmondsonsupply.com/cdn/shop/products/48-22-1521_1.webp?v=1675359641")</f>
        <v>#NAME?</v>
      </c>
      <c r="H5011" t="e">
        <f ca="1">_xludf.IMAGE("https://m.media-amazon.com/images/I/714SFoSX-4L._AC_UL320_.jpg")</f>
        <v>#NAME?</v>
      </c>
      <c r="I5011" t="s">
        <v>1211</v>
      </c>
      <c r="J5011">
        <v>25.01</v>
      </c>
      <c r="K5011" s="4">
        <v>0.92830000000000001</v>
      </c>
      <c r="L5011">
        <v>4.5999999999999996</v>
      </c>
      <c r="M5011">
        <v>627</v>
      </c>
      <c r="O5011" t="s">
        <v>25</v>
      </c>
      <c r="P5011" t="s">
        <v>6666</v>
      </c>
      <c r="Q5011" t="s">
        <v>6667</v>
      </c>
    </row>
    <row r="5012" spans="1:17" ht="15.5" x14ac:dyDescent="0.35">
      <c r="A5012"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5012" s="3" t="str">
        <f>HYPERLINK("https://edmondsonsupply.com/products/klein-tools-11046-wire-stripper-cutter-16-26-awg-stranded", "https://edmondsonsupply.com/products/klein-tools-11046-wire-stripper-cutter-16-26-awg-stranded")</f>
        <v>https://edmondsonsupply.com/products/klein-tools-11046-wire-stripper-cutter-16-26-awg-stranded</v>
      </c>
      <c r="C5012" t="s">
        <v>2278</v>
      </c>
      <c r="D5012" t="s">
        <v>2551</v>
      </c>
      <c r="E5012" s="3" t="str">
        <f>HYPERLINK("https://www.amazon.com/Klein-Tools-Stripper-Lightweight-Precision/dp/B0BNL5MC4G/ref=sr_1_2?keywords=Klein+Tools+11046+Wire+Stripper%2FCutter+16-26+AWG+Stranded&amp;qid=1695173951&amp;sr=8-2", "https://www.amazon.com/Klein-Tools-Stripper-Lightweight-Precision/dp/B0BNL5MC4G/ref=sr_1_2?keywords=Klein+Tools+11046+Wire+Stripper%2FCutter+16-26+AWG+Stranded&amp;qid=1695173951&amp;sr=8-2")</f>
        <v>https://www.amazon.com/Klein-Tools-Stripper-Lightweight-Precision/dp/B0BNL5MC4G/ref=sr_1_2?keywords=Klein+Tools+11046+Wire+Stripper%2FCutter+16-26+AWG+Stranded&amp;qid=1695173951&amp;sr=8-2</v>
      </c>
      <c r="F5012" t="s">
        <v>2552</v>
      </c>
      <c r="G5012" t="e">
        <f ca="1">_xludf.IMAGE("https://edmondsonsupply.com/cdn/shop/products/11046.jpg?v=1587147965")</f>
        <v>#NAME?</v>
      </c>
      <c r="H5012" t="e">
        <f ca="1">_xludf.IMAGE("https://m.media-amazon.com/images/I/41uWm6Rw+pL._AC_UL320_.jpg")</f>
        <v>#NAME?</v>
      </c>
      <c r="I5012" t="s">
        <v>143</v>
      </c>
      <c r="J5012">
        <v>30.75</v>
      </c>
      <c r="K5012" s="4">
        <v>0.92549999999999999</v>
      </c>
      <c r="L5012">
        <v>4.5999999999999996</v>
      </c>
      <c r="M5012">
        <v>7</v>
      </c>
      <c r="O5012" t="s">
        <v>25</v>
      </c>
      <c r="P5012" t="s">
        <v>2281</v>
      </c>
      <c r="Q5012" t="s">
        <v>2282</v>
      </c>
    </row>
    <row r="5013" spans="1:17" ht="15.5" x14ac:dyDescent="0.35">
      <c r="A5013" s="3" t="str">
        <f>HYPERLINK("https://edmondsonsupply.com/collections/electricians-tools/products/milwaukee-48-22-1521-compact-folding-knife", "https://edmondsonsupply.com/collections/electricians-tools/products/milwaukee-48-22-1521-compact-folding-knife")</f>
        <v>https://edmondsonsupply.com/collections/electricians-tools/products/milwaukee-48-22-1521-compact-folding-knife</v>
      </c>
      <c r="B5013" s="3" t="str">
        <f>HYPERLINK("https://edmondsonsupply.com/products/milwaukee-48-22-1521-compact-folding-knife", "https://edmondsonsupply.com/products/milwaukee-48-22-1521-compact-folding-knife")</f>
        <v>https://edmondsonsupply.com/products/milwaukee-48-22-1521-compact-folding-knife</v>
      </c>
      <c r="C5013" t="s">
        <v>6665</v>
      </c>
      <c r="D5013" t="s">
        <v>4305</v>
      </c>
      <c r="E5013" s="3" t="str">
        <f>HYPERLINK("https://www.amazon.com/Milwaukee-48-22-1990-FASTBACK-Smooth-Folding/dp/B00IKVFCUO/ref=sr_1_5?keywords=Milwaukee+48-22-1521+Compact+Folding+Knife&amp;qid=1695174090&amp;sr=8-5", "https://www.amazon.com/Milwaukee-48-22-1990-FASTBACK-Smooth-Folding/dp/B00IKVFCUO/ref=sr_1_5?keywords=Milwaukee+48-22-1521+Compact+Folding+Knife&amp;qid=1695174090&amp;sr=8-5")</f>
        <v>https://www.amazon.com/Milwaukee-48-22-1990-FASTBACK-Smooth-Folding/dp/B00IKVFCUO/ref=sr_1_5?keywords=Milwaukee+48-22-1521+Compact+Folding+Knife&amp;qid=1695174090&amp;sr=8-5</v>
      </c>
      <c r="F5013" t="s">
        <v>4306</v>
      </c>
      <c r="G5013" t="e">
        <f ca="1">_xludf.IMAGE("https://edmondsonsupply.com/cdn/shop/products/48-22-1521_1.webp?v=1675359641")</f>
        <v>#NAME?</v>
      </c>
      <c r="H5013" t="e">
        <f ca="1">_xludf.IMAGE("https://m.media-amazon.com/images/I/81wFFG5g9vL._AC_UL320_.jpg")</f>
        <v>#NAME?</v>
      </c>
      <c r="I5013" t="s">
        <v>1211</v>
      </c>
      <c r="J5013">
        <v>24.97</v>
      </c>
      <c r="K5013" s="4">
        <v>0.92520000000000002</v>
      </c>
      <c r="L5013">
        <v>4.5</v>
      </c>
      <c r="M5013">
        <v>982</v>
      </c>
      <c r="O5013" t="s">
        <v>25</v>
      </c>
      <c r="P5013" t="s">
        <v>6666</v>
      </c>
      <c r="Q5013" t="s">
        <v>6667</v>
      </c>
    </row>
    <row r="5014" spans="1:17" ht="15.5" x14ac:dyDescent="0.35">
      <c r="A5014"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5014" s="3" t="str">
        <f>HYPERLINK("https://edmondsonsupply.com/products/klein-tools-60184-lightweight-gel-knee-pads", "https://edmondsonsupply.com/products/klein-tools-60184-lightweight-gel-knee-pads")</f>
        <v>https://edmondsonsupply.com/products/klein-tools-60184-lightweight-gel-knee-pads</v>
      </c>
      <c r="C5014" t="s">
        <v>908</v>
      </c>
      <c r="D5014" t="s">
        <v>909</v>
      </c>
      <c r="E5014" s="3" t="str">
        <f>HYPERLINK("https://www.amazon.com/Klein-Tools-60491-Protective-Quick-Fasten/dp/B0BHXBMBHP/ref=sr_1_2?keywords=Klein+Tools+60184+Lightweight+Gel+Knee+Pads&amp;qid=1695173931&amp;sr=8-2", "https://www.amazon.com/Klein-Tools-60491-Protective-Quick-Fasten/dp/B0BHXBMBHP/ref=sr_1_2?keywords=Klein+Tools+60184+Lightweight+Gel+Knee+Pads&amp;qid=1695173931&amp;sr=8-2")</f>
        <v>https://www.amazon.com/Klein-Tools-60491-Protective-Quick-Fasten/dp/B0BHXBMBHP/ref=sr_1_2?keywords=Klein+Tools+60184+Lightweight+Gel+Knee+Pads&amp;qid=1695173931&amp;sr=8-2</v>
      </c>
      <c r="F5014" t="s">
        <v>910</v>
      </c>
      <c r="G5014" t="e">
        <f ca="1">_xludf.IMAGE("https://edmondsonsupply.com/cdn/shop/products/60184.jpg?v=1633030246")</f>
        <v>#NAME?</v>
      </c>
      <c r="H5014" t="e">
        <f ca="1">_xludf.IMAGE("https://m.media-amazon.com/images/I/718i4PDcjnL._AC_UL320_.jpg")</f>
        <v>#NAME?</v>
      </c>
      <c r="I5014" t="s">
        <v>911</v>
      </c>
      <c r="J5014">
        <v>49.97</v>
      </c>
      <c r="K5014" s="4">
        <v>0.92410000000000003</v>
      </c>
      <c r="L5014">
        <v>4.4000000000000004</v>
      </c>
      <c r="M5014">
        <v>289</v>
      </c>
      <c r="O5014" t="s">
        <v>25</v>
      </c>
      <c r="P5014" t="s">
        <v>912</v>
      </c>
      <c r="Q5014" t="s">
        <v>913</v>
      </c>
    </row>
    <row r="5015" spans="1:17" ht="15.5" x14ac:dyDescent="0.35">
      <c r="A5015" s="3" t="str">
        <f>HYPERLINK("https://edmondsonsupply.com/collections/electricians-tools/products/milwaukee-49-56-0197-3-5-8-hole-dozer%E2%84%A2-hole-saw-bi-metal-cup", "https://edmondsonsupply.com/collections/electricians-tools/products/milwaukee-49-56-0197-3-5-8-hole-dozer%E2%84%A2-hole-saw-bi-metal-cup")</f>
        <v>https://edmondsonsupply.com/collections/electricians-tools/products/milwaukee-49-56-0197-3-5-8-hole-dozer%E2%84%A2-hole-saw-bi-metal-cup</v>
      </c>
      <c r="B5015" s="3" t="str">
        <f>HYPERLINK("https://edmondsonsupply.com/products/milwaukee-49-56-0197-3-5-8-hole-dozer%e2%84%a2-hole-saw-bi-metal-cup", "https://edmondsonsupply.com/products/milwaukee-49-56-0197-3-5-8-hole-dozer%e2%84%a2-hole-saw-bi-metal-cup")</f>
        <v>https://edmondsonsupply.com/products/milwaukee-49-56-0197-3-5-8-hole-dozer%e2%84%a2-hole-saw-bi-metal-cup</v>
      </c>
      <c r="C5015" t="s">
        <v>6494</v>
      </c>
      <c r="D5015" t="s">
        <v>6730</v>
      </c>
      <c r="E5015" s="3" t="str">
        <f>HYPERLINK("https://www.amazon.com/Milwaukee-49-56-9643T-MIL-Harden-Hole-Bi-Metal/dp/B007FUN6HC/ref=sr_1_7?keywords=Milwaukee+49-56-0197+3-5%2F8%22+HOLE+DOZER%E2%84%A2+Hole+Saw+Bi-Metal+Cup&amp;qid=1695174058&amp;sr=8-7", "https://www.amazon.com/Milwaukee-49-56-9643T-MIL-Harden-Hole-Bi-Metal/dp/B007FUN6HC/ref=sr_1_7?keywords=Milwaukee+49-56-0197+3-5%2F8%22+HOLE+DOZER%E2%84%A2+Hole+Saw+Bi-Metal+Cup&amp;qid=1695174058&amp;sr=8-7")</f>
        <v>https://www.amazon.com/Milwaukee-49-56-9643T-MIL-Harden-Hole-Bi-Metal/dp/B007FUN6HC/ref=sr_1_7?keywords=Milwaukee+49-56-0197+3-5%2F8%22+HOLE+DOZER%E2%84%A2+Hole+Saw+Bi-Metal+Cup&amp;qid=1695174058&amp;sr=8-7</v>
      </c>
      <c r="F5015" t="s">
        <v>6731</v>
      </c>
      <c r="G5015" t="e">
        <f ca="1">_xludf.IMAGE("https://edmondsonsupply.com/cdn/shop/products/49-56-0052_101_1_b485d0b4-965d-40fc-a007-7e23c4d86724.webp?v=1678912947")</f>
        <v>#NAME?</v>
      </c>
      <c r="H5015" t="e">
        <f ca="1">_xludf.IMAGE("https://m.media-amazon.com/images/I/51DIlWGVZ6L._AC_UL320_.jpg")</f>
        <v>#NAME?</v>
      </c>
      <c r="I5015" t="s">
        <v>6495</v>
      </c>
      <c r="J5015">
        <v>23.41</v>
      </c>
      <c r="K5015" s="4">
        <v>0.9204</v>
      </c>
      <c r="L5015">
        <v>4.5999999999999996</v>
      </c>
      <c r="M5015">
        <v>13</v>
      </c>
      <c r="O5015" t="s">
        <v>25</v>
      </c>
      <c r="P5015" t="s">
        <v>6496</v>
      </c>
      <c r="Q5015" t="s">
        <v>6497</v>
      </c>
    </row>
    <row r="5016" spans="1:17" ht="15.5" x14ac:dyDescent="0.35">
      <c r="A5016" s="3" t="str">
        <f>HYPERLINK("https://edmondsonsupply.com/collections/electricians-tools/products/channellock-804", "https://edmondsonsupply.com/collections/electricians-tools/products/channellock-804")</f>
        <v>https://edmondsonsupply.com/collections/electricians-tools/products/channellock-804</v>
      </c>
      <c r="B5016" s="3" t="str">
        <f>HYPERLINK("https://edmondsonsupply.com/products/channellock-804", "https://edmondsonsupply.com/products/channellock-804")</f>
        <v>https://edmondsonsupply.com/products/channellock-804</v>
      </c>
      <c r="C5016" t="s">
        <v>1551</v>
      </c>
      <c r="D5016" t="s">
        <v>2555</v>
      </c>
      <c r="E5016" s="3" t="str">
        <f>HYPERLINK("https://www.amazon.com/Channellock-808WCB-8-Inch-Chrome-Adjustable/dp/B00LFIEQ3S/ref=sr_1_9?keywords=Channellock+804+4-Inch+Chrome+Adjustable+Wrench&amp;qid=1695173945&amp;sr=8-9", "https://www.amazon.com/Channellock-808WCB-8-Inch-Chrome-Adjustable/dp/B00LFIEQ3S/ref=sr_1_9?keywords=Channellock+804+4-Inch+Chrome+Adjustable+Wrench&amp;qid=1695173945&amp;sr=8-9")</f>
        <v>https://www.amazon.com/Channellock-808WCB-8-Inch-Chrome-Adjustable/dp/B00LFIEQ3S/ref=sr_1_9?keywords=Channellock+804+4-Inch+Chrome+Adjustable+Wrench&amp;qid=1695173945&amp;sr=8-9</v>
      </c>
      <c r="F5016" t="s">
        <v>2556</v>
      </c>
      <c r="G5016" t="e">
        <f ca="1">_xludf.IMAGE("https://edmondsonsupply.com/cdn/shop/products/804-683x1024.jpg?v=1587145853")</f>
        <v>#NAME?</v>
      </c>
      <c r="H5016" t="e">
        <f ca="1">_xludf.IMAGE("https://m.media-amazon.com/images/I/717njKwq-cL._AC_UL320_.jpg")</f>
        <v>#NAME?</v>
      </c>
      <c r="I5016" t="s">
        <v>1554</v>
      </c>
      <c r="J5016">
        <v>32.450000000000003</v>
      </c>
      <c r="K5016" s="4">
        <v>0.91449999999999998</v>
      </c>
      <c r="L5016">
        <v>4.5999999999999996</v>
      </c>
      <c r="M5016">
        <v>89</v>
      </c>
      <c r="O5016" t="s">
        <v>25</v>
      </c>
      <c r="P5016" t="s">
        <v>1555</v>
      </c>
      <c r="Q5016" t="s">
        <v>1556</v>
      </c>
    </row>
    <row r="5017" spans="1:17" ht="15.5" x14ac:dyDescent="0.35">
      <c r="A5017" s="3" t="str">
        <f>HYPERLINK("https://edmondsonsupply.com/collections/electricians-tools/products/klein-tools-69357-ac-plug-to-banana-jacks", "https://edmondsonsupply.com/collections/electricians-tools/products/klein-tools-69357-ac-plug-to-banana-jacks")</f>
        <v>https://edmondsonsupply.com/collections/electricians-tools/products/klein-tools-69357-ac-plug-to-banana-jacks</v>
      </c>
      <c r="B5017" s="3" t="str">
        <f>HYPERLINK("https://edmondsonsupply.com/products/klein-tools-69357-ac-plug-to-banana-jacks", "https://edmondsonsupply.com/products/klein-tools-69357-ac-plug-to-banana-jacks")</f>
        <v>https://edmondsonsupply.com/products/klein-tools-69357-ac-plug-to-banana-jacks</v>
      </c>
      <c r="C5017" t="s">
        <v>6732</v>
      </c>
      <c r="D5017" t="s">
        <v>6733</v>
      </c>
      <c r="E5017" s="3" t="str">
        <f>HYPERLINK("https://www.amazon.com/Klein-Tools-69357-Banana-Type-Connectors/dp/B0BN2LTKTB/ref=sr_1_1?keywords=Klein+Tools+69357+AC+Plug+to+Banana+Jacks&amp;qid=1695174078&amp;sr=8-1", "https://www.amazon.com/Klein-Tools-69357-Banana-Type-Connectors/dp/B0BN2LTKTB/ref=sr_1_1?keywords=Klein+Tools+69357+AC+Plug+to+Banana+Jacks&amp;qid=1695174078&amp;sr=8-1")</f>
        <v>https://www.amazon.com/Klein-Tools-69357-Banana-Type-Connectors/dp/B0BN2LTKTB/ref=sr_1_1?keywords=Klein+Tools+69357+AC+Plug+to+Banana+Jacks&amp;qid=1695174078&amp;sr=8-1</v>
      </c>
      <c r="F5017" t="s">
        <v>6734</v>
      </c>
      <c r="G5017" t="e">
        <f ca="1">_xludf.IMAGE("https://edmondsonsupply.com/cdn/shop/products/69357.jpg?v=1674489211")</f>
        <v>#NAME?</v>
      </c>
      <c r="H5017" t="e">
        <f ca="1">_xludf.IMAGE("https://m.media-amazon.com/images/I/51B8PrxCL3L._AC_UY218_.jpg")</f>
        <v>#NAME?</v>
      </c>
      <c r="I5017" t="s">
        <v>2577</v>
      </c>
      <c r="J5017">
        <v>19.12</v>
      </c>
      <c r="K5017" s="4">
        <v>0.91390000000000005</v>
      </c>
      <c r="L5017">
        <v>4.5</v>
      </c>
      <c r="M5017">
        <v>2</v>
      </c>
      <c r="O5017" t="s">
        <v>25</v>
      </c>
      <c r="P5017" t="s">
        <v>6735</v>
      </c>
      <c r="Q5017" t="s">
        <v>6736</v>
      </c>
    </row>
    <row r="5018" spans="1:17" ht="15.5" x14ac:dyDescent="0.35">
      <c r="A5018" s="3" t="str">
        <f>HYPERLINK("https://edmondsonsupply.com/collections/electricians-tools/products/klein-tools-d2000-28-diagonal-cutting-pliers-heavy-duty-high-leverage-8-inch", "https://edmondsonsupply.com/collections/electricians-tools/products/klein-tools-d2000-28-diagonal-cutting-pliers-heavy-duty-high-leverage-8-inch")</f>
        <v>https://edmondsonsupply.com/collections/electricians-tools/products/klein-tools-d2000-28-diagonal-cutting-pliers-heavy-duty-high-leverage-8-inch</v>
      </c>
      <c r="B5018" s="3" t="str">
        <f>HYPERLINK("https://edmondsonsupply.com/products/klein-tools-d2000-28-diagonal-cutting-pliers-heavy-duty-high-leverage-8-inch", "https://edmondsonsupply.com/products/klein-tools-d2000-28-diagonal-cutting-pliers-heavy-duty-high-leverage-8-inch")</f>
        <v>https://edmondsonsupply.com/products/klein-tools-d2000-28-diagonal-cutting-pliers-heavy-duty-high-leverage-8-inch</v>
      </c>
      <c r="C5018" t="s">
        <v>6737</v>
      </c>
      <c r="D5018" t="s">
        <v>6738</v>
      </c>
      <c r="E5018" s="3" t="str">
        <f>HYPERLINK("https://www.amazon.com/Klein-Tools-D2000-28-Diagonal-D213-9NE/dp/B0BD3WQ62S/ref=sr_1_5?keywords=Klein+Tools+D2000-28+Diagonal+Cutting+Pliers%2C+Heavy-Duty%2C+High-Leverage%2C+8-Inch&amp;qid=1695174291&amp;sr=8-5", "https://www.amazon.com/Klein-Tools-D2000-28-Diagonal-D213-9NE/dp/B0BD3WQ62S/ref=sr_1_5?keywords=Klein+Tools+D2000-28+Diagonal+Cutting+Pliers%2C+Heavy-Duty%2C+High-Leverage%2C+8-Inch&amp;qid=1695174291&amp;sr=8-5")</f>
        <v>https://www.amazon.com/Klein-Tools-D2000-28-Diagonal-D213-9NE/dp/B0BD3WQ62S/ref=sr_1_5?keywords=Klein+Tools+D2000-28+Diagonal+Cutting+Pliers%2C+Heavy-Duty%2C+High-Leverage%2C+8-Inch&amp;qid=1695174291&amp;sr=8-5</v>
      </c>
      <c r="F5018" t="s">
        <v>6739</v>
      </c>
      <c r="G5018" t="e">
        <f ca="1">_xludf.IMAGE("https://edmondsonsupply.com/cdn/shop/products/d200028.jpg?v=1633030882")</f>
        <v>#NAME?</v>
      </c>
      <c r="H5018" t="e">
        <f ca="1">_xludf.IMAGE("https://m.media-amazon.com/images/I/31MK8zfZMnL._AC_UL320_.jpg")</f>
        <v>#NAME?</v>
      </c>
      <c r="I5018" t="s">
        <v>571</v>
      </c>
      <c r="J5018">
        <v>66.959999999999994</v>
      </c>
      <c r="K5018" s="4">
        <v>0.91369999999999996</v>
      </c>
      <c r="L5018">
        <v>5</v>
      </c>
      <c r="M5018">
        <v>2</v>
      </c>
      <c r="O5018" t="s">
        <v>25</v>
      </c>
      <c r="P5018" t="s">
        <v>5228</v>
      </c>
      <c r="Q5018" t="s">
        <v>6740</v>
      </c>
    </row>
    <row r="5019" spans="1:17" ht="15.5" x14ac:dyDescent="0.35">
      <c r="A5019" s="3" t="str">
        <f>HYPERLINK("https://edmondsonsupply.com/collections/electricians-tools/products/klein-tools-60347-hard-hat-premium-karbn%E2%84%A2-pattern-vented-full-brim-class-c-lamp", "https://edmondsonsupply.com/collections/electricians-tools/products/klein-tools-60347-hard-hat-premium-karbn%E2%84%A2-pattern-vented-full-brim-class-c-lamp")</f>
        <v>https://edmondsonsupply.com/collections/electricians-tools/products/klein-tools-60347-hard-hat-premium-karbn%E2%84%A2-pattern-vented-full-brim-class-c-lamp</v>
      </c>
      <c r="B5019"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5019" t="s">
        <v>914</v>
      </c>
      <c r="D5019" t="s">
        <v>915</v>
      </c>
      <c r="E5019" s="3" t="str">
        <f>HYPERLINK("https://www.amazon.com/Klein-Tools-Rechargeable-Sweat-Wicking-Sweatband/dp/B0BNL94L4X/ref=sr_1_3?keywords=Klein+Tools+60347+Hard+Hat%2C+Premium+KARBN%E2%84%A2+Pattern%2C+Vented+Full+Brim%2C+Class+C%2C+Lamp&amp;qid=1695174177&amp;sr=8-3", "https://www.amazon.com/Klein-Tools-Rechargeable-Sweat-Wicking-Sweatband/dp/B0BNL94L4X/ref=sr_1_3?keywords=Klein+Tools+60347+Hard+Hat%2C+Premium+KARBN%E2%84%A2+Pattern%2C+Vented+Full+Brim%2C+Class+C%2C+Lamp&amp;qid=1695174177&amp;sr=8-3")</f>
        <v>https://www.amazon.com/Klein-Tools-Rechargeable-Sweat-Wicking-Sweatband/dp/B0BNL94L4X/ref=sr_1_3?keywords=Klein+Tools+60347+Hard+Hat%2C+Premium+KARBN%E2%84%A2+Pattern%2C+Vented+Full+Brim%2C+Class+C%2C+Lamp&amp;qid=1695174177&amp;sr=8-3</v>
      </c>
      <c r="F5019" t="s">
        <v>916</v>
      </c>
      <c r="G5019" t="e">
        <f ca="1">_xludf.IMAGE("https://edmondsonsupply.com/cdn/shop/products/60347.jpg?v=1659454043")</f>
        <v>#NAME?</v>
      </c>
      <c r="H5019" t="e">
        <f ca="1">_xludf.IMAGE("https://m.media-amazon.com/images/I/51A8iWc37VL._AC_UL320_.jpg")</f>
        <v>#NAME?</v>
      </c>
      <c r="I5019" t="s">
        <v>315</v>
      </c>
      <c r="J5019">
        <v>171.85</v>
      </c>
      <c r="K5019" s="4">
        <v>0.90969999999999995</v>
      </c>
      <c r="L5019">
        <v>4.7</v>
      </c>
      <c r="M5019">
        <v>4</v>
      </c>
      <c r="O5019" t="s">
        <v>171</v>
      </c>
      <c r="P5019" t="s">
        <v>917</v>
      </c>
      <c r="Q5019" t="s">
        <v>918</v>
      </c>
    </row>
    <row r="5020" spans="1:17" ht="15.5" x14ac:dyDescent="0.35">
      <c r="A5020"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5020"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5020" t="s">
        <v>6321</v>
      </c>
      <c r="D5020" t="s">
        <v>6741</v>
      </c>
      <c r="E5020" s="3" t="str">
        <f>HYPERLINK("https://www.amazon.com/MilwaukeeTool-Milwaukee-Grinder-No-Lock-2880-22/dp/B09FBJL179/ref=sr_1_3?keywords=Milwaukee+2880-20+M18+FUEL%E2%84%A2+4-1%2F2%22+%2F+5%22+Grinder+Paddle+Switch%2C+No-Lock&amp;qid=1695174165&amp;sr=8-3", "https://www.amazon.com/MilwaukeeTool-Milwaukee-Grinder-No-Lock-2880-22/dp/B09FBJL179/ref=sr_1_3?keywords=Milwaukee+2880-20+M18+FUEL%E2%84%A2+4-1%2F2%22+%2F+5%22+Grinder+Paddle+Switch%2C+No-Lock&amp;qid=1695174165&amp;sr=8-3")</f>
        <v>https://www.amazon.com/MilwaukeeTool-Milwaukee-Grinder-No-Lock-2880-22/dp/B09FBJL179/ref=sr_1_3?keywords=Milwaukee+2880-20+M18+FUEL%E2%84%A2+4-1%2F2%22+%2F+5%22+Grinder+Paddle+Switch%2C+No-Lock&amp;qid=1695174165&amp;sr=8-3</v>
      </c>
      <c r="F5020" t="s">
        <v>6742</v>
      </c>
      <c r="G5020" t="e">
        <f ca="1">_xludf.IMAGE("https://edmondsonsupply.com/cdn/shop/products/2880-20_1.webp?v=1661698933")</f>
        <v>#NAME?</v>
      </c>
      <c r="H5020" t="e">
        <f ca="1">_xludf.IMAGE("https://m.media-amazon.com/images/I/61Vmp8uxgHL._AC_UL320_.jpg")</f>
        <v>#NAME?</v>
      </c>
      <c r="I5020" t="s">
        <v>715</v>
      </c>
      <c r="J5020">
        <v>379.94</v>
      </c>
      <c r="K5020" s="4">
        <v>0.90920000000000001</v>
      </c>
      <c r="L5020">
        <v>4.8</v>
      </c>
      <c r="M5020">
        <v>8</v>
      </c>
      <c r="O5020" t="s">
        <v>25</v>
      </c>
      <c r="P5020" t="s">
        <v>4885</v>
      </c>
      <c r="Q5020" t="s">
        <v>6324</v>
      </c>
    </row>
    <row r="5021" spans="1:17" ht="15.5" x14ac:dyDescent="0.35">
      <c r="A5021"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5021" s="3" t="str">
        <f>HYPERLINK("https://edmondsonsupply.com/products/klein-tools-vdv526-200-lan-scout-%c2%ae-jr-2-cable-tester", "https://edmondsonsupply.com/products/klein-tools-vdv526-200-lan-scout-%c2%ae-jr-2-cable-tester")</f>
        <v>https://edmondsonsupply.com/products/klein-tools-vdv526-200-lan-scout-%c2%ae-jr-2-cable-tester</v>
      </c>
      <c r="C5021" t="s">
        <v>6500</v>
      </c>
      <c r="D5021" t="s">
        <v>6743</v>
      </c>
      <c r="E5021" s="3" t="str">
        <f>HYPERLINK("https://www.amazon.com/Klein-Tools-VDV226-110-Ratcheting-Connections/dp/B09T6YN1NB/ref=sr_1_7?keywords=Klein+Tools+VDV526-200+LAN+Scout+%C2%AE+Jr.+2+Cable+Tester&amp;qid=1695174153&amp;sr=8-7", "https://www.amazon.com/Klein-Tools-VDV226-110-Ratcheting-Connections/dp/B09T6YN1NB/ref=sr_1_7?keywords=Klein+Tools+VDV526-200+LAN+Scout+%C2%AE+Jr.+2+Cable+Tester&amp;qid=1695174153&amp;sr=8-7")</f>
        <v>https://www.amazon.com/Klein-Tools-VDV226-110-Ratcheting-Connections/dp/B09T6YN1NB/ref=sr_1_7?keywords=Klein+Tools+VDV526-200+LAN+Scout+%C2%AE+Jr.+2+Cable+Tester&amp;qid=1695174153&amp;sr=8-7</v>
      </c>
      <c r="F5021" t="s">
        <v>6744</v>
      </c>
      <c r="G5021" t="e">
        <f ca="1">_xludf.IMAGE("https://edmondsonsupply.com/cdn/shop/products/vdv526200.jpg?v=1663689949")</f>
        <v>#NAME?</v>
      </c>
      <c r="H5021" t="e">
        <f ca="1">_xludf.IMAGE("https://m.media-amazon.com/images/I/51-TxWp0yoL._AC_UY218_.jpg")</f>
        <v>#NAME?</v>
      </c>
      <c r="I5021" t="s">
        <v>3359</v>
      </c>
      <c r="J5021">
        <v>104.94</v>
      </c>
      <c r="K5021" s="4">
        <v>0.90900000000000003</v>
      </c>
      <c r="L5021">
        <v>5</v>
      </c>
      <c r="M5021">
        <v>6</v>
      </c>
      <c r="O5021" t="s">
        <v>25</v>
      </c>
      <c r="P5021" t="s">
        <v>6503</v>
      </c>
      <c r="Q5021" t="s">
        <v>6504</v>
      </c>
    </row>
    <row r="5022" spans="1:17" ht="15.5" x14ac:dyDescent="0.35">
      <c r="A5022"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5022" s="3" t="str">
        <f>HYPERLINK("https://edmondsonsupply.com/products/klein-tools-32305-15-in-1-multi-bit-ratcheting-screwdriver", "https://edmondsonsupply.com/products/klein-tools-32305-15-in-1-multi-bit-ratcheting-screwdriver")</f>
        <v>https://edmondsonsupply.com/products/klein-tools-32305-15-in-1-multi-bit-ratcheting-screwdriver</v>
      </c>
      <c r="C5022" t="s">
        <v>6262</v>
      </c>
      <c r="D5022" t="s">
        <v>6745</v>
      </c>
      <c r="E5022" s="3" t="str">
        <f>HYPERLINK("https://www.amazon.com/Klein-Tools-Ratcheting-Screwdriver-Tamperproof/dp/B0BVG436BF/ref=sr_1_4?keywords=Klein+Tools+32305+15-in-1+Multi-Bit+Ratcheting+Screwdriver&amp;qid=1695174215&amp;sr=8-4", "https://www.amazon.com/Klein-Tools-Ratcheting-Screwdriver-Tamperproof/dp/B0BVG436BF/ref=sr_1_4?keywords=Klein+Tools+32305+15-in-1+Multi-Bit+Ratcheting+Screwdriver&amp;qid=1695174215&amp;sr=8-4")</f>
        <v>https://www.amazon.com/Klein-Tools-Ratcheting-Screwdriver-Tamperproof/dp/B0BVG436BF/ref=sr_1_4?keywords=Klein+Tools+32305+15-in-1+Multi-Bit+Ratcheting+Screwdriver&amp;qid=1695174215&amp;sr=8-4</v>
      </c>
      <c r="F5022" t="s">
        <v>6746</v>
      </c>
      <c r="G5022" t="e">
        <f ca="1">_xludf.IMAGE("https://edmondsonsupply.com/cdn/shop/products/32305.jpg?v=1646965475")</f>
        <v>#NAME?</v>
      </c>
      <c r="H5022" t="e">
        <f ca="1">_xludf.IMAGE("https://m.media-amazon.com/images/I/41WYylf-lZL._AC_UL320_.jpg")</f>
        <v>#NAME?</v>
      </c>
      <c r="I5022" t="s">
        <v>2247</v>
      </c>
      <c r="J5022">
        <v>41.94</v>
      </c>
      <c r="K5022" s="4">
        <v>0.90900000000000003</v>
      </c>
      <c r="L5022">
        <v>4.5</v>
      </c>
      <c r="M5022">
        <v>5</v>
      </c>
      <c r="O5022" t="s">
        <v>25</v>
      </c>
      <c r="P5022" t="s">
        <v>6200</v>
      </c>
      <c r="Q5022" t="s">
        <v>6265</v>
      </c>
    </row>
    <row r="5023" spans="1:17" ht="15.5" x14ac:dyDescent="0.35">
      <c r="A5023" s="3" t="str">
        <f>HYPERLINK("https://edmondsonsupply.com/collections/electricians-tools/products/klein-tools-1550-44-pocket-knife-2-5-8-inch-hawkbill-slitting-blade", "https://edmondsonsupply.com/collections/electricians-tools/products/klein-tools-1550-44-pocket-knife-2-5-8-inch-hawkbill-slitting-blade")</f>
        <v>https://edmondsonsupply.com/collections/electricians-tools/products/klein-tools-1550-44-pocket-knife-2-5-8-inch-hawkbill-slitting-blade</v>
      </c>
      <c r="B5023" s="3" t="str">
        <f>HYPERLINK("https://edmondsonsupply.com/products/klein-tools-1550-44-pocket-knife-2-5-8-inch-hawkbill-slitting-blade", "https://edmondsonsupply.com/products/klein-tools-1550-44-pocket-knife-2-5-8-inch-hawkbill-slitting-blade")</f>
        <v>https://edmondsonsupply.com/products/klein-tools-1550-44-pocket-knife-2-5-8-inch-hawkbill-slitting-blade</v>
      </c>
      <c r="C5023" t="s">
        <v>6747</v>
      </c>
      <c r="D5023" t="s">
        <v>6748</v>
      </c>
      <c r="E5023" s="3" t="str">
        <f>HYPERLINK("https://www.amazon.com/Lockback-8-Inch-Aluminum-Klein-Tools/dp/B009EBS4Q8/ref=sr_1_2?keywords=Klein+Tools+1550-44+Pocket+Knife%2C+2-5%2F8-Inch+Hawkbill+Slitting+Blade&amp;qid=1695174173&amp;sr=8-2", "https://www.amazon.com/Lockback-8-Inch-Aluminum-Klein-Tools/dp/B009EBS4Q8/ref=sr_1_2?keywords=Klein+Tools+1550-44+Pocket+Knife%2C+2-5%2F8-Inch+Hawkbill+Slitting+Blade&amp;qid=1695174173&amp;sr=8-2")</f>
        <v>https://www.amazon.com/Lockback-8-Inch-Aluminum-Klein-Tools/dp/B009EBS4Q8/ref=sr_1_2?keywords=Klein+Tools+1550-44+Pocket+Knife%2C+2-5%2F8-Inch+Hawkbill+Slitting+Blade&amp;qid=1695174173&amp;sr=8-2</v>
      </c>
      <c r="F5023" t="s">
        <v>6749</v>
      </c>
      <c r="G5023" t="e">
        <f ca="1">_xludf.IMAGE("https://edmondsonsupply.com/cdn/shop/products/155044_c.jpg?v=1662662355")</f>
        <v>#NAME?</v>
      </c>
      <c r="H5023" t="e">
        <f ca="1">_xludf.IMAGE("https://m.media-amazon.com/images/I/41kN3c5N5jS._AC_UL320_.jpg")</f>
        <v>#NAME?</v>
      </c>
      <c r="I5023" t="s">
        <v>6750</v>
      </c>
      <c r="J5023">
        <v>59</v>
      </c>
      <c r="K5023" s="4">
        <v>0.90749999999999997</v>
      </c>
      <c r="L5023">
        <v>4.7</v>
      </c>
      <c r="M5023">
        <v>338</v>
      </c>
      <c r="O5023" t="s">
        <v>25</v>
      </c>
      <c r="P5023" t="s">
        <v>6751</v>
      </c>
      <c r="Q5023" t="s">
        <v>6752</v>
      </c>
    </row>
    <row r="5024" spans="1:17" ht="15.5" x14ac:dyDescent="0.35">
      <c r="A5024"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5024"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5024" t="s">
        <v>6753</v>
      </c>
      <c r="D5024" t="s">
        <v>4580</v>
      </c>
      <c r="E5024" s="3" t="str">
        <f>HYPERLINK("https://www.amazon.com/Heavy-Stripper-Cutter-Crimper-Multi/dp/B08BX9RTPX/ref=sr_1_8?keywords=Klein+Tools+K11095+Klein-Kurve%C2%AE+Wire+Stripper+%2F+Cutter%2C+8-20+AWG&amp;qid=1695174173&amp;sr=8-8", "https://www.amazon.com/Heavy-Stripper-Cutter-Crimper-Multi/dp/B08BX9RTPX/ref=sr_1_8?keywords=Klein+Tools+K11095+Klein-Kurve%C2%AE+Wire+Stripper+%2F+Cutter%2C+8-20+AWG&amp;qid=1695174173&amp;sr=8-8")</f>
        <v>https://www.amazon.com/Heavy-Stripper-Cutter-Crimper-Multi/dp/B08BX9RTPX/ref=sr_1_8?keywords=Klein+Tools+K11095+Klein-Kurve%C2%AE+Wire+Stripper+%2F+Cutter%2C+8-20+AWG&amp;qid=1695174173&amp;sr=8-8</v>
      </c>
      <c r="F5024" t="s">
        <v>4581</v>
      </c>
      <c r="G5024" t="e">
        <f ca="1">_xludf.IMAGE("https://edmondsonsupply.com/cdn/shop/products/k11095_b_front_vertical.jpg?v=1661364611")</f>
        <v>#NAME?</v>
      </c>
      <c r="H5024" t="e">
        <f ca="1">_xludf.IMAGE("https://m.media-amazon.com/images/I/51Oylu1vHoL._AC_UL320_.jpg")</f>
        <v>#NAME?</v>
      </c>
      <c r="I5024" t="s">
        <v>2288</v>
      </c>
      <c r="J5024">
        <v>39.97</v>
      </c>
      <c r="K5024" s="4">
        <v>0.90610000000000002</v>
      </c>
      <c r="L5024">
        <v>4.7</v>
      </c>
      <c r="M5024">
        <v>726</v>
      </c>
      <c r="O5024" t="s">
        <v>25</v>
      </c>
      <c r="P5024" t="s">
        <v>6525</v>
      </c>
      <c r="Q5024" t="s">
        <v>6754</v>
      </c>
    </row>
    <row r="5025" spans="1:17" ht="15.5" x14ac:dyDescent="0.35">
      <c r="A5025"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5025"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5025" t="s">
        <v>2568</v>
      </c>
      <c r="D5025" t="s">
        <v>2569</v>
      </c>
      <c r="E5025" s="3" t="str">
        <f>HYPERLINK("https://www.amazon.com/Wiha-PicoFinish%C2%AE-Screwdriver-Electricians-42989/dp/B07H6SB33W/ref=sr_1_9?keywords=Wiha+Tools+32088+8+Piece+Insulated+PicoFinish+Precision+Screwdriver+Set&amp;qid=1695173981&amp;sr=8-9", "https://www.amazon.com/Wiha-PicoFinish%C2%AE-Screwdriver-Electricians-42989/dp/B07H6SB33W/ref=sr_1_9?keywords=Wiha+Tools+32088+8+Piece+Insulated+PicoFinish+Precision+Screwdriver+Set&amp;qid=1695173981&amp;sr=8-9")</f>
        <v>https://www.amazon.com/Wiha-PicoFinish%C2%AE-Screwdriver-Electricians-42989/dp/B07H6SB33W/ref=sr_1_9?keywords=Wiha+Tools+32088+8+Piece+Insulated+PicoFinish+Precision+Screwdriver+Set&amp;qid=1695173981&amp;sr=8-9</v>
      </c>
      <c r="F5025" t="s">
        <v>2570</v>
      </c>
      <c r="G5025" t="e">
        <f ca="1">_xludf.IMAGE("https://edmondsonsupply.com/cdn/shop/files/ah1u5hviqxts6itxix4k_1000x_5285634c-51ad-48c4-987e-f1113aaa9ab9.webp?v=1690905519")</f>
        <v>#NAME?</v>
      </c>
      <c r="H5025" t="e">
        <f ca="1">_xludf.IMAGE("https://m.media-amazon.com/images/I/61CoYBjxDhL._AC_UL320_.jpg")</f>
        <v>#NAME?</v>
      </c>
      <c r="I5025" t="s">
        <v>2571</v>
      </c>
      <c r="J5025">
        <v>123</v>
      </c>
      <c r="K5025" s="4">
        <v>0.90549999999999997</v>
      </c>
      <c r="L5025">
        <v>4.8</v>
      </c>
      <c r="M5025">
        <v>51</v>
      </c>
      <c r="O5025" t="s">
        <v>25</v>
      </c>
      <c r="P5025" t="s">
        <v>2572</v>
      </c>
      <c r="Q5025" t="s">
        <v>2573</v>
      </c>
    </row>
    <row r="5026" spans="1:17" ht="15.5" x14ac:dyDescent="0.35">
      <c r="A5026"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5026"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5026" t="s">
        <v>6755</v>
      </c>
      <c r="D5026" t="s">
        <v>6756</v>
      </c>
      <c r="E5026" s="3" t="str">
        <f>HYPERLINK("https://www.amazon.com/Electrical-Insulated-Screwdriver-Klein-Tools/dp/B000MKIRBC/ref=sr_1_9?keywords=Klein+Tools+602-4-INS+1%2F4-Inch+Cabinet+Tip+Insulated+Screwdriver%2C+4-Inch&amp;qid=1695174266&amp;sr=8-9", "https://www.amazon.com/Electrical-Insulated-Screwdriver-Klein-Tools/dp/B000MKIRBC/ref=sr_1_9?keywords=Klein+Tools+602-4-INS+1%2F4-Inch+Cabinet+Tip+Insulated+Screwdriver%2C+4-Inch&amp;qid=1695174266&amp;sr=8-9")</f>
        <v>https://www.amazon.com/Electrical-Insulated-Screwdriver-Klein-Tools/dp/B000MKIRBC/ref=sr_1_9?keywords=Klein+Tools+602-4-INS+1%2F4-Inch+Cabinet+Tip+Insulated+Screwdriver%2C+4-Inch&amp;qid=1695174266&amp;sr=8-9</v>
      </c>
      <c r="F5026" t="s">
        <v>6757</v>
      </c>
      <c r="G5026" t="e">
        <f ca="1">_xludf.IMAGE("https://edmondsonsupply.com/cdn/shop/products/602-4-ins-photo.jpg?v=1633031051")</f>
        <v>#NAME?</v>
      </c>
      <c r="H5026" t="e">
        <f ca="1">_xludf.IMAGE("https://m.media-amazon.com/images/I/51qrC6b7nFL._AC_UL320_.jpg")</f>
        <v>#NAME?</v>
      </c>
      <c r="I5026" t="s">
        <v>3185</v>
      </c>
      <c r="J5026">
        <v>39.99</v>
      </c>
      <c r="K5026" s="4">
        <v>0.9052</v>
      </c>
      <c r="L5026">
        <v>4.8</v>
      </c>
      <c r="M5026">
        <v>595</v>
      </c>
      <c r="O5026" t="s">
        <v>25</v>
      </c>
      <c r="P5026" t="s">
        <v>6758</v>
      </c>
      <c r="Q5026" t="s">
        <v>6759</v>
      </c>
    </row>
    <row r="5027" spans="1:17" ht="15.5" x14ac:dyDescent="0.35">
      <c r="A5027" s="3" t="str">
        <f>HYPERLINK("https://edmondsonsupply.com/collections/electricians-tools/products/milwaukee-48-22-7212-12-aluminum-pipe-wrench", "https://edmondsonsupply.com/collections/electricians-tools/products/milwaukee-48-22-7212-12-aluminum-pipe-wrench")</f>
        <v>https://edmondsonsupply.com/collections/electricians-tools/products/milwaukee-48-22-7212-12-aluminum-pipe-wrench</v>
      </c>
      <c r="B5027" s="3" t="str">
        <f>HYPERLINK("https://edmondsonsupply.com/products/milwaukee-48-22-7212-12-aluminum-pipe-wrench", "https://edmondsonsupply.com/products/milwaukee-48-22-7212-12-aluminum-pipe-wrench")</f>
        <v>https://edmondsonsupply.com/products/milwaukee-48-22-7212-12-aluminum-pipe-wrench</v>
      </c>
      <c r="C5027" t="s">
        <v>6760</v>
      </c>
      <c r="D5027" t="s">
        <v>6761</v>
      </c>
      <c r="E5027" s="3" t="str">
        <f>HYPERLINK("https://www.amazon.com/MILWAUKEE-48-22-7224-Milwaukee/dp/B01HOXID1I/ref=sr_1_4?keywords=Milwaukee+48-22-7212+12%22+Aluminum+Pipe+Wrench&amp;qid=1695174041&amp;sr=8-4", "https://www.amazon.com/MILWAUKEE-48-22-7224-Milwaukee/dp/B01HOXID1I/ref=sr_1_4?keywords=Milwaukee+48-22-7212+12%22+Aluminum+Pipe+Wrench&amp;qid=1695174041&amp;sr=8-4")</f>
        <v>https://www.amazon.com/MILWAUKEE-48-22-7224-Milwaukee/dp/B01HOXID1I/ref=sr_1_4?keywords=Milwaukee+48-22-7212+12%22+Aluminum+Pipe+Wrench&amp;qid=1695174041&amp;sr=8-4</v>
      </c>
      <c r="F5027" t="s">
        <v>6762</v>
      </c>
      <c r="G5027" t="e">
        <f ca="1">_xludf.IMAGE("https://edmondsonsupply.com/cdn/shop/products/48-22-7218_2_1.png?v=1680096437")</f>
        <v>#NAME?</v>
      </c>
      <c r="H5027" t="e">
        <f ca="1">_xludf.IMAGE("https://m.media-amazon.com/images/I/7198DLJ590L._AC_UL320_.jpg")</f>
        <v>#NAME?</v>
      </c>
      <c r="I5027" t="s">
        <v>380</v>
      </c>
      <c r="J5027">
        <v>94.99</v>
      </c>
      <c r="K5027" s="4">
        <v>0.90090000000000003</v>
      </c>
      <c r="L5027">
        <v>4.5999999999999996</v>
      </c>
      <c r="M5027">
        <v>44</v>
      </c>
      <c r="O5027" t="s">
        <v>25</v>
      </c>
      <c r="P5027" t="s">
        <v>6763</v>
      </c>
      <c r="Q5027" t="s">
        <v>6764</v>
      </c>
    </row>
    <row r="5028" spans="1:17" ht="15.5" x14ac:dyDescent="0.35">
      <c r="A5028" s="3" t="str">
        <f>HYPERLINK("https://edmondsonsupply.com/collections/electricians-tools/products/milwaukee-48-22-7214-14-aluminum-pipe-wrench", "https://edmondsonsupply.com/collections/electricians-tools/products/milwaukee-48-22-7214-14-aluminum-pipe-wrench")</f>
        <v>https://edmondsonsupply.com/collections/electricians-tools/products/milwaukee-48-22-7214-14-aluminum-pipe-wrench</v>
      </c>
      <c r="B5028" s="3" t="str">
        <f>HYPERLINK("https://edmondsonsupply.com/products/milwaukee-48-22-7214-14-aluminum-pipe-wrench", "https://edmondsonsupply.com/products/milwaukee-48-22-7214-14-aluminum-pipe-wrench")</f>
        <v>https://edmondsonsupply.com/products/milwaukee-48-22-7214-14-aluminum-pipe-wrench</v>
      </c>
      <c r="C5028" t="s">
        <v>6765</v>
      </c>
      <c r="D5028" t="s">
        <v>6761</v>
      </c>
      <c r="E5028" s="3" t="str">
        <f>HYPERLINK("https://www.amazon.com/MILWAUKEE-48-22-7224-Milwaukee/dp/B01HOXID1I/ref=sr_1_5?keywords=Milwaukee+48-22-7214+14%22+Aluminum+Pipe+Wrench&amp;qid=1695174078&amp;sr=8-5", "https://www.amazon.com/MILWAUKEE-48-22-7224-Milwaukee/dp/B01HOXID1I/ref=sr_1_5?keywords=Milwaukee+48-22-7214+14%22+Aluminum+Pipe+Wrench&amp;qid=1695174078&amp;sr=8-5")</f>
        <v>https://www.amazon.com/MILWAUKEE-48-22-7224-Milwaukee/dp/B01HOXID1I/ref=sr_1_5?keywords=Milwaukee+48-22-7214+14%22+Aluminum+Pipe+Wrench&amp;qid=1695174078&amp;sr=8-5</v>
      </c>
      <c r="F5028" t="s">
        <v>6762</v>
      </c>
      <c r="G5028" t="e">
        <f ca="1">_xludf.IMAGE("https://edmondsonsupply.com/cdn/shop/products/48-22-7218_2.png?v=1675700722")</f>
        <v>#NAME?</v>
      </c>
      <c r="H5028" t="e">
        <f ca="1">_xludf.IMAGE("https://m.media-amazon.com/images/I/7198DLJ590L._AC_UL320_.jpg")</f>
        <v>#NAME?</v>
      </c>
      <c r="I5028" t="s">
        <v>380</v>
      </c>
      <c r="J5028">
        <v>94.99</v>
      </c>
      <c r="K5028" s="4">
        <v>0.90090000000000003</v>
      </c>
      <c r="L5028">
        <v>4.5999999999999996</v>
      </c>
      <c r="M5028">
        <v>44</v>
      </c>
      <c r="O5028" t="s">
        <v>25</v>
      </c>
      <c r="P5028" t="s">
        <v>6766</v>
      </c>
      <c r="Q5028" t="s">
        <v>6767</v>
      </c>
    </row>
    <row r="5029" spans="1:17" ht="15.5" x14ac:dyDescent="0.35">
      <c r="A5029" s="3" t="str">
        <f>HYPERLINK("https://edmondsonsupply.com/collections/electricians-tools/products/klein-5416tfr", "https://edmondsonsupply.com/collections/electricians-tools/products/klein-5416tfr")</f>
        <v>https://edmondsonsupply.com/collections/electricians-tools/products/klein-5416tfr</v>
      </c>
      <c r="B5029" s="3" t="str">
        <f>HYPERLINK("https://edmondsonsupply.com/products/klein-5416tfr", "https://edmondsonsupply.com/products/klein-5416tfr")</f>
        <v>https://edmondsonsupply.com/products/klein-5416tfr</v>
      </c>
      <c r="C5029" t="s">
        <v>5986</v>
      </c>
      <c r="D5029" t="s">
        <v>6768</v>
      </c>
      <c r="E5029" s="3" t="str">
        <f>HYPERLINK("https://www.amazon.com/Klein-Tools-Resistant-Reinforced-Connection/dp/B0923CTJF5/ref=sr_1_2?keywords=Klein+Tools+5416TFR+Tool+Bag%2C+Flame+Resistant+Bolt+Bag%2C+No.+4+Canvas%2C+5+x+10+x+9-Inch&amp;qid=1695173952&amp;sr=8-2", "https://www.amazon.com/Klein-Tools-Resistant-Reinforced-Connection/dp/B0923CTJF5/ref=sr_1_2?keywords=Klein+Tools+5416TFR+Tool+Bag%2C+Flame+Resistant+Bolt+Bag%2C+No.+4+Canvas%2C+5+x+10+x+9-Inch&amp;qid=1695173952&amp;sr=8-2")</f>
        <v>https://www.amazon.com/Klein-Tools-Resistant-Reinforced-Connection/dp/B0923CTJF5/ref=sr_1_2?keywords=Klein+Tools+5416TFR+Tool+Bag%2C+Flame+Resistant+Bolt+Bag%2C+No.+4+Canvas%2C+5+x+10+x+9-Inch&amp;qid=1695173952&amp;sr=8-2</v>
      </c>
      <c r="F5029" t="s">
        <v>6769</v>
      </c>
      <c r="G5029" t="e">
        <f ca="1">_xludf.IMAGE("https://edmondsonsupply.com/cdn/shop/products/5416tfr.jpg?v=1587149359")</f>
        <v>#NAME?</v>
      </c>
      <c r="H5029" t="e">
        <f ca="1">_xludf.IMAGE("https://m.media-amazon.com/images/I/51GTLMRwcPS._AC_UL320_.jpg")</f>
        <v>#NAME?</v>
      </c>
      <c r="I5029" t="s">
        <v>577</v>
      </c>
      <c r="J5029">
        <v>37.99</v>
      </c>
      <c r="K5029" s="4">
        <v>0.90049999999999997</v>
      </c>
      <c r="L5029">
        <v>4.4000000000000004</v>
      </c>
      <c r="M5029">
        <v>58</v>
      </c>
      <c r="O5029" t="s">
        <v>25</v>
      </c>
      <c r="P5029" t="s">
        <v>5989</v>
      </c>
      <c r="Q5029" t="s">
        <v>5990</v>
      </c>
    </row>
    <row r="5030" spans="1:17" ht="15.5" x14ac:dyDescent="0.35">
      <c r="A5030"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5030" s="3" t="str">
        <f>HYPERLINK("https://edmondsonsupply.com/products/klein-tools-d2000-9ne-linemans-pliers-9-inch", "https://edmondsonsupply.com/products/klein-tools-d2000-9ne-linemans-pliers-9-inch")</f>
        <v>https://edmondsonsupply.com/products/klein-tools-d2000-9ne-linemans-pliers-9-inch</v>
      </c>
      <c r="C5030" t="s">
        <v>6770</v>
      </c>
      <c r="D5030" t="s">
        <v>6771</v>
      </c>
      <c r="E5030" s="3" t="str">
        <f>HYPERLINK("https://www.amazon.com/Klein-Tools-D2000-9NE-INS-Insulated-Linemans/dp/B00093DXVQ/ref=sr_1_8?keywords=Klein+Tools+D2000-9NE+Linemans+Pliers%2C+9-Inch&amp;qid=1695174298&amp;sr=8-8", "https://www.amazon.com/Klein-Tools-D2000-9NE-INS-Insulated-Linemans/dp/B00093DXVQ/ref=sr_1_8?keywords=Klein+Tools+D2000-9NE+Linemans+Pliers%2C+9-Inch&amp;qid=1695174298&amp;sr=8-8")</f>
        <v>https://www.amazon.com/Klein-Tools-D2000-9NE-INS-Insulated-Linemans/dp/B00093DXVQ/ref=sr_1_8?keywords=Klein+Tools+D2000-9NE+Linemans+Pliers%2C+9-Inch&amp;qid=1695174298&amp;sr=8-8</v>
      </c>
      <c r="F5030" t="s">
        <v>6772</v>
      </c>
      <c r="G5030" t="e">
        <f ca="1">_xludf.IMAGE("https://edmondsonsupply.com/cdn/shop/products/d20009ne.jpg?v=1633030816")</f>
        <v>#NAME?</v>
      </c>
      <c r="H5030" t="e">
        <f ca="1">_xludf.IMAGE("https://m.media-amazon.com/images/I/41k4r6WrCiL._AC_UL320_.jpg")</f>
        <v>#NAME?</v>
      </c>
      <c r="I5030" t="s">
        <v>198</v>
      </c>
      <c r="J5030">
        <v>75.87</v>
      </c>
      <c r="K5030" s="4">
        <v>0.8972</v>
      </c>
      <c r="L5030">
        <v>4.7</v>
      </c>
      <c r="M5030">
        <v>242</v>
      </c>
      <c r="O5030" t="s">
        <v>25</v>
      </c>
      <c r="P5030" t="s">
        <v>6773</v>
      </c>
      <c r="Q5030" t="s">
        <v>6774</v>
      </c>
    </row>
    <row r="5031" spans="1:17" ht="15.5" x14ac:dyDescent="0.35">
      <c r="A5031" s="3" t="str">
        <f>HYPERLINK("https://edmondsonsupply.com/collections/electricians-tools/products/milwaukee-48-22-2859-demolition-driver", "https://edmondsonsupply.com/collections/electricians-tools/products/milwaukee-48-22-2859-demolition-driver")</f>
        <v>https://edmondsonsupply.com/collections/electricians-tools/products/milwaukee-48-22-2859-demolition-driver</v>
      </c>
      <c r="B5031" s="3" t="str">
        <f>HYPERLINK("https://edmondsonsupply.com/products/milwaukee-48-22-2859-demolition-driver", "https://edmondsonsupply.com/products/milwaukee-48-22-2859-demolition-driver")</f>
        <v>https://edmondsonsupply.com/products/milwaukee-48-22-2859-demolition-driver</v>
      </c>
      <c r="C5031" t="s">
        <v>2583</v>
      </c>
      <c r="D5031" t="s">
        <v>2584</v>
      </c>
      <c r="E5031" s="3" t="str">
        <f>HYPERLINK("https://www.amazon.com/Milwaukee-48-22-2702-Durable-Demolition-Screwdriver/dp/B0BYJLXHMN/ref=sr_1_2?keywords=Milwaukee+48-22-2859+Demolition+Driver&amp;qid=1695173855&amp;sr=8-2", "https://www.amazon.com/Milwaukee-48-22-2702-Durable-Demolition-Screwdriver/dp/B0BYJLXHMN/ref=sr_1_2?keywords=Milwaukee+48-22-2859+Demolition+Driver&amp;qid=1695173855&amp;sr=8-2")</f>
        <v>https://www.amazon.com/Milwaukee-48-22-2702-Durable-Demolition-Screwdriver/dp/B0BYJLXHMN/ref=sr_1_2?keywords=Milwaukee+48-22-2859+Demolition+Driver&amp;qid=1695173855&amp;sr=8-2</v>
      </c>
      <c r="F5031" t="s">
        <v>2585</v>
      </c>
      <c r="G5031" t="e">
        <f ca="1">_xludf.IMAGE("https://edmondsonsupply.com/cdn/shop/products/48-22-2859_1.webp?v=1661549628")</f>
        <v>#NAME?</v>
      </c>
      <c r="H5031" t="e">
        <f ca="1">_xludf.IMAGE("https://m.media-amazon.com/images/I/41k8Y4OVmHL._AC_UL320_.jpg")</f>
        <v>#NAME?</v>
      </c>
      <c r="I5031" t="s">
        <v>2586</v>
      </c>
      <c r="J5031">
        <v>33.99</v>
      </c>
      <c r="K5031" s="4">
        <v>0.89149999999999996</v>
      </c>
      <c r="L5031">
        <v>5</v>
      </c>
      <c r="M5031">
        <v>1</v>
      </c>
      <c r="O5031" t="s">
        <v>25</v>
      </c>
      <c r="P5031" t="s">
        <v>2182</v>
      </c>
      <c r="Q5031" t="s">
        <v>2587</v>
      </c>
    </row>
    <row r="5032" spans="1:17" ht="15.5" x14ac:dyDescent="0.35">
      <c r="A5032"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5032" s="3" t="str">
        <f>HYPERLINK("https://edmondsonsupply.com/products/klein-tools-605-4-1-4-inch-cabinet-tip-screwdriver-4-inch-shank", "https://edmondsonsupply.com/products/klein-tools-605-4-1-4-inch-cabinet-tip-screwdriver-4-inch-shank")</f>
        <v>https://edmondsonsupply.com/products/klein-tools-605-4-1-4-inch-cabinet-tip-screwdriver-4-inch-shank</v>
      </c>
      <c r="C5032" t="s">
        <v>6418</v>
      </c>
      <c r="D5032" t="s">
        <v>6775</v>
      </c>
      <c r="E5032" s="3" t="str">
        <f>HYPERLINK("https://www.amazon.com/Insulated-Screwdriver-Klein-Tools-601-4-INS/dp/B000LEBVIK/ref=sr_1_9?keywords=Klein+Tools+605-4+1%2F4-Inch+Cabinet+Tip+Screwdriver+4-Inch+Shank&amp;qid=1695174135&amp;sr=8-9", "https://www.amazon.com/Insulated-Screwdriver-Klein-Tools-601-4-INS/dp/B000LEBVIK/ref=sr_1_9?keywords=Klein+Tools+605-4+1%2F4-Inch+Cabinet+Tip+Screwdriver+4-Inch+Shank&amp;qid=1695174135&amp;sr=8-9")</f>
        <v>https://www.amazon.com/Insulated-Screwdriver-Klein-Tools-601-4-INS/dp/B000LEBVIK/ref=sr_1_9?keywords=Klein+Tools+605-4+1%2F4-Inch+Cabinet+Tip+Screwdriver+4-Inch+Shank&amp;qid=1695174135&amp;sr=8-9</v>
      </c>
      <c r="F5032" t="s">
        <v>6776</v>
      </c>
      <c r="G5032" t="e">
        <f ca="1">_xludf.IMAGE("https://edmondsonsupply.com/cdn/shop/products/605-6_ac5e56ca-920d-4d55-842f-c7dc8361f892.jpg?v=1665688377")</f>
        <v>#NAME?</v>
      </c>
      <c r="H5032" t="e">
        <f ca="1">_xludf.IMAGE("https://m.media-amazon.com/images/I/41SIcZZiIAL._AC_UL320_.jpg")</f>
        <v>#NAME?</v>
      </c>
      <c r="I5032" t="s">
        <v>924</v>
      </c>
      <c r="J5032">
        <v>16.989999999999998</v>
      </c>
      <c r="K5032" s="4">
        <v>0.88990000000000002</v>
      </c>
      <c r="L5032">
        <v>4.8</v>
      </c>
      <c r="M5032">
        <v>1064</v>
      </c>
      <c r="O5032" t="s">
        <v>25</v>
      </c>
      <c r="P5032" t="s">
        <v>6421</v>
      </c>
      <c r="Q5032" t="s">
        <v>6422</v>
      </c>
    </row>
    <row r="5033" spans="1:17" ht="15.5" x14ac:dyDescent="0.35">
      <c r="A5033"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5033" s="3" t="str">
        <f>HYPERLINK("https://edmondsonsupply.com/products/klein-tools-vdv526-200-lan-scout-%c2%ae-jr-2-cable-tester", "https://edmondsonsupply.com/products/klein-tools-vdv526-200-lan-scout-%c2%ae-jr-2-cable-tester")</f>
        <v>https://edmondsonsupply.com/products/klein-tools-vdv526-200-lan-scout-%c2%ae-jr-2-cable-tester</v>
      </c>
      <c r="C5033" t="s">
        <v>6500</v>
      </c>
      <c r="D5033" t="s">
        <v>6777</v>
      </c>
      <c r="E5033" s="3" t="str">
        <f>HYPERLINK("https://www.amazon.com/Klein-Tools-80072-Stripper-Pass-Thru/dp/B09TPLNBQ2/ref=sr_1_9?keywords=Klein+Tools+VDV526-200+LAN+Scout+%C2%AE+Jr.+2+Cable+Tester&amp;qid=1695174153&amp;sr=8-9", "https://www.amazon.com/Klein-Tools-80072-Stripper-Pass-Thru/dp/B09TPLNBQ2/ref=sr_1_9?keywords=Klein+Tools+VDV526-200+LAN+Scout+%C2%AE+Jr.+2+Cable+Tester&amp;qid=1695174153&amp;sr=8-9")</f>
        <v>https://www.amazon.com/Klein-Tools-80072-Stripper-Pass-Thru/dp/B09TPLNBQ2/ref=sr_1_9?keywords=Klein+Tools+VDV526-200+LAN+Scout+%C2%AE+Jr.+2+Cable+Tester&amp;qid=1695174153&amp;sr=8-9</v>
      </c>
      <c r="F5033" t="s">
        <v>6778</v>
      </c>
      <c r="G5033" t="e">
        <f ca="1">_xludf.IMAGE("https://edmondsonsupply.com/cdn/shop/products/vdv526200.jpg?v=1663689949")</f>
        <v>#NAME?</v>
      </c>
      <c r="H5033" t="e">
        <f ca="1">_xludf.IMAGE("https://m.media-amazon.com/images/I/61uYEWe2vLL._AC_UY218_.jpg")</f>
        <v>#NAME?</v>
      </c>
      <c r="I5033" t="s">
        <v>3359</v>
      </c>
      <c r="J5033">
        <v>103.78</v>
      </c>
      <c r="K5033" s="4">
        <v>0.88790000000000002</v>
      </c>
      <c r="L5033">
        <v>4.9000000000000004</v>
      </c>
      <c r="M5033">
        <v>97</v>
      </c>
      <c r="O5033" t="s">
        <v>25</v>
      </c>
      <c r="P5033" t="s">
        <v>6503</v>
      </c>
      <c r="Q5033" t="s">
        <v>6504</v>
      </c>
    </row>
    <row r="5034" spans="1:17" ht="15.5" x14ac:dyDescent="0.35">
      <c r="A5034" s="3" t="str">
        <f>HYPERLINK("https://edmondsonsupply.com/collections/electricians-tools/products/rack-a-tiers-51020-exploding-garbage-can-ultra", "https://edmondsonsupply.com/collections/electricians-tools/products/rack-a-tiers-51020-exploding-garbage-can-ultra")</f>
        <v>https://edmondsonsupply.com/collections/electricians-tools/products/rack-a-tiers-51020-exploding-garbage-can-ultra</v>
      </c>
      <c r="B5034" s="3" t="str">
        <f>HYPERLINK("https://edmondsonsupply.com/products/rack-a-tiers-51020-exploding-garbage-can-ultra", "https://edmondsonsupply.com/products/rack-a-tiers-51020-exploding-garbage-can-ultra")</f>
        <v>https://edmondsonsupply.com/products/rack-a-tiers-51020-exploding-garbage-can-ultra</v>
      </c>
      <c r="C5034" t="s">
        <v>2588</v>
      </c>
      <c r="D5034" t="s">
        <v>2589</v>
      </c>
      <c r="E5034" s="3" t="str">
        <f>HYPERLINK("https://www.amazon.com/Rack-Tiers-51020-Exploding-Garbage/dp/B07NLLQPTV/ref=sr_1_1?keywords=Rack-A-Tiers+51020+Exploding+Garbage+Can+-+Ultra&amp;qid=1695173894&amp;sr=8-1", "https://www.amazon.com/Rack-Tiers-51020-Exploding-Garbage/dp/B07NLLQPTV/ref=sr_1_1?keywords=Rack-A-Tiers+51020+Exploding+Garbage+Can+-+Ultra&amp;qid=1695173894&amp;sr=8-1")</f>
        <v>https://www.amazon.com/Rack-Tiers-51020-Exploding-Garbage/dp/B07NLLQPTV/ref=sr_1_1?keywords=Rack-A-Tiers+51020+Exploding+Garbage+Can+-+Ultra&amp;qid=1695173894&amp;sr=8-1</v>
      </c>
      <c r="F5034" t="s">
        <v>2590</v>
      </c>
      <c r="G5034" t="e">
        <f ca="1">_xludf.IMAGE("https://edmondsonsupply.com/cdn/shop/products/51020-Exp-Can-Ultra.png?v=1587147271")</f>
        <v>#NAME?</v>
      </c>
      <c r="H5034" t="e">
        <f ca="1">_xludf.IMAGE("https://m.media-amazon.com/images/I/51e-1yeZ4VL._AC_UL320_.jpg")</f>
        <v>#NAME?</v>
      </c>
      <c r="I5034" t="s">
        <v>2591</v>
      </c>
      <c r="J5034">
        <v>59.45</v>
      </c>
      <c r="K5034" s="4">
        <v>0.88790000000000002</v>
      </c>
      <c r="L5034">
        <v>5</v>
      </c>
      <c r="M5034">
        <v>1</v>
      </c>
      <c r="O5034" t="s">
        <v>171</v>
      </c>
      <c r="P5034" t="s">
        <v>138</v>
      </c>
      <c r="Q5034" t="s">
        <v>2592</v>
      </c>
    </row>
    <row r="5035" spans="1:17" ht="15.5" x14ac:dyDescent="0.35">
      <c r="A5035"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5035" s="3" t="str">
        <f>HYPERLINK("https://edmondsonsupply.com/products/klein-tools-rt250-gfci-receptacle-tester-with-lcd", "https://edmondsonsupply.com/products/klein-tools-rt250-gfci-receptacle-tester-with-lcd")</f>
        <v>https://edmondsonsupply.com/products/klein-tools-rt250-gfci-receptacle-tester-with-lcd</v>
      </c>
      <c r="C5035" t="s">
        <v>6197</v>
      </c>
      <c r="D5035" t="s">
        <v>6779</v>
      </c>
      <c r="E5035" s="3" t="str">
        <f>HYPERLINK("https://www.amazon.com/Klein-Tools-Receptacle-Electrical-Accessory/dp/B09P83VQDK/ref=sr_1_3?keywords=Klein+Tools+RT250+GFCI+Receptacle+Tester+with+LCD&amp;qid=1695174176&amp;sr=8-3", "https://www.amazon.com/Klein-Tools-Receptacle-Electrical-Accessory/dp/B09P83VQDK/ref=sr_1_3?keywords=Klein+Tools+RT250+GFCI+Receptacle+Tester+with+LCD&amp;qid=1695174176&amp;sr=8-3")</f>
        <v>https://www.amazon.com/Klein-Tools-Receptacle-Electrical-Accessory/dp/B09P83VQDK/ref=sr_1_3?keywords=Klein+Tools+RT250+GFCI+Receptacle+Tester+with+LCD&amp;qid=1695174176&amp;sr=8-3</v>
      </c>
      <c r="F5035" t="s">
        <v>6780</v>
      </c>
      <c r="G5035" t="e">
        <f ca="1">_xludf.IMAGE("https://edmondsonsupply.com/cdn/shop/products/rt250_photo_c.jpg?v=1661363824")</f>
        <v>#NAME?</v>
      </c>
      <c r="H5035" t="e">
        <f ca="1">_xludf.IMAGE("https://m.media-amazon.com/images/I/51Y6EmT5N-L._AC_UL320_.jpg")</f>
        <v>#NAME?</v>
      </c>
      <c r="I5035" t="s">
        <v>2247</v>
      </c>
      <c r="J5035">
        <v>41.4</v>
      </c>
      <c r="K5035" s="4">
        <v>0.88439999999999996</v>
      </c>
      <c r="L5035">
        <v>4.9000000000000004</v>
      </c>
      <c r="M5035">
        <v>20</v>
      </c>
      <c r="O5035" t="s">
        <v>25</v>
      </c>
      <c r="P5035" t="s">
        <v>6200</v>
      </c>
      <c r="Q5035" t="s">
        <v>6201</v>
      </c>
    </row>
    <row r="5036" spans="1:17" ht="15.5" x14ac:dyDescent="0.35">
      <c r="A5036"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5036" s="3" t="str">
        <f>HYPERLINK("https://edmondsonsupply.com/products/klein-tools-11045-wire-stripper-cutter-10-18-awg-solid", "https://edmondsonsupply.com/products/klein-tools-11045-wire-stripper-cutter-10-18-awg-solid")</f>
        <v>https://edmondsonsupply.com/products/klein-tools-11045-wire-stripper-cutter-10-18-awg-solid</v>
      </c>
      <c r="C5036" t="s">
        <v>6016</v>
      </c>
      <c r="D5036" t="s">
        <v>3271</v>
      </c>
      <c r="E5036" s="3" t="str">
        <f>HYPERLINK("https://www.amazon.com/Klein-Tools-11055RINS-Insulated-Stripper/dp/B0BFZBQ9XF/ref=sr_1_10?keywords=Klein+Tools+11045+Wire+Stripper%2FCutter+%2810-18+AWG+Solid%29&amp;qid=1695174263&amp;sr=8-10", "https://www.amazon.com/Klein-Tools-11055RINS-Insulated-Stripper/dp/B0BFZBQ9XF/ref=sr_1_10?keywords=Klein+Tools+11045+Wire+Stripper%2FCutter+%2810-18+AWG+Solid%29&amp;qid=1695174263&amp;sr=8-10")</f>
        <v>https://www.amazon.com/Klein-Tools-11055RINS-Insulated-Stripper/dp/B0BFZBQ9XF/ref=sr_1_10?keywords=Klein+Tools+11045+Wire+Stripper%2FCutter+%2810-18+AWG+Solid%29&amp;qid=1695174263&amp;sr=8-10</v>
      </c>
      <c r="F5036" t="s">
        <v>3272</v>
      </c>
      <c r="G5036" t="e">
        <f ca="1">_xludf.IMAGE("https://edmondsonsupply.com/cdn/shop/products/11045.jpg?v=1633031022")</f>
        <v>#NAME?</v>
      </c>
      <c r="H5036" t="e">
        <f ca="1">_xludf.IMAGE("https://m.media-amazon.com/images/I/41Pemveg6bL._AC_UL320_.jpg")</f>
        <v>#NAME?</v>
      </c>
      <c r="I5036" t="s">
        <v>143</v>
      </c>
      <c r="J5036">
        <v>29.97</v>
      </c>
      <c r="K5036" s="4">
        <v>0.87660000000000005</v>
      </c>
      <c r="L5036">
        <v>4.5999999999999996</v>
      </c>
      <c r="M5036">
        <v>55</v>
      </c>
      <c r="O5036" t="s">
        <v>25</v>
      </c>
      <c r="P5036" t="s">
        <v>6019</v>
      </c>
      <c r="Q5036" t="s">
        <v>6020</v>
      </c>
    </row>
    <row r="5037" spans="1:17" ht="15.5" x14ac:dyDescent="0.35">
      <c r="A5037"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5037" s="3" t="str">
        <f>HYPERLINK("https://edmondsonsupply.com/products/klein-tools-65064-2-in-1-hex-head-screwdriver-1-4-5-16", "https://edmondsonsupply.com/products/klein-tools-65064-2-in-1-hex-head-screwdriver-1-4-5-16")</f>
        <v>https://edmondsonsupply.com/products/klein-tools-65064-2-in-1-hex-head-screwdriver-1-4-5-16</v>
      </c>
      <c r="C5037" t="s">
        <v>2093</v>
      </c>
      <c r="D5037" t="s">
        <v>2599</v>
      </c>
      <c r="E5037" s="3" t="str">
        <f>HYPERLINK("https://www.amazon.com/Driver-Magnetic-Klein-Tools-32807MAG/dp/B07D4M51DQ/ref=sr_1_9?keywords=Klein+Tools+65064+2-in-1+Nut+Driver%2C+Hex+Head%2C+1%2F4-Inch+and+5%2F16-Inch&amp;qid=1695173915&amp;sr=8-9", "https://www.amazon.com/Driver-Magnetic-Klein-Tools-32807MAG/dp/B07D4M51DQ/ref=sr_1_9?keywords=Klein+Tools+65064+2-in-1+Nut+Driver%2C+Hex+Head%2C+1%2F4-Inch+and+5%2F16-Inch&amp;qid=1695173915&amp;sr=8-9")</f>
        <v>https://www.amazon.com/Driver-Magnetic-Klein-Tools-32807MAG/dp/B07D4M51DQ/ref=sr_1_9?keywords=Klein+Tools+65064+2-in-1+Nut+Driver%2C+Hex+Head%2C+1%2F4-Inch+and+5%2F16-Inch&amp;qid=1695173915&amp;sr=8-9</v>
      </c>
      <c r="F5037" t="s">
        <v>2600</v>
      </c>
      <c r="G5037" t="e">
        <f ca="1">_xludf.IMAGE("https://edmondsonsupply.com/cdn/shop/products/65064.jpg?v=1587147719")</f>
        <v>#NAME?</v>
      </c>
      <c r="H5037" t="e">
        <f ca="1">_xludf.IMAGE("https://m.media-amazon.com/images/I/61gwAJBzDAL._AC_UL320_.jpg")</f>
        <v>#NAME?</v>
      </c>
      <c r="I5037" t="s">
        <v>143</v>
      </c>
      <c r="J5037">
        <v>29.97</v>
      </c>
      <c r="K5037" s="4">
        <v>0.87660000000000005</v>
      </c>
      <c r="L5037">
        <v>4.7</v>
      </c>
      <c r="M5037">
        <v>9161</v>
      </c>
      <c r="O5037" t="s">
        <v>25</v>
      </c>
      <c r="P5037" t="s">
        <v>2096</v>
      </c>
      <c r="Q5037" t="s">
        <v>2097</v>
      </c>
    </row>
    <row r="5038" spans="1:17" ht="15.5" x14ac:dyDescent="0.35">
      <c r="A5038"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5038"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5038" t="s">
        <v>6781</v>
      </c>
      <c r="D5038" t="s">
        <v>6782</v>
      </c>
      <c r="E5038" s="3" t="str">
        <f>HYPERLINK("https://www.amazon.com/Screwdriver-Insulated-Klein-Tools-602-7-INS/dp/B00CQL8UM6/ref=sr_1_2?keywords=Klein+Tools+6866INS+Insulated+Screwdriver%2C+5%2F16-Inch+Cabinet+Tip%2C+6-Inch+Shank&amp;qid=1695174142&amp;sr=8-2", "https://www.amazon.com/Screwdriver-Insulated-Klein-Tools-602-7-INS/dp/B00CQL8UM6/ref=sr_1_2?keywords=Klein+Tools+6866INS+Insulated+Screwdriver%2C+5%2F16-Inch+Cabinet+Tip%2C+6-Inch+Shank&amp;qid=1695174142&amp;sr=8-2")</f>
        <v>https://www.amazon.com/Screwdriver-Insulated-Klein-Tools-602-7-INS/dp/B00CQL8UM6/ref=sr_1_2?keywords=Klein+Tools+6866INS+Insulated+Screwdriver%2C+5%2F16-Inch+Cabinet+Tip%2C+6-Inch+Shank&amp;qid=1695174142&amp;sr=8-2</v>
      </c>
      <c r="F5038" t="s">
        <v>6783</v>
      </c>
      <c r="G5038" t="e">
        <f ca="1">_xludf.IMAGE("https://edmondsonsupply.com/cdn/shop/products/6866ins.jpg?v=1664818689")</f>
        <v>#NAME?</v>
      </c>
      <c r="H5038" t="e">
        <f ca="1">_xludf.IMAGE("https://m.media-amazon.com/images/I/51yWIQxCstL._AC_UL320_.jpg")</f>
        <v>#NAME?</v>
      </c>
      <c r="I5038" t="s">
        <v>6073</v>
      </c>
      <c r="J5038">
        <v>22.46</v>
      </c>
      <c r="K5038" s="4">
        <v>0.87639999999999996</v>
      </c>
      <c r="L5038">
        <v>4.8</v>
      </c>
      <c r="M5038">
        <v>1064</v>
      </c>
      <c r="O5038" t="s">
        <v>25</v>
      </c>
      <c r="P5038" t="s">
        <v>6728</v>
      </c>
      <c r="Q5038" t="s">
        <v>6784</v>
      </c>
    </row>
    <row r="5039" spans="1:17" ht="15.5" x14ac:dyDescent="0.35">
      <c r="A5039" s="3" t="str">
        <f>HYPERLINK("https://edmondsonsupply.com/collections/electricians-tools/products/klein-tools-51606", "https://edmondsonsupply.com/collections/electricians-tools/products/klein-tools-51606")</f>
        <v>https://edmondsonsupply.com/collections/electricians-tools/products/klein-tools-51606</v>
      </c>
      <c r="B5039" s="3" t="str">
        <f>HYPERLINK("https://edmondsonsupply.com/products/klein-tools-51606", "https://edmondsonsupply.com/products/klein-tools-51606")</f>
        <v>https://edmondsonsupply.com/products/klein-tools-51606</v>
      </c>
      <c r="C5039" t="s">
        <v>6785</v>
      </c>
      <c r="D5039" t="s">
        <v>6047</v>
      </c>
      <c r="E5039" s="3" t="str">
        <f>HYPERLINK("https://www.amazon.com/Conduit-Features-Klein-Tools-51604/dp/B08V8YVWH1/ref=sr_1_6?keywords=Klein+Tools+51606+Aluminum+Conduit+Bender+Full+Assembly%2C+1%2F2-Inch+EMT+with+Angle+Setter%E2%84%A2&amp;qid=1695174158&amp;sr=8-6", "https://www.amazon.com/Conduit-Features-Klein-Tools-51604/dp/B08V8YVWH1/ref=sr_1_6?keywords=Klein+Tools+51606+Aluminum+Conduit+Bender+Full+Assembly%2C+1%2F2-Inch+EMT+with+Angle+Setter%E2%84%A2&amp;qid=1695174158&amp;sr=8-6")</f>
        <v>https://www.amazon.com/Conduit-Features-Klein-Tools-51604/dp/B08V8YVWH1/ref=sr_1_6?keywords=Klein+Tools+51606+Aluminum+Conduit+Bender+Full+Assembly%2C+1%2F2-Inch+EMT+with+Angle+Setter%E2%84%A2&amp;qid=1695174158&amp;sr=8-6</v>
      </c>
      <c r="F5039" t="s">
        <v>6048</v>
      </c>
      <c r="G5039" t="e">
        <f ca="1">_xludf.IMAGE("https://edmondsonsupply.com/cdn/shop/products/51606.jpg?v=1663942126")</f>
        <v>#NAME?</v>
      </c>
      <c r="H5039" t="e">
        <f ca="1">_xludf.IMAGE("https://m.media-amazon.com/images/I/41DkDVmyczL._AC_UL320_.jpg")</f>
        <v>#NAME?</v>
      </c>
      <c r="I5039" t="s">
        <v>246</v>
      </c>
      <c r="J5039">
        <v>74.989999999999995</v>
      </c>
      <c r="K5039" s="4">
        <v>0.87619999999999998</v>
      </c>
      <c r="L5039">
        <v>4.8</v>
      </c>
      <c r="M5039">
        <v>43</v>
      </c>
      <c r="O5039" t="s">
        <v>25</v>
      </c>
      <c r="P5039" t="s">
        <v>1027</v>
      </c>
      <c r="Q5039" t="s">
        <v>6786</v>
      </c>
    </row>
    <row r="5040" spans="1:17" ht="15.5" x14ac:dyDescent="0.35">
      <c r="A5040"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5040" s="3" t="str">
        <f>HYPERLINK("https://edmondsonsupply.com/products/klein-tools-31918-bi-metal-hole-saw-1-1-8-inch", "https://edmondsonsupply.com/products/klein-tools-31918-bi-metal-hole-saw-1-1-8-inch")</f>
        <v>https://edmondsonsupply.com/products/klein-tools-31918-bi-metal-hole-saw-1-1-8-inch</v>
      </c>
      <c r="C5040" t="s">
        <v>6001</v>
      </c>
      <c r="D5040" t="s">
        <v>6787</v>
      </c>
      <c r="E5040" s="3" t="str">
        <f>HYPERLINK("https://www.amazon.com/Klein-Tools-31534-Bi-Metal-8-Inch/dp/B0009OIJFA/ref=sr_1_6?keywords=Klein+Tools+31918+Bi-Metal+Hole+Saw%2C+1-1%2F8-Inch&amp;qid=1695174116&amp;sr=8-6", "https://www.amazon.com/Klein-Tools-31534-Bi-Metal-8-Inch/dp/B0009OIJFA/ref=sr_1_6?keywords=Klein+Tools+31918+Bi-Metal+Hole+Saw%2C+1-1%2F8-Inch&amp;qid=1695174116&amp;sr=8-6")</f>
        <v>https://www.amazon.com/Klein-Tools-31534-Bi-Metal-8-Inch/dp/B0009OIJFA/ref=sr_1_6?keywords=Klein+Tools+31918+Bi-Metal+Hole+Saw%2C+1-1%2F8-Inch&amp;qid=1695174116&amp;sr=8-6</v>
      </c>
      <c r="F5040" t="s">
        <v>6788</v>
      </c>
      <c r="G5040" t="e">
        <f ca="1">_xludf.IMAGE("https://edmondsonsupply.com/cdn/shop/products/31918.jpg?v=1669739998")</f>
        <v>#NAME?</v>
      </c>
      <c r="H5040" t="e">
        <f ca="1">_xludf.IMAGE("https://m.media-amazon.com/images/I/31Wk-f8wwaL._AC_UL320_.jpg")</f>
        <v>#NAME?</v>
      </c>
      <c r="I5040" t="s">
        <v>1003</v>
      </c>
      <c r="J5040">
        <v>14.99</v>
      </c>
      <c r="K5040" s="4">
        <v>0.87609999999999999</v>
      </c>
      <c r="L5040">
        <v>5</v>
      </c>
      <c r="M5040">
        <v>5</v>
      </c>
      <c r="O5040" t="s">
        <v>25</v>
      </c>
      <c r="P5040" t="s">
        <v>2841</v>
      </c>
      <c r="Q5040" t="s">
        <v>6004</v>
      </c>
    </row>
    <row r="5041" spans="1:17" ht="15.5" x14ac:dyDescent="0.35">
      <c r="A5041"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5041" s="3" t="str">
        <f>HYPERLINK("https://edmondsonsupply.com/products/klein-tools-69445-rare-earth-magnetic-hanger-no-strap", "https://edmondsonsupply.com/products/klein-tools-69445-rare-earth-magnetic-hanger-no-strap")</f>
        <v>https://edmondsonsupply.com/products/klein-tools-69445-rare-earth-magnetic-hanger-no-strap</v>
      </c>
      <c r="C5041" t="s">
        <v>1408</v>
      </c>
      <c r="D5041" t="s">
        <v>2356</v>
      </c>
      <c r="E5041" s="3" t="str">
        <f>HYPERLINK("https://www.amazon.com/Klein-Tools-Rare-Earth-Magnetic-Multimeter/dp/B0BGJ66GX4/ref=sr_1_5?keywords=Klein+Tools+69445+Rare+Earth+Magnetic+Hanger%2C+no+Strap&amp;qid=1695173881&amp;sr=8-5", "https://www.amazon.com/Klein-Tools-Rare-Earth-Magnetic-Multimeter/dp/B0BGJ66GX4/ref=sr_1_5?keywords=Klein+Tools+69445+Rare+Earth+Magnetic+Hanger%2C+no+Strap&amp;qid=1695173881&amp;sr=8-5")</f>
        <v>https://www.amazon.com/Klein-Tools-Rare-Earth-Magnetic-Multimeter/dp/B0BGJ66GX4/ref=sr_1_5?keywords=Klein+Tools+69445+Rare+Earth+Magnetic+Hanger%2C+no+Strap&amp;qid=1695173881&amp;sr=8-5</v>
      </c>
      <c r="F5041" t="s">
        <v>2357</v>
      </c>
      <c r="G5041" t="e">
        <f ca="1">_xludf.IMAGE("https://edmondsonsupply.com/cdn/shop/products/69445.jpg?v=1633030859")</f>
        <v>#NAME?</v>
      </c>
      <c r="H5041" t="e">
        <f ca="1">_xludf.IMAGE("https://m.media-amazon.com/images/I/51Em03gaEVL._AC_UL320_.jpg")</f>
        <v>#NAME?</v>
      </c>
      <c r="I5041" t="s">
        <v>252</v>
      </c>
      <c r="J5041">
        <v>29.99</v>
      </c>
      <c r="K5041" s="4">
        <v>0.87549999999999994</v>
      </c>
      <c r="L5041">
        <v>5</v>
      </c>
      <c r="M5041">
        <v>2</v>
      </c>
      <c r="O5041" t="s">
        <v>25</v>
      </c>
      <c r="P5041" t="s">
        <v>1411</v>
      </c>
      <c r="Q5041" t="s">
        <v>1412</v>
      </c>
    </row>
    <row r="5042" spans="1:17" ht="15.5" x14ac:dyDescent="0.35">
      <c r="A5042"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5042"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5042" t="s">
        <v>919</v>
      </c>
      <c r="D5042" t="s">
        <v>882</v>
      </c>
      <c r="E5042" s="3" t="str">
        <f>HYPERLINK("https://www.amazon.com/Klein-Tools-60539-Professional-Protective/dp/B0BLQ6F4MQ/ref=sr_1_8?keywords=Klein+Tools+60470+Professional+Full-Frame+Gasket+Safety+Glasses%2C+Clear+Lens&amp;qid=1695174156&amp;sr=8-8", "https://www.amazon.com/Klein-Tools-60539-Professional-Protective/dp/B0BLQ6F4MQ/ref=sr_1_8?keywords=Klein+Tools+60470+Professional+Full-Frame+Gasket+Safety+Glasses%2C+Clear+Lens&amp;qid=1695174156&amp;sr=8-8")</f>
        <v>https://www.amazon.com/Klein-Tools-60539-Professional-Protective/dp/B0BLQ6F4MQ/ref=sr_1_8?keywords=Klein+Tools+60470+Professional+Full-Frame+Gasket+Safety+Glasses%2C+Clear+Lens&amp;qid=1695174156&amp;sr=8-8</v>
      </c>
      <c r="F5042" t="s">
        <v>883</v>
      </c>
      <c r="G5042" t="e">
        <f ca="1">_xludf.IMAGE("https://edmondsonsupply.com/cdn/shop/products/60470.jpg?v=1663260659")</f>
        <v>#NAME?</v>
      </c>
      <c r="H5042" t="e">
        <f ca="1">_xludf.IMAGE("https://m.media-amazon.com/images/I/41z93jotzdL._AC_UL320_.jpg")</f>
        <v>#NAME?</v>
      </c>
      <c r="I5042" t="s">
        <v>252</v>
      </c>
      <c r="J5042">
        <v>29.99</v>
      </c>
      <c r="K5042" s="4">
        <v>0.87549999999999994</v>
      </c>
      <c r="L5042">
        <v>4.4000000000000004</v>
      </c>
      <c r="M5042">
        <v>11</v>
      </c>
      <c r="O5042" t="s">
        <v>25</v>
      </c>
      <c r="P5042" t="s">
        <v>854</v>
      </c>
      <c r="Q5042" t="s">
        <v>920</v>
      </c>
    </row>
    <row r="5043" spans="1:17" ht="15.5" x14ac:dyDescent="0.35">
      <c r="A5043"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5043"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043" t="s">
        <v>853</v>
      </c>
      <c r="D5043" t="s">
        <v>882</v>
      </c>
      <c r="E5043" s="3" t="str">
        <f>HYPERLINK("https://www.amazon.com/Klein-Tools-60539-Professional-Protective/dp/B0BLQ6F4MQ/ref=sr_1_7?keywords=Klein+Tools+60471+Professional+Full-Frame+Gasket+Safety+Glasses%2C+Gray+Lens&amp;qid=1695174157&amp;sr=8-7", "https://www.amazon.com/Klein-Tools-60539-Professional-Protective/dp/B0BLQ6F4MQ/ref=sr_1_7?keywords=Klein+Tools+60471+Professional+Full-Frame+Gasket+Safety+Glasses%2C+Gray+Lens&amp;qid=1695174157&amp;sr=8-7")</f>
        <v>https://www.amazon.com/Klein-Tools-60539-Professional-Protective/dp/B0BLQ6F4MQ/ref=sr_1_7?keywords=Klein+Tools+60471+Professional+Full-Frame+Gasket+Safety+Glasses%2C+Gray+Lens&amp;qid=1695174157&amp;sr=8-7</v>
      </c>
      <c r="F5043" t="s">
        <v>883</v>
      </c>
      <c r="G5043" t="e">
        <f ca="1">_xludf.IMAGE("https://edmondsonsupply.com/cdn/shop/products/60471.jpg?v=1663257501")</f>
        <v>#NAME?</v>
      </c>
      <c r="H5043" t="e">
        <f ca="1">_xludf.IMAGE("https://m.media-amazon.com/images/I/41z93jotzdL._AC_UL320_.jpg")</f>
        <v>#NAME?</v>
      </c>
      <c r="I5043" t="s">
        <v>252</v>
      </c>
      <c r="J5043">
        <v>29.99</v>
      </c>
      <c r="K5043" s="4">
        <v>0.87549999999999994</v>
      </c>
      <c r="L5043">
        <v>4.4000000000000004</v>
      </c>
      <c r="M5043">
        <v>11</v>
      </c>
      <c r="O5043" t="s">
        <v>25</v>
      </c>
      <c r="P5043" t="s">
        <v>854</v>
      </c>
      <c r="Q5043" t="s">
        <v>855</v>
      </c>
    </row>
    <row r="5044" spans="1:17" ht="15.5" x14ac:dyDescent="0.35">
      <c r="A5044"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5044" s="3" t="str">
        <f>HYPERLINK("https://edmondsonsupply.com/products/klein-tools-51608-1-2-inch-iron-conduit-bender-head", "https://edmondsonsupply.com/products/klein-tools-51608-1-2-inch-iron-conduit-bender-head")</f>
        <v>https://edmondsonsupply.com/products/klein-tools-51608-1-2-inch-iron-conduit-bender-head</v>
      </c>
      <c r="C5044" t="s">
        <v>6789</v>
      </c>
      <c r="D5044" t="s">
        <v>6043</v>
      </c>
      <c r="E5044" s="3" t="str">
        <f>HYPERLINK("https://www.amazon.com/Conduit-Bender-Klein-Tools-51610/dp/B08V8J5CX4/ref=sr_1_10?keywords=Klein+Tools+51608+1%2F2-inch+Iron+Conduit+Bender+Head&amp;qid=1695174222&amp;sr=8-10", "https://www.amazon.com/Conduit-Bender-Klein-Tools-51610/dp/B08V8J5CX4/ref=sr_1_10?keywords=Klein+Tools+51608+1%2F2-inch+Iron+Conduit+Bender+Head&amp;qid=1695174222&amp;sr=8-10")</f>
        <v>https://www.amazon.com/Conduit-Bender-Klein-Tools-51610/dp/B08V8J5CX4/ref=sr_1_10?keywords=Klein+Tools+51608+1%2F2-inch+Iron+Conduit+Bender+Head&amp;qid=1695174222&amp;sr=8-10</v>
      </c>
      <c r="F5044" t="s">
        <v>6044</v>
      </c>
      <c r="G5044" t="e">
        <f ca="1">_xludf.IMAGE("https://edmondsonsupply.com/cdn/shop/products/51608.jpg?v=1643679335")</f>
        <v>#NAME?</v>
      </c>
      <c r="H5044" t="e">
        <f ca="1">_xludf.IMAGE("https://m.media-amazon.com/images/I/61jmGqozuVL._AC_UL320_.jpg")</f>
        <v>#NAME?</v>
      </c>
      <c r="I5044" t="s">
        <v>198</v>
      </c>
      <c r="J5044">
        <v>74.989999999999995</v>
      </c>
      <c r="K5044" s="4">
        <v>0.87519999999999998</v>
      </c>
      <c r="L5044">
        <v>4.8</v>
      </c>
      <c r="M5044">
        <v>11</v>
      </c>
      <c r="O5044" t="s">
        <v>25</v>
      </c>
      <c r="P5044" t="s">
        <v>6790</v>
      </c>
      <c r="Q5044" t="s">
        <v>6791</v>
      </c>
    </row>
    <row r="5045" spans="1:17" ht="15.5" x14ac:dyDescent="0.35">
      <c r="A5045"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5045" s="3" t="str">
        <f>HYPERLINK("https://edmondsonsupply.com/products/klein-tools-51608-1-2-inch-iron-conduit-bender-head", "https://edmondsonsupply.com/products/klein-tools-51608-1-2-inch-iron-conduit-bender-head")</f>
        <v>https://edmondsonsupply.com/products/klein-tools-51608-1-2-inch-iron-conduit-bender-head</v>
      </c>
      <c r="C5045" t="s">
        <v>6789</v>
      </c>
      <c r="D5045" t="s">
        <v>6047</v>
      </c>
      <c r="E5045" s="3" t="str">
        <f>HYPERLINK("https://www.amazon.com/Conduit-Features-Klein-Tools-51604/dp/B08V8YVWH1/ref=sr_1_5?keywords=Klein+Tools+51608+1%2F2-inch+Iron+Conduit+Bender+Head&amp;qid=1695174222&amp;sr=8-5", "https://www.amazon.com/Conduit-Features-Klein-Tools-51604/dp/B08V8YVWH1/ref=sr_1_5?keywords=Klein+Tools+51608+1%2F2-inch+Iron+Conduit+Bender+Head&amp;qid=1695174222&amp;sr=8-5")</f>
        <v>https://www.amazon.com/Conduit-Features-Klein-Tools-51604/dp/B08V8YVWH1/ref=sr_1_5?keywords=Klein+Tools+51608+1%2F2-inch+Iron+Conduit+Bender+Head&amp;qid=1695174222&amp;sr=8-5</v>
      </c>
      <c r="F5045" t="s">
        <v>6048</v>
      </c>
      <c r="G5045" t="e">
        <f ca="1">_xludf.IMAGE("https://edmondsonsupply.com/cdn/shop/products/51608.jpg?v=1643679335")</f>
        <v>#NAME?</v>
      </c>
      <c r="H5045" t="e">
        <f ca="1">_xludf.IMAGE("https://m.media-amazon.com/images/I/41DkDVmyczL._AC_UL320_.jpg")</f>
        <v>#NAME?</v>
      </c>
      <c r="I5045" t="s">
        <v>198</v>
      </c>
      <c r="J5045">
        <v>74.989999999999995</v>
      </c>
      <c r="K5045" s="4">
        <v>0.87519999999999998</v>
      </c>
      <c r="L5045">
        <v>4.8</v>
      </c>
      <c r="M5045">
        <v>43</v>
      </c>
      <c r="O5045" t="s">
        <v>25</v>
      </c>
      <c r="P5045" t="s">
        <v>6790</v>
      </c>
      <c r="Q5045" t="s">
        <v>6791</v>
      </c>
    </row>
    <row r="5046" spans="1:17" ht="15.5" x14ac:dyDescent="0.35">
      <c r="A5046" s="3" t="str">
        <f>HYPERLINK("https://edmondsonsupply.com/collections/electricians-tools/products/klein-tools-31906-hole-saw-arbor-with-pins-7-16-inch", "https://edmondsonsupply.com/collections/electricians-tools/products/klein-tools-31906-hole-saw-arbor-with-pins-7-16-inch")</f>
        <v>https://edmondsonsupply.com/collections/electricians-tools/products/klein-tools-31906-hole-saw-arbor-with-pins-7-16-inch</v>
      </c>
      <c r="B5046" s="3" t="str">
        <f>HYPERLINK("https://edmondsonsupply.com/products/klein-tools-31906-hole-saw-arbor-with-pins-7-16-inch", "https://edmondsonsupply.com/products/klein-tools-31906-hole-saw-arbor-with-pins-7-16-inch")</f>
        <v>https://edmondsonsupply.com/products/klein-tools-31906-hole-saw-arbor-with-pins-7-16-inch</v>
      </c>
      <c r="C5046" t="s">
        <v>6792</v>
      </c>
      <c r="D5046" t="s">
        <v>6793</v>
      </c>
      <c r="E5046" s="3" t="str">
        <f>HYPERLINK("https://www.amazon.com/Klein-Tools-31906-16-Inch-Bi-Metal/dp/B0BVGZ3GN2/ref=sr_1_2?keywords=Klein+Tools+31906+Hole+Saw+Arbor+With+Pins%2C+7%2F16-Inch&amp;qid=1695174136&amp;sr=8-2", "https://www.amazon.com/Klein-Tools-31906-16-Inch-Bi-Metal/dp/B0BVGZ3GN2/ref=sr_1_2?keywords=Klein+Tools+31906+Hole+Saw+Arbor+With+Pins%2C+7%2F16-Inch&amp;qid=1695174136&amp;sr=8-2")</f>
        <v>https://www.amazon.com/Klein-Tools-31906-16-Inch-Bi-Metal/dp/B0BVGZ3GN2/ref=sr_1_2?keywords=Klein+Tools+31906+Hole+Saw+Arbor+With+Pins%2C+7%2F16-Inch&amp;qid=1695174136&amp;sr=8-2</v>
      </c>
      <c r="F5046" t="s">
        <v>6794</v>
      </c>
      <c r="G5046" t="e">
        <f ca="1">_xludf.IMAGE("https://edmondsonsupply.com/cdn/shop/products/31906.jpg?v=1665670390")</f>
        <v>#NAME?</v>
      </c>
      <c r="H5046" t="e">
        <f ca="1">_xludf.IMAGE("https://m.media-amazon.com/images/I/21IcyNq4gsL._AC_UL320_.jpg")</f>
        <v>#NAME?</v>
      </c>
      <c r="I5046" t="s">
        <v>252</v>
      </c>
      <c r="J5046">
        <v>29.98</v>
      </c>
      <c r="K5046" s="4">
        <v>0.87490000000000001</v>
      </c>
      <c r="L5046">
        <v>4.5999999999999996</v>
      </c>
      <c r="M5046">
        <v>406</v>
      </c>
      <c r="O5046" t="s">
        <v>25</v>
      </c>
      <c r="P5046" t="s">
        <v>6795</v>
      </c>
      <c r="Q5046" t="s">
        <v>6796</v>
      </c>
    </row>
    <row r="5047" spans="1:17" ht="15.5" x14ac:dyDescent="0.35">
      <c r="A5047"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5047"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5047" t="s">
        <v>6797</v>
      </c>
      <c r="D5047" t="s">
        <v>6798</v>
      </c>
      <c r="E5047" s="3" t="str">
        <f>HYPERLINK("https://www.amazon.com/Klein-Tools-D2000-48-INS-Insulated-Leverage/dp/B000LDFIVC/ref=sr_1_4?keywords=Klein+Tools+D2000-48+Diagonal+Cutting+Pliers%2C+Angled+Head%2C+8-Inch&amp;qid=1695174171&amp;sr=8-4", "https://www.amazon.com/Klein-Tools-D2000-48-INS-Insulated-Leverage/dp/B000LDFIVC/ref=sr_1_4?keywords=Klein+Tools+D2000-48+Diagonal+Cutting+Pliers%2C+Angled+Head%2C+8-Inch&amp;qid=1695174171&amp;sr=8-4")</f>
        <v>https://www.amazon.com/Klein-Tools-D2000-48-INS-Insulated-Leverage/dp/B000LDFIVC/ref=sr_1_4?keywords=Klein+Tools+D2000-48+Diagonal+Cutting+Pliers%2C+Angled+Head%2C+8-Inch&amp;qid=1695174171&amp;sr=8-4</v>
      </c>
      <c r="F5047" t="s">
        <v>6799</v>
      </c>
      <c r="G5047" t="e">
        <f ca="1">_xludf.IMAGE("https://edmondsonsupply.com/cdn/shop/products/d200048.jpg?v=1660920588")</f>
        <v>#NAME?</v>
      </c>
      <c r="H5047" t="e">
        <f ca="1">_xludf.IMAGE("https://m.media-amazon.com/images/I/51D7A8E7ncL._AC_UL320_.jpg")</f>
        <v>#NAME?</v>
      </c>
      <c r="I5047" t="s">
        <v>340</v>
      </c>
      <c r="J5047">
        <v>65.28</v>
      </c>
      <c r="K5047" s="4">
        <v>0.86670000000000003</v>
      </c>
      <c r="L5047">
        <v>4.8</v>
      </c>
      <c r="M5047">
        <v>111</v>
      </c>
      <c r="O5047" t="s">
        <v>25</v>
      </c>
      <c r="P5047" t="s">
        <v>6800</v>
      </c>
      <c r="Q5047" t="s">
        <v>6801</v>
      </c>
    </row>
    <row r="5048" spans="1:17" ht="15.5" x14ac:dyDescent="0.35">
      <c r="A5048"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5048"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5048" t="s">
        <v>6802</v>
      </c>
      <c r="D5048" t="s">
        <v>3163</v>
      </c>
      <c r="E5048" s="3" t="str">
        <f>HYPERLINK("https://www.amazon.com/Journeyman-T-Handle-Klein-Tools-JTH9E14/dp/B004QVAH4I/ref=sr_1_6?keywords=Klein+Tools+JTH4E10+5%2F32-Inch+Hex+Key%2C+Journeyman+T-Handle%2C+4-Inch&amp;qid=1695174219&amp;sr=8-6", "https://www.amazon.com/Journeyman-T-Handle-Klein-Tools-JTH9E14/dp/B004QVAH4I/ref=sr_1_6?keywords=Klein+Tools+JTH4E10+5%2F32-Inch+Hex+Key%2C+Journeyman+T-Handle%2C+4-Inch&amp;qid=1695174219&amp;sr=8-6")</f>
        <v>https://www.amazon.com/Journeyman-T-Handle-Klein-Tools-JTH9E14/dp/B004QVAH4I/ref=sr_1_6?keywords=Klein+Tools+JTH4E10+5%2F32-Inch+Hex+Key%2C+Journeyman+T-Handle%2C+4-Inch&amp;qid=1695174219&amp;sr=8-6</v>
      </c>
      <c r="F5048" t="s">
        <v>3164</v>
      </c>
      <c r="G5048" t="e">
        <f ca="1">_xludf.IMAGE("https://edmondsonsupply.com/cdn/shop/products/jth4e17_ce261606-f524-49c5-9cd5-8c9f52dd1e03.jpg?v=1645565342")</f>
        <v>#NAME?</v>
      </c>
      <c r="H5048" t="e">
        <f ca="1">_xludf.IMAGE("https://m.media-amazon.com/images/I/51Yb8h41vLL._AC_UL320_.jpg")</f>
        <v>#NAME?</v>
      </c>
      <c r="I5048" t="s">
        <v>6444</v>
      </c>
      <c r="J5048">
        <v>7.44</v>
      </c>
      <c r="K5048" s="4">
        <v>0.86470000000000002</v>
      </c>
      <c r="L5048">
        <v>4.8</v>
      </c>
      <c r="M5048">
        <v>114</v>
      </c>
      <c r="O5048" t="s">
        <v>25</v>
      </c>
      <c r="P5048" t="s">
        <v>2044</v>
      </c>
      <c r="Q5048" t="s">
        <v>6803</v>
      </c>
    </row>
    <row r="5049" spans="1:17" ht="15.5" x14ac:dyDescent="0.35">
      <c r="A5049"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5049"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5049" t="s">
        <v>6443</v>
      </c>
      <c r="D5049" t="s">
        <v>3163</v>
      </c>
      <c r="E5049" s="3" t="str">
        <f>HYPERLINK("https://www.amazon.com/Journeyman-T-Handle-Klein-Tools-JTH9E14/dp/B004QVAH4I/ref=sr_1_6?keywords=Klein+Tools+JTH4E06+3%2F32-Inch+Hex+Key%2C+Journeyman+T-Handle%2C+4-Inch&amp;qid=1695174228&amp;sr=8-6", "https://www.amazon.com/Journeyman-T-Handle-Klein-Tools-JTH9E14/dp/B004QVAH4I/ref=sr_1_6?keywords=Klein+Tools+JTH4E06+3%2F32-Inch+Hex+Key%2C+Journeyman+T-Handle%2C+4-Inch&amp;qid=1695174228&amp;sr=8-6")</f>
        <v>https://www.amazon.com/Journeyman-T-Handle-Klein-Tools-JTH9E14/dp/B004QVAH4I/ref=sr_1_6?keywords=Klein+Tools+JTH4E06+3%2F32-Inch+Hex+Key%2C+Journeyman+T-Handle%2C+4-Inch&amp;qid=1695174228&amp;sr=8-6</v>
      </c>
      <c r="F5049" t="s">
        <v>3164</v>
      </c>
      <c r="G5049" t="e">
        <f ca="1">_xludf.IMAGE("https://edmondsonsupply.com/cdn/shop/products/jth4e06.jpg?v=1635112029")</f>
        <v>#NAME?</v>
      </c>
      <c r="H5049" t="e">
        <f ca="1">_xludf.IMAGE("https://m.media-amazon.com/images/I/51Yb8h41vLL._AC_UL320_.jpg")</f>
        <v>#NAME?</v>
      </c>
      <c r="I5049" t="s">
        <v>6444</v>
      </c>
      <c r="J5049">
        <v>7.44</v>
      </c>
      <c r="K5049" s="4">
        <v>0.86470000000000002</v>
      </c>
      <c r="L5049">
        <v>4.8</v>
      </c>
      <c r="M5049">
        <v>114</v>
      </c>
      <c r="O5049" t="s">
        <v>25</v>
      </c>
      <c r="P5049" t="s">
        <v>2044</v>
      </c>
      <c r="Q5049" t="s">
        <v>6445</v>
      </c>
    </row>
    <row r="5050" spans="1:17" ht="15.5" x14ac:dyDescent="0.35">
      <c r="A5050" s="3" t="str">
        <f>HYPERLINK("https://edmondsonsupply.com/collections/electricians-tools/products/klein-tools-jth9e14-5-16-inch-hex-key-journeyman%E2%84%A2-t-handle-9-inch", "https://edmondsonsupply.com/collections/electricians-tools/products/klein-tools-jth9e14-5-16-inch-hex-key-journeyman%E2%84%A2-t-handle-9-inch")</f>
        <v>https://edmondsonsupply.com/collections/electricians-tools/products/klein-tools-jth9e14-5-16-inch-hex-key-journeyman%E2%84%A2-t-handle-9-inch</v>
      </c>
      <c r="B5050" s="3" t="str">
        <f>HYPERLINK("https://edmondsonsupply.com/products/klein-tools-jth9e14-5-16-inch-hex-key-journeyman%e2%84%a2-t-handle-9-inch", "https://edmondsonsupply.com/products/klein-tools-jth9e14-5-16-inch-hex-key-journeyman%e2%84%a2-t-handle-9-inch")</f>
        <v>https://edmondsonsupply.com/products/klein-tools-jth9e14-5-16-inch-hex-key-journeyman%e2%84%a2-t-handle-9-inch</v>
      </c>
      <c r="C5050" t="s">
        <v>6804</v>
      </c>
      <c r="D5050" t="s">
        <v>2368</v>
      </c>
      <c r="E5050" s="3" t="str">
        <f>HYPERLINK("https://www.amazon.com/Klein-Tools-JTH9E14-Journeyman-T-Handle/dp/B0CF2VDSX2/ref=sr_1_2?keywords=Klein+Tools+JTH9E14+5%2F16-Inch+Hex+Key%2C+Journeyman%E2%84%A2+T-Handle%2C+9-Inch&amp;qid=1695174141&amp;sr=8-2", "https://www.amazon.com/Klein-Tools-JTH9E14-Journeyman-T-Handle/dp/B0CF2VDSX2/ref=sr_1_2?keywords=Klein+Tools+JTH9E14+5%2F16-Inch+Hex+Key%2C+Journeyman%E2%84%A2+T-Handle%2C+9-Inch&amp;qid=1695174141&amp;sr=8-2")</f>
        <v>https://www.amazon.com/Klein-Tools-JTH9E14-Journeyman-T-Handle/dp/B0CF2VDSX2/ref=sr_1_2?keywords=Klein+Tools+JTH9E14+5%2F16-Inch+Hex+Key%2C+Journeyman%E2%84%A2+T-Handle%2C+9-Inch&amp;qid=1695174141&amp;sr=8-2</v>
      </c>
      <c r="F5050" t="s">
        <v>2369</v>
      </c>
      <c r="G5050" t="e">
        <f ca="1">_xludf.IMAGE("https://edmondsonsupply.com/cdn/shop/products/jth6e15_f4984146-222a-4a1f-9fb4-94d2ee6d0a9d.jpg?v=1665597420")</f>
        <v>#NAME?</v>
      </c>
      <c r="H5050" t="e">
        <f ca="1">_xludf.IMAGE("https://m.media-amazon.com/images/I/317IAARii7L._AC_UL320_.jpg")</f>
        <v>#NAME?</v>
      </c>
      <c r="I5050" t="s">
        <v>1003</v>
      </c>
      <c r="J5050">
        <v>14.88</v>
      </c>
      <c r="K5050" s="4">
        <v>0.86229999999999996</v>
      </c>
      <c r="L5050">
        <v>4.5999999999999996</v>
      </c>
      <c r="M5050">
        <v>393</v>
      </c>
      <c r="O5050" t="s">
        <v>25</v>
      </c>
      <c r="P5050" t="s">
        <v>6024</v>
      </c>
      <c r="Q5050" t="s">
        <v>6805</v>
      </c>
    </row>
    <row r="5051" spans="1:17" ht="15.5" x14ac:dyDescent="0.35">
      <c r="A5051" s="3" t="str">
        <f>HYPERLINK("https://edmondsonsupply.com/collections/electricians-tools/products/klein-tools-j12098-8-journeyman-high-leverage-universal-combination-pliers", "https://edmondsonsupply.com/collections/electricians-tools/products/klein-tools-j12098-8-journeyman-high-leverage-universal-combination-pliers")</f>
        <v>https://edmondsonsupply.com/collections/electricians-tools/products/klein-tools-j12098-8-journeyman-high-leverage-universal-combination-pliers</v>
      </c>
      <c r="B5051" s="3" t="str">
        <f>HYPERLINK("https://edmondsonsupply.com/products/klein-tools-j12098-8-journeyman-high-leverage-universal-combination-pliers", "https://edmondsonsupply.com/products/klein-tools-j12098-8-journeyman-high-leverage-universal-combination-pliers")</f>
        <v>https://edmondsonsupply.com/products/klein-tools-j12098-8-journeyman-high-leverage-universal-combination-pliers</v>
      </c>
      <c r="C5051" t="s">
        <v>2611</v>
      </c>
      <c r="D5051" t="s">
        <v>2612</v>
      </c>
      <c r="E5051" s="3" t="str">
        <f>HYPERLINK("https://www.amazon.com/Insulated-Combination-Klein-Tools-12098-INS/dp/B0002RI4V8/ref=sr_1_3?keywords=Klein+Tools+J12098+Journeyman+Universal+Combination+Pliers&amp;qid=1695173909&amp;sr=8-3", "https://www.amazon.com/Insulated-Combination-Klein-Tools-12098-INS/dp/B0002RI4V8/ref=sr_1_3?keywords=Klein+Tools+J12098+Journeyman+Universal+Combination+Pliers&amp;qid=1695173909&amp;sr=8-3")</f>
        <v>https://www.amazon.com/Insulated-Combination-Klein-Tools-12098-INS/dp/B0002RI4V8/ref=sr_1_3?keywords=Klein+Tools+J12098+Journeyman+Universal+Combination+Pliers&amp;qid=1695173909&amp;sr=8-3</v>
      </c>
      <c r="F5051" t="s">
        <v>2613</v>
      </c>
      <c r="G5051" t="e">
        <f ca="1">_xludf.IMAGE("https://edmondsonsupply.com/cdn/shop/products/j12098.jpg?v=1587142847")</f>
        <v>#NAME?</v>
      </c>
      <c r="H5051" t="e">
        <f ca="1">_xludf.IMAGE("https://m.media-amazon.com/images/I/51I3JjFrgcL._AC_UL320_.jpg")</f>
        <v>#NAME?</v>
      </c>
      <c r="I5051" t="s">
        <v>571</v>
      </c>
      <c r="J5051">
        <v>64.989999999999995</v>
      </c>
      <c r="K5051" s="4">
        <v>0.85740000000000005</v>
      </c>
      <c r="L5051">
        <v>5</v>
      </c>
      <c r="M5051">
        <v>10</v>
      </c>
      <c r="O5051" t="s">
        <v>25</v>
      </c>
      <c r="P5051" t="s">
        <v>2614</v>
      </c>
      <c r="Q5051" t="s">
        <v>2615</v>
      </c>
    </row>
    <row r="5052" spans="1:17" ht="15.5" x14ac:dyDescent="0.35">
      <c r="A5052" s="3" t="str">
        <f>HYPERLINK("https://edmondsonsupply.com/collections/electricians-tools/products/crescent-tools-cx6dbs2-2-pc-x6%E2%84%A2-4-in-1-black-oxide-spline-ratcheting-sae-wrench-set", "https://edmondsonsupply.com/collections/electricians-tools/products/crescent-tools-cx6dbs2-2-pc-x6%E2%84%A2-4-in-1-black-oxide-spline-ratcheting-sae-wrench-set")</f>
        <v>https://edmondsonsupply.com/collections/electricians-tools/products/crescent-tools-cx6dbs2-2-pc-x6%E2%84%A2-4-in-1-black-oxide-spline-ratcheting-sae-wrench-set</v>
      </c>
      <c r="B5052" s="3" t="str">
        <f>HYPERLINK("https://edmondsonsupply.com/products/crescent-tools-cx6dbs2-2-pc-x6%e2%84%a2-4-in-1-black-oxide-spline-ratcheting-sae-wrench-set", "https://edmondsonsupply.com/products/crescent-tools-cx6dbs2-2-pc-x6%e2%84%a2-4-in-1-black-oxide-spline-ratcheting-sae-wrench-set")</f>
        <v>https://edmondsonsupply.com/products/crescent-tools-cx6dbs2-2-pc-x6%e2%84%a2-4-in-1-black-oxide-spline-ratcheting-sae-wrench-set</v>
      </c>
      <c r="C5052" t="s">
        <v>6806</v>
      </c>
      <c r="D5052" t="s">
        <v>6807</v>
      </c>
      <c r="E5052" s="3" t="str">
        <f>HYPERLINK("https://www.amazon.com/Crescent-Black-Spline-Ratcheting-Wrench/dp/B0886TQZTW/ref=sr_1_2?keywords=Crescent+Tools+CX6DBS2+2+Pc.+X6%E2%84%A2+4-in-1+Black+Oxide+Spline+Ratcheting+SAE+Wrench+Set&amp;qid=1695174022&amp;sr=8-2", "https://www.amazon.com/Crescent-Black-Spline-Ratcheting-Wrench/dp/B0886TQZTW/ref=sr_1_2?keywords=Crescent+Tools+CX6DBS2+2+Pc.+X6%E2%84%A2+4-in-1+Black+Oxide+Spline+Ratcheting+SAE+Wrench+Set&amp;qid=1695174022&amp;sr=8-2")</f>
        <v>https://www.amazon.com/Crescent-Black-Spline-Ratcheting-Wrench/dp/B0886TQZTW/ref=sr_1_2?keywords=Crescent+Tools+CX6DBS2+2+Pc.+X6%E2%84%A2+4-in-1+Black+Oxide+Spline+Ratcheting+SAE+Wrench+Set&amp;qid=1695174022&amp;sr=8-2</v>
      </c>
      <c r="F5052" t="s">
        <v>6808</v>
      </c>
      <c r="G5052" t="e">
        <f ca="1">_xludf.IMAGE("https://edmondsonsupply.com/cdn/shop/products/CRS_CX6DBS2_FRNT_MAIN.jpg?v=1681319485")</f>
        <v>#NAME?</v>
      </c>
      <c r="H5052" t="e">
        <f ca="1">_xludf.IMAGE("https://m.media-amazon.com/images/I/61StFxPJl+L._AC_UL320_.jpg")</f>
        <v>#NAME?</v>
      </c>
      <c r="I5052" t="s">
        <v>6809</v>
      </c>
      <c r="J5052">
        <v>63.08</v>
      </c>
      <c r="K5052" s="4">
        <v>0.85640000000000005</v>
      </c>
      <c r="L5052">
        <v>4.5</v>
      </c>
      <c r="M5052">
        <v>7</v>
      </c>
      <c r="O5052" t="s">
        <v>25</v>
      </c>
      <c r="P5052" t="s">
        <v>6810</v>
      </c>
      <c r="Q5052" t="s">
        <v>6811</v>
      </c>
    </row>
    <row r="5053" spans="1:17" ht="15.5" x14ac:dyDescent="0.35">
      <c r="A5053"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5053"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5053" t="s">
        <v>6812</v>
      </c>
      <c r="D5053" t="s">
        <v>6775</v>
      </c>
      <c r="E5053" s="3" t="str">
        <f>HYPERLINK("https://www.amazon.com/Insulated-Screwdriver-Klein-Tools-601-4-INS/dp/B000LEBVIK/ref=sr_1_4?keywords=Klein+Tools+6824INS+Insulated+Screwdriver%2C+1%2F4-Inch+Cabinet+Tip%2C+4-Inch+Round+Shank&amp;qid=1695174148&amp;sr=8-4", "https://www.amazon.com/Insulated-Screwdriver-Klein-Tools-601-4-INS/dp/B000LEBVIK/ref=sr_1_4?keywords=Klein+Tools+6824INS+Insulated+Screwdriver%2C+1%2F4-Inch+Cabinet+Tip%2C+4-Inch+Round+Shank&amp;qid=1695174148&amp;sr=8-4")</f>
        <v>https://www.amazon.com/Insulated-Screwdriver-Klein-Tools-601-4-INS/dp/B000LEBVIK/ref=sr_1_4?keywords=Klein+Tools+6824INS+Insulated+Screwdriver%2C+1%2F4-Inch+Cabinet+Tip%2C+4-Inch+Round+Shank&amp;qid=1695174148&amp;sr=8-4</v>
      </c>
      <c r="F5053" t="s">
        <v>6776</v>
      </c>
      <c r="G5053" t="e">
        <f ca="1">_xludf.IMAGE("https://edmondsonsupply.com/cdn/shop/products/6824ins.jpg?v=1664813487")</f>
        <v>#NAME?</v>
      </c>
      <c r="H5053" t="e">
        <f ca="1">_xludf.IMAGE("https://m.media-amazon.com/images/I/41SIcZZiIAL._AC_UL320_.jpg")</f>
        <v>#NAME?</v>
      </c>
      <c r="I5053" t="s">
        <v>1427</v>
      </c>
      <c r="J5053">
        <v>18.489999999999998</v>
      </c>
      <c r="K5053" s="4">
        <v>0.85460000000000003</v>
      </c>
      <c r="L5053">
        <v>4.8</v>
      </c>
      <c r="M5053">
        <v>1064</v>
      </c>
      <c r="O5053" t="s">
        <v>25</v>
      </c>
      <c r="P5053" t="s">
        <v>6813</v>
      </c>
      <c r="Q5053" t="s">
        <v>6814</v>
      </c>
    </row>
    <row r="5054" spans="1:17" ht="15.5" x14ac:dyDescent="0.35">
      <c r="A5054" s="3" t="str">
        <f>HYPERLINK("https://edmondsonsupply.com/collections/electricians-tools/products/klein-tools-5183-tradesman-pro%E2%84%A2-drill-pouch", "https://edmondsonsupply.com/collections/electricians-tools/products/klein-tools-5183-tradesman-pro%E2%84%A2-drill-pouch")</f>
        <v>https://edmondsonsupply.com/collections/electricians-tools/products/klein-tools-5183-tradesman-pro%E2%84%A2-drill-pouch</v>
      </c>
      <c r="B5054" s="3" t="str">
        <f>HYPERLINK("https://edmondsonsupply.com/products/klein-tools-5183-tradesman-pro%e2%84%a2-drill-pouch", "https://edmondsonsupply.com/products/klein-tools-5183-tradesman-pro%e2%84%a2-drill-pouch")</f>
        <v>https://edmondsonsupply.com/products/klein-tools-5183-tradesman-pro%e2%84%a2-drill-pouch</v>
      </c>
      <c r="C5054" t="s">
        <v>359</v>
      </c>
      <c r="D5054" t="s">
        <v>360</v>
      </c>
      <c r="E5054" s="3" t="str">
        <f>HYPERLINK("https://www.amazon.com/Klein-Tools-Tradesman-Ballistic-Holster/dp/B0BHVQDH94/ref=sr_1_2?keywords=Klein+Tools+5183+Tool+Bag%2C+Tradesman+Pro%E2%84%A2+Drill+Pouch&amp;qid=1695173941&amp;sr=8-2", "https://www.amazon.com/Klein-Tools-Tradesman-Ballistic-Holster/dp/B0BHVQDH94/ref=sr_1_2?keywords=Klein+Tools+5183+Tool+Bag%2C+Tradesman+Pro%E2%84%A2+Drill+Pouch&amp;qid=1695173941&amp;sr=8-2")</f>
        <v>https://www.amazon.com/Klein-Tools-Tradesman-Ballistic-Holster/dp/B0BHVQDH94/ref=sr_1_2?keywords=Klein+Tools+5183+Tool+Bag%2C+Tradesman+Pro%E2%84%A2+Drill+Pouch&amp;qid=1695173941&amp;sr=8-2</v>
      </c>
      <c r="F5054" t="s">
        <v>361</v>
      </c>
      <c r="G5054" t="e">
        <f ca="1">_xludf.IMAGE("https://edmondsonsupply.com/cdn/shop/products/5183.jpg?v=1587145505")</f>
        <v>#NAME?</v>
      </c>
      <c r="H5054" t="e">
        <f ca="1">_xludf.IMAGE("https://m.media-amazon.com/images/I/41StAVR6AeL._AC_UL320_.jpg")</f>
        <v>#NAME?</v>
      </c>
      <c r="I5054" t="s">
        <v>362</v>
      </c>
      <c r="J5054">
        <v>47.98</v>
      </c>
      <c r="K5054" s="4">
        <v>0.84609999999999996</v>
      </c>
      <c r="L5054">
        <v>3</v>
      </c>
      <c r="M5054">
        <v>1</v>
      </c>
      <c r="O5054" t="s">
        <v>25</v>
      </c>
      <c r="P5054" t="s">
        <v>363</v>
      </c>
      <c r="Q5054" t="s">
        <v>364</v>
      </c>
    </row>
    <row r="5055" spans="1:17" ht="15.5" x14ac:dyDescent="0.35">
      <c r="A5055"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5055" s="3" t="str">
        <f>HYPERLINK("https://edmondsonsupply.com/products/klein-tools-jth4e17-1-2-inch-hex-key-journeyman-t-handle-4-inch", "https://edmondsonsupply.com/products/klein-tools-jth4e17-1-2-inch-hex-key-journeyman-t-handle-4-inch")</f>
        <v>https://edmondsonsupply.com/products/klein-tools-jth4e17-1-2-inch-hex-key-journeyman-t-handle-4-inch</v>
      </c>
      <c r="C5055" t="s">
        <v>2385</v>
      </c>
      <c r="D5055" t="s">
        <v>2633</v>
      </c>
      <c r="E5055" s="3" t="str">
        <f>HYPERLINK("https://www.amazon.com/Journeyman-T-Handle-Klein-Tools-JTH9M5/dp/B005G3HJDW/ref=sr_1_8?keywords=Klein+Tools+JTH4E11+3%2F16-Inch+Hex+Key+with+Journeyman+T-Handle%2C+4-Inch&amp;qid=1695173897&amp;sr=8-8", "https://www.amazon.com/Journeyman-T-Handle-Klein-Tools-JTH9M5/dp/B005G3HJDW/ref=sr_1_8?keywords=Klein+Tools+JTH4E11+3%2F16-Inch+Hex+Key+with+Journeyman+T-Handle%2C+4-Inch&amp;qid=1695173897&amp;sr=8-8")</f>
        <v>https://www.amazon.com/Journeyman-T-Handle-Klein-Tools-JTH9M5/dp/B005G3HJDW/ref=sr_1_8?keywords=Klein+Tools+JTH4E11+3%2F16-Inch+Hex+Key+with+Journeyman+T-Handle%2C+4-Inch&amp;qid=1695173897&amp;sr=8-8</v>
      </c>
      <c r="F5055" t="s">
        <v>2634</v>
      </c>
      <c r="G5055" t="e">
        <f ca="1">_xludf.IMAGE("https://edmondsonsupply.com/cdn/shop/products/jth4e17.jpg?v=1587144836")</f>
        <v>#NAME?</v>
      </c>
      <c r="H5055" t="e">
        <f ca="1">_xludf.IMAGE("https://m.media-amazon.com/images/I/51O91N8K8wL._AC_UL320_.jpg")</f>
        <v>#NAME?</v>
      </c>
      <c r="I5055" t="s">
        <v>2388</v>
      </c>
      <c r="J5055">
        <v>9.1999999999999993</v>
      </c>
      <c r="K5055" s="4">
        <v>0.84370000000000001</v>
      </c>
      <c r="L5055">
        <v>4.7</v>
      </c>
      <c r="M5055">
        <v>160</v>
      </c>
      <c r="O5055" t="s">
        <v>25</v>
      </c>
      <c r="P5055" t="s">
        <v>2389</v>
      </c>
      <c r="Q5055" t="s">
        <v>2390</v>
      </c>
    </row>
    <row r="5056" spans="1:17" ht="15.5" x14ac:dyDescent="0.35">
      <c r="A5056"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5056" s="3" t="str">
        <f>HYPERLINK("https://edmondsonsupply.com/products/klein-tools-jth9m5-5-mm-hex-key-journeyman-t-handle-9-inch", "https://edmondsonsupply.com/products/klein-tools-jth9m5-5-mm-hex-key-journeyman-t-handle-9-inch")</f>
        <v>https://edmondsonsupply.com/products/klein-tools-jth9m5-5-mm-hex-key-journeyman-t-handle-9-inch</v>
      </c>
      <c r="C5056" t="s">
        <v>6167</v>
      </c>
      <c r="D5056" t="s">
        <v>2633</v>
      </c>
      <c r="E5056" s="3" t="str">
        <f>HYPERLINK("https://www.amazon.com/Journeyman-T-Handle-Klein-Tools-JTH9M5/dp/B005G3HJDW/ref=sr_1_1?keywords=Klein+Tools+JTH9M5+5+mm+Hex+Key%2C+Journeyman+T-Handle+9-Inch&amp;qid=1695174264&amp;sr=8-1", "https://www.amazon.com/Journeyman-T-Handle-Klein-Tools-JTH9M5/dp/B005G3HJDW/ref=sr_1_1?keywords=Klein+Tools+JTH9M5+5+mm+Hex+Key%2C+Journeyman+T-Handle+9-Inch&amp;qid=1695174264&amp;sr=8-1")</f>
        <v>https://www.amazon.com/Journeyman-T-Handle-Klein-Tools-JTH9M5/dp/B005G3HJDW/ref=sr_1_1?keywords=Klein+Tools+JTH9M5+5+mm+Hex+Key%2C+Journeyman+T-Handle+9-Inch&amp;qid=1695174264&amp;sr=8-1</v>
      </c>
      <c r="F5056" t="s">
        <v>2634</v>
      </c>
      <c r="G5056" t="e">
        <f ca="1">_xludf.IMAGE("https://edmondsonsupply.com/cdn/shop/products/jth9m_84ad507b-889a-4b5c-80a2-9633c898cd48.jpg?v=1633031048")</f>
        <v>#NAME?</v>
      </c>
      <c r="H5056" t="e">
        <f ca="1">_xludf.IMAGE("https://m.media-amazon.com/images/I/51O91N8K8wL._AC_UL320_.jpg")</f>
        <v>#NAME?</v>
      </c>
      <c r="I5056" t="s">
        <v>2388</v>
      </c>
      <c r="J5056">
        <v>9.1999999999999993</v>
      </c>
      <c r="K5056" s="4">
        <v>0.84370000000000001</v>
      </c>
      <c r="L5056">
        <v>4.7</v>
      </c>
      <c r="M5056">
        <v>160</v>
      </c>
      <c r="O5056" t="s">
        <v>25</v>
      </c>
      <c r="P5056" t="s">
        <v>6168</v>
      </c>
      <c r="Q5056" t="s">
        <v>6169</v>
      </c>
    </row>
    <row r="5057" spans="1:17" ht="15.5" x14ac:dyDescent="0.35">
      <c r="A5057"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5057"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5057" t="s">
        <v>6059</v>
      </c>
      <c r="D5057" t="s">
        <v>6815</v>
      </c>
      <c r="E5057" s="3" t="str">
        <f>HYPERLINK("https://www.amazon.com/Komelon-7125IE-Engineer-Measuring-Magnetic/dp/B0013L8E8U/ref=sr_1_4?keywords=Komelon+7325+25%27+X+1%22+MagGrip%E2%84%A2+SpeedMark%E2%84%A2%2C+Magnetic+Tape+Measure&amp;qid=1695174274&amp;sr=8-4", "https://www.amazon.com/Komelon-7125IE-Engineer-Measuring-Magnetic/dp/B0013L8E8U/ref=sr_1_4?keywords=Komelon+7325+25%27+X+1%22+MagGrip%E2%84%A2+SpeedMark%E2%84%A2%2C+Magnetic+Tape+Measure&amp;qid=1695174274&amp;sr=8-4")</f>
        <v>https://www.amazon.com/Komelon-7125IE-Engineer-Measuring-Magnetic/dp/B0013L8E8U/ref=sr_1_4?keywords=Komelon+7325+25%27+X+1%22+MagGrip%E2%84%A2+SpeedMark%E2%84%A2%2C+Magnetic+Tape+Measure&amp;qid=1695174274&amp;sr=8-4</v>
      </c>
      <c r="F5057" t="s">
        <v>6816</v>
      </c>
      <c r="G5057" t="e">
        <f ca="1">_xludf.IMAGE("https://edmondsonsupply.com/cdn/shop/products/7325_angleExtended.jpg?v=1633030981")</f>
        <v>#NAME?</v>
      </c>
      <c r="H5057" t="e">
        <f ca="1">_xludf.IMAGE("https://m.media-amazon.com/images/I/81rg3hEgjpL._AC_UL320_.jpg")</f>
        <v>#NAME?</v>
      </c>
      <c r="I5057" t="s">
        <v>288</v>
      </c>
      <c r="J5057">
        <v>25.7</v>
      </c>
      <c r="K5057" s="4">
        <v>0.83699999999999997</v>
      </c>
      <c r="L5057">
        <v>4.5999999999999996</v>
      </c>
      <c r="M5057">
        <v>1534</v>
      </c>
      <c r="O5057" t="s">
        <v>25</v>
      </c>
      <c r="P5057" t="s">
        <v>138</v>
      </c>
      <c r="Q5057" t="s">
        <v>6062</v>
      </c>
    </row>
    <row r="5058" spans="1:17" ht="15.5" x14ac:dyDescent="0.35">
      <c r="A5058"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5058" s="3" t="str">
        <f>HYPERLINK("https://edmondsonsupply.com/products/klein-tools-635-1-4-1-4-inch-nut-driver-magnetic-tip-4-inch-shaft", "https://edmondsonsupply.com/products/klein-tools-635-1-4-1-4-inch-nut-driver-magnetic-tip-4-inch-shaft")</f>
        <v>https://edmondsonsupply.com/products/klein-tools-635-1-4-1-4-inch-nut-driver-magnetic-tip-4-inch-shaft</v>
      </c>
      <c r="C5058" t="s">
        <v>6817</v>
      </c>
      <c r="D5058" t="s">
        <v>2021</v>
      </c>
      <c r="E5058" s="3" t="str">
        <f>HYPERLINK("https://www.amazon.com/Insulated-Klein-Tools-646-1-4-INS/dp/B000MKMH5O/ref=sr_1_6?keywords=Klein+Tools+635-1%2F4+1%2F4-Inch+Nut+Driver%2C+Magnetic+Tip%2C+4-Inch+Shaft&amp;qid=1695174156&amp;sr=8-6", "https://www.amazon.com/Insulated-Klein-Tools-646-1-4-INS/dp/B000MKMH5O/ref=sr_1_6?keywords=Klein+Tools+635-1%2F4+1%2F4-Inch+Nut+Driver%2C+Magnetic+Tip%2C+4-Inch+Shaft&amp;qid=1695174156&amp;sr=8-6")</f>
        <v>https://www.amazon.com/Insulated-Klein-Tools-646-1-4-INS/dp/B000MKMH5O/ref=sr_1_6?keywords=Klein+Tools+635-1%2F4+1%2F4-Inch+Nut+Driver%2C+Magnetic+Tip%2C+4-Inch+Shaft&amp;qid=1695174156&amp;sr=8-6</v>
      </c>
      <c r="F5058" t="s">
        <v>2022</v>
      </c>
      <c r="G5058" t="e">
        <f ca="1">_xludf.IMAGE("https://edmondsonsupply.com/cdn/shop/products/635-1-4.jpg?v=1666811523")</f>
        <v>#NAME?</v>
      </c>
      <c r="H5058" t="e">
        <f ca="1">_xludf.IMAGE("https://m.media-amazon.com/images/I/41Nr0vSgHCL._AC_UL320_.jpg")</f>
        <v>#NAME?</v>
      </c>
      <c r="I5058" t="s">
        <v>2337</v>
      </c>
      <c r="J5058">
        <v>22.02</v>
      </c>
      <c r="K5058" s="4">
        <v>0.83650000000000002</v>
      </c>
      <c r="L5058">
        <v>4.7</v>
      </c>
      <c r="M5058">
        <v>274</v>
      </c>
      <c r="O5058" t="s">
        <v>25</v>
      </c>
      <c r="P5058" t="s">
        <v>1212</v>
      </c>
      <c r="Q5058" t="s">
        <v>6818</v>
      </c>
    </row>
    <row r="5059" spans="1:17" ht="15.5" x14ac:dyDescent="0.35">
      <c r="A5059"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5059" s="3" t="str">
        <f>HYPERLINK("https://edmondsonsupply.com/products/klein-tools-65064-2-in-1-hex-head-screwdriver-1-4-5-16", "https://edmondsonsupply.com/products/klein-tools-65064-2-in-1-hex-head-screwdriver-1-4-5-16")</f>
        <v>https://edmondsonsupply.com/products/klein-tools-65064-2-in-1-hex-head-screwdriver-1-4-5-16</v>
      </c>
      <c r="C5059" t="s">
        <v>2093</v>
      </c>
      <c r="D5059" t="s">
        <v>2635</v>
      </c>
      <c r="E5059" s="3" t="str">
        <f>HYPERLINK("https://www.amazon.com/Melnor-65173AMZ-RelaxGrip-Pattern-Pivoting/dp/B0C6QZGPMM/ref=sr_1_2?keywords=Klein+Tools+65064+2-in-1+Nut+Driver%2C+Hex+Head%2C+1%2F4-Inch+and+5%2F16-Inch&amp;qid=1695173915&amp;sr=8-2", "https://www.amazon.com/Melnor-65173AMZ-RelaxGrip-Pattern-Pivoting/dp/B0C6QZGPMM/ref=sr_1_2?keywords=Klein+Tools+65064+2-in-1+Nut+Driver%2C+Hex+Head%2C+1%2F4-Inch+and+5%2F16-Inch&amp;qid=1695173915&amp;sr=8-2")</f>
        <v>https://www.amazon.com/Melnor-65173AMZ-RelaxGrip-Pattern-Pivoting/dp/B0C6QZGPMM/ref=sr_1_2?keywords=Klein+Tools+65064+2-in-1+Nut+Driver%2C+Hex+Head%2C+1%2F4-Inch+and+5%2F16-Inch&amp;qid=1695173915&amp;sr=8-2</v>
      </c>
      <c r="F5059" t="s">
        <v>2636</v>
      </c>
      <c r="G5059" t="e">
        <f ca="1">_xludf.IMAGE("https://edmondsonsupply.com/cdn/shop/products/65064.jpg?v=1587147719")</f>
        <v>#NAME?</v>
      </c>
      <c r="H5059" t="e">
        <f ca="1">_xludf.IMAGE("https://m.media-amazon.com/images/I/41ISu9RCylL._AC_UL320_.jpg")</f>
        <v>#NAME?</v>
      </c>
      <c r="I5059" t="s">
        <v>143</v>
      </c>
      <c r="J5059">
        <v>29.3</v>
      </c>
      <c r="K5059" s="4">
        <v>0.8347</v>
      </c>
      <c r="L5059">
        <v>4.4000000000000004</v>
      </c>
      <c r="M5059">
        <v>324</v>
      </c>
      <c r="O5059" t="s">
        <v>25</v>
      </c>
      <c r="P5059" t="s">
        <v>2096</v>
      </c>
      <c r="Q5059" t="s">
        <v>2097</v>
      </c>
    </row>
    <row r="5060" spans="1:17" ht="15.5" x14ac:dyDescent="0.35">
      <c r="A5060" s="3" t="str">
        <f>HYPERLINK("https://edmondsonsupply.com/collections/electricians-tools/products/diablo-tools-dag", "https://edmondsonsupply.com/collections/electricians-tools/products/diablo-tools-dag")</f>
        <v>https://edmondsonsupply.com/collections/electricians-tools/products/diablo-tools-dag</v>
      </c>
      <c r="B5060" s="3" t="str">
        <f>HYPERLINK("https://edmondsonsupply.com/products/diablo-tools-dag", "https://edmondsonsupply.com/products/diablo-tools-dag")</f>
        <v>https://edmondsonsupply.com/products/diablo-tools-dag</v>
      </c>
      <c r="C5060" t="s">
        <v>6819</v>
      </c>
      <c r="D5060" t="s">
        <v>6820</v>
      </c>
      <c r="E5060" s="3" t="str">
        <f>HYPERLINK("https://www.amazon.com/Diablo-17-1-Auger-Bit/dp/B089LG8GYB/ref=sr_1_8?keywords=Diablo+Tools+DAG3010+3%2F8+in.+x+17-1%2F2+in.+Auger+Bit&amp;qid=1695174114&amp;sr=8-8", "https://www.amazon.com/Diablo-17-1-Auger-Bit/dp/B089LG8GYB/ref=sr_1_8?keywords=Diablo+Tools+DAG3010+3%2F8+in.+x+17-1%2F2+in.+Auger+Bit&amp;qid=1695174114&amp;sr=8-8")</f>
        <v>https://www.amazon.com/Diablo-17-1-Auger-Bit/dp/B089LG8GYB/ref=sr_1_8?keywords=Diablo+Tools+DAG3010+3%2F8+in.+x+17-1%2F2+in.+Auger+Bit&amp;qid=1695174114&amp;sr=8-8</v>
      </c>
      <c r="F5060" t="s">
        <v>6821</v>
      </c>
      <c r="G5060" t="e">
        <f ca="1">_xludf.IMAGE("https://edmondsonsupply.com/cdn/shop/products/xfctdbahz5wx3g461fm8.webp?v=1669991052")</f>
        <v>#NAME?</v>
      </c>
      <c r="H5060" t="e">
        <f ca="1">_xludf.IMAGE("https://m.media-amazon.com/images/I/61QXZJGNQTL._AC_UL320_.jpg")</f>
        <v>#NAME?</v>
      </c>
      <c r="I5060" t="s">
        <v>5147</v>
      </c>
      <c r="J5060">
        <v>31.99</v>
      </c>
      <c r="K5060" s="4">
        <v>0.83109999999999995</v>
      </c>
      <c r="L5060">
        <v>4.3</v>
      </c>
      <c r="M5060">
        <v>29</v>
      </c>
      <c r="O5060" t="s">
        <v>25</v>
      </c>
      <c r="P5060" t="s">
        <v>6822</v>
      </c>
      <c r="Q5060" t="s">
        <v>6823</v>
      </c>
    </row>
    <row r="5061" spans="1:17" ht="15.5" x14ac:dyDescent="0.35">
      <c r="A5061"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061"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061" t="s">
        <v>6824</v>
      </c>
      <c r="D5061" t="s">
        <v>6198</v>
      </c>
      <c r="E5061" s="3" t="str">
        <f>HYPERLINK("https://www.amazon.com/Klein-Tools-Electric-Integrated-Accessory/dp/B0C9999Y7J/ref=sr_1_5?keywords=Klein+Tools+ET310+Digital+Circuit+Breaker+Finder+with+GFCI+Outlet+Tester&amp;qid=1695173862&amp;sr=8-5", "https://www.amazon.com/Klein-Tools-Electric-Integrated-Accessory/dp/B0C9999Y7J/ref=sr_1_5?keywords=Klein+Tools+ET310+Digital+Circuit+Breaker+Finder+with+GFCI+Outlet+Tester&amp;qid=1695173862&amp;sr=8-5")</f>
        <v>https://www.amazon.com/Klein-Tools-Electric-Integrated-Accessory/dp/B0C9999Y7J/ref=sr_1_5?keywords=Klein+Tools+ET310+Digital+Circuit+Breaker+Finder+with+GFCI+Outlet+Tester&amp;qid=1695173862&amp;sr=8-5</v>
      </c>
      <c r="F5061" t="s">
        <v>6199</v>
      </c>
      <c r="G5061" t="e">
        <f ca="1">_xludf.IMAGE("https://edmondsonsupply.com/cdn/shop/products/et310_c.jpg?v=1646963918")</f>
        <v>#NAME?</v>
      </c>
      <c r="H5061" t="e">
        <f ca="1">_xludf.IMAGE("https://m.media-amazon.com/images/I/612+A-jAqtL._AC_UL320_.jpg")</f>
        <v>#NAME?</v>
      </c>
      <c r="I5061" t="s">
        <v>380</v>
      </c>
      <c r="J5061">
        <v>91.37</v>
      </c>
      <c r="K5061" s="4">
        <v>0.82850000000000001</v>
      </c>
      <c r="L5061">
        <v>4.7</v>
      </c>
      <c r="M5061">
        <v>7</v>
      </c>
      <c r="O5061" t="s">
        <v>25</v>
      </c>
      <c r="P5061" t="s">
        <v>6825</v>
      </c>
      <c r="Q5061" t="s">
        <v>6826</v>
      </c>
    </row>
    <row r="5062" spans="1:17" ht="15.5" x14ac:dyDescent="0.35">
      <c r="A5062" s="3" t="str">
        <f>HYPERLINK("https://edmondsonsupply.com/collections/electricians-tools/products/klein-tools-32752-double-sided-combo-replacement-bit-2-pack", "https://edmondsonsupply.com/collections/electricians-tools/products/klein-tools-32752-double-sided-combo-replacement-bit-2-pack")</f>
        <v>https://edmondsonsupply.com/collections/electricians-tools/products/klein-tools-32752-double-sided-combo-replacement-bit-2-pack</v>
      </c>
      <c r="B5062" s="3" t="str">
        <f>HYPERLINK("https://edmondsonsupply.com/products/klein-tools-32752-double-sided-combo-replacement-bit-2-pack", "https://edmondsonsupply.com/products/klein-tools-32752-double-sided-combo-replacement-bit-2-pack")</f>
        <v>https://edmondsonsupply.com/products/klein-tools-32752-double-sided-combo-replacement-bit-2-pack</v>
      </c>
      <c r="C5062" t="s">
        <v>2637</v>
      </c>
      <c r="D5062" t="s">
        <v>2637</v>
      </c>
      <c r="E5062" s="3" t="str">
        <f>HYPERLINK("https://www.amazon.com/Double-Replacement-2-Pack-Klein-Tools/dp/B00YJK0P5C/ref=sr_1_1?keywords=Klein+Tools+32752+Double+Sided+Combo+Replacement+Bit%2C+2-Pack&amp;qid=1695173894&amp;sr=8-1", "https://www.amazon.com/Double-Replacement-2-Pack-Klein-Tools/dp/B00YJK0P5C/ref=sr_1_1?keywords=Klein+Tools+32752+Double+Sided+Combo+Replacement+Bit%2C+2-Pack&amp;qid=1695173894&amp;sr=8-1")</f>
        <v>https://www.amazon.com/Double-Replacement-2-Pack-Klein-Tools/dp/B00YJK0P5C/ref=sr_1_1?keywords=Klein+Tools+32752+Double+Sided+Combo+Replacement+Bit%2C+2-Pack&amp;qid=1695173894&amp;sr=8-1</v>
      </c>
      <c r="F5062" t="s">
        <v>2638</v>
      </c>
      <c r="G5062" t="e">
        <f ca="1">_xludf.IMAGE("https://edmondsonsupply.com/cdn/shop/products/32752.jpg?v=1587145617")</f>
        <v>#NAME?</v>
      </c>
      <c r="H5062" t="e">
        <f ca="1">_xludf.IMAGE("https://m.media-amazon.com/images/I/41uttNmIAXL._AC_UL320_.jpg")</f>
        <v>#NAME?</v>
      </c>
      <c r="I5062" t="s">
        <v>2639</v>
      </c>
      <c r="J5062">
        <v>10.95</v>
      </c>
      <c r="K5062" s="4">
        <v>0.82799999999999996</v>
      </c>
      <c r="L5062">
        <v>4.5999999999999996</v>
      </c>
      <c r="M5062">
        <v>1114</v>
      </c>
      <c r="O5062" t="s">
        <v>25</v>
      </c>
      <c r="P5062" t="s">
        <v>2091</v>
      </c>
      <c r="Q5062" t="s">
        <v>2640</v>
      </c>
    </row>
    <row r="5063" spans="1:17" ht="15.5" x14ac:dyDescent="0.35">
      <c r="A5063"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5063"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5063" t="s">
        <v>6827</v>
      </c>
      <c r="D5063" t="s">
        <v>6828</v>
      </c>
      <c r="E5063" s="3" t="str">
        <f>HYPERLINK("https://www.amazon.com/Diablo-SDS-Max-4-Cutter-Carbide-Tipped-Hammer/dp/B089LN938F/ref=sr_1_6?keywords=Diablo+Tools+DMAMX1360+1-1%2F2+in.+x+16+in.+x+21+in.+Rebar+Demon%E2%84%A2+SDS-Max+4-Cutter+Carbide-Tipped+Hammer+Drill+Bit&amp;qid=1695174071&amp;sr=8-6", "https://www.amazon.com/Diablo-SDS-Max-4-Cutter-Carbide-Tipped-Hammer/dp/B089LN938F/ref=sr_1_6?keywords=Diablo+Tools+DMAMX1360+1-1%2F2+in.+x+16+in.+x+21+in.+Rebar+Demon%E2%84%A2+SDS-Max+4-Cutter+Carbide-Tipped+Hammer+Drill+Bit&amp;qid=1695174071&amp;sr=8-6")</f>
        <v>https://www.amazon.com/Diablo-SDS-Max-4-Cutter-Carbide-Tipped-Hammer/dp/B089LN938F/ref=sr_1_6?keywords=Diablo+Tools+DMAMX1360+1-1%2F2+in.+x+16+in.+x+21+in.+Rebar+Demon%E2%84%A2+SDS-Max+4-Cutter+Carbide-Tipped+Hammer+Drill+Bit&amp;qid=1695174071&amp;sr=8-6</v>
      </c>
      <c r="F5063" t="s">
        <v>6829</v>
      </c>
      <c r="G5063" t="e">
        <f ca="1">_xludf.IMAGE("https://edmondsonsupply.com/cdn/shop/products/z2umcsdaj3y4uvsfnxoh.webp?v=1677257156")</f>
        <v>#NAME?</v>
      </c>
      <c r="H5063" t="e">
        <f ca="1">_xludf.IMAGE("https://m.media-amazon.com/images/I/61V0w9ayfFL._AC_UL320_.jpg")</f>
        <v>#NAME?</v>
      </c>
      <c r="I5063" t="s">
        <v>6830</v>
      </c>
      <c r="J5063">
        <v>171.57</v>
      </c>
      <c r="K5063" s="4">
        <v>0.82769999999999999</v>
      </c>
      <c r="L5063">
        <v>5</v>
      </c>
      <c r="M5063">
        <v>2</v>
      </c>
      <c r="O5063" t="s">
        <v>25</v>
      </c>
      <c r="P5063" t="s">
        <v>6831</v>
      </c>
      <c r="Q5063" t="s">
        <v>6832</v>
      </c>
    </row>
    <row r="5064" spans="1:17" ht="15.5" x14ac:dyDescent="0.35">
      <c r="A5064"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5064" s="3" t="str">
        <f>HYPERLINK("https://edmondsonsupply.com/products/klein-tools-rt250-gfci-receptacle-tester-with-lcd", "https://edmondsonsupply.com/products/klein-tools-rt250-gfci-receptacle-tester-with-lcd")</f>
        <v>https://edmondsonsupply.com/products/klein-tools-rt250-gfci-receptacle-tester-with-lcd</v>
      </c>
      <c r="C5064" t="s">
        <v>6197</v>
      </c>
      <c r="D5064" t="s">
        <v>6833</v>
      </c>
      <c r="E5064" s="3" t="str">
        <f>HYPERLINK("https://www.amazon.com/Klein-Tools-Non-Contact-Receptacle-Electrical/dp/B09Y7XWBF8/ref=sr_1_10?keywords=Klein+Tools+RT250+GFCI+Receptacle+Tester+with+LCD&amp;qid=1695174176&amp;sr=8-10", "https://www.amazon.com/Klein-Tools-Non-Contact-Receptacle-Electrical/dp/B09Y7XWBF8/ref=sr_1_10?keywords=Klein+Tools+RT250+GFCI+Receptacle+Tester+with+LCD&amp;qid=1695174176&amp;sr=8-10")</f>
        <v>https://www.amazon.com/Klein-Tools-Non-Contact-Receptacle-Electrical/dp/B09Y7XWBF8/ref=sr_1_10?keywords=Klein+Tools+RT250+GFCI+Receptacle+Tester+with+LCD&amp;qid=1695174176&amp;sr=8-10</v>
      </c>
      <c r="F5064" t="s">
        <v>6834</v>
      </c>
      <c r="G5064" t="e">
        <f ca="1">_xludf.IMAGE("https://edmondsonsupply.com/cdn/shop/products/rt250_photo_c.jpg?v=1661363824")</f>
        <v>#NAME?</v>
      </c>
      <c r="H5064" t="e">
        <f ca="1">_xludf.IMAGE("https://m.media-amazon.com/images/I/51LNefsL0aL._AC_UL320_.jpg")</f>
        <v>#NAME?</v>
      </c>
      <c r="I5064" t="s">
        <v>2247</v>
      </c>
      <c r="J5064">
        <v>40.15</v>
      </c>
      <c r="K5064" s="4">
        <v>0.82750000000000001</v>
      </c>
      <c r="L5064">
        <v>3.9</v>
      </c>
      <c r="M5064">
        <v>8</v>
      </c>
      <c r="O5064" t="s">
        <v>25</v>
      </c>
      <c r="P5064" t="s">
        <v>6200</v>
      </c>
      <c r="Q5064" t="s">
        <v>6201</v>
      </c>
    </row>
    <row r="5065" spans="1:17" ht="15.5" x14ac:dyDescent="0.35">
      <c r="A5065"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5065" s="3" t="str">
        <f>HYPERLINK("https://edmondsonsupply.com/products/klein-tools-32900-7-in-1-impact-flip-socket-with-handle", "https://edmondsonsupply.com/products/klein-tools-32900-7-in-1-impact-flip-socket-with-handle")</f>
        <v>https://edmondsonsupply.com/products/klein-tools-32900-7-in-1-impact-flip-socket-with-handle</v>
      </c>
      <c r="C5065" t="s">
        <v>6184</v>
      </c>
      <c r="D5065" t="s">
        <v>6835</v>
      </c>
      <c r="E5065" s="3" t="str">
        <f>HYPERLINK("https://www.amazon.com/Klein-Tools-Impact-Adjustable-Screwdriver/dp/B0BGZPZCPF/ref=sr_1_3?keywords=Klein+Tools+32900+7-in-1+Impact+Flip+Socket+with+Handle&amp;qid=1695174143&amp;sr=8-3", "https://www.amazon.com/Klein-Tools-Impact-Adjustable-Screwdriver/dp/B0BGZPZCPF/ref=sr_1_3?keywords=Klein+Tools+32900+7-in-1+Impact+Flip+Socket+with+Handle&amp;qid=1695174143&amp;sr=8-3")</f>
        <v>https://www.amazon.com/Klein-Tools-Impact-Adjustable-Screwdriver/dp/B0BGZPZCPF/ref=sr_1_3?keywords=Klein+Tools+32900+7-in-1+Impact+Flip+Socket+with+Handle&amp;qid=1695174143&amp;sr=8-3</v>
      </c>
      <c r="F5065" t="s">
        <v>6836</v>
      </c>
      <c r="G5065" t="e">
        <f ca="1">_xludf.IMAGE("https://edmondsonsupply.com/cdn/shop/products/32900_b.jpg?v=1666024787")</f>
        <v>#NAME?</v>
      </c>
      <c r="H5065" t="e">
        <f ca="1">_xludf.IMAGE("https://m.media-amazon.com/images/I/417x0MgjU7L._AC_UL320_.jpg")</f>
        <v>#NAME?</v>
      </c>
      <c r="I5065" t="s">
        <v>824</v>
      </c>
      <c r="J5065">
        <v>54.74</v>
      </c>
      <c r="K5065" s="4">
        <v>0.82650000000000001</v>
      </c>
      <c r="L5065">
        <v>4.8</v>
      </c>
      <c r="M5065">
        <v>9</v>
      </c>
      <c r="O5065" t="s">
        <v>25</v>
      </c>
      <c r="P5065" t="s">
        <v>73</v>
      </c>
      <c r="Q5065" t="s">
        <v>6187</v>
      </c>
    </row>
    <row r="5066" spans="1:17" ht="15.5" x14ac:dyDescent="0.35">
      <c r="A5066" s="3" t="str">
        <f>HYPERLINK("https://edmondsonsupply.com/collections/electricians-tools/products/milwaukee-48-22-6625-compact-tape-measure-25ft", "https://edmondsonsupply.com/collections/electricians-tools/products/milwaukee-48-22-6625-compact-tape-measure-25ft")</f>
        <v>https://edmondsonsupply.com/collections/electricians-tools/products/milwaukee-48-22-6625-compact-tape-measure-25ft</v>
      </c>
      <c r="B5066" s="3" t="str">
        <f>HYPERLINK("https://edmondsonsupply.com/products/milwaukee-48-22-6625-compact-tape-measure-25ft", "https://edmondsonsupply.com/products/milwaukee-48-22-6625-compact-tape-measure-25ft")</f>
        <v>https://edmondsonsupply.com/products/milwaukee-48-22-6625-compact-tape-measure-25ft</v>
      </c>
      <c r="C5066" t="s">
        <v>6310</v>
      </c>
      <c r="D5066" t="s">
        <v>6837</v>
      </c>
      <c r="E5066" s="3" t="str">
        <f>HYPERLINK("https://www.amazon.com/Milwaukee-48-22-6625-Compact-Measure-2-Pack/dp/B07KQG1WW2/ref=sr_1_4?keywords=Milwaukee+48-22-6625+Compact+Tape+Measure%2C+25ft&amp;qid=1695174071&amp;sr=8-4", "https://www.amazon.com/Milwaukee-48-22-6625-Compact-Measure-2-Pack/dp/B07KQG1WW2/ref=sr_1_4?keywords=Milwaukee+48-22-6625+Compact+Tape+Measure%2C+25ft&amp;qid=1695174071&amp;sr=8-4")</f>
        <v>https://www.amazon.com/Milwaukee-48-22-6625-Compact-Measure-2-Pack/dp/B07KQG1WW2/ref=sr_1_4?keywords=Milwaukee+48-22-6625+Compact+Tape+Measure%2C+25ft&amp;qid=1695174071&amp;sr=8-4</v>
      </c>
      <c r="F5066" t="s">
        <v>6838</v>
      </c>
      <c r="G5066" t="e">
        <f ca="1">_xludf.IMAGE("https://edmondsonsupply.com/cdn/shop/products/48-22-6625_1.png?v=1675692460")</f>
        <v>#NAME?</v>
      </c>
      <c r="H5066" t="e">
        <f ca="1">_xludf.IMAGE("https://m.media-amazon.com/images/I/51+MaY-77gL._AC_UL320_.jpg")</f>
        <v>#NAME?</v>
      </c>
      <c r="I5066" t="s">
        <v>4985</v>
      </c>
      <c r="J5066">
        <v>30.97</v>
      </c>
      <c r="K5066" s="4">
        <v>0.82499999999999996</v>
      </c>
      <c r="L5066">
        <v>4.2</v>
      </c>
      <c r="M5066">
        <v>48</v>
      </c>
      <c r="O5066" t="s">
        <v>25</v>
      </c>
      <c r="P5066" t="s">
        <v>6313</v>
      </c>
      <c r="Q5066" t="s">
        <v>6314</v>
      </c>
    </row>
    <row r="5067" spans="1:17" ht="15.5" x14ac:dyDescent="0.35">
      <c r="A5067"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5067"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5067" t="s">
        <v>6225</v>
      </c>
      <c r="D5067" t="s">
        <v>3393</v>
      </c>
      <c r="E5067" s="3" t="str">
        <f>HYPERLINK("https://www.amazon.com/Journeyman-T-Handle-Klein-Tools-JTH6M4BE/dp/B005G3951G/ref=sr_1_8?keywords=Klein+Tools+JTH4E09+9%2F64-Inch+Hex+Key+Journeyman+T-Handle+4-Inch&amp;qid=1695174238&amp;sr=8-8", "https://www.amazon.com/Journeyman-T-Handle-Klein-Tools-JTH6M4BE/dp/B005G3951G/ref=sr_1_8?keywords=Klein+Tools+JTH4E09+9%2F64-Inch+Hex+Key+Journeyman+T-Handle+4-Inch&amp;qid=1695174238&amp;sr=8-8")</f>
        <v>https://www.amazon.com/Journeyman-T-Handle-Klein-Tools-JTH6M4BE/dp/B005G3951G/ref=sr_1_8?keywords=Klein+Tools+JTH4E09+9%2F64-Inch+Hex+Key+Journeyman+T-Handle+4-Inch&amp;qid=1695174238&amp;sr=8-8</v>
      </c>
      <c r="F5067" t="s">
        <v>3394</v>
      </c>
      <c r="G5067" t="e">
        <f ca="1">_xludf.IMAGE("https://edmondsonsupply.com/cdn/shop/products/jth4e06_be5118a6-2e9d-44f5-81ad-c027572dd2d3.jpg?v=1635981570")</f>
        <v>#NAME?</v>
      </c>
      <c r="H5067" t="e">
        <f ca="1">_xludf.IMAGE("https://m.media-amazon.com/images/I/51huXA+ij8L._AC_UL320_.jpg")</f>
        <v>#NAME?</v>
      </c>
      <c r="I5067" t="s">
        <v>6228</v>
      </c>
      <c r="J5067">
        <v>6.91</v>
      </c>
      <c r="K5067" s="4">
        <v>0.82320000000000004</v>
      </c>
      <c r="L5067">
        <v>4.8</v>
      </c>
      <c r="M5067">
        <v>988</v>
      </c>
      <c r="O5067" t="s">
        <v>25</v>
      </c>
      <c r="P5067" t="s">
        <v>6229</v>
      </c>
      <c r="Q5067" t="s">
        <v>6230</v>
      </c>
    </row>
    <row r="5068" spans="1:17" ht="15.5" x14ac:dyDescent="0.35">
      <c r="A5068"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5068" s="3" t="str">
        <f>HYPERLINK("https://edmondsonsupply.com/products/diablo-tools-dag1110-7-8-in-x-7-1-2-in-auger-bit", "https://edmondsonsupply.com/products/diablo-tools-dag1110-7-8-in-x-7-1-2-in-auger-bit")</f>
        <v>https://edmondsonsupply.com/products/diablo-tools-dag1110-7-8-in-x-7-1-2-in-auger-bit</v>
      </c>
      <c r="C5068" t="s">
        <v>6839</v>
      </c>
      <c r="D5068" t="s">
        <v>6820</v>
      </c>
      <c r="E5068" s="3" t="str">
        <f>HYPERLINK("https://www.amazon.com/Diablo-17-1-Auger-Bit/dp/B089LG8GYB/ref=sr_1_5?keywords=Diablo+Tools+DAG1110+7%2F8+in.+x+7-1%2F2+in.+Auger+Bit&amp;qid=1695174030&amp;sr=8-5", "https://www.amazon.com/Diablo-17-1-Auger-Bit/dp/B089LG8GYB/ref=sr_1_5?keywords=Diablo+Tools+DAG1110+7%2F8+in.+x+7-1%2F2+in.+Auger+Bit&amp;qid=1695174030&amp;sr=8-5")</f>
        <v>https://www.amazon.com/Diablo-17-1-Auger-Bit/dp/B089LG8GYB/ref=sr_1_5?keywords=Diablo+Tools+DAG1110+7%2F8+in.+x+7-1%2F2+in.+Auger+Bit&amp;qid=1695174030&amp;sr=8-5</v>
      </c>
      <c r="F5068" t="s">
        <v>6821</v>
      </c>
      <c r="G5068" t="e">
        <f ca="1">_xludf.IMAGE("https://edmondsonsupply.com/cdn/shop/products/yel7mbaiyy08ii0assd5.webp?v=1680187136")</f>
        <v>#NAME?</v>
      </c>
      <c r="H5068" t="e">
        <f ca="1">_xludf.IMAGE("https://m.media-amazon.com/images/I/61QXZJGNQTL._AC_UL320_.jpg")</f>
        <v>#NAME?</v>
      </c>
      <c r="I5068" t="s">
        <v>4985</v>
      </c>
      <c r="J5068">
        <v>30.9</v>
      </c>
      <c r="K5068" s="4">
        <v>0.82089999999999996</v>
      </c>
      <c r="L5068">
        <v>4.3</v>
      </c>
      <c r="M5068">
        <v>29</v>
      </c>
      <c r="O5068" t="s">
        <v>25</v>
      </c>
      <c r="P5068" t="s">
        <v>6840</v>
      </c>
      <c r="Q5068" t="s">
        <v>6841</v>
      </c>
    </row>
    <row r="5069" spans="1:17" ht="15.5" x14ac:dyDescent="0.35">
      <c r="A5069" s="3" t="str">
        <f>HYPERLINK("https://edmondsonsupply.com/collections/electricians-tools/products/channellock-432", "https://edmondsonsupply.com/collections/electricians-tools/products/channellock-432")</f>
        <v>https://edmondsonsupply.com/collections/electricians-tools/products/channellock-432</v>
      </c>
      <c r="B5069" s="3" t="str">
        <f>HYPERLINK("https://edmondsonsupply.com/products/channellock-432", "https://edmondsonsupply.com/products/channellock-432")</f>
        <v>https://edmondsonsupply.com/products/channellock-432</v>
      </c>
      <c r="C5069" t="s">
        <v>2472</v>
      </c>
      <c r="D5069" t="s">
        <v>2643</v>
      </c>
      <c r="E5069" s="3" t="str">
        <f>HYPERLINK("https://www.amazon.com/Channellock-Tongue-12-Inch-Straight-Comfort/dp/B0BFXKVMMD/ref=sr_1_4?keywords=Channellock+440+12%22+Straight+Jaw+Tongue+%26+Groove+Pliers&amp;qid=1695173955&amp;sr=8-4", "https://www.amazon.com/Channellock-Tongue-12-Inch-Straight-Comfort/dp/B0BFXKVMMD/ref=sr_1_4?keywords=Channellock+440+12%22+Straight+Jaw+Tongue+%26+Groove+Pliers&amp;qid=1695173955&amp;sr=8-4")</f>
        <v>https://www.amazon.com/Channellock-Tongue-12-Inch-Straight-Comfort/dp/B0BFXKVMMD/ref=sr_1_4?keywords=Channellock+440+12%22+Straight+Jaw+Tongue+%26+Groove+Pliers&amp;qid=1695173955&amp;sr=8-4</v>
      </c>
      <c r="F5069" t="s">
        <v>2644</v>
      </c>
      <c r="G5069" t="e">
        <f ca="1">_xludf.IMAGE("https://edmondsonsupply.com/cdn/shop/products/440-546x1024.jpg?v=1587148892")</f>
        <v>#NAME?</v>
      </c>
      <c r="H5069" t="e">
        <f ca="1">_xludf.IMAGE("https://m.media-amazon.com/images/I/41AZjjLwtIL._AC_UL320_.jpg")</f>
        <v>#NAME?</v>
      </c>
      <c r="I5069" t="s">
        <v>2475</v>
      </c>
      <c r="J5069">
        <v>39.94</v>
      </c>
      <c r="K5069" s="4">
        <v>0.8196</v>
      </c>
      <c r="L5069">
        <v>3</v>
      </c>
      <c r="M5069">
        <v>1</v>
      </c>
      <c r="O5069" t="s">
        <v>25</v>
      </c>
      <c r="P5069" t="s">
        <v>2476</v>
      </c>
      <c r="Q5069" t="s">
        <v>2477</v>
      </c>
    </row>
    <row r="5070" spans="1:17" ht="15.5" x14ac:dyDescent="0.35">
      <c r="A5070"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5070" s="3" t="str">
        <f>HYPERLINK("https://edmondsonsupply.com/products/klein-tools-vdv526-200-lan-scout-%c2%ae-jr-2-cable-tester", "https://edmondsonsupply.com/products/klein-tools-vdv526-200-lan-scout-%c2%ae-jr-2-cable-tester")</f>
        <v>https://edmondsonsupply.com/products/klein-tools-vdv526-200-lan-scout-%c2%ae-jr-2-cable-tester</v>
      </c>
      <c r="C5070" t="s">
        <v>6500</v>
      </c>
      <c r="D5070" t="s">
        <v>6605</v>
      </c>
      <c r="E5070" s="3" t="str">
        <f>HYPERLINK("https://www.amazon.com/Klein-Tools-VDV526-200-Replaceable-Non-Metallic/dp/B09Y84486X/ref=sr_1_3?keywords=Klein+Tools+VDV526-200+LAN+Scout+%C2%AE+Jr.+2+Cable+Tester&amp;qid=1695174153&amp;sr=8-3", "https://www.amazon.com/Klein-Tools-VDV526-200-Replaceable-Non-Metallic/dp/B09Y84486X/ref=sr_1_3?keywords=Klein+Tools+VDV526-200+LAN+Scout+%C2%AE+Jr.+2+Cable+Tester&amp;qid=1695174153&amp;sr=8-3")</f>
        <v>https://www.amazon.com/Klein-Tools-VDV526-200-Replaceable-Non-Metallic/dp/B09Y84486X/ref=sr_1_3?keywords=Klein+Tools+VDV526-200+LAN+Scout+%C2%AE+Jr.+2+Cable+Tester&amp;qid=1695174153&amp;sr=8-3</v>
      </c>
      <c r="F5070" t="s">
        <v>6606</v>
      </c>
      <c r="G5070" t="e">
        <f ca="1">_xludf.IMAGE("https://edmondsonsupply.com/cdn/shop/products/vdv526200.jpg?v=1663689949")</f>
        <v>#NAME?</v>
      </c>
      <c r="H5070" t="e">
        <f ca="1">_xludf.IMAGE("https://m.media-amazon.com/images/I/51l43d13j-L._AC_UY218_.jpg")</f>
        <v>#NAME?</v>
      </c>
      <c r="I5070" t="s">
        <v>3359</v>
      </c>
      <c r="J5070">
        <v>99.96</v>
      </c>
      <c r="K5070" s="4">
        <v>0.81840000000000002</v>
      </c>
      <c r="L5070">
        <v>4.8</v>
      </c>
      <c r="M5070">
        <v>12</v>
      </c>
      <c r="O5070" t="s">
        <v>25</v>
      </c>
      <c r="P5070" t="s">
        <v>6503</v>
      </c>
      <c r="Q5070" t="s">
        <v>6504</v>
      </c>
    </row>
    <row r="5071" spans="1:17" ht="15.5" x14ac:dyDescent="0.35">
      <c r="A5071"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5071" s="3" t="str">
        <f>HYPERLINK("https://edmondsonsupply.com/products/klein-tools-31940-bi-metal-hole-saw-2-1-2-inch", "https://edmondsonsupply.com/products/klein-tools-31940-bi-metal-hole-saw-2-1-2-inch")</f>
        <v>https://edmondsonsupply.com/products/klein-tools-31940-bi-metal-hole-saw-2-1-2-inch</v>
      </c>
      <c r="C5071" t="s">
        <v>6842</v>
      </c>
      <c r="D5071" t="s">
        <v>6843</v>
      </c>
      <c r="E5071" s="3" t="str">
        <f>HYPERLINK("https://www.amazon.com/LENOX-Tools-Bi-Metal-Arbored-Technology/dp/B004YK5DHW/ref=sr_1_3?keywords=Klein+Tools+31940+Bi-Metal+Hole+Saw%2C+2-1%2F2-Inch&amp;qid=1695174215&amp;sr=8-3", "https://www.amazon.com/LENOX-Tools-Bi-Metal-Arbored-Technology/dp/B004YK5DHW/ref=sr_1_3?keywords=Klein+Tools+31940+Bi-Metal+Hole+Saw%2C+2-1%2F2-Inch&amp;qid=1695174215&amp;sr=8-3")</f>
        <v>https://www.amazon.com/LENOX-Tools-Bi-Metal-Arbored-Technology/dp/B004YK5DHW/ref=sr_1_3?keywords=Klein+Tools+31940+Bi-Metal+Hole+Saw%2C+2-1%2F2-Inch&amp;qid=1695174215&amp;sr=8-3</v>
      </c>
      <c r="F5071" t="s">
        <v>6844</v>
      </c>
      <c r="G5071" t="e">
        <f ca="1">_xludf.IMAGE("https://edmondsonsupply.com/cdn/shop/products/31940.jpg?v=1649380086")</f>
        <v>#NAME?</v>
      </c>
      <c r="H5071" t="e">
        <f ca="1">_xludf.IMAGE("https://m.media-amazon.com/images/I/71OOVEuCxtL._AC_UL320_.jpg")</f>
        <v>#NAME?</v>
      </c>
      <c r="I5071" t="s">
        <v>288</v>
      </c>
      <c r="J5071">
        <v>25.44</v>
      </c>
      <c r="K5071" s="4">
        <v>0.81840000000000002</v>
      </c>
      <c r="L5071">
        <v>4.7</v>
      </c>
      <c r="M5071">
        <v>517</v>
      </c>
      <c r="O5071" t="s">
        <v>25</v>
      </c>
      <c r="P5071" t="s">
        <v>6845</v>
      </c>
      <c r="Q5071" t="s">
        <v>6846</v>
      </c>
    </row>
    <row r="5072" spans="1:17" ht="15.5" x14ac:dyDescent="0.35">
      <c r="A5072" s="3" t="str">
        <f>HYPERLINK("https://edmondsonsupply.com/collections/electricians-tools/products/malco-tools-mshlc1-2-5-8-c-rhex-cleanable-reversible-magnetic-hex-driver-5-16-3-8", "https://edmondsonsupply.com/collections/electricians-tools/products/malco-tools-mshlc1-2-5-8-c-rhex-cleanable-reversible-magnetic-hex-driver-5-16-3-8")</f>
        <v>https://edmondsonsupply.com/collections/electricians-tools/products/malco-tools-mshlc1-2-5-8-c-rhex-cleanable-reversible-magnetic-hex-driver-5-16-3-8</v>
      </c>
      <c r="B5072" s="3" t="str">
        <f>HYPERLINK("https://edmondsonsupply.com/products/malco-tools-mshlc1-2-5-8-c-rhex-cleanable-reversible-magnetic-hex-driver-5-16-3-8", "https://edmondsonsupply.com/products/malco-tools-mshlc1-2-5-8-c-rhex-cleanable-reversible-magnetic-hex-driver-5-16-3-8")</f>
        <v>https://edmondsonsupply.com/products/malco-tools-mshlc1-2-5-8-c-rhex-cleanable-reversible-magnetic-hex-driver-5-16-3-8</v>
      </c>
      <c r="C5072" t="s">
        <v>2649</v>
      </c>
      <c r="D5072" t="s">
        <v>2650</v>
      </c>
      <c r="E5072" s="3" t="str">
        <f>HYPERLINK("https://www.amazon.com/C-RHEX-Cleanable-Reversible-Magnetic-Driver/dp/B09RPKFRDN/ref=sr_1_10?keywords=Malco+Tools+MSHLC1+2-5%2F8%22+C-Rhex+Cleanable%2C+Reversible+Magnetic+Hex+Driver%2C+5%2F16%22+%26+3%2F8%22&amp;qid=1695173902&amp;sr=8-10", "https://www.amazon.com/C-RHEX-Cleanable-Reversible-Magnetic-Driver/dp/B09RPKFRDN/ref=sr_1_10?keywords=Malco+Tools+MSHLC1+2-5%2F8%22+C-Rhex+Cleanable%2C+Reversible+Magnetic+Hex+Driver%2C+5%2F16%22+%26+3%2F8%22&amp;qid=1695173902&amp;sr=8-10")</f>
        <v>https://www.amazon.com/C-RHEX-Cleanable-Reversible-Magnetic-Driver/dp/B09RPKFRDN/ref=sr_1_10?keywords=Malco+Tools+MSHLC1+2-5%2F8%22+C-Rhex+Cleanable%2C+Reversible+Magnetic+Hex+Driver%2C+5%2F16%22+%26+3%2F8%22&amp;qid=1695173902&amp;sr=8-10</v>
      </c>
      <c r="F5072" t="s">
        <v>2651</v>
      </c>
      <c r="G5072" t="e">
        <f ca="1">_xludf.IMAGE("https://edmondsonsupply.com/cdn/shop/products/Malco-MSHLC1-516-38-1.jpg?v=1647198201")</f>
        <v>#NAME?</v>
      </c>
      <c r="H5072" t="e">
        <f ca="1">_xludf.IMAGE("https://m.media-amazon.com/images/I/31qo9UYAsJL._AC_UL320_.jpg")</f>
        <v>#NAME?</v>
      </c>
      <c r="I5072" t="s">
        <v>924</v>
      </c>
      <c r="J5072">
        <v>16.25</v>
      </c>
      <c r="K5072" s="4">
        <v>0.80759999999999998</v>
      </c>
      <c r="L5072">
        <v>5</v>
      </c>
      <c r="M5072">
        <v>1</v>
      </c>
      <c r="O5072" t="s">
        <v>25</v>
      </c>
      <c r="P5072" t="s">
        <v>2609</v>
      </c>
      <c r="Q5072" t="s">
        <v>2652</v>
      </c>
    </row>
    <row r="5073" spans="1:17" ht="15.5" x14ac:dyDescent="0.35">
      <c r="A5073"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5073" s="3" t="str">
        <f>HYPERLINK("https://edmondsonsupply.com/products/klein-tools-32307-27-in-1-multi-bit-tamperproof-screwdriver", "https://edmondsonsupply.com/products/klein-tools-32307-27-in-1-multi-bit-tamperproof-screwdriver")</f>
        <v>https://edmondsonsupply.com/products/klein-tools-32307-27-in-1-multi-bit-tamperproof-screwdriver</v>
      </c>
      <c r="C5073" t="s">
        <v>6847</v>
      </c>
      <c r="D5073" t="s">
        <v>6848</v>
      </c>
      <c r="E5073" s="3" t="str">
        <f>HYPERLINK("https://www.amazon.com/Klein-Tools-Ratcheting-Screwdriver-Tamperproof/dp/B09Y7PBFQ1/ref=sr_1_6?keywords=Klein+Tools+32307+27-in-1+Multi-Bit+Tamperproof+Screwdriver&amp;qid=1695174232&amp;sr=8-6", "https://www.amazon.com/Klein-Tools-Ratcheting-Screwdriver-Tamperproof/dp/B09Y7PBFQ1/ref=sr_1_6?keywords=Klein+Tools+32307+27-in-1+Multi-Bit+Tamperproof+Screwdriver&amp;qid=1695174232&amp;sr=8-6")</f>
        <v>https://www.amazon.com/Klein-Tools-Ratcheting-Screwdriver-Tamperproof/dp/B09Y7PBFQ1/ref=sr_1_6?keywords=Klein+Tools+32307+27-in-1+Multi-Bit+Tamperproof+Screwdriver&amp;qid=1695174232&amp;sr=8-6</v>
      </c>
      <c r="F5073" t="s">
        <v>6849</v>
      </c>
      <c r="G5073" t="e">
        <f ca="1">_xludf.IMAGE("https://edmondsonsupply.com/cdn/shop/products/32307.jpg?v=1647347524")</f>
        <v>#NAME?</v>
      </c>
      <c r="H5073" t="e">
        <f ca="1">_xludf.IMAGE("https://m.media-amazon.com/images/I/41T6TsQqpLL._AC_UL320_.jpg")</f>
        <v>#NAME?</v>
      </c>
      <c r="I5073" t="s">
        <v>911</v>
      </c>
      <c r="J5073">
        <v>46.94</v>
      </c>
      <c r="K5073" s="4">
        <v>0.8075</v>
      </c>
      <c r="L5073">
        <v>4.7</v>
      </c>
      <c r="M5073">
        <v>22</v>
      </c>
      <c r="O5073" t="s">
        <v>25</v>
      </c>
      <c r="P5073" t="s">
        <v>6850</v>
      </c>
      <c r="Q5073" t="s">
        <v>6851</v>
      </c>
    </row>
    <row r="5074" spans="1:17" ht="15.5" x14ac:dyDescent="0.35">
      <c r="A5074"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5074"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5074" t="s">
        <v>2659</v>
      </c>
      <c r="D5074" t="s">
        <v>2660</v>
      </c>
      <c r="E5074" s="3" t="str">
        <f>HYPERLINK("https://www.amazon.com/Klein-Tools-Ratchet-5-Piece-Phillips/dp/B0CF2CH27G/ref=sr_1_2?keywords=Klein+Tools+70550+Pro+Folding+Hex+Key+Set%2C+11-Key%2C+SAE+Sizes&amp;qid=1695173950&amp;sr=8-2", "https://www.amazon.com/Klein-Tools-Ratchet-5-Piece-Phillips/dp/B0CF2CH27G/ref=sr_1_2?keywords=Klein+Tools+70550+Pro+Folding+Hex+Key+Set%2C+11-Key%2C+SAE+Sizes&amp;qid=1695173950&amp;sr=8-2")</f>
        <v>https://www.amazon.com/Klein-Tools-Ratchet-5-Piece-Phillips/dp/B0CF2CH27G/ref=sr_1_2?keywords=Klein+Tools+70550+Pro+Folding+Hex+Key+Set%2C+11-Key%2C+SAE+Sizes&amp;qid=1695173950&amp;sr=8-2</v>
      </c>
      <c r="F5074" t="s">
        <v>2661</v>
      </c>
      <c r="G5074" t="e">
        <f ca="1">_xludf.IMAGE("https://edmondsonsupply.com/cdn/shop/products/70550.jpg?v=1587145237")</f>
        <v>#NAME?</v>
      </c>
      <c r="H5074" t="e">
        <f ca="1">_xludf.IMAGE("https://m.media-amazon.com/images/I/51I-40ka6EL._AC_UL320_.jpg")</f>
        <v>#NAME?</v>
      </c>
      <c r="I5074" t="s">
        <v>893</v>
      </c>
      <c r="J5074">
        <v>35.93</v>
      </c>
      <c r="K5074" s="4">
        <v>0.79920000000000002</v>
      </c>
      <c r="L5074">
        <v>4.7</v>
      </c>
      <c r="M5074">
        <v>3970</v>
      </c>
      <c r="O5074" t="s">
        <v>25</v>
      </c>
      <c r="P5074" t="s">
        <v>2662</v>
      </c>
      <c r="Q5074" t="s">
        <v>2663</v>
      </c>
    </row>
    <row r="5075" spans="1:17" ht="15.5" x14ac:dyDescent="0.35">
      <c r="A5075"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5075"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5075" t="s">
        <v>6852</v>
      </c>
      <c r="D5075" t="s">
        <v>6853</v>
      </c>
      <c r="E5075" s="3" t="str">
        <f>HYPERLINK("https://www.amazon.com/Klein-Tools-Rechargeable-Flashlight-Floodlight/dp/B0BXKC43LR/ref=sr_1_4?keywords=Klein+Tools+56413+Rechargeable+2-Color+LED+Flashlight+with+Holster&amp;qid=1695174149&amp;sr=8-4", "https://www.amazon.com/Klein-Tools-Rechargeable-Flashlight-Floodlight/dp/B0BXKC43LR/ref=sr_1_4?keywords=Klein+Tools+56413+Rechargeable+2-Color+LED+Flashlight+with+Holster&amp;qid=1695174149&amp;sr=8-4")</f>
        <v>https://www.amazon.com/Klein-Tools-Rechargeable-Flashlight-Floodlight/dp/B0BXKC43LR/ref=sr_1_4?keywords=Klein+Tools+56413+Rechargeable+2-Color+LED+Flashlight+with+Holster&amp;qid=1695174149&amp;sr=8-4</v>
      </c>
      <c r="F5075" t="s">
        <v>6854</v>
      </c>
      <c r="G5075" t="e">
        <f ca="1">_xludf.IMAGE("https://edmondsonsupply.com/cdn/shop/products/56413.jpg?v=1663954210")</f>
        <v>#NAME?</v>
      </c>
      <c r="H5075" t="e">
        <f ca="1">_xludf.IMAGE("https://m.media-amazon.com/images/I/51VA0R00+KL._AC_UL320_.jpg")</f>
        <v>#NAME?</v>
      </c>
      <c r="I5075" t="s">
        <v>380</v>
      </c>
      <c r="J5075">
        <v>89.63</v>
      </c>
      <c r="K5075" s="4">
        <v>0.79369999999999996</v>
      </c>
      <c r="L5075">
        <v>5</v>
      </c>
      <c r="M5075">
        <v>1</v>
      </c>
      <c r="O5075" t="s">
        <v>25</v>
      </c>
      <c r="P5075" t="s">
        <v>6855</v>
      </c>
      <c r="Q5075" t="s">
        <v>6856</v>
      </c>
    </row>
    <row r="5076" spans="1:17" ht="15.5" x14ac:dyDescent="0.35">
      <c r="A5076"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5076"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5076" t="s">
        <v>2115</v>
      </c>
      <c r="D5076" t="s">
        <v>2674</v>
      </c>
      <c r="E5076" s="3" t="str">
        <f>HYPERLINK("https://www.amazon.com/Adjustable-Screwdriver-Drivers-Klein-Tools/dp/B09Y84RPSB/ref=sr_1_4?keywords=Klein+Tools+32304+14-in-1+HVAC+Adjustable-Length+Impact+Screwdriver+with+Flip+Socket&amp;qid=1695173856&amp;sr=8-4", "https://www.amazon.com/Adjustable-Screwdriver-Drivers-Klein-Tools/dp/B09Y84RPSB/ref=sr_1_4?keywords=Klein+Tools+32304+14-in-1+HVAC+Adjustable-Length+Impact+Screwdriver+with+Flip+Socket&amp;qid=1695173856&amp;sr=8-4")</f>
        <v>https://www.amazon.com/Adjustable-Screwdriver-Drivers-Klein-Tools/dp/B09Y84RPSB/ref=sr_1_4?keywords=Klein+Tools+32304+14-in-1+HVAC+Adjustable-Length+Impact+Screwdriver+with+Flip+Socket&amp;qid=1695173856&amp;sr=8-4</v>
      </c>
      <c r="F5076" t="s">
        <v>2675</v>
      </c>
      <c r="G5076" t="e">
        <f ca="1">_xludf.IMAGE("https://edmondsonsupply.com/cdn/shop/products/32304.jpg?v=1666019479")</f>
        <v>#NAME?</v>
      </c>
      <c r="H5076" t="e">
        <f ca="1">_xludf.IMAGE("https://m.media-amazon.com/images/I/41KTNungRUL._AC_UL320_.jpg")</f>
        <v>#NAME?</v>
      </c>
      <c r="I5076" t="s">
        <v>859</v>
      </c>
      <c r="J5076">
        <v>44.76</v>
      </c>
      <c r="K5076" s="4">
        <v>0.79259999999999997</v>
      </c>
      <c r="L5076">
        <v>4.8</v>
      </c>
      <c r="M5076">
        <v>88</v>
      </c>
      <c r="O5076" t="s">
        <v>25</v>
      </c>
      <c r="P5076" t="s">
        <v>602</v>
      </c>
      <c r="Q5076" t="s">
        <v>2118</v>
      </c>
    </row>
    <row r="5077" spans="1:17" ht="15.5" x14ac:dyDescent="0.35">
      <c r="A5077"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5077"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5077" t="s">
        <v>6059</v>
      </c>
      <c r="D5077" t="s">
        <v>6857</v>
      </c>
      <c r="E5077" s="3" t="str">
        <f>HYPERLINK("https://www.amazon.com/Komelon-7425-MagGrip-25-FootMeasuring-Magnetic/dp/B0000DD5GR/ref=sr_1_3?keywords=Komelon+7325+25%27+X+1%22+MagGrip%E2%84%A2+SpeedMark%E2%84%A2%2C+Magnetic+Tape+Measure&amp;qid=1695174274&amp;sr=8-3", "https://www.amazon.com/Komelon-7425-MagGrip-25-FootMeasuring-Magnetic/dp/B0000DD5GR/ref=sr_1_3?keywords=Komelon+7325+25%27+X+1%22+MagGrip%E2%84%A2+SpeedMark%E2%84%A2%2C+Magnetic+Tape+Measure&amp;qid=1695174274&amp;sr=8-3")</f>
        <v>https://www.amazon.com/Komelon-7425-MagGrip-25-FootMeasuring-Magnetic/dp/B0000DD5GR/ref=sr_1_3?keywords=Komelon+7325+25%27+X+1%22+MagGrip%E2%84%A2+SpeedMark%E2%84%A2%2C+Magnetic+Tape+Measure&amp;qid=1695174274&amp;sr=8-3</v>
      </c>
      <c r="F5077" t="s">
        <v>6858</v>
      </c>
      <c r="G5077" t="e">
        <f ca="1">_xludf.IMAGE("https://edmondsonsupply.com/cdn/shop/products/7325_angleExtended.jpg?v=1633030981")</f>
        <v>#NAME?</v>
      </c>
      <c r="H5077" t="e">
        <f ca="1">_xludf.IMAGE("https://m.media-amazon.com/images/I/71-NeT37yWL._AC_UL320_.jpg")</f>
        <v>#NAME?</v>
      </c>
      <c r="I5077" t="s">
        <v>288</v>
      </c>
      <c r="J5077">
        <v>25.03</v>
      </c>
      <c r="K5077" s="4">
        <v>0.78910000000000002</v>
      </c>
      <c r="L5077">
        <v>4.5</v>
      </c>
      <c r="M5077">
        <v>124</v>
      </c>
      <c r="O5077" t="s">
        <v>25</v>
      </c>
      <c r="P5077" t="s">
        <v>138</v>
      </c>
      <c r="Q5077" t="s">
        <v>6062</v>
      </c>
    </row>
    <row r="5078" spans="1:17" ht="15.5" x14ac:dyDescent="0.35">
      <c r="A5078"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5078" s="3" t="str">
        <f>HYPERLINK("https://edmondsonsupply.com/products/gorilla-glue-107450-original-gorilla-glue-20z-bottle", "https://edmondsonsupply.com/products/gorilla-glue-107450-original-gorilla-glue-20z-bottle")</f>
        <v>https://edmondsonsupply.com/products/gorilla-glue-107450-original-gorilla-glue-20z-bottle</v>
      </c>
      <c r="C5078" t="s">
        <v>6030</v>
      </c>
      <c r="D5078" t="s">
        <v>6859</v>
      </c>
      <c r="E5078" s="3" t="str">
        <f>HYPERLINK("https://www.amazon.com/Gorilla-Original-Waterproof-Polyurethane-Bottle/dp/B0000223UV/ref=sr_1_2?keywords=Gorilla+Glue+107450+Original+Gorilla+Glue%2C+2oz.+bottle&amp;qid=1695174069&amp;sr=8-2", "https://www.amazon.com/Gorilla-Original-Waterproof-Polyurethane-Bottle/dp/B0000223UV/ref=sr_1_2?keywords=Gorilla+Glue+107450+Original+Gorilla+Glue%2C+2oz.+bottle&amp;qid=1695174069&amp;sr=8-2")</f>
        <v>https://www.amazon.com/Gorilla-Original-Waterproof-Polyurethane-Bottle/dp/B0000223UV/ref=sr_1_2?keywords=Gorilla+Glue+107450+Original+Gorilla+Glue%2C+2oz.+bottle&amp;qid=1695174069&amp;sr=8-2</v>
      </c>
      <c r="F5078" t="s">
        <v>6860</v>
      </c>
      <c r="G5078" t="e">
        <f ca="1">_xludf.IMAGE("https://edmondsonsupply.com/cdn/shop/products/original_gorilla_glue_white_bg_v2-450x450-c-default.webp?v=1678801122")</f>
        <v>#NAME?</v>
      </c>
      <c r="H5078" t="e">
        <f ca="1">_xludf.IMAGE("https://m.media-amazon.com/images/I/71wBq4K7xML._AC_UY218_.jpg")</f>
        <v>#NAME?</v>
      </c>
      <c r="I5078" t="s">
        <v>6033</v>
      </c>
      <c r="J5078">
        <v>12.48</v>
      </c>
      <c r="K5078" s="4">
        <v>0.78800000000000003</v>
      </c>
      <c r="L5078">
        <v>4.5999999999999996</v>
      </c>
      <c r="M5078">
        <v>10646</v>
      </c>
      <c r="O5078" t="s">
        <v>25</v>
      </c>
      <c r="P5078" t="s">
        <v>138</v>
      </c>
      <c r="Q5078" t="s">
        <v>6034</v>
      </c>
    </row>
    <row r="5079" spans="1:17" ht="15.5" x14ac:dyDescent="0.35">
      <c r="A5079"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5079"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5079" t="s">
        <v>6861</v>
      </c>
      <c r="D5079" t="s">
        <v>6862</v>
      </c>
      <c r="E5079" s="3" t="str">
        <f>HYPERLINK("https://www.amazon.com/Klein-Tools-Auto-Ranging-Resistance-Continuity/dp/B0BNL6NFV7/ref=sr_1_4?keywords=Klein+Tools+CL220+Digital+Clamp+Meter%2C+AC+Auto-Ranging+400+Amp+with+Temp&amp;qid=1695174305&amp;sr=8-4", "https://www.amazon.com/Klein-Tools-Auto-Ranging-Resistance-Continuity/dp/B0BNL6NFV7/ref=sr_1_4?keywords=Klein+Tools+CL220+Digital+Clamp+Meter%2C+AC+Auto-Ranging+400+Amp+with+Temp&amp;qid=1695174305&amp;sr=8-4")</f>
        <v>https://www.amazon.com/Klein-Tools-Auto-Ranging-Resistance-Continuity/dp/B0BNL6NFV7/ref=sr_1_4?keywords=Klein+Tools+CL220+Digital+Clamp+Meter%2C+AC+Auto-Ranging+400+Amp+with+Temp&amp;qid=1695174305&amp;sr=8-4</v>
      </c>
      <c r="F5079" t="s">
        <v>6863</v>
      </c>
      <c r="G5079" t="e">
        <f ca="1">_xludf.IMAGE("https://edmondsonsupply.com/cdn/shop/products/cl220.jpg?v=1633030821")</f>
        <v>#NAME?</v>
      </c>
      <c r="H5079" t="e">
        <f ca="1">_xludf.IMAGE("https://m.media-amazon.com/images/I/51F5hkzephL._AC_UY218_.jpg")</f>
        <v>#NAME?</v>
      </c>
      <c r="I5079" t="s">
        <v>356</v>
      </c>
      <c r="J5079">
        <v>124.96</v>
      </c>
      <c r="K5079" s="4">
        <v>0.78590000000000004</v>
      </c>
      <c r="L5079">
        <v>5</v>
      </c>
      <c r="M5079">
        <v>1</v>
      </c>
      <c r="O5079" t="s">
        <v>25</v>
      </c>
      <c r="P5079" t="s">
        <v>6864</v>
      </c>
      <c r="Q5079" t="s">
        <v>6865</v>
      </c>
    </row>
    <row r="5080" spans="1:17" ht="15.5" x14ac:dyDescent="0.35">
      <c r="A5080"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5080"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5080" t="s">
        <v>6231</v>
      </c>
      <c r="D5080" t="s">
        <v>2698</v>
      </c>
      <c r="E5080" s="3" t="str">
        <f>HYPERLINK("https://www.amazon.com/Non-Contact-Receptacle-Klein-Tools-RT250KIT/dp/B08YDFQ2FV/ref=sr_1_3?keywords=Klein+Tools+NCVT1PKIT+Non-Contact+Voltage+and+GFCI+Receptacle+Test+Kit&amp;qid=1695174067&amp;sr=8-3", "https://www.amazon.com/Non-Contact-Receptacle-Klein-Tools-RT250KIT/dp/B08YDFQ2FV/ref=sr_1_3?keywords=Klein+Tools+NCVT1PKIT+Non-Contact+Voltage+and+GFCI+Receptacle+Test+Kit&amp;qid=1695174067&amp;sr=8-3")</f>
        <v>https://www.amazon.com/Non-Contact-Receptacle-Klein-Tools-RT250KIT/dp/B08YDFQ2FV/ref=sr_1_3?keywords=Klein+Tools+NCVT1PKIT+Non-Contact+Voltage+and+GFCI+Receptacle+Test+Kit&amp;qid=1695174067&amp;sr=8-3</v>
      </c>
      <c r="F5080" t="s">
        <v>2699</v>
      </c>
      <c r="G5080" t="e">
        <f ca="1">_xludf.IMAGE("https://edmondsonsupply.com/cdn/shop/products/ncvt1pkit.jpg?v=1677682920")</f>
        <v>#NAME?</v>
      </c>
      <c r="H5080" t="e">
        <f ca="1">_xludf.IMAGE("https://m.media-amazon.com/images/I/61WaBlkJfxL._AC_UL320_.jpg")</f>
        <v>#NAME?</v>
      </c>
      <c r="I5080" t="s">
        <v>859</v>
      </c>
      <c r="J5080">
        <v>44.54</v>
      </c>
      <c r="K5080" s="4">
        <v>0.78369999999999995</v>
      </c>
      <c r="L5080">
        <v>4.8</v>
      </c>
      <c r="M5080">
        <v>1269</v>
      </c>
      <c r="O5080" t="s">
        <v>25</v>
      </c>
      <c r="P5080" t="s">
        <v>6234</v>
      </c>
      <c r="Q5080" t="s">
        <v>6235</v>
      </c>
    </row>
    <row r="5081" spans="1:17" ht="15.5" x14ac:dyDescent="0.35">
      <c r="A5081"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5081"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5081" t="s">
        <v>2155</v>
      </c>
      <c r="D5081" t="s">
        <v>2698</v>
      </c>
      <c r="E5081" s="3" t="str">
        <f>HYPERLINK("https://www.amazon.com/Non-Contact-Receptacle-Klein-Tools-RT250KIT/dp/B08YDFQ2FV/ref=sr_1_2?keywords=Klein+Tools+NCVT1XTKIT+Non-Contact+Voltage+and+GFCI+Receptacle+Premium+Test+Kit&amp;qid=1695173872&amp;sr=8-2", "https://www.amazon.com/Non-Contact-Receptacle-Klein-Tools-RT250KIT/dp/B08YDFQ2FV/ref=sr_1_2?keywords=Klein+Tools+NCVT1XTKIT+Non-Contact+Voltage+and+GFCI+Receptacle+Premium+Test+Kit&amp;qid=1695173872&amp;sr=8-2")</f>
        <v>https://www.amazon.com/Non-Contact-Receptacle-Klein-Tools-RT250KIT/dp/B08YDFQ2FV/ref=sr_1_2?keywords=Klein+Tools+NCVT1XTKIT+Non-Contact+Voltage+and+GFCI+Receptacle+Premium+Test+Kit&amp;qid=1695173872&amp;sr=8-2</v>
      </c>
      <c r="F5081" t="s">
        <v>2699</v>
      </c>
      <c r="G5081" t="e">
        <f ca="1">_xludf.IMAGE("https://edmondsonsupply.com/cdn/shop/products/ncvt1xtkit.jpg?v=1674497102")</f>
        <v>#NAME?</v>
      </c>
      <c r="H5081" t="e">
        <f ca="1">_xludf.IMAGE("https://m.media-amazon.com/images/I/61WaBlkJfxL._AC_UL320_.jpg")</f>
        <v>#NAME?</v>
      </c>
      <c r="I5081" t="s">
        <v>471</v>
      </c>
      <c r="J5081">
        <v>44.54</v>
      </c>
      <c r="K5081" s="4">
        <v>0.7823</v>
      </c>
      <c r="L5081">
        <v>4.8</v>
      </c>
      <c r="M5081">
        <v>1269</v>
      </c>
      <c r="O5081" t="s">
        <v>25</v>
      </c>
      <c r="P5081" t="s">
        <v>2158</v>
      </c>
      <c r="Q5081" t="s">
        <v>2159</v>
      </c>
    </row>
    <row r="5082" spans="1:17" ht="15.5" x14ac:dyDescent="0.35">
      <c r="A5082" s="3" t="str">
        <f>HYPERLINK("https://edmondsonsupply.com/collections/electricians-tools/products/klein-tools-60159-standard-safety-glasses-clear-lens", "https://edmondsonsupply.com/collections/electricians-tools/products/klein-tools-60159-standard-safety-glasses-clear-lens")</f>
        <v>https://edmondsonsupply.com/collections/electricians-tools/products/klein-tools-60159-standard-safety-glasses-clear-lens</v>
      </c>
      <c r="B5082" s="3" t="str">
        <f>HYPERLINK("https://edmondsonsupply.com/products/klein-tools-60159-standard-safety-glasses-clear-lens", "https://edmondsonsupply.com/products/klein-tools-60159-standard-safety-glasses-clear-lens")</f>
        <v>https://edmondsonsupply.com/products/klein-tools-60159-standard-safety-glasses-clear-lens</v>
      </c>
      <c r="C5082" t="s">
        <v>921</v>
      </c>
      <c r="D5082" t="s">
        <v>922</v>
      </c>
      <c r="E5082" s="3" t="str">
        <f>HYPERLINK("https://www.amazon.com/Klein-60161-Professional-Protective-Resistant/dp/B08B496F57/ref=sr_1_4?keywords=Klein+Tools+60159+Standard+Safety+Glasses%2C+Clear+Lens&amp;qid=1695174312&amp;sr=8-4", "https://www.amazon.com/Klein-60161-Professional-Protective-Resistant/dp/B08B496F57/ref=sr_1_4?keywords=Klein+Tools+60159+Standard+Safety+Glasses%2C+Clear+Lens&amp;qid=1695174312&amp;sr=8-4")</f>
        <v>https://www.amazon.com/Klein-60161-Professional-Protective-Resistant/dp/B08B496F57/ref=sr_1_4?keywords=Klein+Tools+60159+Standard+Safety+Glasses%2C+Clear+Lens&amp;qid=1695174312&amp;sr=8-4</v>
      </c>
      <c r="F5082" t="s">
        <v>923</v>
      </c>
      <c r="G5082" t="e">
        <f ca="1">_xludf.IMAGE("https://edmondsonsupply.com/cdn/shop/products/60159.jpg?v=1633030842")</f>
        <v>#NAME?</v>
      </c>
      <c r="H5082" t="e">
        <f ca="1">_xludf.IMAGE("https://m.media-amazon.com/images/I/515pVZPvJ0L._AC_UL320_.jpg")</f>
        <v>#NAME?</v>
      </c>
      <c r="I5082" t="s">
        <v>924</v>
      </c>
      <c r="J5082">
        <v>15.99</v>
      </c>
      <c r="K5082" s="4">
        <v>0.77859999999999996</v>
      </c>
      <c r="L5082">
        <v>4.4000000000000004</v>
      </c>
      <c r="M5082">
        <v>374</v>
      </c>
      <c r="O5082" t="s">
        <v>25</v>
      </c>
      <c r="P5082" t="s">
        <v>925</v>
      </c>
      <c r="Q5082" t="s">
        <v>926</v>
      </c>
    </row>
    <row r="5083" spans="1:17" ht="15.5" x14ac:dyDescent="0.35">
      <c r="A5083" s="3" t="str">
        <f>HYPERLINK("https://edmondsonsupply.com/collections/electricians-tools/products/klein-tools-60159-standard-safety-glasses-clear-lens", "https://edmondsonsupply.com/collections/electricians-tools/products/klein-tools-60159-standard-safety-glasses-clear-lens")</f>
        <v>https://edmondsonsupply.com/collections/electricians-tools/products/klein-tools-60159-standard-safety-glasses-clear-lens</v>
      </c>
      <c r="B5083" s="3" t="str">
        <f>HYPERLINK("https://edmondsonsupply.com/products/klein-tools-60159-standard-safety-glasses-clear-lens", "https://edmondsonsupply.com/products/klein-tools-60159-standard-safety-glasses-clear-lens")</f>
        <v>https://edmondsonsupply.com/products/klein-tools-60159-standard-safety-glasses-clear-lens</v>
      </c>
      <c r="C5083" t="s">
        <v>921</v>
      </c>
      <c r="D5083" t="s">
        <v>927</v>
      </c>
      <c r="E5083" s="3" t="str">
        <f>HYPERLINK("https://www.amazon.com/Klein-60470-Protection-Anti-Fog-Resistant/dp/B0B69KPRPF/ref=sr_1_2?keywords=Klein+Tools+60159+Standard+Safety+Glasses%2C+Clear+Lens&amp;qid=1695174312&amp;sr=8-2", "https://www.amazon.com/Klein-60470-Protection-Anti-Fog-Resistant/dp/B0B69KPRPF/ref=sr_1_2?keywords=Klein+Tools+60159+Standard+Safety+Glasses%2C+Clear+Lens&amp;qid=1695174312&amp;sr=8-2")</f>
        <v>https://www.amazon.com/Klein-60470-Protection-Anti-Fog-Resistant/dp/B0B69KPRPF/ref=sr_1_2?keywords=Klein+Tools+60159+Standard+Safety+Glasses%2C+Clear+Lens&amp;qid=1695174312&amp;sr=8-2</v>
      </c>
      <c r="F5083" t="s">
        <v>928</v>
      </c>
      <c r="G5083" t="e">
        <f ca="1">_xludf.IMAGE("https://edmondsonsupply.com/cdn/shop/products/60159.jpg?v=1633030842")</f>
        <v>#NAME?</v>
      </c>
      <c r="H5083" t="e">
        <f ca="1">_xludf.IMAGE("https://m.media-amazon.com/images/I/51TkfiRMYgL._AC_UL320_.jpg")</f>
        <v>#NAME?</v>
      </c>
      <c r="I5083" t="s">
        <v>924</v>
      </c>
      <c r="J5083">
        <v>15.99</v>
      </c>
      <c r="K5083" s="4">
        <v>0.77859999999999996</v>
      </c>
      <c r="L5083">
        <v>4</v>
      </c>
      <c r="M5083">
        <v>29</v>
      </c>
      <c r="O5083" t="s">
        <v>25</v>
      </c>
      <c r="P5083" t="s">
        <v>925</v>
      </c>
      <c r="Q5083" t="s">
        <v>926</v>
      </c>
    </row>
    <row r="5084" spans="1:17" ht="15.5" x14ac:dyDescent="0.35">
      <c r="A5084" s="3" t="str">
        <f>HYPERLINK("https://edmondsonsupply.com/collections/electricians-tools/products/klein-tools-60160-standard-safety-glasses-gray-lens", "https://edmondsonsupply.com/collections/electricians-tools/products/klein-tools-60160-standard-safety-glasses-gray-lens")</f>
        <v>https://edmondsonsupply.com/collections/electricians-tools/products/klein-tools-60160-standard-safety-glasses-gray-lens</v>
      </c>
      <c r="B5084" s="3" t="str">
        <f>HYPERLINK("https://edmondsonsupply.com/products/klein-tools-60160-standard-safety-glasses-gray-lens", "https://edmondsonsupply.com/products/klein-tools-60160-standard-safety-glasses-gray-lens")</f>
        <v>https://edmondsonsupply.com/products/klein-tools-60160-standard-safety-glasses-gray-lens</v>
      </c>
      <c r="C5084" t="s">
        <v>929</v>
      </c>
      <c r="D5084" t="s">
        <v>930</v>
      </c>
      <c r="E5084" s="3" t="str">
        <f>HYPERLINK("https://www.amazon.com/Klein-60471-Protection-Anti-Fog-Resistant/dp/B0B69LNT2Y/ref=sr_1_5?keywords=Klein+Tools+60160+Standard+Safety+Glasses%2C+Gray+Lens&amp;qid=1695174305&amp;sr=8-5", "https://www.amazon.com/Klein-60471-Protection-Anti-Fog-Resistant/dp/B0B69LNT2Y/ref=sr_1_5?keywords=Klein+Tools+60160+Standard+Safety+Glasses%2C+Gray+Lens&amp;qid=1695174305&amp;sr=8-5")</f>
        <v>https://www.amazon.com/Klein-60471-Protection-Anti-Fog-Resistant/dp/B0B69LNT2Y/ref=sr_1_5?keywords=Klein+Tools+60160+Standard+Safety+Glasses%2C+Gray+Lens&amp;qid=1695174305&amp;sr=8-5</v>
      </c>
      <c r="F5084" t="s">
        <v>931</v>
      </c>
      <c r="G5084" t="e">
        <f ca="1">_xludf.IMAGE("https://edmondsonsupply.com/cdn/shop/products/60160.jpg?v=1633030843")</f>
        <v>#NAME?</v>
      </c>
      <c r="H5084" t="e">
        <f ca="1">_xludf.IMAGE("https://m.media-amazon.com/images/I/51z-a2tdJlL._AC_UL320_.jpg")</f>
        <v>#NAME?</v>
      </c>
      <c r="I5084" t="s">
        <v>924</v>
      </c>
      <c r="J5084">
        <v>15.99</v>
      </c>
      <c r="K5084" s="4">
        <v>0.77859999999999996</v>
      </c>
      <c r="L5084">
        <v>4.3</v>
      </c>
      <c r="M5084">
        <v>56</v>
      </c>
      <c r="O5084" t="s">
        <v>25</v>
      </c>
      <c r="P5084" t="s">
        <v>925</v>
      </c>
      <c r="Q5084" t="s">
        <v>932</v>
      </c>
    </row>
    <row r="5085" spans="1:17" ht="15.5" x14ac:dyDescent="0.35">
      <c r="A5085" s="3" t="str">
        <f>HYPERLINK("https://edmondsonsupply.com/collections/electricians-tools/products/klein-tools-31905-hole-saw-arbor-with-adapter-3-8-inch", "https://edmondsonsupply.com/collections/electricians-tools/products/klein-tools-31905-hole-saw-arbor-with-adapter-3-8-inch")</f>
        <v>https://edmondsonsupply.com/collections/electricians-tools/products/klein-tools-31905-hole-saw-arbor-with-adapter-3-8-inch</v>
      </c>
      <c r="B5085" s="3" t="str">
        <f>HYPERLINK("https://edmondsonsupply.com/products/klein-tools-31905-hole-saw-arbor-with-adapter-3-8-inch", "https://edmondsonsupply.com/products/klein-tools-31905-hole-saw-arbor-with-adapter-3-8-inch")</f>
        <v>https://edmondsonsupply.com/products/klein-tools-31905-hole-saw-arbor-with-adapter-3-8-inch</v>
      </c>
      <c r="C5085" t="s">
        <v>6866</v>
      </c>
      <c r="D5085" t="s">
        <v>6792</v>
      </c>
      <c r="E5085" s="3" t="str">
        <f>HYPERLINK("https://www.amazon.com/Arbor-16-Inch-Klein-Tools-31906/dp/B0198751UO/ref=sr_1_2?keywords=Klein+Tools+31905+Hole+Saw+Arbor+with+Adapter%2C+3%2F8-Inch&amp;qid=1695174150&amp;sr=8-2", "https://www.amazon.com/Arbor-16-Inch-Klein-Tools-31906/dp/B0198751UO/ref=sr_1_2?keywords=Klein+Tools+31905+Hole+Saw+Arbor+with+Adapter%2C+3%2F8-Inch&amp;qid=1695174150&amp;sr=8-2")</f>
        <v>https://www.amazon.com/Arbor-16-Inch-Klein-Tools-31906/dp/B0198751UO/ref=sr_1_2?keywords=Klein+Tools+31905+Hole+Saw+Arbor+with+Adapter%2C+3%2F8-Inch&amp;qid=1695174150&amp;sr=8-2</v>
      </c>
      <c r="F5085" t="s">
        <v>6867</v>
      </c>
      <c r="G5085" t="e">
        <f ca="1">_xludf.IMAGE("https://edmondsonsupply.com/cdn/shop/products/31905.jpg?v=1665602746")</f>
        <v>#NAME?</v>
      </c>
      <c r="H5085" t="e">
        <f ca="1">_xludf.IMAGE("https://m.media-amazon.com/images/I/51WjO5DQ0bL._AC_UL320_.jpg")</f>
        <v>#NAME?</v>
      </c>
      <c r="I5085" t="s">
        <v>924</v>
      </c>
      <c r="J5085">
        <v>15.99</v>
      </c>
      <c r="K5085" s="4">
        <v>0.77859999999999996</v>
      </c>
      <c r="L5085">
        <v>4.5</v>
      </c>
      <c r="M5085">
        <v>233</v>
      </c>
      <c r="O5085" t="s">
        <v>25</v>
      </c>
      <c r="P5085" t="s">
        <v>6868</v>
      </c>
      <c r="Q5085" t="s">
        <v>6869</v>
      </c>
    </row>
    <row r="5086" spans="1:17" ht="15.5" x14ac:dyDescent="0.35">
      <c r="A5086"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5086"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5086" t="s">
        <v>6870</v>
      </c>
      <c r="D5086" t="s">
        <v>2345</v>
      </c>
      <c r="E5086" s="3" t="str">
        <f>HYPERLINK("https://www.amazon.com/Klein-Tools-JTH6M3BE-Journeyman-T-Handle/dp/B0CGLYY7WP/ref=sr_1_2?keywords=Klein+Tools+JTH6E14BE+5%2F16-Inch+Ball+End+Hex+Key+with+T-Handle%2C+6-Inch&amp;qid=1695174246&amp;sr=8-2", "https://www.amazon.com/Klein-Tools-JTH6M3BE-Journeyman-T-Handle/dp/B0CGLYY7WP/ref=sr_1_2?keywords=Klein+Tools+JTH6E14BE+5%2F16-Inch+Ball+End+Hex+Key+with+T-Handle%2C+6-Inch&amp;qid=1695174246&amp;sr=8-2")</f>
        <v>https://www.amazon.com/Klein-Tools-JTH6M3BE-Journeyman-T-Handle/dp/B0CGLYY7WP/ref=sr_1_2?keywords=Klein+Tools+JTH6E14BE+5%2F16-Inch+Ball+End+Hex+Key+with+T-Handle%2C+6-Inch&amp;qid=1695174246&amp;sr=8-2</v>
      </c>
      <c r="F5086" t="s">
        <v>2346</v>
      </c>
      <c r="G5086" t="e">
        <f ca="1">_xludf.IMAGE("https://edmondsonsupply.com/cdn/shop/products/jth6e13be_0da4cca6-ce15-419c-bc75-cd610bd9637f.jpg?v=1629825198")</f>
        <v>#NAME?</v>
      </c>
      <c r="H5086" t="e">
        <f ca="1">_xludf.IMAGE("https://m.media-amazon.com/images/I/413sTNFMd7L._AC_UL320_.jpg")</f>
        <v>#NAME?</v>
      </c>
      <c r="I5086" t="s">
        <v>6394</v>
      </c>
      <c r="J5086">
        <v>15.1</v>
      </c>
      <c r="K5086" s="4">
        <v>0.77859999999999996</v>
      </c>
      <c r="L5086">
        <v>4.5999999999999996</v>
      </c>
      <c r="M5086">
        <v>184</v>
      </c>
      <c r="O5086" t="s">
        <v>25</v>
      </c>
      <c r="P5086" t="s">
        <v>6871</v>
      </c>
      <c r="Q5086" t="s">
        <v>6872</v>
      </c>
    </row>
    <row r="5087" spans="1:17" ht="15.5" x14ac:dyDescent="0.35">
      <c r="A5087" s="3" t="str">
        <f>HYPERLINK("https://edmondsonsupply.com/collections/electricians-tools/products/klein-tools-jth68mb-6-inch-metric-ball-end-t-handle-set-8-piece", "https://edmondsonsupply.com/collections/electricians-tools/products/klein-tools-jth68mb-6-inch-metric-ball-end-t-handle-set-8-piece")</f>
        <v>https://edmondsonsupply.com/collections/electricians-tools/products/klein-tools-jth68mb-6-inch-metric-ball-end-t-handle-set-8-piece</v>
      </c>
      <c r="B5087" s="3" t="str">
        <f>HYPERLINK("https://edmondsonsupply.com/products/klein-tools-jth68mb-6-inch-metric-ball-end-t-handle-set-8-piece", "https://edmondsonsupply.com/products/klein-tools-jth68mb-6-inch-metric-ball-end-t-handle-set-8-piece")</f>
        <v>https://edmondsonsupply.com/products/klein-tools-jth68mb-6-inch-metric-ball-end-t-handle-set-8-piece</v>
      </c>
      <c r="C5087" t="s">
        <v>6873</v>
      </c>
      <c r="D5087" t="s">
        <v>2299</v>
      </c>
      <c r="E5087" s="3" t="str">
        <f>HYPERLINK("https://www.amazon.com/T-Handle-8-Piece-Klein-Tools-JTH68MB/dp/B004DB8GSK/ref=sr_1_1?keywords=Klein+Tools+JTH68MB+Hex+Kit+Set%2C+Metric%2C+Ball+End+T-Handle%2C+6-Inch+with+Stand%2C+8-Piece&amp;qid=1695173917&amp;sr=8-1", "https://www.amazon.com/T-Handle-8-Piece-Klein-Tools-JTH68MB/dp/B004DB8GSK/ref=sr_1_1?keywords=Klein+Tools+JTH68MB+Hex+Kit+Set%2C+Metric%2C+Ball+End+T-Handle%2C+6-Inch+with+Stand%2C+8-Piece&amp;qid=1695173917&amp;sr=8-1")</f>
        <v>https://www.amazon.com/T-Handle-8-Piece-Klein-Tools-JTH68MB/dp/B004DB8GSK/ref=sr_1_1?keywords=Klein+Tools+JTH68MB+Hex+Kit+Set%2C+Metric%2C+Ball+End+T-Handle%2C+6-Inch+with+Stand%2C+8-Piece&amp;qid=1695173917&amp;sr=8-1</v>
      </c>
      <c r="F5087" t="s">
        <v>2300</v>
      </c>
      <c r="G5087" t="e">
        <f ca="1">_xludf.IMAGE("https://edmondsonsupply.com/cdn/shop/products/jth68mb.jpg?v=1587142826")</f>
        <v>#NAME?</v>
      </c>
      <c r="H5087" t="e">
        <f ca="1">_xludf.IMAGE("https://m.media-amazon.com/images/I/61XP-1Qh3UL._AC_UL320_.jpg")</f>
        <v>#NAME?</v>
      </c>
      <c r="I5087" t="s">
        <v>1931</v>
      </c>
      <c r="J5087">
        <v>88.87</v>
      </c>
      <c r="K5087" s="4">
        <v>0.77780000000000005</v>
      </c>
      <c r="L5087">
        <v>4.5999999999999996</v>
      </c>
      <c r="M5087">
        <v>426</v>
      </c>
      <c r="O5087" t="s">
        <v>25</v>
      </c>
      <c r="P5087" t="s">
        <v>4509</v>
      </c>
      <c r="Q5087" t="s">
        <v>6874</v>
      </c>
    </row>
    <row r="5088" spans="1:17" ht="15.5" x14ac:dyDescent="0.35">
      <c r="A5088" s="3" t="str">
        <f>HYPERLINK("https://edmondsonsupply.com/collections/electricians-tools/products/klein-tools-56220-led-headlamp-flashlight-with-strap-for-hard-hat", "https://edmondsonsupply.com/collections/electricians-tools/products/klein-tools-56220-led-headlamp-flashlight-with-strap-for-hard-hat")</f>
        <v>https://edmondsonsupply.com/collections/electricians-tools/products/klein-tools-56220-led-headlamp-flashlight-with-strap-for-hard-hat</v>
      </c>
      <c r="B5088"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5088" t="s">
        <v>933</v>
      </c>
      <c r="D5088" t="s">
        <v>934</v>
      </c>
      <c r="E5088" s="3" t="str">
        <f>HYPERLINK("https://www.amazon.com/Klein-Tools-Rechargeable-Auto-Off-Headlamp/dp/B09Z932C3Z/ref=sr_1_8?keywords=Klein+Tools+56220+LED+Headlamp+with+Silicone+Hard+Hat+Strap&amp;qid=1695173937&amp;sr=8-8", "https://www.amazon.com/Klein-Tools-Rechargeable-Auto-Off-Headlamp/dp/B09Z932C3Z/ref=sr_1_8?keywords=Klein+Tools+56220+LED+Headlamp+with+Silicone+Hard+Hat+Strap&amp;qid=1695173937&amp;sr=8-8")</f>
        <v>https://www.amazon.com/Klein-Tools-Rechargeable-Auto-Off-Headlamp/dp/B09Z932C3Z/ref=sr_1_8?keywords=Klein+Tools+56220+LED+Headlamp+with+Silicone+Hard+Hat+Strap&amp;qid=1695173937&amp;sr=8-8</v>
      </c>
      <c r="F5088" t="s">
        <v>935</v>
      </c>
      <c r="G5088" t="e">
        <f ca="1">_xludf.IMAGE("https://edmondsonsupply.com/cdn/shop/files/56220_874194e8-71d5-41d8-a579-6dec47b3f455.jpg?v=1687356671")</f>
        <v>#NAME?</v>
      </c>
      <c r="H5088" t="e">
        <f ca="1">_xludf.IMAGE("https://m.media-amazon.com/images/I/51-nHtYlwEL._AC_UL320_.jpg")</f>
        <v>#NAME?</v>
      </c>
      <c r="I5088" t="s">
        <v>936</v>
      </c>
      <c r="J5088">
        <v>47.94</v>
      </c>
      <c r="K5088" s="4">
        <v>0.77749999999999997</v>
      </c>
      <c r="L5088">
        <v>5</v>
      </c>
      <c r="M5088">
        <v>1</v>
      </c>
      <c r="O5088" t="s">
        <v>25</v>
      </c>
      <c r="P5088" t="s">
        <v>937</v>
      </c>
      <c r="Q5088" t="s">
        <v>938</v>
      </c>
    </row>
    <row r="5089" spans="1:17" ht="15.5" x14ac:dyDescent="0.35">
      <c r="A5089"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5089" s="3" t="str">
        <f>HYPERLINK("https://edmondsonsupply.com/products/klein-tools-vdv500-123-probe-pro-tracing-probe", "https://edmondsonsupply.com/products/klein-tools-vdv500-123-probe-pro-tracing-probe")</f>
        <v>https://edmondsonsupply.com/products/klein-tools-vdv500-123-probe-pro-tracing-probe</v>
      </c>
      <c r="C5089" t="s">
        <v>6065</v>
      </c>
      <c r="D5089" t="s">
        <v>6875</v>
      </c>
      <c r="E5089" s="3" t="str">
        <f>HYPERLINK("https://www.amazon.com/Klein-Tools-Tone-Probe-PRO/dp/B07VYN98QV/ref=sr_1_10?keywords=Klein+Tools+VDV500-123+Probe-PRO+Tracing+Probe&amp;qid=1695173898&amp;sr=8-10", "https://www.amazon.com/Klein-Tools-Tone-Probe-PRO/dp/B07VYN98QV/ref=sr_1_10?keywords=Klein+Tools+VDV500-123+Probe-PRO+Tracing+Probe&amp;qid=1695173898&amp;sr=8-10")</f>
        <v>https://www.amazon.com/Klein-Tools-Tone-Probe-PRO/dp/B07VYN98QV/ref=sr_1_10?keywords=Klein+Tools+VDV500-123+Probe-PRO+Tracing+Probe&amp;qid=1695173898&amp;sr=8-10</v>
      </c>
      <c r="F5089" t="s">
        <v>6876</v>
      </c>
      <c r="G5089" t="e">
        <f ca="1">_xludf.IMAGE("https://edmondsonsupply.com/cdn/shop/products/vdv500123.jpg?v=1587142783")</f>
        <v>#NAME?</v>
      </c>
      <c r="H5089" t="e">
        <f ca="1">_xludf.IMAGE("https://m.media-amazon.com/images/I/612EgCjy2xL._AC_UY218_.jpg")</f>
        <v>#NAME?</v>
      </c>
      <c r="I5089" t="s">
        <v>946</v>
      </c>
      <c r="J5089">
        <v>79.97</v>
      </c>
      <c r="K5089" s="4">
        <v>0.77749999999999997</v>
      </c>
      <c r="L5089">
        <v>4.7</v>
      </c>
      <c r="M5089">
        <v>3617</v>
      </c>
      <c r="O5089" t="s">
        <v>25</v>
      </c>
      <c r="P5089" t="s">
        <v>6068</v>
      </c>
      <c r="Q5089" t="s">
        <v>6069</v>
      </c>
    </row>
    <row r="5090" spans="1:17" ht="15.5" x14ac:dyDescent="0.35">
      <c r="A5090"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5090" s="3" t="str">
        <f>HYPERLINK("https://edmondsonsupply.com/products/klein-tools-32305-15-in-1-multi-bit-ratcheting-screwdriver", "https://edmondsonsupply.com/products/klein-tools-32305-15-in-1-multi-bit-ratcheting-screwdriver")</f>
        <v>https://edmondsonsupply.com/products/klein-tools-32305-15-in-1-multi-bit-ratcheting-screwdriver</v>
      </c>
      <c r="C5090" t="s">
        <v>6262</v>
      </c>
      <c r="D5090" t="s">
        <v>6877</v>
      </c>
      <c r="E5090" s="3" t="str">
        <f>HYPERLINK("https://www.amazon.com/Klein-Tools-Multi-bit-Screwdriver-Ratcheting/dp/B0B56L1H2R/ref=sr_1_2?keywords=Klein+Tools+32305+15-in-1+Multi-Bit+Ratcheting+Screwdriver&amp;qid=1695174215&amp;sr=8-2", "https://www.amazon.com/Klein-Tools-Multi-bit-Screwdriver-Ratcheting/dp/B0B56L1H2R/ref=sr_1_2?keywords=Klein+Tools+32305+15-in-1+Multi-Bit+Ratcheting+Screwdriver&amp;qid=1695174215&amp;sr=8-2")</f>
        <v>https://www.amazon.com/Klein-Tools-Multi-bit-Screwdriver-Ratcheting/dp/B0B56L1H2R/ref=sr_1_2?keywords=Klein+Tools+32305+15-in-1+Multi-Bit+Ratcheting+Screwdriver&amp;qid=1695174215&amp;sr=8-2</v>
      </c>
      <c r="F5090" t="s">
        <v>6878</v>
      </c>
      <c r="G5090" t="e">
        <f ca="1">_xludf.IMAGE("https://edmondsonsupply.com/cdn/shop/products/32305.jpg?v=1646965475")</f>
        <v>#NAME?</v>
      </c>
      <c r="H5090" t="e">
        <f ca="1">_xludf.IMAGE("https://m.media-amazon.com/images/I/51Y3KYHxHyL._AC_UL320_.jpg")</f>
        <v>#NAME?</v>
      </c>
      <c r="I5090" t="s">
        <v>2247</v>
      </c>
      <c r="J5090">
        <v>38.94</v>
      </c>
      <c r="K5090" s="4">
        <v>0.77239999999999998</v>
      </c>
      <c r="L5090">
        <v>4.7</v>
      </c>
      <c r="M5090">
        <v>127</v>
      </c>
      <c r="O5090" t="s">
        <v>25</v>
      </c>
      <c r="P5090" t="s">
        <v>6200</v>
      </c>
      <c r="Q5090" t="s">
        <v>6265</v>
      </c>
    </row>
    <row r="5091" spans="1:17" ht="15.5" x14ac:dyDescent="0.35">
      <c r="A5091"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5091" s="3" t="str">
        <f>HYPERLINK("https://edmondsonsupply.com/products/diablo-tools-d0824x-8-1-4-in-x-24-tooth-framing-saw-blade", "https://edmondsonsupply.com/products/diablo-tools-d0824x-8-1-4-in-x-24-tooth-framing-saw-blade")</f>
        <v>https://edmondsonsupply.com/products/diablo-tools-d0824x-8-1-4-in-x-24-tooth-framing-saw-blade</v>
      </c>
      <c r="C5091" t="s">
        <v>6161</v>
      </c>
      <c r="D5091" t="s">
        <v>6879</v>
      </c>
      <c r="E5091" s="3" t="str">
        <f>HYPERLINK("https://www.amazon.com/Diablo-D0824X-Circular-Framing-Blade/dp/B01JED7NYY/ref=sr_1_8?keywords=Diablo+Tools+D0824X+8-1%2F4+in.+x+24+Tooth+Framing+Saw+Blade&amp;qid=1695174053&amp;sr=8-8", "https://www.amazon.com/Diablo-D0824X-Circular-Framing-Blade/dp/B01JED7NYY/ref=sr_1_8?keywords=Diablo+Tools+D0824X+8-1%2F4+in.+x+24+Tooth+Framing+Saw+Blade&amp;qid=1695174053&amp;sr=8-8")</f>
        <v>https://www.amazon.com/Diablo-D0824X-Circular-Framing-Blade/dp/B01JED7NYY/ref=sr_1_8?keywords=Diablo+Tools+D0824X+8-1%2F4+in.+x+24+Tooth+Framing+Saw+Blade&amp;qid=1695174053&amp;sr=8-8</v>
      </c>
      <c r="F5091" t="s">
        <v>6880</v>
      </c>
      <c r="G5091" t="e">
        <f ca="1">_xludf.IMAGE("https://edmondsonsupply.com/cdn/shop/products/waqxzlwfclzed6nt6ziy.webp?v=1678979454")</f>
        <v>#NAME?</v>
      </c>
      <c r="H5091" t="e">
        <f ca="1">_xludf.IMAGE("https://m.media-amazon.com/images/I/51ls-l0pZ8L._AC_UL320_.jpg")</f>
        <v>#NAME?</v>
      </c>
      <c r="I5091" t="s">
        <v>6164</v>
      </c>
      <c r="J5091">
        <v>33.619999999999997</v>
      </c>
      <c r="K5091" s="4">
        <v>0.77229999999999999</v>
      </c>
      <c r="L5091">
        <v>3</v>
      </c>
      <c r="M5091">
        <v>2</v>
      </c>
      <c r="O5091" t="s">
        <v>25</v>
      </c>
      <c r="P5091" t="s">
        <v>6165</v>
      </c>
      <c r="Q5091" t="s">
        <v>6166</v>
      </c>
    </row>
    <row r="5092" spans="1:17" ht="15.5" x14ac:dyDescent="0.35">
      <c r="A5092" s="3" t="str">
        <f>HYPERLINK("https://edmondsonsupply.com/collections/electricians-tools/products/klein-tools-vdv770-126-carrying-case-for-scout%C2%AE-pro-3-tester-and-locator-remotes", "https://edmondsonsupply.com/collections/electricians-tools/products/klein-tools-vdv770-126-carrying-case-for-scout%C2%AE-pro-3-tester-and-locator-remotes")</f>
        <v>https://edmondsonsupply.com/collections/electricians-tools/products/klein-tools-vdv770-126-carrying-case-for-scout%C2%AE-pro-3-tester-and-locator-remotes</v>
      </c>
      <c r="B5092" s="3" t="str">
        <f>HYPERLINK("https://edmondsonsupply.com/products/klein-tools-vdv770-126-carrying-case-for-scout%c2%ae-pro-3-tester-and-locator-remotes", "https://edmondsonsupply.com/products/klein-tools-vdv770-126-carrying-case-for-scout%c2%ae-pro-3-tester-and-locator-remotes")</f>
        <v>https://edmondsonsupply.com/products/klein-tools-vdv770-126-carrying-case-for-scout%c2%ae-pro-3-tester-and-locator-remotes</v>
      </c>
      <c r="C5092" t="s">
        <v>6279</v>
      </c>
      <c r="D5092" t="s">
        <v>6881</v>
      </c>
      <c r="E5092" s="3" t="str">
        <f>HYPERLINK("https://www.amazon.com/Klein-Tools-VDV770-125-Replacement-Carrying/dp/B08C4LJTX8/ref=sr_1_3?keywords=Klein+Tools+VDV770-126+Carrying+Case+for+Scout%C2%AE+Pro+3+Tester+and+Locator+Remotes&amp;qid=1695174229&amp;sr=8-3", "https://www.amazon.com/Klein-Tools-VDV770-125-Replacement-Carrying/dp/B08C4LJTX8/ref=sr_1_3?keywords=Klein+Tools+VDV770-126+Carrying+Case+for+Scout%C2%AE+Pro+3+Tester+and+Locator+Remotes&amp;qid=1695174229&amp;sr=8-3")</f>
        <v>https://www.amazon.com/Klein-Tools-VDV770-125-Replacement-Carrying/dp/B08C4LJTX8/ref=sr_1_3?keywords=Klein+Tools+VDV770-126+Carrying+Case+for+Scout%C2%AE+Pro+3+Tester+and+Locator+Remotes&amp;qid=1695174229&amp;sr=8-3</v>
      </c>
      <c r="F5092" t="s">
        <v>6882</v>
      </c>
      <c r="G5092" t="e">
        <f ca="1">_xludf.IMAGE("https://edmondsonsupply.com/cdn/shop/products/vdv770126.jpg?v=1646011163")</f>
        <v>#NAME?</v>
      </c>
      <c r="H5092" t="e">
        <f ca="1">_xludf.IMAGE("https://m.media-amazon.com/images/I/713iEVC-N0L._AC_UL320_.jpg")</f>
        <v>#NAME?</v>
      </c>
      <c r="I5092" t="s">
        <v>6282</v>
      </c>
      <c r="J5092">
        <v>57.49</v>
      </c>
      <c r="K5092" s="4">
        <v>0.76949999999999996</v>
      </c>
      <c r="L5092">
        <v>4.8</v>
      </c>
      <c r="M5092">
        <v>44</v>
      </c>
      <c r="O5092" t="s">
        <v>25</v>
      </c>
      <c r="P5092" t="s">
        <v>6283</v>
      </c>
      <c r="Q5092" t="s">
        <v>6284</v>
      </c>
    </row>
    <row r="5093" spans="1:17" ht="15.5" x14ac:dyDescent="0.35">
      <c r="A5093" s="3" t="str">
        <f>HYPERLINK("https://edmondsonsupply.com/collections/electricians-tools/products/channellock-428", "https://edmondsonsupply.com/collections/electricians-tools/products/channellock-428")</f>
        <v>https://edmondsonsupply.com/collections/electricians-tools/products/channellock-428</v>
      </c>
      <c r="B5093" s="3" t="str">
        <f>HYPERLINK("https://edmondsonsupply.com/products/channellock-428", "https://edmondsonsupply.com/products/channellock-428")</f>
        <v>https://edmondsonsupply.com/products/channellock-428</v>
      </c>
      <c r="C5093" t="s">
        <v>1791</v>
      </c>
      <c r="D5093" t="s">
        <v>6883</v>
      </c>
      <c r="E5093" s="3" t="str">
        <f>HYPERLINK("https://www.amazon.com/Channellock-GS-1-2-Inch-Tongue-Groove/dp/B00011V0GG/ref=sr_1_9?keywords=Channellock+428+8-Inch+Straight+Jaw+Tongue+%26+Groove+Pliers&amp;qid=1695173963&amp;sr=8-9", "https://www.amazon.com/Channellock-GS-1-2-Inch-Tongue-Groove/dp/B00011V0GG/ref=sr_1_9?keywords=Channellock+428+8-Inch+Straight+Jaw+Tongue+%26+Groove+Pliers&amp;qid=1695173963&amp;sr=8-9")</f>
        <v>https://www.amazon.com/Channellock-GS-1-2-Inch-Tongue-Groove/dp/B00011V0GG/ref=sr_1_9?keywords=Channellock+428+8-Inch+Straight+Jaw+Tongue+%26+Groove+Pliers&amp;qid=1695173963&amp;sr=8-9</v>
      </c>
      <c r="F5093" t="s">
        <v>6884</v>
      </c>
      <c r="G5093" t="e">
        <f ca="1">_xludf.IMAGE("https://edmondsonsupply.com/cdn/shop/products/428-683x1024.jpg?v=1587145854")</f>
        <v>#NAME?</v>
      </c>
      <c r="H5093" t="e">
        <f ca="1">_xludf.IMAGE("https://m.media-amazon.com/images/I/71s6rp1zXLL._AC_UL320_.jpg")</f>
        <v>#NAME?</v>
      </c>
      <c r="I5093" t="s">
        <v>1554</v>
      </c>
      <c r="J5093">
        <v>29.95</v>
      </c>
      <c r="K5093" s="4">
        <v>0.76700000000000002</v>
      </c>
      <c r="L5093">
        <v>4.8</v>
      </c>
      <c r="M5093">
        <v>5487</v>
      </c>
      <c r="O5093" t="s">
        <v>25</v>
      </c>
      <c r="P5093" t="s">
        <v>1794</v>
      </c>
      <c r="Q5093" t="s">
        <v>1795</v>
      </c>
    </row>
    <row r="5094" spans="1:17" ht="15.5" x14ac:dyDescent="0.35">
      <c r="A5094"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5094"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5094" t="s">
        <v>6393</v>
      </c>
      <c r="D5094" t="s">
        <v>6885</v>
      </c>
      <c r="E5094" s="3" t="str">
        <f>HYPERLINK("https://www.amazon.com/Klein-Tools-32581INS-Precision-Screwdriver/dp/B0C1QDNC55/ref=sr_1_2?keywords=Klein+Tools+614-2+1%2F16-Inch+Slotted+Electronics+Screwdriver%2C+2-Inch&amp;qid=1695174229&amp;sr=8-2", "https://www.amazon.com/Klein-Tools-32581INS-Precision-Screwdriver/dp/B0C1QDNC55/ref=sr_1_2?keywords=Klein+Tools+614-2+1%2F16-Inch+Slotted+Electronics+Screwdriver%2C+2-Inch&amp;qid=1695174229&amp;sr=8-2")</f>
        <v>https://www.amazon.com/Klein-Tools-32581INS-Precision-Screwdriver/dp/B0C1QDNC55/ref=sr_1_2?keywords=Klein+Tools+614-2+1%2F16-Inch+Slotted+Electronics+Screwdriver%2C+2-Inch&amp;qid=1695174229&amp;sr=8-2</v>
      </c>
      <c r="F5094" t="s">
        <v>6886</v>
      </c>
      <c r="G5094" t="e">
        <f ca="1">_xludf.IMAGE("https://edmondsonsupply.com/cdn/shop/products/614-2.jpg?v=1637284311")</f>
        <v>#NAME?</v>
      </c>
      <c r="H5094" t="e">
        <f ca="1">_xludf.IMAGE("https://m.media-amazon.com/images/I/41yD1dTTQ8L._AC_UL320_.jpg")</f>
        <v>#NAME?</v>
      </c>
      <c r="I5094" t="s">
        <v>6394</v>
      </c>
      <c r="J5094">
        <v>14.97</v>
      </c>
      <c r="K5094" s="4">
        <v>0.76329999999999998</v>
      </c>
      <c r="L5094">
        <v>4.7</v>
      </c>
      <c r="M5094">
        <v>90</v>
      </c>
      <c r="O5094" t="s">
        <v>25</v>
      </c>
      <c r="P5094" t="s">
        <v>6395</v>
      </c>
      <c r="Q5094" t="s">
        <v>6396</v>
      </c>
    </row>
    <row r="5095" spans="1:17" ht="15.5" x14ac:dyDescent="0.35">
      <c r="A5095"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5095"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5095" t="s">
        <v>6393</v>
      </c>
      <c r="D5095" t="s">
        <v>6887</v>
      </c>
      <c r="E5095" s="3" t="str">
        <f>HYPERLINK("https://www.amazon.com/Klein-Tools-32614-Screwdriver-Electronics/dp/B07PNC5MPB/ref=sr_1_7?keywords=Klein+Tools+614-2+1%2F16-Inch+Slotted+Electronics+Screwdriver%2C+2-Inch&amp;qid=1695174229&amp;sr=8-7", "https://www.amazon.com/Klein-Tools-32614-Screwdriver-Electronics/dp/B07PNC5MPB/ref=sr_1_7?keywords=Klein+Tools+614-2+1%2F16-Inch+Slotted+Electronics+Screwdriver%2C+2-Inch&amp;qid=1695174229&amp;sr=8-7")</f>
        <v>https://www.amazon.com/Klein-Tools-32614-Screwdriver-Electronics/dp/B07PNC5MPB/ref=sr_1_7?keywords=Klein+Tools+614-2+1%2F16-Inch+Slotted+Electronics+Screwdriver%2C+2-Inch&amp;qid=1695174229&amp;sr=8-7</v>
      </c>
      <c r="F5095" t="s">
        <v>6888</v>
      </c>
      <c r="G5095" t="e">
        <f ca="1">_xludf.IMAGE("https://edmondsonsupply.com/cdn/shop/products/614-2.jpg?v=1637284311")</f>
        <v>#NAME?</v>
      </c>
      <c r="H5095" t="e">
        <f ca="1">_xludf.IMAGE("https://m.media-amazon.com/images/I/412OaAua5aL._AC_UL320_.jpg")</f>
        <v>#NAME?</v>
      </c>
      <c r="I5095" t="s">
        <v>6394</v>
      </c>
      <c r="J5095">
        <v>14.97</v>
      </c>
      <c r="K5095" s="4">
        <v>0.76329999999999998</v>
      </c>
      <c r="L5095">
        <v>4.7</v>
      </c>
      <c r="M5095">
        <v>9195</v>
      </c>
      <c r="O5095" t="s">
        <v>25</v>
      </c>
      <c r="P5095" t="s">
        <v>6395</v>
      </c>
      <c r="Q5095" t="s">
        <v>6396</v>
      </c>
    </row>
    <row r="5096" spans="1:17" ht="15.5" x14ac:dyDescent="0.35">
      <c r="A5096" s="3" t="str">
        <f>HYPERLINK("https://edmondsonsupply.com/collections/electricians-tools/products/klein-tools-32796-pro-impact-power-bits-assorted-7-pack", "https://edmondsonsupply.com/collections/electricians-tools/products/klein-tools-32796-pro-impact-power-bits-assorted-7-pack")</f>
        <v>https://edmondsonsupply.com/collections/electricians-tools/products/klein-tools-32796-pro-impact-power-bits-assorted-7-pack</v>
      </c>
      <c r="B5096" s="3" t="str">
        <f>HYPERLINK("https://edmondsonsupply.com/products/klein-tools-32796-pro-impact-power-bits-assorted-7-pack", "https://edmondsonsupply.com/products/klein-tools-32796-pro-impact-power-bits-assorted-7-pack")</f>
        <v>https://edmondsonsupply.com/products/klein-tools-32796-pro-impact-power-bits-assorted-7-pack</v>
      </c>
      <c r="C5096" t="s">
        <v>2711</v>
      </c>
      <c r="D5096" t="s">
        <v>2712</v>
      </c>
      <c r="E5096" s="3" t="str">
        <f>HYPERLINK("https://www.amazon.com/Klein-Tools-32796-Assorted-Drivers/dp/B07RL6TJPM/ref=sr_1_1?keywords=Klein+Tools+32796+Pro+Impact+Power+Bits%2C+Assorted+7-Pack&amp;qid=1695173955&amp;sr=8-1", "https://www.amazon.com/Klein-Tools-32796-Assorted-Drivers/dp/B07RL6TJPM/ref=sr_1_1?keywords=Klein+Tools+32796+Pro+Impact+Power+Bits%2C+Assorted+7-Pack&amp;qid=1695173955&amp;sr=8-1")</f>
        <v>https://www.amazon.com/Klein-Tools-32796-Assorted-Drivers/dp/B07RL6TJPM/ref=sr_1_1?keywords=Klein+Tools+32796+Pro+Impact+Power+Bits%2C+Assorted+7-Pack&amp;qid=1695173955&amp;sr=8-1</v>
      </c>
      <c r="F5096" t="s">
        <v>2713</v>
      </c>
      <c r="G5096" t="e">
        <f ca="1">_xludf.IMAGE("https://edmondsonsupply.com/cdn/shop/products/32796.jpg?v=1587146803")</f>
        <v>#NAME?</v>
      </c>
      <c r="H5096" t="e">
        <f ca="1">_xludf.IMAGE("https://m.media-amazon.com/images/I/51lVLHao0uL._AC_UL320_.jpg")</f>
        <v>#NAME?</v>
      </c>
      <c r="I5096" t="s">
        <v>2639</v>
      </c>
      <c r="J5096">
        <v>10.56</v>
      </c>
      <c r="K5096" s="4">
        <v>0.76290000000000002</v>
      </c>
      <c r="L5096">
        <v>4.4000000000000004</v>
      </c>
      <c r="M5096">
        <v>47</v>
      </c>
      <c r="O5096" t="s">
        <v>25</v>
      </c>
      <c r="P5096" t="s">
        <v>2714</v>
      </c>
      <c r="Q5096" t="s">
        <v>2715</v>
      </c>
    </row>
    <row r="5097" spans="1:17" ht="15.5" x14ac:dyDescent="0.35">
      <c r="A5097"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5097"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5097" t="s">
        <v>6889</v>
      </c>
      <c r="D5097" t="s">
        <v>2386</v>
      </c>
      <c r="E5097" s="3" t="str">
        <f>HYPERLINK("https://www.amazon.com/Journeyman-T-Handle-Klein-Tools-JTH6E13BE/dp/B004QW52YW/ref=sr_1_2?keywords=Klein+Tools+JTH4E13+1%2F4-Inch+Hex+Key%2C+Journeyman%E2%84%A2+T-Handle%2C+4-Inch&amp;qid=1695174202&amp;sr=8-2", "https://www.amazon.com/Journeyman-T-Handle-Klein-Tools-JTH6E13BE/dp/B004QW52YW/ref=sr_1_2?keywords=Klein+Tools+JTH4E13+1%2F4-Inch+Hex+Key%2C+Journeyman%E2%84%A2+T-Handle%2C+4-Inch&amp;qid=1695174202&amp;sr=8-2")</f>
        <v>https://www.amazon.com/Journeyman-T-Handle-Klein-Tools-JTH6E13BE/dp/B004QW52YW/ref=sr_1_2?keywords=Klein+Tools+JTH4E13+1%2F4-Inch+Hex+Key%2C+Journeyman%E2%84%A2+T-Handle%2C+4-Inch&amp;qid=1695174202&amp;sr=8-2</v>
      </c>
      <c r="F5097" t="s">
        <v>2387</v>
      </c>
      <c r="G5097" t="e">
        <f ca="1">_xludf.IMAGE("https://edmondsonsupply.com/cdn/shop/products/jth4e13.jpg?v=1660919816")</f>
        <v>#NAME?</v>
      </c>
      <c r="H5097" t="e">
        <f ca="1">_xludf.IMAGE("https://m.media-amazon.com/images/I/51f9vBFVXgL._AC_UL320_.jpg")</f>
        <v>#NAME?</v>
      </c>
      <c r="I5097" t="s">
        <v>2639</v>
      </c>
      <c r="J5097">
        <v>10.55</v>
      </c>
      <c r="K5097" s="4">
        <v>0.76129999999999998</v>
      </c>
      <c r="L5097">
        <v>4.7</v>
      </c>
      <c r="M5097">
        <v>32</v>
      </c>
      <c r="O5097" t="s">
        <v>25</v>
      </c>
      <c r="P5097" t="s">
        <v>6890</v>
      </c>
      <c r="Q5097" t="s">
        <v>6891</v>
      </c>
    </row>
    <row r="5098" spans="1:17" ht="15.5" x14ac:dyDescent="0.35">
      <c r="A5098"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5098"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5098" t="s">
        <v>6463</v>
      </c>
      <c r="D5098" t="s">
        <v>2386</v>
      </c>
      <c r="E5098" s="3" t="str">
        <f>HYPERLINK("https://www.amazon.com/Journeyman-T-Handle-Klein-Tools-JTH6E13BE/dp/B004QW52YW/ref=sr_1_5?keywords=Klein+Tools+JTH6M6BE+6+mm+Ball-End+Hex+Key%2C+Journeyman%E2%84%A2+T-Handle%2C+6-Inch&amp;qid=1695174142&amp;sr=8-5", "https://www.amazon.com/Journeyman-T-Handle-Klein-Tools-JTH6E13BE/dp/B004QW52YW/ref=sr_1_5?keywords=Klein+Tools+JTH6M6BE+6+mm+Ball-End+Hex+Key%2C+Journeyman%E2%84%A2+T-Handle%2C+6-Inch&amp;qid=1695174142&amp;sr=8-5")</f>
        <v>https://www.amazon.com/Journeyman-T-Handle-Klein-Tools-JTH6E13BE/dp/B004QW52YW/ref=sr_1_5?keywords=Klein+Tools+JTH6M6BE+6+mm+Ball-End+Hex+Key%2C+Journeyman%E2%84%A2+T-Handle%2C+6-Inch&amp;qid=1695174142&amp;sr=8-5</v>
      </c>
      <c r="F5098" t="s">
        <v>2387</v>
      </c>
      <c r="G5098" t="e">
        <f ca="1">_xludf.IMAGE("https://edmondsonsupply.com/cdn/shop/products/jth6m8be_8608088e-2ec0-429e-80d7-5bd927a3a1b6.jpg?v=1666111557")</f>
        <v>#NAME?</v>
      </c>
      <c r="H5098" t="e">
        <f ca="1">_xludf.IMAGE("https://m.media-amazon.com/images/I/51f9vBFVXgL._AC_UL320_.jpg")</f>
        <v>#NAME?</v>
      </c>
      <c r="I5098" t="s">
        <v>2639</v>
      </c>
      <c r="J5098">
        <v>10.55</v>
      </c>
      <c r="K5098" s="4">
        <v>0.76129999999999998</v>
      </c>
      <c r="L5098">
        <v>4.7</v>
      </c>
      <c r="M5098">
        <v>32</v>
      </c>
      <c r="O5098" t="s">
        <v>25</v>
      </c>
      <c r="P5098" t="s">
        <v>6464</v>
      </c>
      <c r="Q5098" t="s">
        <v>6465</v>
      </c>
    </row>
    <row r="5099" spans="1:17" ht="15.5" x14ac:dyDescent="0.35">
      <c r="A5099" s="3" t="str">
        <f>HYPERLINK("https://edmondsonsupply.com/collections/electricians-tools/products/diablo-tools-dsp2090-3-4-in-x-6-in-spade-bit", "https://edmondsonsupply.com/collections/electricians-tools/products/diablo-tools-dsp2090-3-4-in-x-6-in-spade-bit")</f>
        <v>https://edmondsonsupply.com/collections/electricians-tools/products/diablo-tools-dsp2090-3-4-in-x-6-in-spade-bit</v>
      </c>
      <c r="B5099" s="3" t="str">
        <f>HYPERLINK("https://edmondsonsupply.com/products/diablo-tools-dsp2090-3-4-in-x-6-in-spade-bit", "https://edmondsonsupply.com/products/diablo-tools-dsp2090-3-4-in-x-6-in-spade-bit")</f>
        <v>https://edmondsonsupply.com/products/diablo-tools-dsp2090-3-4-in-x-6-in-spade-bit</v>
      </c>
      <c r="C5099" t="s">
        <v>5819</v>
      </c>
      <c r="D5099" t="s">
        <v>5820</v>
      </c>
      <c r="E5099" s="3" t="str">
        <f>HYPERLINK("https://www.amazon.com/DEWALT-DW1578-4-Inch-6-Inch-Spade/dp/B0001LQYGM/ref=sr_1_7?keywords=Diablo+Tools+DSP2090+3%2F4+in.+x+6+in.+Spade+Bit&amp;qid=1695174000&amp;sr=8-7", "https://www.amazon.com/DEWALT-DW1578-4-Inch-6-Inch-Spade/dp/B0001LQYGM/ref=sr_1_7?keywords=Diablo+Tools+DSP2090+3%2F4+in.+x+6+in.+Spade+Bit&amp;qid=1695174000&amp;sr=8-7")</f>
        <v>https://www.amazon.com/DEWALT-DW1578-4-Inch-6-Inch-Spade/dp/B0001LQYGM/ref=sr_1_7?keywords=Diablo+Tools+DSP2090+3%2F4+in.+x+6+in.+Spade+Bit&amp;qid=1695174000&amp;sr=8-7</v>
      </c>
      <c r="F5099" t="s">
        <v>5821</v>
      </c>
      <c r="G5099" t="e">
        <f ca="1">_xludf.IMAGE("https://edmondsonsupply.com/cdn/shop/files/hg4rmyretai2aybkajqp.webp?v=1686587275")</f>
        <v>#NAME?</v>
      </c>
      <c r="H5099" t="e">
        <f ca="1">_xludf.IMAGE("https://m.media-amazon.com/images/I/61oA5ym2OLS._AC_UL320_.jpg")</f>
        <v>#NAME?</v>
      </c>
      <c r="I5099" t="s">
        <v>5822</v>
      </c>
      <c r="J5099">
        <v>9.43</v>
      </c>
      <c r="K5099" s="4">
        <v>0.75609999999999999</v>
      </c>
      <c r="L5099">
        <v>4.5999999999999996</v>
      </c>
      <c r="M5099">
        <v>6815</v>
      </c>
      <c r="O5099" t="s">
        <v>25</v>
      </c>
      <c r="P5099" t="s">
        <v>138</v>
      </c>
      <c r="Q5099" t="s">
        <v>5823</v>
      </c>
    </row>
    <row r="5100" spans="1:17" ht="15.5" x14ac:dyDescent="0.35">
      <c r="A5100"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5100"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5100" t="s">
        <v>6870</v>
      </c>
      <c r="D5100" t="s">
        <v>2368</v>
      </c>
      <c r="E5100" s="3" t="str">
        <f>HYPERLINK("https://www.amazon.com/Klein-Tools-JTH9E14-Journeyman-T-Handle/dp/B0CF2VDSX2/ref=sr_1_9?keywords=Klein+Tools+JTH6E14BE+5%2F16-Inch+Ball+End+Hex+Key+with+T-Handle%2C+6-Inch&amp;qid=1695174246&amp;sr=8-9", "https://www.amazon.com/Klein-Tools-JTH9E14-Journeyman-T-Handle/dp/B0CF2VDSX2/ref=sr_1_9?keywords=Klein+Tools+JTH6E14BE+5%2F16-Inch+Ball+End+Hex+Key+with+T-Handle%2C+6-Inch&amp;qid=1695174246&amp;sr=8-9")</f>
        <v>https://www.amazon.com/Klein-Tools-JTH9E14-Journeyman-T-Handle/dp/B0CF2VDSX2/ref=sr_1_9?keywords=Klein+Tools+JTH6E14BE+5%2F16-Inch+Ball+End+Hex+Key+with+T-Handle%2C+6-Inch&amp;qid=1695174246&amp;sr=8-9</v>
      </c>
      <c r="F5100" t="s">
        <v>2369</v>
      </c>
      <c r="G5100" t="e">
        <f ca="1">_xludf.IMAGE("https://edmondsonsupply.com/cdn/shop/products/jth6e13be_0da4cca6-ce15-419c-bc75-cd610bd9637f.jpg?v=1629825198")</f>
        <v>#NAME?</v>
      </c>
      <c r="H5100" t="e">
        <f ca="1">_xludf.IMAGE("https://m.media-amazon.com/images/I/317IAARii7L._AC_UL320_.jpg")</f>
        <v>#NAME?</v>
      </c>
      <c r="I5100" t="s">
        <v>6394</v>
      </c>
      <c r="J5100">
        <v>14.88</v>
      </c>
      <c r="K5100" s="4">
        <v>0.75270000000000004</v>
      </c>
      <c r="L5100">
        <v>4.5999999999999996</v>
      </c>
      <c r="M5100">
        <v>393</v>
      </c>
      <c r="O5100" t="s">
        <v>25</v>
      </c>
      <c r="P5100" t="s">
        <v>6871</v>
      </c>
      <c r="Q5100" t="s">
        <v>6872</v>
      </c>
    </row>
    <row r="5101" spans="1:17" ht="15.5" x14ac:dyDescent="0.35">
      <c r="A5101" s="3" t="str">
        <f>HYPERLINK("https://edmondsonsupply.com/collections/electricians-tools/products/klein-tools-94155-american-legacy-lineman-pliers-and-klein-kurve%C2%AE-wire-stripper-cutter", "https://edmondsonsupply.com/collections/electricians-tools/products/klein-tools-94155-american-legacy-lineman-pliers-and-klein-kurve%C2%AE-wire-stripper-cutter")</f>
        <v>https://edmondsonsupply.com/collections/electricians-tools/products/klein-tools-94155-american-legacy-lineman-pliers-and-klein-kurve%C2%AE-wire-stripper-cutter</v>
      </c>
      <c r="B5101"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5101" t="s">
        <v>195</v>
      </c>
      <c r="D5101" t="s">
        <v>196</v>
      </c>
      <c r="E5101" s="3" t="str">
        <f>HYPERLINK("https://www.amazon.com/Linemans-Side-Cutting-Klein-Tools-80043/dp/B0977RM5G5/ref=sr_1_4?keywords=Klein+Tools+94155+American+Legacy+Lineman+Pliers+and+Klein-Kurve%C2%AE+Wire+Stripper+%2F+Cutter&amp;qid=1695173851&amp;sr=8-4", "https://www.amazon.com/Linemans-Side-Cutting-Klein-Tools-80043/dp/B0977RM5G5/ref=sr_1_4?keywords=Klein+Tools+94155+American+Legacy+Lineman+Pliers+and+Klein-Kurve%C2%AE+Wire+Stripper+%2F+Cutter&amp;qid=1695173851&amp;sr=8-4")</f>
        <v>https://www.amazon.com/Linemans-Side-Cutting-Klein-Tools-80043/dp/B0977RM5G5/ref=sr_1_4?keywords=Klein+Tools+94155+American+Legacy+Lineman+Pliers+and+Klein-Kurve%C2%AE+Wire+Stripper+%2F+Cutter&amp;qid=1695173851&amp;sr=8-4</v>
      </c>
      <c r="F5101" t="s">
        <v>197</v>
      </c>
      <c r="G5101" t="e">
        <f ca="1">_xludf.IMAGE("https://edmondsonsupply.com/cdn/shop/products/94155.jpg?v=1674141590")</f>
        <v>#NAME?</v>
      </c>
      <c r="H5101" t="e">
        <f ca="1">_xludf.IMAGE("https://m.media-amazon.com/images/I/51t8JGB+SAS._AC_UL320_.jpg")</f>
        <v>#NAME?</v>
      </c>
      <c r="I5101" t="s">
        <v>198</v>
      </c>
      <c r="J5101">
        <v>69.989999999999995</v>
      </c>
      <c r="K5101" s="4">
        <v>0.75019999999999998</v>
      </c>
      <c r="L5101">
        <v>4.8</v>
      </c>
      <c r="M5101">
        <v>1451</v>
      </c>
      <c r="O5101" t="s">
        <v>25</v>
      </c>
      <c r="P5101" t="s">
        <v>199</v>
      </c>
      <c r="Q5101" t="s">
        <v>200</v>
      </c>
    </row>
    <row r="5102" spans="1:17" ht="15.5" x14ac:dyDescent="0.35">
      <c r="A5102"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5102"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5102" t="s">
        <v>6595</v>
      </c>
      <c r="D5102" t="s">
        <v>6743</v>
      </c>
      <c r="E5102" s="3" t="str">
        <f>HYPERLINK("https://www.amazon.com/Klein-Tools-VDV226-110-Ratcheting-Connections/dp/B09T6YN1NB/ref=sr_1_9?keywords=Klein+Tools+VDV526-052+Cable+Tester%2C+LAN+Scout%C2%AE+Jr.+Continuity+Tester&amp;qid=1695174034&amp;sr=8-9", "https://www.amazon.com/Klein-Tools-VDV226-110-Ratcheting-Connections/dp/B09T6YN1NB/ref=sr_1_9?keywords=Klein+Tools+VDV526-052+Cable+Tester%2C+LAN+Scout%C2%AE+Jr.+Continuity+Tester&amp;qid=1695174034&amp;sr=8-9")</f>
        <v>https://www.amazon.com/Klein-Tools-VDV226-110-Ratcheting-Connections/dp/B09T6YN1NB/ref=sr_1_9?keywords=Klein+Tools+VDV526-052+Cable+Tester%2C+LAN+Scout%C2%AE+Jr.+Continuity+Tester&amp;qid=1695174034&amp;sr=8-9</v>
      </c>
      <c r="F5102" t="s">
        <v>6744</v>
      </c>
      <c r="G5102" t="e">
        <f ca="1">_xludf.IMAGE("https://edmondsonsupply.com/cdn/shop/files/vdv526-052.jpg?v=1685032494")</f>
        <v>#NAME?</v>
      </c>
      <c r="H5102" t="e">
        <f ca="1">_xludf.IMAGE("https://m.media-amazon.com/images/I/51-TxWp0yoL._AC_UY218_.jpg")</f>
        <v>#NAME?</v>
      </c>
      <c r="I5102" t="s">
        <v>5197</v>
      </c>
      <c r="J5102">
        <v>104.94</v>
      </c>
      <c r="K5102" s="4">
        <v>0.74990000000000001</v>
      </c>
      <c r="L5102">
        <v>5</v>
      </c>
      <c r="M5102">
        <v>6</v>
      </c>
      <c r="O5102" t="s">
        <v>25</v>
      </c>
      <c r="P5102" t="s">
        <v>6596</v>
      </c>
      <c r="Q5102" t="s">
        <v>6597</v>
      </c>
    </row>
    <row r="5103" spans="1:17" ht="15.5" x14ac:dyDescent="0.35">
      <c r="A5103"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5103"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5103" t="s">
        <v>2659</v>
      </c>
      <c r="D5103" t="s">
        <v>2774</v>
      </c>
      <c r="E5103" s="3" t="str">
        <f>HYPERLINK("https://www.amazon.com/Klein-Tools-Conduit-Lockout-Locknuts/dp/B0CF2F1JTM/ref=sr_1_6?keywords=Klein+Tools+70550+Pro+Folding+Hex+Key+Set%2C+11-Key%2C+SAE+Sizes&amp;qid=1695173950&amp;sr=8-6", "https://www.amazon.com/Klein-Tools-Conduit-Lockout-Locknuts/dp/B0CF2F1JTM/ref=sr_1_6?keywords=Klein+Tools+70550+Pro+Folding+Hex+Key+Set%2C+11-Key%2C+SAE+Sizes&amp;qid=1695173950&amp;sr=8-6")</f>
        <v>https://www.amazon.com/Klein-Tools-Conduit-Lockout-Locknuts/dp/B0CF2F1JTM/ref=sr_1_6?keywords=Klein+Tools+70550+Pro+Folding+Hex+Key+Set%2C+11-Key%2C+SAE+Sizes&amp;qid=1695173950&amp;sr=8-6</v>
      </c>
      <c r="F5103" t="s">
        <v>2775</v>
      </c>
      <c r="G5103" t="e">
        <f ca="1">_xludf.IMAGE("https://edmondsonsupply.com/cdn/shop/products/70550.jpg?v=1587145237")</f>
        <v>#NAME?</v>
      </c>
      <c r="H5103" t="e">
        <f ca="1">_xludf.IMAGE("https://m.media-amazon.com/images/I/41bIGhL6z5L._AC_UL320_.jpg")</f>
        <v>#NAME?</v>
      </c>
      <c r="I5103" t="s">
        <v>893</v>
      </c>
      <c r="J5103">
        <v>34.94</v>
      </c>
      <c r="K5103" s="4">
        <v>0.74960000000000004</v>
      </c>
      <c r="L5103">
        <v>4.5</v>
      </c>
      <c r="M5103">
        <v>127</v>
      </c>
      <c r="O5103" t="s">
        <v>25</v>
      </c>
      <c r="P5103" t="s">
        <v>2662</v>
      </c>
      <c r="Q5103" t="s">
        <v>2663</v>
      </c>
    </row>
    <row r="5104" spans="1:17" ht="15.5" x14ac:dyDescent="0.35">
      <c r="A5104"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5104" s="3" t="str">
        <f>HYPERLINK("https://edmondsonsupply.com/products/klein-tools-32907-7-in-1-impact-flip-socket-set-no-handle", "https://edmondsonsupply.com/products/klein-tools-32907-7-in-1-impact-flip-socket-set-no-handle")</f>
        <v>https://edmondsonsupply.com/products/klein-tools-32907-7-in-1-impact-flip-socket-set-no-handle</v>
      </c>
      <c r="C5104" t="s">
        <v>1833</v>
      </c>
      <c r="D5104" t="s">
        <v>2776</v>
      </c>
      <c r="E5104" s="3" t="str">
        <f>HYPERLINK("https://www.amazon.com/Klein-Tools-Conduit-Lockout-Locknuts/dp/B0CF2DNQ9B/ref=sr_1_7?keywords=Klein+Tools+32907+7-in-1+Impact+Flip+Socket+Set%2C+No+Handle&amp;qid=1695173886&amp;sr=8-7", "https://www.amazon.com/Klein-Tools-Conduit-Lockout-Locknuts/dp/B0CF2DNQ9B/ref=sr_1_7?keywords=Klein+Tools+32907+7-in-1+Impact+Flip+Socket+Set%2C+No+Handle&amp;qid=1695173886&amp;sr=8-7")</f>
        <v>https://www.amazon.com/Klein-Tools-Conduit-Lockout-Locknuts/dp/B0CF2DNQ9B/ref=sr_1_7?keywords=Klein+Tools+32907+7-in-1+Impact+Flip+Socket+Set%2C+No+Handle&amp;qid=1695173886&amp;sr=8-7</v>
      </c>
      <c r="F5104" t="s">
        <v>2777</v>
      </c>
      <c r="G5104" t="e">
        <f ca="1">_xludf.IMAGE("https://edmondsonsupply.com/cdn/shop/products/32907_b.jpg?v=1666025282")</f>
        <v>#NAME?</v>
      </c>
      <c r="H5104" t="e">
        <f ca="1">_xludf.IMAGE("https://m.media-amazon.com/images/I/41kMxpco1dL._AC_UL320_.jpg")</f>
        <v>#NAME?</v>
      </c>
      <c r="I5104" t="s">
        <v>577</v>
      </c>
      <c r="J5104">
        <v>34.96</v>
      </c>
      <c r="K5104" s="4">
        <v>0.74890000000000001</v>
      </c>
      <c r="L5104">
        <v>4.5</v>
      </c>
      <c r="M5104">
        <v>127</v>
      </c>
      <c r="O5104" t="s">
        <v>25</v>
      </c>
      <c r="P5104" t="s">
        <v>1836</v>
      </c>
      <c r="Q5104" t="s">
        <v>1837</v>
      </c>
    </row>
    <row r="5105" spans="1:17" ht="15.5" x14ac:dyDescent="0.35">
      <c r="A5105"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5105" s="3" t="str">
        <f>HYPERLINK("https://edmondsonsupply.com/products/klein-tools-jth9m5-4-mm-hex-key-journeyman-t-handle-9-inch", "https://edmondsonsupply.com/products/klein-tools-jth9m5-4-mm-hex-key-journeyman-t-handle-9-inch")</f>
        <v>https://edmondsonsupply.com/products/klein-tools-jth9m5-4-mm-hex-key-journeyman-t-handle-9-inch</v>
      </c>
      <c r="C5105" t="s">
        <v>6121</v>
      </c>
      <c r="D5105" t="s">
        <v>3026</v>
      </c>
      <c r="E5105" s="3" t="str">
        <f>HYPERLINK("https://www.amazon.com/Journeyman-T-Handle-Klein-Tools-JTH9M4/dp/B005G3HJ8M/ref=sr_1_1?keywords=Klein+Tools+JTH9M4+4+mm+Hex+Key%2C+Journeyman+T-Handle%2C+9-Inch&amp;qid=1695174234&amp;sr=8-1", "https://www.amazon.com/Journeyman-T-Handle-Klein-Tools-JTH9M4/dp/B005G3HJ8M/ref=sr_1_1?keywords=Klein+Tools+JTH9M4+4+mm+Hex+Key%2C+Journeyman+T-Handle%2C+9-Inch&amp;qid=1695174234&amp;sr=8-1")</f>
        <v>https://www.amazon.com/Journeyman-T-Handle-Klein-Tools-JTH9M4/dp/B005G3HJ8M/ref=sr_1_1?keywords=Klein+Tools+JTH9M4+4+mm+Hex+Key%2C+Journeyman+T-Handle%2C+9-Inch&amp;qid=1695174234&amp;sr=8-1</v>
      </c>
      <c r="F5105" t="s">
        <v>3027</v>
      </c>
      <c r="G5105" t="e">
        <f ca="1">_xludf.IMAGE("https://edmondsonsupply.com/cdn/shop/products/jth9m_fa8a641d-d03f-4191-ab24-b9045963e4f7.jpg?v=1640191121")</f>
        <v>#NAME?</v>
      </c>
      <c r="H5105" t="e">
        <f ca="1">_xludf.IMAGE("https://m.media-amazon.com/images/I/51+1x0vz9XL._AC_UL320_.jpg")</f>
        <v>#NAME?</v>
      </c>
      <c r="I5105" t="s">
        <v>6122</v>
      </c>
      <c r="J5105">
        <v>7.84</v>
      </c>
      <c r="K5105" s="4">
        <v>0.74609999999999999</v>
      </c>
      <c r="L5105">
        <v>4.5999999999999996</v>
      </c>
      <c r="M5105">
        <v>135</v>
      </c>
      <c r="O5105" t="s">
        <v>25</v>
      </c>
      <c r="P5105" t="s">
        <v>6123</v>
      </c>
      <c r="Q5105" t="s">
        <v>6124</v>
      </c>
    </row>
    <row r="5106" spans="1:17" ht="15.5" x14ac:dyDescent="0.35">
      <c r="A5106" s="3" t="str">
        <f>HYPERLINK("https://edmondsonsupply.com/collections/electricians-tools/products/milwaukee-49-56-0509-diamond-max%E2%84%A2-hole-saws", "https://edmondsonsupply.com/collections/electricians-tools/products/milwaukee-49-56-0509-diamond-max%E2%84%A2-hole-saws")</f>
        <v>https://edmondsonsupply.com/collections/electricians-tools/products/milwaukee-49-56-0509-diamond-max%E2%84%A2-hole-saws</v>
      </c>
      <c r="B5106" s="3" t="str">
        <f>HYPERLINK("https://edmondsonsupply.com/products/milwaukee-49-56-0509-diamond-max%e2%84%a2-hole-saws", "https://edmondsonsupply.com/products/milwaukee-49-56-0509-diamond-max%e2%84%a2-hole-saws")</f>
        <v>https://edmondsonsupply.com/products/milwaukee-49-56-0509-diamond-max%e2%84%a2-hole-saws</v>
      </c>
      <c r="C5106" t="s">
        <v>6654</v>
      </c>
      <c r="D5106" t="s">
        <v>6892</v>
      </c>
      <c r="E5106" s="3" t="str">
        <f>HYPERLINK("https://www.amazon.com/Milwaukee-49-56-0500-Diamond-Grit-Piece/dp/B09L5DZ2TG/ref=sr_1_1?keywords=Milwaukee+49-56-0509+3%2F8%22+Diamond+MAX%E2%84%A2+Hole+Saw&amp;qid=1695174089&amp;sr=8-1", "https://www.amazon.com/Milwaukee-49-56-0500-Diamond-Grit-Piece/dp/B09L5DZ2TG/ref=sr_1_1?keywords=Milwaukee+49-56-0509+3%2F8%22+Diamond+MAX%E2%84%A2+Hole+Saw&amp;qid=1695174089&amp;sr=8-1")</f>
        <v>https://www.amazon.com/Milwaukee-49-56-0500-Diamond-Grit-Piece/dp/B09L5DZ2TG/ref=sr_1_1?keywords=Milwaukee+49-56-0509+3%2F8%22+Diamond+MAX%E2%84%A2+Hole+Saw&amp;qid=1695174089&amp;sr=8-1</v>
      </c>
      <c r="F5106" t="s">
        <v>6893</v>
      </c>
      <c r="G5106" t="e">
        <f ca="1">_xludf.IMAGE("https://edmondsonsupply.com/cdn/shop/products/images.jpg?v=1678461630")</f>
        <v>#NAME?</v>
      </c>
      <c r="H5106" t="e">
        <f ca="1">_xludf.IMAGE("https://m.media-amazon.com/images/I/71KrmL0Rx7L._AC_UL320_.jpg")</f>
        <v>#NAME?</v>
      </c>
      <c r="I5106" t="s">
        <v>3867</v>
      </c>
      <c r="J5106">
        <v>34.880000000000003</v>
      </c>
      <c r="K5106" s="4">
        <v>0.74570000000000003</v>
      </c>
      <c r="L5106">
        <v>4.8</v>
      </c>
      <c r="M5106">
        <v>31</v>
      </c>
      <c r="O5106" t="s">
        <v>25</v>
      </c>
      <c r="P5106" t="s">
        <v>6657</v>
      </c>
      <c r="Q5106" t="s">
        <v>6658</v>
      </c>
    </row>
    <row r="5107" spans="1:17" ht="15.5" x14ac:dyDescent="0.35">
      <c r="A5107" s="3" t="str">
        <f>HYPERLINK("https://edmondsonsupply.com/collections/electricians-tools/products/milwaukee-48-22-8485-packout%E2%84%A2-mounting-plate", "https://edmondsonsupply.com/collections/electricians-tools/products/milwaukee-48-22-8485-packout%E2%84%A2-mounting-plate")</f>
        <v>https://edmondsonsupply.com/collections/electricians-tools/products/milwaukee-48-22-8485-packout%E2%84%A2-mounting-plate</v>
      </c>
      <c r="B5107" s="3" t="str">
        <f>HYPERLINK("https://edmondsonsupply.com/products/milwaukee-48-22-8485-packout%e2%84%a2-mounting-plate", "https://edmondsonsupply.com/products/milwaukee-48-22-8485-packout%e2%84%a2-mounting-plate")</f>
        <v>https://edmondsonsupply.com/products/milwaukee-48-22-8485-packout%e2%84%a2-mounting-plate</v>
      </c>
      <c r="C5107" t="s">
        <v>6894</v>
      </c>
      <c r="D5107" t="s">
        <v>6895</v>
      </c>
      <c r="E5107" s="3" t="str">
        <f>HYPERLINK("https://www.amazon.com/48-22-8485-Packout-Floor-Mounting-Plate/dp/B09P3WTLRH/ref=sr_1_2?keywords=Milwaukee+48-22-8485+PACKOUT%E2%84%A2+Mounting+Plate&amp;qid=1695174070&amp;sr=8-2", "https://www.amazon.com/48-22-8485-Packout-Floor-Mounting-Plate/dp/B09P3WTLRH/ref=sr_1_2?keywords=Milwaukee+48-22-8485+PACKOUT%E2%84%A2+Mounting+Plate&amp;qid=1695174070&amp;sr=8-2")</f>
        <v>https://www.amazon.com/48-22-8485-Packout-Floor-Mounting-Plate/dp/B09P3WTLRH/ref=sr_1_2?keywords=Milwaukee+48-22-8485+PACKOUT%E2%84%A2+Mounting+Plate&amp;qid=1695174070&amp;sr=8-2</v>
      </c>
      <c r="F5107" t="s">
        <v>6896</v>
      </c>
      <c r="G5107" t="e">
        <f ca="1">_xludf.IMAGE("https://edmondsonsupply.com/cdn/shop/products/48-22-8485_3.png?v=1677252283")</f>
        <v>#NAME?</v>
      </c>
      <c r="H5107" t="e">
        <f ca="1">_xludf.IMAGE("https://m.media-amazon.com/images/I/41T8OMCzLzL._AC_UL320_.jpg")</f>
        <v>#NAME?</v>
      </c>
      <c r="I5107" t="s">
        <v>824</v>
      </c>
      <c r="J5107">
        <v>52.24</v>
      </c>
      <c r="K5107" s="4">
        <v>0.74309999999999998</v>
      </c>
      <c r="L5107">
        <v>4.8</v>
      </c>
      <c r="M5107">
        <v>6</v>
      </c>
      <c r="O5107" t="s">
        <v>25</v>
      </c>
      <c r="P5107" t="s">
        <v>6897</v>
      </c>
      <c r="Q5107" t="s">
        <v>6898</v>
      </c>
    </row>
    <row r="5108" spans="1:17" ht="15.5" x14ac:dyDescent="0.35">
      <c r="A5108" s="3" t="str">
        <f>HYPERLINK("https://edmondsonsupply.com/collections/electricians-tools/products/clc-1528-11", "https://edmondsonsupply.com/collections/electricians-tools/products/clc-1528-11")</f>
        <v>https://edmondsonsupply.com/collections/electricians-tools/products/clc-1528-11</v>
      </c>
      <c r="B5108" s="3" t="str">
        <f>HYPERLINK("https://edmondsonsupply.com/products/clc-1528-11", "https://edmondsonsupply.com/products/clc-1528-11")</f>
        <v>https://edmondsonsupply.com/products/clc-1528-11</v>
      </c>
      <c r="C5108" t="s">
        <v>389</v>
      </c>
      <c r="D5108" t="s">
        <v>390</v>
      </c>
      <c r="E5108" s="3" t="str">
        <f>HYPERLINK("https://www.amazon.com/Electrical-Maintenance-Carrier-Custom-LeatherCraft/dp/B0BFXQS1YT/ref=sr_1_3?keywords=CLC+1528+11%22+Electrical+%26+Maintenance+Tool+Carrier&amp;qid=1695173922&amp;sr=8-3", "https://www.amazon.com/Electrical-Maintenance-Carrier-Custom-LeatherCraft/dp/B0BFXQS1YT/ref=sr_1_3?keywords=CLC+1528+11%22+Electrical+%26+Maintenance+Tool+Carrier&amp;qid=1695173922&amp;sr=8-3")</f>
        <v>https://www.amazon.com/Electrical-Maintenance-Carrier-Custom-LeatherCraft/dp/B0BFXQS1YT/ref=sr_1_3?keywords=CLC+1528+11%22+Electrical+%26+Maintenance+Tool+Carrier&amp;qid=1695173922&amp;sr=8-3</v>
      </c>
      <c r="F5108" t="s">
        <v>391</v>
      </c>
      <c r="G5108" t="e">
        <f ca="1">_xludf.IMAGE("https://edmondsonsupply.com/cdn/shop/products/clc-1528__1_321x_3x.progressive_bf390c4e-ab2d-4119-a706-a1ca10a9b643.jpg?v=1609778372")</f>
        <v>#NAME?</v>
      </c>
      <c r="H5108" t="e">
        <f ca="1">_xludf.IMAGE("https://m.media-amazon.com/images/I/51Ev+6BezpL._AC_UL320_.jpg")</f>
        <v>#NAME?</v>
      </c>
      <c r="I5108" t="s">
        <v>392</v>
      </c>
      <c r="J5108">
        <v>121.75</v>
      </c>
      <c r="K5108" s="4">
        <v>0.74050000000000005</v>
      </c>
      <c r="L5108">
        <v>4.7</v>
      </c>
      <c r="M5108">
        <v>1781</v>
      </c>
      <c r="O5108" t="s">
        <v>25</v>
      </c>
      <c r="P5108" t="s">
        <v>393</v>
      </c>
      <c r="Q5108" t="s">
        <v>394</v>
      </c>
    </row>
    <row r="5109" spans="1:17" ht="15.5" x14ac:dyDescent="0.35">
      <c r="A5109" s="3" t="str">
        <f>HYPERLINK("https://edmondsonsupply.com/collections/electricians-tools/products/milwaukee-48-22-1502-fastback%E2%84%A2-folding-utility-knife-w-blade-storage", "https://edmondsonsupply.com/collections/electricians-tools/products/milwaukee-48-22-1502-fastback%E2%84%A2-folding-utility-knife-w-blade-storage")</f>
        <v>https://edmondsonsupply.com/collections/electricians-tools/products/milwaukee-48-22-1502-fastback%E2%84%A2-folding-utility-knife-w-blade-storage</v>
      </c>
      <c r="B5109" s="3" t="str">
        <f>HYPERLINK("https://edmondsonsupply.com/products/milwaukee-48-22-1502-fastback%e2%84%a2-folding-utility-knife-w-blade-storage", "https://edmondsonsupply.com/products/milwaukee-48-22-1502-fastback%e2%84%a2-folding-utility-knife-w-blade-storage")</f>
        <v>https://edmondsonsupply.com/products/milwaukee-48-22-1502-fastback%e2%84%a2-folding-utility-knife-w-blade-storage</v>
      </c>
      <c r="C5109" t="s">
        <v>2783</v>
      </c>
      <c r="D5109" t="s">
        <v>1942</v>
      </c>
      <c r="E5109" s="3" t="str">
        <f>HYPERLINK("https://www.amazon.com/Milwaukee-48-22-1505-FastbackTM-Folding-Utility/dp/B0C69TGH9K/ref=sr_1_4?keywords=Milwaukee+48-22-1502+FASTBACK%E2%84%A2+Folding+Utility+Knife+w%2F+Blade+Storage&amp;qid=1695173847&amp;sr=8-4", "https://www.amazon.com/Milwaukee-48-22-1505-FastbackTM-Folding-Utility/dp/B0C69TGH9K/ref=sr_1_4?keywords=Milwaukee+48-22-1502+FASTBACK%E2%84%A2+Folding+Utility+Knife+w%2F+Blade+Storage&amp;qid=1695173847&amp;sr=8-4")</f>
        <v>https://www.amazon.com/Milwaukee-48-22-1505-FastbackTM-Folding-Utility/dp/B0C69TGH9K/ref=sr_1_4?keywords=Milwaukee+48-22-1502+FASTBACK%E2%84%A2+Folding+Utility+Knife+w%2F+Blade+Storage&amp;qid=1695173847&amp;sr=8-4</v>
      </c>
      <c r="F5109" t="s">
        <v>1943</v>
      </c>
      <c r="G5109" t="e">
        <f ca="1">_xludf.IMAGE("https://edmondsonsupply.com/cdn/shop/products/48-22-1502_3.png?v=1587148345")</f>
        <v>#NAME?</v>
      </c>
      <c r="H5109" t="e">
        <f ca="1">_xludf.IMAGE("https://m.media-amazon.com/images/I/41ZUsUsHByL._AC_UL320_.jpg")</f>
        <v>#NAME?</v>
      </c>
      <c r="I5109" t="s">
        <v>2784</v>
      </c>
      <c r="J5109">
        <v>26</v>
      </c>
      <c r="K5109" s="4">
        <v>0.73680000000000001</v>
      </c>
      <c r="L5109">
        <v>4.7</v>
      </c>
      <c r="M5109">
        <v>4</v>
      </c>
      <c r="O5109" t="s">
        <v>25</v>
      </c>
      <c r="P5109" t="s">
        <v>1707</v>
      </c>
      <c r="Q5109" t="s">
        <v>2785</v>
      </c>
    </row>
    <row r="5110" spans="1:17" ht="15.5" x14ac:dyDescent="0.35">
      <c r="A5110" s="3" t="str">
        <f>HYPERLINK("https://edmondsonsupply.com/collections/electricians-tools/products/klein-tools-k1412-klein-kurve%C2%AE-dual-nm-cable-stripper-cutter", "https://edmondsonsupply.com/collections/electricians-tools/products/klein-tools-k1412-klein-kurve%C2%AE-dual-nm-cable-stripper-cutter")</f>
        <v>https://edmondsonsupply.com/collections/electricians-tools/products/klein-tools-k1412-klein-kurve%C2%AE-dual-nm-cable-stripper-cutter</v>
      </c>
      <c r="B5110" s="3" t="str">
        <f>HYPERLINK("https://edmondsonsupply.com/products/klein-tools-k1412-klein-kurve%c2%ae-dual-nm-cable-stripper-cutter", "https://edmondsonsupply.com/products/klein-tools-k1412-klein-kurve%c2%ae-dual-nm-cable-stripper-cutter")</f>
        <v>https://edmondsonsupply.com/products/klein-tools-k1412-klein-kurve%c2%ae-dual-nm-cable-stripper-cutter</v>
      </c>
      <c r="C5110" t="s">
        <v>6899</v>
      </c>
      <c r="D5110" t="s">
        <v>6900</v>
      </c>
      <c r="E5110" s="3" t="str">
        <f>HYPERLINK("https://www.amazon.com/Klein-Tools-Cutter-Stripper-Stranded/dp/B0C3BBD1YQ/ref=sr_1_3?keywords=Klein+Tools+K1412+Klein-Kurve%C2%AE+Dual+NM+Cable+Stripper%2FCutter&amp;qid=1695174281&amp;sr=8-3", "https://www.amazon.com/Klein-Tools-Cutter-Stripper-Stranded/dp/B0C3BBD1YQ/ref=sr_1_3?keywords=Klein+Tools+K1412+Klein-Kurve%C2%AE+Dual+NM+Cable+Stripper%2FCutter&amp;qid=1695174281&amp;sr=8-3")</f>
        <v>https://www.amazon.com/Klein-Tools-Cutter-Stripper-Stranded/dp/B0C3BBD1YQ/ref=sr_1_3?keywords=Klein+Tools+K1412+Klein-Kurve%C2%AE+Dual+NM+Cable+Stripper%2FCutter&amp;qid=1695174281&amp;sr=8-3</v>
      </c>
      <c r="F5110" t="s">
        <v>6901</v>
      </c>
      <c r="G5110" t="e">
        <f ca="1">_xludf.IMAGE("https://edmondsonsupply.com/cdn/shop/products/k1412_b.jpg?v=1646350543")</f>
        <v>#NAME?</v>
      </c>
      <c r="H5110" t="e">
        <f ca="1">_xludf.IMAGE("https://m.media-amazon.com/images/I/51josYM6p8L._AC_UL320_.jpg")</f>
        <v>#NAME?</v>
      </c>
      <c r="I5110" t="s">
        <v>824</v>
      </c>
      <c r="J5110">
        <v>51.94</v>
      </c>
      <c r="K5110" s="4">
        <v>0.73309999999999997</v>
      </c>
      <c r="L5110">
        <v>5</v>
      </c>
      <c r="M5110">
        <v>1</v>
      </c>
      <c r="O5110" t="s">
        <v>25</v>
      </c>
      <c r="P5110" t="s">
        <v>6902</v>
      </c>
      <c r="Q5110" t="s">
        <v>6903</v>
      </c>
    </row>
    <row r="5111" spans="1:17" ht="15.5" x14ac:dyDescent="0.35">
      <c r="A5111" s="3" t="str">
        <f>HYPERLINK("https://edmondsonsupply.com/collections/electricians-tools/products/klein-tools-5183-tradesman-pro%E2%84%A2-drill-pouch", "https://edmondsonsupply.com/collections/electricians-tools/products/klein-tools-5183-tradesman-pro%E2%84%A2-drill-pouch")</f>
        <v>https://edmondsonsupply.com/collections/electricians-tools/products/klein-tools-5183-tradesman-pro%E2%84%A2-drill-pouch</v>
      </c>
      <c r="B5111" s="3" t="str">
        <f>HYPERLINK("https://edmondsonsupply.com/products/klein-tools-5183-tradesman-pro%e2%84%a2-drill-pouch", "https://edmondsonsupply.com/products/klein-tools-5183-tradesman-pro%e2%84%a2-drill-pouch")</f>
        <v>https://edmondsonsupply.com/products/klein-tools-5183-tradesman-pro%e2%84%a2-drill-pouch</v>
      </c>
      <c r="C5111" t="s">
        <v>359</v>
      </c>
      <c r="D5111" t="s">
        <v>395</v>
      </c>
      <c r="E5111" s="3" t="str">
        <f>HYPERLINK("https://www.amazon.com/Klein-Tools-Tradesman-Maintenance-Ballistic/dp/B0BGJ64ZZV/ref=sr_1_3?keywords=Klein+Tools+5183+Tool+Bag%2C+Tradesman+Pro%E2%84%A2+Drill+Pouch&amp;qid=1695173941&amp;sr=8-3", "https://www.amazon.com/Klein-Tools-Tradesman-Maintenance-Ballistic/dp/B0BGJ64ZZV/ref=sr_1_3?keywords=Klein+Tools+5183+Tool+Bag%2C+Tradesman+Pro%E2%84%A2+Drill+Pouch&amp;qid=1695173941&amp;sr=8-3")</f>
        <v>https://www.amazon.com/Klein-Tools-Tradesman-Maintenance-Ballistic/dp/B0BGJ64ZZV/ref=sr_1_3?keywords=Klein+Tools+5183+Tool+Bag%2C+Tradesman+Pro%E2%84%A2+Drill+Pouch&amp;qid=1695173941&amp;sr=8-3</v>
      </c>
      <c r="F5111" t="s">
        <v>396</v>
      </c>
      <c r="G5111" t="e">
        <f ca="1">_xludf.IMAGE("https://edmondsonsupply.com/cdn/shop/products/5183.jpg?v=1587145505")</f>
        <v>#NAME?</v>
      </c>
      <c r="H5111" t="e">
        <f ca="1">_xludf.IMAGE("https://m.media-amazon.com/images/I/51MhFcPcwgL._AC_UL320_.jpg")</f>
        <v>#NAME?</v>
      </c>
      <c r="I5111" t="s">
        <v>362</v>
      </c>
      <c r="J5111">
        <v>44.99</v>
      </c>
      <c r="K5111" s="4">
        <v>0.73109999999999997</v>
      </c>
      <c r="L5111">
        <v>4.5999999999999996</v>
      </c>
      <c r="M5111">
        <v>3</v>
      </c>
      <c r="O5111" t="s">
        <v>25</v>
      </c>
      <c r="P5111" t="s">
        <v>363</v>
      </c>
      <c r="Q5111" t="s">
        <v>364</v>
      </c>
    </row>
    <row r="5112" spans="1:17" ht="15.5" x14ac:dyDescent="0.35">
      <c r="A5112" s="3" t="str">
        <f>HYPERLINK("https://edmondsonsupply.com/collections/electricians-tools/products/greenlee-611-1-1-4-foam-conduit-piston", "https://edmondsonsupply.com/collections/electricians-tools/products/greenlee-611-1-1-4-foam-conduit-piston")</f>
        <v>https://edmondsonsupply.com/collections/electricians-tools/products/greenlee-611-1-1-4-foam-conduit-piston</v>
      </c>
      <c r="B5112" s="3" t="str">
        <f>HYPERLINK("https://edmondsonsupply.com/products/greenlee-611-1-1-4-foam-conduit-piston", "https://edmondsonsupply.com/products/greenlee-611-1-1-4-foam-conduit-piston")</f>
        <v>https://edmondsonsupply.com/products/greenlee-611-1-1-4-foam-conduit-piston</v>
      </c>
      <c r="C5112" t="s">
        <v>6315</v>
      </c>
      <c r="D5112" t="s">
        <v>6904</v>
      </c>
      <c r="E5112" s="3" t="str">
        <f>HYPERLINK("https://www.amazon.com/Greenlee-611-Single-Piston-Conduit/dp/B00270XDXM/ref=sr_1_6?keywords=Greenlee+611+1-1%2F4%22+Foam+Conduit+Piston&amp;qid=1695174011&amp;sr=8-6", "https://www.amazon.com/Greenlee-611-Single-Piston-Conduit/dp/B00270XDXM/ref=sr_1_6?keywords=Greenlee+611+1-1%2F4%22+Foam+Conduit+Piston&amp;qid=1695174011&amp;sr=8-6")</f>
        <v>https://www.amazon.com/Greenlee-611-Single-Piston-Conduit/dp/B00270XDXM/ref=sr_1_6?keywords=Greenlee+611+1-1%2F4%22+Foam+Conduit+Piston&amp;qid=1695174011&amp;sr=8-6</v>
      </c>
      <c r="F5112" t="s">
        <v>6905</v>
      </c>
      <c r="G5112" t="e">
        <f ca="1">_xludf.IMAGE("https://edmondsonsupply.com/cdn/shop/files/Greenlee-611_1.jpg?v=1687449194")</f>
        <v>#NAME?</v>
      </c>
      <c r="H5112" t="e">
        <f ca="1">_xludf.IMAGE("https://m.media-amazon.com/images/I/814+dDxYnOL._AC_UL320_.jpg")</f>
        <v>#NAME?</v>
      </c>
      <c r="I5112" t="s">
        <v>6318</v>
      </c>
      <c r="J5112">
        <v>15.37</v>
      </c>
      <c r="K5112" s="4">
        <v>0.72889999999999999</v>
      </c>
      <c r="L5112">
        <v>5</v>
      </c>
      <c r="M5112">
        <v>6</v>
      </c>
      <c r="O5112" t="s">
        <v>25</v>
      </c>
      <c r="P5112" t="s">
        <v>6319</v>
      </c>
      <c r="Q5112" t="s">
        <v>6320</v>
      </c>
    </row>
    <row r="5113" spans="1:17" ht="15.5" x14ac:dyDescent="0.35">
      <c r="A5113"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5113" s="3" t="str">
        <f>HYPERLINK("https://edmondsonsupply.com/products/klein-tools-630-3-8m-3-8-magnetic-tip-nut-driver-3-hollow-shank", "https://edmondsonsupply.com/products/klein-tools-630-3-8m-3-8-magnetic-tip-nut-driver-3-hollow-shank")</f>
        <v>https://edmondsonsupply.com/products/klein-tools-630-3-8m-3-8-magnetic-tip-nut-driver-3-hollow-shank</v>
      </c>
      <c r="C5113" t="s">
        <v>6055</v>
      </c>
      <c r="D5113" t="s">
        <v>4520</v>
      </c>
      <c r="E5113" s="3" t="str">
        <f>HYPERLINK("https://www.amazon.com/Klein-Tools-Hollow-Magnetic-Driver/dp/B00080FO5I/ref=sr_1_10?keywords=Klein+Tools+630-3%2F8M+3%2F8-Inch+Magnetic+Tip+Nut+Driver&amp;qid=1695174153&amp;sr=8-10", "https://www.amazon.com/Klein-Tools-Hollow-Magnetic-Driver/dp/B00080FO5I/ref=sr_1_10?keywords=Klein+Tools+630-3%2F8M+3%2F8-Inch+Magnetic+Tip+Nut+Driver&amp;qid=1695174153&amp;sr=8-10")</f>
        <v>https://www.amazon.com/Klein-Tools-Hollow-Magnetic-Driver/dp/B00080FO5I/ref=sr_1_10?keywords=Klein+Tools+630-3%2F8M+3%2F8-Inch+Magnetic+Tip+Nut+Driver&amp;qid=1695174153&amp;sr=8-10</v>
      </c>
      <c r="F5113" t="s">
        <v>4521</v>
      </c>
      <c r="G5113" t="e">
        <f ca="1">_xludf.IMAGE("https://edmondsonsupply.com/cdn/shop/products/630-3-8m.jpg?v=1587145139")</f>
        <v>#NAME?</v>
      </c>
      <c r="H5113" t="e">
        <f ca="1">_xludf.IMAGE("https://m.media-amazon.com/images/I/41lx1kHoCZL._AC_UL320_.jpg")</f>
        <v>#NAME?</v>
      </c>
      <c r="I5113" t="s">
        <v>6056</v>
      </c>
      <c r="J5113">
        <v>18.989999999999998</v>
      </c>
      <c r="K5113" s="4">
        <v>0.72789999999999999</v>
      </c>
      <c r="L5113">
        <v>4.5999999999999996</v>
      </c>
      <c r="M5113">
        <v>451</v>
      </c>
      <c r="O5113" t="s">
        <v>25</v>
      </c>
      <c r="P5113" t="s">
        <v>6057</v>
      </c>
      <c r="Q5113" t="s">
        <v>6058</v>
      </c>
    </row>
    <row r="5114" spans="1:17" ht="15.5" x14ac:dyDescent="0.35">
      <c r="A5114" s="3" t="str">
        <f>HYPERLINK("https://edmondsonsupply.com/collections/electricians-tools/products/diablo-tools-dou125bw", "https://edmondsonsupply.com/collections/electricians-tools/products/diablo-tools-dou125bw")</f>
        <v>https://edmondsonsupply.com/collections/electricians-tools/products/diablo-tools-dou125bw</v>
      </c>
      <c r="B5114" s="3" t="str">
        <f>HYPERLINK("https://edmondsonsupply.com/products/diablo-tools-dou125bw", "https://edmondsonsupply.com/products/diablo-tools-dou125bw")</f>
        <v>https://edmondsonsupply.com/products/diablo-tools-dou125bw</v>
      </c>
      <c r="C5114" t="s">
        <v>6906</v>
      </c>
      <c r="D5114" t="s">
        <v>6907</v>
      </c>
      <c r="E5114" s="3" t="str">
        <f>HYPERLINK("https://www.amazon.com/Diablo-Universal-Bi-Metal-Blades-Nail-Embedded/dp/B089KW4T8J/ref=sr_1_8?keywords=Diablo+Tools+DOU125BW+1-1%2F4+in.+Universal+Fit+Bi-Metal+Oscillating+Blade+for+Nail-Embedded+Wood&amp;qid=1695174264&amp;sr=8-8", "https://www.amazon.com/Diablo-Universal-Bi-Metal-Blades-Nail-Embedded/dp/B089KW4T8J/ref=sr_1_8?keywords=Diablo+Tools+DOU125BW+1-1%2F4+in.+Universal+Fit+Bi-Metal+Oscillating+Blade+for+Nail-Embedded+Wood&amp;qid=1695174264&amp;sr=8-8")</f>
        <v>https://www.amazon.com/Diablo-Universal-Bi-Metal-Blades-Nail-Embedded/dp/B089KW4T8J/ref=sr_1_8?keywords=Diablo+Tools+DOU125BW+1-1%2F4+in.+Universal+Fit+Bi-Metal+Oscillating+Blade+for+Nail-Embedded+Wood&amp;qid=1695174264&amp;sr=8-8</v>
      </c>
      <c r="F5114" t="s">
        <v>6908</v>
      </c>
      <c r="G5114" t="e">
        <f ca="1">_xludf.IMAGE("https://edmondsonsupply.com/cdn/shop/products/gnn0wpqc8veb3qhldcrb.webp?v=1676040020")</f>
        <v>#NAME?</v>
      </c>
      <c r="H5114" t="e">
        <f ca="1">_xludf.IMAGE("https://m.media-amazon.com/images/I/71fhfiK3NaL._AC_UL320_.jpg")</f>
        <v>#NAME?</v>
      </c>
      <c r="I5114" t="s">
        <v>2586</v>
      </c>
      <c r="J5114">
        <v>31</v>
      </c>
      <c r="K5114" s="4">
        <v>0.72509999999999997</v>
      </c>
      <c r="L5114">
        <v>4.8</v>
      </c>
      <c r="M5114">
        <v>37</v>
      </c>
      <c r="O5114" t="s">
        <v>25</v>
      </c>
      <c r="P5114" t="s">
        <v>2152</v>
      </c>
      <c r="Q5114" t="s">
        <v>6909</v>
      </c>
    </row>
    <row r="5115" spans="1:17" ht="15.5" x14ac:dyDescent="0.35">
      <c r="A5115"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5115"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5115" t="s">
        <v>6587</v>
      </c>
      <c r="D5115" t="s">
        <v>6910</v>
      </c>
      <c r="E5115" s="3" t="str">
        <f>HYPERLINK("https://www.amazon.com/Klein-Tools-Non-Contact-Voltage-Distance/dp/B07SLFX6B2/ref=sr_1_8?keywords=Klein+Tools+NCVT-2P+Dual+Range+Non-Contact+Voltage+Tester+12+-+1000V+AC&amp;qid=1695174301&amp;sr=8-8", "https://www.amazon.com/Klein-Tools-Non-Contact-Voltage-Distance/dp/B07SLFX6B2/ref=sr_1_8?keywords=Klein+Tools+NCVT-2P+Dual+Range+Non-Contact+Voltage+Tester+12+-+1000V+AC&amp;qid=1695174301&amp;sr=8-8")</f>
        <v>https://www.amazon.com/Klein-Tools-Non-Contact-Voltage-Distance/dp/B07SLFX6B2/ref=sr_1_8?keywords=Klein+Tools+NCVT-2P+Dual+Range+Non-Contact+Voltage+Tester+12+-+1000V+AC&amp;qid=1695174301&amp;sr=8-8</v>
      </c>
      <c r="F5115" t="s">
        <v>6911</v>
      </c>
      <c r="G5115" t="e">
        <f ca="1">_xludf.IMAGE("https://edmondsonsupply.com/cdn/shop/products/ncvt2p.jpg?v=1633030824")</f>
        <v>#NAME?</v>
      </c>
      <c r="H5115" t="e">
        <f ca="1">_xludf.IMAGE("https://m.media-amazon.com/images/I/519VhV+q+VL._AC_UL320_.jpg")</f>
        <v>#NAME?</v>
      </c>
      <c r="I5115" t="s">
        <v>6588</v>
      </c>
      <c r="J5115">
        <v>48.2</v>
      </c>
      <c r="K5115" s="4">
        <v>0.72330000000000005</v>
      </c>
      <c r="L5115">
        <v>4.7</v>
      </c>
      <c r="M5115">
        <v>4139</v>
      </c>
      <c r="O5115" t="s">
        <v>25</v>
      </c>
      <c r="P5115" t="s">
        <v>6589</v>
      </c>
      <c r="Q5115" t="s">
        <v>6590</v>
      </c>
    </row>
    <row r="5116" spans="1:17" ht="15.5" x14ac:dyDescent="0.35">
      <c r="A5116" s="3" t="str">
        <f>HYPERLINK("https://edmondsonsupply.com/collections/electricians-tools/products/klein-tools-85073ins-screwdriver-set-1000v-insulated-3-piece", "https://edmondsonsupply.com/collections/electricians-tools/products/klein-tools-85073ins-screwdriver-set-1000v-insulated-3-piece")</f>
        <v>https://edmondsonsupply.com/collections/electricians-tools/products/klein-tools-85073ins-screwdriver-set-1000v-insulated-3-piece</v>
      </c>
      <c r="B5116"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5116" t="s">
        <v>2244</v>
      </c>
      <c r="D5116" t="s">
        <v>2798</v>
      </c>
      <c r="E5116" s="3" t="str">
        <f>HYPERLINK("https://www.amazon.com/Klein-Tools-33734INS-Insulated-Screwdriver/dp/B088NQ1D2B/ref=sr_1_8?keywords=Klein+Tools+85073INS+Screwdriver+Set%2C+1000V+Insulated%2C+3-Piece&amp;qid=1695173857&amp;sr=8-8", "https://www.amazon.com/Klein-Tools-33734INS-Insulated-Screwdriver/dp/B088NQ1D2B/ref=sr_1_8?keywords=Klein+Tools+85073INS+Screwdriver+Set%2C+1000V+Insulated%2C+3-Piece&amp;qid=1695173857&amp;sr=8-8")</f>
        <v>https://www.amazon.com/Klein-Tools-33734INS-Insulated-Screwdriver/dp/B088NQ1D2B/ref=sr_1_8?keywords=Klein+Tools+85073INS+Screwdriver+Set%2C+1000V+Insulated%2C+3-Piece&amp;qid=1695173857&amp;sr=8-8</v>
      </c>
      <c r="F5116" t="s">
        <v>2799</v>
      </c>
      <c r="G5116" t="e">
        <f ca="1">_xludf.IMAGE("https://edmondsonsupply.com/cdn/shop/products/85073ins.jpg?v=1664890503")</f>
        <v>#NAME?</v>
      </c>
      <c r="H5116" t="e">
        <f ca="1">_xludf.IMAGE("https://m.media-amazon.com/images/I/41+LCtq0IpL._AC_UL320_.jpg")</f>
        <v>#NAME?</v>
      </c>
      <c r="I5116" t="s">
        <v>2247</v>
      </c>
      <c r="J5116">
        <v>37.700000000000003</v>
      </c>
      <c r="K5116" s="4">
        <v>0.71599999999999997</v>
      </c>
      <c r="L5116">
        <v>4.8</v>
      </c>
      <c r="M5116">
        <v>1361</v>
      </c>
      <c r="O5116" t="s">
        <v>25</v>
      </c>
      <c r="P5116" t="s">
        <v>2158</v>
      </c>
      <c r="Q5116" t="s">
        <v>2248</v>
      </c>
    </row>
    <row r="5117" spans="1:17" ht="15.5" x14ac:dyDescent="0.35">
      <c r="A5117"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5117" s="3" t="str">
        <f>HYPERLINK("https://edmondsonsupply.com/products/klein-tools-32500mag-11-in-1-magnetic-screwdriver-nut-driver", "https://edmondsonsupply.com/products/klein-tools-32500mag-11-in-1-magnetic-screwdriver-nut-driver")</f>
        <v>https://edmondsonsupply.com/products/klein-tools-32500mag-11-in-1-magnetic-screwdriver-nut-driver</v>
      </c>
      <c r="C5117" t="s">
        <v>6522</v>
      </c>
      <c r="D5117" t="s">
        <v>2283</v>
      </c>
      <c r="E5117" s="3" t="str">
        <f>HYPERLINK("https://www.amazon.com/Klein-Tools-Screwdriver-Electronic-Tamperproof/dp/B0BC81C7SH/ref=sr_1_5?keywords=Klein+Tools+32500MAG+11-in-1+Magnetic+Screwdriver+%2F+Nut+Driver&amp;qid=1695174303&amp;sr=8-5", "https://www.amazon.com/Klein-Tools-Screwdriver-Electronic-Tamperproof/dp/B0BC81C7SH/ref=sr_1_5?keywords=Klein+Tools+32500MAG+11-in-1+Magnetic+Screwdriver+%2F+Nut+Driver&amp;qid=1695174303&amp;sr=8-5")</f>
        <v>https://www.amazon.com/Klein-Tools-Screwdriver-Electronic-Tamperproof/dp/B0BC81C7SH/ref=sr_1_5?keywords=Klein+Tools+32500MAG+11-in-1+Magnetic+Screwdriver+%2F+Nut+Driver&amp;qid=1695174303&amp;sr=8-5</v>
      </c>
      <c r="F5117" t="s">
        <v>2284</v>
      </c>
      <c r="G5117" t="e">
        <f ca="1">_xludf.IMAGE("https://edmondsonsupply.com/cdn/shop/products/32500mag.jpg?v=1633030832")</f>
        <v>#NAME?</v>
      </c>
      <c r="H5117" t="e">
        <f ca="1">_xludf.IMAGE("https://m.media-amazon.com/images/I/412Eu5ze4AL._AC_UL320_.jpg")</f>
        <v>#NAME?</v>
      </c>
      <c r="I5117" t="s">
        <v>2288</v>
      </c>
      <c r="J5117">
        <v>35.94</v>
      </c>
      <c r="K5117" s="4">
        <v>0.71389999999999998</v>
      </c>
      <c r="L5117">
        <v>5</v>
      </c>
      <c r="M5117">
        <v>2</v>
      </c>
      <c r="O5117" t="s">
        <v>25</v>
      </c>
      <c r="P5117" t="s">
        <v>6525</v>
      </c>
      <c r="Q5117" t="s">
        <v>6526</v>
      </c>
    </row>
    <row r="5118" spans="1:17" ht="15.5" x14ac:dyDescent="0.35">
      <c r="A5118" s="3" t="str">
        <f>HYPERLINK("https://edmondsonsupply.com/collections/electricians-tools/products/milwaukee-49-56-0082-1-1-2-hole-dozer%E2%84%A2-hole-saw-bi-metal-cup", "https://edmondsonsupply.com/collections/electricians-tools/products/milwaukee-49-56-0082-1-1-2-hole-dozer%E2%84%A2-hole-saw-bi-metal-cup")</f>
        <v>https://edmondsonsupply.com/collections/electricians-tools/products/milwaukee-49-56-0082-1-1-2-hole-dozer%E2%84%A2-hole-saw-bi-metal-cup</v>
      </c>
      <c r="B5118" s="3" t="str">
        <f>HYPERLINK("https://edmondsonsupply.com/products/milwaukee-49-56-0082-1-1-2-hole-dozer%e2%84%a2-hole-saw-bi-metal-cup", "https://edmondsonsupply.com/products/milwaukee-49-56-0082-1-1-2-hole-dozer%e2%84%a2-hole-saw-bi-metal-cup")</f>
        <v>https://edmondsonsupply.com/products/milwaukee-49-56-0082-1-1-2-hole-dozer%e2%84%a2-hole-saw-bi-metal-cup</v>
      </c>
      <c r="C5118" t="s">
        <v>6188</v>
      </c>
      <c r="D5118" t="s">
        <v>6912</v>
      </c>
      <c r="E5118" s="3" t="str">
        <f>HYPERLINK("https://www.amazon.com/Hole-Dozer-Bm-Hlsw-1-1/dp/B007FUMZ24/ref=sr_1_3?keywords=Milwaukee+49-56-0082+1-1%2F2%22+HOLE+DOZER%E2%84%A2+Hole+Saw+Bi-Metal+Cup&amp;qid=1695174052&amp;sr=8-3", "https://www.amazon.com/Hole-Dozer-Bm-Hlsw-1-1/dp/B007FUMZ24/ref=sr_1_3?keywords=Milwaukee+49-56-0082+1-1%2F2%22+HOLE+DOZER%E2%84%A2+Hole+Saw+Bi-Metal+Cup&amp;qid=1695174052&amp;sr=8-3")</f>
        <v>https://www.amazon.com/Hole-Dozer-Bm-Hlsw-1-1/dp/B007FUMZ24/ref=sr_1_3?keywords=Milwaukee+49-56-0082+1-1%2F2%22+HOLE+DOZER%E2%84%A2+Hole+Saw+Bi-Metal+Cup&amp;qid=1695174052&amp;sr=8-3</v>
      </c>
      <c r="F5118" t="s">
        <v>6913</v>
      </c>
      <c r="G5118" t="e">
        <f ca="1">_xludf.IMAGE("https://edmondsonsupply.com/cdn/shop/products/49-56-0052_101_2_3e59b3b5-5134-4f73-a3fb-157d3c19d4d7.webp?v=1679416989")</f>
        <v>#NAME?</v>
      </c>
      <c r="H5118" t="e">
        <f ca="1">_xludf.IMAGE("https://m.media-amazon.com/images/I/51sy14XxUFL._AC_UL320_.jpg")</f>
        <v>#NAME?</v>
      </c>
      <c r="I5118" t="s">
        <v>2347</v>
      </c>
      <c r="J5118">
        <v>11.97</v>
      </c>
      <c r="K5118" s="4">
        <v>0.71240000000000003</v>
      </c>
      <c r="L5118">
        <v>4.9000000000000004</v>
      </c>
      <c r="M5118">
        <v>21</v>
      </c>
      <c r="O5118" t="s">
        <v>25</v>
      </c>
      <c r="P5118" t="s">
        <v>3464</v>
      </c>
      <c r="Q5118" t="s">
        <v>6191</v>
      </c>
    </row>
    <row r="5119" spans="1:17" ht="15.5" x14ac:dyDescent="0.35">
      <c r="A5119" s="3" t="str">
        <f>HYPERLINK("https://edmondsonsupply.com/collections/electricians-tools/products/channellock-804", "https://edmondsonsupply.com/collections/electricians-tools/products/channellock-804")</f>
        <v>https://edmondsonsupply.com/collections/electricians-tools/products/channellock-804</v>
      </c>
      <c r="B5119" s="3" t="str">
        <f>HYPERLINK("https://edmondsonsupply.com/products/channellock-804", "https://edmondsonsupply.com/products/channellock-804")</f>
        <v>https://edmondsonsupply.com/products/channellock-804</v>
      </c>
      <c r="C5119" t="s">
        <v>1551</v>
      </c>
      <c r="D5119" t="s">
        <v>2819</v>
      </c>
      <c r="E5119" s="3" t="str">
        <f>HYPERLINK("https://www.amazon.com/Channellock-Adjustable-Wrench-Chrome-Plated/dp/B017082YG2/ref=sr_1_1?keywords=Channellock+804+4-Inch+Chrome+Adjustable+Wrench&amp;qid=1695173945&amp;sr=8-1", "https://www.amazon.com/Channellock-Adjustable-Wrench-Chrome-Plated/dp/B017082YG2/ref=sr_1_1?keywords=Channellock+804+4-Inch+Chrome+Adjustable+Wrench&amp;qid=1695173945&amp;sr=8-1")</f>
        <v>https://www.amazon.com/Channellock-Adjustable-Wrench-Chrome-Plated/dp/B017082YG2/ref=sr_1_1?keywords=Channellock+804+4-Inch+Chrome+Adjustable+Wrench&amp;qid=1695173945&amp;sr=8-1</v>
      </c>
      <c r="F5119" t="s">
        <v>2820</v>
      </c>
      <c r="G5119" t="e">
        <f ca="1">_xludf.IMAGE("https://edmondsonsupply.com/cdn/shop/products/804-683x1024.jpg?v=1587145853")</f>
        <v>#NAME?</v>
      </c>
      <c r="H5119" t="e">
        <f ca="1">_xludf.IMAGE("https://m.media-amazon.com/images/I/51KTfUlRtzL._AC_UL320_.jpg")</f>
        <v>#NAME?</v>
      </c>
      <c r="I5119" t="s">
        <v>1554</v>
      </c>
      <c r="J5119">
        <v>28.91</v>
      </c>
      <c r="K5119" s="4">
        <v>0.7056</v>
      </c>
      <c r="L5119">
        <v>5</v>
      </c>
      <c r="M5119">
        <v>3</v>
      </c>
      <c r="O5119" t="s">
        <v>25</v>
      </c>
      <c r="P5119" t="s">
        <v>1555</v>
      </c>
      <c r="Q5119" t="s">
        <v>1556</v>
      </c>
    </row>
    <row r="5120" spans="1:17" ht="15.5" x14ac:dyDescent="0.35">
      <c r="A5120"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5120" s="3" t="str">
        <f>HYPERLINK("https://edmondsonsupply.com/products/klein-tools-d502-10-pump-pliers-10-inch", "https://edmondsonsupply.com/products/klein-tools-d502-10-pump-pliers-10-inch")</f>
        <v>https://edmondsonsupply.com/products/klein-tools-d502-10-pump-pliers-10-inch</v>
      </c>
      <c r="C5120" t="s">
        <v>6607</v>
      </c>
      <c r="D5120" t="s">
        <v>3719</v>
      </c>
      <c r="E5120" s="3" t="str">
        <f>HYPERLINK("https://www.amazon.com/Quick-Adjust-10-Inch-Klein-Tools-D504-10B/dp/B00BJ4ORDM/ref=sr_1_8?keywords=Klein+Tools+D502-10+Pump+Pliers%2C+10-Inch&amp;qid=1695174291&amp;sr=8-8", "https://www.amazon.com/Quick-Adjust-10-Inch-Klein-Tools-D504-10B/dp/B00BJ4ORDM/ref=sr_1_8?keywords=Klein+Tools+D502-10+Pump+Pliers%2C+10-Inch&amp;qid=1695174291&amp;sr=8-8")</f>
        <v>https://www.amazon.com/Quick-Adjust-10-Inch-Klein-Tools-D504-10B/dp/B00BJ4ORDM/ref=sr_1_8?keywords=Klein+Tools+D502-10+Pump+Pliers%2C+10-Inch&amp;qid=1695174291&amp;sr=8-8</v>
      </c>
      <c r="F5120" t="s">
        <v>3720</v>
      </c>
      <c r="G5120" t="e">
        <f ca="1">_xludf.IMAGE("https://edmondsonsupply.com/cdn/shop/products/d50210_alt1.jpg?v=1633030884")</f>
        <v>#NAME?</v>
      </c>
      <c r="H5120" t="e">
        <f ca="1">_xludf.IMAGE("https://m.media-amazon.com/images/I/51G8XuICYiL._AC_UL320_.jpg")</f>
        <v>#NAME?</v>
      </c>
      <c r="I5120" t="s">
        <v>471</v>
      </c>
      <c r="J5120">
        <v>42.56</v>
      </c>
      <c r="K5120" s="4">
        <v>0.70309999999999995</v>
      </c>
      <c r="L5120">
        <v>4.7</v>
      </c>
      <c r="M5120">
        <v>259</v>
      </c>
      <c r="O5120" t="s">
        <v>25</v>
      </c>
      <c r="P5120" t="s">
        <v>6610</v>
      </c>
      <c r="Q5120" t="s">
        <v>6611</v>
      </c>
    </row>
    <row r="5121" spans="1:17" ht="15.5" x14ac:dyDescent="0.35">
      <c r="A5121"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5121" s="3" t="str">
        <f>HYPERLINK("https://edmondsonsupply.com/products/klein-tools-935dag-digital-angle-gauge-and-level", "https://edmondsonsupply.com/products/klein-tools-935dag-digital-angle-gauge-and-level")</f>
        <v>https://edmondsonsupply.com/products/klein-tools-935dag-digital-angle-gauge-and-level</v>
      </c>
      <c r="C5121" t="s">
        <v>1924</v>
      </c>
      <c r="D5121" t="s">
        <v>2821</v>
      </c>
      <c r="E5121" s="3" t="str">
        <f>HYPERLINK("https://www.amazon.com/Klein-Tools-Electronic-Measures-Protractor/dp/B09P843CWF/ref=sr_1_8?keywords=Klein+Tools+935DAG+Digital+Angle+Gauge+and+Level&amp;qid=1695173893&amp;sr=8-8", "https://www.amazon.com/Klein-Tools-Electronic-Measures-Protractor/dp/B09P843CWF/ref=sr_1_8?keywords=Klein+Tools+935DAG+Digital+Angle+Gauge+and+Level&amp;qid=1695173893&amp;sr=8-8")</f>
        <v>https://www.amazon.com/Klein-Tools-Electronic-Measures-Protractor/dp/B09P843CWF/ref=sr_1_8?keywords=Klein+Tools+935DAG+Digital+Angle+Gauge+and+Level&amp;qid=1695173893&amp;sr=8-8</v>
      </c>
      <c r="F5121" t="s">
        <v>2822</v>
      </c>
      <c r="G5121" t="e">
        <f ca="1">_xludf.IMAGE("https://edmondsonsupply.com/cdn/shop/products/935dag.jpg?v=1587145032")</f>
        <v>#NAME?</v>
      </c>
      <c r="H5121" t="e">
        <f ca="1">_xludf.IMAGE("https://m.media-amazon.com/images/I/51nqC5OG7xL._AC_UL320_.jpg")</f>
        <v>#NAME?</v>
      </c>
      <c r="I5121" t="s">
        <v>824</v>
      </c>
      <c r="J5121">
        <v>51.04</v>
      </c>
      <c r="K5121" s="4">
        <v>0.70299999999999996</v>
      </c>
      <c r="L5121">
        <v>4.8</v>
      </c>
      <c r="M5121">
        <v>29</v>
      </c>
      <c r="O5121" t="s">
        <v>25</v>
      </c>
      <c r="P5121" t="s">
        <v>73</v>
      </c>
      <c r="Q5121" t="s">
        <v>1927</v>
      </c>
    </row>
    <row r="5122" spans="1:17" ht="15.5" x14ac:dyDescent="0.35">
      <c r="A5122" s="3" t="str">
        <f>HYPERLINK("https://edmondsonsupply.com/collections/electricians-tools/products/klein-tools-jth6e12be", "https://edmondsonsupply.com/collections/electricians-tools/products/klein-tools-jth6e12be")</f>
        <v>https://edmondsonsupply.com/collections/electricians-tools/products/klein-tools-jth6e12be</v>
      </c>
      <c r="B5122" s="3" t="str">
        <f>HYPERLINK("https://edmondsonsupply.com/products/klein-tools-jth6e12be", "https://edmondsonsupply.com/products/klein-tools-jth6e12be")</f>
        <v>https://edmondsonsupply.com/products/klein-tools-jth6e12be</v>
      </c>
      <c r="C5122" t="s">
        <v>6914</v>
      </c>
      <c r="D5122" t="s">
        <v>6915</v>
      </c>
      <c r="E5122" s="3" t="str">
        <f>HYPERLINK("https://www.amazon.com/32-Inch-Ball-End-Klein-Tools-BL14/dp/B00093DXVG/ref=sr_1_9?keywords=Klein+Tools+JTH6E12BE+7%2F32-Inch+Ball-End+Hex+Key%2C+Journeyman%E2%84%A2+T-Handle%2C+6-Inch&amp;qid=1695174135&amp;sr=8-9", "https://www.amazon.com/32-Inch-Ball-End-Klein-Tools-BL14/dp/B00093DXVG/ref=sr_1_9?keywords=Klein+Tools+JTH6E12BE+7%2F32-Inch+Ball-End+Hex+Key%2C+Journeyman%E2%84%A2+T-Handle%2C+6-Inch&amp;qid=1695174135&amp;sr=8-9")</f>
        <v>https://www.amazon.com/32-Inch-Ball-End-Klein-Tools-BL14/dp/B00093DXVG/ref=sr_1_9?keywords=Klein+Tools+JTH6E12BE+7%2F32-Inch+Ball-End+Hex+Key%2C+Journeyman%E2%84%A2+T-Handle%2C+6-Inch&amp;qid=1695174135&amp;sr=8-9</v>
      </c>
      <c r="F5122" t="s">
        <v>6916</v>
      </c>
      <c r="G5122" t="e">
        <f ca="1">_xludf.IMAGE("https://edmondsonsupply.com/cdn/shop/products/jth6e13be_a85bb43d-b61b-410b-8eb2-5915b239751a.jpg?v=1666110771")</f>
        <v>#NAME?</v>
      </c>
      <c r="H5122" t="e">
        <f ca="1">_xludf.IMAGE("https://m.media-amazon.com/images/I/41LcJXQVZbL._AC_UL320_.jpg")</f>
        <v>#NAME?</v>
      </c>
      <c r="I5122" t="s">
        <v>4617</v>
      </c>
      <c r="J5122">
        <v>11.04</v>
      </c>
      <c r="K5122" s="4">
        <v>0.70109999999999995</v>
      </c>
      <c r="L5122">
        <v>4.8</v>
      </c>
      <c r="M5122">
        <v>14</v>
      </c>
      <c r="O5122" t="s">
        <v>25</v>
      </c>
      <c r="P5122" t="s">
        <v>6917</v>
      </c>
      <c r="Q5122" t="s">
        <v>6918</v>
      </c>
    </row>
    <row r="5123" spans="1:17" ht="15.5" x14ac:dyDescent="0.35">
      <c r="A5123"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5123" s="3" t="str">
        <f>HYPERLINK("https://edmondsonsupply.com/products/klein-tools-69410-replacement-test-lead-set-right-angle", "https://edmondsonsupply.com/products/klein-tools-69410-replacement-test-lead-set-right-angle")</f>
        <v>https://edmondsonsupply.com/products/klein-tools-69410-replacement-test-lead-set-right-angle</v>
      </c>
      <c r="C5123" t="s">
        <v>1463</v>
      </c>
      <c r="D5123" t="s">
        <v>2828</v>
      </c>
      <c r="E5123" s="3" t="str">
        <f>HYPERLINK("https://www.amazon.com/Klein-Tools-Replacement-Alligator-Heavy-Duty/dp/B0C3B9WXP6/ref=sr_1_2?keywords=Klein+Tools+69410+Replacement+Test+Lead+Set%2C+Right+Angle&amp;qid=1695173944&amp;sr=8-2", "https://www.amazon.com/Klein-Tools-Replacement-Alligator-Heavy-Duty/dp/B0C3B9WXP6/ref=sr_1_2?keywords=Klein+Tools+69410+Replacement+Test+Lead+Set%2C+Right+Angle&amp;qid=1695173944&amp;sr=8-2")</f>
        <v>https://www.amazon.com/Klein-Tools-Replacement-Alligator-Heavy-Duty/dp/B0C3B9WXP6/ref=sr_1_2?keywords=Klein+Tools+69410+Replacement+Test+Lead+Set%2C+Right+Angle&amp;qid=1695173944&amp;sr=8-2</v>
      </c>
      <c r="F5123" t="s">
        <v>2829</v>
      </c>
      <c r="G5123" t="e">
        <f ca="1">_xludf.IMAGE("https://edmondsonsupply.com/cdn/shop/products/69410.jpg?v=1587143393")</f>
        <v>#NAME?</v>
      </c>
      <c r="H5123" t="e">
        <f ca="1">_xludf.IMAGE("https://m.media-amazon.com/images/I/51n7wUjxshL._AC_UY218_.jpg")</f>
        <v>#NAME?</v>
      </c>
      <c r="I5123" t="s">
        <v>893</v>
      </c>
      <c r="J5123">
        <v>33.96</v>
      </c>
      <c r="K5123" s="4">
        <v>0.7006</v>
      </c>
      <c r="L5123">
        <v>4.5</v>
      </c>
      <c r="M5123">
        <v>10</v>
      </c>
      <c r="O5123" t="s">
        <v>25</v>
      </c>
      <c r="P5123" t="s">
        <v>1466</v>
      </c>
      <c r="Q5123" t="s">
        <v>1467</v>
      </c>
    </row>
    <row r="5124" spans="1:17" ht="15.5" x14ac:dyDescent="0.35">
      <c r="A5124"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5124" s="3" t="str">
        <f>HYPERLINK("https://edmondsonsupply.com/products/klein-tools-d507-8-adjustable-wrench-extra-capacity-8-inch", "https://edmondsonsupply.com/products/klein-tools-d507-8-adjustable-wrench-extra-capacity-8-inch")</f>
        <v>https://edmondsonsupply.com/products/klein-tools-d507-8-adjustable-wrench-extra-capacity-8-inch</v>
      </c>
      <c r="C5124" t="s">
        <v>6699</v>
      </c>
      <c r="D5124" t="s">
        <v>6919</v>
      </c>
      <c r="E5124" s="3" t="str">
        <f>HYPERLINK("https://www.amazon.com/Adjustable-Capacity-Klein-Tools-D507-12/dp/B000936OVW/ref=sr_1_5?keywords=Klein+Tools+D507-8+Adjustable+Wrench%2C+Extra+Capacity+8-Inch&amp;qid=1695173949&amp;sr=8-5", "https://www.amazon.com/Adjustable-Capacity-Klein-Tools-D507-12/dp/B000936OVW/ref=sr_1_5?keywords=Klein+Tools+D507-8+Adjustable+Wrench%2C+Extra+Capacity+8-Inch&amp;qid=1695173949&amp;sr=8-5")</f>
        <v>https://www.amazon.com/Adjustable-Capacity-Klein-Tools-D507-12/dp/B000936OVW/ref=sr_1_5?keywords=Klein+Tools+D507-8+Adjustable+Wrench%2C+Extra+Capacity+8-Inch&amp;qid=1695173949&amp;sr=8-5</v>
      </c>
      <c r="F5124" t="s">
        <v>6920</v>
      </c>
      <c r="G5124" t="e">
        <f ca="1">_xludf.IMAGE("https://edmondsonsupply.com/cdn/shop/products/d5078_b.jpg?v=1666010497")</f>
        <v>#NAME?</v>
      </c>
      <c r="H5124" t="e">
        <f ca="1">_xludf.IMAGE("https://m.media-amazon.com/images/I/51Bvc2AeFZL._AC_UL320_.jpg")</f>
        <v>#NAME?</v>
      </c>
      <c r="I5124" t="s">
        <v>26</v>
      </c>
      <c r="J5124">
        <v>50.99</v>
      </c>
      <c r="K5124" s="4">
        <v>0.70020000000000004</v>
      </c>
      <c r="L5124">
        <v>4.8</v>
      </c>
      <c r="M5124">
        <v>383</v>
      </c>
      <c r="O5124" t="s">
        <v>25</v>
      </c>
      <c r="P5124" t="s">
        <v>1327</v>
      </c>
      <c r="Q5124" t="s">
        <v>6700</v>
      </c>
    </row>
    <row r="5125" spans="1:17" ht="15.5" x14ac:dyDescent="0.35">
      <c r="A5125"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5125"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5125" t="s">
        <v>6921</v>
      </c>
      <c r="D5125" t="s">
        <v>6922</v>
      </c>
      <c r="E5125" s="3" t="str">
        <f>HYPERLINK("https://www.amazon.com/Crescent-Wiss-Metalmaster-Straight-Aviation/dp/B087492PJS/ref=sr_1_7?keywords=Crescent+Wiss+M2P+9-3%2F4%22+Compound+Action+Straight+and+Right+Cut+Aviation+Snips&amp;qid=1695174052&amp;sr=8-7", "https://www.amazon.com/Crescent-Wiss-Metalmaster-Straight-Aviation/dp/B087492PJS/ref=sr_1_7?keywords=Crescent+Wiss+M2P+9-3%2F4%22+Compound+Action+Straight+and+Right+Cut+Aviation+Snips&amp;qid=1695174052&amp;sr=8-7")</f>
        <v>https://www.amazon.com/Crescent-Wiss-Metalmaster-Straight-Aviation/dp/B087492PJS/ref=sr_1_7?keywords=Crescent+Wiss+M2P+9-3%2F4%22+Compound+Action+Straight+and+Right+Cut+Aviation+Snips&amp;qid=1695174052&amp;sr=8-7</v>
      </c>
      <c r="F5125" t="s">
        <v>6923</v>
      </c>
      <c r="G5125" t="e">
        <f ca="1">_xludf.IMAGE("https://edmondsonsupply.com/cdn/shop/products/WIS_M2P_IMG_ANG_01.jpg?v=1679674099")</f>
        <v>#NAME?</v>
      </c>
      <c r="H5125" t="e">
        <f ca="1">_xludf.IMAGE("https://m.media-amazon.com/images/I/71EUUFflT7S._AC_UL320_.jpg")</f>
        <v>#NAME?</v>
      </c>
      <c r="I5125" t="s">
        <v>577</v>
      </c>
      <c r="J5125">
        <v>33.979999999999997</v>
      </c>
      <c r="K5125" s="4">
        <v>0.69979999999999998</v>
      </c>
      <c r="L5125">
        <v>4.0999999999999996</v>
      </c>
      <c r="M5125">
        <v>34</v>
      </c>
      <c r="O5125" t="s">
        <v>25</v>
      </c>
      <c r="P5125" t="s">
        <v>6924</v>
      </c>
      <c r="Q5125" t="s">
        <v>6925</v>
      </c>
    </row>
    <row r="5126" spans="1:17" ht="15.5" x14ac:dyDescent="0.35">
      <c r="A5126" s="3" t="str">
        <f>HYPERLINK("https://edmondsonsupply.com/collections/electricians-tools/products/reed-mfg-cw4-4-chrome-adjustable-wrench", "https://edmondsonsupply.com/collections/electricians-tools/products/reed-mfg-cw4-4-chrome-adjustable-wrench")</f>
        <v>https://edmondsonsupply.com/collections/electricians-tools/products/reed-mfg-cw4-4-chrome-adjustable-wrench</v>
      </c>
      <c r="B5126" s="3" t="str">
        <f>HYPERLINK("https://edmondsonsupply.com/products/reed-mfg-cw4-4-chrome-adjustable-wrench", "https://edmondsonsupply.com/products/reed-mfg-cw4-4-chrome-adjustable-wrench")</f>
        <v>https://edmondsonsupply.com/products/reed-mfg-cw4-4-chrome-adjustable-wrench</v>
      </c>
      <c r="C5126" t="s">
        <v>6926</v>
      </c>
      <c r="D5126" t="s">
        <v>6927</v>
      </c>
      <c r="E5126" s="3" t="str">
        <f>HYPERLINK("https://www.amazon.com/Reed-Tool-CW4-Chrome-Adjustable/dp/B001H4RT7K/ref=sr_1_2?keywords=Reed+Mfg+CW4+4%22+Chrome+Adjustable+Wrench&amp;qid=1695174271&amp;sr=8-2", "https://www.amazon.com/Reed-Tool-CW4-Chrome-Adjustable/dp/B001H4RT7K/ref=sr_1_2?keywords=Reed+Mfg+CW4+4%22+Chrome+Adjustable+Wrench&amp;qid=1695174271&amp;sr=8-2")</f>
        <v>https://www.amazon.com/Reed-Tool-CW4-Chrome-Adjustable/dp/B001H4RT7K/ref=sr_1_2?keywords=Reed+Mfg+CW4+4%22+Chrome+Adjustable+Wrench&amp;qid=1695174271&amp;sr=8-2</v>
      </c>
      <c r="F5126" t="s">
        <v>6928</v>
      </c>
      <c r="G5126" t="e">
        <f ca="1">_xludf.IMAGE("https://edmondsonsupply.com/cdn/shop/products/02199-CW4-RGB.jpg?v=1633031008")</f>
        <v>#NAME?</v>
      </c>
      <c r="H5126" t="e">
        <f ca="1">_xludf.IMAGE("https://m.media-amazon.com/images/I/51m4cRm98GL._AC_UL320_.jpg")</f>
        <v>#NAME?</v>
      </c>
      <c r="I5126" t="s">
        <v>6929</v>
      </c>
      <c r="J5126">
        <v>25.12</v>
      </c>
      <c r="K5126" s="4">
        <v>0.6996</v>
      </c>
      <c r="L5126">
        <v>1</v>
      </c>
      <c r="M5126">
        <v>1</v>
      </c>
      <c r="O5126" t="s">
        <v>25</v>
      </c>
      <c r="P5126" t="s">
        <v>6930</v>
      </c>
      <c r="Q5126" t="s">
        <v>6931</v>
      </c>
    </row>
    <row r="5127" spans="1:17" ht="15.5" x14ac:dyDescent="0.35">
      <c r="A5127"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5127" s="3" t="str">
        <f>HYPERLINK("https://edmondsonsupply.com/products/milwaukee-48-22-0305-folding-jab-saw", "https://edmondsonsupply.com/products/milwaukee-48-22-0305-folding-jab-saw")</f>
        <v>https://edmondsonsupply.com/products/milwaukee-48-22-0305-folding-jab-saw</v>
      </c>
      <c r="C5127" t="s">
        <v>2139</v>
      </c>
      <c r="D5127" t="s">
        <v>2139</v>
      </c>
      <c r="E5127" s="3" t="str">
        <f>HYPERLINK("https://www.amazon.com/Milwaukee-48-22-0305-Folding-Jab-Saw/dp/B07FB3LJ2M/ref=sr_1_4?keywords=Milwaukee+48-22-0305+Folding+Jab+Saw&amp;qid=1695173950&amp;sr=8-4", "https://www.amazon.com/Milwaukee-48-22-0305-Folding-Jab-Saw/dp/B07FB3LJ2M/ref=sr_1_4?keywords=Milwaukee+48-22-0305+Folding+Jab+Saw&amp;qid=1695173950&amp;sr=8-4")</f>
        <v>https://www.amazon.com/Milwaukee-48-22-0305-Folding-Jab-Saw/dp/B07FB3LJ2M/ref=sr_1_4?keywords=Milwaukee+48-22-0305+Folding+Jab+Saw&amp;qid=1695173950&amp;sr=8-4</v>
      </c>
      <c r="F5127" t="s">
        <v>2837</v>
      </c>
      <c r="G5127" t="e">
        <f ca="1">_xludf.IMAGE("https://edmondsonsupply.com/cdn/shop/products/49678_48-22-0305-lg.jpg?v=1587148349")</f>
        <v>#NAME?</v>
      </c>
      <c r="H5127" t="e">
        <f ca="1">_xludf.IMAGE("https://m.media-amazon.com/images/I/31MwF2AgpNL._AC_UL320_.jpg")</f>
        <v>#NAME?</v>
      </c>
      <c r="I5127" t="s">
        <v>893</v>
      </c>
      <c r="J5127">
        <v>33.869999999999997</v>
      </c>
      <c r="K5127" s="4">
        <v>0.69599999999999995</v>
      </c>
      <c r="L5127">
        <v>4.0999999999999996</v>
      </c>
      <c r="M5127">
        <v>19</v>
      </c>
      <c r="O5127" t="s">
        <v>25</v>
      </c>
      <c r="P5127" t="s">
        <v>2142</v>
      </c>
      <c r="Q5127" t="s">
        <v>2143</v>
      </c>
    </row>
    <row r="5128" spans="1:17" ht="15.5" x14ac:dyDescent="0.35">
      <c r="A5128"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5128"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5128" t="s">
        <v>6932</v>
      </c>
      <c r="D5128" t="s">
        <v>6933</v>
      </c>
      <c r="E5128" s="3" t="str">
        <f>HYPERLINK("https://www.amazon.com/Diablo-Freud-DOU125JBW3-Universal-Oscillating/dp/B089KX3SWM/ref=sr_1_2?keywords=Diablo+Tools+DOU250JBW+2-1%2F2+in.+Universal+Fit+Bi-Metal+Oscillating+Blade+for+Clean+Wood&amp;qid=1695174020&amp;sr=8-2", "https://www.amazon.com/Diablo-Freud-DOU125JBW3-Universal-Oscillating/dp/B089KX3SWM/ref=sr_1_2?keywords=Diablo+Tools+DOU250JBW+2-1%2F2+in.+Universal+Fit+Bi-Metal+Oscillating+Blade+for+Clean+Wood&amp;qid=1695174020&amp;sr=8-2")</f>
        <v>https://www.amazon.com/Diablo-Freud-DOU125JBW3-Universal-Oscillating/dp/B089KX3SWM/ref=sr_1_2?keywords=Diablo+Tools+DOU250JBW+2-1%2F2+in.+Universal+Fit+Bi-Metal+Oscillating+Blade+for+Clean+Wood&amp;qid=1695174020&amp;sr=8-2</v>
      </c>
      <c r="F5128" t="s">
        <v>6934</v>
      </c>
      <c r="G5128" t="e">
        <f ca="1">_xludf.IMAGE("https://edmondsonsupply.com/cdn/shop/files/pycnap4eb1urn2hxvudq.webp?v=1685718789")</f>
        <v>#NAME?</v>
      </c>
      <c r="H5128" t="e">
        <f ca="1">_xludf.IMAGE("https://m.media-amazon.com/images/I/61wFHtmEH5L._AC_UL320_.jpg")</f>
        <v>#NAME?</v>
      </c>
      <c r="I5128" t="s">
        <v>6935</v>
      </c>
      <c r="J5128">
        <v>26.5</v>
      </c>
      <c r="K5128" s="4">
        <v>0.69330000000000003</v>
      </c>
      <c r="L5128">
        <v>4.5</v>
      </c>
      <c r="M5128">
        <v>48</v>
      </c>
      <c r="O5128" t="s">
        <v>25</v>
      </c>
      <c r="P5128" t="s">
        <v>6936</v>
      </c>
      <c r="Q5128" t="s">
        <v>6937</v>
      </c>
    </row>
    <row r="5129" spans="1:17" ht="15.5" x14ac:dyDescent="0.35">
      <c r="A5129"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5129"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5129" t="s">
        <v>6870</v>
      </c>
      <c r="D5129" t="s">
        <v>6252</v>
      </c>
      <c r="E5129" s="3" t="str">
        <f>HYPERLINK("https://www.amazon.com/Klein-Tools-JTH6E09BE-Ball-End-Journeyman/dp/B0CGLVC75M/ref=sr_1_7?keywords=Klein+Tools+JTH6E14BE+5%2F16-Inch+Ball+End+Hex+Key+with+T-Handle%2C+6-Inch&amp;qid=1695174246&amp;sr=8-7", "https://www.amazon.com/Klein-Tools-JTH6E09BE-Ball-End-Journeyman/dp/B0CGLVC75M/ref=sr_1_7?keywords=Klein+Tools+JTH6E14BE+5%2F16-Inch+Ball+End+Hex+Key+with+T-Handle%2C+6-Inch&amp;qid=1695174246&amp;sr=8-7")</f>
        <v>https://www.amazon.com/Klein-Tools-JTH6E09BE-Ball-End-Journeyman/dp/B0CGLVC75M/ref=sr_1_7?keywords=Klein+Tools+JTH6E14BE+5%2F16-Inch+Ball+End+Hex+Key+with+T-Handle%2C+6-Inch&amp;qid=1695174246&amp;sr=8-7</v>
      </c>
      <c r="F5129" t="s">
        <v>6253</v>
      </c>
      <c r="G5129" t="e">
        <f ca="1">_xludf.IMAGE("https://edmondsonsupply.com/cdn/shop/products/jth6e13be_0da4cca6-ce15-419c-bc75-cd610bd9637f.jpg?v=1629825198")</f>
        <v>#NAME?</v>
      </c>
      <c r="H5129" t="e">
        <f ca="1">_xludf.IMAGE("https://m.media-amazon.com/images/I/41bN+I19ReL._AC_UL320_.jpg")</f>
        <v>#NAME?</v>
      </c>
      <c r="I5129" t="s">
        <v>6394</v>
      </c>
      <c r="J5129">
        <v>14.36</v>
      </c>
      <c r="K5129" s="4">
        <v>0.69140000000000001</v>
      </c>
      <c r="L5129">
        <v>4.9000000000000004</v>
      </c>
      <c r="M5129">
        <v>65</v>
      </c>
      <c r="O5129" t="s">
        <v>25</v>
      </c>
      <c r="P5129" t="s">
        <v>6871</v>
      </c>
      <c r="Q5129" t="s">
        <v>6872</v>
      </c>
    </row>
    <row r="5130" spans="1:17" ht="15.5" x14ac:dyDescent="0.35">
      <c r="A5130"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5130" s="3" t="str">
        <f>HYPERLINK("https://edmondsonsupply.com/products/fluke-373-true-rms-ac-clamp-meter", "https://edmondsonsupply.com/products/fluke-373-true-rms-ac-clamp-meter")</f>
        <v>https://edmondsonsupply.com/products/fluke-373-true-rms-ac-clamp-meter</v>
      </c>
      <c r="C5130" t="s">
        <v>5826</v>
      </c>
      <c r="D5130" t="s">
        <v>5827</v>
      </c>
      <c r="E5130" s="3" t="str">
        <f>HYPERLINK("https://www.amazon.com/Fluke-374-FC-AMZN-NIST-Traceable-Calibration-Certificate/dp/B01CFXIMCC/ref=sr_1_7?keywords=Fluke+373+True-RMS+AC+Clamp+Meter&amp;qid=1695173996&amp;sr=8-7", "https://www.amazon.com/Fluke-374-FC-AMZN-NIST-Traceable-Calibration-Certificate/dp/B01CFXIMCC/ref=sr_1_7?keywords=Fluke+373+True-RMS+AC+Clamp+Meter&amp;qid=1695173996&amp;sr=8-7")</f>
        <v>https://www.amazon.com/Fluke-374-FC-AMZN-NIST-Traceable-Calibration-Certificate/dp/B01CFXIMCC/ref=sr_1_7?keywords=Fluke+373+True-RMS+AC+Clamp+Meter&amp;qid=1695173996&amp;sr=8-7</v>
      </c>
      <c r="F5130" t="s">
        <v>5828</v>
      </c>
      <c r="G5130" t="e">
        <f ca="1">_xludf.IMAGE("https://edmondsonsupply.com/cdn/shop/files/f-373-01d-1500x1000.webp?v=1689369435")</f>
        <v>#NAME?</v>
      </c>
      <c r="H5130" t="e">
        <f ca="1">_xludf.IMAGE("https://m.media-amazon.com/images/I/61cUiZ0qhwL._AC_UY218_.jpg")</f>
        <v>#NAME?</v>
      </c>
      <c r="I5130" t="s">
        <v>5829</v>
      </c>
      <c r="J5130">
        <v>490</v>
      </c>
      <c r="K5130" s="4">
        <v>0.68940000000000001</v>
      </c>
      <c r="L5130">
        <v>3.8</v>
      </c>
      <c r="M5130">
        <v>12</v>
      </c>
      <c r="O5130" t="s">
        <v>25</v>
      </c>
      <c r="P5130" t="s">
        <v>138</v>
      </c>
      <c r="Q5130" t="s">
        <v>5830</v>
      </c>
    </row>
    <row r="5131" spans="1:17" ht="15.5" x14ac:dyDescent="0.35">
      <c r="A5131"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5131" s="3" t="str">
        <f>HYPERLINK("https://edmondsonsupply.com/products/klein-tools-646-5-16-5-16-inch-nut-driver-6-inch-hollow-shaft", "https://edmondsonsupply.com/products/klein-tools-646-5-16-5-16-inch-nut-driver-6-inch-hollow-shaft")</f>
        <v>https://edmondsonsupply.com/products/klein-tools-646-5-16-5-16-inch-nut-driver-6-inch-hollow-shaft</v>
      </c>
      <c r="C5131" t="s">
        <v>1893</v>
      </c>
      <c r="D5131" t="s">
        <v>6938</v>
      </c>
      <c r="E5131" s="3" t="str">
        <f>HYPERLINK("https://www.amazon.com/Klein-Tools-646-5-Cushion-Grip-Hollow-Shank/dp/B000QJHJSG/ref=sr_1_10?keywords=Klein+Tools+646-5%2F16+5%2F16-Inch+Nut+Driver%2C+6-Inch+Hollow+Shaft&amp;qid=1695173904&amp;sr=8-10", "https://www.amazon.com/Klein-Tools-646-5-Cushion-Grip-Hollow-Shank/dp/B000QJHJSG/ref=sr_1_10?keywords=Klein+Tools+646-5%2F16+5%2F16-Inch+Nut+Driver%2C+6-Inch+Hollow+Shaft&amp;qid=1695173904&amp;sr=8-10")</f>
        <v>https://www.amazon.com/Klein-Tools-646-5-Cushion-Grip-Hollow-Shank/dp/B000QJHJSG/ref=sr_1_10?keywords=Klein+Tools+646-5%2F16+5%2F16-Inch+Nut+Driver%2C+6-Inch+Hollow+Shaft&amp;qid=1695173904&amp;sr=8-10</v>
      </c>
      <c r="F5131" t="s">
        <v>6939</v>
      </c>
      <c r="G5131" t="e">
        <f ca="1">_xludf.IMAGE("https://edmondsonsupply.com/cdn/shop/products/646-1-2_e1540905-f750-4509-90c5-74ff653e4d83.jpg?v=1587145119")</f>
        <v>#NAME?</v>
      </c>
      <c r="H5131" t="e">
        <f ca="1">_xludf.IMAGE("https://m.media-amazon.com/images/I/41esdWE3JCL._AC_UL320_.jpg")</f>
        <v>#NAME?</v>
      </c>
      <c r="I5131" t="s">
        <v>1003</v>
      </c>
      <c r="J5131">
        <v>13.49</v>
      </c>
      <c r="K5131" s="4">
        <v>0.68840000000000001</v>
      </c>
      <c r="L5131">
        <v>4.9000000000000004</v>
      </c>
      <c r="M5131">
        <v>45</v>
      </c>
      <c r="O5131" t="s">
        <v>25</v>
      </c>
      <c r="P5131" t="s">
        <v>1481</v>
      </c>
      <c r="Q5131" t="s">
        <v>1896</v>
      </c>
    </row>
    <row r="5132" spans="1:17" ht="15.5" x14ac:dyDescent="0.35">
      <c r="A5132"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5132" s="3" t="str">
        <f>HYPERLINK("https://edmondsonsupply.com/products/klein-tools-et450-advanced-circuit-tracer-kit", "https://edmondsonsupply.com/products/klein-tools-et450-advanced-circuit-tracer-kit")</f>
        <v>https://edmondsonsupply.com/products/klein-tools-et450-advanced-circuit-tracer-kit</v>
      </c>
      <c r="C5132" t="s">
        <v>2849</v>
      </c>
      <c r="D5132" t="s">
        <v>2850</v>
      </c>
      <c r="E5132" s="3" t="str">
        <f>HYPERLINK("https://www.amazon.com/Klein-Tools-Megohmmeter-Insulation-Ohms-Resistance-Auto-Ranging/dp/B0C2V14DQF/ref=sr_1_9?keywords=Klein+Tools+ET450+Advanced+Circuit+Tracer+Kit&amp;qid=1695173869&amp;sr=8-9", "https://www.amazon.com/Klein-Tools-Megohmmeter-Insulation-Ohms-Resistance-Auto-Ranging/dp/B0C2V14DQF/ref=sr_1_9?keywords=Klein+Tools+ET450+Advanced+Circuit+Tracer+Kit&amp;qid=1695173869&amp;sr=8-9")</f>
        <v>https://www.amazon.com/Klein-Tools-Megohmmeter-Insulation-Ohms-Resistance-Auto-Ranging/dp/B0C2V14DQF/ref=sr_1_9?keywords=Klein+Tools+ET450+Advanced+Circuit+Tracer+Kit&amp;qid=1695173869&amp;sr=8-9</v>
      </c>
      <c r="F5132" t="s">
        <v>2851</v>
      </c>
      <c r="G5132" t="e">
        <f ca="1">_xludf.IMAGE("https://edmondsonsupply.com/cdn/shop/products/et450.jpg?v=1660165248")</f>
        <v>#NAME?</v>
      </c>
      <c r="H5132" t="e">
        <f ca="1">_xludf.IMAGE("https://m.media-amazon.com/images/I/61413mHKf0L._AC_UL320_.jpg")</f>
        <v>#NAME?</v>
      </c>
      <c r="I5132" t="s">
        <v>759</v>
      </c>
      <c r="J5132">
        <v>404.98</v>
      </c>
      <c r="K5132" s="4">
        <v>0.6875</v>
      </c>
      <c r="L5132">
        <v>5</v>
      </c>
      <c r="M5132">
        <v>1</v>
      </c>
      <c r="O5132" t="s">
        <v>25</v>
      </c>
      <c r="P5132" t="s">
        <v>2852</v>
      </c>
      <c r="Q5132" t="s">
        <v>2853</v>
      </c>
    </row>
    <row r="5133" spans="1:17" ht="15.5" x14ac:dyDescent="0.35">
      <c r="A5133"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5133"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5133" t="s">
        <v>6940</v>
      </c>
      <c r="D5133" t="s">
        <v>6941</v>
      </c>
      <c r="E5133" s="3" t="str">
        <f>HYPERLINK("https://www.amazon.com/Diablo-Freud-DOU125CF3-Universal-Oscillating/dp/B089LKXD7L/ref=sr_1_8?keywords=Diablo+Tools+DOU125BF+1-1%2F4+in.+Universal+Fit+Bi-Metal+Oscillating+Blade+for+Metal&amp;qid=1695174025&amp;sr=8-8", "https://www.amazon.com/Diablo-Freud-DOU125CF3-Universal-Oscillating/dp/B089LKXD7L/ref=sr_1_8?keywords=Diablo+Tools+DOU125BF+1-1%2F4+in.+Universal+Fit+Bi-Metal+Oscillating+Blade+for+Metal&amp;qid=1695174025&amp;sr=8-8")</f>
        <v>https://www.amazon.com/Diablo-Freud-DOU125CF3-Universal-Oscillating/dp/B089LKXD7L/ref=sr_1_8?keywords=Diablo+Tools+DOU125BF+1-1%2F4+in.+Universal+Fit+Bi-Metal+Oscillating+Blade+for+Metal&amp;qid=1695174025&amp;sr=8-8</v>
      </c>
      <c r="F5133" t="s">
        <v>6942</v>
      </c>
      <c r="G5133" t="e">
        <f ca="1">_xludf.IMAGE("https://edmondsonsupply.com/cdn/shop/files/k1d1qiwmm4npznsdbwtg.webp?v=1685467858")</f>
        <v>#NAME?</v>
      </c>
      <c r="H5133" t="e">
        <f ca="1">_xludf.IMAGE("https://m.media-amazon.com/images/I/71izb0UUOkL._AC_UL320_.jpg")</f>
        <v>#NAME?</v>
      </c>
      <c r="I5133" t="s">
        <v>6164</v>
      </c>
      <c r="J5133">
        <v>32</v>
      </c>
      <c r="K5133" s="4">
        <v>0.68689999999999996</v>
      </c>
      <c r="L5133">
        <v>4.5</v>
      </c>
      <c r="M5133">
        <v>164</v>
      </c>
      <c r="O5133" t="s">
        <v>25</v>
      </c>
      <c r="P5133" t="s">
        <v>6943</v>
      </c>
      <c r="Q5133" t="s">
        <v>6944</v>
      </c>
    </row>
    <row r="5134" spans="1:17" ht="15.5" x14ac:dyDescent="0.35">
      <c r="A5134"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5134" s="3" t="str">
        <f>HYPERLINK("https://edmondsonsupply.com/products/greenlee-dtap1-4-20-drill-tap-1-4-20", "https://edmondsonsupply.com/products/greenlee-dtap1-4-20-drill-tap-1-4-20")</f>
        <v>https://edmondsonsupply.com/products/greenlee-dtap1-4-20-drill-tap-1-4-20</v>
      </c>
      <c r="C5134" t="s">
        <v>2854</v>
      </c>
      <c r="D5134" t="s">
        <v>2855</v>
      </c>
      <c r="E5134" s="3" t="str">
        <f>HYPERLINK("https://www.amazon.com/Greenlee-LDTAP1-4-20-Long-Drill/dp/B00E62G6AG/ref=sr_1_2?keywords=Greenlee+DTAP1%2F4-20+Drill%2FTap%2C+1%2F4-20&amp;qid=1695173937&amp;sr=8-2", "https://www.amazon.com/Greenlee-LDTAP1-4-20-Long-Drill/dp/B00E62G6AG/ref=sr_1_2?keywords=Greenlee+DTAP1%2F4-20+Drill%2FTap%2C+1%2F4-20&amp;qid=1695173937&amp;sr=8-2")</f>
        <v>https://www.amazon.com/Greenlee-LDTAP1-4-20-Long-Drill/dp/B00E62G6AG/ref=sr_1_2?keywords=Greenlee+DTAP1%2F4-20+Drill%2FTap%2C+1%2F4-20&amp;qid=1695173937&amp;sr=8-2</v>
      </c>
      <c r="F5134" t="s">
        <v>2856</v>
      </c>
      <c r="G5134" t="e">
        <f ca="1">_xludf.IMAGE("https://edmondsonsupply.com/cdn/shop/products/DTAP1-4-20.jpg?v=1587151009")</f>
        <v>#NAME?</v>
      </c>
      <c r="H5134" t="e">
        <f ca="1">_xludf.IMAGE("https://m.media-amazon.com/images/I/61R41z3ZKQL._AC_UL320_.jpg")</f>
        <v>#NAME?</v>
      </c>
      <c r="I5134" t="s">
        <v>924</v>
      </c>
      <c r="J5134">
        <v>15.16</v>
      </c>
      <c r="K5134" s="4">
        <v>0.68630000000000002</v>
      </c>
      <c r="L5134">
        <v>3.7</v>
      </c>
      <c r="M5134">
        <v>7</v>
      </c>
      <c r="O5134" t="s">
        <v>25</v>
      </c>
      <c r="P5134" t="s">
        <v>2857</v>
      </c>
      <c r="Q5134" t="s">
        <v>2858</v>
      </c>
    </row>
    <row r="5135" spans="1:17" ht="15.5" x14ac:dyDescent="0.35">
      <c r="A5135"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5135"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5135" t="s">
        <v>2391</v>
      </c>
      <c r="D5135" t="s">
        <v>2859</v>
      </c>
      <c r="E5135" s="3" t="str">
        <f>HYPERLINK("https://www.amazon.com/Journeyman-T-Handle-Klein-Tools-JTH6M3BE/dp/B005G394V2/ref=sr_1_4?keywords=Klein+Tools+JTH6E11+3%2F16-Inch+Hex+Key%2C+Journeyman+T-Handle%2C+6-Inch&amp;qid=1695173898&amp;sr=8-4", "https://www.amazon.com/Journeyman-T-Handle-Klein-Tools-JTH6M3BE/dp/B005G394V2/ref=sr_1_4?keywords=Klein+Tools+JTH6E11+3%2F16-Inch+Hex+Key%2C+Journeyman+T-Handle%2C+6-Inch&amp;qid=1695173898&amp;sr=8-4")</f>
        <v>https://www.amazon.com/Journeyman-T-Handle-Klein-Tools-JTH6M3BE/dp/B005G394V2/ref=sr_1_4?keywords=Klein+Tools+JTH6E11+3%2F16-Inch+Hex+Key%2C+Journeyman+T-Handle%2C+6-Inch&amp;qid=1695173898&amp;sr=8-4</v>
      </c>
      <c r="F5135" t="s">
        <v>2860</v>
      </c>
      <c r="G5135" t="e">
        <f ca="1">_xludf.IMAGE("https://edmondsonsupply.com/cdn/shop/products/jth6e15_0266106d-0a3b-44ba-997b-66db7749d83f.jpg?v=1587144829")</f>
        <v>#NAME?</v>
      </c>
      <c r="H5135" t="e">
        <f ca="1">_xludf.IMAGE("https://m.media-amazon.com/images/I/51huXA+ij8L._AC_UL320_.jpg")</f>
        <v>#NAME?</v>
      </c>
      <c r="I5135" t="s">
        <v>2388</v>
      </c>
      <c r="J5135">
        <v>8.41</v>
      </c>
      <c r="K5135" s="4">
        <v>0.68540000000000001</v>
      </c>
      <c r="L5135">
        <v>4.5999999999999996</v>
      </c>
      <c r="M5135">
        <v>184</v>
      </c>
      <c r="O5135" t="s">
        <v>25</v>
      </c>
      <c r="P5135" t="s">
        <v>2392</v>
      </c>
      <c r="Q5135" t="s">
        <v>2393</v>
      </c>
    </row>
    <row r="5136" spans="1:17" ht="15.5" x14ac:dyDescent="0.35">
      <c r="A5136"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5136" s="3" t="str">
        <f>HYPERLINK("https://edmondsonsupply.com/products/klein-tools-jth4e17-1-2-inch-hex-key-journeyman-t-handle-4-inch", "https://edmondsonsupply.com/products/klein-tools-jth4e17-1-2-inch-hex-key-journeyman-t-handle-4-inch")</f>
        <v>https://edmondsonsupply.com/products/klein-tools-jth4e17-1-2-inch-hex-key-journeyman-t-handle-4-inch</v>
      </c>
      <c r="C5136" t="s">
        <v>2385</v>
      </c>
      <c r="D5136" t="s">
        <v>2859</v>
      </c>
      <c r="E5136" s="3" t="str">
        <f>HYPERLINK("https://www.amazon.com/Journeyman-T-Handle-Klein-Tools-JTH6M3BE/dp/B005G394V2/ref=sr_1_7?keywords=Klein+Tools+JTH4E11+3%2F16-Inch+Hex+Key+with+Journeyman+T-Handle%2C+4-Inch&amp;qid=1695173897&amp;sr=8-7", "https://www.amazon.com/Journeyman-T-Handle-Klein-Tools-JTH6M3BE/dp/B005G394V2/ref=sr_1_7?keywords=Klein+Tools+JTH4E11+3%2F16-Inch+Hex+Key+with+Journeyman+T-Handle%2C+4-Inch&amp;qid=1695173897&amp;sr=8-7")</f>
        <v>https://www.amazon.com/Journeyman-T-Handle-Klein-Tools-JTH6M3BE/dp/B005G394V2/ref=sr_1_7?keywords=Klein+Tools+JTH4E11+3%2F16-Inch+Hex+Key+with+Journeyman+T-Handle%2C+4-Inch&amp;qid=1695173897&amp;sr=8-7</v>
      </c>
      <c r="F5136" t="s">
        <v>2860</v>
      </c>
      <c r="G5136" t="e">
        <f ca="1">_xludf.IMAGE("https://edmondsonsupply.com/cdn/shop/products/jth4e17.jpg?v=1587144836")</f>
        <v>#NAME?</v>
      </c>
      <c r="H5136" t="e">
        <f ca="1">_xludf.IMAGE("https://m.media-amazon.com/images/I/51huXA+ij8L._AC_UL320_.jpg")</f>
        <v>#NAME?</v>
      </c>
      <c r="I5136" t="s">
        <v>2388</v>
      </c>
      <c r="J5136">
        <v>8.41</v>
      </c>
      <c r="K5136" s="4">
        <v>0.68540000000000001</v>
      </c>
      <c r="L5136">
        <v>4.5999999999999996</v>
      </c>
      <c r="M5136">
        <v>184</v>
      </c>
      <c r="O5136" t="s">
        <v>25</v>
      </c>
      <c r="P5136" t="s">
        <v>2389</v>
      </c>
      <c r="Q5136" t="s">
        <v>2390</v>
      </c>
    </row>
    <row r="5137" spans="1:17" ht="15.5" x14ac:dyDescent="0.35">
      <c r="A5137"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137" s="3" t="str">
        <f>HYPERLINK("https://edmondsonsupply.com/products/klein-tools-jth6m10-10-mm-hex-key-journeyman-t-handle-6-inch", "https://edmondsonsupply.com/products/klein-tools-jth6m10-10-mm-hex-key-journeyman-t-handle-6-inch")</f>
        <v>https://edmondsonsupply.com/products/klein-tools-jth6m10-10-mm-hex-key-journeyman-t-handle-6-inch</v>
      </c>
      <c r="C5137" t="s">
        <v>6945</v>
      </c>
      <c r="D5137" t="s">
        <v>6226</v>
      </c>
      <c r="E5137" s="3" t="str">
        <f>HYPERLINK("https://www.amazon.com/Journeyman-T-Handle-Klein-Tools-JTH9M10/dp/B005G3HIA6/ref=sr_1_2?keywords=Klein+Tools+JTH6M10+10+mm+Hex+Key+Journeyman+T-Handle+6-Inch&amp;qid=1695174255&amp;sr=8-2", "https://www.amazon.com/Journeyman-T-Handle-Klein-Tools-JTH9M10/dp/B005G3HIA6/ref=sr_1_2?keywords=Klein+Tools+JTH6M10+10+mm+Hex+Key+Journeyman+T-Handle+6-Inch&amp;qid=1695174255&amp;sr=8-2")</f>
        <v>https://www.amazon.com/Journeyman-T-Handle-Klein-Tools-JTH9M10/dp/B005G3HIA6/ref=sr_1_2?keywords=Klein+Tools+JTH6M10+10+mm+Hex+Key+Journeyman+T-Handle+6-Inch&amp;qid=1695174255&amp;sr=8-2</v>
      </c>
      <c r="F5137" t="s">
        <v>6227</v>
      </c>
      <c r="G5137" t="e">
        <f ca="1">_xludf.IMAGE("https://edmondsonsupply.com/cdn/shop/products/jth6m8_64c2c8d3-e13e-4b81-9b34-745be7fd837a.jpg?v=1627827117")</f>
        <v>#NAME?</v>
      </c>
      <c r="H5137" t="e">
        <f ca="1">_xludf.IMAGE("https://m.media-amazon.com/images/I/51+1x0vz9XL._AC_UL320_.jpg")</f>
        <v>#NAME?</v>
      </c>
      <c r="I5137" t="s">
        <v>924</v>
      </c>
      <c r="J5137">
        <v>15.15</v>
      </c>
      <c r="K5137" s="4">
        <v>0.68520000000000003</v>
      </c>
      <c r="L5137">
        <v>5</v>
      </c>
      <c r="M5137">
        <v>2</v>
      </c>
      <c r="O5137" t="s">
        <v>25</v>
      </c>
      <c r="P5137" t="s">
        <v>6946</v>
      </c>
      <c r="Q5137" t="s">
        <v>6947</v>
      </c>
    </row>
    <row r="5138" spans="1:17" ht="15.5" x14ac:dyDescent="0.35">
      <c r="A5138"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5138"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5138" t="s">
        <v>6948</v>
      </c>
      <c r="D5138" t="s">
        <v>4533</v>
      </c>
      <c r="E5138" s="3" t="str">
        <f>HYPERLINK("https://www.amazon.com/Keystone-Demolition-Klein-Tools-602-4DD/dp/B00B9HIC12/ref=sr_1_3?keywords=Klein+Tools+602-4+1%2F4-Inch+Keystone+Screwdriver%2C+4-Inch+Round+Shank&amp;qid=1695174315&amp;sr=8-3", "https://www.amazon.com/Keystone-Demolition-Klein-Tools-602-4DD/dp/B00B9HIC12/ref=sr_1_3?keywords=Klein+Tools+602-4+1%2F4-Inch+Keystone+Screwdriver%2C+4-Inch+Round+Shank&amp;qid=1695174315&amp;sr=8-3")</f>
        <v>https://www.amazon.com/Keystone-Demolition-Klein-Tools-602-4DD/dp/B00B9HIC12/ref=sr_1_3?keywords=Klein+Tools+602-4+1%2F4-Inch+Keystone+Screwdriver%2C+4-Inch+Round+Shank&amp;qid=1695174315&amp;sr=8-3</v>
      </c>
      <c r="F5138" t="s">
        <v>4534</v>
      </c>
      <c r="G5138" t="e">
        <f ca="1">_xludf.IMAGE("https://edmondsonsupply.com/cdn/shop/products/602-6.jpg?v=1633030821")</f>
        <v>#NAME?</v>
      </c>
      <c r="H5138" t="e">
        <f ca="1">_xludf.IMAGE("https://m.media-amazon.com/images/I/41LGnPo9m-L._AC_UL320_.jpg")</f>
        <v>#NAME?</v>
      </c>
      <c r="I5138" t="s">
        <v>2433</v>
      </c>
      <c r="J5138">
        <v>15.99</v>
      </c>
      <c r="K5138" s="4">
        <v>0.68489999999999995</v>
      </c>
      <c r="L5138">
        <v>4.8</v>
      </c>
      <c r="M5138">
        <v>996</v>
      </c>
      <c r="O5138" t="s">
        <v>25</v>
      </c>
      <c r="P5138" t="s">
        <v>6949</v>
      </c>
      <c r="Q5138" t="s">
        <v>6950</v>
      </c>
    </row>
    <row r="5139" spans="1:17" ht="15.5" x14ac:dyDescent="0.35">
      <c r="A5139" s="3" t="str">
        <f>HYPERLINK("https://edmondsonsupply.com/collections/electricians-tools/products/milwaukee-2111-21-475-lumen-usb-rechargeable-hard-hat-headlamp", "https://edmondsonsupply.com/collections/electricians-tools/products/milwaukee-2111-21-475-lumen-usb-rechargeable-hard-hat-headlamp")</f>
        <v>https://edmondsonsupply.com/collections/electricians-tools/products/milwaukee-2111-21-475-lumen-usb-rechargeable-hard-hat-headlamp</v>
      </c>
      <c r="B5139" s="3" t="str">
        <f>HYPERLINK("https://edmondsonsupply.com/products/milwaukee-2111-21-475-lumen-usb-rechargeable-hard-hat-headlamp", "https://edmondsonsupply.com/products/milwaukee-2111-21-475-lumen-usb-rechargeable-hard-hat-headlamp")</f>
        <v>https://edmondsonsupply.com/products/milwaukee-2111-21-475-lumen-usb-rechargeable-hard-hat-headlamp</v>
      </c>
      <c r="C5139" t="s">
        <v>2863</v>
      </c>
      <c r="D5139" t="s">
        <v>2864</v>
      </c>
      <c r="E5139" s="3" t="str">
        <f>HYPERLINK("https://www.amazon.com/Milwaukee-2111-21-Rechargeable-TRUEVIEW-Headlamp/dp/B07XZFN514/ref=sr_1_1?keywords=Milwaukee+2111-21+475-Lumen+USB+Rechargeable+Hard+Hat+Headlamp&amp;qid=1695173940&amp;sr=8-1", "https://www.amazon.com/Milwaukee-2111-21-Rechargeable-TRUEVIEW-Headlamp/dp/B07XZFN514/ref=sr_1_1?keywords=Milwaukee+2111-21+475-Lumen+USB+Rechargeable+Hard+Hat+Headlamp&amp;qid=1695173940&amp;sr=8-1")</f>
        <v>https://www.amazon.com/Milwaukee-2111-21-Rechargeable-TRUEVIEW-Headlamp/dp/B07XZFN514/ref=sr_1_1?keywords=Milwaukee+2111-21+475-Lumen+USB+Rechargeable+Hard+Hat+Headlamp&amp;qid=1695173940&amp;sr=8-1</v>
      </c>
      <c r="F5139" t="s">
        <v>2865</v>
      </c>
      <c r="G5139" t="e">
        <f ca="1">_xludf.IMAGE("https://edmondsonsupply.com/cdn/shop/products/2111-21_3_Overlay_1.png?v=1587142535")</f>
        <v>#NAME?</v>
      </c>
      <c r="H5139" t="e">
        <f ca="1">_xludf.IMAGE("https://m.media-amazon.com/images/I/71r+OMacODL._AC_UL320_.jpg")</f>
        <v>#NAME?</v>
      </c>
      <c r="I5139" t="s">
        <v>356</v>
      </c>
      <c r="J5139">
        <v>117.84</v>
      </c>
      <c r="K5139" s="4">
        <v>0.68420000000000003</v>
      </c>
      <c r="L5139">
        <v>4.7</v>
      </c>
      <c r="M5139">
        <v>264</v>
      </c>
      <c r="O5139" t="s">
        <v>171</v>
      </c>
      <c r="P5139" t="s">
        <v>2866</v>
      </c>
      <c r="Q5139" t="s">
        <v>2867</v>
      </c>
    </row>
    <row r="5140" spans="1:17" ht="15.5" x14ac:dyDescent="0.35">
      <c r="A5140"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5140" s="3" t="str">
        <f>HYPERLINK("https://edmondsonsupply.com/products/klein-tools-60401-hard-hat-vented-full-brim-style", "https://edmondsonsupply.com/products/klein-tools-60401-hard-hat-vented-full-brim-style")</f>
        <v>https://edmondsonsupply.com/products/klein-tools-60401-hard-hat-vented-full-brim-style</v>
      </c>
      <c r="C5140" t="s">
        <v>943</v>
      </c>
      <c r="D5140" t="s">
        <v>944</v>
      </c>
      <c r="E5140" s="3" t="str">
        <f>HYPERLINK("https://www.amazon.com/Klein-Tools-KHHTOPPAD-Replaceable-Suspension/dp/B08KGPS8XH/ref=sr_1_6?keywords=Klein+Tools+60401+Hard+Hat%2C+Vented%2C+Full+Brim+Style&amp;qid=1695173946&amp;sr=8-6", "https://www.amazon.com/Klein-Tools-KHHTOPPAD-Replaceable-Suspension/dp/B08KGPS8XH/ref=sr_1_6?keywords=Klein+Tools+60401+Hard+Hat%2C+Vented%2C+Full+Brim+Style&amp;qid=1695173946&amp;sr=8-6")</f>
        <v>https://www.amazon.com/Klein-Tools-KHHTOPPAD-Replaceable-Suspension/dp/B08KGPS8XH/ref=sr_1_6?keywords=Klein+Tools+60401+Hard+Hat%2C+Vented%2C+Full+Brim+Style&amp;qid=1695173946&amp;sr=8-6</v>
      </c>
      <c r="F5140" t="s">
        <v>945</v>
      </c>
      <c r="G5140" t="e">
        <f ca="1">_xludf.IMAGE("https://edmondsonsupply.com/cdn/shop/products/60401.jpg?v=1587143271")</f>
        <v>#NAME?</v>
      </c>
      <c r="H5140" t="e">
        <f ca="1">_xludf.IMAGE("https://m.media-amazon.com/images/I/61bjZBPtOIL._AC_UL320_.jpg")</f>
        <v>#NAME?</v>
      </c>
      <c r="I5140" t="s">
        <v>946</v>
      </c>
      <c r="J5140">
        <v>75.709999999999994</v>
      </c>
      <c r="K5140" s="4">
        <v>0.68279999999999996</v>
      </c>
      <c r="L5140">
        <v>4.7</v>
      </c>
      <c r="M5140">
        <v>19</v>
      </c>
      <c r="O5140" t="s">
        <v>25</v>
      </c>
      <c r="P5140" t="s">
        <v>947</v>
      </c>
      <c r="Q5140" t="s">
        <v>948</v>
      </c>
    </row>
    <row r="5141" spans="1:17" ht="15.5" x14ac:dyDescent="0.35">
      <c r="A5141" s="3" t="str">
        <f>HYPERLINK("https://edmondsonsupply.com/collections/electricians-tools/products/uei-dl429b-true-rms-digital-clamp-meter-w-wireless-and-differential-temperature", "https://edmondsonsupply.com/collections/electricians-tools/products/uei-dl429b-true-rms-digital-clamp-meter-w-wireless-and-differential-temperature")</f>
        <v>https://edmondsonsupply.com/collections/electricians-tools/products/uei-dl429b-true-rms-digital-clamp-meter-w-wireless-and-differential-temperature</v>
      </c>
      <c r="B5141"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5141" t="s">
        <v>2868</v>
      </c>
      <c r="D5141" t="s">
        <v>2869</v>
      </c>
      <c r="E5141" s="3" t="str">
        <f>HYPERLINK("https://www.amazon.com/UEi-Test-Instruments-DL429-Phoenix/dp/B00W5B15P6/ref=sr_1_3?keywords=UEi+DL479+AC+600A+True+RMS+HVAC%2FR+Clamp+Meter&amp;qid=1695173895&amp;sr=8-3", "https://www.amazon.com/UEi-Test-Instruments-DL429-Phoenix/dp/B00W5B15P6/ref=sr_1_3?keywords=UEi+DL479+AC+600A+True+RMS+HVAC%2FR+Clamp+Meter&amp;qid=1695173895&amp;sr=8-3")</f>
        <v>https://www.amazon.com/UEi-Test-Instruments-DL429-Phoenix/dp/B00W5B15P6/ref=sr_1_3?keywords=UEi+DL479+AC+600A+True+RMS+HVAC%2FR+Clamp+Meter&amp;qid=1695173895&amp;sr=8-3</v>
      </c>
      <c r="F5141" t="s">
        <v>2870</v>
      </c>
      <c r="G5141" t="e">
        <f ca="1">_xludf.IMAGE("https://edmondsonsupply.com/cdn/shop/products/DL479-1.jpg?v=1587142104")</f>
        <v>#NAME?</v>
      </c>
      <c r="H5141" t="e">
        <f ca="1">_xludf.IMAGE("https://m.media-amazon.com/images/I/61BXB98tFDS._AC_UY218_.jpg")</f>
        <v>#NAME?</v>
      </c>
      <c r="I5141" t="s">
        <v>2871</v>
      </c>
      <c r="J5141">
        <v>232.99</v>
      </c>
      <c r="K5141" s="4">
        <v>0.68210000000000004</v>
      </c>
      <c r="L5141">
        <v>4.5</v>
      </c>
      <c r="M5141">
        <v>184</v>
      </c>
      <c r="O5141" t="s">
        <v>171</v>
      </c>
      <c r="P5141" t="s">
        <v>2872</v>
      </c>
      <c r="Q5141" t="s">
        <v>2873</v>
      </c>
    </row>
    <row r="5142" spans="1:17" ht="15.5" x14ac:dyDescent="0.35">
      <c r="A5142"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142" s="3" t="str">
        <f>HYPERLINK("https://edmondsonsupply.com/products/klein-tools-jth6m10-10-mm-hex-key-journeyman-t-handle-6-inch", "https://edmondsonsupply.com/products/klein-tools-jth6m10-10-mm-hex-key-journeyman-t-handle-6-inch")</f>
        <v>https://edmondsonsupply.com/products/klein-tools-jth6m10-10-mm-hex-key-journeyman-t-handle-6-inch</v>
      </c>
      <c r="C5142" t="s">
        <v>6945</v>
      </c>
      <c r="D5142" t="s">
        <v>2345</v>
      </c>
      <c r="E5142" s="3" t="str">
        <f>HYPERLINK("https://www.amazon.com/Klein-Tools-JTH6M3BE-Journeyman-T-Handle/dp/B0CGLYY7WP/ref=sr_1_5?keywords=Klein+Tools+JTH6M10+10+mm+Hex+Key+Journeyman+T-Handle+6-Inch&amp;qid=1695174255&amp;sr=8-5", "https://www.amazon.com/Klein-Tools-JTH6M3BE-Journeyman-T-Handle/dp/B0CGLYY7WP/ref=sr_1_5?keywords=Klein+Tools+JTH6M10+10+mm+Hex+Key+Journeyman+T-Handle+6-Inch&amp;qid=1695174255&amp;sr=8-5")</f>
        <v>https://www.amazon.com/Klein-Tools-JTH6M3BE-Journeyman-T-Handle/dp/B0CGLYY7WP/ref=sr_1_5?keywords=Klein+Tools+JTH6M10+10+mm+Hex+Key+Journeyman+T-Handle+6-Inch&amp;qid=1695174255&amp;sr=8-5</v>
      </c>
      <c r="F5142" t="s">
        <v>2346</v>
      </c>
      <c r="G5142" t="e">
        <f ca="1">_xludf.IMAGE("https://edmondsonsupply.com/cdn/shop/products/jth6m8_64c2c8d3-e13e-4b81-9b34-745be7fd837a.jpg?v=1627827117")</f>
        <v>#NAME?</v>
      </c>
      <c r="H5142" t="e">
        <f ca="1">_xludf.IMAGE("https://m.media-amazon.com/images/I/413sTNFMd7L._AC_UL320_.jpg")</f>
        <v>#NAME?</v>
      </c>
      <c r="I5142" t="s">
        <v>924</v>
      </c>
      <c r="J5142">
        <v>15.1</v>
      </c>
      <c r="K5142" s="4">
        <v>0.67959999999999998</v>
      </c>
      <c r="L5142">
        <v>4.5999999999999996</v>
      </c>
      <c r="M5142">
        <v>184</v>
      </c>
      <c r="O5142" t="s">
        <v>25</v>
      </c>
      <c r="P5142" t="s">
        <v>6946</v>
      </c>
      <c r="Q5142" t="s">
        <v>6947</v>
      </c>
    </row>
    <row r="5143" spans="1:17" ht="15.5" x14ac:dyDescent="0.35">
      <c r="A5143" s="3" t="str">
        <f>HYPERLINK("https://edmondsonsupply.com/collections/electricians-tools/products/klein-tools-60246-p100-half-mask-respirator-s-m", "https://edmondsonsupply.com/collections/electricians-tools/products/klein-tools-60246-p100-half-mask-respirator-s-m")</f>
        <v>https://edmondsonsupply.com/collections/electricians-tools/products/klein-tools-60246-p100-half-mask-respirator-s-m</v>
      </c>
      <c r="B5143" s="3" t="str">
        <f>HYPERLINK("https://edmondsonsupply.com/products/klein-tools-60246-p100-half-mask-respirator-s-m", "https://edmondsonsupply.com/products/klein-tools-60246-p100-half-mask-respirator-s-m")</f>
        <v>https://edmondsonsupply.com/products/klein-tools-60246-p100-half-mask-respirator-s-m</v>
      </c>
      <c r="C5143" t="s">
        <v>951</v>
      </c>
      <c r="D5143" t="s">
        <v>843</v>
      </c>
      <c r="E5143" s="3" t="str">
        <f>HYPERLINK("https://www.amazon.com/Klein-80044-Half-Mask-Respirator-Replacement/dp/B09FW2FRX8/ref=sr_1_2?keywords=Klein+Tools+60246+P100+Half-Mask+Respirator%2C+S%2FM&amp;qid=1695173886&amp;sr=8-2", "https://www.amazon.com/Klein-80044-Half-Mask-Respirator-Replacement/dp/B09FW2FRX8/ref=sr_1_2?keywords=Klein+Tools+60246+P100+Half-Mask+Respirator%2C+S%2FM&amp;qid=1695173886&amp;sr=8-2")</f>
        <v>https://www.amazon.com/Klein-80044-Half-Mask-Respirator-Replacement/dp/B09FW2FRX8/ref=sr_1_2?keywords=Klein+Tools+60246+P100+Half-Mask+Respirator%2C+S%2FM&amp;qid=1695173886&amp;sr=8-2</v>
      </c>
      <c r="F5143" t="s">
        <v>844</v>
      </c>
      <c r="G5143" t="e">
        <f ca="1">_xludf.IMAGE("https://edmondsonsupply.com/cdn/shop/products/60246.jpg?v=1661862728")</f>
        <v>#NAME?</v>
      </c>
      <c r="H5143" t="e">
        <f ca="1">_xludf.IMAGE("https://m.media-amazon.com/images/I/61kQgRHQL4L._AC_UL320_.jpg")</f>
        <v>#NAME?</v>
      </c>
      <c r="I5143" t="s">
        <v>26</v>
      </c>
      <c r="J5143">
        <v>50.35</v>
      </c>
      <c r="K5143" s="4">
        <v>0.67889999999999995</v>
      </c>
      <c r="L5143">
        <v>4.5</v>
      </c>
      <c r="M5143">
        <v>21</v>
      </c>
      <c r="O5143" t="s">
        <v>25</v>
      </c>
      <c r="P5143" t="s">
        <v>952</v>
      </c>
      <c r="Q5143" t="s">
        <v>953</v>
      </c>
    </row>
    <row r="5144" spans="1:17" ht="15.5" x14ac:dyDescent="0.35">
      <c r="A5144" s="3" t="str">
        <f>HYPERLINK("https://edmondsonsupply.com/collections/electricians-tools/products/klein-tools-60244-p100-half-mask-respirator-m-l", "https://edmondsonsupply.com/collections/electricians-tools/products/klein-tools-60244-p100-half-mask-respirator-m-l")</f>
        <v>https://edmondsonsupply.com/collections/electricians-tools/products/klein-tools-60244-p100-half-mask-respirator-m-l</v>
      </c>
      <c r="B5144" s="3" t="str">
        <f>HYPERLINK("https://edmondsonsupply.com/products/klein-tools-60244-p100-half-mask-respirator-m-l", "https://edmondsonsupply.com/products/klein-tools-60244-p100-half-mask-respirator-m-l")</f>
        <v>https://edmondsonsupply.com/products/klein-tools-60244-p100-half-mask-respirator-m-l</v>
      </c>
      <c r="C5144" t="s">
        <v>954</v>
      </c>
      <c r="D5144" t="s">
        <v>843</v>
      </c>
      <c r="E5144" s="3" t="str">
        <f>HYPERLINK("https://www.amazon.com/Klein-80044-Half-Mask-Respirator-Replacement/dp/B09FW2FRX8/ref=sr_1_3?keywords=Klein+Tools+60244+P100+Half-Mask+Respirator%2C+M%2FL&amp;qid=1695174163&amp;sr=8-3", "https://www.amazon.com/Klein-80044-Half-Mask-Respirator-Replacement/dp/B09FW2FRX8/ref=sr_1_3?keywords=Klein+Tools+60244+P100+Half-Mask+Respirator%2C+M%2FL&amp;qid=1695174163&amp;sr=8-3")</f>
        <v>https://www.amazon.com/Klein-80044-Half-Mask-Respirator-Replacement/dp/B09FW2FRX8/ref=sr_1_3?keywords=Klein+Tools+60244+P100+Half-Mask+Respirator%2C+M%2FL&amp;qid=1695174163&amp;sr=8-3</v>
      </c>
      <c r="F5144" t="s">
        <v>844</v>
      </c>
      <c r="G5144" t="e">
        <f ca="1">_xludf.IMAGE("https://edmondsonsupply.com/cdn/shop/products/60246_7e68115f-7e07-4587-a48b-41d81558644a.jpg?v=1661864149")</f>
        <v>#NAME?</v>
      </c>
      <c r="H5144" t="e">
        <f ca="1">_xludf.IMAGE("https://m.media-amazon.com/images/I/61kQgRHQL4L._AC_UL320_.jpg")</f>
        <v>#NAME?</v>
      </c>
      <c r="I5144" t="s">
        <v>26</v>
      </c>
      <c r="J5144">
        <v>50.35</v>
      </c>
      <c r="K5144" s="4">
        <v>0.67889999999999995</v>
      </c>
      <c r="L5144">
        <v>4.5</v>
      </c>
      <c r="M5144">
        <v>21</v>
      </c>
      <c r="O5144" t="s">
        <v>25</v>
      </c>
      <c r="P5144" t="s">
        <v>952</v>
      </c>
      <c r="Q5144" t="s">
        <v>955</v>
      </c>
    </row>
    <row r="5145" spans="1:17" ht="15.5" x14ac:dyDescent="0.35">
      <c r="A5145" s="3" t="str">
        <f>HYPERLINK("https://edmondsonsupply.com/collections/electricians-tools/products/greenlee-gsb02-1-2-step-bit-2", "https://edmondsonsupply.com/collections/electricians-tools/products/greenlee-gsb02-1-2-step-bit-2")</f>
        <v>https://edmondsonsupply.com/collections/electricians-tools/products/greenlee-gsb02-1-2-step-bit-2</v>
      </c>
      <c r="B5145" s="3" t="str">
        <f>HYPERLINK("https://edmondsonsupply.com/products/greenlee-gsb02-1-2-step-bit-2", "https://edmondsonsupply.com/products/greenlee-gsb02-1-2-step-bit-2")</f>
        <v>https://edmondsonsupply.com/products/greenlee-gsb02-1-2-step-bit-2</v>
      </c>
      <c r="C5145" t="s">
        <v>2882</v>
      </c>
      <c r="D5145" t="s">
        <v>2320</v>
      </c>
      <c r="E5145" s="3" t="str">
        <f>HYPERLINK("https://www.amazon.com/Greenlee-Patented-Split-Step-Design-Cutting/dp/B08TVGF4MS/ref=sr_1_4?keywords=Greenlee+GSB02+1%2F2%22+Step+Bit+%28%232%29&amp;qid=1695173993&amp;sr=8-4", "https://www.amazon.com/Greenlee-Patented-Split-Step-Design-Cutting/dp/B08TVGF4MS/ref=sr_1_4?keywords=Greenlee+GSB02+1%2F2%22+Step+Bit+%28%232%29&amp;qid=1695173993&amp;sr=8-4")</f>
        <v>https://www.amazon.com/Greenlee-Patented-Split-Step-Design-Cutting/dp/B08TVGF4MS/ref=sr_1_4?keywords=Greenlee+GSB02+1%2F2%22+Step+Bit+%28%232%29&amp;qid=1695173993&amp;sr=8-4</v>
      </c>
      <c r="F5145" t="s">
        <v>2321</v>
      </c>
      <c r="G5145" t="e">
        <f ca="1">_xludf.IMAGE("https://edmondsonsupply.com/cdn/shop/files/GSB02_CAT1_72dpi.jpg?v=1687783943")</f>
        <v>#NAME?</v>
      </c>
      <c r="H5145" t="e">
        <f ca="1">_xludf.IMAGE("https://m.media-amazon.com/images/I/41J5YEXJLpL._AC_UY218_.jpg")</f>
        <v>#NAME?</v>
      </c>
      <c r="I5145" t="s">
        <v>2883</v>
      </c>
      <c r="J5145">
        <v>65.81</v>
      </c>
      <c r="K5145" s="4">
        <v>0.67500000000000004</v>
      </c>
      <c r="L5145">
        <v>3.8</v>
      </c>
      <c r="M5145">
        <v>5</v>
      </c>
      <c r="O5145" t="s">
        <v>25</v>
      </c>
      <c r="P5145" t="s">
        <v>2884</v>
      </c>
      <c r="Q5145" t="s">
        <v>2885</v>
      </c>
    </row>
    <row r="5146" spans="1:17" ht="15.5" x14ac:dyDescent="0.35">
      <c r="A5146"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5146" s="3" t="str">
        <f>HYPERLINK("https://edmondsonsupply.com/products/fluke-393-solar-clamp-meter-cat-iii-1500-v", "https://edmondsonsupply.com/products/fluke-393-solar-clamp-meter-cat-iii-1500-v")</f>
        <v>https://edmondsonsupply.com/products/fluke-393-solar-clamp-meter-cat-iii-1500-v</v>
      </c>
      <c r="C5146" t="s">
        <v>6951</v>
      </c>
      <c r="D5146" t="s">
        <v>6952</v>
      </c>
      <c r="E5146" s="3" t="str">
        <f>HYPERLINK("https://www.amazon.com/Fluke-Irradiance-Measure-Ambient-Temperature/dp/B0B49954PS/ref=sr_1_4?keywords=Fluke+393+FC+Solar+Clamp+Meter+CAT+III+1500+V&amp;qid=1695174164&amp;sr=8-4", "https://www.amazon.com/Fluke-Irradiance-Measure-Ambient-Temperature/dp/B0B49954PS/ref=sr_1_4?keywords=Fluke+393+FC+Solar+Clamp+Meter+CAT+III+1500+V&amp;qid=1695174164&amp;sr=8-4")</f>
        <v>https://www.amazon.com/Fluke-Irradiance-Measure-Ambient-Temperature/dp/B0B49954PS/ref=sr_1_4?keywords=Fluke+393+FC+Solar+Clamp+Meter+CAT+III+1500+V&amp;qid=1695174164&amp;sr=8-4</v>
      </c>
      <c r="F5146" t="s">
        <v>6953</v>
      </c>
      <c r="G5146" t="e">
        <f ca="1">_xludf.IMAGE("https://edmondsonsupply.com/cdn/shop/products/F-393fc_01a_w.webp?v=1662652371")</f>
        <v>#NAME?</v>
      </c>
      <c r="H5146" t="e">
        <f ca="1">_xludf.IMAGE("https://m.media-amazon.com/images/I/61ej9j9PdPL._AC_UY218_.jpg")</f>
        <v>#NAME?</v>
      </c>
      <c r="I5146" t="s">
        <v>6954</v>
      </c>
      <c r="J5146">
        <v>1132.99</v>
      </c>
      <c r="K5146" s="4">
        <v>0.67410000000000003</v>
      </c>
      <c r="L5146">
        <v>4</v>
      </c>
      <c r="M5146">
        <v>2</v>
      </c>
      <c r="O5146" t="s">
        <v>25</v>
      </c>
      <c r="P5146" t="s">
        <v>6955</v>
      </c>
      <c r="Q5146" t="s">
        <v>6956</v>
      </c>
    </row>
    <row r="5147" spans="1:17" ht="15.5" x14ac:dyDescent="0.35">
      <c r="A5147"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5147"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5147" t="s">
        <v>6425</v>
      </c>
      <c r="D5147" t="s">
        <v>3854</v>
      </c>
      <c r="E5147" s="3" t="str">
        <f>HYPERLINK("https://www.amazon.com/Klein-Tools-80077-Electronic-Non-Contact/dp/B0B11F7Q69/ref=sr_1_7?keywords=Klein+Tools+ET45VP+AC%2FDC+Voltage+and+GFCI+Receptacle+Outlet+Test+Kit&amp;qid=1695174178&amp;sr=8-7", "https://www.amazon.com/Klein-Tools-80077-Electronic-Non-Contact/dp/B0B11F7Q69/ref=sr_1_7?keywords=Klein+Tools+ET45VP+AC%2FDC+Voltage+and+GFCI+Receptacle+Outlet+Test+Kit&amp;qid=1695174178&amp;sr=8-7")</f>
        <v>https://www.amazon.com/Klein-Tools-80077-Electronic-Non-Contact/dp/B0B11F7Q69/ref=sr_1_7?keywords=Klein+Tools+ET45VP+AC%2FDC+Voltage+and+GFCI+Receptacle+Outlet+Test+Kit&amp;qid=1695174178&amp;sr=8-7</v>
      </c>
      <c r="F5147" t="s">
        <v>3855</v>
      </c>
      <c r="G5147" t="e">
        <f ca="1">_xludf.IMAGE("https://edmondsonsupply.com/cdn/shop/products/et45vp.jpg?v=1660755922")</f>
        <v>#NAME?</v>
      </c>
      <c r="H5147" t="e">
        <f ca="1">_xludf.IMAGE("https://m.media-amazon.com/images/I/51cU3aEkbCL._AC_UL320_.jpg")</f>
        <v>#NAME?</v>
      </c>
      <c r="I5147" t="s">
        <v>2586</v>
      </c>
      <c r="J5147">
        <v>29.99</v>
      </c>
      <c r="K5147" s="4">
        <v>0.66890000000000005</v>
      </c>
      <c r="L5147">
        <v>4.5999999999999996</v>
      </c>
      <c r="M5147">
        <v>183</v>
      </c>
      <c r="O5147" t="s">
        <v>25</v>
      </c>
      <c r="P5147" t="s">
        <v>6426</v>
      </c>
      <c r="Q5147" t="s">
        <v>6427</v>
      </c>
    </row>
    <row r="5148" spans="1:17" ht="15.5" x14ac:dyDescent="0.35">
      <c r="A5148" s="3" t="str">
        <f>HYPERLINK("https://edmondsonsupply.com/collections/electricians-tools/products/klein-tools-60160-standard-safety-glasses-gray-lens", "https://edmondsonsupply.com/collections/electricians-tools/products/klein-tools-60160-standard-safety-glasses-gray-lens")</f>
        <v>https://edmondsonsupply.com/collections/electricians-tools/products/klein-tools-60160-standard-safety-glasses-gray-lens</v>
      </c>
      <c r="B5148" s="3" t="str">
        <f>HYPERLINK("https://edmondsonsupply.com/products/klein-tools-60160-standard-safety-glasses-gray-lens", "https://edmondsonsupply.com/products/klein-tools-60160-standard-safety-glasses-gray-lens")</f>
        <v>https://edmondsonsupply.com/products/klein-tools-60160-standard-safety-glasses-gray-lens</v>
      </c>
      <c r="C5148" t="s">
        <v>929</v>
      </c>
      <c r="D5148" t="s">
        <v>958</v>
      </c>
      <c r="E5148" s="3" t="str">
        <f>HYPERLINK("https://www.amazon.com/Klein-60164-Professional-Protective-Resistant/dp/B08B4BNSHM/ref=sr_1_4?keywords=Klein+Tools+60160+Standard+Safety+Glasses%2C+Gray+Lens&amp;qid=1695174305&amp;sr=8-4", "https://www.amazon.com/Klein-60164-Professional-Protective-Resistant/dp/B08B4BNSHM/ref=sr_1_4?keywords=Klein+Tools+60160+Standard+Safety+Glasses%2C+Gray+Lens&amp;qid=1695174305&amp;sr=8-4")</f>
        <v>https://www.amazon.com/Klein-60164-Professional-Protective-Resistant/dp/B08B4BNSHM/ref=sr_1_4?keywords=Klein+Tools+60160+Standard+Safety+Glasses%2C+Gray+Lens&amp;qid=1695174305&amp;sr=8-4</v>
      </c>
      <c r="F5148" t="s">
        <v>959</v>
      </c>
      <c r="G5148" t="e">
        <f ca="1">_xludf.IMAGE("https://edmondsonsupply.com/cdn/shop/products/60160.jpg?v=1633030843")</f>
        <v>#NAME?</v>
      </c>
      <c r="H5148" t="e">
        <f ca="1">_xludf.IMAGE("https://m.media-amazon.com/images/I/41bNrH9NnFL._AC_UL320_.jpg")</f>
        <v>#NAME?</v>
      </c>
      <c r="I5148" t="s">
        <v>924</v>
      </c>
      <c r="J5148">
        <v>14.99</v>
      </c>
      <c r="K5148" s="4">
        <v>0.66739999999999999</v>
      </c>
      <c r="L5148">
        <v>4.4000000000000004</v>
      </c>
      <c r="M5148">
        <v>463</v>
      </c>
      <c r="O5148" t="s">
        <v>25</v>
      </c>
      <c r="P5148" t="s">
        <v>925</v>
      </c>
      <c r="Q5148" t="s">
        <v>932</v>
      </c>
    </row>
    <row r="5149" spans="1:17" ht="15.5" x14ac:dyDescent="0.35">
      <c r="A5149" s="3" t="str">
        <f>HYPERLINK("https://edmondsonsupply.com/collections/electricians-tools/products/klein-tools-60159-standard-safety-glasses-clear-lens", "https://edmondsonsupply.com/collections/electricians-tools/products/klein-tools-60159-standard-safety-glasses-clear-lens")</f>
        <v>https://edmondsonsupply.com/collections/electricians-tools/products/klein-tools-60159-standard-safety-glasses-clear-lens</v>
      </c>
      <c r="B5149" s="3" t="str">
        <f>HYPERLINK("https://edmondsonsupply.com/products/klein-tools-60159-standard-safety-glasses-clear-lens", "https://edmondsonsupply.com/products/klein-tools-60159-standard-safety-glasses-clear-lens")</f>
        <v>https://edmondsonsupply.com/products/klein-tools-60159-standard-safety-glasses-clear-lens</v>
      </c>
      <c r="C5149" t="s">
        <v>921</v>
      </c>
      <c r="D5149" t="s">
        <v>956</v>
      </c>
      <c r="E5149" s="3" t="str">
        <f>HYPERLINK("https://www.amazon.com/Klein-60163-Professional-Protective-Resistant/dp/B08B48CZ5V/ref=sr_1_3?keywords=Klein+Tools+60159+Standard+Safety+Glasses%2C+Clear+Lens&amp;qid=1695174312&amp;sr=8-3", "https://www.amazon.com/Klein-60163-Professional-Protective-Resistant/dp/B08B48CZ5V/ref=sr_1_3?keywords=Klein+Tools+60159+Standard+Safety+Glasses%2C+Clear+Lens&amp;qid=1695174312&amp;sr=8-3")</f>
        <v>https://www.amazon.com/Klein-60163-Professional-Protective-Resistant/dp/B08B48CZ5V/ref=sr_1_3?keywords=Klein+Tools+60159+Standard+Safety+Glasses%2C+Clear+Lens&amp;qid=1695174312&amp;sr=8-3</v>
      </c>
      <c r="F5149" t="s">
        <v>957</v>
      </c>
      <c r="G5149" t="e">
        <f ca="1">_xludf.IMAGE("https://edmondsonsupply.com/cdn/shop/products/60159.jpg?v=1633030842")</f>
        <v>#NAME?</v>
      </c>
      <c r="H5149" t="e">
        <f ca="1">_xludf.IMAGE("https://m.media-amazon.com/images/I/41IY8K6EFLL._AC_UL320_.jpg")</f>
        <v>#NAME?</v>
      </c>
      <c r="I5149" t="s">
        <v>924</v>
      </c>
      <c r="J5149">
        <v>14.99</v>
      </c>
      <c r="K5149" s="4">
        <v>0.66739999999999999</v>
      </c>
      <c r="L5149">
        <v>4.4000000000000004</v>
      </c>
      <c r="M5149">
        <v>198</v>
      </c>
      <c r="O5149" t="s">
        <v>25</v>
      </c>
      <c r="P5149" t="s">
        <v>925</v>
      </c>
      <c r="Q5149" t="s">
        <v>926</v>
      </c>
    </row>
    <row r="5150" spans="1:17" ht="15.5" x14ac:dyDescent="0.35">
      <c r="A5150"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5150" s="3" t="str">
        <f>HYPERLINK("https://edmondsonsupply.com/products/klein-tools-32900-7-in-1-impact-flip-socket-with-handle", "https://edmondsonsupply.com/products/klein-tools-32900-7-in-1-impact-flip-socket-with-handle")</f>
        <v>https://edmondsonsupply.com/products/klein-tools-32900-7-in-1-impact-flip-socket-with-handle</v>
      </c>
      <c r="C5150" t="s">
        <v>6184</v>
      </c>
      <c r="D5150" t="s">
        <v>1834</v>
      </c>
      <c r="E5150" s="3" t="str">
        <f>HYPERLINK("https://www.amazon.com/Klein-Tools-66070-Sockets-Adapters/dp/B0B33XLXD1/ref=sr_1_10?keywords=Klein+Tools+32900+7-in-1+Impact+Flip+Socket+with+Handle&amp;qid=1695174143&amp;sr=8-10", "https://www.amazon.com/Klein-Tools-66070-Sockets-Adapters/dp/B0B33XLXD1/ref=sr_1_10?keywords=Klein+Tools+32900+7-in-1+Impact+Flip+Socket+with+Handle&amp;qid=1695174143&amp;sr=8-10")</f>
        <v>https://www.amazon.com/Klein-Tools-66070-Sockets-Adapters/dp/B0B33XLXD1/ref=sr_1_10?keywords=Klein+Tools+32900+7-in-1+Impact+Flip+Socket+with+Handle&amp;qid=1695174143&amp;sr=8-10</v>
      </c>
      <c r="F5150" t="s">
        <v>2106</v>
      </c>
      <c r="G5150" t="e">
        <f ca="1">_xludf.IMAGE("https://edmondsonsupply.com/cdn/shop/products/32900_b.jpg?v=1666024787")</f>
        <v>#NAME?</v>
      </c>
      <c r="H5150" t="e">
        <f ca="1">_xludf.IMAGE("https://m.media-amazon.com/images/I/71D23SffznL._AC_UL320_.jpg")</f>
        <v>#NAME?</v>
      </c>
      <c r="I5150" t="s">
        <v>824</v>
      </c>
      <c r="J5150">
        <v>49.97</v>
      </c>
      <c r="K5150" s="4">
        <v>0.6673</v>
      </c>
      <c r="L5150">
        <v>4.8</v>
      </c>
      <c r="M5150">
        <v>1158</v>
      </c>
      <c r="O5150" t="s">
        <v>25</v>
      </c>
      <c r="P5150" t="s">
        <v>73</v>
      </c>
      <c r="Q5150" t="s">
        <v>6187</v>
      </c>
    </row>
    <row r="5151" spans="1:17" ht="15.5" x14ac:dyDescent="0.35">
      <c r="A5151"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5151"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5151" t="s">
        <v>6957</v>
      </c>
      <c r="D5151" t="s">
        <v>3737</v>
      </c>
      <c r="E5151" s="3" t="str">
        <f>HYPERLINK("https://www.amazon.com/16-Inch-Keystone-Demolition-Klein-Tools/dp/B00B9HIBYA/ref=sr_1_4?keywords=Klein+Tools+602-6+5%2F16-Inch+Keystone+Tip+Screwdriver%2C+Cushion+Grip%2C+6-Inch&amp;qid=1695174298&amp;sr=8-4", "https://www.amazon.com/16-Inch-Keystone-Demolition-Klein-Tools/dp/B00B9HIBYA/ref=sr_1_4?keywords=Klein+Tools+602-6+5%2F16-Inch+Keystone+Tip+Screwdriver%2C+Cushion+Grip%2C+6-Inch&amp;qid=1695174298&amp;sr=8-4")</f>
        <v>https://www.amazon.com/16-Inch-Keystone-Demolition-Klein-Tools/dp/B00B9HIBYA/ref=sr_1_4?keywords=Klein+Tools+602-6+5%2F16-Inch+Keystone+Tip+Screwdriver%2C+Cushion+Grip%2C+6-Inch&amp;qid=1695174298&amp;sr=8-4</v>
      </c>
      <c r="F5151" t="s">
        <v>3738</v>
      </c>
      <c r="G5151" t="e">
        <f ca="1">_xludf.IMAGE("https://edmondsonsupply.com/cdn/shop/products/602-6_162e3283-acea-47de-aecf-2a25f009fdcb.jpg?v=1633030880")</f>
        <v>#NAME?</v>
      </c>
      <c r="H5151" t="e">
        <f ca="1">_xludf.IMAGE("https://m.media-amazon.com/images/I/41sh3Q2vVYL._AC_UL320_.jpg")</f>
        <v>#NAME?</v>
      </c>
      <c r="I5151" t="s">
        <v>2337</v>
      </c>
      <c r="J5151">
        <v>19.989999999999998</v>
      </c>
      <c r="K5151" s="4">
        <v>0.66720000000000002</v>
      </c>
      <c r="L5151">
        <v>4.8</v>
      </c>
      <c r="M5151">
        <v>1377</v>
      </c>
      <c r="O5151" t="s">
        <v>25</v>
      </c>
      <c r="P5151" t="s">
        <v>1212</v>
      </c>
      <c r="Q5151" t="s">
        <v>6958</v>
      </c>
    </row>
    <row r="5152" spans="1:17" ht="15.5" x14ac:dyDescent="0.35">
      <c r="A5152"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5152" s="3" t="str">
        <f>HYPERLINK("https://edmondsonsupply.com/products/klein-tools-55559-stand-up-zipper-bags-7-inch-and-14-inch-2-pack", "https://edmondsonsupply.com/products/klein-tools-55559-stand-up-zipper-bags-7-inch-and-14-inch-2-pack")</f>
        <v>https://edmondsonsupply.com/products/klein-tools-55559-stand-up-zipper-bags-7-inch-and-14-inch-2-pack</v>
      </c>
      <c r="C5152" t="s">
        <v>273</v>
      </c>
      <c r="D5152" t="s">
        <v>375</v>
      </c>
      <c r="E5152" s="3" t="str">
        <f>HYPERLINK("https://www.amazon.com/Klein-Tools-Stand-Up-4-25-Inch-Natural/dp/B0BR25QG1Q/ref=sr_1_4?keywords=Klein+Tools+55559+Stand-up+Zipper+Bags%2C+7-Inch+and+14-Inch%2C+2-Pack&amp;qid=1695174132&amp;sr=8-4", "https://www.amazon.com/Klein-Tools-Stand-Up-4-25-Inch-Natural/dp/B0BR25QG1Q/ref=sr_1_4?keywords=Klein+Tools+55559+Stand-up+Zipper+Bags%2C+7-Inch+and+14-Inch%2C+2-Pack&amp;qid=1695174132&amp;sr=8-4")</f>
        <v>https://www.amazon.com/Klein-Tools-Stand-Up-4-25-Inch-Natural/dp/B0BR25QG1Q/ref=sr_1_4?keywords=Klein+Tools+55559+Stand-up+Zipper+Bags%2C+7-Inch+and+14-Inch%2C+2-Pack&amp;qid=1695174132&amp;sr=8-4</v>
      </c>
      <c r="F5152" t="s">
        <v>376</v>
      </c>
      <c r="G5152" t="e">
        <f ca="1">_xludf.IMAGE("https://edmondsonsupply.com/cdn/shop/products/55559.jpg?v=1666900727")</f>
        <v>#NAME?</v>
      </c>
      <c r="H5152" t="e">
        <f ca="1">_xludf.IMAGE("https://m.media-amazon.com/images/I/51j3cDVxrVL._AC_UL320_.jpg")</f>
        <v>#NAME?</v>
      </c>
      <c r="I5152" t="s">
        <v>276</v>
      </c>
      <c r="J5152">
        <v>24.99</v>
      </c>
      <c r="K5152" s="4">
        <v>0.66710000000000003</v>
      </c>
      <c r="L5152">
        <v>5</v>
      </c>
      <c r="M5152">
        <v>2</v>
      </c>
      <c r="O5152" t="s">
        <v>25</v>
      </c>
      <c r="P5152" t="s">
        <v>277</v>
      </c>
      <c r="Q5152" t="s">
        <v>278</v>
      </c>
    </row>
    <row r="5153" spans="1:17" ht="15.5" x14ac:dyDescent="0.35">
      <c r="A5153" s="3" t="str">
        <f>HYPERLINK("https://edmondsonsupply.com/collections/electricians-tools/products/wiha-tools-66991-13-piece-magicring-ball-end-hex-l-key-set-inch", "https://edmondsonsupply.com/collections/electricians-tools/products/wiha-tools-66991-13-piece-magicring-ball-end-hex-l-key-set-inch")</f>
        <v>https://edmondsonsupply.com/collections/electricians-tools/products/wiha-tools-66991-13-piece-magicring-ball-end-hex-l-key-set-inch</v>
      </c>
      <c r="B5153" s="3" t="str">
        <f>HYPERLINK("https://edmondsonsupply.com/products/wiha-tools-66991-13-piece-magicring-ball-end-hex-l-key-set-inch", "https://edmondsonsupply.com/products/wiha-tools-66991-13-piece-magicring-ball-end-hex-l-key-set-inch")</f>
        <v>https://edmondsonsupply.com/products/wiha-tools-66991-13-piece-magicring-ball-end-hex-l-key-set-inch</v>
      </c>
      <c r="C5153" t="s">
        <v>6959</v>
      </c>
      <c r="D5153" t="s">
        <v>4920</v>
      </c>
      <c r="E5153" s="3" t="str">
        <f>HYPERLINK("https://www.amazon.com/Wiha-66992-MagicRing-L-Key-Holders/dp/B000LF2LJM/ref=sr_1_3?keywords=Wiha+Tools+66991+13+Piece+MagicRing+Ball+End+Hex+L-Key+Set+-+Inch&amp;qid=1695173986&amp;sr=8-3", "https://www.amazon.com/Wiha-66992-MagicRing-L-Key-Holders/dp/B000LF2LJM/ref=sr_1_3?keywords=Wiha+Tools+66991+13+Piece+MagicRing+Ball+End+Hex+L-Key+Set+-+Inch&amp;qid=1695173986&amp;sr=8-3")</f>
        <v>https://www.amazon.com/Wiha-66992-MagicRing-L-Key-Holders/dp/B000LF2LJM/ref=sr_1_3?keywords=Wiha+Tools+66991+13+Piece+MagicRing+Ball+End+Hex+L-Key+Set+-+Inch&amp;qid=1695173986&amp;sr=8-3</v>
      </c>
      <c r="F5153" t="s">
        <v>4921</v>
      </c>
      <c r="G5153" t="e">
        <f ca="1">_xludf.IMAGE("https://edmondsonsupply.com/cdn/shop/files/203e9943d7bc6da0913f39b14430d97570f6257a_1000x_25f5521b-5db2-4e3a-9496-a87eed5e7da1.webp?v=1690841742")</f>
        <v>#NAME?</v>
      </c>
      <c r="H5153" t="e">
        <f ca="1">_xludf.IMAGE("https://m.media-amazon.com/images/I/71eB60IkANL._AC_UL320_.jpg")</f>
        <v>#NAME?</v>
      </c>
      <c r="I5153" t="s">
        <v>6960</v>
      </c>
      <c r="J5153">
        <v>81.03</v>
      </c>
      <c r="K5153" s="4">
        <v>0.66690000000000005</v>
      </c>
      <c r="L5153">
        <v>4.7</v>
      </c>
      <c r="M5153">
        <v>533</v>
      </c>
      <c r="O5153" t="s">
        <v>25</v>
      </c>
      <c r="P5153" t="s">
        <v>6961</v>
      </c>
      <c r="Q5153" t="s">
        <v>6962</v>
      </c>
    </row>
    <row r="5154" spans="1:17" ht="15.5" x14ac:dyDescent="0.35">
      <c r="A5154"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5154"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5154" t="s">
        <v>960</v>
      </c>
      <c r="D5154" t="s">
        <v>816</v>
      </c>
      <c r="E5154" s="3" t="str">
        <f>HYPERLINK("https://www.amazon.com/Klein-80055-Glasses-Professional-Breakaway/dp/B09HR9RV4H/ref=sr_1_5?keywords=Klein+Tools+60539+Professional+Safety+Glasses%2C+Full+Frame%2C+Polarized+Lens&amp;qid=1695174102&amp;sr=8-5", "https://www.amazon.com/Klein-80055-Glasses-Professional-Breakaway/dp/B09HR9RV4H/ref=sr_1_5?keywords=Klein+Tools+60539+Professional+Safety+Glasses%2C+Full+Frame%2C+Polarized+Lens&amp;qid=1695174102&amp;sr=8-5")</f>
        <v>https://www.amazon.com/Klein-80055-Glasses-Professional-Breakaway/dp/B09HR9RV4H/ref=sr_1_5?keywords=Klein+Tools+60539+Professional+Safety+Glasses%2C+Full+Frame%2C+Polarized+Lens&amp;qid=1695174102&amp;sr=8-5</v>
      </c>
      <c r="F5154" t="s">
        <v>817</v>
      </c>
      <c r="G5154" t="e">
        <f ca="1">_xludf.IMAGE("https://edmondsonsupply.com/cdn/shop/products/60539.jpg?v=1670948006")</f>
        <v>#NAME?</v>
      </c>
      <c r="H5154" t="e">
        <f ca="1">_xludf.IMAGE("https://m.media-amazon.com/images/I/61L5l7dmmiL._AC_UL320_.jpg")</f>
        <v>#NAME?</v>
      </c>
      <c r="I5154" t="s">
        <v>26</v>
      </c>
      <c r="J5154">
        <v>49.99</v>
      </c>
      <c r="K5154" s="4">
        <v>0.66690000000000005</v>
      </c>
      <c r="L5154">
        <v>4.5</v>
      </c>
      <c r="M5154">
        <v>13</v>
      </c>
      <c r="O5154" t="s">
        <v>25</v>
      </c>
      <c r="P5154" t="s">
        <v>562</v>
      </c>
      <c r="Q5154" t="s">
        <v>961</v>
      </c>
    </row>
    <row r="5155" spans="1:17" ht="15.5" x14ac:dyDescent="0.35">
      <c r="A5155"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5155"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5155" t="s">
        <v>6595</v>
      </c>
      <c r="D5155" t="s">
        <v>6605</v>
      </c>
      <c r="E5155" s="3" t="str">
        <f>HYPERLINK("https://www.amazon.com/Klein-Tools-VDV526-200-Replaceable-Non-Metallic/dp/B09Y84486X/ref=sr_1_4?keywords=Klein+Tools+VDV526-052+Cable+Tester%2C+LAN+Scout%C2%AE+Jr.+Continuity+Tester&amp;qid=1695174034&amp;sr=8-4", "https://www.amazon.com/Klein-Tools-VDV526-200-Replaceable-Non-Metallic/dp/B09Y84486X/ref=sr_1_4?keywords=Klein+Tools+VDV526-052+Cable+Tester%2C+LAN+Scout%C2%AE+Jr.+Continuity+Tester&amp;qid=1695174034&amp;sr=8-4")</f>
        <v>https://www.amazon.com/Klein-Tools-VDV526-200-Replaceable-Non-Metallic/dp/B09Y84486X/ref=sr_1_4?keywords=Klein+Tools+VDV526-052+Cable+Tester%2C+LAN+Scout%C2%AE+Jr.+Continuity+Tester&amp;qid=1695174034&amp;sr=8-4</v>
      </c>
      <c r="F5155" t="s">
        <v>6606</v>
      </c>
      <c r="G5155" t="e">
        <f ca="1">_xludf.IMAGE("https://edmondsonsupply.com/cdn/shop/files/vdv526-052.jpg?v=1685032494")</f>
        <v>#NAME?</v>
      </c>
      <c r="H5155" t="e">
        <f ca="1">_xludf.IMAGE("https://m.media-amazon.com/images/I/51l43d13j-L._AC_UY218_.jpg")</f>
        <v>#NAME?</v>
      </c>
      <c r="I5155" t="s">
        <v>5197</v>
      </c>
      <c r="J5155">
        <v>99.96</v>
      </c>
      <c r="K5155" s="4">
        <v>0.66679999999999995</v>
      </c>
      <c r="L5155">
        <v>4.8</v>
      </c>
      <c r="M5155">
        <v>12</v>
      </c>
      <c r="O5155" t="s">
        <v>25</v>
      </c>
      <c r="P5155" t="s">
        <v>6596</v>
      </c>
      <c r="Q5155" t="s">
        <v>6597</v>
      </c>
    </row>
    <row r="5156" spans="1:17" ht="15.5" x14ac:dyDescent="0.35">
      <c r="A5156" s="3" t="str">
        <f>HYPERLINK("https://edmondsonsupply.com/collections/electricians-tools/products/klein-tools-51607-aluminum-conduit-bender-full-assembly-3-4-inch-emt-with-angle-setter%E2%84%A2", "https://edmondsonsupply.com/collections/electricians-tools/products/klein-tools-51607-aluminum-conduit-bender-full-assembly-3-4-inch-emt-with-angle-setter%E2%84%A2")</f>
        <v>https://edmondsonsupply.com/collections/electricians-tools/products/klein-tools-51607-aluminum-conduit-bender-full-assembly-3-4-inch-emt-with-angle-setter%E2%84%A2</v>
      </c>
      <c r="B5156" s="3" t="str">
        <f>HYPERLINK("https://edmondsonsupply.com/products/klein-tools-51607-aluminum-conduit-bender-full-assembly-3-4-inch-emt-with-angle-setter%e2%84%a2", "https://edmondsonsupply.com/products/klein-tools-51607-aluminum-conduit-bender-full-assembly-3-4-inch-emt-with-angle-setter%e2%84%a2")</f>
        <v>https://edmondsonsupply.com/products/klein-tools-51607-aluminum-conduit-bender-full-assembly-3-4-inch-emt-with-angle-setter%e2%84%a2</v>
      </c>
      <c r="C5156" t="s">
        <v>6601</v>
      </c>
      <c r="D5156" t="s">
        <v>6047</v>
      </c>
      <c r="E5156" s="3" t="str">
        <f>HYPERLINK("https://www.amazon.com/Conduit-Features-Klein-Tools-51604/dp/B08V8YVWH1/ref=sr_1_4?keywords=Klein+Tools+51607+Aluminum+Conduit+Bender+Full+Assembly%2C+3%2F4-Inch+EMT+with+Angle+Setter%E2%84%A2&amp;qid=1695174169&amp;sr=8-4", "https://www.amazon.com/Conduit-Features-Klein-Tools-51604/dp/B08V8YVWH1/ref=sr_1_4?keywords=Klein+Tools+51607+Aluminum+Conduit+Bender+Full+Assembly%2C+3%2F4-Inch+EMT+with+Angle+Setter%E2%84%A2&amp;qid=1695174169&amp;sr=8-4")</f>
        <v>https://www.amazon.com/Conduit-Features-Klein-Tools-51604/dp/B08V8YVWH1/ref=sr_1_4?keywords=Klein+Tools+51607+Aluminum+Conduit+Bender+Full+Assembly%2C+3%2F4-Inch+EMT+with+Angle+Setter%E2%84%A2&amp;qid=1695174169&amp;sr=8-4</v>
      </c>
      <c r="F5156" t="s">
        <v>6048</v>
      </c>
      <c r="G5156" t="e">
        <f ca="1">_xludf.IMAGE("https://edmondsonsupply.com/cdn/shop/products/51607.jpg?v=1663942654")</f>
        <v>#NAME?</v>
      </c>
      <c r="H5156" t="e">
        <f ca="1">_xludf.IMAGE("https://m.media-amazon.com/images/I/41DkDVmyczL._AC_UL320_.jpg")</f>
        <v>#NAME?</v>
      </c>
      <c r="I5156" t="s">
        <v>946</v>
      </c>
      <c r="J5156">
        <v>74.989999999999995</v>
      </c>
      <c r="K5156" s="4">
        <v>0.66679999999999995</v>
      </c>
      <c r="L5156">
        <v>4.8</v>
      </c>
      <c r="M5156">
        <v>43</v>
      </c>
      <c r="O5156" t="s">
        <v>25</v>
      </c>
      <c r="P5156" t="s">
        <v>6068</v>
      </c>
      <c r="Q5156" t="s">
        <v>6604</v>
      </c>
    </row>
    <row r="5157" spans="1:17" ht="15.5" x14ac:dyDescent="0.35">
      <c r="A5157" s="3" t="str">
        <f>HYPERLINK("https://edmondsonsupply.com/collections/electricians-tools/products/klein-tools-60345-hard-hat-premium-karbn%E2%84%A2-pattern-non-vented-full-brim-class-e", "https://edmondsonsupply.com/collections/electricians-tools/products/klein-tools-60345-hard-hat-premium-karbn%E2%84%A2-pattern-non-vented-full-brim-class-e")</f>
        <v>https://edmondsonsupply.com/collections/electricians-tools/products/klein-tools-60345-hard-hat-premium-karbn%E2%84%A2-pattern-non-vented-full-brim-class-e</v>
      </c>
      <c r="B5157" s="3" t="str">
        <f>HYPERLINK("https://edmondsonsupply.com/products/klein-tools-60345-hard-hat-premium-karbn%e2%84%a2-pattern-non-vented-full-brim-class-e", "https://edmondsonsupply.com/products/klein-tools-60345-hard-hat-premium-karbn%e2%84%a2-pattern-non-vented-full-brim-class-e")</f>
        <v>https://edmondsonsupply.com/products/klein-tools-60345-hard-hat-premium-karbn%e2%84%a2-pattern-non-vented-full-brim-class-e</v>
      </c>
      <c r="C5157" t="s">
        <v>902</v>
      </c>
      <c r="D5157" t="s">
        <v>962</v>
      </c>
      <c r="E5157" s="3" t="str">
        <f>HYPERLINK("https://www.amazon.com/Klein-Tools-Non-Vented-Premium-Pattern/dp/B09Z8ZC2TJ/ref=sr_1_3?keywords=Klein+Tools+60345+Hard+Hat%2C+Premium+KARBN%E2%84%A2+Pattern%2C+Non-Vented+Full+Brim%2C+Class+E&amp;qid=1695174204&amp;sr=8-3", "https://www.amazon.com/Klein-Tools-Non-Vented-Premium-Pattern/dp/B09Z8ZC2TJ/ref=sr_1_3?keywords=Klein+Tools+60345+Hard+Hat%2C+Premium+KARBN%E2%84%A2+Pattern%2C+Non-Vented+Full+Brim%2C+Class+E&amp;qid=1695174204&amp;sr=8-3")</f>
        <v>https://www.amazon.com/Klein-Tools-Non-Vented-Premium-Pattern/dp/B09Z8ZC2TJ/ref=sr_1_3?keywords=Klein+Tools+60345+Hard+Hat%2C+Premium+KARBN%E2%84%A2+Pattern%2C+Non-Vented+Full+Brim%2C+Class+E&amp;qid=1695174204&amp;sr=8-3</v>
      </c>
      <c r="F5157" t="s">
        <v>963</v>
      </c>
      <c r="G5157" t="e">
        <f ca="1">_xludf.IMAGE("https://edmondsonsupply.com/cdn/shop/products/60345.jpg?v=1660171739")</f>
        <v>#NAME?</v>
      </c>
      <c r="H5157" t="e">
        <f ca="1">_xludf.IMAGE("https://m.media-amazon.com/images/I/51OeMTIeiuL._AC_UL320_.jpg")</f>
        <v>#NAME?</v>
      </c>
      <c r="I5157" t="s">
        <v>905</v>
      </c>
      <c r="J5157">
        <v>99.98</v>
      </c>
      <c r="K5157" s="4">
        <v>0.66659999999999997</v>
      </c>
      <c r="L5157">
        <v>4.7</v>
      </c>
      <c r="M5157">
        <v>8</v>
      </c>
      <c r="O5157" t="s">
        <v>25</v>
      </c>
      <c r="P5157" t="s">
        <v>906</v>
      </c>
      <c r="Q5157" t="s">
        <v>907</v>
      </c>
    </row>
    <row r="5158" spans="1:17" ht="15.5" x14ac:dyDescent="0.35">
      <c r="A5158"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5158"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5158" t="s">
        <v>6963</v>
      </c>
      <c r="D5158" t="s">
        <v>6602</v>
      </c>
      <c r="E5158" s="3" t="str">
        <f>HYPERLINK("https://www.amazon.com/Conduit-Technology-Benchmark-Klein-Tools/dp/B08L3ZQCT1/ref=sr_1_6?keywords=Klein+Tools+51603+Iron+Conduit+Bender+Full+Assembly%2C+1%2F2-Inch+EMT+with+Angle+Setter%E2%84%A2&amp;qid=1695173919&amp;sr=8-6", "https://www.amazon.com/Conduit-Technology-Benchmark-Klein-Tools/dp/B08L3ZQCT1/ref=sr_1_6?keywords=Klein+Tools+51603+Iron+Conduit+Bender+Full+Assembly%2C+1%2F2-Inch+EMT+with+Angle+Setter%E2%84%A2&amp;qid=1695173919&amp;sr=8-6")</f>
        <v>https://www.amazon.com/Conduit-Technology-Benchmark-Klein-Tools/dp/B08L3ZQCT1/ref=sr_1_6?keywords=Klein+Tools+51603+Iron+Conduit+Bender+Full+Assembly%2C+1%2F2-Inch+EMT+with+Angle+Setter%E2%84%A2&amp;qid=1695173919&amp;sr=8-6</v>
      </c>
      <c r="F5158" t="s">
        <v>6603</v>
      </c>
      <c r="G5158" t="e">
        <f ca="1">_xludf.IMAGE("https://edmondsonsupply.com/cdn/shop/products/51604.jpg?v=1663940749")</f>
        <v>#NAME?</v>
      </c>
      <c r="H5158" t="e">
        <f ca="1">_xludf.IMAGE("https://m.media-amazon.com/images/I/41stj4NcdUL._AC_UL320_.jpg")</f>
        <v>#NAME?</v>
      </c>
      <c r="I5158" t="s">
        <v>905</v>
      </c>
      <c r="J5158">
        <v>99.97</v>
      </c>
      <c r="K5158" s="4">
        <v>0.66639999999999999</v>
      </c>
      <c r="L5158">
        <v>4.7</v>
      </c>
      <c r="M5158">
        <v>60</v>
      </c>
      <c r="O5158" t="s">
        <v>25</v>
      </c>
      <c r="P5158" t="s">
        <v>6964</v>
      </c>
      <c r="Q5158" t="s">
        <v>6965</v>
      </c>
    </row>
    <row r="5159" spans="1:17" ht="15.5" x14ac:dyDescent="0.35">
      <c r="A5159"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5159" s="3" t="str">
        <f>HYPERLINK("https://edmondsonsupply.com/products/klein-tools-51609-3-4-inch-iron-conduit-bender-head", "https://edmondsonsupply.com/products/klein-tools-51609-3-4-inch-iron-conduit-bender-head")</f>
        <v>https://edmondsonsupply.com/products/klein-tools-51609-3-4-inch-iron-conduit-bender-head</v>
      </c>
      <c r="C5159" t="s">
        <v>6966</v>
      </c>
      <c r="D5159" t="s">
        <v>6602</v>
      </c>
      <c r="E5159" s="3" t="str">
        <f>HYPERLINK("https://www.amazon.com/Conduit-Technology-Benchmark-Klein-Tools/dp/B08L3ZQCT1/ref=sr_1_6?keywords=Klein+Tools+51609+3%2F4-Inch+Iron+Conduit+Bender+Head&amp;qid=1695174173&amp;sr=8-6", "https://www.amazon.com/Conduit-Technology-Benchmark-Klein-Tools/dp/B08L3ZQCT1/ref=sr_1_6?keywords=Klein+Tools+51609+3%2F4-Inch+Iron+Conduit+Bender+Head&amp;qid=1695174173&amp;sr=8-6")</f>
        <v>https://www.amazon.com/Conduit-Technology-Benchmark-Klein-Tools/dp/B08L3ZQCT1/ref=sr_1_6?keywords=Klein+Tools+51609+3%2F4-Inch+Iron+Conduit+Bender+Head&amp;qid=1695174173&amp;sr=8-6</v>
      </c>
      <c r="F5159" t="s">
        <v>6603</v>
      </c>
      <c r="G5159" t="e">
        <f ca="1">_xludf.IMAGE("https://edmondsonsupply.com/cdn/shop/products/51609.jpg?v=1661867147")</f>
        <v>#NAME?</v>
      </c>
      <c r="H5159" t="e">
        <f ca="1">_xludf.IMAGE("https://m.media-amazon.com/images/I/41stj4NcdUL._AC_UL320_.jpg")</f>
        <v>#NAME?</v>
      </c>
      <c r="I5159" t="s">
        <v>905</v>
      </c>
      <c r="J5159">
        <v>99.97</v>
      </c>
      <c r="K5159" s="4">
        <v>0.66639999999999999</v>
      </c>
      <c r="L5159">
        <v>4.7</v>
      </c>
      <c r="M5159">
        <v>60</v>
      </c>
      <c r="O5159" t="s">
        <v>25</v>
      </c>
      <c r="P5159" t="s">
        <v>6967</v>
      </c>
      <c r="Q5159" t="s">
        <v>6968</v>
      </c>
    </row>
    <row r="5160" spans="1:17" ht="15.5" x14ac:dyDescent="0.35">
      <c r="A5160"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5160"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5160" t="s">
        <v>6969</v>
      </c>
      <c r="D5160" t="s">
        <v>6970</v>
      </c>
      <c r="E5160" s="3" t="str">
        <f>HYPERLINK("https://www.amazon.com/Lightweight-Lockback-Klein-Tools-44007/dp/B001TJ1JVK/ref=sr_1_3?keywords=Klein+Tools+1550-2+2+Blade+Pocket+Knife%2C+Steel%2C+2-1%2F2-Inch+Blade&amp;qid=1695174176&amp;sr=8-3", "https://www.amazon.com/Lightweight-Lockback-Klein-Tools-44007/dp/B001TJ1JVK/ref=sr_1_3?keywords=Klein+Tools+1550-2+2+Blade+Pocket+Knife%2C+Steel%2C+2-1%2F2-Inch+Blade&amp;qid=1695174176&amp;sr=8-3")</f>
        <v>https://www.amazon.com/Lightweight-Lockback-Klein-Tools-44007/dp/B001TJ1JVK/ref=sr_1_3?keywords=Klein+Tools+1550-2+2+Blade+Pocket+Knife%2C+Steel%2C+2-1%2F2-Inch+Blade&amp;qid=1695174176&amp;sr=8-3</v>
      </c>
      <c r="F5160" t="s">
        <v>6971</v>
      </c>
      <c r="G5160" t="e">
        <f ca="1">_xludf.IMAGE("https://edmondsonsupply.com/cdn/shop/products/15502_b.jpg?v=1658020543")</f>
        <v>#NAME?</v>
      </c>
      <c r="H5160" t="e">
        <f ca="1">_xludf.IMAGE("https://m.media-amazon.com/images/I/71-kYHzVBIL._AC_UL320_.jpg")</f>
        <v>#NAME?</v>
      </c>
      <c r="I5160" t="s">
        <v>26</v>
      </c>
      <c r="J5160">
        <v>49.97</v>
      </c>
      <c r="K5160" s="4">
        <v>0.66620000000000001</v>
      </c>
      <c r="L5160">
        <v>4.5999999999999996</v>
      </c>
      <c r="M5160">
        <v>60</v>
      </c>
      <c r="O5160" t="s">
        <v>25</v>
      </c>
      <c r="P5160" t="s">
        <v>6972</v>
      </c>
      <c r="Q5160" t="s">
        <v>6973</v>
      </c>
    </row>
    <row r="5161" spans="1:17" ht="15.5" x14ac:dyDescent="0.35">
      <c r="A5161" s="3" t="str">
        <f>HYPERLINK("https://edmondsonsupply.com/collections/electricians-tools/products/klein-tools-66078-flip-impact-socket-adapter-large-1-2-to-1-2-inch", "https://edmondsonsupply.com/collections/electricians-tools/products/klein-tools-66078-flip-impact-socket-adapter-large-1-2-to-1-2-inch")</f>
        <v>https://edmondsonsupply.com/collections/electricians-tools/products/klein-tools-66078-flip-impact-socket-adapter-large-1-2-to-1-2-inch</v>
      </c>
      <c r="B5161" s="3" t="str">
        <f>HYPERLINK("https://edmondsonsupply.com/products/klein-tools-66078-flip-impact-socket-adapter-large-1-2-to-1-2-inch", "https://edmondsonsupply.com/products/klein-tools-66078-flip-impact-socket-adapter-large-1-2-to-1-2-inch")</f>
        <v>https://edmondsonsupply.com/products/klein-tools-66078-flip-impact-socket-adapter-large-1-2-to-1-2-inch</v>
      </c>
      <c r="C5161" t="s">
        <v>6125</v>
      </c>
      <c r="D5161" t="s">
        <v>6591</v>
      </c>
      <c r="E5161" s="3" t="str">
        <f>HYPERLINK("https://www.amazon.com/Klein-Tools-66078-Impact-Adapter/dp/B0B33T15XS/ref=sr_1_1?keywords=Klein+Tools+66078+Flip+Impact+Socket+Adapter%2C+Large%2C+1%2F2+to+1%2F2-Inch&amp;qid=1695174159&amp;sr=8-1", "https://www.amazon.com/Klein-Tools-66078-Impact-Adapter/dp/B0B33T15XS/ref=sr_1_1?keywords=Klein+Tools+66078+Flip+Impact+Socket+Adapter%2C+Large%2C+1%2F2+to+1%2F2-Inch&amp;qid=1695174159&amp;sr=8-1")</f>
        <v>https://www.amazon.com/Klein-Tools-66078-Impact-Adapter/dp/B0B33T15XS/ref=sr_1_1?keywords=Klein+Tools+66078+Flip+Impact+Socket+Adapter%2C+Large%2C+1%2F2+to+1%2F2-Inch&amp;qid=1695174159&amp;sr=8-1</v>
      </c>
      <c r="F5161" t="s">
        <v>6592</v>
      </c>
      <c r="G5161" t="e">
        <f ca="1">_xludf.IMAGE("https://edmondsonsupply.com/cdn/shop/products/66078.jpg?v=1674145294")</f>
        <v>#NAME?</v>
      </c>
      <c r="H5161" t="e">
        <f ca="1">_xludf.IMAGE("https://m.media-amazon.com/images/I/51cFYcsM3kL._AC_UL320_.jpg")</f>
        <v>#NAME?</v>
      </c>
      <c r="I5161" t="s">
        <v>6128</v>
      </c>
      <c r="J5161">
        <v>15.58</v>
      </c>
      <c r="K5161" s="4">
        <v>0.66449999999999998</v>
      </c>
      <c r="L5161">
        <v>5</v>
      </c>
      <c r="M5161">
        <v>1</v>
      </c>
      <c r="O5161" t="s">
        <v>25</v>
      </c>
      <c r="P5161" t="s">
        <v>6129</v>
      </c>
      <c r="Q5161" t="s">
        <v>6130</v>
      </c>
    </row>
    <row r="5162" spans="1:17" ht="15.5" x14ac:dyDescent="0.35">
      <c r="A5162"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5162"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5162" t="s">
        <v>6827</v>
      </c>
      <c r="D5162" t="s">
        <v>6974</v>
      </c>
      <c r="E5162" s="3" t="str">
        <f>HYPERLINK("https://www.amazon.com/Diablo-SDS-Max-4-Cutter-Carbide-Tipped-Hammer/dp/B089KVRR1J/ref=sr_1_5?keywords=Diablo+Tools+DMAMX1360+1-1%2F2+in.+x+16+in.+x+21+in.+Rebar+Demon%E2%84%A2+SDS-Max+4-Cutter+Carbide-Tipped+Hammer+Drill+Bit&amp;qid=1695174071&amp;sr=8-5", "https://www.amazon.com/Diablo-SDS-Max-4-Cutter-Carbide-Tipped-Hammer/dp/B089KVRR1J/ref=sr_1_5?keywords=Diablo+Tools+DMAMX1360+1-1%2F2+in.+x+16+in.+x+21+in.+Rebar+Demon%E2%84%A2+SDS-Max+4-Cutter+Carbide-Tipped+Hammer+Drill+Bit&amp;qid=1695174071&amp;sr=8-5")</f>
        <v>https://www.amazon.com/Diablo-SDS-Max-4-Cutter-Carbide-Tipped-Hammer/dp/B089KVRR1J/ref=sr_1_5?keywords=Diablo+Tools+DMAMX1360+1-1%2F2+in.+x+16+in.+x+21+in.+Rebar+Demon%E2%84%A2+SDS-Max+4-Cutter+Carbide-Tipped+Hammer+Drill+Bit&amp;qid=1695174071&amp;sr=8-5</v>
      </c>
      <c r="F5162" t="s">
        <v>6975</v>
      </c>
      <c r="G5162" t="e">
        <f ca="1">_xludf.IMAGE("https://edmondsonsupply.com/cdn/shop/products/z2umcsdaj3y4uvsfnxoh.webp?v=1677257156")</f>
        <v>#NAME?</v>
      </c>
      <c r="H5162" t="e">
        <f ca="1">_xludf.IMAGE("https://m.media-amazon.com/images/I/61BDKHxJ3YL._AC_UL320_.jpg")</f>
        <v>#NAME?</v>
      </c>
      <c r="I5162" t="s">
        <v>6830</v>
      </c>
      <c r="J5162">
        <v>155.99</v>
      </c>
      <c r="K5162" s="4">
        <v>0.66180000000000005</v>
      </c>
      <c r="L5162">
        <v>5</v>
      </c>
      <c r="M5162">
        <v>3</v>
      </c>
      <c r="O5162" t="s">
        <v>25</v>
      </c>
      <c r="P5162" t="s">
        <v>6831</v>
      </c>
      <c r="Q5162" t="s">
        <v>6832</v>
      </c>
    </row>
    <row r="5163" spans="1:17" ht="15.5" x14ac:dyDescent="0.35">
      <c r="A5163"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5163" s="3" t="str">
        <f>HYPERLINK("https://edmondsonsupply.com/products/klein-tools-jth9m5-4-mm-hex-key-journeyman-t-handle-9-inch", "https://edmondsonsupply.com/products/klein-tools-jth9m5-4-mm-hex-key-journeyman-t-handle-9-inch")</f>
        <v>https://edmondsonsupply.com/products/klein-tools-jth9m5-4-mm-hex-key-journeyman-t-handle-9-inch</v>
      </c>
      <c r="C5163" t="s">
        <v>6121</v>
      </c>
      <c r="D5163" t="s">
        <v>3163</v>
      </c>
      <c r="E5163" s="3" t="str">
        <f>HYPERLINK("https://www.amazon.com/Journeyman-T-Handle-Klein-Tools-JTH9E14/dp/B004QVAH4I/ref=sr_1_9?keywords=Klein+Tools+JTH9M4+4+mm+Hex+Key%2C+Journeyman+T-Handle%2C+9-Inch&amp;qid=1695174234&amp;sr=8-9", "https://www.amazon.com/Journeyman-T-Handle-Klein-Tools-JTH9E14/dp/B004QVAH4I/ref=sr_1_9?keywords=Klein+Tools+JTH9M4+4+mm+Hex+Key%2C+Journeyman+T-Handle%2C+9-Inch&amp;qid=1695174234&amp;sr=8-9")</f>
        <v>https://www.amazon.com/Journeyman-T-Handle-Klein-Tools-JTH9E14/dp/B004QVAH4I/ref=sr_1_9?keywords=Klein+Tools+JTH9M4+4+mm+Hex+Key%2C+Journeyman+T-Handle%2C+9-Inch&amp;qid=1695174234&amp;sr=8-9</v>
      </c>
      <c r="F5163" t="s">
        <v>3164</v>
      </c>
      <c r="G5163" t="e">
        <f ca="1">_xludf.IMAGE("https://edmondsonsupply.com/cdn/shop/products/jth9m_fa8a641d-d03f-4191-ab24-b9045963e4f7.jpg?v=1640191121")</f>
        <v>#NAME?</v>
      </c>
      <c r="H5163" t="e">
        <f ca="1">_xludf.IMAGE("https://m.media-amazon.com/images/I/51Yb8h41vLL._AC_UL320_.jpg")</f>
        <v>#NAME?</v>
      </c>
      <c r="I5163" t="s">
        <v>6122</v>
      </c>
      <c r="J5163">
        <v>7.44</v>
      </c>
      <c r="K5163" s="4">
        <v>0.65700000000000003</v>
      </c>
      <c r="L5163">
        <v>4.8</v>
      </c>
      <c r="M5163">
        <v>114</v>
      </c>
      <c r="O5163" t="s">
        <v>25</v>
      </c>
      <c r="P5163" t="s">
        <v>6123</v>
      </c>
      <c r="Q5163" t="s">
        <v>6124</v>
      </c>
    </row>
    <row r="5164" spans="1:17" ht="15.5" x14ac:dyDescent="0.35">
      <c r="A5164"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5164"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5164" t="s">
        <v>6976</v>
      </c>
      <c r="D5164" t="s">
        <v>2345</v>
      </c>
      <c r="E5164" s="3" t="str">
        <f>HYPERLINK("https://www.amazon.com/Klein-Tools-JTH6M3BE-Journeyman-T-Handle/dp/B0CGLYY7WP/ref=sr_1_2?keywords=Klein+Tools+JTH6E11BE+3%2F16-Inch+Ball+Hex+Key%2C+Journeyman+T-Handle+6-Inch&amp;qid=1695174298&amp;sr=8-2", "https://www.amazon.com/Klein-Tools-JTH6M3BE-Journeyman-T-Handle/dp/B0CGLYY7WP/ref=sr_1_2?keywords=Klein+Tools+JTH6E11BE+3%2F16-Inch+Ball+Hex+Key%2C+Journeyman+T-Handle+6-Inch&amp;qid=1695174298&amp;sr=8-2")</f>
        <v>https://www.amazon.com/Klein-Tools-JTH6M3BE-Journeyman-T-Handle/dp/B0CGLYY7WP/ref=sr_1_2?keywords=Klein+Tools+JTH6E11BE+3%2F16-Inch+Ball+Hex+Key%2C+Journeyman+T-Handle+6-Inch&amp;qid=1695174298&amp;sr=8-2</v>
      </c>
      <c r="F5164" t="s">
        <v>2346</v>
      </c>
      <c r="G5164" t="e">
        <f ca="1">_xludf.IMAGE("https://edmondsonsupply.com/cdn/shop/products/jth6e13be_9dba8a6a-8a07-4d76-a54f-fe57b92b3fea.jpg?v=1610659188")</f>
        <v>#NAME?</v>
      </c>
      <c r="H5164" t="e">
        <f ca="1">_xludf.IMAGE("https://m.media-amazon.com/images/I/413sTNFMd7L._AC_UL320_.jpg")</f>
        <v>#NAME?</v>
      </c>
      <c r="I5164" t="s">
        <v>6464</v>
      </c>
      <c r="J5164">
        <v>15.1</v>
      </c>
      <c r="K5164" s="4">
        <v>0.65569999999999995</v>
      </c>
      <c r="L5164">
        <v>4.5999999999999996</v>
      </c>
      <c r="M5164">
        <v>184</v>
      </c>
      <c r="O5164" t="s">
        <v>25</v>
      </c>
      <c r="P5164" t="s">
        <v>138</v>
      </c>
      <c r="Q5164" t="s">
        <v>6977</v>
      </c>
    </row>
    <row r="5165" spans="1:17" ht="15.5" x14ac:dyDescent="0.35">
      <c r="A5165" s="3" t="str">
        <f>HYPERLINK("https://edmondsonsupply.com/collections/electricians-tools/products/rack-a-tiers-84000-dirt-bag", "https://edmondsonsupply.com/collections/electricians-tools/products/rack-a-tiers-84000-dirt-bag")</f>
        <v>https://edmondsonsupply.com/collections/electricians-tools/products/rack-a-tiers-84000-dirt-bag</v>
      </c>
      <c r="B5165" s="3" t="str">
        <f>HYPERLINK("https://edmondsonsupply.com/products/rack-a-tiers-84000-dirt-bag", "https://edmondsonsupply.com/products/rack-a-tiers-84000-dirt-bag")</f>
        <v>https://edmondsonsupply.com/products/rack-a-tiers-84000-dirt-bag</v>
      </c>
      <c r="C5165" t="s">
        <v>6978</v>
      </c>
      <c r="D5165" t="s">
        <v>6979</v>
      </c>
      <c r="E5165" s="3" t="str">
        <f>HYPERLINK("https://www.amazon.com/Rack-Tiers-Dirt-Bag-Magnetic/dp/B09R5R87NQ/ref=sr_1_1?keywords=Rack-A-Tiers+84000+Dirt+Bag&amp;qid=1695173850&amp;sr=8-1", "https://www.amazon.com/Rack-Tiers-Dirt-Bag-Magnetic/dp/B09R5R87NQ/ref=sr_1_1?keywords=Rack-A-Tiers+84000+Dirt+Bag&amp;qid=1695173850&amp;sr=8-1")</f>
        <v>https://www.amazon.com/Rack-Tiers-Dirt-Bag-Magnetic/dp/B09R5R87NQ/ref=sr_1_1?keywords=Rack-A-Tiers+84000+Dirt+Bag&amp;qid=1695173850&amp;sr=8-1</v>
      </c>
      <c r="F5165" t="s">
        <v>6980</v>
      </c>
      <c r="G5165" t="e">
        <f ca="1">_xludf.IMAGE("https://edmondsonsupply.com/cdn/shop/products/rack-a-tiers-drill-attachments-84000-64_1000.jpg?v=1587149964")</f>
        <v>#NAME?</v>
      </c>
      <c r="H5165" t="e">
        <f ca="1">_xludf.IMAGE("https://m.media-amazon.com/images/I/312CS5arvCL._AC_UL320_.jpg")</f>
        <v>#NAME?</v>
      </c>
      <c r="I5165" t="s">
        <v>3042</v>
      </c>
      <c r="J5165">
        <v>80.09</v>
      </c>
      <c r="K5165" s="4">
        <v>0.65169999999999995</v>
      </c>
      <c r="L5165">
        <v>3.8</v>
      </c>
      <c r="M5165">
        <v>4</v>
      </c>
      <c r="O5165" t="s">
        <v>171</v>
      </c>
      <c r="P5165" t="s">
        <v>6981</v>
      </c>
      <c r="Q5165" t="s">
        <v>6982</v>
      </c>
    </row>
    <row r="5166" spans="1:17" ht="15.5" x14ac:dyDescent="0.35">
      <c r="A5166"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5166"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5166" t="s">
        <v>5886</v>
      </c>
      <c r="D5166" t="s">
        <v>6983</v>
      </c>
      <c r="E5166" s="3" t="str">
        <f>HYPERLINK("https://www.amazon.com/Diablo-Starlock-Carbide-Oscillating-General/dp/B089LJS9ZL/ref=sr_1_6?keywords=Diablo+Tools+DOU125CGP+1-1%2F4+in.+Universal+Fit+Carbide+Oscillating+Blade+for+General+Purpose+Cuts&amp;qid=1695174006&amp;sr=8-6", "https://www.amazon.com/Diablo-Starlock-Carbide-Oscillating-General/dp/B089LJS9ZL/ref=sr_1_6?keywords=Diablo+Tools+DOU125CGP+1-1%2F4+in.+Universal+Fit+Carbide+Oscillating+Blade+for+General+Purpose+Cuts&amp;qid=1695174006&amp;sr=8-6")</f>
        <v>https://www.amazon.com/Diablo-Starlock-Carbide-Oscillating-General/dp/B089LJS9ZL/ref=sr_1_6?keywords=Diablo+Tools+DOU125CGP+1-1%2F4+in.+Universal+Fit+Carbide+Oscillating+Blade+for+General+Purpose+Cuts&amp;qid=1695174006&amp;sr=8-6</v>
      </c>
      <c r="F5166" t="s">
        <v>6984</v>
      </c>
      <c r="G5166" t="e">
        <f ca="1">_xludf.IMAGE("https://edmondsonsupply.com/cdn/shop/files/htobgrjt150mygkkk6to_dca17485-ff4c-4cd2-9345-f1b96a9206f3.webp?v=1686146827")</f>
        <v>#NAME?</v>
      </c>
      <c r="H5166" t="e">
        <f ca="1">_xludf.IMAGE("https://m.media-amazon.com/images/I/71Hcp8-r23L._AC_UL320_.jpg")</f>
        <v>#NAME?</v>
      </c>
      <c r="I5166" t="s">
        <v>1716</v>
      </c>
      <c r="J5166">
        <v>37.9</v>
      </c>
      <c r="K5166" s="4">
        <v>0.65</v>
      </c>
      <c r="L5166">
        <v>4.5999999999999996</v>
      </c>
      <c r="M5166">
        <v>22</v>
      </c>
      <c r="O5166" t="s">
        <v>25</v>
      </c>
      <c r="P5166" t="s">
        <v>5889</v>
      </c>
      <c r="Q5166" t="s">
        <v>5890</v>
      </c>
    </row>
    <row r="5167" spans="1:17" ht="15.5" x14ac:dyDescent="0.35">
      <c r="A5167"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5167"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5167" t="s">
        <v>6236</v>
      </c>
      <c r="D5167" t="s">
        <v>6985</v>
      </c>
      <c r="E5167" s="3" t="str">
        <f>HYPERLINK("https://www.amazon.com/Klein-Tools-Multi-bit-Screwdriver-Multi-Bit/dp/B0B7N8RXDY/ref=sr_1_7?keywords=Klein+Tools+32308+8-in-1+Multi-Bit+Adjustable+Length+Stubby+Screwdriver&amp;qid=1695174224&amp;sr=8-7", "https://www.amazon.com/Klein-Tools-Multi-bit-Screwdriver-Multi-Bit/dp/B0B7N8RXDY/ref=sr_1_7?keywords=Klein+Tools+32308+8-in-1+Multi-Bit+Adjustable+Length+Stubby+Screwdriver&amp;qid=1695174224&amp;sr=8-7")</f>
        <v>https://www.amazon.com/Klein-Tools-Multi-bit-Screwdriver-Multi-Bit/dp/B0B7N8RXDY/ref=sr_1_7?keywords=Klein+Tools+32308+8-in-1+Multi-Bit+Adjustable+Length+Stubby+Screwdriver&amp;qid=1695174224&amp;sr=8-7</v>
      </c>
      <c r="F5167" t="s">
        <v>6986</v>
      </c>
      <c r="G5167" t="e">
        <f ca="1">_xludf.IMAGE("https://edmondsonsupply.com/cdn/shop/products/32308_b.jpg?v=1647348209")</f>
        <v>#NAME?</v>
      </c>
      <c r="H5167" t="e">
        <f ca="1">_xludf.IMAGE("https://m.media-amazon.com/images/I/514uFlHpM3L._AC_UL320_.jpg")</f>
        <v>#NAME?</v>
      </c>
      <c r="I5167" t="s">
        <v>4985</v>
      </c>
      <c r="J5167">
        <v>27.94</v>
      </c>
      <c r="K5167" s="4">
        <v>0.64639999999999997</v>
      </c>
      <c r="L5167">
        <v>5</v>
      </c>
      <c r="M5167">
        <v>3</v>
      </c>
      <c r="O5167" t="s">
        <v>25</v>
      </c>
      <c r="P5167" t="s">
        <v>996</v>
      </c>
      <c r="Q5167" t="s">
        <v>6239</v>
      </c>
    </row>
    <row r="5168" spans="1:17" ht="15.5" x14ac:dyDescent="0.35">
      <c r="A5168"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5168"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5168" t="s">
        <v>6463</v>
      </c>
      <c r="D5168" t="s">
        <v>2500</v>
      </c>
      <c r="E5168" s="3" t="str">
        <f>HYPERLINK("https://www.amazon.com/Journeyman-T-Handle-Klein-Tools-JTH9M6/dp/B005G3HJKU/ref=sr_1_8?keywords=Klein+Tools+JTH6M6BE+6+mm+Ball-End+Hex+Key%2C+Journeyman%E2%84%A2+T-Handle%2C+6-Inch&amp;qid=1695174142&amp;sr=8-8", "https://www.amazon.com/Journeyman-T-Handle-Klein-Tools-JTH9M6/dp/B005G3HJKU/ref=sr_1_8?keywords=Klein+Tools+JTH6M6BE+6+mm+Ball-End+Hex+Key%2C+Journeyman%E2%84%A2+T-Handle%2C+6-Inch&amp;qid=1695174142&amp;sr=8-8")</f>
        <v>https://www.amazon.com/Journeyman-T-Handle-Klein-Tools-JTH9M6/dp/B005G3HJKU/ref=sr_1_8?keywords=Klein+Tools+JTH6M6BE+6+mm+Ball-End+Hex+Key%2C+Journeyman%E2%84%A2+T-Handle%2C+6-Inch&amp;qid=1695174142&amp;sr=8-8</v>
      </c>
      <c r="F5168" t="s">
        <v>2501</v>
      </c>
      <c r="G5168" t="e">
        <f ca="1">_xludf.IMAGE("https://edmondsonsupply.com/cdn/shop/products/jth6m8be_8608088e-2ec0-429e-80d7-5bd927a3a1b6.jpg?v=1666111557")</f>
        <v>#NAME?</v>
      </c>
      <c r="H5168" t="e">
        <f ca="1">_xludf.IMAGE("https://m.media-amazon.com/images/I/51+1x0vz9XL._AC_UL320_.jpg")</f>
        <v>#NAME?</v>
      </c>
      <c r="I5168" t="s">
        <v>2639</v>
      </c>
      <c r="J5168">
        <v>9.84</v>
      </c>
      <c r="K5168" s="4">
        <v>0.64270000000000005</v>
      </c>
      <c r="L5168">
        <v>4.7</v>
      </c>
      <c r="M5168">
        <v>123</v>
      </c>
      <c r="O5168" t="s">
        <v>25</v>
      </c>
      <c r="P5168" t="s">
        <v>6464</v>
      </c>
      <c r="Q5168" t="s">
        <v>6465</v>
      </c>
    </row>
    <row r="5169" spans="1:17" ht="15.5" x14ac:dyDescent="0.35">
      <c r="A5169" s="3" t="str">
        <f>HYPERLINK("https://edmondsonsupply.com/collections/electricians-tools/products/klein-tools-jth9m6-6-mm-hex-key-journeyman%E2%84%A2-t-handle-9-inch", "https://edmondsonsupply.com/collections/electricians-tools/products/klein-tools-jth9m6-6-mm-hex-key-journeyman%E2%84%A2-t-handle-9-inch")</f>
        <v>https://edmondsonsupply.com/collections/electricians-tools/products/klein-tools-jth9m6-6-mm-hex-key-journeyman%E2%84%A2-t-handle-9-inch</v>
      </c>
      <c r="B5169" s="3" t="str">
        <f>HYPERLINK("https://edmondsonsupply.com/products/klein-tools-jth9m6-6-mm-hex-key-journeyman%e2%84%a2-t-handle-9-inch", "https://edmondsonsupply.com/products/klein-tools-jth9m6-6-mm-hex-key-journeyman%e2%84%a2-t-handle-9-inch")</f>
        <v>https://edmondsonsupply.com/products/klein-tools-jth9m6-6-mm-hex-key-journeyman%e2%84%a2-t-handle-9-inch</v>
      </c>
      <c r="C5169" t="s">
        <v>6987</v>
      </c>
      <c r="D5169" t="s">
        <v>2500</v>
      </c>
      <c r="E5169" s="3" t="str">
        <f>HYPERLINK("https://www.amazon.com/Journeyman-T-Handle-Klein-Tools-JTH9M6/dp/B005G3HJKU/ref=sr_1_1?keywords=Klein+Tools+JTH9M6+6+mm+Hex+Key%2C+Journeyman%E2%84%A2+T-Handle%2C+9-Inch&amp;qid=1695174139&amp;sr=8-1", "https://www.amazon.com/Journeyman-T-Handle-Klein-Tools-JTH9M6/dp/B005G3HJKU/ref=sr_1_1?keywords=Klein+Tools+JTH9M6+6+mm+Hex+Key%2C+Journeyman%E2%84%A2+T-Handle%2C+9-Inch&amp;qid=1695174139&amp;sr=8-1")</f>
        <v>https://www.amazon.com/Journeyman-T-Handle-Klein-Tools-JTH9M6/dp/B005G3HJKU/ref=sr_1_1?keywords=Klein+Tools+JTH9M6+6+mm+Hex+Key%2C+Journeyman%E2%84%A2+T-Handle%2C+9-Inch&amp;qid=1695174139&amp;sr=8-1</v>
      </c>
      <c r="F5169" t="s">
        <v>2501</v>
      </c>
      <c r="G5169" t="e">
        <f ca="1">_xludf.IMAGE("https://edmondsonsupply.com/cdn/shop/products/jth6m8_8e3ac188-6806-4676-8198-2058bbbd4836.jpg?v=1664891890")</f>
        <v>#NAME?</v>
      </c>
      <c r="H5169" t="e">
        <f ca="1">_xludf.IMAGE("https://m.media-amazon.com/images/I/51+1x0vz9XL._AC_UL320_.jpg")</f>
        <v>#NAME?</v>
      </c>
      <c r="I5169" t="s">
        <v>2639</v>
      </c>
      <c r="J5169">
        <v>9.84</v>
      </c>
      <c r="K5169" s="4">
        <v>0.64270000000000005</v>
      </c>
      <c r="L5169">
        <v>4.7</v>
      </c>
      <c r="M5169">
        <v>123</v>
      </c>
      <c r="O5169" t="s">
        <v>25</v>
      </c>
      <c r="P5169" t="s">
        <v>6988</v>
      </c>
      <c r="Q5169" t="s">
        <v>6989</v>
      </c>
    </row>
    <row r="5170" spans="1:17" ht="15.5" x14ac:dyDescent="0.35">
      <c r="A5170" s="3" t="str">
        <f>HYPERLINK("https://edmondsonsupply.com/collections/electricians-tools/products/diablo-tools-dmamm1030-3-16-in-x-4-in-x-6-in-multi-material-carbide-tipped-hammer-drill-bit", "https://edmondsonsupply.com/collections/electricians-tools/products/diablo-tools-dmamm1030-3-16-in-x-4-in-x-6-in-multi-material-carbide-tipped-hammer-drill-bit")</f>
        <v>https://edmondsonsupply.com/collections/electricians-tools/products/diablo-tools-dmamm1030-3-16-in-x-4-in-x-6-in-multi-material-carbide-tipped-hammer-drill-bit</v>
      </c>
      <c r="B5170" s="3" t="str">
        <f>HYPERLINK("https://edmondsonsupply.com/products/diablo-tools-dmamm1030-3-16-in-x-4-in-x-6-in-multi-material-carbide-tipped-hammer-drill-bit", "https://edmondsonsupply.com/products/diablo-tools-dmamm1030-3-16-in-x-4-in-x-6-in-multi-material-carbide-tipped-hammer-drill-bit")</f>
        <v>https://edmondsonsupply.com/products/diablo-tools-dmamm1030-3-16-in-x-4-in-x-6-in-multi-material-carbide-tipped-hammer-drill-bit</v>
      </c>
      <c r="C5170" t="s">
        <v>6990</v>
      </c>
      <c r="D5170" t="s">
        <v>6578</v>
      </c>
      <c r="E5170" s="3" t="str">
        <f>HYPERLINK("https://www.amazon.com/Diablo-DMAMM1120-Multi-Material-Carbide-Tipped/dp/B089LGQPBS/ref=sr_1_1?keywords=Diablo+Tools+DMAMM1030+3%2F16+in.+x+4+in.+x+6+in.+Multi-Material+Carbide+Tipped+Hammer+Drill+Bit&amp;qid=1695174028&amp;sr=8-1", "https://www.amazon.com/Diablo-DMAMM1120-Multi-Material-Carbide-Tipped/dp/B089LGQPBS/ref=sr_1_1?keywords=Diablo+Tools+DMAMM1030+3%2F16+in.+x+4+in.+x+6+in.+Multi-Material+Carbide+Tipped+Hammer+Drill+Bit&amp;qid=1695174028&amp;sr=8-1")</f>
        <v>https://www.amazon.com/Diablo-DMAMM1120-Multi-Material-Carbide-Tipped/dp/B089LGQPBS/ref=sr_1_1?keywords=Diablo+Tools+DMAMM1030+3%2F16+in.+x+4+in.+x+6+in.+Multi-Material+Carbide+Tipped+Hammer+Drill+Bit&amp;qid=1695174028&amp;sr=8-1</v>
      </c>
      <c r="F5170" t="s">
        <v>6579</v>
      </c>
      <c r="G5170" t="e">
        <f ca="1">_xludf.IMAGE("https://edmondsonsupply.com/cdn/shop/products/o0c0wf8feit5uxkyh0x8.webp?v=1680186241")</f>
        <v>#NAME?</v>
      </c>
      <c r="H5170" t="e">
        <f ca="1">_xludf.IMAGE("https://m.media-amazon.com/images/I/61aXKxa+esL._AC_UL320_.jpg")</f>
        <v>#NAME?</v>
      </c>
      <c r="I5170" t="s">
        <v>6991</v>
      </c>
      <c r="J5170">
        <v>11.42</v>
      </c>
      <c r="K5170" s="4">
        <v>0.63849999999999996</v>
      </c>
      <c r="L5170">
        <v>3.8</v>
      </c>
      <c r="M5170">
        <v>2</v>
      </c>
      <c r="O5170" t="s">
        <v>25</v>
      </c>
      <c r="P5170" t="s">
        <v>138</v>
      </c>
      <c r="Q5170" t="s">
        <v>6992</v>
      </c>
    </row>
    <row r="5171" spans="1:17" ht="15.5" x14ac:dyDescent="0.35">
      <c r="A5171" s="3" t="str">
        <f>HYPERLINK("https://edmondsonsupply.com/collections/electricians-tools/products/klein-tools-32791-pro-impact-power-bit-extension-1-4-inch-hex", "https://edmondsonsupply.com/collections/electricians-tools/products/klein-tools-32791-pro-impact-power-bit-extension-1-4-inch-hex")</f>
        <v>https://edmondsonsupply.com/collections/electricians-tools/products/klein-tools-32791-pro-impact-power-bit-extension-1-4-inch-hex</v>
      </c>
      <c r="B5171" s="3" t="str">
        <f>HYPERLINK("https://edmondsonsupply.com/products/klein-tools-32791-pro-impact-power-bit-extension-1-4-inch-hex", "https://edmondsonsupply.com/products/klein-tools-32791-pro-impact-power-bit-extension-1-4-inch-hex")</f>
        <v>https://edmondsonsupply.com/products/klein-tools-32791-pro-impact-power-bit-extension-1-4-inch-hex</v>
      </c>
      <c r="C5171" t="s">
        <v>2944</v>
      </c>
      <c r="D5171" t="s">
        <v>2945</v>
      </c>
      <c r="E5171" s="3" t="str">
        <f>HYPERLINK("https://www.amazon.com/Klein-Tools-32791-Impact-Extension/dp/B07RMQD27L/ref=sr_1_1?keywords=Klein+Tools+32791+Pro+Impact+Power+Bit+Extension+1%2F4-Inch+Hex&amp;qid=1695173960&amp;sr=8-1", "https://www.amazon.com/Klein-Tools-32791-Impact-Extension/dp/B07RMQD27L/ref=sr_1_1?keywords=Klein+Tools+32791+Pro+Impact+Power+Bit+Extension+1%2F4-Inch+Hex&amp;qid=1695173960&amp;sr=8-1")</f>
        <v>https://www.amazon.com/Klein-Tools-32791-Impact-Extension/dp/B07RMQD27L/ref=sr_1_1?keywords=Klein+Tools+32791+Pro+Impact+Power+Bit+Extension+1%2F4-Inch+Hex&amp;qid=1695173960&amp;sr=8-1</v>
      </c>
      <c r="F5171" t="s">
        <v>2946</v>
      </c>
      <c r="G5171" t="e">
        <f ca="1">_xludf.IMAGE("https://edmondsonsupply.com/cdn/shop/products/32791.jpg?v=1587145614")</f>
        <v>#NAME?</v>
      </c>
      <c r="H5171" t="e">
        <f ca="1">_xludf.IMAGE("https://m.media-amazon.com/images/I/51fXXIx2SdL._AC_UL320_.jpg")</f>
        <v>#NAME?</v>
      </c>
      <c r="I5171" t="s">
        <v>2347</v>
      </c>
      <c r="J5171">
        <v>11.44</v>
      </c>
      <c r="K5171" s="4">
        <v>0.63660000000000005</v>
      </c>
      <c r="L5171">
        <v>4.7</v>
      </c>
      <c r="M5171">
        <v>119</v>
      </c>
      <c r="O5171" t="s">
        <v>25</v>
      </c>
      <c r="P5171" t="s">
        <v>2826</v>
      </c>
      <c r="Q5171" t="s">
        <v>2947</v>
      </c>
    </row>
    <row r="5172" spans="1:17" ht="15.5" x14ac:dyDescent="0.35">
      <c r="A5172"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5172" s="3" t="str">
        <f>HYPERLINK("https://edmondsonsupply.com/products/klein-tools-ir07-dual-ir-probe-thermometer", "https://edmondsonsupply.com/products/klein-tools-ir07-dual-ir-probe-thermometer")</f>
        <v>https://edmondsonsupply.com/products/klein-tools-ir07-dual-ir-probe-thermometer</v>
      </c>
      <c r="C5172" t="s">
        <v>2948</v>
      </c>
      <c r="D5172" t="s">
        <v>2949</v>
      </c>
      <c r="E5172" s="3" t="str">
        <f>HYPERLINK("https://www.amazon.com/Klein-Tools-Thermometer-Non-Destructive-Detection/dp/B0BD41GF81/ref=sr_1_2?keywords=Klein+Tools+IR07+Dual+IR%2FProbe+Thermometer&amp;qid=1695173956&amp;sr=8-2", "https://www.amazon.com/Klein-Tools-Thermometer-Non-Destructive-Detection/dp/B0BD41GF81/ref=sr_1_2?keywords=Klein+Tools+IR07+Dual+IR%2FProbe+Thermometer&amp;qid=1695173956&amp;sr=8-2")</f>
        <v>https://www.amazon.com/Klein-Tools-Thermometer-Non-Destructive-Detection/dp/B0BD41GF81/ref=sr_1_2?keywords=Klein+Tools+IR07+Dual+IR%2FProbe+Thermometer&amp;qid=1695173956&amp;sr=8-2</v>
      </c>
      <c r="F5172" t="s">
        <v>2950</v>
      </c>
      <c r="G5172" t="e">
        <f ca="1">_xludf.IMAGE("https://edmondsonsupply.com/cdn/shop/products/ir07.jpg?v=1599003623")</f>
        <v>#NAME?</v>
      </c>
      <c r="H5172" t="e">
        <f ca="1">_xludf.IMAGE("https://m.media-amazon.com/images/I/41ZBBvpbShL._AC_UY218_.jpg")</f>
        <v>#NAME?</v>
      </c>
      <c r="I5172" t="s">
        <v>2951</v>
      </c>
      <c r="J5172">
        <v>93.94</v>
      </c>
      <c r="K5172" s="4">
        <v>0.63400000000000001</v>
      </c>
      <c r="L5172">
        <v>5</v>
      </c>
      <c r="M5172">
        <v>2</v>
      </c>
      <c r="O5172" t="s">
        <v>25</v>
      </c>
      <c r="P5172" t="s">
        <v>2952</v>
      </c>
      <c r="Q5172" t="s">
        <v>2953</v>
      </c>
    </row>
    <row r="5173" spans="1:17" ht="15.5" x14ac:dyDescent="0.35">
      <c r="A5173"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5173" s="3" t="str">
        <f>HYPERLINK("https://edmondsonsupply.com/products/klein-tools-3005cr-ratcheting-crimper-10-22-awg", "https://edmondsonsupply.com/products/klein-tools-3005cr-ratcheting-crimper-10-22-awg")</f>
        <v>https://edmondsonsupply.com/products/klein-tools-3005cr-ratcheting-crimper-10-22-awg</v>
      </c>
      <c r="C5173" t="s">
        <v>1987</v>
      </c>
      <c r="D5173" t="s">
        <v>2954</v>
      </c>
      <c r="E5173" s="3" t="str">
        <f>HYPERLINK("https://www.amazon.com/Titan-Ratcheting-Insulated-Terminals-Electrical/dp/B08DY433KH/ref=sr_1_6?keywords=Klein+Tools+3005CR+Ratcheting+Crimper%2C+10-22+AWG+-+Insulated+Terminals&amp;qid=1695173864&amp;sr=8-6", "https://www.amazon.com/Titan-Ratcheting-Insulated-Terminals-Electrical/dp/B08DY433KH/ref=sr_1_6?keywords=Klein+Tools+3005CR+Ratcheting+Crimper%2C+10-22+AWG+-+Insulated+Terminals&amp;qid=1695173864&amp;sr=8-6")</f>
        <v>https://www.amazon.com/Titan-Ratcheting-Insulated-Terminals-Electrical/dp/B08DY433KH/ref=sr_1_6?keywords=Klein+Tools+3005CR+Ratcheting+Crimper%2C+10-22+AWG+-+Insulated+Terminals&amp;qid=1695173864&amp;sr=8-6</v>
      </c>
      <c r="F5173" t="s">
        <v>2955</v>
      </c>
      <c r="G5173" t="e">
        <f ca="1">_xludf.IMAGE("https://edmondsonsupply.com/cdn/shop/products/3005cr.jpg?v=1587146892")</f>
        <v>#NAME?</v>
      </c>
      <c r="H5173" t="e">
        <f ca="1">_xludf.IMAGE("https://m.media-amazon.com/images/I/41RLyNO17GL._AC_UL320_.jpg")</f>
        <v>#NAME?</v>
      </c>
      <c r="I5173" t="s">
        <v>824</v>
      </c>
      <c r="J5173">
        <v>48.96</v>
      </c>
      <c r="K5173" s="4">
        <v>0.63360000000000005</v>
      </c>
      <c r="L5173">
        <v>4.5999999999999996</v>
      </c>
      <c r="M5173">
        <v>3</v>
      </c>
      <c r="O5173" t="s">
        <v>25</v>
      </c>
      <c r="P5173" t="s">
        <v>1990</v>
      </c>
      <c r="Q5173" t="s">
        <v>1991</v>
      </c>
    </row>
    <row r="5174" spans="1:17" ht="15.5" x14ac:dyDescent="0.35">
      <c r="A5174"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5174"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5174" t="s">
        <v>6932</v>
      </c>
      <c r="D5174" t="s">
        <v>5938</v>
      </c>
      <c r="E5174" s="3" t="str">
        <f>HYPERLINK("https://www.amazon.com/Diablo-Universal-Bi-Metal-Blades-Nail-Embedded/dp/B089KW2WVD/ref=sr_1_4?keywords=Diablo+Tools+DOU250JBW+2-1%2F2+in.+Universal+Fit+Bi-Metal+Oscillating+Blade+for+Clean+Wood&amp;qid=1695174020&amp;sr=8-4", "https://www.amazon.com/Diablo-Universal-Bi-Metal-Blades-Nail-Embedded/dp/B089KW2WVD/ref=sr_1_4?keywords=Diablo+Tools+DOU250JBW+2-1%2F2+in.+Universal+Fit+Bi-Metal+Oscillating+Blade+for+Clean+Wood&amp;qid=1695174020&amp;sr=8-4")</f>
        <v>https://www.amazon.com/Diablo-Universal-Bi-Metal-Blades-Nail-Embedded/dp/B089KW2WVD/ref=sr_1_4?keywords=Diablo+Tools+DOU250JBW+2-1%2F2+in.+Universal+Fit+Bi-Metal+Oscillating+Blade+for+Clean+Wood&amp;qid=1695174020&amp;sr=8-4</v>
      </c>
      <c r="F5174" t="s">
        <v>5939</v>
      </c>
      <c r="G5174" t="e">
        <f ca="1">_xludf.IMAGE("https://edmondsonsupply.com/cdn/shop/files/pycnap4eb1urn2hxvudq.webp?v=1685718789")</f>
        <v>#NAME?</v>
      </c>
      <c r="H5174" t="e">
        <f ca="1">_xludf.IMAGE("https://m.media-amazon.com/images/I/613ig7mNjfL._AC_UL320_.jpg")</f>
        <v>#NAME?</v>
      </c>
      <c r="I5174" t="s">
        <v>6935</v>
      </c>
      <c r="J5174">
        <v>25.49</v>
      </c>
      <c r="K5174" s="4">
        <v>0.62880000000000003</v>
      </c>
      <c r="L5174">
        <v>4.5999999999999996</v>
      </c>
      <c r="M5174">
        <v>148</v>
      </c>
      <c r="O5174" t="s">
        <v>25</v>
      </c>
      <c r="P5174" t="s">
        <v>6936</v>
      </c>
      <c r="Q5174" t="s">
        <v>6937</v>
      </c>
    </row>
    <row r="5175" spans="1:17" ht="15.5" x14ac:dyDescent="0.35">
      <c r="A5175" s="3" t="str">
        <f>HYPERLINK("https://edmondsonsupply.com/collections/electricians-tools/products/klein-tools-d2000-28-diagonal-cutting-pliers-heavy-duty-high-leverage-8-inch", "https://edmondsonsupply.com/collections/electricians-tools/products/klein-tools-d2000-28-diagonal-cutting-pliers-heavy-duty-high-leverage-8-inch")</f>
        <v>https://edmondsonsupply.com/collections/electricians-tools/products/klein-tools-d2000-28-diagonal-cutting-pliers-heavy-duty-high-leverage-8-inch</v>
      </c>
      <c r="B5175" s="3" t="str">
        <f>HYPERLINK("https://edmondsonsupply.com/products/klein-tools-d2000-28-diagonal-cutting-pliers-heavy-duty-high-leverage-8-inch", "https://edmondsonsupply.com/products/klein-tools-d2000-28-diagonal-cutting-pliers-heavy-duty-high-leverage-8-inch")</f>
        <v>https://edmondsonsupply.com/products/klein-tools-d2000-28-diagonal-cutting-pliers-heavy-duty-high-leverage-8-inch</v>
      </c>
      <c r="C5175" t="s">
        <v>6737</v>
      </c>
      <c r="D5175" t="s">
        <v>6993</v>
      </c>
      <c r="E5175" s="3" t="str">
        <f>HYPERLINK("https://www.amazon.com/Diagonal-Cutting-Insulated-Klein-Tools-D2000-28-INS/dp/B00093DXUC/ref=sr_1_1?keywords=Klein+Tools+D2000-28+Diagonal+Cutting+Pliers%2C+Heavy-Duty%2C+High-Leverage%2C+8-Inch&amp;qid=1695174291&amp;sr=8-1", "https://www.amazon.com/Diagonal-Cutting-Insulated-Klein-Tools-D2000-28-INS/dp/B00093DXUC/ref=sr_1_1?keywords=Klein+Tools+D2000-28+Diagonal+Cutting+Pliers%2C+Heavy-Duty%2C+High-Leverage%2C+8-Inch&amp;qid=1695174291&amp;sr=8-1")</f>
        <v>https://www.amazon.com/Diagonal-Cutting-Insulated-Klein-Tools-D2000-28-INS/dp/B00093DXUC/ref=sr_1_1?keywords=Klein+Tools+D2000-28+Diagonal+Cutting+Pliers%2C+Heavy-Duty%2C+High-Leverage%2C+8-Inch&amp;qid=1695174291&amp;sr=8-1</v>
      </c>
      <c r="F5175" t="s">
        <v>6994</v>
      </c>
      <c r="G5175" t="e">
        <f ca="1">_xludf.IMAGE("https://edmondsonsupply.com/cdn/shop/products/d200028.jpg?v=1633030882")</f>
        <v>#NAME?</v>
      </c>
      <c r="H5175" t="e">
        <f ca="1">_xludf.IMAGE("https://m.media-amazon.com/images/I/41b4ykuTkcL._AC_UL320_.jpg")</f>
        <v>#NAME?</v>
      </c>
      <c r="I5175" t="s">
        <v>571</v>
      </c>
      <c r="J5175">
        <v>56.91</v>
      </c>
      <c r="K5175" s="4">
        <v>0.62649999999999995</v>
      </c>
      <c r="L5175">
        <v>4.4000000000000004</v>
      </c>
      <c r="M5175">
        <v>68</v>
      </c>
      <c r="O5175" t="s">
        <v>25</v>
      </c>
      <c r="P5175" t="s">
        <v>5228</v>
      </c>
      <c r="Q5175" t="s">
        <v>6740</v>
      </c>
    </row>
    <row r="5176" spans="1:17" ht="15.5" x14ac:dyDescent="0.35">
      <c r="A5176"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176"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176" t="s">
        <v>6995</v>
      </c>
      <c r="D5176" t="s">
        <v>3553</v>
      </c>
      <c r="E5176" s="3" t="str">
        <f>HYPERLINK("https://www.amazon.com/Klein-Tools-80067-Thermometer-Non-Contact/dp/B0B11NG8XM/ref=sr_1_9?keywords=Klein+Tools+69149P+Test+Kit+with+Multimeter%2C+Non-Contact+Volt+Tester%2C+Receptacle+Tester&amp;qid=1695174288&amp;sr=8-9", "https://www.amazon.com/Klein-Tools-80067-Thermometer-Non-Contact/dp/B0B11NG8XM/ref=sr_1_9?keywords=Klein+Tools+69149P+Test+Kit+with+Multimeter%2C+Non-Contact+Volt+Tester%2C+Receptacle+Tester&amp;qid=1695174288&amp;sr=8-9")</f>
        <v>https://www.amazon.com/Klein-Tools-80067-Thermometer-Non-Contact/dp/B0B11NG8XM/ref=sr_1_9?keywords=Klein+Tools+69149P+Test+Kit+with+Multimeter%2C+Non-Contact+Volt+Tester%2C+Receptacle+Tester&amp;qid=1695174288&amp;sr=8-9</v>
      </c>
      <c r="F5176" t="s">
        <v>3554</v>
      </c>
      <c r="G5176" t="e">
        <f ca="1">_xludf.IMAGE("https://edmondsonsupply.com/cdn/shop/products/69149p.jpg?v=1664479017")</f>
        <v>#NAME?</v>
      </c>
      <c r="H5176" t="e">
        <f ca="1">_xludf.IMAGE("https://m.media-amazon.com/images/I/61M3CphXgvL._AC_UL320_.jpg")</f>
        <v>#NAME?</v>
      </c>
      <c r="I5176" t="s">
        <v>246</v>
      </c>
      <c r="J5176">
        <v>64.989999999999995</v>
      </c>
      <c r="K5176" s="4">
        <v>0.626</v>
      </c>
      <c r="L5176">
        <v>4.5</v>
      </c>
      <c r="M5176">
        <v>29</v>
      </c>
      <c r="O5176" t="s">
        <v>25</v>
      </c>
      <c r="P5176" t="s">
        <v>6996</v>
      </c>
      <c r="Q5176" t="s">
        <v>6997</v>
      </c>
    </row>
    <row r="5177" spans="1:17" ht="15.5" x14ac:dyDescent="0.35">
      <c r="A5177"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5177"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5177" t="s">
        <v>6276</v>
      </c>
      <c r="D5177" t="s">
        <v>2386</v>
      </c>
      <c r="E5177" s="3" t="str">
        <f>HYPERLINK("https://www.amazon.com/Journeyman-T-Handle-Klein-Tools-JTH6E13BE/dp/B004QW52YW/ref=sr_1_5?keywords=Klein+Tools+JTH9E13+1%2F4-Inch+Hex+Key+with+Journeyman+T-Handle%2C+9-Inch&amp;qid=1695174307&amp;sr=8-5", "https://www.amazon.com/Journeyman-T-Handle-Klein-Tools-JTH6E13BE/dp/B004QW52YW/ref=sr_1_5?keywords=Klein+Tools+JTH9E13+1%2F4-Inch+Hex+Key+with+Journeyman+T-Handle%2C+9-Inch&amp;qid=1695174307&amp;sr=8-5")</f>
        <v>https://www.amazon.com/Journeyman-T-Handle-Klein-Tools-JTH6E13BE/dp/B004QW52YW/ref=sr_1_5?keywords=Klein+Tools+JTH9E13+1%2F4-Inch+Hex+Key+with+Journeyman+T-Handle%2C+9-Inch&amp;qid=1695174307&amp;sr=8-5</v>
      </c>
      <c r="F5177" t="s">
        <v>2387</v>
      </c>
      <c r="G5177" t="e">
        <f ca="1">_xludf.IMAGE("https://edmondsonsupply.com/cdn/shop/products/jth9e12_7dcdbf9a-5acd-4824-8919-6aeb4a790072.jpg?v=1604060723")</f>
        <v>#NAME?</v>
      </c>
      <c r="H5177" t="e">
        <f ca="1">_xludf.IMAGE("https://m.media-amazon.com/images/I/51f9vBFVXgL._AC_UL320_.jpg")</f>
        <v>#NAME?</v>
      </c>
      <c r="I5177" t="s">
        <v>4617</v>
      </c>
      <c r="J5177">
        <v>10.55</v>
      </c>
      <c r="K5177" s="4">
        <v>0.62560000000000004</v>
      </c>
      <c r="L5177">
        <v>4.7</v>
      </c>
      <c r="M5177">
        <v>32</v>
      </c>
      <c r="O5177" t="s">
        <v>25</v>
      </c>
      <c r="P5177" t="s">
        <v>6277</v>
      </c>
      <c r="Q5177" t="s">
        <v>6278</v>
      </c>
    </row>
    <row r="5178" spans="1:17" ht="15.5" x14ac:dyDescent="0.35">
      <c r="A5178" s="3" t="str">
        <f>HYPERLINK("https://edmondsonsupply.com/collections/electricians-tools/products/klein-tools-94156-american-legacy-diagonal-plier-and-klein-kurve%C2%AE-wire-stripper-cutter", "https://edmondsonsupply.com/collections/electricians-tools/products/klein-tools-94156-american-legacy-diagonal-plier-and-klein-kurve%C2%AE-wire-stripper-cutter")</f>
        <v>https://edmondsonsupply.com/collections/electricians-tools/products/klein-tools-94156-american-legacy-diagonal-plier-and-klein-kurve%C2%AE-wire-stripper-cutter</v>
      </c>
      <c r="B5178" s="3" t="str">
        <f>HYPERLINK("https://edmondsonsupply.com/products/klein-tools-94156-american-legacy-diagonal-plier-and-klein-kurve%c2%ae-wire-stripper-cutter", "https://edmondsonsupply.com/products/klein-tools-94156-american-legacy-diagonal-plier-and-klein-kurve%c2%ae-wire-stripper-cutter")</f>
        <v>https://edmondsonsupply.com/products/klein-tools-94156-american-legacy-diagonal-plier-and-klein-kurve%c2%ae-wire-stripper-cutter</v>
      </c>
      <c r="C5178" t="s">
        <v>203</v>
      </c>
      <c r="D5178" t="s">
        <v>201</v>
      </c>
      <c r="E5178" s="3" t="str">
        <f>HYPERLINK("https://www.amazon.com/Klein-Tools-80121-Stripper-Strippers/dp/B0BMN726NC/ref=sr_1_2?keywords=Klein+Tools+94156+American+Legacy+Diagonal+Plier+and+Klein-Kurve%C2%AE+Wire+Stripper+%2F+Cutter&amp;qid=1695173858&amp;sr=8-2", "https://www.amazon.com/Klein-Tools-80121-Stripper-Strippers/dp/B0BMN726NC/ref=sr_1_2?keywords=Klein+Tools+94156+American+Legacy+Diagonal+Plier+and+Klein-Kurve%C2%AE+Wire+Stripper+%2F+Cutter&amp;qid=1695173858&amp;sr=8-2")</f>
        <v>https://www.amazon.com/Klein-Tools-80121-Stripper-Strippers/dp/B0BMN726NC/ref=sr_1_2?keywords=Klein+Tools+94156+American+Legacy+Diagonal+Plier+and+Klein-Kurve%C2%AE+Wire+Stripper+%2F+Cutter&amp;qid=1695173858&amp;sr=8-2</v>
      </c>
      <c r="F5178" t="s">
        <v>202</v>
      </c>
      <c r="G5178" t="e">
        <f ca="1">_xludf.IMAGE("https://edmondsonsupply.com/cdn/shop/products/94156.jpg?v=1674142114")</f>
        <v>#NAME?</v>
      </c>
      <c r="H5178" t="e">
        <f ca="1">_xludf.IMAGE("https://m.media-amazon.com/images/I/51BBSMLtwZL._AC_UL320_.jpg")</f>
        <v>#NAME?</v>
      </c>
      <c r="I5178" t="s">
        <v>198</v>
      </c>
      <c r="J5178">
        <v>64.989999999999995</v>
      </c>
      <c r="K5178" s="4">
        <v>0.62519999999999998</v>
      </c>
      <c r="L5178">
        <v>5</v>
      </c>
      <c r="M5178">
        <v>8</v>
      </c>
      <c r="O5178" t="s">
        <v>25</v>
      </c>
      <c r="P5178" t="s">
        <v>199</v>
      </c>
      <c r="Q5178" t="s">
        <v>204</v>
      </c>
    </row>
    <row r="5179" spans="1:17" ht="15.5" x14ac:dyDescent="0.35">
      <c r="A5179" s="3" t="str">
        <f>HYPERLINK("https://edmondsonsupply.com/collections/electricians-tools/products/klein-tools-94155-american-legacy-lineman-pliers-and-klein-kurve%C2%AE-wire-stripper-cutter", "https://edmondsonsupply.com/collections/electricians-tools/products/klein-tools-94155-american-legacy-lineman-pliers-and-klein-kurve%C2%AE-wire-stripper-cutter")</f>
        <v>https://edmondsonsupply.com/collections/electricians-tools/products/klein-tools-94155-american-legacy-lineman-pliers-and-klein-kurve%C2%AE-wire-stripper-cutter</v>
      </c>
      <c r="B5179" s="3" t="str">
        <f>HYPERLINK("https://edmondsonsupply.com/products/klein-tools-94155-american-legacy-lineman-pliers-and-klein-kurve%c2%ae-wire-stripper-cutter", "https://edmondsonsupply.com/products/klein-tools-94155-american-legacy-lineman-pliers-and-klein-kurve%c2%ae-wire-stripper-cutter")</f>
        <v>https://edmondsonsupply.com/products/klein-tools-94155-american-legacy-lineman-pliers-and-klein-kurve%c2%ae-wire-stripper-cutter</v>
      </c>
      <c r="C5179" t="s">
        <v>195</v>
      </c>
      <c r="D5179" t="s">
        <v>201</v>
      </c>
      <c r="E5179" s="3" t="str">
        <f>HYPERLINK("https://www.amazon.com/Klein-Tools-80121-Stripper-Strippers/dp/B0BMN726NC/ref=sr_1_2?keywords=Klein+Tools+94155+American+Legacy+Lineman+Pliers+and+Klein-Kurve%C2%AE+Wire+Stripper+%2F+Cutter&amp;qid=1695173851&amp;sr=8-2", "https://www.amazon.com/Klein-Tools-80121-Stripper-Strippers/dp/B0BMN726NC/ref=sr_1_2?keywords=Klein+Tools+94155+American+Legacy+Lineman+Pliers+and+Klein-Kurve%C2%AE+Wire+Stripper+%2F+Cutter&amp;qid=1695173851&amp;sr=8-2")</f>
        <v>https://www.amazon.com/Klein-Tools-80121-Stripper-Strippers/dp/B0BMN726NC/ref=sr_1_2?keywords=Klein+Tools+94155+American+Legacy+Lineman+Pliers+and+Klein-Kurve%C2%AE+Wire+Stripper+%2F+Cutter&amp;qid=1695173851&amp;sr=8-2</v>
      </c>
      <c r="F5179" t="s">
        <v>202</v>
      </c>
      <c r="G5179" t="e">
        <f ca="1">_xludf.IMAGE("https://edmondsonsupply.com/cdn/shop/products/94155.jpg?v=1674141590")</f>
        <v>#NAME?</v>
      </c>
      <c r="H5179" t="e">
        <f ca="1">_xludf.IMAGE("https://m.media-amazon.com/images/I/51BBSMLtwZL._AC_UL320_.jpg")</f>
        <v>#NAME?</v>
      </c>
      <c r="I5179" t="s">
        <v>198</v>
      </c>
      <c r="J5179">
        <v>64.989999999999995</v>
      </c>
      <c r="K5179" s="4">
        <v>0.62519999999999998</v>
      </c>
      <c r="L5179">
        <v>5</v>
      </c>
      <c r="M5179">
        <v>8</v>
      </c>
      <c r="O5179" t="s">
        <v>25</v>
      </c>
      <c r="P5179" t="s">
        <v>199</v>
      </c>
      <c r="Q5179" t="s">
        <v>200</v>
      </c>
    </row>
    <row r="5180" spans="1:17" ht="15.5" x14ac:dyDescent="0.35">
      <c r="A5180"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5180" s="3" t="str">
        <f>HYPERLINK("https://edmondsonsupply.com/products/klein-tools-60100-hard-hat-non-vented-cap-style-white", "https://edmondsonsupply.com/products/klein-tools-60100-hard-hat-non-vented-cap-style-white")</f>
        <v>https://edmondsonsupply.com/products/klein-tools-60100-hard-hat-non-vented-cap-style-white</v>
      </c>
      <c r="C5180" t="s">
        <v>970</v>
      </c>
      <c r="D5180" t="s">
        <v>888</v>
      </c>
      <c r="E5180" s="3" t="str">
        <f>HYPERLINK("https://www.amazon.com/Klein-Tools-Self-Wicking-Odor-Resistant-Sweatband/dp/B0B68NYYM7/ref=sr_1_6?keywords=Klein+Tools+60100+Hard+Hat%2C+Non-Vented%2C+Cap+Style%2C+White&amp;qid=1695174219&amp;sr=8-6", "https://www.amazon.com/Klein-Tools-Self-Wicking-Odor-Resistant-Sweatband/dp/B0B68NYYM7/ref=sr_1_6?keywords=Klein+Tools+60100+Hard+Hat%2C+Non-Vented%2C+Cap+Style%2C+White&amp;qid=1695174219&amp;sr=8-6")</f>
        <v>https://www.amazon.com/Klein-Tools-Self-Wicking-Odor-Resistant-Sweatband/dp/B0B68NYYM7/ref=sr_1_6?keywords=Klein+Tools+60100+Hard+Hat%2C+Non-Vented%2C+Cap+Style%2C+White&amp;qid=1695174219&amp;sr=8-6</v>
      </c>
      <c r="F5180" t="s">
        <v>889</v>
      </c>
      <c r="G5180" t="e">
        <f ca="1">_xludf.IMAGE("https://edmondsonsupply.com/cdn/shop/products/60100_c.jpg?v=1648166061")</f>
        <v>#NAME?</v>
      </c>
      <c r="H5180" t="e">
        <f ca="1">_xludf.IMAGE("https://m.media-amazon.com/images/I/41IulVK0+jL._AC_UL320_.jpg")</f>
        <v>#NAME?</v>
      </c>
      <c r="I5180" t="s">
        <v>198</v>
      </c>
      <c r="J5180">
        <v>64.959999999999994</v>
      </c>
      <c r="K5180" s="4">
        <v>0.62439999999999996</v>
      </c>
      <c r="L5180">
        <v>4.5</v>
      </c>
      <c r="M5180">
        <v>15</v>
      </c>
      <c r="O5180" t="s">
        <v>171</v>
      </c>
      <c r="P5180" t="s">
        <v>971</v>
      </c>
      <c r="Q5180" t="s">
        <v>972</v>
      </c>
    </row>
    <row r="5181" spans="1:17" ht="15.5" x14ac:dyDescent="0.35">
      <c r="A5181"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5181" s="3" t="str">
        <f>HYPERLINK("https://edmondsonsupply.com/products/klein-tools-32314-14-in-1-precision-screwdriver-nut-driver", "https://edmondsonsupply.com/products/klein-tools-32314-14-in-1-precision-screwdriver-nut-driver")</f>
        <v>https://edmondsonsupply.com/products/klein-tools-32314-14-in-1-precision-screwdriver-nut-driver</v>
      </c>
      <c r="C5181" t="s">
        <v>1999</v>
      </c>
      <c r="D5181" t="s">
        <v>2958</v>
      </c>
      <c r="E5181" s="3" t="str">
        <f>HYPERLINK("https://www.amazon.com/Klein-Tools-Electronic-Screwdriver-Precision/dp/B09Z9278H4/ref=sr_1_3?keywords=Klein+Tools+32314+14-in-1+Precision+Screwdriver%2F+Nut+Driver&amp;qid=1695173878&amp;sr=8-3", "https://www.amazon.com/Klein-Tools-Electronic-Screwdriver-Precision/dp/B09Z9278H4/ref=sr_1_3?keywords=Klein+Tools+32314+14-in-1+Precision+Screwdriver%2F+Nut+Driver&amp;qid=1695173878&amp;sr=8-3")</f>
        <v>https://www.amazon.com/Klein-Tools-Electronic-Screwdriver-Precision/dp/B09Z9278H4/ref=sr_1_3?keywords=Klein+Tools+32314+14-in-1+Precision+Screwdriver%2F+Nut+Driver&amp;qid=1695173878&amp;sr=8-3</v>
      </c>
      <c r="F5181" t="s">
        <v>2959</v>
      </c>
      <c r="G5181" t="e">
        <f ca="1">_xludf.IMAGE("https://edmondsonsupply.com/cdn/shop/products/32314.jpg?v=1646593726")</f>
        <v>#NAME?</v>
      </c>
      <c r="H5181" t="e">
        <f ca="1">_xludf.IMAGE("https://m.media-amazon.com/images/I/41L4nOieMWL._AC_UL320_.jpg")</f>
        <v>#NAME?</v>
      </c>
      <c r="I5181" t="s">
        <v>143</v>
      </c>
      <c r="J5181">
        <v>25.94</v>
      </c>
      <c r="K5181" s="4">
        <v>0.62429999999999997</v>
      </c>
      <c r="L5181">
        <v>4.8</v>
      </c>
      <c r="M5181">
        <v>7</v>
      </c>
      <c r="O5181" t="s">
        <v>25</v>
      </c>
      <c r="P5181" t="s">
        <v>2002</v>
      </c>
      <c r="Q5181" t="s">
        <v>2003</v>
      </c>
    </row>
    <row r="5182" spans="1:17" ht="15.5" x14ac:dyDescent="0.35">
      <c r="A5182"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5182" s="3" t="str">
        <f>HYPERLINK("https://edmondsonsupply.com/products/klein-tools-65200-electricians-mini-ratchet-set-5-piece", "https://edmondsonsupply.com/products/klein-tools-65200-electricians-mini-ratchet-set-5-piece")</f>
        <v>https://edmondsonsupply.com/products/klein-tools-65200-electricians-mini-ratchet-set-5-piece</v>
      </c>
      <c r="C5182" t="s">
        <v>140</v>
      </c>
      <c r="D5182" t="s">
        <v>205</v>
      </c>
      <c r="E5182" s="3" t="str">
        <f>HYPERLINK("https://www.amazon.com/Klein-Tools-Demagnetizer-Magnetizer-Screwdriver/dp/B09Z917XB6/ref=sr_1_4?keywords=Klein+Tools+65200+Slim-Profile+Mini+Ratchet+Set%2C+5-Piece&amp;qid=1695173845&amp;sr=8-4", "https://www.amazon.com/Klein-Tools-Demagnetizer-Magnetizer-Screwdriver/dp/B09Z917XB6/ref=sr_1_4?keywords=Klein+Tools+65200+Slim-Profile+Mini+Ratchet+Set%2C+5-Piece&amp;qid=1695173845&amp;sr=8-4")</f>
        <v>https://www.amazon.com/Klein-Tools-Demagnetizer-Magnetizer-Screwdriver/dp/B09Z917XB6/ref=sr_1_4?keywords=Klein+Tools+65200+Slim-Profile+Mini+Ratchet+Set%2C+5-Piece&amp;qid=1695173845&amp;sr=8-4</v>
      </c>
      <c r="F5182" t="s">
        <v>206</v>
      </c>
      <c r="G5182" t="e">
        <f ca="1">_xludf.IMAGE("https://edmondsonsupply.com/cdn/shop/products/65200.jpg?v=1633030630")</f>
        <v>#NAME?</v>
      </c>
      <c r="H5182" t="e">
        <f ca="1">_xludf.IMAGE("https://m.media-amazon.com/images/I/41yfZTQhEVL._AC_UL320_.jpg")</f>
        <v>#NAME?</v>
      </c>
      <c r="I5182" t="s">
        <v>143</v>
      </c>
      <c r="J5182">
        <v>25.93</v>
      </c>
      <c r="K5182" s="4">
        <v>0.62370000000000003</v>
      </c>
      <c r="L5182">
        <v>4.9000000000000004</v>
      </c>
      <c r="M5182">
        <v>17</v>
      </c>
      <c r="O5182" t="s">
        <v>25</v>
      </c>
      <c r="P5182" t="s">
        <v>144</v>
      </c>
      <c r="Q5182" t="s">
        <v>145</v>
      </c>
    </row>
    <row r="5183" spans="1:17" ht="15.5" x14ac:dyDescent="0.35">
      <c r="A5183"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5183"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5183" t="s">
        <v>6998</v>
      </c>
      <c r="D5183" t="s">
        <v>6999</v>
      </c>
      <c r="E5183" s="3" t="str">
        <f>HYPERLINK("https://www.amazon.com/Klein-Tools-80065-Multi-Bit-Screwdriver/dp/B09SGPJ79X/ref=sr_1_4?keywords=Klein+Tools+65131+2-in-1+Nut+Driver%2C+Hex+Head+Slide+Drive%E2%84%A2%2C+1-1%2F2-Inch&amp;qid=1695174203&amp;sr=8-4", "https://www.amazon.com/Klein-Tools-80065-Multi-Bit-Screwdriver/dp/B09SGPJ79X/ref=sr_1_4?keywords=Klein+Tools+65131+2-in-1+Nut+Driver%2C+Hex+Head+Slide+Drive%E2%84%A2%2C+1-1%2F2-Inch&amp;qid=1695174203&amp;sr=8-4")</f>
        <v>https://www.amazon.com/Klein-Tools-80065-Multi-Bit-Screwdriver/dp/B09SGPJ79X/ref=sr_1_4?keywords=Klein+Tools+65131+2-in-1+Nut+Driver%2C+Hex+Head+Slide+Drive%E2%84%A2%2C+1-1%2F2-Inch&amp;qid=1695174203&amp;sr=8-4</v>
      </c>
      <c r="F5183" t="s">
        <v>7000</v>
      </c>
      <c r="G5183" t="e">
        <f ca="1">_xludf.IMAGE("https://edmondsonsupply.com/cdn/shop/products/65131.jpg?v=1660742745")</f>
        <v>#NAME?</v>
      </c>
      <c r="H5183" t="e">
        <f ca="1">_xludf.IMAGE("https://m.media-amazon.com/images/I/41GX7DrqSFL._AC_UL320_.jpg")</f>
        <v>#NAME?</v>
      </c>
      <c r="I5183" t="s">
        <v>2101</v>
      </c>
      <c r="J5183">
        <v>29.99</v>
      </c>
      <c r="K5183" s="4">
        <v>0.622</v>
      </c>
      <c r="L5183">
        <v>4.8</v>
      </c>
      <c r="M5183">
        <v>4204</v>
      </c>
      <c r="O5183" t="s">
        <v>25</v>
      </c>
      <c r="P5183" t="s">
        <v>7001</v>
      </c>
      <c r="Q5183" t="s">
        <v>7002</v>
      </c>
    </row>
    <row r="5184" spans="1:17" ht="15.5" x14ac:dyDescent="0.35">
      <c r="A5184"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5184"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5184" t="s">
        <v>6998</v>
      </c>
      <c r="D5184" t="s">
        <v>2599</v>
      </c>
      <c r="E5184" s="3" t="str">
        <f>HYPERLINK("https://www.amazon.com/Driver-Magnetic-Klein-Tools-32807MAG/dp/B07D4M51DQ/ref=sr_1_7?keywords=Klein+Tools+65131+2-in-1+Nut+Driver%2C+Hex+Head+Slide+Drive%E2%84%A2%2C+1-1%2F2-Inch&amp;qid=1695174203&amp;sr=8-7", "https://www.amazon.com/Driver-Magnetic-Klein-Tools-32807MAG/dp/B07D4M51DQ/ref=sr_1_7?keywords=Klein+Tools+65131+2-in-1+Nut+Driver%2C+Hex+Head+Slide+Drive%E2%84%A2%2C+1-1%2F2-Inch&amp;qid=1695174203&amp;sr=8-7")</f>
        <v>https://www.amazon.com/Driver-Magnetic-Klein-Tools-32807MAG/dp/B07D4M51DQ/ref=sr_1_7?keywords=Klein+Tools+65131+2-in-1+Nut+Driver%2C+Hex+Head+Slide+Drive%E2%84%A2%2C+1-1%2F2-Inch&amp;qid=1695174203&amp;sr=8-7</v>
      </c>
      <c r="F5184" t="s">
        <v>2600</v>
      </c>
      <c r="G5184" t="e">
        <f ca="1">_xludf.IMAGE("https://edmondsonsupply.com/cdn/shop/products/65131.jpg?v=1660742745")</f>
        <v>#NAME?</v>
      </c>
      <c r="H5184" t="e">
        <f ca="1">_xludf.IMAGE("https://m.media-amazon.com/images/I/61gwAJBzDAL._AC_UL320_.jpg")</f>
        <v>#NAME?</v>
      </c>
      <c r="I5184" t="s">
        <v>2101</v>
      </c>
      <c r="J5184">
        <v>29.97</v>
      </c>
      <c r="K5184" s="4">
        <v>0.62090000000000001</v>
      </c>
      <c r="L5184">
        <v>4.7</v>
      </c>
      <c r="M5184">
        <v>9161</v>
      </c>
      <c r="O5184" t="s">
        <v>25</v>
      </c>
      <c r="P5184" t="s">
        <v>7001</v>
      </c>
      <c r="Q5184" t="s">
        <v>7002</v>
      </c>
    </row>
    <row r="5185" spans="1:17" ht="15.5" x14ac:dyDescent="0.35">
      <c r="A5185" s="3" t="str">
        <f>HYPERLINK("https://edmondsonsupply.com/collections/electricians-tools/products/crescent-tools-cx6dbs2-2-pc-x6%E2%84%A2-4-in-1-black-oxide-spline-ratcheting-sae-wrench-set", "https://edmondsonsupply.com/collections/electricians-tools/products/crescent-tools-cx6dbs2-2-pc-x6%E2%84%A2-4-in-1-black-oxide-spline-ratcheting-sae-wrench-set")</f>
        <v>https://edmondsonsupply.com/collections/electricians-tools/products/crescent-tools-cx6dbs2-2-pc-x6%E2%84%A2-4-in-1-black-oxide-spline-ratcheting-sae-wrench-set</v>
      </c>
      <c r="B5185" s="3" t="str">
        <f>HYPERLINK("https://edmondsonsupply.com/products/crescent-tools-cx6dbs2-2-pc-x6%e2%84%a2-4-in-1-black-oxide-spline-ratcheting-sae-wrench-set", "https://edmondsonsupply.com/products/crescent-tools-cx6dbs2-2-pc-x6%e2%84%a2-4-in-1-black-oxide-spline-ratcheting-sae-wrench-set")</f>
        <v>https://edmondsonsupply.com/products/crescent-tools-cx6dbs2-2-pc-x6%e2%84%a2-4-in-1-black-oxide-spline-ratcheting-sae-wrench-set</v>
      </c>
      <c r="C5185" t="s">
        <v>6806</v>
      </c>
      <c r="D5185" t="s">
        <v>7003</v>
      </c>
      <c r="E5185" s="3" t="str">
        <f>HYPERLINK("https://www.amazon.com/Crescent-Black-Spline-Ratcheting-Wrench/dp/B0874GFK5Y/ref=sr_1_1?keywords=Crescent+Tools+CX6DBS2+2+Pc.+X6%E2%84%A2+4-in-1+Black+Oxide+Spline+Ratcheting+SAE+Wrench+Set&amp;qid=1695174022&amp;sr=8-1", "https://www.amazon.com/Crescent-Black-Spline-Ratcheting-Wrench/dp/B0874GFK5Y/ref=sr_1_1?keywords=Crescent+Tools+CX6DBS2+2+Pc.+X6%E2%84%A2+4-in-1+Black+Oxide+Spline+Ratcheting+SAE+Wrench+Set&amp;qid=1695174022&amp;sr=8-1")</f>
        <v>https://www.amazon.com/Crescent-Black-Spline-Ratcheting-Wrench/dp/B0874GFK5Y/ref=sr_1_1?keywords=Crescent+Tools+CX6DBS2+2+Pc.+X6%E2%84%A2+4-in-1+Black+Oxide+Spline+Ratcheting+SAE+Wrench+Set&amp;qid=1695174022&amp;sr=8-1</v>
      </c>
      <c r="F5185" t="s">
        <v>7004</v>
      </c>
      <c r="G5185" t="e">
        <f ca="1">_xludf.IMAGE("https://edmondsonsupply.com/cdn/shop/products/CRS_CX6DBS2_FRNT_MAIN.jpg?v=1681319485")</f>
        <v>#NAME?</v>
      </c>
      <c r="H5185" t="e">
        <f ca="1">_xludf.IMAGE("https://m.media-amazon.com/images/I/51OikbHFTxL._AC_UL320_.jpg")</f>
        <v>#NAME?</v>
      </c>
      <c r="I5185" t="s">
        <v>6809</v>
      </c>
      <c r="J5185">
        <v>55.05</v>
      </c>
      <c r="K5185" s="4">
        <v>0.62009999999999998</v>
      </c>
      <c r="L5185">
        <v>4.4000000000000004</v>
      </c>
      <c r="M5185">
        <v>10</v>
      </c>
      <c r="O5185" t="s">
        <v>25</v>
      </c>
      <c r="P5185" t="s">
        <v>6810</v>
      </c>
      <c r="Q5185" t="s">
        <v>6811</v>
      </c>
    </row>
    <row r="5186" spans="1:17" ht="15.5" x14ac:dyDescent="0.35">
      <c r="A5186" s="3" t="str">
        <f>HYPERLINK("https://edmondsonsupply.com/collections/electricians-tools/products/milwaukee-48-22-8485-packout%E2%84%A2-mounting-plate", "https://edmondsonsupply.com/collections/electricians-tools/products/milwaukee-48-22-8485-packout%E2%84%A2-mounting-plate")</f>
        <v>https://edmondsonsupply.com/collections/electricians-tools/products/milwaukee-48-22-8485-packout%E2%84%A2-mounting-plate</v>
      </c>
      <c r="B5186" s="3" t="str">
        <f>HYPERLINK("https://edmondsonsupply.com/products/milwaukee-48-22-8485-packout%e2%84%a2-mounting-plate", "https://edmondsonsupply.com/products/milwaukee-48-22-8485-packout%e2%84%a2-mounting-plate")</f>
        <v>https://edmondsonsupply.com/products/milwaukee-48-22-8485-packout%e2%84%a2-mounting-plate</v>
      </c>
      <c r="C5186" t="s">
        <v>6894</v>
      </c>
      <c r="D5186" t="s">
        <v>7005</v>
      </c>
      <c r="E5186" s="3" t="str">
        <f>HYPERLINK("https://www.amazon.com/CHAR-YONG-Replacement-Milwaukee-48-22-8485/dp/B0BP7DBCKW/ref=sr_1_5?keywords=Milwaukee+48-22-8485+PACKOUT%E2%84%A2+Mounting+Plate&amp;qid=1695174070&amp;sr=8-5", "https://www.amazon.com/CHAR-YONG-Replacement-Milwaukee-48-22-8485/dp/B0BP7DBCKW/ref=sr_1_5?keywords=Milwaukee+48-22-8485+PACKOUT%E2%84%A2+Mounting+Plate&amp;qid=1695174070&amp;sr=8-5")</f>
        <v>https://www.amazon.com/CHAR-YONG-Replacement-Milwaukee-48-22-8485/dp/B0BP7DBCKW/ref=sr_1_5?keywords=Milwaukee+48-22-8485+PACKOUT%E2%84%A2+Mounting+Plate&amp;qid=1695174070&amp;sr=8-5</v>
      </c>
      <c r="F5186" t="s">
        <v>7006</v>
      </c>
      <c r="G5186" t="e">
        <f ca="1">_xludf.IMAGE("https://edmondsonsupply.com/cdn/shop/products/48-22-8485_3.png?v=1677252283")</f>
        <v>#NAME?</v>
      </c>
      <c r="H5186" t="e">
        <f ca="1">_xludf.IMAGE("https://m.media-amazon.com/images/I/51Z78RGgm6L._AC_UL320_.jpg")</f>
        <v>#NAME?</v>
      </c>
      <c r="I5186" t="s">
        <v>824</v>
      </c>
      <c r="J5186">
        <v>48.55</v>
      </c>
      <c r="K5186" s="4">
        <v>0.62</v>
      </c>
      <c r="L5186">
        <v>5</v>
      </c>
      <c r="M5186">
        <v>1</v>
      </c>
      <c r="O5186" t="s">
        <v>25</v>
      </c>
      <c r="P5186" t="s">
        <v>6897</v>
      </c>
      <c r="Q5186" t="s">
        <v>6898</v>
      </c>
    </row>
    <row r="5187" spans="1:17" ht="15.5" x14ac:dyDescent="0.35">
      <c r="A5187"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5187"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5187" t="s">
        <v>6827</v>
      </c>
      <c r="D5187" t="s">
        <v>5838</v>
      </c>
      <c r="E5187" s="3" t="str">
        <f>HYPERLINK("https://www.amazon.com/Diablo-SDS-Max-4-Cutter-Carbide-Tipped-Hammer/dp/B089LHKFQ2/ref=sr_1_3?keywords=Diablo+Tools+DMAMX1360+1-1%2F2+in.+x+16+in.+x+21+in.+Rebar+Demon%E2%84%A2+SDS-Max+4-Cutter+Carbide-Tipped+Hammer+Drill+Bit&amp;qid=1695174071&amp;sr=8-3", "https://www.amazon.com/Diablo-SDS-Max-4-Cutter-Carbide-Tipped-Hammer/dp/B089LHKFQ2/ref=sr_1_3?keywords=Diablo+Tools+DMAMX1360+1-1%2F2+in.+x+16+in.+x+21+in.+Rebar+Demon%E2%84%A2+SDS-Max+4-Cutter+Carbide-Tipped+Hammer+Drill+Bit&amp;qid=1695174071&amp;sr=8-3")</f>
        <v>https://www.amazon.com/Diablo-SDS-Max-4-Cutter-Carbide-Tipped-Hammer/dp/B089LHKFQ2/ref=sr_1_3?keywords=Diablo+Tools+DMAMX1360+1-1%2F2+in.+x+16+in.+x+21+in.+Rebar+Demon%E2%84%A2+SDS-Max+4-Cutter+Carbide-Tipped+Hammer+Drill+Bit&amp;qid=1695174071&amp;sr=8-3</v>
      </c>
      <c r="F5187" t="s">
        <v>5839</v>
      </c>
      <c r="G5187" t="e">
        <f ca="1">_xludf.IMAGE("https://edmondsonsupply.com/cdn/shop/products/z2umcsdaj3y4uvsfnxoh.webp?v=1677257156")</f>
        <v>#NAME?</v>
      </c>
      <c r="H5187" t="e">
        <f ca="1">_xludf.IMAGE("https://m.media-amazon.com/images/I/61p4Q032qYL._AC_UL320_.jpg")</f>
        <v>#NAME?</v>
      </c>
      <c r="I5187" t="s">
        <v>6830</v>
      </c>
      <c r="J5187">
        <v>151.99</v>
      </c>
      <c r="K5187" s="4">
        <v>0.61919999999999997</v>
      </c>
      <c r="L5187">
        <v>4.4000000000000004</v>
      </c>
      <c r="M5187">
        <v>4</v>
      </c>
      <c r="O5187" t="s">
        <v>25</v>
      </c>
      <c r="P5187" t="s">
        <v>6831</v>
      </c>
      <c r="Q5187" t="s">
        <v>6832</v>
      </c>
    </row>
    <row r="5188" spans="1:17" ht="15.5" x14ac:dyDescent="0.35">
      <c r="A5188"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5188" s="3" t="str">
        <f>HYPERLINK("https://edmondsonsupply.com/products/klein-tools-vdv526-200-lan-scout-%c2%ae-jr-2-cable-tester", "https://edmondsonsupply.com/products/klein-tools-vdv526-200-lan-scout-%c2%ae-jr-2-cable-tester")</f>
        <v>https://edmondsonsupply.com/products/klein-tools-vdv526-200-lan-scout-%c2%ae-jr-2-cable-tester</v>
      </c>
      <c r="C5188" t="s">
        <v>6500</v>
      </c>
      <c r="D5188" t="s">
        <v>7007</v>
      </c>
      <c r="E5188" s="3" t="str">
        <f>HYPERLINK("https://www.amazon.com/Klein-Tools-VDV526-200-Connections-VDV226-011-SEN/dp/B0B68N3CXD/ref=sr_1_6?keywords=Klein+Tools+VDV526-200+LAN+Scout+%C2%AE+Jr.+2+Cable+Tester&amp;qid=1695174153&amp;sr=8-6", "https://www.amazon.com/Klein-Tools-VDV526-200-Connections-VDV226-011-SEN/dp/B0B68N3CXD/ref=sr_1_6?keywords=Klein+Tools+VDV526-200+LAN+Scout+%C2%AE+Jr.+2+Cable+Tester&amp;qid=1695174153&amp;sr=8-6")</f>
        <v>https://www.amazon.com/Klein-Tools-VDV526-200-Connections-VDV226-011-SEN/dp/B0B68N3CXD/ref=sr_1_6?keywords=Klein+Tools+VDV526-200+LAN+Scout+%C2%AE+Jr.+2+Cable+Tester&amp;qid=1695174153&amp;sr=8-6</v>
      </c>
      <c r="F5188" t="s">
        <v>7008</v>
      </c>
      <c r="G5188" t="e">
        <f ca="1">_xludf.IMAGE("https://edmondsonsupply.com/cdn/shop/products/vdv526200.jpg?v=1663689949")</f>
        <v>#NAME?</v>
      </c>
      <c r="H5188" t="e">
        <f ca="1">_xludf.IMAGE("https://m.media-amazon.com/images/I/518UGdBFRNL._AC_UY218_.jpg")</f>
        <v>#NAME?</v>
      </c>
      <c r="I5188" t="s">
        <v>3359</v>
      </c>
      <c r="J5188">
        <v>88.94</v>
      </c>
      <c r="K5188" s="4">
        <v>0.61799999999999999</v>
      </c>
      <c r="L5188">
        <v>5</v>
      </c>
      <c r="M5188">
        <v>3</v>
      </c>
      <c r="O5188" t="s">
        <v>25</v>
      </c>
      <c r="P5188" t="s">
        <v>6503</v>
      </c>
      <c r="Q5188" t="s">
        <v>6504</v>
      </c>
    </row>
    <row r="5189" spans="1:17" ht="15.5" x14ac:dyDescent="0.35">
      <c r="A5189"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5189" s="3" t="str">
        <f>HYPERLINK("https://edmondsonsupply.com/products/klein-tools-60162-professional-safety-glasses-gray-lens", "https://edmondsonsupply.com/products/klein-tools-60162-professional-safety-glasses-gray-lens")</f>
        <v>https://edmondsonsupply.com/products/klein-tools-60162-professional-safety-glasses-gray-lens</v>
      </c>
      <c r="C5189" t="s">
        <v>833</v>
      </c>
      <c r="D5189" t="s">
        <v>974</v>
      </c>
      <c r="E5189" s="3" t="str">
        <f>HYPERLINK("https://www.amazon.com/Klein-Tools-60537-Professional-Protective/dp/B0BLQM26TJ/ref=sr_1_10?keywords=Klein+Tools+60162+Professional+Safety+Glasses%2C+Gray+Lens&amp;qid=1695174302&amp;sr=8-10", "https://www.amazon.com/Klein-Tools-60537-Professional-Protective/dp/B0BLQM26TJ/ref=sr_1_10?keywords=Klein+Tools+60162+Professional+Safety+Glasses%2C+Gray+Lens&amp;qid=1695174302&amp;sr=8-10")</f>
        <v>https://www.amazon.com/Klein-Tools-60537-Professional-Protective/dp/B0BLQM26TJ/ref=sr_1_10?keywords=Klein+Tools+60162+Professional+Safety+Glasses%2C+Gray+Lens&amp;qid=1695174302&amp;sr=8-10</v>
      </c>
      <c r="F5189" t="s">
        <v>975</v>
      </c>
      <c r="G5189" t="e">
        <f ca="1">_xludf.IMAGE("https://edmondsonsupply.com/cdn/shop/products/60162.jpg?v=1633030847")</f>
        <v>#NAME?</v>
      </c>
      <c r="H5189" t="e">
        <f ca="1">_xludf.IMAGE("https://m.media-amazon.com/images/I/41ZbdEu2lCL._AC_UL320_.jpg")</f>
        <v>#NAME?</v>
      </c>
      <c r="I5189" t="s">
        <v>834</v>
      </c>
      <c r="J5189">
        <v>20.99</v>
      </c>
      <c r="K5189" s="4">
        <v>0.6159</v>
      </c>
      <c r="L5189">
        <v>4.5</v>
      </c>
      <c r="M5189">
        <v>15</v>
      </c>
      <c r="O5189" t="s">
        <v>25</v>
      </c>
      <c r="P5189" t="s">
        <v>835</v>
      </c>
      <c r="Q5189" t="s">
        <v>836</v>
      </c>
    </row>
    <row r="5190" spans="1:17" ht="15.5" x14ac:dyDescent="0.35">
      <c r="A5190" s="3" t="str">
        <f>HYPERLINK("https://edmondsonsupply.com/collections/electricians-tools/products/klein-tools-60536-professional-safety-glasses-indoor-outdoor-lens", "https://edmondsonsupply.com/collections/electricians-tools/products/klein-tools-60536-professional-safety-glasses-indoor-outdoor-lens")</f>
        <v>https://edmondsonsupply.com/collections/electricians-tools/products/klein-tools-60536-professional-safety-glasses-indoor-outdoor-lens</v>
      </c>
      <c r="B5190" s="3" t="str">
        <f>HYPERLINK("https://edmondsonsupply.com/products/klein-tools-60536-professional-safety-glasses-indoor-outdoor-lens", "https://edmondsonsupply.com/products/klein-tools-60536-professional-safety-glasses-indoor-outdoor-lens")</f>
        <v>https://edmondsonsupply.com/products/klein-tools-60536-professional-safety-glasses-indoor-outdoor-lens</v>
      </c>
      <c r="C5190" t="s">
        <v>973</v>
      </c>
      <c r="D5190" t="s">
        <v>974</v>
      </c>
      <c r="E5190" s="3" t="str">
        <f>HYPERLINK("https://www.amazon.com/Klein-Tools-60537-Professional-Protective/dp/B0BLQM26TJ/ref=sr_1_2?keywords=Klein+Tools+60536+Professional+Safety+Glasses%2C+Indoor%2FOutdoor+Lens&amp;qid=1695174102&amp;sr=8-2", "https://www.amazon.com/Klein-Tools-60537-Professional-Protective/dp/B0BLQM26TJ/ref=sr_1_2?keywords=Klein+Tools+60536+Professional+Safety+Glasses%2C+Indoor%2FOutdoor+Lens&amp;qid=1695174102&amp;sr=8-2")</f>
        <v>https://www.amazon.com/Klein-Tools-60537-Professional-Protective/dp/B0BLQM26TJ/ref=sr_1_2?keywords=Klein+Tools+60536+Professional+Safety+Glasses%2C+Indoor%2FOutdoor+Lens&amp;qid=1695174102&amp;sr=8-2</v>
      </c>
      <c r="F5190" t="s">
        <v>975</v>
      </c>
      <c r="G5190" t="e">
        <f ca="1">_xludf.IMAGE("https://edmondsonsupply.com/cdn/shop/products/60536.jpg?v=1670946435")</f>
        <v>#NAME?</v>
      </c>
      <c r="H5190" t="e">
        <f ca="1">_xludf.IMAGE("https://m.media-amazon.com/images/I/41ZbdEu2lCL._AC_UL320_.jpg")</f>
        <v>#NAME?</v>
      </c>
      <c r="I5190" t="s">
        <v>834</v>
      </c>
      <c r="J5190">
        <v>20.99</v>
      </c>
      <c r="K5190" s="4">
        <v>0.6159</v>
      </c>
      <c r="L5190">
        <v>4.5</v>
      </c>
      <c r="M5190">
        <v>15</v>
      </c>
      <c r="O5190" t="s">
        <v>25</v>
      </c>
      <c r="P5190" t="s">
        <v>835</v>
      </c>
      <c r="Q5190" t="s">
        <v>976</v>
      </c>
    </row>
    <row r="5191" spans="1:17" ht="15.5" x14ac:dyDescent="0.35">
      <c r="A5191"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5191" s="3" t="str">
        <f>HYPERLINK("https://edmondsonsupply.com/products/klein-tools-60161-professional-safety-glasses-clear-lens", "https://edmondsonsupply.com/products/klein-tools-60161-professional-safety-glasses-clear-lens")</f>
        <v>https://edmondsonsupply.com/products/klein-tools-60161-professional-safety-glasses-clear-lens</v>
      </c>
      <c r="C5191" t="s">
        <v>884</v>
      </c>
      <c r="D5191" t="s">
        <v>974</v>
      </c>
      <c r="E5191" s="3" t="str">
        <f>HYPERLINK("https://www.amazon.com/Klein-Tools-60537-Professional-Protective/dp/B0BLQM26TJ/ref=sr_1_8?keywords=Klein+Tools+60161+Professional+Safety+Glasses%2C+Clear+Lens&amp;qid=1695174304&amp;sr=8-8", "https://www.amazon.com/Klein-Tools-60537-Professional-Protective/dp/B0BLQM26TJ/ref=sr_1_8?keywords=Klein+Tools+60161+Professional+Safety+Glasses%2C+Clear+Lens&amp;qid=1695174304&amp;sr=8-8")</f>
        <v>https://www.amazon.com/Klein-Tools-60537-Professional-Protective/dp/B0BLQM26TJ/ref=sr_1_8?keywords=Klein+Tools+60161+Professional+Safety+Glasses%2C+Clear+Lens&amp;qid=1695174304&amp;sr=8-8</v>
      </c>
      <c r="F5191" t="s">
        <v>975</v>
      </c>
      <c r="G5191" t="e">
        <f ca="1">_xludf.IMAGE("https://edmondsonsupply.com/cdn/shop/products/60161.jpg?v=1633030845")</f>
        <v>#NAME?</v>
      </c>
      <c r="H5191" t="e">
        <f ca="1">_xludf.IMAGE("https://m.media-amazon.com/images/I/41ZbdEu2lCL._AC_UL320_.jpg")</f>
        <v>#NAME?</v>
      </c>
      <c r="I5191" t="s">
        <v>834</v>
      </c>
      <c r="J5191">
        <v>20.99</v>
      </c>
      <c r="K5191" s="4">
        <v>0.6159</v>
      </c>
      <c r="L5191">
        <v>4.5</v>
      </c>
      <c r="M5191">
        <v>15</v>
      </c>
      <c r="O5191" t="s">
        <v>25</v>
      </c>
      <c r="P5191" t="s">
        <v>835</v>
      </c>
      <c r="Q5191" t="s">
        <v>885</v>
      </c>
    </row>
    <row r="5192" spans="1:17" ht="15.5" x14ac:dyDescent="0.35">
      <c r="A5192" s="3" t="str">
        <f>HYPERLINK("https://edmondsonsupply.com/collections/electricians-tools/products/greenlee-0252-11-nm-cable-ripper", "https://edmondsonsupply.com/collections/electricians-tools/products/greenlee-0252-11-nm-cable-ripper")</f>
        <v>https://edmondsonsupply.com/collections/electricians-tools/products/greenlee-0252-11-nm-cable-ripper</v>
      </c>
      <c r="B5192" s="3" t="str">
        <f>HYPERLINK("https://edmondsonsupply.com/products/greenlee-0252-11-nm-cable-ripper", "https://edmondsonsupply.com/products/greenlee-0252-11-nm-cable-ripper")</f>
        <v>https://edmondsonsupply.com/products/greenlee-0252-11-nm-cable-ripper</v>
      </c>
      <c r="C5192" t="s">
        <v>7009</v>
      </c>
      <c r="D5192" t="s">
        <v>7009</v>
      </c>
      <c r="E5192" s="3" t="str">
        <f>HYPERLINK("https://www.amazon.com/Greenlee-0252-11-NM-Cable-Ripper/dp/B002JFMO1W/ref=sr_1_1?keywords=Greenlee+0252-11+NM+Cable+Ripper&amp;qid=1695174305&amp;sr=8-1", "https://www.amazon.com/Greenlee-0252-11-NM-Cable-Ripper/dp/B002JFMO1W/ref=sr_1_1?keywords=Greenlee+0252-11+NM+Cable+Ripper&amp;qid=1695174305&amp;sr=8-1")</f>
        <v>https://www.amazon.com/Greenlee-0252-11-NM-Cable-Ripper/dp/B002JFMO1W/ref=sr_1_1?keywords=Greenlee+0252-11+NM+Cable+Ripper&amp;qid=1695174305&amp;sr=8-1</v>
      </c>
      <c r="F5192" t="s">
        <v>7010</v>
      </c>
      <c r="G5192" t="e">
        <f ca="1">_xludf.IMAGE("https://edmondsonsupply.com/cdn/shop/products/0252-11.jpg?v=1633030807")</f>
        <v>#NAME?</v>
      </c>
      <c r="H5192" t="e">
        <f ca="1">_xludf.IMAGE("https://m.media-amazon.com/images/I/811S0j1WZaL._AC_UL320_.jpg")</f>
        <v>#NAME?</v>
      </c>
      <c r="I5192" t="s">
        <v>1476</v>
      </c>
      <c r="J5192">
        <v>7.07</v>
      </c>
      <c r="K5192" s="4">
        <v>0.61050000000000004</v>
      </c>
      <c r="L5192">
        <v>3.9</v>
      </c>
      <c r="M5192">
        <v>209</v>
      </c>
      <c r="O5192" t="s">
        <v>25</v>
      </c>
      <c r="P5192" t="s">
        <v>7011</v>
      </c>
      <c r="Q5192" t="s">
        <v>7012</v>
      </c>
    </row>
    <row r="5193" spans="1:17" ht="15.5" x14ac:dyDescent="0.35">
      <c r="A5193" s="3" t="str">
        <f>HYPERLINK("https://edmondsonsupply.com/collections/electricians-tools/products/klein-tools-51427-conduit-bender-handle-for-1-2-inch-3-4-inch-heads", "https://edmondsonsupply.com/collections/electricians-tools/products/klein-tools-51427-conduit-bender-handle-for-1-2-inch-3-4-inch-heads")</f>
        <v>https://edmondsonsupply.com/collections/electricians-tools/products/klein-tools-51427-conduit-bender-handle-for-1-2-inch-3-4-inch-heads</v>
      </c>
      <c r="B5193" s="3" t="str">
        <f>HYPERLINK("https://edmondsonsupply.com/products/klein-tools-51427-conduit-bender-handle-for-1-2-inch-3-4-inch-heads", "https://edmondsonsupply.com/products/klein-tools-51427-conduit-bender-handle-for-1-2-inch-3-4-inch-heads")</f>
        <v>https://edmondsonsupply.com/products/klein-tools-51427-conduit-bender-handle-for-1-2-inch-3-4-inch-heads</v>
      </c>
      <c r="C5193" t="s">
        <v>7013</v>
      </c>
      <c r="D5193" t="s">
        <v>6178</v>
      </c>
      <c r="E5193" s="3" t="str">
        <f>HYPERLINK("https://www.amazon.com/Conduit-Bender-Klein-Tools-51609/dp/B08VYFHL9J/ref=sr_1_2?keywords=Klein+Tools+51427+Conduit+Bender+Handle+for+1%2F2-Inch%2C+3%2F4-Inch+Heads&amp;qid=1695174154&amp;sr=8-2", "https://www.amazon.com/Conduit-Bender-Klein-Tools-51609/dp/B08VYFHL9J/ref=sr_1_2?keywords=Klein+Tools+51427+Conduit+Bender+Handle+for+1%2F2-Inch%2C+3%2F4-Inch+Heads&amp;qid=1695174154&amp;sr=8-2")</f>
        <v>https://www.amazon.com/Conduit-Bender-Klein-Tools-51609/dp/B08VYFHL9J/ref=sr_1_2?keywords=Klein+Tools+51427+Conduit+Bender+Handle+for+1%2F2-Inch%2C+3%2F4-Inch+Heads&amp;qid=1695174154&amp;sr=8-2</v>
      </c>
      <c r="F5193" t="s">
        <v>6179</v>
      </c>
      <c r="G5193" t="e">
        <f ca="1">_xludf.IMAGE("https://edmondsonsupply.com/cdn/shop/products/51429.jpg?v=1663694213")</f>
        <v>#NAME?</v>
      </c>
      <c r="H5193" t="e">
        <f ca="1">_xludf.IMAGE("https://m.media-amazon.com/images/I/61KifnC2xML._AC_UL320_.jpg")</f>
        <v>#NAME?</v>
      </c>
      <c r="I5193" t="s">
        <v>3207</v>
      </c>
      <c r="J5193">
        <v>44.99</v>
      </c>
      <c r="K5193" s="4">
        <v>0.60740000000000005</v>
      </c>
      <c r="L5193">
        <v>4.2</v>
      </c>
      <c r="M5193">
        <v>31</v>
      </c>
      <c r="O5193" t="s">
        <v>25</v>
      </c>
      <c r="P5193" t="s">
        <v>7014</v>
      </c>
      <c r="Q5193" t="s">
        <v>7015</v>
      </c>
    </row>
    <row r="5194" spans="1:17" ht="15.5" x14ac:dyDescent="0.35">
      <c r="A5194"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5194" s="3" t="str">
        <f>HYPERLINK("https://edmondsonsupply.com/products/diablo-tools-d0624x-6-1-2-in-24-tooth-framing-saw-blade", "https://edmondsonsupply.com/products/diablo-tools-d0624x-6-1-2-in-24-tooth-framing-saw-blade")</f>
        <v>https://edmondsonsupply.com/products/diablo-tools-d0624x-6-1-2-in-24-tooth-framing-saw-blade</v>
      </c>
      <c r="C5194" t="s">
        <v>6070</v>
      </c>
      <c r="D5194" t="s">
        <v>7016</v>
      </c>
      <c r="E5194" s="3" t="str">
        <f>HYPERLINK("https://www.amazon.com/D0624X-Diablo-2-Inch-24-Tooth-Framing/dp/B08RDYY4WQ/ref=sr_1_3?keywords=Diablo+Tools+D0624X+6-1%2F2+in.+24-Tooth+Framing+Saw+Blade&amp;qid=1695174066&amp;sr=8-3", "https://www.amazon.com/D0624X-Diablo-2-Inch-24-Tooth-Framing/dp/B08RDYY4WQ/ref=sr_1_3?keywords=Diablo+Tools+D0624X+6-1%2F2+in.+24-Tooth+Framing+Saw+Blade&amp;qid=1695174066&amp;sr=8-3")</f>
        <v>https://www.amazon.com/D0624X-Diablo-2-Inch-24-Tooth-Framing/dp/B08RDYY4WQ/ref=sr_1_3?keywords=Diablo+Tools+D0624X+6-1%2F2+in.+24-Tooth+Framing+Saw+Blade&amp;qid=1695174066&amp;sr=8-3</v>
      </c>
      <c r="F5194" t="s">
        <v>7017</v>
      </c>
      <c r="G5194" t="e">
        <f ca="1">_xludf.IMAGE("https://edmondsonsupply.com/cdn/shop/products/mfin0gl4ono6qztsnrth.webp?v=1678982694")</f>
        <v>#NAME?</v>
      </c>
      <c r="H5194" t="e">
        <f ca="1">_xludf.IMAGE("https://m.media-amazon.com/images/I/61dEXgIRSPL._AC_UL320_.jpg")</f>
        <v>#NAME?</v>
      </c>
      <c r="I5194" t="s">
        <v>6073</v>
      </c>
      <c r="J5194">
        <v>19.23</v>
      </c>
      <c r="K5194" s="4">
        <v>0.60650000000000004</v>
      </c>
      <c r="L5194">
        <v>5</v>
      </c>
      <c r="M5194">
        <v>1</v>
      </c>
      <c r="O5194" t="s">
        <v>25</v>
      </c>
      <c r="P5194" t="s">
        <v>6074</v>
      </c>
      <c r="Q5194" t="s">
        <v>6075</v>
      </c>
    </row>
    <row r="5195" spans="1:17" ht="15.5" x14ac:dyDescent="0.35">
      <c r="A5195" s="3" t="str">
        <f>HYPERLINK("https://edmondsonsupply.com/collections/electricians-tools/products/milwaukee-49-56-0177-3-1-8-hole-dozer%E2%84%A2-hole-saw-bi-metal-cup", "https://edmondsonsupply.com/collections/electricians-tools/products/milwaukee-49-56-0177-3-1-8-hole-dozer%E2%84%A2-hole-saw-bi-metal-cup")</f>
        <v>https://edmondsonsupply.com/collections/electricians-tools/products/milwaukee-49-56-0177-3-1-8-hole-dozer%E2%84%A2-hole-saw-bi-metal-cup</v>
      </c>
      <c r="B5195" s="3" t="str">
        <f>HYPERLINK("https://edmondsonsupply.com/products/milwaukee-49-56-0177-3-1-8-hole-dozer%e2%84%a2-hole-saw-bi-metal-cup", "https://edmondsonsupply.com/products/milwaukee-49-56-0177-3-1-8-hole-dozer%e2%84%a2-hole-saw-bi-metal-cup")</f>
        <v>https://edmondsonsupply.com/products/milwaukee-49-56-0177-3-1-8-hole-dozer%e2%84%a2-hole-saw-bi-metal-cup</v>
      </c>
      <c r="C5195" t="s">
        <v>7018</v>
      </c>
      <c r="D5195" t="s">
        <v>6447</v>
      </c>
      <c r="E5195" s="3" t="str">
        <f>HYPERLINK("https://www.amazon.com/Milwaukee-Electric-Tool-49-56-0193-Bi-Metal/dp/B0017WTULA/ref=sr_1_2?keywords=Milwaukee+49-56-0177+3-1%2F8%22+HOLE+DOZER%E2%84%A2+Hole+Saw+Bi-Metal+Cup&amp;qid=1695174062&amp;sr=8-2", "https://www.amazon.com/Milwaukee-Electric-Tool-49-56-0193-Bi-Metal/dp/B0017WTULA/ref=sr_1_2?keywords=Milwaukee+49-56-0177+3-1%2F8%22+HOLE+DOZER%E2%84%A2+Hole+Saw+Bi-Metal+Cup&amp;qid=1695174062&amp;sr=8-2")</f>
        <v>https://www.amazon.com/Milwaukee-Electric-Tool-49-56-0193-Bi-Metal/dp/B0017WTULA/ref=sr_1_2?keywords=Milwaukee+49-56-0177+3-1%2F8%22+HOLE+DOZER%E2%84%A2+Hole+Saw+Bi-Metal+Cup&amp;qid=1695174062&amp;sr=8-2</v>
      </c>
      <c r="F5195" t="s">
        <v>6448</v>
      </c>
      <c r="G5195" t="e">
        <f ca="1">_xludf.IMAGE("https://edmondsonsupply.com/cdn/shop/products/49-56-0052_101_2_4e65917d-b848-4641-821e-4fcc87f87d17.webp?v=1679333782")</f>
        <v>#NAME?</v>
      </c>
      <c r="H5195" t="e">
        <f ca="1">_xludf.IMAGE("https://m.media-amazon.com/images/I/51Yfl2-hbuL._AC_UL320_.jpg")</f>
        <v>#NAME?</v>
      </c>
      <c r="I5195" t="s">
        <v>7019</v>
      </c>
      <c r="J5195">
        <v>18.45</v>
      </c>
      <c r="K5195" s="4">
        <v>0.60570000000000002</v>
      </c>
      <c r="L5195">
        <v>4.5999999999999996</v>
      </c>
      <c r="M5195">
        <v>249</v>
      </c>
      <c r="O5195" t="s">
        <v>25</v>
      </c>
      <c r="P5195" t="s">
        <v>5754</v>
      </c>
      <c r="Q5195" t="s">
        <v>7020</v>
      </c>
    </row>
    <row r="5196" spans="1:17" ht="15.5" x14ac:dyDescent="0.35">
      <c r="A5196" s="3" t="str">
        <f>HYPERLINK("https://edmondsonsupply.com/collections/electricians-tools/products/klein-tools-66040-2-in-1-impact-socket-set-12-point-5-piece", "https://edmondsonsupply.com/collections/electricians-tools/products/klein-tools-66040-2-in-1-impact-socket-set-12-point-5-piece")</f>
        <v>https://edmondsonsupply.com/collections/electricians-tools/products/klein-tools-66040-2-in-1-impact-socket-set-12-point-5-piece</v>
      </c>
      <c r="B5196" s="3" t="str">
        <f>HYPERLINK("https://edmondsonsupply.com/products/klein-tools-66040-2-in-1-impact-socket-set-12-point-5-piece", "https://edmondsonsupply.com/products/klein-tools-66040-2-in-1-impact-socket-set-12-point-5-piece")</f>
        <v>https://edmondsonsupply.com/products/klein-tools-66040-2-in-1-impact-socket-set-12-point-5-piece</v>
      </c>
      <c r="C5196" t="s">
        <v>7021</v>
      </c>
      <c r="D5196" t="s">
        <v>7022</v>
      </c>
      <c r="E5196" s="3" t="str">
        <f>HYPERLINK("https://www.amazon.com/Klein-Tools-66010-High-Torque-12-Point/dp/B07NZS6998/ref=sr_1_4?keywords=Klein+Tools+66040+2-in-1+Impact+Socket+Set%2C+12-Point%2C+5-Piece&amp;qid=1695173922&amp;sr=8-4", "https://www.amazon.com/Klein-Tools-66010-High-Torque-12-Point/dp/B07NZS6998/ref=sr_1_4?keywords=Klein+Tools+66040+2-in-1+Impact+Socket+Set%2C+12-Point%2C+5-Piece&amp;qid=1695173922&amp;sr=8-4")</f>
        <v>https://www.amazon.com/Klein-Tools-66010-High-Torque-12-Point/dp/B07NZS6998/ref=sr_1_4?keywords=Klein+Tools+66040+2-in-1+Impact+Socket+Set%2C+12-Point%2C+5-Piece&amp;qid=1695173922&amp;sr=8-4</v>
      </c>
      <c r="F5196" t="s">
        <v>7023</v>
      </c>
      <c r="G5196" t="e">
        <f ca="1">_xludf.IMAGE("https://edmondsonsupply.com/cdn/shop/products/66040.jpg?v=1659120255")</f>
        <v>#NAME?</v>
      </c>
      <c r="H5196" t="e">
        <f ca="1">_xludf.IMAGE("https://m.media-amazon.com/images/I/51QnKGm7EiL._AC_UL320_.jpg")</f>
        <v>#NAME?</v>
      </c>
      <c r="I5196" t="s">
        <v>7024</v>
      </c>
      <c r="J5196">
        <v>199.99</v>
      </c>
      <c r="K5196" s="4">
        <v>0.60260000000000002</v>
      </c>
      <c r="L5196">
        <v>4.8</v>
      </c>
      <c r="M5196">
        <v>380</v>
      </c>
      <c r="O5196" t="s">
        <v>25</v>
      </c>
      <c r="P5196" t="s">
        <v>7025</v>
      </c>
      <c r="Q5196" t="s">
        <v>7026</v>
      </c>
    </row>
    <row r="5197" spans="1:17" ht="15.5" x14ac:dyDescent="0.35">
      <c r="A5197"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5197" s="3" t="str">
        <f>HYPERLINK("https://edmondsonsupply.com/products/milwaukee-49-90-1900-hepa-filter", "https://edmondsonsupply.com/products/milwaukee-49-90-1900-hepa-filter")</f>
        <v>https://edmondsonsupply.com/products/milwaukee-49-90-1900-hepa-filter</v>
      </c>
      <c r="C5197" t="s">
        <v>5831</v>
      </c>
      <c r="D5197" t="s">
        <v>5832</v>
      </c>
      <c r="E5197" s="3" t="str">
        <f>HYPERLINK("https://www.amazon.com/Fette-Filter-HEPA-Filter-Compatible-49-90-1900/dp/B08296RWMV/ref=sr_1_3?keywords=Milwaukee+49-90-1900+HEPA+Filter&amp;qid=1695174010&amp;sr=8-3", "https://www.amazon.com/Fette-Filter-HEPA-Filter-Compatible-49-90-1900/dp/B08296RWMV/ref=sr_1_3?keywords=Milwaukee+49-90-1900+HEPA+Filter&amp;qid=1695174010&amp;sr=8-3")</f>
        <v>https://www.amazon.com/Fette-Filter-HEPA-Filter-Compatible-49-90-1900/dp/B08296RWMV/ref=sr_1_3?keywords=Milwaukee+49-90-1900+HEPA+Filter&amp;qid=1695174010&amp;sr=8-3</v>
      </c>
      <c r="F5197" t="s">
        <v>5833</v>
      </c>
      <c r="G5197" t="e">
        <f ca="1">_xludf.IMAGE("https://edmondsonsupply.com/cdn/shop/files/49-90-1900_1.png?v=1686234774")</f>
        <v>#NAME?</v>
      </c>
      <c r="H5197" t="e">
        <f ca="1">_xludf.IMAGE("https://m.media-amazon.com/images/I/812bkkRRuQL._AC_UL320_.jpg")</f>
        <v>#NAME?</v>
      </c>
      <c r="I5197" t="s">
        <v>2170</v>
      </c>
      <c r="J5197">
        <v>39.99</v>
      </c>
      <c r="K5197" s="4">
        <v>0.60089999999999999</v>
      </c>
      <c r="L5197">
        <v>4.7</v>
      </c>
      <c r="M5197">
        <v>150</v>
      </c>
      <c r="O5197" t="s">
        <v>25</v>
      </c>
      <c r="P5197" t="s">
        <v>2470</v>
      </c>
      <c r="Q5197" t="s">
        <v>5834</v>
      </c>
    </row>
    <row r="5198" spans="1:17" ht="15.5" x14ac:dyDescent="0.35">
      <c r="A5198" s="3" t="str">
        <f>HYPERLINK("https://edmondsonsupply.com/collections/electricians-tools/products/channellock-gs-1x-2pc-speedgrip%E2%84%A2-tongue-groove-pliers-set", "https://edmondsonsupply.com/collections/electricians-tools/products/channellock-gs-1x-2pc-speedgrip%E2%84%A2-tongue-groove-pliers-set")</f>
        <v>https://edmondsonsupply.com/collections/electricians-tools/products/channellock-gs-1x-2pc-speedgrip%E2%84%A2-tongue-groove-pliers-set</v>
      </c>
      <c r="B5198" s="3" t="str">
        <f>HYPERLINK("https://edmondsonsupply.com/products/channellock-gs-1x-2pc-speedgrip%e2%84%a2-tongue-groove-pliers-set", "https://edmondsonsupply.com/products/channellock-gs-1x-2pc-speedgrip%e2%84%a2-tongue-groove-pliers-set")</f>
        <v>https://edmondsonsupply.com/products/channellock-gs-1x-2pc-speedgrip%e2%84%a2-tongue-groove-pliers-set</v>
      </c>
      <c r="C5198" t="s">
        <v>7027</v>
      </c>
      <c r="D5198" t="s">
        <v>7028</v>
      </c>
      <c r="E5198" s="3" t="str">
        <f>HYPERLINK("https://www.amazon.com/CHANNELLOCK-SPEEDGRIP-Tongue-Groove-Pliers/dp/B0B5FH5D7B/ref=sr_1_2?keywords=Channellock+GS-1X+2PC+SPEEDGRIP%E2%84%A2+Tongue+%26+Groove+Pliers+Set&amp;qid=1695174214&amp;sr=8-2", "https://www.amazon.com/CHANNELLOCK-SPEEDGRIP-Tongue-Groove-Pliers/dp/B0B5FH5D7B/ref=sr_1_2?keywords=Channellock+GS-1X+2PC+SPEEDGRIP%E2%84%A2+Tongue+%26+Groove+Pliers+Set&amp;qid=1695174214&amp;sr=8-2")</f>
        <v>https://www.amazon.com/CHANNELLOCK-SPEEDGRIP-Tongue-Groove-Pliers/dp/B0B5FH5D7B/ref=sr_1_2?keywords=Channellock+GS-1X+2PC+SPEEDGRIP%E2%84%A2+Tongue+%26+Groove+Pliers+Set&amp;qid=1695174214&amp;sr=8-2</v>
      </c>
      <c r="F5198" t="s">
        <v>7029</v>
      </c>
      <c r="G5198" t="e">
        <f ca="1">_xludf.IMAGE("https://edmondsonsupply.com/cdn/shop/products/GS1X.jpg?v=1647106166")</f>
        <v>#NAME?</v>
      </c>
      <c r="H5198" t="e">
        <f ca="1">_xludf.IMAGE("https://m.media-amazon.com/images/I/71ksLVjQoqL._AC_UL320_.jpg")</f>
        <v>#NAME?</v>
      </c>
      <c r="I5198" t="s">
        <v>540</v>
      </c>
      <c r="J5198">
        <v>79.95</v>
      </c>
      <c r="K5198" s="4">
        <v>0.60060000000000002</v>
      </c>
      <c r="L5198">
        <v>4.4000000000000004</v>
      </c>
      <c r="M5198">
        <v>578</v>
      </c>
      <c r="O5198" t="s">
        <v>25</v>
      </c>
      <c r="P5198" t="s">
        <v>7030</v>
      </c>
      <c r="Q5198" t="s">
        <v>7031</v>
      </c>
    </row>
    <row r="5199" spans="1:17" ht="15.5" x14ac:dyDescent="0.35">
      <c r="A5199"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5199"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5199" t="s">
        <v>6146</v>
      </c>
      <c r="D5199" t="s">
        <v>7032</v>
      </c>
      <c r="E5199" s="3" t="str">
        <f>HYPERLINK("https://www.amazon.com/Klein-Tools-Screwdriver-Electronics-Screwdrivers/dp/B09T6VZ31V/ref=sr_1_4?keywords=Klein+Tools+32288+8-in-1+Insulated+Interchangeable+Screwdriver+Set&amp;qid=1695173864&amp;sr=8-4", "https://www.amazon.com/Klein-Tools-Screwdriver-Electronics-Screwdrivers/dp/B09T6VZ31V/ref=sr_1_4?keywords=Klein+Tools+32288+8-in-1+Insulated+Interchangeable+Screwdriver+Set&amp;qid=1695173864&amp;sr=8-4")</f>
        <v>https://www.amazon.com/Klein-Tools-Screwdriver-Electronics-Screwdrivers/dp/B09T6VZ31V/ref=sr_1_4?keywords=Klein+Tools+32288+8-in-1+Insulated+Interchangeable+Screwdriver+Set&amp;qid=1695173864&amp;sr=8-4</v>
      </c>
      <c r="F5199" t="s">
        <v>7033</v>
      </c>
      <c r="G5199" t="e">
        <f ca="1">_xludf.IMAGE("https://edmondsonsupply.com/cdn/shop/products/32288.jpg?v=1587146849")</f>
        <v>#NAME?</v>
      </c>
      <c r="H5199" t="e">
        <f ca="1">_xludf.IMAGE("https://m.media-amazon.com/images/I/51gXavqPdDL._AC_UL320_.jpg")</f>
        <v>#NAME?</v>
      </c>
      <c r="I5199" t="s">
        <v>1931</v>
      </c>
      <c r="J5199">
        <v>79.98</v>
      </c>
      <c r="K5199" s="4">
        <v>0.59989999999999999</v>
      </c>
      <c r="L5199">
        <v>4.7</v>
      </c>
      <c r="M5199">
        <v>7</v>
      </c>
      <c r="O5199" t="s">
        <v>25</v>
      </c>
      <c r="P5199" t="s">
        <v>1114</v>
      </c>
      <c r="Q5199" t="s">
        <v>6149</v>
      </c>
    </row>
    <row r="5200" spans="1:17" ht="15.5" x14ac:dyDescent="0.35">
      <c r="A5200"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5200"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5200" t="s">
        <v>6146</v>
      </c>
      <c r="D5200" t="s">
        <v>7034</v>
      </c>
      <c r="E5200" s="3" t="str">
        <f>HYPERLINK("https://www.amazon.com/Klein-Tools-Insulated-Screwdriver-Impact/dp/B0BK4LCT3J/ref=sr_1_2?keywords=Klein+Tools+32288+8-in-1+Insulated+Interchangeable+Screwdriver+Set&amp;qid=1695173864&amp;sr=8-2", "https://www.amazon.com/Klein-Tools-Insulated-Screwdriver-Impact/dp/B0BK4LCT3J/ref=sr_1_2?keywords=Klein+Tools+32288+8-in-1+Insulated+Interchangeable+Screwdriver+Set&amp;qid=1695173864&amp;sr=8-2")</f>
        <v>https://www.amazon.com/Klein-Tools-Insulated-Screwdriver-Impact/dp/B0BK4LCT3J/ref=sr_1_2?keywords=Klein+Tools+32288+8-in-1+Insulated+Interchangeable+Screwdriver+Set&amp;qid=1695173864&amp;sr=8-2</v>
      </c>
      <c r="F5200" t="s">
        <v>7035</v>
      </c>
      <c r="G5200" t="e">
        <f ca="1">_xludf.IMAGE("https://edmondsonsupply.com/cdn/shop/products/32288.jpg?v=1587146849")</f>
        <v>#NAME?</v>
      </c>
      <c r="H5200" t="e">
        <f ca="1">_xludf.IMAGE("https://m.media-amazon.com/images/I/51whjRly5bL._AC_UL320_.jpg")</f>
        <v>#NAME?</v>
      </c>
      <c r="I5200" t="s">
        <v>1931</v>
      </c>
      <c r="J5200">
        <v>79.959999999999994</v>
      </c>
      <c r="K5200" s="4">
        <v>0.59950000000000003</v>
      </c>
      <c r="L5200">
        <v>5</v>
      </c>
      <c r="M5200">
        <v>4</v>
      </c>
      <c r="O5200" t="s">
        <v>25</v>
      </c>
      <c r="P5200" t="s">
        <v>1114</v>
      </c>
      <c r="Q5200" t="s">
        <v>6149</v>
      </c>
    </row>
    <row r="5201" spans="1:17" ht="15.5" x14ac:dyDescent="0.35">
      <c r="A5201"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201" s="3" t="str">
        <f>HYPERLINK("https://edmondsonsupply.com/products/klein-tools-jth6m10-10-mm-hex-key-journeyman-t-handle-6-inch", "https://edmondsonsupply.com/products/klein-tools-jth6m10-10-mm-hex-key-journeyman-t-handle-6-inch")</f>
        <v>https://edmondsonsupply.com/products/klein-tools-jth6m10-10-mm-hex-key-journeyman-t-handle-6-inch</v>
      </c>
      <c r="C5201" t="s">
        <v>6945</v>
      </c>
      <c r="D5201" t="s">
        <v>6252</v>
      </c>
      <c r="E5201" s="3" t="str">
        <f>HYPERLINK("https://www.amazon.com/Klein-Tools-JTH6E09BE-Ball-End-Journeyman/dp/B0CGLVC75M/ref=sr_1_9?keywords=Klein+Tools+JTH6M10+10+mm+Hex+Key+Journeyman+T-Handle+6-Inch&amp;qid=1695174255&amp;sr=8-9", "https://www.amazon.com/Klein-Tools-JTH6E09BE-Ball-End-Journeyman/dp/B0CGLVC75M/ref=sr_1_9?keywords=Klein+Tools+JTH6M10+10+mm+Hex+Key+Journeyman+T-Handle+6-Inch&amp;qid=1695174255&amp;sr=8-9")</f>
        <v>https://www.amazon.com/Klein-Tools-JTH6E09BE-Ball-End-Journeyman/dp/B0CGLVC75M/ref=sr_1_9?keywords=Klein+Tools+JTH6M10+10+mm+Hex+Key+Journeyman+T-Handle+6-Inch&amp;qid=1695174255&amp;sr=8-9</v>
      </c>
      <c r="F5201" t="s">
        <v>6253</v>
      </c>
      <c r="G5201" t="e">
        <f ca="1">_xludf.IMAGE("https://edmondsonsupply.com/cdn/shop/products/jth6m8_64c2c8d3-e13e-4b81-9b34-745be7fd837a.jpg?v=1627827117")</f>
        <v>#NAME?</v>
      </c>
      <c r="H5201" t="e">
        <f ca="1">_xludf.IMAGE("https://m.media-amazon.com/images/I/41bN+I19ReL._AC_UL320_.jpg")</f>
        <v>#NAME?</v>
      </c>
      <c r="I5201" t="s">
        <v>924</v>
      </c>
      <c r="J5201">
        <v>14.36</v>
      </c>
      <c r="K5201" s="4">
        <v>0.59730000000000005</v>
      </c>
      <c r="L5201">
        <v>4.9000000000000004</v>
      </c>
      <c r="M5201">
        <v>65</v>
      </c>
      <c r="O5201" t="s">
        <v>25</v>
      </c>
      <c r="P5201" t="s">
        <v>6946</v>
      </c>
      <c r="Q5201" t="s">
        <v>6947</v>
      </c>
    </row>
    <row r="5202" spans="1:17" ht="15.5" x14ac:dyDescent="0.35">
      <c r="A5202" s="3" t="str">
        <f>HYPERLINK("https://edmondsonsupply.com/collections/electricians-tools/products/diablo-tools-dhs0312dg-5-16-in-diamond-grit-hole-saws", "https://edmondsonsupply.com/collections/electricians-tools/products/diablo-tools-dhs0312dg-5-16-in-diamond-grit-hole-saws")</f>
        <v>https://edmondsonsupply.com/collections/electricians-tools/products/diablo-tools-dhs0312dg-5-16-in-diamond-grit-hole-saws</v>
      </c>
      <c r="B5202" s="3" t="str">
        <f>HYPERLINK("https://edmondsonsupply.com/products/diablo-tools-dhs0312dg-5-16-in-diamond-grit-hole-saws", "https://edmondsonsupply.com/products/diablo-tools-dhs0312dg-5-16-in-diamond-grit-hole-saws")</f>
        <v>https://edmondsonsupply.com/products/diablo-tools-dhs0312dg-5-16-in-diamond-grit-hole-saws</v>
      </c>
      <c r="C5202" t="s">
        <v>7036</v>
      </c>
      <c r="D5202" t="s">
        <v>7037</v>
      </c>
      <c r="E5202" s="3" t="str">
        <f>HYPERLINK("https://www.amazon.com/Lenox-Tools-121085DGDS-Diamond-16-Inch/dp/B002TPXXOO/ref=sr_1_6?keywords=Diablo+Tools+DHS0312DG+5%2F16+in.+Diamond+Grit+Hole+Saws&amp;qid=1695174109&amp;sr=8-6", "https://www.amazon.com/Lenox-Tools-121085DGDS-Diamond-16-Inch/dp/B002TPXXOO/ref=sr_1_6?keywords=Diablo+Tools+DHS0312DG+5%2F16+in.+Diamond+Grit+Hole+Saws&amp;qid=1695174109&amp;sr=8-6")</f>
        <v>https://www.amazon.com/Lenox-Tools-121085DGDS-Diamond-16-Inch/dp/B002TPXXOO/ref=sr_1_6?keywords=Diablo+Tools+DHS0312DG+5%2F16+in.+Diamond+Grit+Hole+Saws&amp;qid=1695174109&amp;sr=8-6</v>
      </c>
      <c r="F5202" t="s">
        <v>7038</v>
      </c>
      <c r="G5202" t="e">
        <f ca="1">_xludf.IMAGE("https://edmondsonsupply.com/cdn/shop/products/rxizptsq5go5ndbgimh0.webp?v=1670004603")</f>
        <v>#NAME?</v>
      </c>
      <c r="H5202" t="e">
        <f ca="1">_xludf.IMAGE("https://m.media-amazon.com/images/I/51iEfA2HpPL._AC_UL320_.jpg")</f>
        <v>#NAME?</v>
      </c>
      <c r="I5202" t="s">
        <v>7039</v>
      </c>
      <c r="J5202">
        <v>20.32</v>
      </c>
      <c r="K5202" s="4">
        <v>0.59619999999999995</v>
      </c>
      <c r="L5202">
        <v>4.5999999999999996</v>
      </c>
      <c r="M5202">
        <v>279</v>
      </c>
      <c r="O5202" t="s">
        <v>25</v>
      </c>
      <c r="P5202" t="s">
        <v>7040</v>
      </c>
      <c r="Q5202" t="s">
        <v>7041</v>
      </c>
    </row>
    <row r="5203" spans="1:17" ht="15.5" x14ac:dyDescent="0.35">
      <c r="A5203" s="3" t="str">
        <f>HYPERLINK("https://edmondsonsupply.com/collections/electricians-tools/products/klein-tools-ncvt-4ir-non-contact-voltage-tester-pen-12-1000v-with-infrared-thermometer", "https://edmondsonsupply.com/collections/electricians-tools/products/klein-tools-ncvt-4ir-non-contact-voltage-tester-pen-12-1000v-with-infrared-thermometer")</f>
        <v>https://edmondsonsupply.com/collections/electricians-tools/products/klein-tools-ncvt-4ir-non-contact-voltage-tester-pen-12-1000v-with-infrared-thermometer</v>
      </c>
      <c r="B5203" s="3" t="str">
        <f>HYPERLINK("https://edmondsonsupply.com/products/klein-tools-ncvt-4ir-non-contact-voltage-tester-pen-12-1000v-with-infrared-thermometer", "https://edmondsonsupply.com/products/klein-tools-ncvt-4ir-non-contact-voltage-tester-pen-12-1000v-with-infrared-thermometer")</f>
        <v>https://edmondsonsupply.com/products/klein-tools-ncvt-4ir-non-contact-voltage-tester-pen-12-1000v-with-infrared-thermometer</v>
      </c>
      <c r="C5203" t="s">
        <v>2995</v>
      </c>
      <c r="D5203" t="s">
        <v>2996</v>
      </c>
      <c r="E5203" s="3" t="str">
        <f>HYPERLINK("https://www.amazon.com/Klein-Tools-NCVT-4IR-Non-Contact-Tester/dp/B0BD41QXCP/ref=sr_1_2?keywords=Klein+Tools+NCVT-4IR+Non-Contact+Voltage+Tester+Pen%2C+12-1000V%2C+with+Infrared+Thermometer&amp;qid=1695173884&amp;sr=8-2", "https://www.amazon.com/Klein-Tools-NCVT-4IR-Non-Contact-Tester/dp/B0BD41QXCP/ref=sr_1_2?keywords=Klein+Tools+NCVT-4IR+Non-Contact+Voltage+Tester+Pen%2C+12-1000V%2C+with+Infrared+Thermometer&amp;qid=1695173884&amp;sr=8-2")</f>
        <v>https://www.amazon.com/Klein-Tools-NCVT-4IR-Non-Contact-Tester/dp/B0BD41QXCP/ref=sr_1_2?keywords=Klein+Tools+NCVT-4IR+Non-Contact+Voltage+Tester+Pen%2C+12-1000V%2C+with+Infrared+Thermometer&amp;qid=1695173884&amp;sr=8-2</v>
      </c>
      <c r="F5203" t="s">
        <v>2997</v>
      </c>
      <c r="G5203" t="e">
        <f ca="1">_xludf.IMAGE("https://edmondsonsupply.com/cdn/shop/products/ncvt4ir.jpg?v=1633030412")</f>
        <v>#NAME?</v>
      </c>
      <c r="H5203" t="e">
        <f ca="1">_xludf.IMAGE("https://m.media-amazon.com/images/I/418deU9NDfL._AC_UL320_.jpg")</f>
        <v>#NAME?</v>
      </c>
      <c r="I5203" t="s">
        <v>198</v>
      </c>
      <c r="J5203">
        <v>63.65</v>
      </c>
      <c r="K5203" s="4">
        <v>0.59160000000000001</v>
      </c>
      <c r="L5203">
        <v>5</v>
      </c>
      <c r="M5203">
        <v>1</v>
      </c>
      <c r="O5203" t="s">
        <v>25</v>
      </c>
      <c r="P5203" t="s">
        <v>2998</v>
      </c>
      <c r="Q5203" t="s">
        <v>2999</v>
      </c>
    </row>
    <row r="5204" spans="1:17" ht="15.5" x14ac:dyDescent="0.35">
      <c r="A5204"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5204"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5204" t="s">
        <v>2115</v>
      </c>
      <c r="D5204" t="s">
        <v>2107</v>
      </c>
      <c r="E5204" s="3" t="str">
        <f>HYPERLINK("https://www.amazon.com/Screwdriver-Adjustable-Klein-Tools-Electronic/dp/B0BM34Q1QR/ref=sr_1_3?keywords=Klein+Tools+32304+14-in-1+HVAC+Adjustable-Length+Impact+Screwdriver+with+Flip+Socket&amp;qid=1695173856&amp;sr=8-3", "https://www.amazon.com/Screwdriver-Adjustable-Klein-Tools-Electronic/dp/B0BM34Q1QR/ref=sr_1_3?keywords=Klein+Tools+32304+14-in-1+HVAC+Adjustable-Length+Impact+Screwdriver+with+Flip+Socket&amp;qid=1695173856&amp;sr=8-3")</f>
        <v>https://www.amazon.com/Screwdriver-Adjustable-Klein-Tools-Electronic/dp/B0BM34Q1QR/ref=sr_1_3?keywords=Klein+Tools+32304+14-in-1+HVAC+Adjustable-Length+Impact+Screwdriver+with+Flip+Socket&amp;qid=1695173856&amp;sr=8-3</v>
      </c>
      <c r="F5204" t="s">
        <v>2108</v>
      </c>
      <c r="G5204" t="e">
        <f ca="1">_xludf.IMAGE("https://edmondsonsupply.com/cdn/shop/products/32304.jpg?v=1666019479")</f>
        <v>#NAME?</v>
      </c>
      <c r="H5204" t="e">
        <f ca="1">_xludf.IMAGE("https://m.media-amazon.com/images/I/41C5e4ThtpL._AC_UL320_.jpg")</f>
        <v>#NAME?</v>
      </c>
      <c r="I5204" t="s">
        <v>859</v>
      </c>
      <c r="J5204">
        <v>39.74</v>
      </c>
      <c r="K5204" s="4">
        <v>0.59150000000000003</v>
      </c>
      <c r="L5204">
        <v>5</v>
      </c>
      <c r="M5204">
        <v>1</v>
      </c>
      <c r="O5204" t="s">
        <v>25</v>
      </c>
      <c r="P5204" t="s">
        <v>602</v>
      </c>
      <c r="Q5204" t="s">
        <v>2118</v>
      </c>
    </row>
    <row r="5205" spans="1:17" ht="15.5" x14ac:dyDescent="0.35">
      <c r="A5205" s="3" t="str">
        <f>HYPERLINK("https://edmondsonsupply.com/collections/electricians-tools/products/greenlee-gsb03-3-4-step-bit-3", "https://edmondsonsupply.com/collections/electricians-tools/products/greenlee-gsb03-3-4-step-bit-3")</f>
        <v>https://edmondsonsupply.com/collections/electricians-tools/products/greenlee-gsb03-3-4-step-bit-3</v>
      </c>
      <c r="B5205" s="3" t="str">
        <f>HYPERLINK("https://edmondsonsupply.com/products/greenlee-gsb03-3-4-step-bit-3", "https://edmondsonsupply.com/products/greenlee-gsb03-3-4-step-bit-3")</f>
        <v>https://edmondsonsupply.com/products/greenlee-gsb03-3-4-step-bit-3</v>
      </c>
      <c r="C5205" t="s">
        <v>3000</v>
      </c>
      <c r="D5205" t="s">
        <v>3001</v>
      </c>
      <c r="E5205" s="3" t="str">
        <f>HYPERLINK("https://www.amazon.com/Greenlee-34403C-Cobalt-Step-Bit/dp/B016IZP4IS/ref=sr_1_10?keywords=Greenlee+GSB03+3%2F4%22+Step+Bit+%28%233%29&amp;qid=1695173995&amp;sr=8-10", "https://www.amazon.com/Greenlee-34403C-Cobalt-Step-Bit/dp/B016IZP4IS/ref=sr_1_10?keywords=Greenlee+GSB03+3%2F4%22+Step+Bit+%28%233%29&amp;qid=1695173995&amp;sr=8-10")</f>
        <v>https://www.amazon.com/Greenlee-34403C-Cobalt-Step-Bit/dp/B016IZP4IS/ref=sr_1_10?keywords=Greenlee+GSB03+3%2F4%22+Step+Bit+%28%233%29&amp;qid=1695173995&amp;sr=8-10</v>
      </c>
      <c r="F5205" t="s">
        <v>3002</v>
      </c>
      <c r="G5205" t="e">
        <f ca="1">_xludf.IMAGE("https://edmondsonsupply.com/cdn/shop/files/GSB03_CAT1_72dpi.jpg?v=1687784964")</f>
        <v>#NAME?</v>
      </c>
      <c r="H5205" t="e">
        <f ca="1">_xludf.IMAGE("https://m.media-amazon.com/images/I/71lpfxAxTRL._AC_UY218_.jpg")</f>
        <v>#NAME?</v>
      </c>
      <c r="I5205" t="s">
        <v>3003</v>
      </c>
      <c r="J5205">
        <v>76.989999999999995</v>
      </c>
      <c r="K5205" s="4">
        <v>0.59099999999999997</v>
      </c>
      <c r="L5205">
        <v>4</v>
      </c>
      <c r="M5205">
        <v>12</v>
      </c>
      <c r="O5205" t="s">
        <v>25</v>
      </c>
      <c r="P5205" t="s">
        <v>2614</v>
      </c>
      <c r="Q5205" t="s">
        <v>3004</v>
      </c>
    </row>
    <row r="5206" spans="1:17" ht="15.5" x14ac:dyDescent="0.35">
      <c r="A5206" s="3" t="str">
        <f>HYPERLINK("https://edmondsonsupply.com/collections/electricians-tools/products/milwaukee-49-56-0132-2-1-4-hole-dozer%E2%84%A2-hole-saw-bi-metal-cup", "https://edmondsonsupply.com/collections/electricians-tools/products/milwaukee-49-56-0132-2-1-4-hole-dozer%E2%84%A2-hole-saw-bi-metal-cup")</f>
        <v>https://edmondsonsupply.com/collections/electricians-tools/products/milwaukee-49-56-0132-2-1-4-hole-dozer%E2%84%A2-hole-saw-bi-metal-cup</v>
      </c>
      <c r="B5206" s="3" t="str">
        <f>HYPERLINK("https://edmondsonsupply.com/products/milwaukee-49-56-0132-2-1-4-hole-dozer%e2%84%a2-hole-saw-bi-metal-cup", "https://edmondsonsupply.com/products/milwaukee-49-56-0132-2-1-4-hole-dozer%e2%84%a2-hole-saw-bi-metal-cup")</f>
        <v>https://edmondsonsupply.com/products/milwaukee-49-56-0132-2-1-4-hole-dozer%e2%84%a2-hole-saw-bi-metal-cup</v>
      </c>
      <c r="C5206" t="s">
        <v>7042</v>
      </c>
      <c r="D5206" t="s">
        <v>6381</v>
      </c>
      <c r="E5206" s="3" t="str">
        <f>HYPERLINK("https://www.amazon.com/Milwaukee-49-56-0167-8-Inch-Hardened-Hole/dp/B0017WOBBO/ref=sr_1_9?keywords=Milwaukee+49-56-0132+2-1%2F4%22+HOLE+DOZER%E2%84%A2+Hole+Saw+Bi-Metal+Cup&amp;qid=1695174052&amp;sr=8-9", "https://www.amazon.com/Milwaukee-49-56-0167-8-Inch-Hardened-Hole/dp/B0017WOBBO/ref=sr_1_9?keywords=Milwaukee+49-56-0132+2-1%2F4%22+HOLE+DOZER%E2%84%A2+Hole+Saw+Bi-Metal+Cup&amp;qid=1695174052&amp;sr=8-9")</f>
        <v>https://www.amazon.com/Milwaukee-49-56-0167-8-Inch-Hardened-Hole/dp/B0017WOBBO/ref=sr_1_9?keywords=Milwaukee+49-56-0132+2-1%2F4%22+HOLE+DOZER%E2%84%A2+Hole+Saw+Bi-Metal+Cup&amp;qid=1695174052&amp;sr=8-9</v>
      </c>
      <c r="F5206" t="s">
        <v>6382</v>
      </c>
      <c r="G5206" t="e">
        <f ca="1">_xludf.IMAGE("https://edmondsonsupply.com/cdn/shop/products/49-56-0052_101_2_0a4e9864-4766-44b1-98d0-cb59081d8c47.webp?v=1679335131")</f>
        <v>#NAME?</v>
      </c>
      <c r="H5206" t="e">
        <f ca="1">_xludf.IMAGE("https://m.media-amazon.com/images/I/61csZT8rVjL._AC_UL320_.jpg")</f>
        <v>#NAME?</v>
      </c>
      <c r="I5206" t="s">
        <v>6056</v>
      </c>
      <c r="J5206">
        <v>17.46</v>
      </c>
      <c r="K5206" s="4">
        <v>0.5887</v>
      </c>
      <c r="L5206">
        <v>4.8</v>
      </c>
      <c r="M5206">
        <v>101</v>
      </c>
      <c r="O5206" t="s">
        <v>25</v>
      </c>
      <c r="P5206" t="s">
        <v>7043</v>
      </c>
      <c r="Q5206" t="s">
        <v>7044</v>
      </c>
    </row>
    <row r="5207" spans="1:17" ht="15.5" x14ac:dyDescent="0.35">
      <c r="A5207"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5207" s="3" t="str">
        <f>HYPERLINK("https://edmondsonsupply.com/products/klein-tools-d507-8-adjustable-wrench-extra-capacity-8-inch", "https://edmondsonsupply.com/products/klein-tools-d507-8-adjustable-wrench-extra-capacity-8-inch")</f>
        <v>https://edmondsonsupply.com/products/klein-tools-d507-8-adjustable-wrench-extra-capacity-8-inch</v>
      </c>
      <c r="C5207" t="s">
        <v>6699</v>
      </c>
      <c r="D5207" t="s">
        <v>7045</v>
      </c>
      <c r="E5207" s="3" t="str">
        <f>HYPERLINK("https://www.amazon.com/Klein-Tools-507-12-Adjustable-Capacity/dp/B000I1R5FE/ref=sr_1_10?keywords=Klein+Tools+D507-8+Adjustable+Wrench%2C+Extra+Capacity+8-Inch&amp;qid=1695173949&amp;sr=8-10", "https://www.amazon.com/Klein-Tools-507-12-Adjustable-Capacity/dp/B000I1R5FE/ref=sr_1_10?keywords=Klein+Tools+D507-8+Adjustable+Wrench%2C+Extra+Capacity+8-Inch&amp;qid=1695173949&amp;sr=8-10")</f>
        <v>https://www.amazon.com/Klein-Tools-507-12-Adjustable-Capacity/dp/B000I1R5FE/ref=sr_1_10?keywords=Klein+Tools+D507-8+Adjustable+Wrench%2C+Extra+Capacity+8-Inch&amp;qid=1695173949&amp;sr=8-10</v>
      </c>
      <c r="F5207" t="s">
        <v>7046</v>
      </c>
      <c r="G5207" t="e">
        <f ca="1">_xludf.IMAGE("https://edmondsonsupply.com/cdn/shop/products/d5078_b.jpg?v=1666010497")</f>
        <v>#NAME?</v>
      </c>
      <c r="H5207" t="e">
        <f ca="1">_xludf.IMAGE("https://m.media-amazon.com/images/I/418FdISjyWL._AC_UL320_.jpg")</f>
        <v>#NAME?</v>
      </c>
      <c r="I5207" t="s">
        <v>26</v>
      </c>
      <c r="J5207">
        <v>47.38</v>
      </c>
      <c r="K5207" s="4">
        <v>0.57989999999999997</v>
      </c>
      <c r="L5207">
        <v>4.8</v>
      </c>
      <c r="M5207">
        <v>27</v>
      </c>
      <c r="O5207" t="s">
        <v>25</v>
      </c>
      <c r="P5207" t="s">
        <v>1327</v>
      </c>
      <c r="Q5207" t="s">
        <v>6700</v>
      </c>
    </row>
    <row r="5208" spans="1:17" ht="15.5" x14ac:dyDescent="0.35">
      <c r="A5208"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5208" s="3" t="str">
        <f>HYPERLINK("https://edmondsonsupply.com/products/klein-tools-vdv427-300-impact-punchdown-tool-66-110-blade", "https://edmondsonsupply.com/products/klein-tools-vdv427-300-impact-punchdown-tool-66-110-blade")</f>
        <v>https://edmondsonsupply.com/products/klein-tools-vdv427-300-impact-punchdown-tool-66-110-blade</v>
      </c>
      <c r="C5208" t="s">
        <v>6289</v>
      </c>
      <c r="D5208" t="s">
        <v>7047</v>
      </c>
      <c r="E5208" s="3" t="str">
        <f>HYPERLINK("https://www.amazon.com/Klein-Tools-VDV427-300-Punchdown-21010-6-SEN/dp/B0BNL4X7CJ/ref=sr_1_3?keywords=Klein+Tools+VDV427-300+Impact+Punchdown+Tool%2C+66%2F110+Blade&amp;qid=1695174221&amp;sr=8-3", "https://www.amazon.com/Klein-Tools-VDV427-300-Punchdown-21010-6-SEN/dp/B0BNL4X7CJ/ref=sr_1_3?keywords=Klein+Tools+VDV427-300+Impact+Punchdown+Tool%2C+66%2F110+Blade&amp;qid=1695174221&amp;sr=8-3")</f>
        <v>https://www.amazon.com/Klein-Tools-VDV427-300-Punchdown-21010-6-SEN/dp/B0BNL4X7CJ/ref=sr_1_3?keywords=Klein+Tools+VDV427-300+Impact+Punchdown+Tool%2C+66%2F110+Blade&amp;qid=1695174221&amp;sr=8-3</v>
      </c>
      <c r="F5208" t="s">
        <v>7048</v>
      </c>
      <c r="G5208" t="e">
        <f ca="1">_xludf.IMAGE("https://edmondsonsupply.com/cdn/shop/products/vdv427300.jpg?v=1646010568")</f>
        <v>#NAME?</v>
      </c>
      <c r="H5208" t="e">
        <f ca="1">_xludf.IMAGE("https://m.media-amazon.com/images/I/41i2uMhepnL._AC_UL320_.jpg")</f>
        <v>#NAME?</v>
      </c>
      <c r="I5208" t="s">
        <v>246</v>
      </c>
      <c r="J5208">
        <v>63.07</v>
      </c>
      <c r="K5208" s="4">
        <v>0.57789999999999997</v>
      </c>
      <c r="L5208">
        <v>5</v>
      </c>
      <c r="M5208">
        <v>3</v>
      </c>
      <c r="O5208" t="s">
        <v>25</v>
      </c>
      <c r="P5208" t="s">
        <v>1027</v>
      </c>
      <c r="Q5208" t="s">
        <v>6292</v>
      </c>
    </row>
    <row r="5209" spans="1:17" ht="15.5" x14ac:dyDescent="0.35">
      <c r="A5209"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5209" s="3" t="str">
        <f>HYPERLINK("https://edmondsonsupply.com/products/klein-tools-31918-bi-metal-hole-saw-1-1-8-inch", "https://edmondsonsupply.com/products/klein-tools-31918-bi-metal-hole-saw-1-1-8-inch")</f>
        <v>https://edmondsonsupply.com/products/klein-tools-31918-bi-metal-hole-saw-1-1-8-inch</v>
      </c>
      <c r="C5209" t="s">
        <v>6001</v>
      </c>
      <c r="D5209" t="s">
        <v>7049</v>
      </c>
      <c r="E5209" s="3" t="str">
        <f>HYPERLINK("https://www.amazon.com/LENOX-Tools-Bi-Metal-Speed-Technology/dp/B00024389Y/ref=sr_1_5?keywords=Klein+Tools+31918+Bi-Metal+Hole+Saw%2C+1-1%2F8-Inch&amp;qid=1695174116&amp;sr=8-5", "https://www.amazon.com/LENOX-Tools-Bi-Metal-Speed-Technology/dp/B00024389Y/ref=sr_1_5?keywords=Klein+Tools+31918+Bi-Metal+Hole+Saw%2C+1-1%2F8-Inch&amp;qid=1695174116&amp;sr=8-5")</f>
        <v>https://www.amazon.com/LENOX-Tools-Bi-Metal-Speed-Technology/dp/B00024389Y/ref=sr_1_5?keywords=Klein+Tools+31918+Bi-Metal+Hole+Saw%2C+1-1%2F8-Inch&amp;qid=1695174116&amp;sr=8-5</v>
      </c>
      <c r="F5209" t="s">
        <v>7050</v>
      </c>
      <c r="G5209" t="e">
        <f ca="1">_xludf.IMAGE("https://edmondsonsupply.com/cdn/shop/products/31918.jpg?v=1669739998")</f>
        <v>#NAME?</v>
      </c>
      <c r="H5209" t="e">
        <f ca="1">_xludf.IMAGE("https://m.media-amazon.com/images/I/41qQLggkZ8L._AC_UL320_.jpg")</f>
        <v>#NAME?</v>
      </c>
      <c r="I5209" t="s">
        <v>1003</v>
      </c>
      <c r="J5209">
        <v>12.6</v>
      </c>
      <c r="K5209" s="4">
        <v>0.57699999999999996</v>
      </c>
      <c r="L5209">
        <v>4.5</v>
      </c>
      <c r="M5209">
        <v>83</v>
      </c>
      <c r="O5209" t="s">
        <v>25</v>
      </c>
      <c r="P5209" t="s">
        <v>2841</v>
      </c>
      <c r="Q5209" t="s">
        <v>6004</v>
      </c>
    </row>
    <row r="5210" spans="1:17" ht="15.5" x14ac:dyDescent="0.35">
      <c r="A5210" s="3" t="str">
        <f>HYPERLINK("https://edmondsonsupply.com/collections/electricians-tools/products/klein-tools-86602-3-8-inch-magnetic-hex-drivers-3-pack", "https://edmondsonsupply.com/collections/electricians-tools/products/klein-tools-86602-3-8-inch-magnetic-hex-drivers-3-pack")</f>
        <v>https://edmondsonsupply.com/collections/electricians-tools/products/klein-tools-86602-3-8-inch-magnetic-hex-drivers-3-pack</v>
      </c>
      <c r="B5210" s="3" t="str">
        <f>HYPERLINK("https://edmondsonsupply.com/products/klein-tools-86602-3-8-inch-magnetic-hex-drivers-3-pack", "https://edmondsonsupply.com/products/klein-tools-86602-3-8-inch-magnetic-hex-drivers-3-pack")</f>
        <v>https://edmondsonsupply.com/products/klein-tools-86602-3-8-inch-magnetic-hex-drivers-3-pack</v>
      </c>
      <c r="C5210" t="s">
        <v>6192</v>
      </c>
      <c r="D5210" t="s">
        <v>7051</v>
      </c>
      <c r="E5210" s="3" t="str">
        <f>HYPERLINK("https://www.amazon.com/Klein-Tools-32794-Impact-Driver/dp/B07RGVM3RS/ref=sr_1_2?keywords=Klein+Tools+86602+3%2F8-Inch+Magnetic+Hex+Drivers%2C+3-Pack&amp;qid=1695174145&amp;sr=8-2", "https://www.amazon.com/Klein-Tools-32794-Impact-Driver/dp/B07RGVM3RS/ref=sr_1_2?keywords=Klein+Tools+86602+3%2F8-Inch+Magnetic+Hex+Drivers%2C+3-Pack&amp;qid=1695174145&amp;sr=8-2")</f>
        <v>https://www.amazon.com/Klein-Tools-32794-Impact-Driver/dp/B07RGVM3RS/ref=sr_1_2?keywords=Klein+Tools+86602+3%2F8-Inch+Magnetic+Hex+Drivers%2C+3-Pack&amp;qid=1695174145&amp;sr=8-2</v>
      </c>
      <c r="F5210" t="s">
        <v>7052</v>
      </c>
      <c r="G5210" t="e">
        <f ca="1">_xludf.IMAGE("https://edmondsonsupply.com/cdn/shop/products/86602.jpg?v=1664460860")</f>
        <v>#NAME?</v>
      </c>
      <c r="H5210" t="e">
        <f ca="1">_xludf.IMAGE("https://m.media-amazon.com/images/I/51EHKugf8KL._AC_UL320_.jpg")</f>
        <v>#NAME?</v>
      </c>
      <c r="I5210" t="s">
        <v>2347</v>
      </c>
      <c r="J5210">
        <v>10.99</v>
      </c>
      <c r="K5210" s="4">
        <v>0.57220000000000004</v>
      </c>
      <c r="L5210">
        <v>4.8</v>
      </c>
      <c r="M5210">
        <v>133</v>
      </c>
      <c r="O5210" t="s">
        <v>25</v>
      </c>
      <c r="P5210" t="s">
        <v>6193</v>
      </c>
      <c r="Q5210" t="s">
        <v>6194</v>
      </c>
    </row>
    <row r="5211" spans="1:17" ht="15.5" x14ac:dyDescent="0.35">
      <c r="A5211"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5211"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5211" t="s">
        <v>6969</v>
      </c>
      <c r="D5211" t="s">
        <v>7053</v>
      </c>
      <c r="E5211" s="3" t="str">
        <f>HYPERLINK("https://www.amazon.com/Lightweight-Drop-Point-Klein-Tools-44001-BLK/dp/B0026T18RW/ref=sr_1_8?keywords=Klein+Tools+1550-2+2+Blade+Pocket+Knife%2C+Steel%2C+2-1%2F2-Inch+Blade&amp;qid=1695174176&amp;sr=8-8", "https://www.amazon.com/Lightweight-Drop-Point-Klein-Tools-44001-BLK/dp/B0026T18RW/ref=sr_1_8?keywords=Klein+Tools+1550-2+2+Blade+Pocket+Knife%2C+Steel%2C+2-1%2F2-Inch+Blade&amp;qid=1695174176&amp;sr=8-8")</f>
        <v>https://www.amazon.com/Lightweight-Drop-Point-Klein-Tools-44001-BLK/dp/B0026T18RW/ref=sr_1_8?keywords=Klein+Tools+1550-2+2+Blade+Pocket+Knife%2C+Steel%2C+2-1%2F2-Inch+Blade&amp;qid=1695174176&amp;sr=8-8</v>
      </c>
      <c r="F5211" t="s">
        <v>7054</v>
      </c>
      <c r="G5211" t="e">
        <f ca="1">_xludf.IMAGE("https://edmondsonsupply.com/cdn/shop/products/15502_b.jpg?v=1658020543")</f>
        <v>#NAME?</v>
      </c>
      <c r="H5211" t="e">
        <f ca="1">_xludf.IMAGE("https://m.media-amazon.com/images/I/41DnZjhhmnL._AC_UL320_.jpg")</f>
        <v>#NAME?</v>
      </c>
      <c r="I5211" t="s">
        <v>26</v>
      </c>
      <c r="J5211">
        <v>47.14</v>
      </c>
      <c r="K5211" s="4">
        <v>0.57189999999999996</v>
      </c>
      <c r="L5211">
        <v>4.5</v>
      </c>
      <c r="M5211">
        <v>68</v>
      </c>
      <c r="O5211" t="s">
        <v>25</v>
      </c>
      <c r="P5211" t="s">
        <v>6972</v>
      </c>
      <c r="Q5211" t="s">
        <v>6973</v>
      </c>
    </row>
    <row r="5212" spans="1:17" ht="15.5" x14ac:dyDescent="0.35">
      <c r="A5212"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5212"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5212" t="s">
        <v>7055</v>
      </c>
      <c r="D5212" t="s">
        <v>2286</v>
      </c>
      <c r="E5212" s="3" t="str">
        <f>HYPERLINK("https://www.amazon.com/Insulated-Klein-Kurve-Klein-Tools-11055-INS/dp/B000MKIPPU/ref=sr_1_2?keywords=Klein+Tools+11055RINS+Insulated+Klein-Kurve%C2%AE+Wire+Stripper+and+Cutter&amp;qid=1695174134&amp;sr=8-2", "https://www.amazon.com/Insulated-Klein-Kurve-Klein-Tools-11055-INS/dp/B000MKIPPU/ref=sr_1_2?keywords=Klein+Tools+11055RINS+Insulated+Klein-Kurve%C2%AE+Wire+Stripper+and+Cutter&amp;qid=1695174134&amp;sr=8-2")</f>
        <v>https://www.amazon.com/Insulated-Klein-Kurve-Klein-Tools-11055-INS/dp/B000MKIPPU/ref=sr_1_2?keywords=Klein+Tools+11055RINS+Insulated+Klein-Kurve%C2%AE+Wire+Stripper+and+Cutter&amp;qid=1695174134&amp;sr=8-2</v>
      </c>
      <c r="F5212" t="s">
        <v>2287</v>
      </c>
      <c r="G5212" t="e">
        <f ca="1">_xludf.IMAGE("https://edmondsonsupply.com/cdn/shop/products/11055rins.jpg?v=1667236979")</f>
        <v>#NAME?</v>
      </c>
      <c r="H5212" t="e">
        <f ca="1">_xludf.IMAGE("https://m.media-amazon.com/images/I/51U7ZuALPYL._AC_UL320_.jpg")</f>
        <v>#NAME?</v>
      </c>
      <c r="I5212" t="s">
        <v>824</v>
      </c>
      <c r="J5212">
        <v>47.07</v>
      </c>
      <c r="K5212" s="4">
        <v>0.5706</v>
      </c>
      <c r="L5212">
        <v>4.0999999999999996</v>
      </c>
      <c r="M5212">
        <v>17</v>
      </c>
      <c r="O5212" t="s">
        <v>25</v>
      </c>
      <c r="P5212" t="s">
        <v>562</v>
      </c>
      <c r="Q5212" t="s">
        <v>7056</v>
      </c>
    </row>
    <row r="5213" spans="1:17" ht="15.5" x14ac:dyDescent="0.35">
      <c r="A5213"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5213"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5213" t="s">
        <v>6254</v>
      </c>
      <c r="D5213" t="s">
        <v>7057</v>
      </c>
      <c r="E5213" s="3" t="str">
        <f>HYPERLINK("https://www.amazon.com/Klein-Tools-Thermometer-Non-Contact-Temperature/dp/B0B68MLBWN/ref=sr_1_6?keywords=Klein+Tools+IR1+Infrared+Digital+Thermometer+with+Targeting+Laser%2C+10%3A1&amp;qid=1695174178&amp;sr=8-6", "https://www.amazon.com/Klein-Tools-Thermometer-Non-Contact-Temperature/dp/B0B68MLBWN/ref=sr_1_6?keywords=Klein+Tools+IR1+Infrared+Digital+Thermometer+with+Targeting+Laser%2C+10%3A1&amp;qid=1695174178&amp;sr=8-6")</f>
        <v>https://www.amazon.com/Klein-Tools-Thermometer-Non-Contact-Temperature/dp/B0B68MLBWN/ref=sr_1_6?keywords=Klein+Tools+IR1+Infrared+Digital+Thermometer+with+Targeting+Laser%2C+10%3A1&amp;qid=1695174178&amp;sr=8-6</v>
      </c>
      <c r="F5213" t="s">
        <v>7058</v>
      </c>
      <c r="G5213" t="e">
        <f ca="1">_xludf.IMAGE("https://edmondsonsupply.com/cdn/shop/products/ir1.jpg?v=1659112251")</f>
        <v>#NAME?</v>
      </c>
      <c r="H5213" t="e">
        <f ca="1">_xludf.IMAGE("https://m.media-amazon.com/images/I/4105qZwKkyL._AC_UY218_.jpg")</f>
        <v>#NAME?</v>
      </c>
      <c r="I5213" t="s">
        <v>3578</v>
      </c>
      <c r="J5213">
        <v>51.71</v>
      </c>
      <c r="K5213" s="4">
        <v>0.56740000000000002</v>
      </c>
      <c r="L5213">
        <v>4.7</v>
      </c>
      <c r="M5213">
        <v>16</v>
      </c>
      <c r="O5213" t="s">
        <v>25</v>
      </c>
      <c r="P5213" t="s">
        <v>6255</v>
      </c>
      <c r="Q5213" t="s">
        <v>6256</v>
      </c>
    </row>
    <row r="5214" spans="1:17" ht="15.5" x14ac:dyDescent="0.35">
      <c r="A5214"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5214"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5214" t="s">
        <v>6969</v>
      </c>
      <c r="D5214" t="s">
        <v>7059</v>
      </c>
      <c r="E5214" s="3" t="str">
        <f>HYPERLINK("https://www.amazon.com/Klein-Tools-44001-Leightweight-Drop-Point/dp/B00093GDFE/ref=sr_1_4?keywords=Klein+Tools+1550-2+2+Blade+Pocket+Knife%2C+Steel%2C+2-1%2F2-Inch+Blade&amp;qid=1695174176&amp;sr=8-4", "https://www.amazon.com/Klein-Tools-44001-Leightweight-Drop-Point/dp/B00093GDFE/ref=sr_1_4?keywords=Klein+Tools+1550-2+2+Blade+Pocket+Knife%2C+Steel%2C+2-1%2F2-Inch+Blade&amp;qid=1695174176&amp;sr=8-4")</f>
        <v>https://www.amazon.com/Klein-Tools-44001-Leightweight-Drop-Point/dp/B00093GDFE/ref=sr_1_4?keywords=Klein+Tools+1550-2+2+Blade+Pocket+Knife%2C+Steel%2C+2-1%2F2-Inch+Blade&amp;qid=1695174176&amp;sr=8-4</v>
      </c>
      <c r="F5214" t="s">
        <v>7060</v>
      </c>
      <c r="G5214" t="e">
        <f ca="1">_xludf.IMAGE("https://edmondsonsupply.com/cdn/shop/products/15502_b.jpg?v=1658020543")</f>
        <v>#NAME?</v>
      </c>
      <c r="H5214" t="e">
        <f ca="1">_xludf.IMAGE("https://m.media-amazon.com/images/I/412UGD0fg+S._AC_UL320_.jpg")</f>
        <v>#NAME?</v>
      </c>
      <c r="I5214" t="s">
        <v>26</v>
      </c>
      <c r="J5214">
        <v>46.99</v>
      </c>
      <c r="K5214" s="4">
        <v>0.56689999999999996</v>
      </c>
      <c r="L5214">
        <v>4.7</v>
      </c>
      <c r="M5214">
        <v>186</v>
      </c>
      <c r="O5214" t="s">
        <v>25</v>
      </c>
      <c r="P5214" t="s">
        <v>6972</v>
      </c>
      <c r="Q5214" t="s">
        <v>6973</v>
      </c>
    </row>
    <row r="5215" spans="1:17" ht="15.5" x14ac:dyDescent="0.35">
      <c r="A5215"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5215" s="3" t="str">
        <f>HYPERLINK("https://edmondsonsupply.com/products/klein-tools-rt250-gfci-receptacle-tester-with-lcd", "https://edmondsonsupply.com/products/klein-tools-rt250-gfci-receptacle-tester-with-lcd")</f>
        <v>https://edmondsonsupply.com/products/klein-tools-rt250-gfci-receptacle-tester-with-lcd</v>
      </c>
      <c r="C5215" t="s">
        <v>6197</v>
      </c>
      <c r="D5215" t="s">
        <v>7061</v>
      </c>
      <c r="E5215" s="3" t="str">
        <f>HYPERLINK("https://www.amazon.com/Klein-Tools-Receptacle-Standard-Electrical/dp/B0B7NKSRX4/ref=sr_1_9?keywords=Klein+Tools+RT250+GFCI+Receptacle+Tester+with+LCD&amp;qid=1695174176&amp;sr=8-9", "https://www.amazon.com/Klein-Tools-Receptacle-Standard-Electrical/dp/B0B7NKSRX4/ref=sr_1_9?keywords=Klein+Tools+RT250+GFCI+Receptacle+Tester+with+LCD&amp;qid=1695174176&amp;sr=8-9")</f>
        <v>https://www.amazon.com/Klein-Tools-Receptacle-Standard-Electrical/dp/B0B7NKSRX4/ref=sr_1_9?keywords=Klein+Tools+RT250+GFCI+Receptacle+Tester+with+LCD&amp;qid=1695174176&amp;sr=8-9</v>
      </c>
      <c r="F5215" t="s">
        <v>7062</v>
      </c>
      <c r="G5215" t="e">
        <f ca="1">_xludf.IMAGE("https://edmondsonsupply.com/cdn/shop/products/rt250_photo_c.jpg?v=1661363824")</f>
        <v>#NAME?</v>
      </c>
      <c r="H5215" t="e">
        <f ca="1">_xludf.IMAGE("https://m.media-amazon.com/images/I/51lEi5BWv7L._AC_UL320_.jpg")</f>
        <v>#NAME?</v>
      </c>
      <c r="I5215" t="s">
        <v>2247</v>
      </c>
      <c r="J5215">
        <v>34.4</v>
      </c>
      <c r="K5215" s="4">
        <v>0.56579999999999997</v>
      </c>
      <c r="L5215">
        <v>5</v>
      </c>
      <c r="M5215">
        <v>7</v>
      </c>
      <c r="O5215" t="s">
        <v>25</v>
      </c>
      <c r="P5215" t="s">
        <v>6200</v>
      </c>
      <c r="Q5215" t="s">
        <v>6201</v>
      </c>
    </row>
    <row r="5216" spans="1:17" ht="15.5" x14ac:dyDescent="0.35">
      <c r="A5216"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5216" s="3" t="str">
        <f>HYPERLINK("https://edmondsonsupply.com/products/klein-tools-610-stubby-nut-driver-set-1-1-2-inch-shafts-2-piece", "https://edmondsonsupply.com/products/klein-tools-610-stubby-nut-driver-set-1-1-2-inch-shafts-2-piece")</f>
        <v>https://edmondsonsupply.com/products/klein-tools-610-stubby-nut-driver-set-1-1-2-inch-shafts-2-piece</v>
      </c>
      <c r="C5216" t="s">
        <v>3030</v>
      </c>
      <c r="D5216" t="s">
        <v>1894</v>
      </c>
      <c r="E5216" s="3" t="str">
        <f>HYPERLINK("https://www.amazon.com/Magnetic-16-Inch-Klein-Tools-646M/dp/B000936QV0/ref=sr_1_8?keywords=Klein+Tools+610+Stubby+Nut+Driver+Set+1-1%2F2-Inch+Shafts+2-Piece&amp;qid=1695173958&amp;sr=8-8", "https://www.amazon.com/Magnetic-16-Inch-Klein-Tools-646M/dp/B000936QV0/ref=sr_1_8?keywords=Klein+Tools+610+Stubby+Nut+Driver+Set+1-1%2F2-Inch+Shafts+2-Piece&amp;qid=1695173958&amp;sr=8-8")</f>
        <v>https://www.amazon.com/Magnetic-16-Inch-Klein-Tools-646M/dp/B000936QV0/ref=sr_1_8?keywords=Klein+Tools+610+Stubby+Nut+Driver+Set+1-1%2F2-Inch+Shafts+2-Piece&amp;qid=1695173958&amp;sr=8-8</v>
      </c>
      <c r="F5216" t="s">
        <v>1895</v>
      </c>
      <c r="G5216" t="e">
        <f ca="1">_xludf.IMAGE("https://edmondsonsupply.com/cdn/shop/products/610m_169714eb-6816-4f42-aa86-ea17ea5fcbbb.jpg?v=1633030110")</f>
        <v>#NAME?</v>
      </c>
      <c r="H5216" t="e">
        <f ca="1">_xludf.IMAGE("https://m.media-amazon.com/images/I/41lkJ6KRq9L._AC_UL320_.jpg")</f>
        <v>#NAME?</v>
      </c>
      <c r="I5216" t="s">
        <v>252</v>
      </c>
      <c r="J5216">
        <v>24.99</v>
      </c>
      <c r="K5216" s="4">
        <v>0.56289999999999996</v>
      </c>
      <c r="L5216">
        <v>4.8</v>
      </c>
      <c r="M5216">
        <v>1654</v>
      </c>
      <c r="O5216" t="s">
        <v>25</v>
      </c>
      <c r="P5216" t="s">
        <v>3031</v>
      </c>
      <c r="Q5216" t="s">
        <v>3032</v>
      </c>
    </row>
    <row r="5217" spans="1:17" ht="15.5" x14ac:dyDescent="0.35">
      <c r="A5217"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5217" s="3" t="str">
        <f>HYPERLINK("https://edmondsonsupply.com/products/klein-tools-et45-ac-dc-voltage-tester", "https://edmondsonsupply.com/products/klein-tools-et45-ac-dc-voltage-tester")</f>
        <v>https://edmondsonsupply.com/products/klein-tools-et45-ac-dc-voltage-tester</v>
      </c>
      <c r="C5217" t="s">
        <v>6080</v>
      </c>
      <c r="D5217" t="s">
        <v>7063</v>
      </c>
      <c r="E5217" s="3" t="str">
        <f>HYPERLINK("https://www.amazon.com/Non-Contact-Detector-Klein-Tools-NCVT1P/dp/B099SJ6469/ref=sr_1_10?keywords=Klein+Tools+ET45+AC%2FDC+Voltage+Tester&amp;qid=1695174290&amp;sr=8-10", "https://www.amazon.com/Non-Contact-Detector-Klein-Tools-NCVT1P/dp/B099SJ6469/ref=sr_1_10?keywords=Klein+Tools+ET45+AC%2FDC+Voltage+Tester&amp;qid=1695174290&amp;sr=8-10")</f>
        <v>https://www.amazon.com/Non-Contact-Detector-Klein-Tools-NCVT1P/dp/B099SJ6469/ref=sr_1_10?keywords=Klein+Tools+ET45+AC%2FDC+Voltage+Tester&amp;qid=1695174290&amp;sr=8-10</v>
      </c>
      <c r="F5217" t="s">
        <v>7064</v>
      </c>
      <c r="G5217" t="e">
        <f ca="1">_xludf.IMAGE("https://edmondsonsupply.com/cdn/shop/products/et45.jpg?v=1647786270")</f>
        <v>#NAME?</v>
      </c>
      <c r="H5217" t="e">
        <f ca="1">_xludf.IMAGE("https://m.media-amazon.com/images/I/412nrsDmOxL._AC_UL320_.jpg")</f>
        <v>#NAME?</v>
      </c>
      <c r="I5217" t="s">
        <v>2337</v>
      </c>
      <c r="J5217">
        <v>18.72</v>
      </c>
      <c r="K5217" s="4">
        <v>0.56130000000000002</v>
      </c>
      <c r="L5217">
        <v>4.5999999999999996</v>
      </c>
      <c r="M5217">
        <v>3435</v>
      </c>
      <c r="O5217" t="s">
        <v>25</v>
      </c>
      <c r="P5217" t="s">
        <v>6083</v>
      </c>
      <c r="Q5217" t="s">
        <v>6084</v>
      </c>
    </row>
    <row r="5218" spans="1:17" ht="15.5" x14ac:dyDescent="0.35">
      <c r="A5218" s="3" t="str">
        <f>HYPERLINK("https://edmondsonsupply.com/collections/electricians-tools/products/diablo-tools-dsp2090-3-4-in-x-6-in-spade-bit", "https://edmondsonsupply.com/collections/electricians-tools/products/diablo-tools-dsp2090-3-4-in-x-6-in-spade-bit")</f>
        <v>https://edmondsonsupply.com/collections/electricians-tools/products/diablo-tools-dsp2090-3-4-in-x-6-in-spade-bit</v>
      </c>
      <c r="B5218" s="3" t="str">
        <f>HYPERLINK("https://edmondsonsupply.com/products/diablo-tools-dsp2090-3-4-in-x-6-in-spade-bit", "https://edmondsonsupply.com/products/diablo-tools-dsp2090-3-4-in-x-6-in-spade-bit")</f>
        <v>https://edmondsonsupply.com/products/diablo-tools-dsp2090-3-4-in-x-6-in-spade-bit</v>
      </c>
      <c r="C5218" t="s">
        <v>5819</v>
      </c>
      <c r="D5218" t="s">
        <v>5835</v>
      </c>
      <c r="E5218" s="3" t="str">
        <f>HYPERLINK("https://www.amazon.com/Diablo-SPEEDemon-Spade-Bit-2-Pack/dp/B089KV8K7W/ref=sr_1_1?keywords=Diablo+Tools+DSP2090+3%2F4+in.+x+6+in.+Spade+Bit&amp;qid=1695174000&amp;sr=8-1", "https://www.amazon.com/Diablo-SPEEDemon-Spade-Bit-2-Pack/dp/B089KV8K7W/ref=sr_1_1?keywords=Diablo+Tools+DSP2090+3%2F4+in.+x+6+in.+Spade+Bit&amp;qid=1695174000&amp;sr=8-1")</f>
        <v>https://www.amazon.com/Diablo-SPEEDemon-Spade-Bit-2-Pack/dp/B089KV8K7W/ref=sr_1_1?keywords=Diablo+Tools+DSP2090+3%2F4+in.+x+6+in.+Spade+Bit&amp;qid=1695174000&amp;sr=8-1</v>
      </c>
      <c r="F5218" t="s">
        <v>5836</v>
      </c>
      <c r="G5218" t="e">
        <f ca="1">_xludf.IMAGE("https://edmondsonsupply.com/cdn/shop/files/hg4rmyretai2aybkajqp.webp?v=1686587275")</f>
        <v>#NAME?</v>
      </c>
      <c r="H5218" t="e">
        <f ca="1">_xludf.IMAGE("https://m.media-amazon.com/images/I/610FU8LQY+L._AC_UL320_.jpg")</f>
        <v>#NAME?</v>
      </c>
      <c r="I5218" t="s">
        <v>5822</v>
      </c>
      <c r="J5218">
        <v>8.3800000000000008</v>
      </c>
      <c r="K5218" s="4">
        <v>0.5605</v>
      </c>
      <c r="L5218">
        <v>4.7</v>
      </c>
      <c r="M5218">
        <v>40</v>
      </c>
      <c r="O5218" t="s">
        <v>25</v>
      </c>
      <c r="P5218" t="s">
        <v>138</v>
      </c>
      <c r="Q5218" t="s">
        <v>5823</v>
      </c>
    </row>
    <row r="5219" spans="1:17" ht="15.5" x14ac:dyDescent="0.35">
      <c r="A5219" s="3" t="str">
        <f>HYPERLINK("https://edmondsonsupply.com/collections/electricians-tools/products/channellock-8wcb", "https://edmondsonsupply.com/collections/electricians-tools/products/channellock-8wcb")</f>
        <v>https://edmondsonsupply.com/collections/electricians-tools/products/channellock-8wcb</v>
      </c>
      <c r="B5219" s="3" t="str">
        <f>HYPERLINK("https://edmondsonsupply.com/products/channellock-8wcb", "https://edmondsonsupply.com/products/channellock-8wcb")</f>
        <v>https://edmondsonsupply.com/products/channellock-8wcb</v>
      </c>
      <c r="C5219" t="s">
        <v>3038</v>
      </c>
      <c r="D5219" t="s">
        <v>3039</v>
      </c>
      <c r="E5219" s="3" t="str">
        <f>HYPERLINK("https://www.amazon.com/Channellock-Adjustable-Wrenches-140-6Wcb-Bulk-adjustable/dp/B002FCM5AE/ref=sr_1_5?keywords=Channellock+8WCB+8%22+Code+Blue+WIDEAZZ+Adjustable+Wrench&amp;qid=1695173930&amp;sr=8-5", "https://www.amazon.com/Channellock-Adjustable-Wrenches-140-6Wcb-Bulk-adjustable/dp/B002FCM5AE/ref=sr_1_5?keywords=Channellock+8WCB+8%22+Code+Blue+WIDEAZZ+Adjustable+Wrench&amp;qid=1695173930&amp;sr=8-5")</f>
        <v>https://www.amazon.com/Channellock-Adjustable-Wrenches-140-6Wcb-Bulk-adjustable/dp/B002FCM5AE/ref=sr_1_5?keywords=Channellock+8WCB+8%22+Code+Blue+WIDEAZZ+Adjustable+Wrench&amp;qid=1695173930&amp;sr=8-5</v>
      </c>
      <c r="F5219" t="s">
        <v>3040</v>
      </c>
      <c r="G5219" t="e">
        <f ca="1">_xludf.IMAGE("https://edmondsonsupply.com/cdn/shop/products/8WCB-683x1024.jpg?v=1633030324")</f>
        <v>#NAME?</v>
      </c>
      <c r="H5219" t="e">
        <f ca="1">_xludf.IMAGE("https://m.media-amazon.com/images/I/31meoqqeFSL._AC_UL320_.jpg")</f>
        <v>#NAME?</v>
      </c>
      <c r="I5219" t="s">
        <v>3041</v>
      </c>
      <c r="J5219">
        <v>49.67</v>
      </c>
      <c r="K5219" s="4">
        <v>0.55459999999999998</v>
      </c>
      <c r="L5219">
        <v>4.8</v>
      </c>
      <c r="M5219">
        <v>3</v>
      </c>
      <c r="O5219" t="s">
        <v>25</v>
      </c>
      <c r="P5219" t="s">
        <v>3042</v>
      </c>
      <c r="Q5219" t="s">
        <v>3043</v>
      </c>
    </row>
    <row r="5220" spans="1:17" ht="15.5" x14ac:dyDescent="0.35">
      <c r="A5220"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5220" s="3" t="str">
        <f>HYPERLINK("https://edmondsonsupply.com/products/klein-tools-605-4-1-4-inch-cabinet-tip-screwdriver-4-inch-shank", "https://edmondsonsupply.com/products/klein-tools-605-4-1-4-inch-cabinet-tip-screwdriver-4-inch-shank")</f>
        <v>https://edmondsonsupply.com/products/klein-tools-605-4-1-4-inch-cabinet-tip-screwdriver-4-inch-shank</v>
      </c>
      <c r="C5220" t="s">
        <v>6418</v>
      </c>
      <c r="D5220" t="s">
        <v>7065</v>
      </c>
      <c r="E5220" s="3" t="str">
        <f>HYPERLINK("https://www.amazon.com/Klein-Tools-6924INS-Insulated-Screwdriver/dp/B088NRM4CC/ref=sr_1_5?keywords=Klein+Tools+605-4+1%2F4-Inch+Cabinet+Tip+Screwdriver+4-Inch+Shank&amp;qid=1695174135&amp;sr=8-5", "https://www.amazon.com/Klein-Tools-6924INS-Insulated-Screwdriver/dp/B088NRM4CC/ref=sr_1_5?keywords=Klein+Tools+605-4+1%2F4-Inch+Cabinet+Tip+Screwdriver+4-Inch+Shank&amp;qid=1695174135&amp;sr=8-5")</f>
        <v>https://www.amazon.com/Klein-Tools-6924INS-Insulated-Screwdriver/dp/B088NRM4CC/ref=sr_1_5?keywords=Klein+Tools+605-4+1%2F4-Inch+Cabinet+Tip+Screwdriver+4-Inch+Shank&amp;qid=1695174135&amp;sr=8-5</v>
      </c>
      <c r="F5220" t="s">
        <v>7066</v>
      </c>
      <c r="G5220" t="e">
        <f ca="1">_xludf.IMAGE("https://edmondsonsupply.com/cdn/shop/products/605-6_ac5e56ca-920d-4d55-842f-c7dc8361f892.jpg?v=1665688377")</f>
        <v>#NAME?</v>
      </c>
      <c r="H5220" t="e">
        <f ca="1">_xludf.IMAGE("https://m.media-amazon.com/images/I/419wtU12P3L._AC_UL320_.jpg")</f>
        <v>#NAME?</v>
      </c>
      <c r="I5220" t="s">
        <v>924</v>
      </c>
      <c r="J5220">
        <v>13.97</v>
      </c>
      <c r="K5220" s="4">
        <v>0.55389999999999995</v>
      </c>
      <c r="L5220">
        <v>4.8</v>
      </c>
      <c r="M5220">
        <v>1361</v>
      </c>
      <c r="O5220" t="s">
        <v>25</v>
      </c>
      <c r="P5220" t="s">
        <v>6421</v>
      </c>
      <c r="Q5220" t="s">
        <v>6422</v>
      </c>
    </row>
    <row r="5221" spans="1:17" ht="15.5" x14ac:dyDescent="0.35">
      <c r="A5221"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5221"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5221" t="s">
        <v>7067</v>
      </c>
      <c r="D5221" t="s">
        <v>6907</v>
      </c>
      <c r="E5221" s="3" t="str">
        <f>HYPERLINK("https://www.amazon.com/Diablo-Universal-Bi-Metal-Blades-Nail-Embedded/dp/B089KW4T8J/ref=sr_1_4?keywords=Diablo+Tools+DOU250BW+2-1%2F2+in.+Universal+Fit+Bi-Metal+Oscillating+Blade+for+Nail-Embedded+Wood&amp;qid=1695174021&amp;sr=8-4", "https://www.amazon.com/Diablo-Universal-Bi-Metal-Blades-Nail-Embedded/dp/B089KW4T8J/ref=sr_1_4?keywords=Diablo+Tools+DOU250BW+2-1%2F2+in.+Universal+Fit+Bi-Metal+Oscillating+Blade+for+Nail-Embedded+Wood&amp;qid=1695174021&amp;sr=8-4")</f>
        <v>https://www.amazon.com/Diablo-Universal-Bi-Metal-Blades-Nail-Embedded/dp/B089KW4T8J/ref=sr_1_4?keywords=Diablo+Tools+DOU250BW+2-1%2F2+in.+Universal+Fit+Bi-Metal+Oscillating+Blade+for+Nail-Embedded+Wood&amp;qid=1695174021&amp;sr=8-4</v>
      </c>
      <c r="F5221" t="s">
        <v>6908</v>
      </c>
      <c r="G5221" t="e">
        <f ca="1">_xludf.IMAGE("https://edmondsonsupply.com/cdn/shop/files/xcched1uye7bv2s0ryod.webp?v=1685717397")</f>
        <v>#NAME?</v>
      </c>
      <c r="H5221" t="e">
        <f ca="1">_xludf.IMAGE("https://m.media-amazon.com/images/I/71fhfiK3NaL._AC_UL320_.jpg")</f>
        <v>#NAME?</v>
      </c>
      <c r="I5221" t="s">
        <v>893</v>
      </c>
      <c r="J5221">
        <v>31</v>
      </c>
      <c r="K5221" s="4">
        <v>0.55230000000000001</v>
      </c>
      <c r="L5221">
        <v>4.8</v>
      </c>
      <c r="M5221">
        <v>37</v>
      </c>
      <c r="O5221" t="s">
        <v>25</v>
      </c>
      <c r="P5221" t="s">
        <v>6936</v>
      </c>
      <c r="Q5221" t="s">
        <v>7068</v>
      </c>
    </row>
    <row r="5222" spans="1:17" ht="15.5" x14ac:dyDescent="0.35">
      <c r="A5222"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5222"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5222" t="s">
        <v>6225</v>
      </c>
      <c r="D5222" t="s">
        <v>3905</v>
      </c>
      <c r="E5222" s="3" t="str">
        <f>HYPERLINK("https://www.amazon.com/Journeyman-T-Handle-Klein-Tools-JTH9M3/dp/B005G3HJ28/ref=sr_1_9?keywords=Klein+Tools+JTH4E09+9%2F64-Inch+Hex+Key+Journeyman+T-Handle+4-Inch&amp;qid=1695174238&amp;sr=8-9", "https://www.amazon.com/Journeyman-T-Handle-Klein-Tools-JTH9M3/dp/B005G3HJ28/ref=sr_1_9?keywords=Klein+Tools+JTH4E09+9%2F64-Inch+Hex+Key+Journeyman+T-Handle+4-Inch&amp;qid=1695174238&amp;sr=8-9")</f>
        <v>https://www.amazon.com/Journeyman-T-Handle-Klein-Tools-JTH9M3/dp/B005G3HJ28/ref=sr_1_9?keywords=Klein+Tools+JTH4E09+9%2F64-Inch+Hex+Key+Journeyman+T-Handle+4-Inch&amp;qid=1695174238&amp;sr=8-9</v>
      </c>
      <c r="F5222" t="s">
        <v>3906</v>
      </c>
      <c r="G5222" t="e">
        <f ca="1">_xludf.IMAGE("https://edmondsonsupply.com/cdn/shop/products/jth4e06_be5118a6-2e9d-44f5-81ad-c027572dd2d3.jpg?v=1635981570")</f>
        <v>#NAME?</v>
      </c>
      <c r="H5222" t="e">
        <f ca="1">_xludf.IMAGE("https://m.media-amazon.com/images/I/51MZtGjDOtL._AC_UL320_.jpg")</f>
        <v>#NAME?</v>
      </c>
      <c r="I5222" t="s">
        <v>6228</v>
      </c>
      <c r="J5222">
        <v>5.88</v>
      </c>
      <c r="K5222" s="4">
        <v>0.55149999999999999</v>
      </c>
      <c r="L5222">
        <v>4.5999999999999996</v>
      </c>
      <c r="M5222">
        <v>179</v>
      </c>
      <c r="O5222" t="s">
        <v>25</v>
      </c>
      <c r="P5222" t="s">
        <v>6229</v>
      </c>
      <c r="Q5222" t="s">
        <v>6230</v>
      </c>
    </row>
    <row r="5223" spans="1:17" ht="15.5" x14ac:dyDescent="0.35">
      <c r="A5223" s="3" t="str">
        <f>HYPERLINK("https://edmondsonsupply.com/collections/electricians-tools/products/klein-tools-et20-wifi-borescope-inspection-camera", "https://edmondsonsupply.com/collections/electricians-tools/products/klein-tools-et20-wifi-borescope-inspection-camera")</f>
        <v>https://edmondsonsupply.com/collections/electricians-tools/products/klein-tools-et20-wifi-borescope-inspection-camera</v>
      </c>
      <c r="B5223" s="3" t="str">
        <f>HYPERLINK("https://edmondsonsupply.com/products/klein-tools-et20-wifi-borescope-inspection-camera", "https://edmondsonsupply.com/products/klein-tools-et20-wifi-borescope-inspection-camera")</f>
        <v>https://edmondsonsupply.com/products/klein-tools-et20-wifi-borescope-inspection-camera</v>
      </c>
      <c r="C5223" t="s">
        <v>3049</v>
      </c>
      <c r="D5223" t="s">
        <v>3050</v>
      </c>
      <c r="E5223" s="3" t="str">
        <f>HYPERLINK("https://www.amazon.com/Klein-Tools-Borescope-Inspection-Accessories/dp/B0BGJ6GM38/ref=sr_1_2?keywords=Klein+Tools+ET20+WiFi+Borescope+Inspection+Camera&amp;qid=1695173958&amp;sr=8-2", "https://www.amazon.com/Klein-Tools-Borescope-Inspection-Accessories/dp/B0BGJ6GM38/ref=sr_1_2?keywords=Klein+Tools+ET20+WiFi+Borescope+Inspection+Camera&amp;qid=1695173958&amp;sr=8-2")</f>
        <v>https://www.amazon.com/Klein-Tools-Borescope-Inspection-Accessories/dp/B0BGJ6GM38/ref=sr_1_2?keywords=Klein+Tools+ET20+WiFi+Borescope+Inspection+Camera&amp;qid=1695173958&amp;sr=8-2</v>
      </c>
      <c r="F5223" t="s">
        <v>3051</v>
      </c>
      <c r="G5223" t="e">
        <f ca="1">_xludf.IMAGE("https://edmondsonsupply.com/cdn/shop/products/et20.jpg?v=1587143169")</f>
        <v>#NAME?</v>
      </c>
      <c r="H5223" t="e">
        <f ca="1">_xludf.IMAGE("https://m.media-amazon.com/images/I/51yUa-rPATL._AC_UY218_.jpg")</f>
        <v>#NAME?</v>
      </c>
      <c r="I5223" t="s">
        <v>2224</v>
      </c>
      <c r="J5223">
        <v>154.97999999999999</v>
      </c>
      <c r="K5223" s="4">
        <v>0.55000000000000004</v>
      </c>
      <c r="L5223">
        <v>5</v>
      </c>
      <c r="M5223">
        <v>1</v>
      </c>
      <c r="O5223" t="s">
        <v>25</v>
      </c>
      <c r="P5223" t="s">
        <v>3052</v>
      </c>
      <c r="Q5223" t="s">
        <v>3053</v>
      </c>
    </row>
    <row r="5224" spans="1:17" ht="15.5" x14ac:dyDescent="0.35">
      <c r="A5224"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5224" s="3" t="str">
        <f>HYPERLINK("https://edmondsonsupply.com/products/klein-tools-51610-1-iron-conduit-bender-head", "https://edmondsonsupply.com/products/klein-tools-51610-1-iron-conduit-bender-head")</f>
        <v>https://edmondsonsupply.com/products/klein-tools-51610-1-iron-conduit-bender-head</v>
      </c>
      <c r="C5224" t="s">
        <v>6220</v>
      </c>
      <c r="D5224" t="s">
        <v>7069</v>
      </c>
      <c r="E5224" s="3" t="str">
        <f>HYPERLINK("https://www.amazon.com/Klein-Tools-56210-Conduit-Bender/dp/B007OX1M6W/ref=sr_1_2?keywords=Klein+Tools+51610+1%22+Iron+Conduit+Bender+Head&amp;qid=1695174168&amp;sr=8-2", "https://www.amazon.com/Klein-Tools-56210-Conduit-Bender/dp/B007OX1M6W/ref=sr_1_2?keywords=Klein+Tools+51610+1%22+Iron+Conduit+Bender+Head&amp;qid=1695174168&amp;sr=8-2")</f>
        <v>https://www.amazon.com/Klein-Tools-56210-Conduit-Bender/dp/B007OX1M6W/ref=sr_1_2?keywords=Klein+Tools+51610+1%22+Iron+Conduit+Bender+Head&amp;qid=1695174168&amp;sr=8-2</v>
      </c>
      <c r="F5224" t="s">
        <v>7070</v>
      </c>
      <c r="G5224" t="e">
        <f ca="1">_xludf.IMAGE("https://edmondsonsupply.com/cdn/shop/products/51610.jpg?v=1661975879")</f>
        <v>#NAME?</v>
      </c>
      <c r="H5224" t="e">
        <f ca="1">_xludf.IMAGE("https://m.media-amazon.com/images/I/51s7bHmdWyL._AC_UL320_.jpg")</f>
        <v>#NAME?</v>
      </c>
      <c r="I5224" t="s">
        <v>320</v>
      </c>
      <c r="J5224">
        <v>116.13</v>
      </c>
      <c r="K5224" s="4">
        <v>0.54859999999999998</v>
      </c>
      <c r="L5224">
        <v>4</v>
      </c>
      <c r="M5224">
        <v>1</v>
      </c>
      <c r="O5224" t="s">
        <v>25</v>
      </c>
      <c r="P5224" t="s">
        <v>6223</v>
      </c>
      <c r="Q5224" t="s">
        <v>6224</v>
      </c>
    </row>
    <row r="5225" spans="1:17" ht="15.5" x14ac:dyDescent="0.35">
      <c r="A5225" s="3" t="str">
        <f>HYPERLINK("https://edmondsonsupply.com/collections/electricians-tools/products/klein-tools-60347-hard-hat-premium-karbn%E2%84%A2-pattern-vented-full-brim-class-c-lamp", "https://edmondsonsupply.com/collections/electricians-tools/products/klein-tools-60347-hard-hat-premium-karbn%E2%84%A2-pattern-vented-full-brim-class-c-lamp")</f>
        <v>https://edmondsonsupply.com/collections/electricians-tools/products/klein-tools-60347-hard-hat-premium-karbn%E2%84%A2-pattern-vented-full-brim-class-c-lamp</v>
      </c>
      <c r="B5225"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5225" t="s">
        <v>914</v>
      </c>
      <c r="D5225" t="s">
        <v>983</v>
      </c>
      <c r="E5225" s="3" t="str">
        <f>HYPERLINK("https://www.amazon.com/Klein-Tools-Rechargeable-Sweat-Wicking-Replacement/dp/B0BFXRMN4S/ref=sr_1_2?keywords=Klein+Tools+60347+Hard+Hat%2C+Premium+KARBN%E2%84%A2+Pattern%2C+Vented+Full+Brim%2C+Class+C%2C+Lamp&amp;qid=1695174177&amp;sr=8-2", "https://www.amazon.com/Klein-Tools-Rechargeable-Sweat-Wicking-Replacement/dp/B0BFXRMN4S/ref=sr_1_2?keywords=Klein+Tools+60347+Hard+Hat%2C+Premium+KARBN%E2%84%A2+Pattern%2C+Vented+Full+Brim%2C+Class+C%2C+Lamp&amp;qid=1695174177&amp;sr=8-2")</f>
        <v>https://www.amazon.com/Klein-Tools-Rechargeable-Sweat-Wicking-Replacement/dp/B0BFXRMN4S/ref=sr_1_2?keywords=Klein+Tools+60347+Hard+Hat%2C+Premium+KARBN%E2%84%A2+Pattern%2C+Vented+Full+Brim%2C+Class+C%2C+Lamp&amp;qid=1695174177&amp;sr=8-2</v>
      </c>
      <c r="F5225" t="s">
        <v>984</v>
      </c>
      <c r="G5225" t="e">
        <f ca="1">_xludf.IMAGE("https://edmondsonsupply.com/cdn/shop/products/60347.jpg?v=1659454043")</f>
        <v>#NAME?</v>
      </c>
      <c r="H5225" t="e">
        <f ca="1">_xludf.IMAGE("https://m.media-amazon.com/images/I/51cPFv+dtgL._AC_UL320_.jpg")</f>
        <v>#NAME?</v>
      </c>
      <c r="I5225" t="s">
        <v>315</v>
      </c>
      <c r="J5225">
        <v>138.87</v>
      </c>
      <c r="K5225" s="4">
        <v>0.54320000000000002</v>
      </c>
      <c r="L5225">
        <v>4.5</v>
      </c>
      <c r="M5225">
        <v>9</v>
      </c>
      <c r="O5225" t="s">
        <v>171</v>
      </c>
      <c r="P5225" t="s">
        <v>917</v>
      </c>
      <c r="Q5225" t="s">
        <v>918</v>
      </c>
    </row>
    <row r="5226" spans="1:17" ht="15.5" x14ac:dyDescent="0.35">
      <c r="A5226" s="3" t="str">
        <f>HYPERLINK("https://edmondsonsupply.com/collections/electricians-tools/products/greenlee-612-1-1-2-foam-conduit-piston", "https://edmondsonsupply.com/collections/electricians-tools/products/greenlee-612-1-1-2-foam-conduit-piston")</f>
        <v>https://edmondsonsupply.com/collections/electricians-tools/products/greenlee-612-1-1-2-foam-conduit-piston</v>
      </c>
      <c r="B5226" s="3" t="str">
        <f>HYPERLINK("https://edmondsonsupply.com/products/greenlee-612-1-1-2-foam-conduit-piston", "https://edmondsonsupply.com/products/greenlee-612-1-1-2-foam-conduit-piston")</f>
        <v>https://edmondsonsupply.com/products/greenlee-612-1-1-2-foam-conduit-piston</v>
      </c>
      <c r="C5226" t="s">
        <v>6509</v>
      </c>
      <c r="D5226" t="s">
        <v>7071</v>
      </c>
      <c r="E5226" s="3" t="str">
        <f>HYPERLINK("https://www.amazon.com/Greenlee-612-Piston-1-1-Conduit/dp/B002716FLS/ref=sr_1_9?keywords=Greenlee+612+1-1%2F2%22+Foam+Conduit+Piston&amp;qid=1695173998&amp;sr=8-9", "https://www.amazon.com/Greenlee-612-Piston-1-1-Conduit/dp/B002716FLS/ref=sr_1_9?keywords=Greenlee+612+1-1%2F2%22+Foam+Conduit+Piston&amp;qid=1695173998&amp;sr=8-9")</f>
        <v>https://www.amazon.com/Greenlee-612-Piston-1-1-Conduit/dp/B002716FLS/ref=sr_1_9?keywords=Greenlee+612+1-1%2F2%22+Foam+Conduit+Piston&amp;qid=1695173998&amp;sr=8-9</v>
      </c>
      <c r="F5226" t="s">
        <v>7072</v>
      </c>
      <c r="G5226" t="e">
        <f ca="1">_xludf.IMAGE("https://edmondsonsupply.com/cdn/shop/files/612.png?v=1687451101")</f>
        <v>#NAME?</v>
      </c>
      <c r="H5226" t="e">
        <f ca="1">_xludf.IMAGE("https://m.media-amazon.com/images/I/912TcLImvEL._AC_UL320_.jpg")</f>
        <v>#NAME?</v>
      </c>
      <c r="I5226" t="s">
        <v>6510</v>
      </c>
      <c r="J5226">
        <v>17.48</v>
      </c>
      <c r="K5226" s="4">
        <v>0.54279999999999995</v>
      </c>
      <c r="L5226">
        <v>5</v>
      </c>
      <c r="M5226">
        <v>4</v>
      </c>
      <c r="O5226" t="s">
        <v>25</v>
      </c>
      <c r="P5226" t="s">
        <v>138</v>
      </c>
      <c r="Q5226" t="s">
        <v>6511</v>
      </c>
    </row>
    <row r="5227" spans="1:17" ht="15.5" x14ac:dyDescent="0.35">
      <c r="A5227" s="3" t="str">
        <f>HYPERLINK("https://edmondsonsupply.com/collections/electricians-tools/products/diablo-tools-dou125bw", "https://edmondsonsupply.com/collections/electricians-tools/products/diablo-tools-dou125bw")</f>
        <v>https://edmondsonsupply.com/collections/electricians-tools/products/diablo-tools-dou125bw</v>
      </c>
      <c r="B5227" s="3" t="str">
        <f>HYPERLINK("https://edmondsonsupply.com/products/diablo-tools-dou125bw", "https://edmondsonsupply.com/products/diablo-tools-dou125bw")</f>
        <v>https://edmondsonsupply.com/products/diablo-tools-dou125bw</v>
      </c>
      <c r="C5227" t="s">
        <v>6906</v>
      </c>
      <c r="D5227" t="s">
        <v>7073</v>
      </c>
      <c r="E5227" s="3" t="str">
        <f>HYPERLINK("https://www.amazon.com/Diablo-Starlock-Bi-Metal-Oscillating-Nail-Embedded/dp/B089KX5FJS/ref=sr_1_6?keywords=Diablo+Tools+DOU125BW+1-1%2F4+in.+Universal+Fit+Bi-Metal+Oscillating+Blade+for+Nail-Embedded+Wood&amp;qid=1695174264&amp;sr=8-6", "https://www.amazon.com/Diablo-Starlock-Bi-Metal-Oscillating-Nail-Embedded/dp/B089KX5FJS/ref=sr_1_6?keywords=Diablo+Tools+DOU125BW+1-1%2F4+in.+Universal+Fit+Bi-Metal+Oscillating+Blade+for+Nail-Embedded+Wood&amp;qid=1695174264&amp;sr=8-6")</f>
        <v>https://www.amazon.com/Diablo-Starlock-Bi-Metal-Oscillating-Nail-Embedded/dp/B089KX5FJS/ref=sr_1_6?keywords=Diablo+Tools+DOU125BW+1-1%2F4+in.+Universal+Fit+Bi-Metal+Oscillating+Blade+for+Nail-Embedded+Wood&amp;qid=1695174264&amp;sr=8-6</v>
      </c>
      <c r="F5227" t="s">
        <v>7074</v>
      </c>
      <c r="G5227" t="e">
        <f ca="1">_xludf.IMAGE("https://edmondsonsupply.com/cdn/shop/products/gnn0wpqc8veb3qhldcrb.webp?v=1676040020")</f>
        <v>#NAME?</v>
      </c>
      <c r="H5227" t="e">
        <f ca="1">_xludf.IMAGE("https://m.media-amazon.com/images/I/717H6O1AhYL._AC_UL320_.jpg")</f>
        <v>#NAME?</v>
      </c>
      <c r="I5227" t="s">
        <v>2586</v>
      </c>
      <c r="J5227">
        <v>27.69</v>
      </c>
      <c r="K5227" s="4">
        <v>0.54090000000000005</v>
      </c>
      <c r="L5227">
        <v>4.7</v>
      </c>
      <c r="M5227">
        <v>65</v>
      </c>
      <c r="O5227" t="s">
        <v>25</v>
      </c>
      <c r="P5227" t="s">
        <v>2152</v>
      </c>
      <c r="Q5227" t="s">
        <v>6909</v>
      </c>
    </row>
    <row r="5228" spans="1:17" ht="15.5" x14ac:dyDescent="0.35">
      <c r="A5228"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5228" s="3" t="str">
        <f>HYPERLINK("https://edmondsonsupply.com/products/klein-tools-jth9m5-4-mm-hex-key-journeyman-t-handle-9-inch", "https://edmondsonsupply.com/products/klein-tools-jth9m5-4-mm-hex-key-journeyman-t-handle-9-inch")</f>
        <v>https://edmondsonsupply.com/products/klein-tools-jth9m5-4-mm-hex-key-journeyman-t-handle-9-inch</v>
      </c>
      <c r="C5228" t="s">
        <v>6121</v>
      </c>
      <c r="D5228" t="s">
        <v>3393</v>
      </c>
      <c r="E5228" s="3" t="str">
        <f>HYPERLINK("https://www.amazon.com/Journeyman-T-Handle-Klein-Tools-JTH6M4BE/dp/B005G3951G/ref=sr_1_4?keywords=Klein+Tools+JTH9M4+4+mm+Hex+Key%2C+Journeyman+T-Handle%2C+9-Inch&amp;qid=1695174234&amp;sr=8-4", "https://www.amazon.com/Journeyman-T-Handle-Klein-Tools-JTH6M4BE/dp/B005G3951G/ref=sr_1_4?keywords=Klein+Tools+JTH9M4+4+mm+Hex+Key%2C+Journeyman+T-Handle%2C+9-Inch&amp;qid=1695174234&amp;sr=8-4")</f>
        <v>https://www.amazon.com/Journeyman-T-Handle-Klein-Tools-JTH6M4BE/dp/B005G3951G/ref=sr_1_4?keywords=Klein+Tools+JTH9M4+4+mm+Hex+Key%2C+Journeyman+T-Handle%2C+9-Inch&amp;qid=1695174234&amp;sr=8-4</v>
      </c>
      <c r="F5228" t="s">
        <v>3394</v>
      </c>
      <c r="G5228" t="e">
        <f ca="1">_xludf.IMAGE("https://edmondsonsupply.com/cdn/shop/products/jth9m_fa8a641d-d03f-4191-ab24-b9045963e4f7.jpg?v=1640191121")</f>
        <v>#NAME?</v>
      </c>
      <c r="H5228" t="e">
        <f ca="1">_xludf.IMAGE("https://m.media-amazon.com/images/I/51huXA+ij8L._AC_UL320_.jpg")</f>
        <v>#NAME?</v>
      </c>
      <c r="I5228" t="s">
        <v>6122</v>
      </c>
      <c r="J5228">
        <v>6.91</v>
      </c>
      <c r="K5228" s="4">
        <v>0.53900000000000003</v>
      </c>
      <c r="L5228">
        <v>4.8</v>
      </c>
      <c r="M5228">
        <v>988</v>
      </c>
      <c r="O5228" t="s">
        <v>25</v>
      </c>
      <c r="P5228" t="s">
        <v>6123</v>
      </c>
      <c r="Q5228" t="s">
        <v>6124</v>
      </c>
    </row>
    <row r="5229" spans="1:17" ht="15.5" x14ac:dyDescent="0.35">
      <c r="A5229"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5229" s="3" t="str">
        <f>HYPERLINK("https://edmondsonsupply.com/products/klein-tools-rt310-afci-gfci-outlet-tester", "https://edmondsonsupply.com/products/klein-tools-rt310-afci-gfci-outlet-tester")</f>
        <v>https://edmondsonsupply.com/products/klein-tools-rt310-afci-gfci-outlet-tester</v>
      </c>
      <c r="C5229" t="s">
        <v>6210</v>
      </c>
      <c r="D5229" t="s">
        <v>6404</v>
      </c>
      <c r="E5229" s="3" t="str">
        <f>HYPERLINK("https://www.amazon.com/Klein-Tools-Receptacle-Standard-Electrical/dp/B0BD3YZ7JV/ref=sr_1_4?keywords=Klein+Tools+RT310+AFCI+%2F+GFCI+Outlet+Tester&amp;qid=1695173970&amp;sr=8-4", "https://www.amazon.com/Klein-Tools-Receptacle-Standard-Electrical/dp/B0BD3YZ7JV/ref=sr_1_4?keywords=Klein+Tools+RT310+AFCI+%2F+GFCI+Outlet+Tester&amp;qid=1695173970&amp;sr=8-4")</f>
        <v>https://www.amazon.com/Klein-Tools-Receptacle-Standard-Electrical/dp/B0BD3YZ7JV/ref=sr_1_4?keywords=Klein+Tools+RT310+AFCI+%2F+GFCI+Outlet+Tester&amp;qid=1695173970&amp;sr=8-4</v>
      </c>
      <c r="F5229" t="s">
        <v>6405</v>
      </c>
      <c r="G5229" t="e">
        <f ca="1">_xludf.IMAGE("https://edmondsonsupply.com/cdn/shop/products/rt310.jpg?v=1587148552")</f>
        <v>#NAME?</v>
      </c>
      <c r="H5229" t="e">
        <f ca="1">_xludf.IMAGE("https://m.media-amazon.com/images/I/51iiNw5cTJL._AC_UL320_.jpg")</f>
        <v>#NAME?</v>
      </c>
      <c r="I5229" t="s">
        <v>246</v>
      </c>
      <c r="J5229">
        <v>61.4</v>
      </c>
      <c r="K5229" s="4">
        <v>0.53620000000000001</v>
      </c>
      <c r="L5229">
        <v>4.7</v>
      </c>
      <c r="M5229">
        <v>6</v>
      </c>
      <c r="O5229" t="s">
        <v>25</v>
      </c>
      <c r="P5229" t="s">
        <v>6213</v>
      </c>
      <c r="Q5229" t="s">
        <v>6214</v>
      </c>
    </row>
    <row r="5230" spans="1:17" ht="15.5" x14ac:dyDescent="0.35">
      <c r="A5230" s="3" t="str">
        <f>HYPERLINK("https://edmondsonsupply.com/collections/electricians-tools/products/milwaukee-48-22-8301", "https://edmondsonsupply.com/collections/electricians-tools/products/milwaukee-48-22-8301")</f>
        <v>https://edmondsonsupply.com/collections/electricians-tools/products/milwaukee-48-22-8301</v>
      </c>
      <c r="B5230" s="3" t="str">
        <f>HYPERLINK("https://edmondsonsupply.com/products/milwaukee-48-22-8301", "https://edmondsonsupply.com/products/milwaukee-48-22-8301")</f>
        <v>https://edmondsonsupply.com/products/milwaukee-48-22-8301</v>
      </c>
      <c r="C5230" t="s">
        <v>415</v>
      </c>
      <c r="D5230" t="s">
        <v>416</v>
      </c>
      <c r="E5230" s="3" t="str">
        <f>HYPERLINK("https://www.amazon.com/48-22-8301-PACKOUT-Backpack-Milwaukee-Tear-Resistant/dp/B0BXNRZLWR/ref=sr_1_1?keywords=Milwaukee+48-22-8301+PACKOUT%E2%84%A2+Backpack&amp;qid=1695173957&amp;sr=8-1", "https://www.amazon.com/48-22-8301-PACKOUT-Backpack-Milwaukee-Tear-Resistant/dp/B0BXNRZLWR/ref=sr_1_1?keywords=Milwaukee+48-22-8301+PACKOUT%E2%84%A2+Backpack&amp;qid=1695173957&amp;sr=8-1")</f>
        <v>https://www.amazon.com/48-22-8301-PACKOUT-Backpack-Milwaukee-Tear-Resistant/dp/B0BXNRZLWR/ref=sr_1_1?keywords=Milwaukee+48-22-8301+PACKOUT%E2%84%A2+Backpack&amp;qid=1695173957&amp;sr=8-1</v>
      </c>
      <c r="F5230" t="s">
        <v>417</v>
      </c>
      <c r="G5230" t="e">
        <f ca="1">_xludf.IMAGE("https://edmondsonsupply.com/cdn/shop/products/48-22-8301_1.png?v=1587150030")</f>
        <v>#NAME?</v>
      </c>
      <c r="H5230" t="e">
        <f ca="1">_xludf.IMAGE("https://m.media-amazon.com/images/I/71YLu+AwebL._AC_UL320_.jpg")</f>
        <v>#NAME?</v>
      </c>
      <c r="I5230" t="s">
        <v>418</v>
      </c>
      <c r="J5230">
        <v>198</v>
      </c>
      <c r="K5230" s="4">
        <v>0.52339999999999998</v>
      </c>
      <c r="L5230">
        <v>5</v>
      </c>
      <c r="M5230">
        <v>1</v>
      </c>
      <c r="O5230" t="s">
        <v>25</v>
      </c>
      <c r="P5230" t="s">
        <v>419</v>
      </c>
      <c r="Q5230" t="s">
        <v>420</v>
      </c>
    </row>
    <row r="5231" spans="1:17" ht="15.5" x14ac:dyDescent="0.35">
      <c r="A5231" s="3" t="str">
        <f>HYPERLINK("https://edmondsonsupply.com/collections/electricians-tools/products/klein-tools-jth9m25-2-5-mm-hey-key-journeyman%E2%84%A2-t-handle-9-inch", "https://edmondsonsupply.com/collections/electricians-tools/products/klein-tools-jth9m25-2-5-mm-hey-key-journeyman%E2%84%A2-t-handle-9-inch")</f>
        <v>https://edmondsonsupply.com/collections/electricians-tools/products/klein-tools-jth9m25-2-5-mm-hey-key-journeyman%E2%84%A2-t-handle-9-inch</v>
      </c>
      <c r="B5231" s="3" t="str">
        <f>HYPERLINK("https://edmondsonsupply.com/products/klein-tools-jth9m25-2-5-mm-hey-key-journeyman%e2%84%a2-t-handle-9-inch", "https://edmondsonsupply.com/products/klein-tools-jth9m25-2-5-mm-hey-key-journeyman%e2%84%a2-t-handle-9-inch")</f>
        <v>https://edmondsonsupply.com/products/klein-tools-jth9m25-2-5-mm-hey-key-journeyman%e2%84%a2-t-handle-9-inch</v>
      </c>
      <c r="C5231" t="s">
        <v>7075</v>
      </c>
      <c r="D5231" t="s">
        <v>7076</v>
      </c>
      <c r="E5231" s="3" t="str">
        <f>HYPERLINK("https://www.amazon.com/Journeyman-T-Handle-Klein-Tools-JTH9M2/dp/B005G3HIHY/ref=sr_1_2?keywords=Klein+Tools+JTH9M25+2.5+mm+Hey+Key%2C+Journeyman%E2%84%A2+T-Handle%2C+9-Inch&amp;qid=1695174070&amp;sr=8-2", "https://www.amazon.com/Journeyman-T-Handle-Klein-Tools-JTH9M2/dp/B005G3HIHY/ref=sr_1_2?keywords=Klein+Tools+JTH9M25+2.5+mm+Hey+Key%2C+Journeyman%E2%84%A2+T-Handle%2C+9-Inch&amp;qid=1695174070&amp;sr=8-2")</f>
        <v>https://www.amazon.com/Journeyman-T-Handle-Klein-Tools-JTH9M2/dp/B005G3HIHY/ref=sr_1_2?keywords=Klein+Tools+JTH9M25+2.5+mm+Hey+Key%2C+Journeyman%E2%84%A2+T-Handle%2C+9-Inch&amp;qid=1695174070&amp;sr=8-2</v>
      </c>
      <c r="F5231" t="s">
        <v>7077</v>
      </c>
      <c r="G5231" t="e">
        <f ca="1">_xludf.IMAGE("https://edmondsonsupply.com/cdn/shop/products/jth6m8_7566f3df-6fcc-4a61-b504-1685e861a479.jpg?v=1678199657")</f>
        <v>#NAME?</v>
      </c>
      <c r="H5231" t="e">
        <f ca="1">_xludf.IMAGE("https://m.media-amazon.com/images/I/51+1x0vz9XL._AC_UL320_.jpg")</f>
        <v>#NAME?</v>
      </c>
      <c r="I5231" t="s">
        <v>6122</v>
      </c>
      <c r="J5231">
        <v>6.84</v>
      </c>
      <c r="K5231" s="4">
        <v>0.52339999999999998</v>
      </c>
      <c r="L5231">
        <v>4.5</v>
      </c>
      <c r="M5231">
        <v>49</v>
      </c>
      <c r="O5231" t="s">
        <v>25</v>
      </c>
      <c r="P5231" t="s">
        <v>6098</v>
      </c>
      <c r="Q5231" t="s">
        <v>7078</v>
      </c>
    </row>
    <row r="5232" spans="1:17" ht="15.5" x14ac:dyDescent="0.35">
      <c r="A5232" s="3" t="str">
        <f>HYPERLINK("https://edmondsonsupply.com/collections/electricians-tools/products/klein-tools-jth9m2-2-mm-hey-key-journeyman%E2%84%A2-t-handle-9-inch", "https://edmondsonsupply.com/collections/electricians-tools/products/klein-tools-jth9m2-2-mm-hey-key-journeyman%E2%84%A2-t-handle-9-inch")</f>
        <v>https://edmondsonsupply.com/collections/electricians-tools/products/klein-tools-jth9m2-2-mm-hey-key-journeyman%E2%84%A2-t-handle-9-inch</v>
      </c>
      <c r="B5232" s="3" t="str">
        <f>HYPERLINK("https://edmondsonsupply.com/products/klein-tools-jth9m2-2-mm-hey-key-journeyman%e2%84%a2-t-handle-9-inch", "https://edmondsonsupply.com/products/klein-tools-jth9m2-2-mm-hey-key-journeyman%e2%84%a2-t-handle-9-inch")</f>
        <v>https://edmondsonsupply.com/products/klein-tools-jth9m2-2-mm-hey-key-journeyman%e2%84%a2-t-handle-9-inch</v>
      </c>
      <c r="C5232" t="s">
        <v>7079</v>
      </c>
      <c r="D5232" t="s">
        <v>7080</v>
      </c>
      <c r="E5232" s="3" t="str">
        <f>HYPERLINK("https://www.amazon.com/Journeyman-T-Handle-Klein-Tools-JTH9M25/dp/B005G3HIRY/ref=sr_1_3?keywords=Klein+Tools+JTH9M2+2+mm+Hey+Key%2C+Journeyman%E2%84%A2+T-Handle%2C+9-Inch&amp;qid=1695174085&amp;sr=8-3", "https://www.amazon.com/Journeyman-T-Handle-Klein-Tools-JTH9M25/dp/B005G3HIRY/ref=sr_1_3?keywords=Klein+Tools+JTH9M2+2+mm+Hey+Key%2C+Journeyman%E2%84%A2+T-Handle%2C+9-Inch&amp;qid=1695174085&amp;sr=8-3")</f>
        <v>https://www.amazon.com/Journeyman-T-Handle-Klein-Tools-JTH9M25/dp/B005G3HIRY/ref=sr_1_3?keywords=Klein+Tools+JTH9M2+2+mm+Hey+Key%2C+Journeyman%E2%84%A2+T-Handle%2C+9-Inch&amp;qid=1695174085&amp;sr=8-3</v>
      </c>
      <c r="F5232" t="s">
        <v>7081</v>
      </c>
      <c r="G5232" t="e">
        <f ca="1">_xludf.IMAGE("https://edmondsonsupply.com/cdn/shop/products/jth6m8_ddd5a1ff-5024-4b1a-83d1-8e932306f033.jpg?v=1675271602")</f>
        <v>#NAME?</v>
      </c>
      <c r="H5232" t="e">
        <f ca="1">_xludf.IMAGE("https://m.media-amazon.com/images/I/51+1x0vz9XL._AC_UL320_.jpg")</f>
        <v>#NAME?</v>
      </c>
      <c r="I5232" t="s">
        <v>6122</v>
      </c>
      <c r="J5232">
        <v>6.84</v>
      </c>
      <c r="K5232" s="4">
        <v>0.52339999999999998</v>
      </c>
      <c r="L5232">
        <v>4.2</v>
      </c>
      <c r="M5232">
        <v>14</v>
      </c>
      <c r="O5232" t="s">
        <v>25</v>
      </c>
      <c r="P5232" t="s">
        <v>6098</v>
      </c>
      <c r="Q5232" t="s">
        <v>7082</v>
      </c>
    </row>
    <row r="5233" spans="1:17" ht="15.5" x14ac:dyDescent="0.35">
      <c r="A5233" s="3" t="str">
        <f>HYPERLINK("https://edmondsonsupply.com/collections/electricians-tools/products/klein-tools-jth9m2-2-mm-hey-key-journeyman%E2%84%A2-t-handle-9-inch", "https://edmondsonsupply.com/collections/electricians-tools/products/klein-tools-jth9m2-2-mm-hey-key-journeyman%E2%84%A2-t-handle-9-inch")</f>
        <v>https://edmondsonsupply.com/collections/electricians-tools/products/klein-tools-jth9m2-2-mm-hey-key-journeyman%E2%84%A2-t-handle-9-inch</v>
      </c>
      <c r="B5233" s="3" t="str">
        <f>HYPERLINK("https://edmondsonsupply.com/products/klein-tools-jth9m2-2-mm-hey-key-journeyman%e2%84%a2-t-handle-9-inch", "https://edmondsonsupply.com/products/klein-tools-jth9m2-2-mm-hey-key-journeyman%e2%84%a2-t-handle-9-inch")</f>
        <v>https://edmondsonsupply.com/products/klein-tools-jth9m2-2-mm-hey-key-journeyman%e2%84%a2-t-handle-9-inch</v>
      </c>
      <c r="C5233" t="s">
        <v>7079</v>
      </c>
      <c r="D5233" t="s">
        <v>7076</v>
      </c>
      <c r="E5233" s="3" t="str">
        <f>HYPERLINK("https://www.amazon.com/Journeyman-T-Handle-Klein-Tools-JTH9M2/dp/B005G3HIHY/ref=sr_1_1?keywords=Klein+Tools+JTH9M2+2+mm+Hey+Key%2C+Journeyman%E2%84%A2+T-Handle%2C+9-Inch&amp;qid=1695174085&amp;sr=8-1", "https://www.amazon.com/Journeyman-T-Handle-Klein-Tools-JTH9M2/dp/B005G3HIHY/ref=sr_1_1?keywords=Klein+Tools+JTH9M2+2+mm+Hey+Key%2C+Journeyman%E2%84%A2+T-Handle%2C+9-Inch&amp;qid=1695174085&amp;sr=8-1")</f>
        <v>https://www.amazon.com/Journeyman-T-Handle-Klein-Tools-JTH9M2/dp/B005G3HIHY/ref=sr_1_1?keywords=Klein+Tools+JTH9M2+2+mm+Hey+Key%2C+Journeyman%E2%84%A2+T-Handle%2C+9-Inch&amp;qid=1695174085&amp;sr=8-1</v>
      </c>
      <c r="F5233" t="s">
        <v>7077</v>
      </c>
      <c r="G5233" t="e">
        <f ca="1">_xludf.IMAGE("https://edmondsonsupply.com/cdn/shop/products/jth6m8_ddd5a1ff-5024-4b1a-83d1-8e932306f033.jpg?v=1675271602")</f>
        <v>#NAME?</v>
      </c>
      <c r="H5233" t="e">
        <f ca="1">_xludf.IMAGE("https://m.media-amazon.com/images/I/51+1x0vz9XL._AC_UL320_.jpg")</f>
        <v>#NAME?</v>
      </c>
      <c r="I5233" t="s">
        <v>6122</v>
      </c>
      <c r="J5233">
        <v>6.84</v>
      </c>
      <c r="K5233" s="4">
        <v>0.52339999999999998</v>
      </c>
      <c r="L5233">
        <v>4.5</v>
      </c>
      <c r="M5233">
        <v>49</v>
      </c>
      <c r="O5233" t="s">
        <v>25</v>
      </c>
      <c r="P5233" t="s">
        <v>6098</v>
      </c>
      <c r="Q5233" t="s">
        <v>7082</v>
      </c>
    </row>
    <row r="5234" spans="1:17" ht="15.5" x14ac:dyDescent="0.35">
      <c r="A5234"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5234" s="3" t="str">
        <f>HYPERLINK("https://edmondsonsupply.com/products/klein-tools-jth9m5-4-mm-hex-key-journeyman-t-handle-9-inch", "https://edmondsonsupply.com/products/klein-tools-jth9m5-4-mm-hex-key-journeyman-t-handle-9-inch")</f>
        <v>https://edmondsonsupply.com/products/klein-tools-jth9m5-4-mm-hex-key-journeyman-t-handle-9-inch</v>
      </c>
      <c r="C5234" t="s">
        <v>6121</v>
      </c>
      <c r="D5234" t="s">
        <v>7080</v>
      </c>
      <c r="E5234" s="3" t="str">
        <f>HYPERLINK("https://www.amazon.com/Journeyman-T-Handle-Klein-Tools-JTH9M25/dp/B005G3HIRY/ref=sr_1_7?keywords=Klein+Tools+JTH9M4+4+mm+Hex+Key%2C+Journeyman+T-Handle%2C+9-Inch&amp;qid=1695174234&amp;sr=8-7", "https://www.amazon.com/Journeyman-T-Handle-Klein-Tools-JTH9M25/dp/B005G3HIRY/ref=sr_1_7?keywords=Klein+Tools+JTH9M4+4+mm+Hex+Key%2C+Journeyman+T-Handle%2C+9-Inch&amp;qid=1695174234&amp;sr=8-7")</f>
        <v>https://www.amazon.com/Journeyman-T-Handle-Klein-Tools-JTH9M25/dp/B005G3HIRY/ref=sr_1_7?keywords=Klein+Tools+JTH9M4+4+mm+Hex+Key%2C+Journeyman+T-Handle%2C+9-Inch&amp;qid=1695174234&amp;sr=8-7</v>
      </c>
      <c r="F5234" t="s">
        <v>7081</v>
      </c>
      <c r="G5234" t="e">
        <f ca="1">_xludf.IMAGE("https://edmondsonsupply.com/cdn/shop/products/jth9m_fa8a641d-d03f-4191-ab24-b9045963e4f7.jpg?v=1640191121")</f>
        <v>#NAME?</v>
      </c>
      <c r="H5234" t="e">
        <f ca="1">_xludf.IMAGE("https://m.media-amazon.com/images/I/51+1x0vz9XL._AC_UL320_.jpg")</f>
        <v>#NAME?</v>
      </c>
      <c r="I5234" t="s">
        <v>6122</v>
      </c>
      <c r="J5234">
        <v>6.84</v>
      </c>
      <c r="K5234" s="4">
        <v>0.52339999999999998</v>
      </c>
      <c r="L5234">
        <v>4.2</v>
      </c>
      <c r="M5234">
        <v>14</v>
      </c>
      <c r="O5234" t="s">
        <v>25</v>
      </c>
      <c r="P5234" t="s">
        <v>6123</v>
      </c>
      <c r="Q5234" t="s">
        <v>6124</v>
      </c>
    </row>
    <row r="5235" spans="1:17" ht="15.5" x14ac:dyDescent="0.35">
      <c r="A5235" s="3" t="str">
        <f>HYPERLINK("https://edmondsonsupply.com/collections/electricians-tools/products/klein-tools-jth9m25-2-5-mm-hey-key-journeyman%E2%84%A2-t-handle-9-inch", "https://edmondsonsupply.com/collections/electricians-tools/products/klein-tools-jth9m25-2-5-mm-hey-key-journeyman%E2%84%A2-t-handle-9-inch")</f>
        <v>https://edmondsonsupply.com/collections/electricians-tools/products/klein-tools-jth9m25-2-5-mm-hey-key-journeyman%E2%84%A2-t-handle-9-inch</v>
      </c>
      <c r="B5235" s="3" t="str">
        <f>HYPERLINK("https://edmondsonsupply.com/products/klein-tools-jth9m25-2-5-mm-hey-key-journeyman%e2%84%a2-t-handle-9-inch", "https://edmondsonsupply.com/products/klein-tools-jth9m25-2-5-mm-hey-key-journeyman%e2%84%a2-t-handle-9-inch")</f>
        <v>https://edmondsonsupply.com/products/klein-tools-jth9m25-2-5-mm-hey-key-journeyman%e2%84%a2-t-handle-9-inch</v>
      </c>
      <c r="C5235" t="s">
        <v>7075</v>
      </c>
      <c r="D5235" t="s">
        <v>7080</v>
      </c>
      <c r="E5235" s="3" t="str">
        <f>HYPERLINK("https://www.amazon.com/Journeyman-T-Handle-Klein-Tools-JTH9M25/dp/B005G3HIRY/ref=sr_1_1?keywords=Klein+Tools+JTH9M25+2.5+mm+Hey+Key%2C+Journeyman%E2%84%A2+T-Handle%2C+9-Inch&amp;qid=1695174070&amp;sr=8-1", "https://www.amazon.com/Journeyman-T-Handle-Klein-Tools-JTH9M25/dp/B005G3HIRY/ref=sr_1_1?keywords=Klein+Tools+JTH9M25+2.5+mm+Hey+Key%2C+Journeyman%E2%84%A2+T-Handle%2C+9-Inch&amp;qid=1695174070&amp;sr=8-1")</f>
        <v>https://www.amazon.com/Journeyman-T-Handle-Klein-Tools-JTH9M25/dp/B005G3HIRY/ref=sr_1_1?keywords=Klein+Tools+JTH9M25+2.5+mm+Hey+Key%2C+Journeyman%E2%84%A2+T-Handle%2C+9-Inch&amp;qid=1695174070&amp;sr=8-1</v>
      </c>
      <c r="F5235" t="s">
        <v>7081</v>
      </c>
      <c r="G5235" t="e">
        <f ca="1">_xludf.IMAGE("https://edmondsonsupply.com/cdn/shop/products/jth6m8_7566f3df-6fcc-4a61-b504-1685e861a479.jpg?v=1678199657")</f>
        <v>#NAME?</v>
      </c>
      <c r="H5235" t="e">
        <f ca="1">_xludf.IMAGE("https://m.media-amazon.com/images/I/51+1x0vz9XL._AC_UL320_.jpg")</f>
        <v>#NAME?</v>
      </c>
      <c r="I5235" t="s">
        <v>6122</v>
      </c>
      <c r="J5235">
        <v>6.84</v>
      </c>
      <c r="K5235" s="4">
        <v>0.52339999999999998</v>
      </c>
      <c r="L5235">
        <v>4.2</v>
      </c>
      <c r="M5235">
        <v>14</v>
      </c>
      <c r="O5235" t="s">
        <v>25</v>
      </c>
      <c r="P5235" t="s">
        <v>6098</v>
      </c>
      <c r="Q5235" t="s">
        <v>7078</v>
      </c>
    </row>
    <row r="5236" spans="1:17" ht="15.5" x14ac:dyDescent="0.35">
      <c r="A5236" s="3" t="str">
        <f>HYPERLINK("https://edmondsonsupply.com/collections/electricians-tools/products/klein-tools-32478-bit-for-32476-and-32460-1-ph-3-16-inch-sl", "https://edmondsonsupply.com/collections/electricians-tools/products/klein-tools-32478-bit-for-32476-and-32460-1-ph-3-16-inch-sl")</f>
        <v>https://edmondsonsupply.com/collections/electricians-tools/products/klein-tools-32478-bit-for-32476-and-32460-1-ph-3-16-inch-sl</v>
      </c>
      <c r="B5236" s="3" t="str">
        <f>HYPERLINK("https://edmondsonsupply.com/products/klein-tools-32478-bit-for-32476-and-32460-1-ph-3-16-inch-sl", "https://edmondsonsupply.com/products/klein-tools-32478-bit-for-32476-and-32460-1-ph-3-16-inch-sl")</f>
        <v>https://edmondsonsupply.com/products/klein-tools-32478-bit-for-32476-and-32460-1-ph-3-16-inch-sl</v>
      </c>
      <c r="C5236" t="s">
        <v>7083</v>
      </c>
      <c r="D5236" t="s">
        <v>7084</v>
      </c>
      <c r="E5236" s="3" t="str">
        <f>HYPERLINK("https://www.amazon.com/Klein-Tools-Replacement-Phillips-Screwdriver/dp/B000936PTS/ref=sr_1_3?keywords=Klein+Tools+32478+Bit+for+32476+and+32460%2C&amp;qid=1695174271&amp;sr=8-3", "https://www.amazon.com/Klein-Tools-Replacement-Phillips-Screwdriver/dp/B000936PTS/ref=sr_1_3?keywords=Klein+Tools+32478+Bit+for+32476+and+32460%2C&amp;qid=1695174271&amp;sr=8-3")</f>
        <v>https://www.amazon.com/Klein-Tools-Replacement-Phillips-Screwdriver/dp/B000936PTS/ref=sr_1_3?keywords=Klein+Tools+32478+Bit+for+32476+and+32460%2C&amp;qid=1695174271&amp;sr=8-3</v>
      </c>
      <c r="F5236" t="s">
        <v>7085</v>
      </c>
      <c r="G5236" t="e">
        <f ca="1">_xludf.IMAGE("https://edmondsonsupply.com/cdn/shop/products/32478.jpg?v=1633031086")</f>
        <v>#NAME?</v>
      </c>
      <c r="H5236" t="e">
        <f ca="1">_xludf.IMAGE("https://m.media-amazon.com/images/I/51kEiCqvjBL._AC_UL320_.jpg")</f>
        <v>#NAME?</v>
      </c>
      <c r="I5236" t="s">
        <v>7086</v>
      </c>
      <c r="J5236">
        <v>4.99</v>
      </c>
      <c r="K5236" s="4">
        <v>0.51670000000000005</v>
      </c>
      <c r="L5236">
        <v>4.7</v>
      </c>
      <c r="M5236">
        <v>4276</v>
      </c>
      <c r="O5236" t="s">
        <v>25</v>
      </c>
      <c r="P5236" t="s">
        <v>7087</v>
      </c>
      <c r="Q5236" t="s">
        <v>7088</v>
      </c>
    </row>
    <row r="5237" spans="1:17" ht="15.5" x14ac:dyDescent="0.35">
      <c r="A5237"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5237" s="3" t="str">
        <f>HYPERLINK("https://edmondsonsupply.com/products/klein-tools-11046-wire-stripper-cutter-16-26-awg-stranded", "https://edmondsonsupply.com/products/klein-tools-11046-wire-stripper-cutter-16-26-awg-stranded")</f>
        <v>https://edmondsonsupply.com/products/klein-tools-11046-wire-stripper-cutter-16-26-awg-stranded</v>
      </c>
      <c r="C5237" t="s">
        <v>2278</v>
      </c>
      <c r="D5237" t="s">
        <v>3093</v>
      </c>
      <c r="E5237" s="3" t="str">
        <f>HYPERLINK("https://www.amazon.com/Klein-Tools-Stripper-Stranded-Hakko-CHP-170/dp/B0BSKRVY7T/ref=sr_1_3?keywords=Klein+Tools+11046+Wire+Stripper%2FCutter+16-26+AWG+Stranded&amp;qid=1695173951&amp;sr=8-3", "https://www.amazon.com/Klein-Tools-Stripper-Stranded-Hakko-CHP-170/dp/B0BSKRVY7T/ref=sr_1_3?keywords=Klein+Tools+11046+Wire+Stripper%2FCutter+16-26+AWG+Stranded&amp;qid=1695173951&amp;sr=8-3")</f>
        <v>https://www.amazon.com/Klein-Tools-Stripper-Stranded-Hakko-CHP-170/dp/B0BSKRVY7T/ref=sr_1_3?keywords=Klein+Tools+11046+Wire+Stripper%2FCutter+16-26+AWG+Stranded&amp;qid=1695173951&amp;sr=8-3</v>
      </c>
      <c r="F5237" t="s">
        <v>3094</v>
      </c>
      <c r="G5237" t="e">
        <f ca="1">_xludf.IMAGE("https://edmondsonsupply.com/cdn/shop/products/11046.jpg?v=1587147965")</f>
        <v>#NAME?</v>
      </c>
      <c r="H5237" t="e">
        <f ca="1">_xludf.IMAGE("https://m.media-amazon.com/images/I/41c3ukqCE4L._AC_UL320_.jpg")</f>
        <v>#NAME?</v>
      </c>
      <c r="I5237" t="s">
        <v>143</v>
      </c>
      <c r="J5237">
        <v>24.21</v>
      </c>
      <c r="K5237" s="4">
        <v>0.51600000000000001</v>
      </c>
      <c r="L5237">
        <v>5</v>
      </c>
      <c r="M5237">
        <v>1</v>
      </c>
      <c r="O5237" t="s">
        <v>25</v>
      </c>
      <c r="P5237" t="s">
        <v>2281</v>
      </c>
      <c r="Q5237" t="s">
        <v>2282</v>
      </c>
    </row>
    <row r="5238" spans="1:17" ht="15.5" x14ac:dyDescent="0.35">
      <c r="A5238"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5238"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5238" t="s">
        <v>7089</v>
      </c>
      <c r="D5238" t="s">
        <v>7090</v>
      </c>
      <c r="E5238" s="3" t="str">
        <f>HYPERLINK("https://www.amazon.com/Channellock-2-Inch-12-Inch-Tongue-Groove/dp/B000189GSI/ref=sr_1_4?keywords=Channellock+440X+12-Inch+SPEEDGRIP%E2%84%A2+Straight+Jaw+Tongue+%26+Groove+Pliers&amp;qid=1695174216&amp;sr=8-4", "https://www.amazon.com/Channellock-2-Inch-12-Inch-Tongue-Groove/dp/B000189GSI/ref=sr_1_4?keywords=Channellock+440X+12-Inch+SPEEDGRIP%E2%84%A2+Straight+Jaw+Tongue+%26+Groove+Pliers&amp;qid=1695174216&amp;sr=8-4")</f>
        <v>https://www.amazon.com/Channellock-2-Inch-12-Inch-Tongue-Groove/dp/B000189GSI/ref=sr_1_4?keywords=Channellock+440X+12-Inch+SPEEDGRIP%E2%84%A2+Straight+Jaw+Tongue+%26+Groove+Pliers&amp;qid=1695174216&amp;sr=8-4</v>
      </c>
      <c r="F5238" t="s">
        <v>7091</v>
      </c>
      <c r="G5238" t="e">
        <f ca="1">_xludf.IMAGE("https://edmondsonsupply.com/cdn/shop/products/440X.jpg?v=1647104734")</f>
        <v>#NAME?</v>
      </c>
      <c r="H5238" t="e">
        <f ca="1">_xludf.IMAGE("https://m.media-amazon.com/images/I/71Ywnx9+h8L._AC_UL320_.jpg")</f>
        <v>#NAME?</v>
      </c>
      <c r="I5238" t="s">
        <v>122</v>
      </c>
      <c r="J5238">
        <v>49.95</v>
      </c>
      <c r="K5238" s="4">
        <v>0.51590000000000003</v>
      </c>
      <c r="L5238">
        <v>4.8</v>
      </c>
      <c r="M5238">
        <v>5487</v>
      </c>
      <c r="O5238" t="s">
        <v>25</v>
      </c>
      <c r="P5238" t="s">
        <v>7092</v>
      </c>
      <c r="Q5238" t="s">
        <v>7093</v>
      </c>
    </row>
    <row r="5239" spans="1:17" ht="15.5" x14ac:dyDescent="0.35">
      <c r="A5239" s="3" t="str">
        <f>HYPERLINK("https://edmondsonsupply.com/collections/electricians-tools/products/milwaukee-49-56-0197-3-5-8-hole-dozer%E2%84%A2-hole-saw-bi-metal-cup", "https://edmondsonsupply.com/collections/electricians-tools/products/milwaukee-49-56-0197-3-5-8-hole-dozer%E2%84%A2-hole-saw-bi-metal-cup")</f>
        <v>https://edmondsonsupply.com/collections/electricians-tools/products/milwaukee-49-56-0197-3-5-8-hole-dozer%E2%84%A2-hole-saw-bi-metal-cup</v>
      </c>
      <c r="B5239" s="3" t="str">
        <f>HYPERLINK("https://edmondsonsupply.com/products/milwaukee-49-56-0197-3-5-8-hole-dozer%e2%84%a2-hole-saw-bi-metal-cup", "https://edmondsonsupply.com/products/milwaukee-49-56-0197-3-5-8-hole-dozer%e2%84%a2-hole-saw-bi-metal-cup")</f>
        <v>https://edmondsonsupply.com/products/milwaukee-49-56-0197-3-5-8-hole-dozer%e2%84%a2-hole-saw-bi-metal-cup</v>
      </c>
      <c r="C5239" t="s">
        <v>6494</v>
      </c>
      <c r="D5239" t="s">
        <v>6447</v>
      </c>
      <c r="E5239" s="3" t="str">
        <f>HYPERLINK("https://www.amazon.com/Milwaukee-Electric-Tool-49-56-0193-Bi-Metal/dp/B0017WTULA/ref=sr_1_2?keywords=Milwaukee+49-56-0197+3-5%2F8%22+HOLE+DOZER%E2%84%A2+Hole+Saw+Bi-Metal+Cup&amp;qid=1695174058&amp;sr=8-2", "https://www.amazon.com/Milwaukee-Electric-Tool-49-56-0193-Bi-Metal/dp/B0017WTULA/ref=sr_1_2?keywords=Milwaukee+49-56-0197+3-5%2F8%22+HOLE+DOZER%E2%84%A2+Hole+Saw+Bi-Metal+Cup&amp;qid=1695174058&amp;sr=8-2")</f>
        <v>https://www.amazon.com/Milwaukee-Electric-Tool-49-56-0193-Bi-Metal/dp/B0017WTULA/ref=sr_1_2?keywords=Milwaukee+49-56-0197+3-5%2F8%22+HOLE+DOZER%E2%84%A2+Hole+Saw+Bi-Metal+Cup&amp;qid=1695174058&amp;sr=8-2</v>
      </c>
      <c r="F5239" t="s">
        <v>6448</v>
      </c>
      <c r="G5239" t="e">
        <f ca="1">_xludf.IMAGE("https://edmondsonsupply.com/cdn/shop/products/49-56-0052_101_1_b485d0b4-965d-40fc-a007-7e23c4d86724.webp?v=1678912947")</f>
        <v>#NAME?</v>
      </c>
      <c r="H5239" t="e">
        <f ca="1">_xludf.IMAGE("https://m.media-amazon.com/images/I/51Yfl2-hbuL._AC_UL320_.jpg")</f>
        <v>#NAME?</v>
      </c>
      <c r="I5239" t="s">
        <v>6495</v>
      </c>
      <c r="J5239">
        <v>18.45</v>
      </c>
      <c r="K5239" s="4">
        <v>0.51349999999999996</v>
      </c>
      <c r="L5239">
        <v>4.5999999999999996</v>
      </c>
      <c r="M5239">
        <v>249</v>
      </c>
      <c r="O5239" t="s">
        <v>25</v>
      </c>
      <c r="P5239" t="s">
        <v>6496</v>
      </c>
      <c r="Q5239" t="s">
        <v>6497</v>
      </c>
    </row>
    <row r="5240" spans="1:17" ht="15.5" x14ac:dyDescent="0.35">
      <c r="A5240" s="3" t="str">
        <f>HYPERLINK("https://edmondsonsupply.com/collections/electricians-tools/products/klein-tools-55580-tradesman-tumbler", "https://edmondsonsupply.com/collections/electricians-tools/products/klein-tools-55580-tradesman-tumbler")</f>
        <v>https://edmondsonsupply.com/collections/electricians-tools/products/klein-tools-55580-tradesman-tumbler</v>
      </c>
      <c r="B5240" s="3" t="str">
        <f>HYPERLINK("https://edmondsonsupply.com/products/klein-tools-55580-tradesman-tumbler", "https://edmondsonsupply.com/products/klein-tools-55580-tradesman-tumbler")</f>
        <v>https://edmondsonsupply.com/products/klein-tools-55580-tradesman-tumbler</v>
      </c>
      <c r="C5240" t="s">
        <v>1947</v>
      </c>
      <c r="D5240" t="s">
        <v>3102</v>
      </c>
      <c r="E5240" s="3" t="str">
        <f>HYPERLINK("https://www.amazon.com/Klein-Tools-Stainless-Electricians-Splitting/dp/B0BNL9BF2K/ref=sr_1_5?keywords=Klein+Tools+55580+Tradesman+Tumbler&amp;qid=1695173884&amp;sr=8-5", "https://www.amazon.com/Klein-Tools-Stainless-Electricians-Splitting/dp/B0BNL9BF2K/ref=sr_1_5?keywords=Klein+Tools+55580+Tradesman+Tumbler&amp;qid=1695173884&amp;sr=8-5")</f>
        <v>https://www.amazon.com/Klein-Tools-Stainless-Electricians-Splitting/dp/B0BNL9BF2K/ref=sr_1_5?keywords=Klein+Tools+55580+Tradesman+Tumbler&amp;qid=1695173884&amp;sr=8-5</v>
      </c>
      <c r="F5240" t="s">
        <v>3103</v>
      </c>
      <c r="G5240" t="e">
        <f ca="1">_xludf.IMAGE("https://edmondsonsupply.com/cdn/shop/products/55580.jpg?v=1633030612")</f>
        <v>#NAME?</v>
      </c>
      <c r="H5240" t="e">
        <f ca="1">_xludf.IMAGE("https://m.media-amazon.com/images/I/41iUFla+16L._AC_UL320_.jpg")</f>
        <v>#NAME?</v>
      </c>
      <c r="I5240" t="s">
        <v>824</v>
      </c>
      <c r="J5240">
        <v>45.3</v>
      </c>
      <c r="K5240" s="4">
        <v>0.51149999999999995</v>
      </c>
      <c r="L5240">
        <v>5</v>
      </c>
      <c r="M5240">
        <v>1</v>
      </c>
      <c r="O5240" t="s">
        <v>25</v>
      </c>
      <c r="P5240" t="s">
        <v>562</v>
      </c>
      <c r="Q5240" t="s">
        <v>1950</v>
      </c>
    </row>
    <row r="5241" spans="1:17" ht="15.5" x14ac:dyDescent="0.35">
      <c r="A5241"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5241"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5241" t="s">
        <v>2344</v>
      </c>
      <c r="D5241" t="s">
        <v>2386</v>
      </c>
      <c r="E5241" s="3" t="str">
        <f>HYPERLINK("https://www.amazon.com/Journeyman-T-Handle-Klein-Tools-JTH6E13BE/dp/B004QW52YW/ref=sr_1_6?keywords=Klein+Tools+JTH6E14+5%2F16-Inch+Hex+Key+with+Journeyman+T-Handle%2C+6-Inch&amp;qid=1695173855&amp;sr=8-6", "https://www.amazon.com/Journeyman-T-Handle-Klein-Tools-JTH6E13BE/dp/B004QW52YW/ref=sr_1_6?keywords=Klein+Tools+JTH6E14+5%2F16-Inch+Hex+Key+with+Journeyman+T-Handle%2C+6-Inch&amp;qid=1695173855&amp;sr=8-6")</f>
        <v>https://www.amazon.com/Journeyman-T-Handle-Klein-Tools-JTH6E13BE/dp/B004QW52YW/ref=sr_1_6?keywords=Klein+Tools+JTH6E14+5%2F16-Inch+Hex+Key+with+Journeyman+T-Handle%2C+6-Inch&amp;qid=1695173855&amp;sr=8-6</v>
      </c>
      <c r="F5241" t="s">
        <v>2387</v>
      </c>
      <c r="G5241" t="e">
        <f ca="1">_xludf.IMAGE("https://edmondsonsupply.com/cdn/shop/products/jth6e15.jpg?v=1587148489")</f>
        <v>#NAME?</v>
      </c>
      <c r="H5241" t="e">
        <f ca="1">_xludf.IMAGE("https://m.media-amazon.com/images/I/51f9vBFVXgL._AC_UL320_.jpg")</f>
        <v>#NAME?</v>
      </c>
      <c r="I5241" t="s">
        <v>2347</v>
      </c>
      <c r="J5241">
        <v>10.55</v>
      </c>
      <c r="K5241" s="4">
        <v>0.50929999999999997</v>
      </c>
      <c r="L5241">
        <v>4.7</v>
      </c>
      <c r="M5241">
        <v>32</v>
      </c>
      <c r="O5241" t="s">
        <v>25</v>
      </c>
      <c r="P5241" t="s">
        <v>1140</v>
      </c>
      <c r="Q5241" t="s">
        <v>2348</v>
      </c>
    </row>
    <row r="5242" spans="1:17" ht="15.5" x14ac:dyDescent="0.35">
      <c r="A5242"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5242"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5242" t="s">
        <v>2344</v>
      </c>
      <c r="D5242" t="s">
        <v>3108</v>
      </c>
      <c r="E5242" s="3" t="str">
        <f>HYPERLINK("https://www.amazon.com/Journeyman-T-Handle-Klein-Tools-JTH6T15/dp/B005G3B43I/ref=sr_1_7?keywords=Klein+Tools+JTH6E14+5%2F16-Inch+Hex+Key+with+Journeyman+T-Handle%2C+6-Inch&amp;qid=1695173855&amp;sr=8-7", "https://www.amazon.com/Journeyman-T-Handle-Klein-Tools-JTH6T15/dp/B005G3B43I/ref=sr_1_7?keywords=Klein+Tools+JTH6E14+5%2F16-Inch+Hex+Key+with+Journeyman+T-Handle%2C+6-Inch&amp;qid=1695173855&amp;sr=8-7")</f>
        <v>https://www.amazon.com/Journeyman-T-Handle-Klein-Tools-JTH6T15/dp/B005G3B43I/ref=sr_1_7?keywords=Klein+Tools+JTH6E14+5%2F16-Inch+Hex+Key+with+Journeyman+T-Handle%2C+6-Inch&amp;qid=1695173855&amp;sr=8-7</v>
      </c>
      <c r="F5242" t="s">
        <v>3109</v>
      </c>
      <c r="G5242" t="e">
        <f ca="1">_xludf.IMAGE("https://edmondsonsupply.com/cdn/shop/products/jth6e15.jpg?v=1587148489")</f>
        <v>#NAME?</v>
      </c>
      <c r="H5242" t="e">
        <f ca="1">_xludf.IMAGE("https://m.media-amazon.com/images/I/51Xj0Vsb-EL._AC_UL320_.jpg")</f>
        <v>#NAME?</v>
      </c>
      <c r="I5242" t="s">
        <v>2347</v>
      </c>
      <c r="J5242">
        <v>10.53</v>
      </c>
      <c r="K5242" s="4">
        <v>0.50639999999999996</v>
      </c>
      <c r="L5242">
        <v>4.5999999999999996</v>
      </c>
      <c r="M5242">
        <v>232</v>
      </c>
      <c r="O5242" t="s">
        <v>25</v>
      </c>
      <c r="P5242" t="s">
        <v>1140</v>
      </c>
      <c r="Q5242" t="s">
        <v>2348</v>
      </c>
    </row>
    <row r="5243" spans="1:17" ht="15.5" x14ac:dyDescent="0.35">
      <c r="A5243" s="3" t="str">
        <f>HYPERLINK("https://edmondsonsupply.com/collections/electricians-tools/products/klein-tools-6884ins-insulated-screwdriver-1-square-tip-4-inch-shank", "https://edmondsonsupply.com/collections/electricians-tools/products/klein-tools-6884ins-insulated-screwdriver-1-square-tip-4-inch-shank")</f>
        <v>https://edmondsonsupply.com/collections/electricians-tools/products/klein-tools-6884ins-insulated-screwdriver-1-square-tip-4-inch-shank</v>
      </c>
      <c r="B5243" s="3" t="str">
        <f>HYPERLINK("https://edmondsonsupply.com/products/klein-tools-6884ins-insulated-screwdriver-1-square-tip-4-inch-shank", "https://edmondsonsupply.com/products/klein-tools-6884ins-insulated-screwdriver-1-square-tip-4-inch-shank")</f>
        <v>https://edmondsonsupply.com/products/klein-tools-6884ins-insulated-screwdriver-1-square-tip-4-inch-shank</v>
      </c>
      <c r="C5243" t="s">
        <v>7094</v>
      </c>
      <c r="D5243" t="s">
        <v>7095</v>
      </c>
      <c r="E5243" s="3" t="str">
        <f>HYPERLINK("https://www.amazon.com/Klein-Tools-6986INS-Screwdriver-Cushion-Grip/dp/B09GPYQ7DM/ref=sr_1_5?keywords=Klein+Tools+6884INS+Insulated+Screwdriver%2C&amp;qid=1695174141&amp;sr=8-5", "https://www.amazon.com/Klein-Tools-6986INS-Screwdriver-Cushion-Grip/dp/B09GPYQ7DM/ref=sr_1_5?keywords=Klein+Tools+6884INS+Insulated+Screwdriver%2C&amp;qid=1695174141&amp;sr=8-5")</f>
        <v>https://www.amazon.com/Klein-Tools-6986INS-Screwdriver-Cushion-Grip/dp/B09GPYQ7DM/ref=sr_1_5?keywords=Klein+Tools+6884INS+Insulated+Screwdriver%2C&amp;qid=1695174141&amp;sr=8-5</v>
      </c>
      <c r="F5243" t="s">
        <v>7096</v>
      </c>
      <c r="G5243" t="e">
        <f ca="1">_xludf.IMAGE("https://edmondsonsupply.com/cdn/shop/products/6884ins.jpg?v=1664889244")</f>
        <v>#NAME?</v>
      </c>
      <c r="H5243" t="e">
        <f ca="1">_xludf.IMAGE("https://m.media-amazon.com/images/I/41d5Ic37xZL._AC_UL320_.jpg")</f>
        <v>#NAME?</v>
      </c>
      <c r="I5243" t="s">
        <v>1427</v>
      </c>
      <c r="J5243">
        <v>14.99</v>
      </c>
      <c r="K5243" s="4">
        <v>0.50349999999999995</v>
      </c>
      <c r="L5243">
        <v>4.8</v>
      </c>
      <c r="M5243">
        <v>29</v>
      </c>
      <c r="O5243" t="s">
        <v>25</v>
      </c>
      <c r="P5243" t="s">
        <v>6735</v>
      </c>
      <c r="Q5243" t="s">
        <v>7097</v>
      </c>
    </row>
    <row r="5244" spans="1:17" ht="15.5" x14ac:dyDescent="0.35">
      <c r="A5244" s="3" t="str">
        <f>HYPERLINK("https://edmondsonsupply.com/collections/electricians-tools/products/klein-tools-6884ins-insulated-screwdriver-1-square-tip-4-inch-shank", "https://edmondsonsupply.com/collections/electricians-tools/products/klein-tools-6884ins-insulated-screwdriver-1-square-tip-4-inch-shank")</f>
        <v>https://edmondsonsupply.com/collections/electricians-tools/products/klein-tools-6884ins-insulated-screwdriver-1-square-tip-4-inch-shank</v>
      </c>
      <c r="B5244" s="3" t="str">
        <f>HYPERLINK("https://edmondsonsupply.com/products/klein-tools-6884ins-insulated-screwdriver-1-square-tip-4-inch-shank", "https://edmondsonsupply.com/products/klein-tools-6884ins-insulated-screwdriver-1-square-tip-4-inch-shank")</f>
        <v>https://edmondsonsupply.com/products/klein-tools-6884ins-insulated-screwdriver-1-square-tip-4-inch-shank</v>
      </c>
      <c r="C5244" t="s">
        <v>7094</v>
      </c>
      <c r="D5244" t="s">
        <v>7098</v>
      </c>
      <c r="E5244" s="3" t="str">
        <f>HYPERLINK("https://www.amazon.com/Klein-Tools-6926INS-Screwdriver-Cushion-Grip/dp/B09GL1X5SZ/ref=sr_1_4?keywords=Klein+Tools+6884INS+Insulated+Screwdriver%2C&amp;qid=1695174141&amp;sr=8-4", "https://www.amazon.com/Klein-Tools-6926INS-Screwdriver-Cushion-Grip/dp/B09GL1X5SZ/ref=sr_1_4?keywords=Klein+Tools+6884INS+Insulated+Screwdriver%2C&amp;qid=1695174141&amp;sr=8-4")</f>
        <v>https://www.amazon.com/Klein-Tools-6926INS-Screwdriver-Cushion-Grip/dp/B09GL1X5SZ/ref=sr_1_4?keywords=Klein+Tools+6884INS+Insulated+Screwdriver%2C&amp;qid=1695174141&amp;sr=8-4</v>
      </c>
      <c r="F5244" t="s">
        <v>7099</v>
      </c>
      <c r="G5244" t="e">
        <f ca="1">_xludf.IMAGE("https://edmondsonsupply.com/cdn/shop/products/6884ins.jpg?v=1664889244")</f>
        <v>#NAME?</v>
      </c>
      <c r="H5244" t="e">
        <f ca="1">_xludf.IMAGE("https://m.media-amazon.com/images/I/41JbepP5oGL._AC_UL320_.jpg")</f>
        <v>#NAME?</v>
      </c>
      <c r="I5244" t="s">
        <v>1427</v>
      </c>
      <c r="J5244">
        <v>14.99</v>
      </c>
      <c r="K5244" s="4">
        <v>0.50349999999999995</v>
      </c>
      <c r="L5244">
        <v>4.8</v>
      </c>
      <c r="M5244">
        <v>85</v>
      </c>
      <c r="O5244" t="s">
        <v>25</v>
      </c>
      <c r="P5244" t="s">
        <v>6735</v>
      </c>
      <c r="Q5244" t="s">
        <v>7097</v>
      </c>
    </row>
    <row r="5245" spans="1:17" ht="15.5" x14ac:dyDescent="0.35">
      <c r="A5245"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5245"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5245" t="s">
        <v>6812</v>
      </c>
      <c r="D5245" t="s">
        <v>7098</v>
      </c>
      <c r="E5245" s="3" t="str">
        <f>HYPERLINK("https://www.amazon.com/Klein-Tools-6926INS-Screwdriver-Cushion-Grip/dp/B09GL1X5SZ/ref=sr_1_5?keywords=Klein+Tools+6824INS+Insulated+Screwdriver%2C+1%2F4-Inch+Cabinet+Tip%2C+4-Inch+Round+Shank&amp;qid=1695174148&amp;sr=8-5", "https://www.amazon.com/Klein-Tools-6926INS-Screwdriver-Cushion-Grip/dp/B09GL1X5SZ/ref=sr_1_5?keywords=Klein+Tools+6824INS+Insulated+Screwdriver%2C+1%2F4-Inch+Cabinet+Tip%2C+4-Inch+Round+Shank&amp;qid=1695174148&amp;sr=8-5")</f>
        <v>https://www.amazon.com/Klein-Tools-6926INS-Screwdriver-Cushion-Grip/dp/B09GL1X5SZ/ref=sr_1_5?keywords=Klein+Tools+6824INS+Insulated+Screwdriver%2C+1%2F4-Inch+Cabinet+Tip%2C+4-Inch+Round+Shank&amp;qid=1695174148&amp;sr=8-5</v>
      </c>
      <c r="F5245" t="s">
        <v>7099</v>
      </c>
      <c r="G5245" t="e">
        <f ca="1">_xludf.IMAGE("https://edmondsonsupply.com/cdn/shop/products/6824ins.jpg?v=1664813487")</f>
        <v>#NAME?</v>
      </c>
      <c r="H5245" t="e">
        <f ca="1">_xludf.IMAGE("https://m.media-amazon.com/images/I/41JbepP5oGL._AC_UL320_.jpg")</f>
        <v>#NAME?</v>
      </c>
      <c r="I5245" t="s">
        <v>1427</v>
      </c>
      <c r="J5245">
        <v>14.99</v>
      </c>
      <c r="K5245" s="4">
        <v>0.50349999999999995</v>
      </c>
      <c r="L5245">
        <v>4.8</v>
      </c>
      <c r="M5245">
        <v>85</v>
      </c>
      <c r="O5245" t="s">
        <v>25</v>
      </c>
      <c r="P5245" t="s">
        <v>6813</v>
      </c>
      <c r="Q5245" t="s">
        <v>6814</v>
      </c>
    </row>
    <row r="5246" spans="1:17" ht="15.5" x14ac:dyDescent="0.35">
      <c r="A5246"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5246"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5246" t="s">
        <v>7100</v>
      </c>
      <c r="D5246" t="s">
        <v>7101</v>
      </c>
      <c r="E5246" s="3" t="str">
        <f>HYPERLINK("https://www.amazon.com/Diablo-DOS125JBW3-Starlock-Bi-Metal-Oscillating/dp/B089KWG9Z3/ref=sr_1_8?keywords=Diablo+Tools+DOU125JBW+1-1%2F4+in.+Universal+Fit+Bi-Metal+Oscillating+Blades+for+Clean+Wood&amp;qid=1695174246&amp;sr=8-8", "https://www.amazon.com/Diablo-DOS125JBW3-Starlock-Bi-Metal-Oscillating/dp/B089KWG9Z3/ref=sr_1_8?keywords=Diablo+Tools+DOU125JBW+1-1%2F4+in.+Universal+Fit+Bi-Metal+Oscillating+Blades+for+Clean+Wood&amp;qid=1695174246&amp;sr=8-8")</f>
        <v>https://www.amazon.com/Diablo-DOS125JBW3-Starlock-Bi-Metal-Oscillating/dp/B089KWG9Z3/ref=sr_1_8?keywords=Diablo+Tools+DOU125JBW+1-1%2F4+in.+Universal+Fit+Bi-Metal+Oscillating+Blades+for+Clean+Wood&amp;qid=1695174246&amp;sr=8-8</v>
      </c>
      <c r="F5246" t="s">
        <v>7102</v>
      </c>
      <c r="G5246" t="e">
        <f ca="1">_xludf.IMAGE("https://edmondsonsupply.com/cdn/shop/products/DOU125JBW_Main-Image.png?v=1633638363")</f>
        <v>#NAME?</v>
      </c>
      <c r="H5246" t="e">
        <f ca="1">_xludf.IMAGE("https://m.media-amazon.com/images/I/61pZ45bX2GL._AC_UL320_.jpg")</f>
        <v>#NAME?</v>
      </c>
      <c r="I5246" t="s">
        <v>2586</v>
      </c>
      <c r="J5246">
        <v>27</v>
      </c>
      <c r="K5246" s="4">
        <v>0.50249999999999995</v>
      </c>
      <c r="L5246">
        <v>4.4000000000000004</v>
      </c>
      <c r="M5246">
        <v>46</v>
      </c>
      <c r="O5246" t="s">
        <v>25</v>
      </c>
      <c r="P5246" t="s">
        <v>6943</v>
      </c>
      <c r="Q5246" t="s">
        <v>7103</v>
      </c>
    </row>
    <row r="5247" spans="1:17" ht="15.5" x14ac:dyDescent="0.35">
      <c r="A5247" s="3" t="str">
        <f>HYPERLINK("https://edmondsonsupply.com/collections/electricians-tools/products/edge-eyewear-sr116-reclus-black-frame-smoke-lens-safety-glasses", "https://edmondsonsupply.com/collections/electricians-tools/products/edge-eyewear-sr116-reclus-black-frame-smoke-lens-safety-glasses")</f>
        <v>https://edmondsonsupply.com/collections/electricians-tools/products/edge-eyewear-sr116-reclus-black-frame-smoke-lens-safety-glasses</v>
      </c>
      <c r="B5247"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5247" t="s">
        <v>985</v>
      </c>
      <c r="D5247" t="s">
        <v>986</v>
      </c>
      <c r="E5247" s="3" t="str">
        <f>HYPERLINK("https://www.amazon.com/TSR216-Polarized-Wrap-Around-Anti-Scratch-Compliant/dp/B08FXW56MB/ref=sr_1_2?keywords=Edge+Eyewear+SR116+Reclus+-+Black+Frame%2FSmoke+Lens%2C+Safety+Glasses&amp;qid=1695174291&amp;sr=8-2", "https://www.amazon.com/TSR216-Polarized-Wrap-Around-Anti-Scratch-Compliant/dp/B08FXW56MB/ref=sr_1_2?keywords=Edge+Eyewear+SR116+Reclus+-+Black+Frame%2FSmoke+Lens%2C+Safety+Glasses&amp;qid=1695174291&amp;sr=8-2")</f>
        <v>https://www.amazon.com/TSR216-Polarized-Wrap-Around-Anti-Scratch-Compliant/dp/B08FXW56MB/ref=sr_1_2?keywords=Edge+Eyewear+SR116+Reclus+-+Black+Frame%2FSmoke+Lens%2C+Safety+Glasses&amp;qid=1695174291&amp;sr=8-2</v>
      </c>
      <c r="F5247" t="s">
        <v>987</v>
      </c>
      <c r="G5247" t="e">
        <f ca="1">_xludf.IMAGE("https://edmondsonsupply.com/cdn/shop/products/SR116_1512x_cc8649c7-14e6-4c1c-9513-7dd61f5f7eb9.png?v=1633030940")</f>
        <v>#NAME?</v>
      </c>
      <c r="H5247" t="e">
        <f ca="1">_xludf.IMAGE("https://m.media-amazon.com/images/I/615MbbmlDXL._AC_UL320_.jpg")</f>
        <v>#NAME?</v>
      </c>
      <c r="I5247" t="s">
        <v>988</v>
      </c>
      <c r="J5247">
        <v>24.74</v>
      </c>
      <c r="K5247" s="4">
        <v>0.50209999999999999</v>
      </c>
      <c r="L5247">
        <v>3.8</v>
      </c>
      <c r="M5247">
        <v>7</v>
      </c>
      <c r="O5247" t="s">
        <v>25</v>
      </c>
      <c r="P5247" t="s">
        <v>989</v>
      </c>
      <c r="Q5247" t="s">
        <v>990</v>
      </c>
    </row>
    <row r="5248" spans="1:17" ht="15.5" x14ac:dyDescent="0.35">
      <c r="A5248"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5248"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5248" t="s">
        <v>7104</v>
      </c>
      <c r="D5248" t="s">
        <v>6999</v>
      </c>
      <c r="E5248" s="3" t="str">
        <f>HYPERLINK("https://www.amazon.com/Klein-Tools-80065-Multi-Bit-Screwdriver/dp/B09SGPJ79X/ref=sr_1_4?keywords=Klein+Tools+65129+2-in-1+Nut+Driver%2C+Hex+Head+Slide+Drive%E2%84%A2%2C+6-Inch&amp;qid=1695174155&amp;sr=8-4", "https://www.amazon.com/Klein-Tools-80065-Multi-Bit-Screwdriver/dp/B09SGPJ79X/ref=sr_1_4?keywords=Klein+Tools+65129+2-in-1+Nut+Driver%2C+Hex+Head+Slide+Drive%E2%84%A2%2C+6-Inch&amp;qid=1695174155&amp;sr=8-4")</f>
        <v>https://www.amazon.com/Klein-Tools-80065-Multi-Bit-Screwdriver/dp/B09SGPJ79X/ref=sr_1_4?keywords=Klein+Tools+65129+2-in-1+Nut+Driver%2C+Hex+Head+Slide+Drive%E2%84%A2%2C+6-Inch&amp;qid=1695174155&amp;sr=8-4</v>
      </c>
      <c r="F5248" t="s">
        <v>7000</v>
      </c>
      <c r="G5248" t="e">
        <f ca="1">_xludf.IMAGE("https://edmondsonsupply.com/cdn/shop/products/65129.jpg?v=1664459800")</f>
        <v>#NAME?</v>
      </c>
      <c r="H5248" t="e">
        <f ca="1">_xludf.IMAGE("https://m.media-amazon.com/images/I/41GX7DrqSFL._AC_UL320_.jpg")</f>
        <v>#NAME?</v>
      </c>
      <c r="I5248" t="s">
        <v>893</v>
      </c>
      <c r="J5248">
        <v>29.99</v>
      </c>
      <c r="K5248" s="4">
        <v>0.50180000000000002</v>
      </c>
      <c r="L5248">
        <v>4.8</v>
      </c>
      <c r="M5248">
        <v>4204</v>
      </c>
      <c r="O5248" t="s">
        <v>25</v>
      </c>
      <c r="P5248" t="s">
        <v>7105</v>
      </c>
      <c r="Q5248" t="s">
        <v>7106</v>
      </c>
    </row>
    <row r="5249" spans="1:17" ht="15.5" x14ac:dyDescent="0.35">
      <c r="A5249" s="3" t="str">
        <f>HYPERLINK("https://edmondsonsupply.com/collections/electricians-tools/products/channellock-431", "https://edmondsonsupply.com/collections/electricians-tools/products/channellock-431")</f>
        <v>https://edmondsonsupply.com/collections/electricians-tools/products/channellock-431</v>
      </c>
      <c r="B5249" s="3" t="str">
        <f>HYPERLINK("https://edmondsonsupply.com/products/channellock-431", "https://edmondsonsupply.com/products/channellock-431")</f>
        <v>https://edmondsonsupply.com/products/channellock-431</v>
      </c>
      <c r="C5249" t="s">
        <v>3341</v>
      </c>
      <c r="D5249" t="s">
        <v>6883</v>
      </c>
      <c r="E5249" s="3" t="str">
        <f>HYPERLINK("https://www.amazon.com/Channellock-GS-1-2-Inch-Tongue-Groove/dp/B00011V0GG/ref=sr_1_9?keywords=Channellock+432+10-Inch+V-Jaw+Tongue&amp;qid=1695173959&amp;sr=8-9", "https://www.amazon.com/Channellock-GS-1-2-Inch-Tongue-Groove/dp/B00011V0GG/ref=sr_1_9?keywords=Channellock+432+10-Inch+V-Jaw+Tongue&amp;qid=1695173959&amp;sr=8-9")</f>
        <v>https://www.amazon.com/Channellock-GS-1-2-Inch-Tongue-Groove/dp/B00011V0GG/ref=sr_1_9?keywords=Channellock+432+10-Inch+V-Jaw+Tongue&amp;qid=1695173959&amp;sr=8-9</v>
      </c>
      <c r="F5249" t="s">
        <v>6884</v>
      </c>
      <c r="G5249" t="e">
        <f ca="1">_xludf.IMAGE("https://edmondsonsupply.com/cdn/shop/products/432-683x1024.jpg?v=1587147134")</f>
        <v>#NAME?</v>
      </c>
      <c r="H5249" t="e">
        <f ca="1">_xludf.IMAGE("https://m.media-amazon.com/images/I/71s6rp1zXLL._AC_UL320_.jpg")</f>
        <v>#NAME?</v>
      </c>
      <c r="I5249" t="s">
        <v>488</v>
      </c>
      <c r="J5249">
        <v>29.95</v>
      </c>
      <c r="K5249" s="4">
        <v>0.50129999999999997</v>
      </c>
      <c r="L5249">
        <v>4.8</v>
      </c>
      <c r="M5249">
        <v>5487</v>
      </c>
      <c r="O5249" t="s">
        <v>25</v>
      </c>
      <c r="P5249" t="s">
        <v>3344</v>
      </c>
      <c r="Q5249" t="s">
        <v>3345</v>
      </c>
    </row>
    <row r="5250" spans="1:17" ht="15.5" x14ac:dyDescent="0.35">
      <c r="A5250"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5250" s="3" t="str">
        <f>HYPERLINK("https://edmondsonsupply.com/products/klein-tools-32900-7-in-1-impact-flip-socket-with-handle", "https://edmondsonsupply.com/products/klein-tools-32900-7-in-1-impact-flip-socket-with-handle")</f>
        <v>https://edmondsonsupply.com/products/klein-tools-32900-7-in-1-impact-flip-socket-with-handle</v>
      </c>
      <c r="C5250" t="s">
        <v>6184</v>
      </c>
      <c r="D5250" t="s">
        <v>7107</v>
      </c>
      <c r="E5250" s="3" t="str">
        <f>HYPERLINK("https://www.amazon.com/Klein-Tools-80083-Adjustable-Screwdriver/dp/B0B97ZB7G2/ref=sr_1_9?keywords=Klein+Tools+32900+7-in-1+Impact+Flip+Socket+with+Handle&amp;qid=1695174143&amp;sr=8-9", "https://www.amazon.com/Klein-Tools-80083-Adjustable-Screwdriver/dp/B0B97ZB7G2/ref=sr_1_9?keywords=Klein+Tools+32900+7-in-1+Impact+Flip+Socket+with+Handle&amp;qid=1695174143&amp;sr=8-9")</f>
        <v>https://www.amazon.com/Klein-Tools-80083-Adjustable-Screwdriver/dp/B0B97ZB7G2/ref=sr_1_9?keywords=Klein+Tools+32900+7-in-1+Impact+Flip+Socket+with+Handle&amp;qid=1695174143&amp;sr=8-9</v>
      </c>
      <c r="F5250" t="s">
        <v>7108</v>
      </c>
      <c r="G5250" t="e">
        <f ca="1">_xludf.IMAGE("https://edmondsonsupply.com/cdn/shop/products/32900_b.jpg?v=1666024787")</f>
        <v>#NAME?</v>
      </c>
      <c r="H5250" t="e">
        <f ca="1">_xludf.IMAGE("https://m.media-amazon.com/images/I/511vxL5UeDL._AC_UL320_.jpg")</f>
        <v>#NAME?</v>
      </c>
      <c r="I5250" t="s">
        <v>824</v>
      </c>
      <c r="J5250">
        <v>44.99</v>
      </c>
      <c r="K5250" s="4">
        <v>0.50119999999999998</v>
      </c>
      <c r="L5250">
        <v>4.7</v>
      </c>
      <c r="M5250">
        <v>202</v>
      </c>
      <c r="O5250" t="s">
        <v>25</v>
      </c>
      <c r="P5250" t="s">
        <v>73</v>
      </c>
      <c r="Q5250" t="s">
        <v>6187</v>
      </c>
    </row>
    <row r="5251" spans="1:17" ht="15.5" x14ac:dyDescent="0.35">
      <c r="A5251" s="3" t="str">
        <f>HYPERLINK("https://edmondsonsupply.com/collections/electricians-tools/products/channellock-432", "https://edmondsonsupply.com/collections/electricians-tools/products/channellock-432")</f>
        <v>https://edmondsonsupply.com/collections/electricians-tools/products/channellock-432</v>
      </c>
      <c r="B5251" s="3" t="str">
        <f>HYPERLINK("https://edmondsonsupply.com/products/channellock-432", "https://edmondsonsupply.com/products/channellock-432")</f>
        <v>https://edmondsonsupply.com/products/channellock-432</v>
      </c>
      <c r="C5251" t="s">
        <v>2472</v>
      </c>
      <c r="D5251" t="s">
        <v>3112</v>
      </c>
      <c r="E5251" s="3" t="str">
        <f>HYPERLINK("https://www.amazon.com/CHANNELLOCK-440X-12-inch-SPEEDGRIP-Straight/dp/B07R11V4X3/ref=sr_1_2?keywords=Channellock+440+12%22+Straight+Jaw+Tongue+%26+Groove+Pliers&amp;qid=1695173955&amp;sr=8-2", "https://www.amazon.com/CHANNELLOCK-440X-12-inch-SPEEDGRIP-Straight/dp/B07R11V4X3/ref=sr_1_2?keywords=Channellock+440+12%22+Straight+Jaw+Tongue+%26+Groove+Pliers&amp;qid=1695173955&amp;sr=8-2")</f>
        <v>https://www.amazon.com/CHANNELLOCK-440X-12-inch-SPEEDGRIP-Straight/dp/B07R11V4X3/ref=sr_1_2?keywords=Channellock+440+12%22+Straight+Jaw+Tongue+%26+Groove+Pliers&amp;qid=1695173955&amp;sr=8-2</v>
      </c>
      <c r="F5251" t="s">
        <v>3113</v>
      </c>
      <c r="G5251" t="e">
        <f ca="1">_xludf.IMAGE("https://edmondsonsupply.com/cdn/shop/products/440-546x1024.jpg?v=1587148892")</f>
        <v>#NAME?</v>
      </c>
      <c r="H5251" t="e">
        <f ca="1">_xludf.IMAGE("https://m.media-amazon.com/images/I/61zy7hHkDbL._AC_UL320_.jpg")</f>
        <v>#NAME?</v>
      </c>
      <c r="I5251" t="s">
        <v>2475</v>
      </c>
      <c r="J5251">
        <v>32.950000000000003</v>
      </c>
      <c r="K5251" s="4">
        <v>0.50109999999999999</v>
      </c>
      <c r="L5251">
        <v>4.4000000000000004</v>
      </c>
      <c r="M5251">
        <v>578</v>
      </c>
      <c r="O5251" t="s">
        <v>25</v>
      </c>
      <c r="P5251" t="s">
        <v>2476</v>
      </c>
      <c r="Q5251" t="s">
        <v>2477</v>
      </c>
    </row>
    <row r="5252" spans="1:17" ht="15.5" x14ac:dyDescent="0.35">
      <c r="A5252" s="3" t="str">
        <f>HYPERLINK("https://edmondsonsupply.com/collections/electricians-tools/products/klein-tools-56412-rechargeable-led-flashlight-with-worklight", "https://edmondsonsupply.com/collections/electricians-tools/products/klein-tools-56412-rechargeable-led-flashlight-with-worklight")</f>
        <v>https://edmondsonsupply.com/collections/electricians-tools/products/klein-tools-56412-rechargeable-led-flashlight-with-worklight</v>
      </c>
      <c r="B5252" s="3" t="str">
        <f>HYPERLINK("https://edmondsonsupply.com/products/klein-tools-56412-rechargeable-led-flashlight-with-worklight", "https://edmondsonsupply.com/products/klein-tools-56412-rechargeable-led-flashlight-with-worklight")</f>
        <v>https://edmondsonsupply.com/products/klein-tools-56412-rechargeable-led-flashlight-with-worklight</v>
      </c>
      <c r="C5252" t="s">
        <v>7109</v>
      </c>
      <c r="D5252" t="s">
        <v>6694</v>
      </c>
      <c r="E5252" s="3" t="str">
        <f>HYPERLINK("https://www.amazon.com/Klein-Tools-80079-Rechargeable-Flashlight/dp/B0B11GSP2C/ref=sr_1_5?keywords=Klein+Tools+56412+Rechargeable+LED+Flashlight+with+Worklight&amp;qid=1695174153&amp;sr=8-5", "https://www.amazon.com/Klein-Tools-80079-Rechargeable-Flashlight/dp/B0B11GSP2C/ref=sr_1_5?keywords=Klein+Tools+56412+Rechargeable+LED+Flashlight+with+Worklight&amp;qid=1695174153&amp;sr=8-5")</f>
        <v>https://www.amazon.com/Klein-Tools-80079-Rechargeable-Flashlight/dp/B0B11GSP2C/ref=sr_1_5?keywords=Klein+Tools+56412+Rechargeable+LED+Flashlight+with+Worklight&amp;qid=1695174153&amp;sr=8-5</v>
      </c>
      <c r="F5252" t="s">
        <v>6695</v>
      </c>
      <c r="G5252" t="e">
        <f ca="1">_xludf.IMAGE("https://edmondsonsupply.com/cdn/shop/products/56412.jpg?v=1663953549")</f>
        <v>#NAME?</v>
      </c>
      <c r="H5252" t="e">
        <f ca="1">_xludf.IMAGE("https://m.media-amazon.com/images/I/61kxSho0oaL._AC_UL320_.jpg")</f>
        <v>#NAME?</v>
      </c>
      <c r="I5252" t="s">
        <v>246</v>
      </c>
      <c r="J5252">
        <v>59.99</v>
      </c>
      <c r="K5252" s="4">
        <v>0.50090000000000001</v>
      </c>
      <c r="L5252">
        <v>4.9000000000000004</v>
      </c>
      <c r="M5252">
        <v>22</v>
      </c>
      <c r="O5252" t="s">
        <v>25</v>
      </c>
      <c r="P5252" t="s">
        <v>7110</v>
      </c>
      <c r="Q5252" t="s">
        <v>7111</v>
      </c>
    </row>
    <row r="5253" spans="1:17" ht="15.5" x14ac:dyDescent="0.35">
      <c r="A5253" s="3" t="str">
        <f>HYPERLINK("https://edmondsonsupply.com/collections/electricians-tools/products/klein-tools-51606", "https://edmondsonsupply.com/collections/electricians-tools/products/klein-tools-51606")</f>
        <v>https://edmondsonsupply.com/collections/electricians-tools/products/klein-tools-51606</v>
      </c>
      <c r="B5253" s="3" t="str">
        <f>HYPERLINK("https://edmondsonsupply.com/products/klein-tools-51606", "https://edmondsonsupply.com/products/klein-tools-51606")</f>
        <v>https://edmondsonsupply.com/products/klein-tools-51606</v>
      </c>
      <c r="C5253" t="s">
        <v>6785</v>
      </c>
      <c r="D5253" t="s">
        <v>6101</v>
      </c>
      <c r="E5253" s="3" t="str">
        <f>HYPERLINK("https://www.amazon.com/Klein-Tools-51603-Conduit-Features/dp/B08W6GJTHW/ref=sr_1_5?keywords=Klein+Tools+51606+Aluminum+Conduit+Bender+Full+Assembly%2C+1%2F2-Inch+EMT+with+Angle+Setter%E2%84%A2&amp;qid=1695174158&amp;sr=8-5", "https://www.amazon.com/Klein-Tools-51603-Conduit-Features/dp/B08W6GJTHW/ref=sr_1_5?keywords=Klein+Tools+51606+Aluminum+Conduit+Bender+Full+Assembly%2C+1%2F2-Inch+EMT+with+Angle+Setter%E2%84%A2&amp;qid=1695174158&amp;sr=8-5")</f>
        <v>https://www.amazon.com/Klein-Tools-51603-Conduit-Features/dp/B08W6GJTHW/ref=sr_1_5?keywords=Klein+Tools+51606+Aluminum+Conduit+Bender+Full+Assembly%2C+1%2F2-Inch+EMT+with+Angle+Setter%E2%84%A2&amp;qid=1695174158&amp;sr=8-5</v>
      </c>
      <c r="F5253" t="s">
        <v>6102</v>
      </c>
      <c r="G5253" t="e">
        <f ca="1">_xludf.IMAGE("https://edmondsonsupply.com/cdn/shop/products/51606.jpg?v=1663942126")</f>
        <v>#NAME?</v>
      </c>
      <c r="H5253" t="e">
        <f ca="1">_xludf.IMAGE("https://m.media-amazon.com/images/I/31lf3y-9bSL._AC_UL320_.jpg")</f>
        <v>#NAME?</v>
      </c>
      <c r="I5253" t="s">
        <v>246</v>
      </c>
      <c r="J5253">
        <v>59.99</v>
      </c>
      <c r="K5253" s="4">
        <v>0.50090000000000001</v>
      </c>
      <c r="L5253">
        <v>4.9000000000000004</v>
      </c>
      <c r="M5253">
        <v>31</v>
      </c>
      <c r="O5253" t="s">
        <v>25</v>
      </c>
      <c r="P5253" t="s">
        <v>1027</v>
      </c>
      <c r="Q5253" t="s">
        <v>6786</v>
      </c>
    </row>
    <row r="5254" spans="1:17" ht="15.5" x14ac:dyDescent="0.35">
      <c r="A5254"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5254"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5254" t="s">
        <v>7104</v>
      </c>
      <c r="D5254" t="s">
        <v>2599</v>
      </c>
      <c r="E5254" s="3" t="str">
        <f>HYPERLINK("https://www.amazon.com/Driver-Magnetic-Klein-Tools-32807MAG/dp/B07D4M51DQ/ref=sr_1_6?keywords=Klein+Tools+65129+2-in-1+Nut+Driver%2C+Hex+Head+Slide+Drive%E2%84%A2%2C+6-Inch&amp;qid=1695174155&amp;sr=8-6", "https://www.amazon.com/Driver-Magnetic-Klein-Tools-32807MAG/dp/B07D4M51DQ/ref=sr_1_6?keywords=Klein+Tools+65129+2-in-1+Nut+Driver%2C+Hex+Head+Slide+Drive%E2%84%A2%2C+6-Inch&amp;qid=1695174155&amp;sr=8-6")</f>
        <v>https://www.amazon.com/Driver-Magnetic-Klein-Tools-32807MAG/dp/B07D4M51DQ/ref=sr_1_6?keywords=Klein+Tools+65129+2-in-1+Nut+Driver%2C+Hex+Head+Slide+Drive%E2%84%A2%2C+6-Inch&amp;qid=1695174155&amp;sr=8-6</v>
      </c>
      <c r="F5254" t="s">
        <v>2600</v>
      </c>
      <c r="G5254" t="e">
        <f ca="1">_xludf.IMAGE("https://edmondsonsupply.com/cdn/shop/products/65129.jpg?v=1664459800")</f>
        <v>#NAME?</v>
      </c>
      <c r="H5254" t="e">
        <f ca="1">_xludf.IMAGE("https://m.media-amazon.com/images/I/61gwAJBzDAL._AC_UL320_.jpg")</f>
        <v>#NAME?</v>
      </c>
      <c r="I5254" t="s">
        <v>893</v>
      </c>
      <c r="J5254">
        <v>29.97</v>
      </c>
      <c r="K5254" s="4">
        <v>0.50080000000000002</v>
      </c>
      <c r="L5254">
        <v>4.7</v>
      </c>
      <c r="M5254">
        <v>9161</v>
      </c>
      <c r="O5254" t="s">
        <v>25</v>
      </c>
      <c r="P5254" t="s">
        <v>7105</v>
      </c>
      <c r="Q5254" t="s">
        <v>7106</v>
      </c>
    </row>
    <row r="5255" spans="1:17" ht="15.5" x14ac:dyDescent="0.35">
      <c r="A5255"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5255" s="3" t="str">
        <f>HYPERLINK("https://edmondsonsupply.com/products/klein-tools-646-5-16-5-16-inch-nut-driver-6-inch-hollow-shaft", "https://edmondsonsupply.com/products/klein-tools-646-5-16-5-16-inch-nut-driver-6-inch-hollow-shaft")</f>
        <v>https://edmondsonsupply.com/products/klein-tools-646-5-16-5-16-inch-nut-driver-6-inch-hollow-shaft</v>
      </c>
      <c r="C5255" t="s">
        <v>1893</v>
      </c>
      <c r="D5255" t="s">
        <v>3114</v>
      </c>
      <c r="E5255" s="3" t="str">
        <f>HYPERLINK("https://www.amazon.com/Magnetic-Comfordome-Klein-Tools-S106M/dp/B0002RIA26/ref=sr_1_3?keywords=Klein+Tools+646-5%2F16+5%2F16-Inch+Nut+Driver%2C+6-Inch+Hollow+Shaft&amp;qid=1695173904&amp;sr=8-3", "https://www.amazon.com/Magnetic-Comfordome-Klein-Tools-S106M/dp/B0002RIA26/ref=sr_1_3?keywords=Klein+Tools+646-5%2F16+5%2F16-Inch+Nut+Driver%2C+6-Inch+Hollow+Shaft&amp;qid=1695173904&amp;sr=8-3")</f>
        <v>https://www.amazon.com/Magnetic-Comfordome-Klein-Tools-S106M/dp/B0002RIA26/ref=sr_1_3?keywords=Klein+Tools+646-5%2F16+5%2F16-Inch+Nut+Driver%2C+6-Inch+Hollow+Shaft&amp;qid=1695173904&amp;sr=8-3</v>
      </c>
      <c r="F5255" t="s">
        <v>3115</v>
      </c>
      <c r="G5255" t="e">
        <f ca="1">_xludf.IMAGE("https://edmondsonsupply.com/cdn/shop/products/646-1-2_e1540905-f750-4509-90c5-74ff653e4d83.jpg?v=1587145119")</f>
        <v>#NAME?</v>
      </c>
      <c r="H5255" t="e">
        <f ca="1">_xludf.IMAGE("https://m.media-amazon.com/images/I/310q8QPN+KL._AC_UL320_.jpg")</f>
        <v>#NAME?</v>
      </c>
      <c r="I5255" t="s">
        <v>1003</v>
      </c>
      <c r="J5255">
        <v>11.99</v>
      </c>
      <c r="K5255" s="4">
        <v>0.50060000000000004</v>
      </c>
      <c r="L5255">
        <v>4.5999999999999996</v>
      </c>
      <c r="M5255">
        <v>231</v>
      </c>
      <c r="O5255" t="s">
        <v>25</v>
      </c>
      <c r="P5255" t="s">
        <v>1481</v>
      </c>
      <c r="Q5255" t="s">
        <v>1896</v>
      </c>
    </row>
    <row r="5256" spans="1:17" ht="15.5" x14ac:dyDescent="0.35">
      <c r="A5256"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5256" s="3" t="str">
        <f>HYPERLINK("https://edmondsonsupply.com/products/klein-tools-646-5-16-5-16-inch-nut-driver-6-inch-hollow-shaft", "https://edmondsonsupply.com/products/klein-tools-646-5-16-5-16-inch-nut-driver-6-inch-hollow-shaft")</f>
        <v>https://edmondsonsupply.com/products/klein-tools-646-5-16-5-16-inch-nut-driver-6-inch-hollow-shaft</v>
      </c>
      <c r="C5256" t="s">
        <v>1893</v>
      </c>
      <c r="D5256" t="s">
        <v>3116</v>
      </c>
      <c r="E5256" s="3" t="str">
        <f>HYPERLINK("https://www.amazon.com/Heavy-Duty-Driver-16-Inch-Klein-Tools/dp/B01D6FKW58/ref=sr_1_7?keywords=Klein+Tools+646-5%2F16+5%2F16-Inch+Nut+Driver%2C+6-Inch+Hollow+Shaft&amp;qid=1695173904&amp;sr=8-7", "https://www.amazon.com/Heavy-Duty-Driver-16-Inch-Klein-Tools/dp/B01D6FKW58/ref=sr_1_7?keywords=Klein+Tools+646-5%2F16+5%2F16-Inch+Nut+Driver%2C+6-Inch+Hollow+Shaft&amp;qid=1695173904&amp;sr=8-7")</f>
        <v>https://www.amazon.com/Heavy-Duty-Driver-16-Inch-Klein-Tools/dp/B01D6FKW58/ref=sr_1_7?keywords=Klein+Tools+646-5%2F16+5%2F16-Inch+Nut+Driver%2C+6-Inch+Hollow+Shaft&amp;qid=1695173904&amp;sr=8-7</v>
      </c>
      <c r="F5256" t="s">
        <v>3117</v>
      </c>
      <c r="G5256" t="e">
        <f ca="1">_xludf.IMAGE("https://edmondsonsupply.com/cdn/shop/products/646-1-2_e1540905-f750-4509-90c5-74ff653e4d83.jpg?v=1587145119")</f>
        <v>#NAME?</v>
      </c>
      <c r="H5256" t="e">
        <f ca="1">_xludf.IMAGE("https://m.media-amazon.com/images/I/41FuKJjYruL._AC_UL320_.jpg")</f>
        <v>#NAME?</v>
      </c>
      <c r="I5256" t="s">
        <v>1003</v>
      </c>
      <c r="J5256">
        <v>11.99</v>
      </c>
      <c r="K5256" s="4">
        <v>0.50060000000000004</v>
      </c>
      <c r="L5256">
        <v>4.7</v>
      </c>
      <c r="M5256">
        <v>971</v>
      </c>
      <c r="O5256" t="s">
        <v>25</v>
      </c>
      <c r="P5256" t="s">
        <v>1481</v>
      </c>
      <c r="Q5256" t="s">
        <v>1896</v>
      </c>
    </row>
    <row r="5257" spans="1:17" ht="15.5" x14ac:dyDescent="0.35">
      <c r="A5257"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5257"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5257" t="s">
        <v>3118</v>
      </c>
      <c r="D5257" t="s">
        <v>3119</v>
      </c>
      <c r="E5257" s="3" t="str">
        <f>HYPERLINK("https://www.amazon.com/Journeyman-T-Handle-Klein-Tools-JTH9E17/dp/B004QV6NL4/ref=sr_1_2?keywords=Klein+Tools+JTH4E17+1%2F2-Inch+Hex+Key%2C+Journeyman+T-Handle%2C+4-Inch&amp;qid=1695173921&amp;sr=8-2", "https://www.amazon.com/Journeyman-T-Handle-Klein-Tools-JTH9E17/dp/B004QV6NL4/ref=sr_1_2?keywords=Klein+Tools+JTH4E17+1%2F2-Inch+Hex+Key%2C+Journeyman+T-Handle%2C+4-Inch&amp;qid=1695173921&amp;sr=8-2")</f>
        <v>https://www.amazon.com/Journeyman-T-Handle-Klein-Tools-JTH9E17/dp/B004QV6NL4/ref=sr_1_2?keywords=Klein+Tools+JTH4E17+1%2F2-Inch+Hex+Key%2C+Journeyman+T-Handle%2C+4-Inch&amp;qid=1695173921&amp;sr=8-2</v>
      </c>
      <c r="F5257" t="s">
        <v>3120</v>
      </c>
      <c r="G5257" t="e">
        <f ca="1">_xludf.IMAGE("https://edmondsonsupply.com/cdn/shop/products/jth4e17_583549be-7b42-43c7-9c3d-a92f2416ede5.jpg?v=1610655610")</f>
        <v>#NAME?</v>
      </c>
      <c r="H5257" t="e">
        <f ca="1">_xludf.IMAGE("https://m.media-amazon.com/images/I/51Yb8h41vLL._AC_UL320_.jpg")</f>
        <v>#NAME?</v>
      </c>
      <c r="I5257" t="s">
        <v>252</v>
      </c>
      <c r="J5257">
        <v>23.99</v>
      </c>
      <c r="K5257" s="4">
        <v>0.50029999999999997</v>
      </c>
      <c r="L5257">
        <v>4.8</v>
      </c>
      <c r="M5257">
        <v>194</v>
      </c>
      <c r="O5257" t="s">
        <v>25</v>
      </c>
      <c r="P5257" t="s">
        <v>3121</v>
      </c>
      <c r="Q5257" t="s">
        <v>3122</v>
      </c>
    </row>
    <row r="5258" spans="1:17" ht="15.5" x14ac:dyDescent="0.35">
      <c r="A5258" s="3" t="str">
        <f>HYPERLINK("https://edmondsonsupply.com/collections/electricians-tools/products/klein-tools-935r-aluminum-torpedo-level-rare-earth-magnet", "https://edmondsonsupply.com/collections/electricians-tools/products/klein-tools-935r-aluminum-torpedo-level-rare-earth-magnet")</f>
        <v>https://edmondsonsupply.com/collections/electricians-tools/products/klein-tools-935r-aluminum-torpedo-level-rare-earth-magnet</v>
      </c>
      <c r="B5258" s="3" t="str">
        <f>HYPERLINK("https://edmondsonsupply.com/products/klein-tools-935r-aluminum-torpedo-level-rare-earth-magnet", "https://edmondsonsupply.com/products/klein-tools-935r-aluminum-torpedo-level-rare-earth-magnet")</f>
        <v>https://edmondsonsupply.com/products/klein-tools-935r-aluminum-torpedo-level-rare-earth-magnet</v>
      </c>
      <c r="C5258" t="s">
        <v>3123</v>
      </c>
      <c r="D5258" t="s">
        <v>3124</v>
      </c>
      <c r="E5258" s="3" t="str">
        <f>HYPERLINK("https://www.amazon.com/Magnetic-Torpedo-Klein-Tools-9319RETT/dp/B01FFTADZW/ref=sr_1_3?keywords=Klein+Tools+935R+Aluminum+Torpedo+Level+Rare+Earth+Magnet%2C+9-Inch&amp;qid=1695173905&amp;sr=8-3", "https://www.amazon.com/Magnetic-Torpedo-Klein-Tools-9319RETT/dp/B01FFTADZW/ref=sr_1_3?keywords=Klein+Tools+935R+Aluminum+Torpedo+Level+Rare+Earth+Magnet%2C+9-Inch&amp;qid=1695173905&amp;sr=8-3")</f>
        <v>https://www.amazon.com/Magnetic-Torpedo-Klein-Tools-9319RETT/dp/B01FFTADZW/ref=sr_1_3?keywords=Klein+Tools+935R+Aluminum+Torpedo+Level+Rare+Earth+Magnet%2C+9-Inch&amp;qid=1695173905&amp;sr=8-3</v>
      </c>
      <c r="F5258" t="s">
        <v>3125</v>
      </c>
      <c r="G5258" t="e">
        <f ca="1">_xludf.IMAGE("https://edmondsonsupply.com/cdn/shop/products/935r_b.jpg?v=1658103129")</f>
        <v>#NAME?</v>
      </c>
      <c r="H5258" t="e">
        <f ca="1">_xludf.IMAGE("https://m.media-amazon.com/images/I/51koTKccewL._AC_UL320_.jpg")</f>
        <v>#NAME?</v>
      </c>
      <c r="I5258" t="s">
        <v>577</v>
      </c>
      <c r="J5258">
        <v>29.99</v>
      </c>
      <c r="K5258" s="4">
        <v>0.50029999999999997</v>
      </c>
      <c r="L5258">
        <v>4.4000000000000004</v>
      </c>
      <c r="M5258">
        <v>66</v>
      </c>
      <c r="O5258" t="s">
        <v>25</v>
      </c>
      <c r="P5258" t="s">
        <v>466</v>
      </c>
      <c r="Q5258" t="s">
        <v>3126</v>
      </c>
    </row>
    <row r="5259" spans="1:17" ht="15.5" x14ac:dyDescent="0.35">
      <c r="A5259"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5259" s="3" t="str">
        <f>HYPERLINK("https://edmondsonsupply.com/products/klein-tools-88910-mini-tube-cutter", "https://edmondsonsupply.com/products/klein-tools-88910-mini-tube-cutter")</f>
        <v>https://edmondsonsupply.com/products/klein-tools-88910-mini-tube-cutter</v>
      </c>
      <c r="C5259" t="s">
        <v>6372</v>
      </c>
      <c r="D5259" t="s">
        <v>7112</v>
      </c>
      <c r="E5259" s="3" t="str">
        <f>HYPERLINK("https://www.amazon.com/Klein-Tools-88977-Professional-Cutter/dp/B005TU32JC/ref=sr_1_5?keywords=Klein+Tools+88910+Mini+Tube+Cutter&amp;qid=1695174232&amp;sr=8-5", "https://www.amazon.com/Klein-Tools-88977-Professional-Cutter/dp/B005TU32JC/ref=sr_1_5?keywords=Klein+Tools+88910+Mini+Tube+Cutter&amp;qid=1695174232&amp;sr=8-5")</f>
        <v>https://www.amazon.com/Klein-Tools-88977-Professional-Cutter/dp/B005TU32JC/ref=sr_1_5?keywords=Klein+Tools+88910+Mini+Tube+Cutter&amp;qid=1695174232&amp;sr=8-5</v>
      </c>
      <c r="F5259" t="s">
        <v>7113</v>
      </c>
      <c r="G5259" t="e">
        <f ca="1">_xludf.IMAGE("https://edmondsonsupply.com/cdn/shop/products/88910.jpg?v=1638577903")</f>
        <v>#NAME?</v>
      </c>
      <c r="H5259" t="e">
        <f ca="1">_xludf.IMAGE("https://m.media-amazon.com/images/I/61SWwVVJuLL._AC_UL320_.jpg")</f>
        <v>#NAME?</v>
      </c>
      <c r="I5259" t="s">
        <v>577</v>
      </c>
      <c r="J5259">
        <v>29.99</v>
      </c>
      <c r="K5259" s="4">
        <v>0.50029999999999997</v>
      </c>
      <c r="L5259">
        <v>3.3</v>
      </c>
      <c r="M5259">
        <v>6</v>
      </c>
      <c r="O5259" t="s">
        <v>25</v>
      </c>
      <c r="P5259" t="s">
        <v>6375</v>
      </c>
      <c r="Q5259" t="s">
        <v>6376</v>
      </c>
    </row>
    <row r="5260" spans="1:17" ht="15.5" x14ac:dyDescent="0.35">
      <c r="A5260"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5260" s="3" t="str">
        <f>HYPERLINK("https://edmondsonsupply.com/products/klein-tools-d507-8-adjustable-wrench-extra-capacity-8-inch", "https://edmondsonsupply.com/products/klein-tools-d507-8-adjustable-wrench-extra-capacity-8-inch")</f>
        <v>https://edmondsonsupply.com/products/klein-tools-d507-8-adjustable-wrench-extra-capacity-8-inch</v>
      </c>
      <c r="C5260" t="s">
        <v>6699</v>
      </c>
      <c r="D5260" t="s">
        <v>7114</v>
      </c>
      <c r="E5260" s="3" t="str">
        <f>HYPERLINK("https://www.amazon.com/Slim-Jaw-Adjustable-Klein-Tools-D86936/dp/B075X84TBJ/ref=sr_1_6?keywords=Klein+Tools+D507-8+Adjustable+Wrench%2C+Extra+Capacity+8-Inch&amp;qid=1695173949&amp;sr=8-6", "https://www.amazon.com/Slim-Jaw-Adjustable-Klein-Tools-D86936/dp/B075X84TBJ/ref=sr_1_6?keywords=Klein+Tools+D507-8+Adjustable+Wrench%2C+Extra+Capacity+8-Inch&amp;qid=1695173949&amp;sr=8-6")</f>
        <v>https://www.amazon.com/Slim-Jaw-Adjustable-Klein-Tools-D86936/dp/B075X84TBJ/ref=sr_1_6?keywords=Klein+Tools+D507-8+Adjustable+Wrench%2C+Extra+Capacity+8-Inch&amp;qid=1695173949&amp;sr=8-6</v>
      </c>
      <c r="F5260" t="s">
        <v>7115</v>
      </c>
      <c r="G5260" t="e">
        <f ca="1">_xludf.IMAGE("https://edmondsonsupply.com/cdn/shop/products/d5078_b.jpg?v=1666010497")</f>
        <v>#NAME?</v>
      </c>
      <c r="H5260" t="e">
        <f ca="1">_xludf.IMAGE("https://m.media-amazon.com/images/I/41CJoXWRm0L._AC_UL320_.jpg")</f>
        <v>#NAME?</v>
      </c>
      <c r="I5260" t="s">
        <v>26</v>
      </c>
      <c r="J5260">
        <v>44.99</v>
      </c>
      <c r="K5260" s="4">
        <v>0.50019999999999998</v>
      </c>
      <c r="L5260">
        <v>4.7</v>
      </c>
      <c r="M5260">
        <v>87</v>
      </c>
      <c r="O5260" t="s">
        <v>25</v>
      </c>
      <c r="P5260" t="s">
        <v>1327</v>
      </c>
      <c r="Q5260" t="s">
        <v>6700</v>
      </c>
    </row>
    <row r="5261" spans="1:17" ht="15.5" x14ac:dyDescent="0.35">
      <c r="A5261"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5261" s="3" t="str">
        <f>HYPERLINK("https://edmondsonsupply.com/products/klein-tools-60345-hard-hat-earmuffs-full-brim-style", "https://edmondsonsupply.com/products/klein-tools-60345-hard-hat-earmuffs-full-brim-style")</f>
        <v>https://edmondsonsupply.com/products/klein-tools-60345-hard-hat-earmuffs-full-brim-style</v>
      </c>
      <c r="C5261" t="s">
        <v>868</v>
      </c>
      <c r="D5261" t="s">
        <v>991</v>
      </c>
      <c r="E5261" s="3" t="str">
        <f>HYPERLINK("https://www.amazon.com/Klein-Tools-Hard-Non-vented-Style/dp/B07TQNTCKL/ref=sr_1_10?keywords=Klein+Tools+60502+Hard+Hat+Earmuffs%2C+Full+Brim+Style&amp;qid=1695174082&amp;sr=8-10", "https://www.amazon.com/Klein-Tools-Hard-Non-vented-Style/dp/B07TQNTCKL/ref=sr_1_10?keywords=Klein+Tools+60502+Hard+Hat+Earmuffs%2C+Full+Brim+Style&amp;qid=1695174082&amp;sr=8-10")</f>
        <v>https://www.amazon.com/Klein-Tools-Hard-Non-vented-Style/dp/B07TQNTCKL/ref=sr_1_10?keywords=Klein+Tools+60502+Hard+Hat+Earmuffs%2C+Full+Brim+Style&amp;qid=1695174082&amp;sr=8-10</v>
      </c>
      <c r="F5261" t="s">
        <v>992</v>
      </c>
      <c r="G5261" t="e">
        <f ca="1">_xludf.IMAGE("https://edmondsonsupply.com/cdn/shop/products/60502.jpg?v=1674486730")</f>
        <v>#NAME?</v>
      </c>
      <c r="H5261" t="e">
        <f ca="1">_xludf.IMAGE("https://m.media-amazon.com/images/I/61IcdM8MBnL._AC_UL320_.jpg")</f>
        <v>#NAME?</v>
      </c>
      <c r="I5261" t="s">
        <v>26</v>
      </c>
      <c r="J5261">
        <v>44.99</v>
      </c>
      <c r="K5261" s="4">
        <v>0.50019999999999998</v>
      </c>
      <c r="L5261">
        <v>4.7</v>
      </c>
      <c r="M5261">
        <v>358</v>
      </c>
      <c r="O5261" t="s">
        <v>25</v>
      </c>
      <c r="P5261" t="s">
        <v>562</v>
      </c>
      <c r="Q5261" t="s">
        <v>871</v>
      </c>
    </row>
    <row r="5262" spans="1:17" ht="15.5" x14ac:dyDescent="0.35">
      <c r="A5262"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5262" s="3" t="str">
        <f>HYPERLINK("https://edmondsonsupply.com/products/klein-tools-51608-1-2-inch-iron-conduit-bender-head", "https://edmondsonsupply.com/products/klein-tools-51608-1-2-inch-iron-conduit-bender-head")</f>
        <v>https://edmondsonsupply.com/products/klein-tools-51608-1-2-inch-iron-conduit-bender-head</v>
      </c>
      <c r="C5262" t="s">
        <v>6789</v>
      </c>
      <c r="D5262" t="s">
        <v>6101</v>
      </c>
      <c r="E5262" s="3" t="str">
        <f>HYPERLINK("https://www.amazon.com/Klein-Tools-51603-Conduit-Features/dp/B08W6GJTHW/ref=sr_1_4?keywords=Klein+Tools+51608+1%2F2-inch+Iron+Conduit+Bender+Head&amp;qid=1695174222&amp;sr=8-4", "https://www.amazon.com/Klein-Tools-51603-Conduit-Features/dp/B08W6GJTHW/ref=sr_1_4?keywords=Klein+Tools+51608+1%2F2-inch+Iron+Conduit+Bender+Head&amp;qid=1695174222&amp;sr=8-4")</f>
        <v>https://www.amazon.com/Klein-Tools-51603-Conduit-Features/dp/B08W6GJTHW/ref=sr_1_4?keywords=Klein+Tools+51608+1%2F2-inch+Iron+Conduit+Bender+Head&amp;qid=1695174222&amp;sr=8-4</v>
      </c>
      <c r="F5262" t="s">
        <v>6102</v>
      </c>
      <c r="G5262" t="e">
        <f ca="1">_xludf.IMAGE("https://edmondsonsupply.com/cdn/shop/products/51608.jpg?v=1643679335")</f>
        <v>#NAME?</v>
      </c>
      <c r="H5262" t="e">
        <f ca="1">_xludf.IMAGE("https://m.media-amazon.com/images/I/31lf3y-9bSL._AC_UL320_.jpg")</f>
        <v>#NAME?</v>
      </c>
      <c r="I5262" t="s">
        <v>198</v>
      </c>
      <c r="J5262">
        <v>59.99</v>
      </c>
      <c r="K5262" s="4">
        <v>0.50009999999999999</v>
      </c>
      <c r="L5262">
        <v>4.9000000000000004</v>
      </c>
      <c r="M5262">
        <v>31</v>
      </c>
      <c r="O5262" t="s">
        <v>25</v>
      </c>
      <c r="P5262" t="s">
        <v>6790</v>
      </c>
      <c r="Q5262" t="s">
        <v>6791</v>
      </c>
    </row>
    <row r="5263" spans="1:17" ht="15.5" x14ac:dyDescent="0.35">
      <c r="A5263"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5263" s="3" t="str">
        <f>HYPERLINK("https://edmondsonsupply.com/products/klein-tools-94130-1000v-insulated-tool-kit-5-piece", "https://edmondsonsupply.com/products/klein-tools-94130-1000v-insulated-tool-kit-5-piece")</f>
        <v>https://edmondsonsupply.com/products/klein-tools-94130-1000v-insulated-tool-kit-5-piece</v>
      </c>
      <c r="C5263" t="s">
        <v>2221</v>
      </c>
      <c r="D5263" t="s">
        <v>3137</v>
      </c>
      <c r="E5263" s="3" t="str">
        <f>HYPERLINK("https://www.amazon.com/Klein-Tools-Insulated-Screwdriver-Multi-Bit/dp/B0B56SPFP5/ref=sr_1_4?keywords=Klein+Tools+94130+1000V+Insulated+Tool+Kit%2C+5-Piece&amp;qid=1695173888&amp;sr=8-4", "https://www.amazon.com/Klein-Tools-Insulated-Screwdriver-Multi-Bit/dp/B0B56SPFP5/ref=sr_1_4?keywords=Klein+Tools+94130+1000V+Insulated+Tool+Kit%2C+5-Piece&amp;qid=1695173888&amp;sr=8-4")</f>
        <v>https://www.amazon.com/Klein-Tools-Insulated-Screwdriver-Multi-Bit/dp/B0B56SPFP5/ref=sr_1_4?keywords=Klein+Tools+94130+1000V+Insulated+Tool+Kit%2C+5-Piece&amp;qid=1695173888&amp;sr=8-4</v>
      </c>
      <c r="F5263" t="s">
        <v>3138</v>
      </c>
      <c r="G5263" t="e">
        <f ca="1">_xludf.IMAGE("https://edmondsonsupply.com/cdn/shop/products/94130.jpg?v=1633030386")</f>
        <v>#NAME?</v>
      </c>
      <c r="H5263" t="e">
        <f ca="1">_xludf.IMAGE("https://m.media-amazon.com/images/I/51tr7--NQkL._AC_UL320_.jpg")</f>
        <v>#NAME?</v>
      </c>
      <c r="I5263" t="s">
        <v>2224</v>
      </c>
      <c r="J5263">
        <v>149.97999999999999</v>
      </c>
      <c r="K5263" s="4">
        <v>0.49990000000000001</v>
      </c>
      <c r="L5263">
        <v>4.9000000000000004</v>
      </c>
      <c r="M5263">
        <v>11</v>
      </c>
      <c r="O5263" t="s">
        <v>25</v>
      </c>
      <c r="P5263" t="s">
        <v>2225</v>
      </c>
      <c r="Q5263" t="s">
        <v>2226</v>
      </c>
    </row>
    <row r="5264" spans="1:17" ht="15.5" x14ac:dyDescent="0.35">
      <c r="A5264"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5264"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5264" t="s">
        <v>6921</v>
      </c>
      <c r="D5264" t="s">
        <v>7116</v>
      </c>
      <c r="E5264" s="3" t="str">
        <f>HYPERLINK("https://www.amazon.com/Crescent-Wiss-Straight-Aviation-Snips/dp/B093TXCS3X/ref=sr_1_4?keywords=Crescent+Wiss+M2P+9-3%2F4%22+Compound+Action+Straight+and+Right+Cut+Aviation+Snips&amp;qid=1695174052&amp;sr=8-4", "https://www.amazon.com/Crescent-Wiss-Straight-Aviation-Snips/dp/B093TXCS3X/ref=sr_1_4?keywords=Crescent+Wiss+M2P+9-3%2F4%22+Compound+Action+Straight+and+Right+Cut+Aviation+Snips&amp;qid=1695174052&amp;sr=8-4")</f>
        <v>https://www.amazon.com/Crescent-Wiss-Straight-Aviation-Snips/dp/B093TXCS3X/ref=sr_1_4?keywords=Crescent+Wiss+M2P+9-3%2F4%22+Compound+Action+Straight+and+Right+Cut+Aviation+Snips&amp;qid=1695174052&amp;sr=8-4</v>
      </c>
      <c r="F5264" t="s">
        <v>7117</v>
      </c>
      <c r="G5264" t="e">
        <f ca="1">_xludf.IMAGE("https://edmondsonsupply.com/cdn/shop/products/WIS_M2P_IMG_ANG_01.jpg?v=1679674099")</f>
        <v>#NAME?</v>
      </c>
      <c r="H5264" t="e">
        <f ca="1">_xludf.IMAGE("https://m.media-amazon.com/images/I/41SEWCwniGS._AC_UL320_.jpg")</f>
        <v>#NAME?</v>
      </c>
      <c r="I5264" t="s">
        <v>577</v>
      </c>
      <c r="J5264">
        <v>29.98</v>
      </c>
      <c r="K5264" s="4">
        <v>0.49969999999999998</v>
      </c>
      <c r="L5264">
        <v>5</v>
      </c>
      <c r="M5264">
        <v>1</v>
      </c>
      <c r="O5264" t="s">
        <v>25</v>
      </c>
      <c r="P5264" t="s">
        <v>6924</v>
      </c>
      <c r="Q5264" t="s">
        <v>6925</v>
      </c>
    </row>
    <row r="5265" spans="1:17" ht="15.5" x14ac:dyDescent="0.35">
      <c r="A5265" s="3" t="str">
        <f>HYPERLINK("https://edmondsonsupply.com/collections/electricians-tools/products/crescent-wiss-m1p-9-3-4-compound-action-straight-and-left-aviation-snips", "https://edmondsonsupply.com/collections/electricians-tools/products/crescent-wiss-m1p-9-3-4-compound-action-straight-and-left-aviation-snips")</f>
        <v>https://edmondsonsupply.com/collections/electricians-tools/products/crescent-wiss-m1p-9-3-4-compound-action-straight-and-left-aviation-snips</v>
      </c>
      <c r="B5265" s="3" t="str">
        <f>HYPERLINK("https://edmondsonsupply.com/products/crescent-wiss-m1p-9-3-4-compound-action-straight-and-left-aviation-snips", "https://edmondsonsupply.com/products/crescent-wiss-m1p-9-3-4-compound-action-straight-and-left-aviation-snips")</f>
        <v>https://edmondsonsupply.com/products/crescent-wiss-m1p-9-3-4-compound-action-straight-and-left-aviation-snips</v>
      </c>
      <c r="C5265" t="s">
        <v>7118</v>
      </c>
      <c r="D5265" t="s">
        <v>7116</v>
      </c>
      <c r="E5265" s="3" t="str">
        <f>HYPERLINK("https://www.amazon.com/Crescent-Wiss-Straight-Aviation-Snips/dp/B093TXCS3X/ref=sr_1_2?keywords=Crescent+Wiss+M1P+9-3%2F4%22+Compound+Action+Straight+and+Left+Aviation+Snips&amp;qid=1695174043&amp;sr=8-2", "https://www.amazon.com/Crescent-Wiss-Straight-Aviation-Snips/dp/B093TXCS3X/ref=sr_1_2?keywords=Crescent+Wiss+M1P+9-3%2F4%22+Compound+Action+Straight+and+Left+Aviation+Snips&amp;qid=1695174043&amp;sr=8-2")</f>
        <v>https://www.amazon.com/Crescent-Wiss-Straight-Aviation-Snips/dp/B093TXCS3X/ref=sr_1_2?keywords=Crescent+Wiss+M1P+9-3%2F4%22+Compound+Action+Straight+and+Left+Aviation+Snips&amp;qid=1695174043&amp;sr=8-2</v>
      </c>
      <c r="F5265" t="s">
        <v>7117</v>
      </c>
      <c r="G5265" t="e">
        <f ca="1">_xludf.IMAGE("https://edmondsonsupply.com/cdn/shop/products/WIS_M1P_IMG_ANG_01.jpg?v=1679672536")</f>
        <v>#NAME?</v>
      </c>
      <c r="H5265" t="e">
        <f ca="1">_xludf.IMAGE("https://m.media-amazon.com/images/I/41SEWCwniGS._AC_UL320_.jpg")</f>
        <v>#NAME?</v>
      </c>
      <c r="I5265" t="s">
        <v>577</v>
      </c>
      <c r="J5265">
        <v>29.98</v>
      </c>
      <c r="K5265" s="4">
        <v>0.49969999999999998</v>
      </c>
      <c r="L5265">
        <v>5</v>
      </c>
      <c r="M5265">
        <v>1</v>
      </c>
      <c r="O5265" t="s">
        <v>25</v>
      </c>
      <c r="P5265" t="s">
        <v>6924</v>
      </c>
      <c r="Q5265" t="s">
        <v>7119</v>
      </c>
    </row>
    <row r="5266" spans="1:17" ht="15.5" x14ac:dyDescent="0.35">
      <c r="A5266"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5266"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5266" t="s">
        <v>7120</v>
      </c>
      <c r="D5266" t="s">
        <v>7116</v>
      </c>
      <c r="E5266" s="3" t="str">
        <f>HYPERLINK("https://www.amazon.com/Crescent-Wiss-Straight-Aviation-Snips/dp/B093TXCS3X/ref=sr_1_1?keywords=Crescent+Wiss+M3P+9-3%2F4%22+Compound+Action+Straight%2C+Left+and+Right+Cut+Snips&amp;qid=1695174052&amp;sr=8-1", "https://www.amazon.com/Crescent-Wiss-Straight-Aviation-Snips/dp/B093TXCS3X/ref=sr_1_1?keywords=Crescent+Wiss+M3P+9-3%2F4%22+Compound+Action+Straight%2C+Left+and+Right+Cut+Snips&amp;qid=1695174052&amp;sr=8-1")</f>
        <v>https://www.amazon.com/Crescent-Wiss-Straight-Aviation-Snips/dp/B093TXCS3X/ref=sr_1_1?keywords=Crescent+Wiss+M3P+9-3%2F4%22+Compound+Action+Straight%2C+Left+and+Right+Cut+Snips&amp;qid=1695174052&amp;sr=8-1</v>
      </c>
      <c r="F5266" t="s">
        <v>7117</v>
      </c>
      <c r="G5266" t="e">
        <f ca="1">_xludf.IMAGE("https://edmondsonsupply.com/cdn/shop/products/WIS_M3P_IMG_ANG_01.jpg?v=1679675102")</f>
        <v>#NAME?</v>
      </c>
      <c r="H5266" t="e">
        <f ca="1">_xludf.IMAGE("https://m.media-amazon.com/images/I/41SEWCwniGS._AC_UL320_.jpg")</f>
        <v>#NAME?</v>
      </c>
      <c r="I5266" t="s">
        <v>577</v>
      </c>
      <c r="J5266">
        <v>29.98</v>
      </c>
      <c r="K5266" s="4">
        <v>0.49969999999999998</v>
      </c>
      <c r="L5266">
        <v>5</v>
      </c>
      <c r="M5266">
        <v>1</v>
      </c>
      <c r="O5266" t="s">
        <v>25</v>
      </c>
      <c r="P5266" t="s">
        <v>6924</v>
      </c>
      <c r="Q5266" t="s">
        <v>7121</v>
      </c>
    </row>
    <row r="5267" spans="1:17" ht="15.5" x14ac:dyDescent="0.35">
      <c r="A5267"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5267" s="3" t="str">
        <f>HYPERLINK("https://edmondsonsupply.com/products/klein-tools-935dagl-digital-level-with-programmable-angles", "https://edmondsonsupply.com/products/klein-tools-935dagl-digital-level-with-programmable-angles")</f>
        <v>https://edmondsonsupply.com/products/klein-tools-935dagl-digital-level-with-programmable-angles</v>
      </c>
      <c r="C5267" t="s">
        <v>7122</v>
      </c>
      <c r="D5267" t="s">
        <v>1925</v>
      </c>
      <c r="E5267" s="3" t="str">
        <f>HYPERLINK("https://www.amazon.com/Klein-Tools-935DAGL-Electronic-Measures/dp/B0BNL46JTV/ref=sr_1_2?keywords=Klein+Tools+935DAGL+Digital+Level+with+Programmable+Angles&amp;qid=1695174178&amp;sr=8-2", "https://www.amazon.com/Klein-Tools-935DAGL-Electronic-Measures/dp/B0BNL46JTV/ref=sr_1_2?keywords=Klein+Tools+935DAGL+Digital+Level+with+Programmable+Angles&amp;qid=1695174178&amp;sr=8-2")</f>
        <v>https://www.amazon.com/Klein-Tools-935DAGL-Electronic-Measures/dp/B0BNL46JTV/ref=sr_1_2?keywords=Klein+Tools+935DAGL+Digital+Level+with+Programmable+Angles&amp;qid=1695174178&amp;sr=8-2</v>
      </c>
      <c r="F5267" t="s">
        <v>1926</v>
      </c>
      <c r="G5267" t="e">
        <f ca="1">_xludf.IMAGE("https://edmondsonsupply.com/cdn/shop/products/935dagl.jpg?v=1660749694")</f>
        <v>#NAME?</v>
      </c>
      <c r="H5267" t="e">
        <f ca="1">_xludf.IMAGE("https://m.media-amazon.com/images/I/518pZRTQawL._AC_UL320_.jpg")</f>
        <v>#NAME?</v>
      </c>
      <c r="I5267" t="s">
        <v>5197</v>
      </c>
      <c r="J5267">
        <v>89.94</v>
      </c>
      <c r="K5267" s="4">
        <v>0.49969999999999998</v>
      </c>
      <c r="L5267">
        <v>4.7</v>
      </c>
      <c r="M5267">
        <v>5</v>
      </c>
      <c r="O5267" t="s">
        <v>25</v>
      </c>
      <c r="P5267" t="s">
        <v>7123</v>
      </c>
      <c r="Q5267" t="s">
        <v>7124</v>
      </c>
    </row>
    <row r="5268" spans="1:17" ht="15.5" x14ac:dyDescent="0.35">
      <c r="A5268" s="3" t="str">
        <f>HYPERLINK("https://edmondsonsupply.com/collections/electricians-tools/products/klein-tools-32907-7-in-1-impact-flip-socket-set-no-handle", "https://edmondsonsupply.com/collections/electricians-tools/products/klein-tools-32907-7-in-1-impact-flip-socket-set-no-handle")</f>
        <v>https://edmondsonsupply.com/collections/electricians-tools/products/klein-tools-32907-7-in-1-impact-flip-socket-set-no-handle</v>
      </c>
      <c r="B5268" s="3" t="str">
        <f>HYPERLINK("https://edmondsonsupply.com/products/klein-tools-32907-7-in-1-impact-flip-socket-set-no-handle", "https://edmondsonsupply.com/products/klein-tools-32907-7-in-1-impact-flip-socket-set-no-handle")</f>
        <v>https://edmondsonsupply.com/products/klein-tools-32907-7-in-1-impact-flip-socket-set-no-handle</v>
      </c>
      <c r="C5268" t="s">
        <v>1833</v>
      </c>
      <c r="D5268" t="s">
        <v>3143</v>
      </c>
      <c r="E5268" s="3" t="str">
        <f>HYPERLINK("https://www.amazon.com/Klein-Tools-Precision-Screwdriver-Multi-Function/dp/B0CB12C2ND/ref=sr_1_10?keywords=Klein+Tools+32907+7-in-1+Impact+Flip+Socket+Set%2C+No+Handle&amp;qid=1695173886&amp;sr=8-10", "https://www.amazon.com/Klein-Tools-Precision-Screwdriver-Multi-Function/dp/B0CB12C2ND/ref=sr_1_10?keywords=Klein+Tools+32907+7-in-1+Impact+Flip+Socket+Set%2C+No+Handle&amp;qid=1695173886&amp;sr=8-10")</f>
        <v>https://www.amazon.com/Klein-Tools-Precision-Screwdriver-Multi-Function/dp/B0CB12C2ND/ref=sr_1_10?keywords=Klein+Tools+32907+7-in-1+Impact+Flip+Socket+Set%2C+No+Handle&amp;qid=1695173886&amp;sr=8-10</v>
      </c>
      <c r="F5268" t="s">
        <v>3144</v>
      </c>
      <c r="G5268" t="e">
        <f ca="1">_xludf.IMAGE("https://edmondsonsupply.com/cdn/shop/products/32907_b.jpg?v=1666025282")</f>
        <v>#NAME?</v>
      </c>
      <c r="H5268" t="e">
        <f ca="1">_xludf.IMAGE("https://m.media-amazon.com/images/I/51QIIQOlsBL._AC_UL320_.jpg")</f>
        <v>#NAME?</v>
      </c>
      <c r="I5268" t="s">
        <v>577</v>
      </c>
      <c r="J5268">
        <v>29.97</v>
      </c>
      <c r="K5268" s="4">
        <v>0.49919999999999998</v>
      </c>
      <c r="L5268">
        <v>4.9000000000000004</v>
      </c>
      <c r="M5268">
        <v>2770</v>
      </c>
      <c r="O5268" t="s">
        <v>25</v>
      </c>
      <c r="P5268" t="s">
        <v>1836</v>
      </c>
      <c r="Q5268" t="s">
        <v>1837</v>
      </c>
    </row>
    <row r="5269" spans="1:17" ht="15.5" x14ac:dyDescent="0.35">
      <c r="A5269"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5269" s="3" t="str">
        <f>HYPERLINK("https://edmondsonsupply.com/products/klein-tools-et45-ac-dc-voltage-tester", "https://edmondsonsupply.com/products/klein-tools-et45-ac-dc-voltage-tester")</f>
        <v>https://edmondsonsupply.com/products/klein-tools-et45-ac-dc-voltage-tester</v>
      </c>
      <c r="C5269" t="s">
        <v>6080</v>
      </c>
      <c r="D5269" t="s">
        <v>7125</v>
      </c>
      <c r="E5269" s="3" t="str">
        <f>HYPERLINK("https://www.amazon.com/Receptacle-Electrical-Klein-Tools-ET45VP/dp/B08Y63ZG1B/ref=sr_1_3?keywords=Klein+Tools+ET45+AC%2FDC+Voltage+Tester&amp;qid=1695174290&amp;sr=8-3", "https://www.amazon.com/Receptacle-Electrical-Klein-Tools-ET45VP/dp/B08Y63ZG1B/ref=sr_1_3?keywords=Klein+Tools+ET45+AC%2FDC+Voltage+Tester&amp;qid=1695174290&amp;sr=8-3")</f>
        <v>https://www.amazon.com/Receptacle-Electrical-Klein-Tools-ET45VP/dp/B08Y63ZG1B/ref=sr_1_3?keywords=Klein+Tools+ET45+AC%2FDC+Voltage+Tester&amp;qid=1695174290&amp;sr=8-3</v>
      </c>
      <c r="F5269" t="s">
        <v>7126</v>
      </c>
      <c r="G5269" t="e">
        <f ca="1">_xludf.IMAGE("https://edmondsonsupply.com/cdn/shop/products/et45.jpg?v=1647786270")</f>
        <v>#NAME?</v>
      </c>
      <c r="H5269" t="e">
        <f ca="1">_xludf.IMAGE("https://m.media-amazon.com/images/I/51g9gSN+3SL._AC_UL320_.jpg")</f>
        <v>#NAME?</v>
      </c>
      <c r="I5269" t="s">
        <v>2337</v>
      </c>
      <c r="J5269">
        <v>17.97</v>
      </c>
      <c r="K5269" s="4">
        <v>0.49869999999999998</v>
      </c>
      <c r="L5269">
        <v>4.5999999999999996</v>
      </c>
      <c r="M5269">
        <v>241</v>
      </c>
      <c r="O5269" t="s">
        <v>25</v>
      </c>
      <c r="P5269" t="s">
        <v>6083</v>
      </c>
      <c r="Q5269" t="s">
        <v>6084</v>
      </c>
    </row>
    <row r="5270" spans="1:17" ht="15.5" x14ac:dyDescent="0.35">
      <c r="A5270"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5270"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5270" t="s">
        <v>5837</v>
      </c>
      <c r="D5270" t="s">
        <v>5838</v>
      </c>
      <c r="E5270" s="3" t="str">
        <f>HYPERLINK("https://www.amazon.com/Diablo-SDS-Max-4-Cutter-Carbide-Tipped-Hammer/dp/B089LHKFQ2/ref=sr_1_3?keywords=Diablo+Tools+DMAMXCC5010+2+in.+x+7+in.+SDS-Max+Carbide+Tipped+Core+Bit&amp;qid=1695174008&amp;sr=8-3", "https://www.amazon.com/Diablo-SDS-Max-4-Cutter-Carbide-Tipped-Hammer/dp/B089LHKFQ2/ref=sr_1_3?keywords=Diablo+Tools+DMAMXCC5010+2+in.+x+7+in.+SDS-Max+Carbide+Tipped+Core+Bit&amp;qid=1695174008&amp;sr=8-3")</f>
        <v>https://www.amazon.com/Diablo-SDS-Max-4-Cutter-Carbide-Tipped-Hammer/dp/B089LHKFQ2/ref=sr_1_3?keywords=Diablo+Tools+DMAMXCC5010+2+in.+x+7+in.+SDS-Max+Carbide+Tipped+Core+Bit&amp;qid=1695174008&amp;sr=8-3</v>
      </c>
      <c r="F5270" t="s">
        <v>5839</v>
      </c>
      <c r="G5270" t="e">
        <f ca="1">_xludf.IMAGE("https://edmondsonsupply.com/cdn/shop/files/kbs61qpkymnshwvx13k1.webp?v=1686583113")</f>
        <v>#NAME?</v>
      </c>
      <c r="H5270" t="e">
        <f ca="1">_xludf.IMAGE("https://m.media-amazon.com/images/I/61p4Q032qYL._AC_UL320_.jpg")</f>
        <v>#NAME?</v>
      </c>
      <c r="I5270" t="s">
        <v>5840</v>
      </c>
      <c r="J5270">
        <v>151.99</v>
      </c>
      <c r="K5270" s="4">
        <v>0.49759999999999999</v>
      </c>
      <c r="L5270">
        <v>4.4000000000000004</v>
      </c>
      <c r="M5270">
        <v>4</v>
      </c>
      <c r="O5270" t="s">
        <v>25</v>
      </c>
      <c r="P5270" t="s">
        <v>5841</v>
      </c>
      <c r="Q5270" t="s">
        <v>5842</v>
      </c>
    </row>
    <row r="5271" spans="1:17" ht="15.5" x14ac:dyDescent="0.35">
      <c r="A5271"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5271"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5271" t="s">
        <v>6437</v>
      </c>
      <c r="D5271" t="s">
        <v>5844</v>
      </c>
      <c r="E5271" s="3" t="str">
        <f>HYPERLINK("https://www.amazon.com/Milwaukee-48-39-0521-Compact-Portable-Blade/dp/B002ZC81DO/ref=sr_1_2?keywords=Milwaukee+48-39-0572+18+TPI+Standard+Compact+Portable+Band+Saw+Blade+BULK+100&amp;qid=1695174058&amp;sr=8-2", "https://www.amazon.com/Milwaukee-48-39-0521-Compact-Portable-Blade/dp/B002ZC81DO/ref=sr_1_2?keywords=Milwaukee+48-39-0572+18+TPI+Standard+Compact+Portable+Band+Saw+Blade+BULK+100&amp;qid=1695174058&amp;sr=8-2")</f>
        <v>https://www.amazon.com/Milwaukee-48-39-0521-Compact-Portable-Blade/dp/B002ZC81DO/ref=sr_1_2?keywords=Milwaukee+48-39-0572+18+TPI+Standard+Compact+Portable+Band+Saw+Blade+BULK+100&amp;qid=1695174058&amp;sr=8-2</v>
      </c>
      <c r="F5271" t="s">
        <v>5845</v>
      </c>
      <c r="G5271" t="e">
        <f ca="1">_xludf.IMAGE("https://edmondsonsupply.com/cdn/shop/products/21432_48-39-0510.jpg?v=1678901662")</f>
        <v>#NAME?</v>
      </c>
      <c r="H5271" t="e">
        <f ca="1">_xludf.IMAGE("https://m.media-amazon.com/images/I/41tfNWcm0oL._AC_UL320_.jpg")</f>
        <v>#NAME?</v>
      </c>
      <c r="I5271" t="s">
        <v>2247</v>
      </c>
      <c r="J5271">
        <v>32.9</v>
      </c>
      <c r="K5271" s="4">
        <v>0.4975</v>
      </c>
      <c r="L5271">
        <v>4.3</v>
      </c>
      <c r="M5271">
        <v>32</v>
      </c>
      <c r="O5271" t="s">
        <v>25</v>
      </c>
      <c r="P5271" t="s">
        <v>6313</v>
      </c>
      <c r="Q5271" t="s">
        <v>6438</v>
      </c>
    </row>
    <row r="5272" spans="1:17" ht="15.5" x14ac:dyDescent="0.35">
      <c r="A5272"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5272" s="3" t="str">
        <f>HYPERLINK("https://edmondsonsupply.com/products/milwaukee-48-39-0521-18-tpi-band-saw-blade-deep-cut-3-pack", "https://edmondsonsupply.com/products/milwaukee-48-39-0521-18-tpi-band-saw-blade-deep-cut-3-pack")</f>
        <v>https://edmondsonsupply.com/products/milwaukee-48-39-0521-18-tpi-band-saw-blade-deep-cut-3-pack</v>
      </c>
      <c r="C5272" t="s">
        <v>5843</v>
      </c>
      <c r="D5272" t="s">
        <v>5844</v>
      </c>
      <c r="E5272" s="3" t="str">
        <f>HYPERLINK("https://www.amazon.com/Milwaukee-48-39-0521-Compact-Portable-Blade/dp/B002ZC81DO/ref=sr_1_1?keywords=Milwaukee+48-39-0521+18+TPI+Band+Saw+Blade%2C+Deep+Cut-+3+Pack&amp;qid=1695174009&amp;sr=8-1", "https://www.amazon.com/Milwaukee-48-39-0521-Compact-Portable-Blade/dp/B002ZC81DO/ref=sr_1_1?keywords=Milwaukee+48-39-0521+18+TPI+Band+Saw+Blade%2C+Deep+Cut-+3+Pack&amp;qid=1695174009&amp;sr=8-1")</f>
        <v>https://www.amazon.com/Milwaukee-48-39-0521-Compact-Portable-Blade/dp/B002ZC81DO/ref=sr_1_1?keywords=Milwaukee+48-39-0521+18+TPI+Band+Saw+Blade%2C+Deep+Cut-+3+Pack&amp;qid=1695174009&amp;sr=8-1</v>
      </c>
      <c r="F5272" t="s">
        <v>5845</v>
      </c>
      <c r="G5272" t="e">
        <f ca="1">_xludf.IMAGE("https://edmondsonsupply.com/cdn/shop/files/21432_48-39-0510_1.jpg?v=1686932969")</f>
        <v>#NAME?</v>
      </c>
      <c r="H5272" t="e">
        <f ca="1">_xludf.IMAGE("https://m.media-amazon.com/images/I/41tfNWcm0oL._AC_UL320_.jpg")</f>
        <v>#NAME?</v>
      </c>
      <c r="I5272" t="s">
        <v>2247</v>
      </c>
      <c r="J5272">
        <v>32.9</v>
      </c>
      <c r="K5272" s="4">
        <v>0.4975</v>
      </c>
      <c r="L5272">
        <v>4.3</v>
      </c>
      <c r="M5272">
        <v>32</v>
      </c>
      <c r="O5272" t="s">
        <v>25</v>
      </c>
      <c r="P5272" t="s">
        <v>5846</v>
      </c>
      <c r="Q5272" t="s">
        <v>5847</v>
      </c>
    </row>
    <row r="5273" spans="1:17" ht="15.5" x14ac:dyDescent="0.35">
      <c r="A5273"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5273" s="3" t="str">
        <f>HYPERLINK("https://edmondsonsupply.com/products/klein-tools-d502-10-pump-pliers-10-inch", "https://edmondsonsupply.com/products/klein-tools-d502-10-pump-pliers-10-inch")</f>
        <v>https://edmondsonsupply.com/products/klein-tools-d502-10-pump-pliers-10-inch</v>
      </c>
      <c r="C5273" t="s">
        <v>6607</v>
      </c>
      <c r="D5273" t="s">
        <v>7127</v>
      </c>
      <c r="E5273" s="3" t="str">
        <f>HYPERLINK("https://www.amazon.com/Pliers-10-Inch-Klein-Tools-D502-10TT/dp/B072BQM873/ref=sr_1_3?keywords=Klein+Tools+D502-10+Pump+Pliers%2C+10-Inch&amp;qid=1695174291&amp;sr=8-3", "https://www.amazon.com/Pliers-10-Inch-Klein-Tools-D502-10TT/dp/B072BQM873/ref=sr_1_3?keywords=Klein+Tools+D502-10+Pump+Pliers%2C+10-Inch&amp;qid=1695174291&amp;sr=8-3")</f>
        <v>https://www.amazon.com/Pliers-10-Inch-Klein-Tools-D502-10TT/dp/B072BQM873/ref=sr_1_3?keywords=Klein+Tools+D502-10+Pump+Pliers%2C+10-Inch&amp;qid=1695174291&amp;sr=8-3</v>
      </c>
      <c r="F5273" t="s">
        <v>7128</v>
      </c>
      <c r="G5273" t="e">
        <f ca="1">_xludf.IMAGE("https://edmondsonsupply.com/cdn/shop/products/d50210_alt1.jpg?v=1633030884")</f>
        <v>#NAME?</v>
      </c>
      <c r="H5273" t="e">
        <f ca="1">_xludf.IMAGE("https://m.media-amazon.com/images/I/41M283brlxL._AC_UL320_.jpg")</f>
        <v>#NAME?</v>
      </c>
      <c r="I5273" t="s">
        <v>471</v>
      </c>
      <c r="J5273">
        <v>37.4</v>
      </c>
      <c r="K5273" s="4">
        <v>0.49659999999999999</v>
      </c>
      <c r="L5273">
        <v>5</v>
      </c>
      <c r="M5273">
        <v>2</v>
      </c>
      <c r="O5273" t="s">
        <v>25</v>
      </c>
      <c r="P5273" t="s">
        <v>6610</v>
      </c>
      <c r="Q5273" t="s">
        <v>6611</v>
      </c>
    </row>
    <row r="5274" spans="1:17" ht="15.5" x14ac:dyDescent="0.35">
      <c r="A5274"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5274" s="3" t="str">
        <f>HYPERLINK("https://edmondsonsupply.com/products/klein-tools-32900-7-in-1-impact-flip-socket-with-handle", "https://edmondsonsupply.com/products/klein-tools-32900-7-in-1-impact-flip-socket-with-handle")</f>
        <v>https://edmondsonsupply.com/products/klein-tools-32900-7-in-1-impact-flip-socket-with-handle</v>
      </c>
      <c r="C5274" t="s">
        <v>6184</v>
      </c>
      <c r="D5274" t="s">
        <v>2674</v>
      </c>
      <c r="E5274" s="3" t="str">
        <f>HYPERLINK("https://www.amazon.com/Adjustable-Screwdriver-Drivers-Klein-Tools/dp/B09Y84RPSB/ref=sr_1_7?keywords=Klein+Tools+32900+7-in-1+Impact+Flip+Socket+with+Handle&amp;qid=1695174143&amp;sr=8-7", "https://www.amazon.com/Adjustable-Screwdriver-Drivers-Klein-Tools/dp/B09Y84RPSB/ref=sr_1_7?keywords=Klein+Tools+32900+7-in-1+Impact+Flip+Socket+with+Handle&amp;qid=1695174143&amp;sr=8-7")</f>
        <v>https://www.amazon.com/Adjustable-Screwdriver-Drivers-Klein-Tools/dp/B09Y84RPSB/ref=sr_1_7?keywords=Klein+Tools+32900+7-in-1+Impact+Flip+Socket+with+Handle&amp;qid=1695174143&amp;sr=8-7</v>
      </c>
      <c r="F5274" t="s">
        <v>2675</v>
      </c>
      <c r="G5274" t="e">
        <f ca="1">_xludf.IMAGE("https://edmondsonsupply.com/cdn/shop/products/32900_b.jpg?v=1666024787")</f>
        <v>#NAME?</v>
      </c>
      <c r="H5274" t="e">
        <f ca="1">_xludf.IMAGE("https://m.media-amazon.com/images/I/41KTNungRUL._AC_UL320_.jpg")</f>
        <v>#NAME?</v>
      </c>
      <c r="I5274" t="s">
        <v>824</v>
      </c>
      <c r="J5274">
        <v>44.76</v>
      </c>
      <c r="K5274" s="4">
        <v>0.49349999999999999</v>
      </c>
      <c r="L5274">
        <v>4.8</v>
      </c>
      <c r="M5274">
        <v>88</v>
      </c>
      <c r="O5274" t="s">
        <v>25</v>
      </c>
      <c r="P5274" t="s">
        <v>73</v>
      </c>
      <c r="Q5274" t="s">
        <v>6187</v>
      </c>
    </row>
    <row r="5275" spans="1:17" ht="15.5" x14ac:dyDescent="0.35">
      <c r="A5275" s="3" t="str">
        <f>HYPERLINK("https://edmondsonsupply.com/collections/electricians-tools/products/rack-a-tiers-65300-ladder-mate", "https://edmondsonsupply.com/collections/electricians-tools/products/rack-a-tiers-65300-ladder-mate")</f>
        <v>https://edmondsonsupply.com/collections/electricians-tools/products/rack-a-tiers-65300-ladder-mate</v>
      </c>
      <c r="B5275" s="3" t="str">
        <f>HYPERLINK("https://edmondsonsupply.com/products/rack-a-tiers-65300-ladder-mate", "https://edmondsonsupply.com/products/rack-a-tiers-65300-ladder-mate")</f>
        <v>https://edmondsonsupply.com/products/rack-a-tiers-65300-ladder-mate</v>
      </c>
      <c r="C5275" t="s">
        <v>257</v>
      </c>
      <c r="D5275" t="s">
        <v>257</v>
      </c>
      <c r="E5275" s="3" t="str">
        <f>HYPERLINK("https://www.amazon.com/Rack-A-Tiers-CECOMINOD071287-65300-Ladder-Mate/dp/B00ZVDLDZ2/ref=sr_1_1?keywords=Rack-A-Tiers+65300+Ladder+Mate&amp;qid=1695173847&amp;sr=8-1", "https://www.amazon.com/Rack-A-Tiers-CECOMINOD071287-65300-Ladder-Mate/dp/B00ZVDLDZ2/ref=sr_1_1?keywords=Rack-A-Tiers+65300+Ladder+Mate&amp;qid=1695173847&amp;sr=8-1")</f>
        <v>https://www.amazon.com/Rack-A-Tiers-CECOMINOD071287-65300-Ladder-Mate/dp/B00ZVDLDZ2/ref=sr_1_1?keywords=Rack-A-Tiers+65300+Ladder+Mate&amp;qid=1695173847&amp;sr=8-1</v>
      </c>
      <c r="F5275" t="s">
        <v>426</v>
      </c>
      <c r="G5275" t="e">
        <f ca="1">_xludf.IMAGE("https://edmondsonsupply.com/cdn/shop/products/65300-Ladder-Mate.png?v=1633031066")</f>
        <v>#NAME?</v>
      </c>
      <c r="H5275" t="e">
        <f ca="1">_xludf.IMAGE("https://m.media-amazon.com/images/I/41fRbR1BozL._AC_UL320_.jpg")</f>
        <v>#NAME?</v>
      </c>
      <c r="I5275" t="s">
        <v>260</v>
      </c>
      <c r="J5275">
        <v>49.99</v>
      </c>
      <c r="K5275" s="4">
        <v>0.49270000000000003</v>
      </c>
      <c r="L5275">
        <v>4.8</v>
      </c>
      <c r="M5275">
        <v>145</v>
      </c>
      <c r="O5275" t="s">
        <v>25</v>
      </c>
      <c r="P5275" t="s">
        <v>261</v>
      </c>
      <c r="Q5275" t="s">
        <v>262</v>
      </c>
    </row>
    <row r="5276" spans="1:17" ht="15.5" x14ac:dyDescent="0.35">
      <c r="A5276" s="3" t="str">
        <f>HYPERLINK("https://edmondsonsupply.com/collections/electricians-tools/products/milwaukee-2880-22-m18-fuel%E2%84%A2-4-1-2-5-grinder-paddle-switch-no-lock-kit", "https://edmondsonsupply.com/collections/electricians-tools/products/milwaukee-2880-22-m18-fuel%E2%84%A2-4-1-2-5-grinder-paddle-switch-no-lock-kit")</f>
        <v>https://edmondsonsupply.com/collections/electricians-tools/products/milwaukee-2880-22-m18-fuel%E2%84%A2-4-1-2-5-grinder-paddle-switch-no-lock-kit</v>
      </c>
      <c r="B5276" s="3" t="str">
        <f>HYPERLINK("https://edmondsonsupply.com/products/milwaukee-2880-22-m18-fuel%e2%84%a2-4-1-2-5-grinder-paddle-switch-no-lock-kit", "https://edmondsonsupply.com/products/milwaukee-2880-22-m18-fuel%e2%84%a2-4-1-2-5-grinder-paddle-switch-no-lock-kit")</f>
        <v>https://edmondsonsupply.com/products/milwaukee-2880-22-m18-fuel%e2%84%a2-4-1-2-5-grinder-paddle-switch-no-lock-kit</v>
      </c>
      <c r="C5276" t="s">
        <v>7129</v>
      </c>
      <c r="D5276" t="s">
        <v>6322</v>
      </c>
      <c r="E5276" s="3" t="str">
        <f>HYPERLINK("https://www.amazon.com/Milwaukee-2780-22-Grinder-Paddle-No-Lock/dp/B01N45B1K5/ref=sr_1_2?keywords=Milwaukee+2880-22+M18+FUEL%E2%84%A2+4-1%2F2%22+%2F+5%22+Grinder+Paddle+Switch%2C+No-Lock+%28Kit%29&amp;qid=1695174132&amp;sr=8-2", "https://www.amazon.com/Milwaukee-2780-22-Grinder-Paddle-No-Lock/dp/B01N45B1K5/ref=sr_1_2?keywords=Milwaukee+2880-22+M18+FUEL%E2%84%A2+4-1%2F2%22+%2F+5%22+Grinder+Paddle+Switch%2C+No-Lock+%28Kit%29&amp;qid=1695174132&amp;sr=8-2")</f>
        <v>https://www.amazon.com/Milwaukee-2780-22-Grinder-Paddle-No-Lock/dp/B01N45B1K5/ref=sr_1_2?keywords=Milwaukee+2880-22+M18+FUEL%E2%84%A2+4-1%2F2%22+%2F+5%22+Grinder+Paddle+Switch%2C+No-Lock+%28Kit%29&amp;qid=1695174132&amp;sr=8-2</v>
      </c>
      <c r="F5276" t="s">
        <v>6323</v>
      </c>
      <c r="G5276" t="e">
        <f ca="1">_xludf.IMAGE("https://edmondsonsupply.com/cdn/shop/products/2880-22_1.png?v=1668015986")</f>
        <v>#NAME?</v>
      </c>
      <c r="H5276" t="e">
        <f ca="1">_xludf.IMAGE("https://m.media-amazon.com/images/I/61hjyVlQ1pL._AC_UL320_.jpg")</f>
        <v>#NAME?</v>
      </c>
      <c r="I5276" t="s">
        <v>7130</v>
      </c>
      <c r="J5276">
        <v>669.99</v>
      </c>
      <c r="K5276" s="4">
        <v>0.49220000000000003</v>
      </c>
      <c r="L5276">
        <v>5</v>
      </c>
      <c r="M5276">
        <v>2</v>
      </c>
      <c r="O5276" t="s">
        <v>171</v>
      </c>
      <c r="P5276" t="s">
        <v>7131</v>
      </c>
      <c r="Q5276" t="s">
        <v>7132</v>
      </c>
    </row>
    <row r="5277" spans="1:17" ht="15.5" x14ac:dyDescent="0.35">
      <c r="A5277"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5277"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5277" t="s">
        <v>2391</v>
      </c>
      <c r="D5277" t="s">
        <v>3163</v>
      </c>
      <c r="E5277" s="3" t="str">
        <f>HYPERLINK("https://www.amazon.com/Journeyman-T-Handle-Klein-Tools-JTH9E14/dp/B004QVAH4I/ref=sr_1_6?keywords=Klein+Tools+JTH6E11+3%2F16-Inch+Hex+Key%2C+Journeyman+T-Handle%2C+6-Inch&amp;qid=1695173898&amp;sr=8-6", "https://www.amazon.com/Journeyman-T-Handle-Klein-Tools-JTH9E14/dp/B004QVAH4I/ref=sr_1_6?keywords=Klein+Tools+JTH6E11+3%2F16-Inch+Hex+Key%2C+Journeyman+T-Handle%2C+6-Inch&amp;qid=1695173898&amp;sr=8-6")</f>
        <v>https://www.amazon.com/Journeyman-T-Handle-Klein-Tools-JTH9E14/dp/B004QVAH4I/ref=sr_1_6?keywords=Klein+Tools+JTH6E11+3%2F16-Inch+Hex+Key%2C+Journeyman+T-Handle%2C+6-Inch&amp;qid=1695173898&amp;sr=8-6</v>
      </c>
      <c r="F5277" t="s">
        <v>3164</v>
      </c>
      <c r="G5277" t="e">
        <f ca="1">_xludf.IMAGE("https://edmondsonsupply.com/cdn/shop/products/jth6e15_0266106d-0a3b-44ba-997b-66db7749d83f.jpg?v=1587144829")</f>
        <v>#NAME?</v>
      </c>
      <c r="H5277" t="e">
        <f ca="1">_xludf.IMAGE("https://m.media-amazon.com/images/I/51Yb8h41vLL._AC_UL320_.jpg")</f>
        <v>#NAME?</v>
      </c>
      <c r="I5277" t="s">
        <v>2388</v>
      </c>
      <c r="J5277">
        <v>7.44</v>
      </c>
      <c r="K5277" s="4">
        <v>0.49099999999999999</v>
      </c>
      <c r="L5277">
        <v>4.8</v>
      </c>
      <c r="M5277">
        <v>114</v>
      </c>
      <c r="O5277" t="s">
        <v>25</v>
      </c>
      <c r="P5277" t="s">
        <v>2392</v>
      </c>
      <c r="Q5277" t="s">
        <v>2393</v>
      </c>
    </row>
    <row r="5278" spans="1:17" ht="15.5" x14ac:dyDescent="0.35">
      <c r="A5278"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5278" s="3" t="str">
        <f>HYPERLINK("https://edmondsonsupply.com/products/klein-tools-jth9m5-5-mm-hex-key-journeyman-t-handle-9-inch", "https://edmondsonsupply.com/products/klein-tools-jth9m5-5-mm-hex-key-journeyman-t-handle-9-inch")</f>
        <v>https://edmondsonsupply.com/products/klein-tools-jth9m5-5-mm-hex-key-journeyman-t-handle-9-inch</v>
      </c>
      <c r="C5278" t="s">
        <v>6167</v>
      </c>
      <c r="D5278" t="s">
        <v>3163</v>
      </c>
      <c r="E5278" s="3" t="str">
        <f>HYPERLINK("https://www.amazon.com/Journeyman-T-Handle-Klein-Tools-JTH9E14/dp/B004QVAH4I/ref=sr_1_5?keywords=Klein+Tools+JTH9M5+5+mm+Hex+Key%2C+Journeyman+T-Handle+9-Inch&amp;qid=1695174264&amp;sr=8-5", "https://www.amazon.com/Journeyman-T-Handle-Klein-Tools-JTH9E14/dp/B004QVAH4I/ref=sr_1_5?keywords=Klein+Tools+JTH9M5+5+mm+Hex+Key%2C+Journeyman+T-Handle+9-Inch&amp;qid=1695174264&amp;sr=8-5")</f>
        <v>https://www.amazon.com/Journeyman-T-Handle-Klein-Tools-JTH9E14/dp/B004QVAH4I/ref=sr_1_5?keywords=Klein+Tools+JTH9M5+5+mm+Hex+Key%2C+Journeyman+T-Handle+9-Inch&amp;qid=1695174264&amp;sr=8-5</v>
      </c>
      <c r="F5278" t="s">
        <v>3164</v>
      </c>
      <c r="G5278" t="e">
        <f ca="1">_xludf.IMAGE("https://edmondsonsupply.com/cdn/shop/products/jth9m_84ad507b-889a-4b5c-80a2-9633c898cd48.jpg?v=1633031048")</f>
        <v>#NAME?</v>
      </c>
      <c r="H5278" t="e">
        <f ca="1">_xludf.IMAGE("https://m.media-amazon.com/images/I/51Yb8h41vLL._AC_UL320_.jpg")</f>
        <v>#NAME?</v>
      </c>
      <c r="I5278" t="s">
        <v>2388</v>
      </c>
      <c r="J5278">
        <v>7.44</v>
      </c>
      <c r="K5278" s="4">
        <v>0.49099999999999999</v>
      </c>
      <c r="L5278">
        <v>4.8</v>
      </c>
      <c r="M5278">
        <v>114</v>
      </c>
      <c r="O5278" t="s">
        <v>25</v>
      </c>
      <c r="P5278" t="s">
        <v>6168</v>
      </c>
      <c r="Q5278" t="s">
        <v>6169</v>
      </c>
    </row>
    <row r="5279" spans="1:17" ht="15.5" x14ac:dyDescent="0.35">
      <c r="A5279"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5279" s="3" t="str">
        <f>HYPERLINK("https://edmondsonsupply.com/products/klein-tools-jth4e17-1-2-inch-hex-key-journeyman-t-handle-4-inch", "https://edmondsonsupply.com/products/klein-tools-jth4e17-1-2-inch-hex-key-journeyman-t-handle-4-inch")</f>
        <v>https://edmondsonsupply.com/products/klein-tools-jth4e17-1-2-inch-hex-key-journeyman-t-handle-4-inch</v>
      </c>
      <c r="C5279" t="s">
        <v>2385</v>
      </c>
      <c r="D5279" t="s">
        <v>3163</v>
      </c>
      <c r="E5279" s="3" t="str">
        <f>HYPERLINK("https://www.amazon.com/Journeyman-T-Handle-Klein-Tools-JTH9E14/dp/B004QVAH4I/ref=sr_1_2?keywords=Klein+Tools+JTH4E11+3%2F16-Inch+Hex+Key+with+Journeyman+T-Handle%2C+4-Inch&amp;qid=1695173897&amp;sr=8-2", "https://www.amazon.com/Journeyman-T-Handle-Klein-Tools-JTH9E14/dp/B004QVAH4I/ref=sr_1_2?keywords=Klein+Tools+JTH4E11+3%2F16-Inch+Hex+Key+with+Journeyman+T-Handle%2C+4-Inch&amp;qid=1695173897&amp;sr=8-2")</f>
        <v>https://www.amazon.com/Journeyman-T-Handle-Klein-Tools-JTH9E14/dp/B004QVAH4I/ref=sr_1_2?keywords=Klein+Tools+JTH4E11+3%2F16-Inch+Hex+Key+with+Journeyman+T-Handle%2C+4-Inch&amp;qid=1695173897&amp;sr=8-2</v>
      </c>
      <c r="F5279" t="s">
        <v>3164</v>
      </c>
      <c r="G5279" t="e">
        <f ca="1">_xludf.IMAGE("https://edmondsonsupply.com/cdn/shop/products/jth4e17.jpg?v=1587144836")</f>
        <v>#NAME?</v>
      </c>
      <c r="H5279" t="e">
        <f ca="1">_xludf.IMAGE("https://m.media-amazon.com/images/I/51Yb8h41vLL._AC_UL320_.jpg")</f>
        <v>#NAME?</v>
      </c>
      <c r="I5279" t="s">
        <v>2388</v>
      </c>
      <c r="J5279">
        <v>7.44</v>
      </c>
      <c r="K5279" s="4">
        <v>0.49099999999999999</v>
      </c>
      <c r="L5279">
        <v>4.8</v>
      </c>
      <c r="M5279">
        <v>114</v>
      </c>
      <c r="O5279" t="s">
        <v>25</v>
      </c>
      <c r="P5279" t="s">
        <v>2389</v>
      </c>
      <c r="Q5279" t="s">
        <v>2390</v>
      </c>
    </row>
    <row r="5280" spans="1:17" ht="15.5" x14ac:dyDescent="0.35">
      <c r="A5280"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5280"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5280" t="s">
        <v>2903</v>
      </c>
      <c r="D5280" t="s">
        <v>3170</v>
      </c>
      <c r="E5280" s="3" t="str">
        <f>HYPERLINK("https://www.amazon.com/Diablo-SDS-Max-4-Cutter-Carbide-Tipped-Hammer/dp/B089KXF4R5/ref=sr_1_10?keywords=Diablo+Tools+DMAMX1300+1-1%2F4+in.+x+16+in.+x+21+in.+Rebar+Demon%E2%84%A2+SDS-Max+4-Cutter+Full+Carbide+Head+Hammer+Drill+Bit&amp;qid=1695173871&amp;sr=8-10", "https://www.amazon.com/Diablo-SDS-Max-4-Cutter-Carbide-Tipped-Hammer/dp/B089KXF4R5/ref=sr_1_10?keywords=Diablo+Tools+DMAMX1300+1-1%2F4+in.+x+16+in.+x+21+in.+Rebar+Demon%E2%84%A2+SDS-Max+4-Cutter+Full+Carbide+Head+Hammer+Drill+Bit&amp;qid=1695173871&amp;sr=8-10")</f>
        <v>https://www.amazon.com/Diablo-SDS-Max-4-Cutter-Carbide-Tipped-Hammer/dp/B089KXF4R5/ref=sr_1_10?keywords=Diablo+Tools+DMAMX1300+1-1%2F4+in.+x+16+in.+x+21+in.+Rebar+Demon%E2%84%A2+SDS-Max+4-Cutter+Full+Carbide+Head+Hammer+Drill+Bit&amp;qid=1695173871&amp;sr=8-10</v>
      </c>
      <c r="F5280" t="s">
        <v>3171</v>
      </c>
      <c r="G5280" t="e">
        <f ca="1">_xludf.IMAGE("https://edmondsonsupply.com/cdn/shop/files/immoyh7jjmbau4fzhuq6_7dd7fd73-2865-4c12-9443-da45b48dbd51.webp?v=1685465465")</f>
        <v>#NAME?</v>
      </c>
      <c r="H5280" t="e">
        <f ca="1">_xludf.IMAGE("https://m.media-amazon.com/images/I/61MTkJ-cWaL._AC_UL320_.jpg")</f>
        <v>#NAME?</v>
      </c>
      <c r="I5280" t="s">
        <v>2906</v>
      </c>
      <c r="J5280">
        <v>98.99</v>
      </c>
      <c r="K5280" s="4">
        <v>0.49080000000000001</v>
      </c>
      <c r="L5280">
        <v>5</v>
      </c>
      <c r="M5280">
        <v>5</v>
      </c>
      <c r="O5280" t="s">
        <v>171</v>
      </c>
      <c r="P5280" t="s">
        <v>2907</v>
      </c>
      <c r="Q5280" t="s">
        <v>2908</v>
      </c>
    </row>
    <row r="5281" spans="1:17" ht="15.5" x14ac:dyDescent="0.35">
      <c r="A5281"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5281" s="3" t="str">
        <f>HYPERLINK("https://edmondsonsupply.com/products/klein-tools-jth9m5-5-mm-hex-key-journeyman-t-handle-9-inch", "https://edmondsonsupply.com/products/klein-tools-jth9m5-5-mm-hex-key-journeyman-t-handle-9-inch")</f>
        <v>https://edmondsonsupply.com/products/klein-tools-jth9m5-5-mm-hex-key-journeyman-t-handle-9-inch</v>
      </c>
      <c r="C5281" t="s">
        <v>6167</v>
      </c>
      <c r="D5281" t="s">
        <v>3172</v>
      </c>
      <c r="E5281" s="3" t="str">
        <f>HYPERLINK("https://www.amazon.com/Journeyman-T-Handle-Klein-Tools-JTH6M5BE/dp/B005G3959S/ref=sr_1_4?keywords=Klein+Tools+JTH9M5+5+mm+Hex+Key%2C+Journeyman+T-Handle+9-Inch&amp;qid=1695174264&amp;sr=8-4", "https://www.amazon.com/Journeyman-T-Handle-Klein-Tools-JTH6M5BE/dp/B005G3959S/ref=sr_1_4?keywords=Klein+Tools+JTH9M5+5+mm+Hex+Key%2C+Journeyman+T-Handle+9-Inch&amp;qid=1695174264&amp;sr=8-4")</f>
        <v>https://www.amazon.com/Journeyman-T-Handle-Klein-Tools-JTH6M5BE/dp/B005G3959S/ref=sr_1_4?keywords=Klein+Tools+JTH9M5+5+mm+Hex+Key%2C+Journeyman+T-Handle+9-Inch&amp;qid=1695174264&amp;sr=8-4</v>
      </c>
      <c r="F5281" t="s">
        <v>3173</v>
      </c>
      <c r="G5281" t="e">
        <f ca="1">_xludf.IMAGE("https://edmondsonsupply.com/cdn/shop/products/jth9m_84ad507b-889a-4b5c-80a2-9633c898cd48.jpg?v=1633031048")</f>
        <v>#NAME?</v>
      </c>
      <c r="H5281" t="e">
        <f ca="1">_xludf.IMAGE("https://m.media-amazon.com/images/I/51huXA+ij8L._AC_UL320_.jpg")</f>
        <v>#NAME?</v>
      </c>
      <c r="I5281" t="s">
        <v>2388</v>
      </c>
      <c r="J5281">
        <v>7.43</v>
      </c>
      <c r="K5281" s="4">
        <v>0.48899999999999999</v>
      </c>
      <c r="L5281">
        <v>4.8</v>
      </c>
      <c r="M5281">
        <v>988</v>
      </c>
      <c r="O5281" t="s">
        <v>25</v>
      </c>
      <c r="P5281" t="s">
        <v>6168</v>
      </c>
      <c r="Q5281" t="s">
        <v>6169</v>
      </c>
    </row>
    <row r="5282" spans="1:17" ht="15.5" x14ac:dyDescent="0.35">
      <c r="A5282"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5282"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5282" t="s">
        <v>2391</v>
      </c>
      <c r="D5282" t="s">
        <v>3172</v>
      </c>
      <c r="E5282" s="3" t="str">
        <f>HYPERLINK("https://www.amazon.com/Journeyman-T-Handle-Klein-Tools-JTH6M5BE/dp/B005G3959S/ref=sr_1_3?keywords=Klein+Tools+JTH6E11+3%2F16-Inch+Hex+Key%2C+Journeyman+T-Handle%2C+6-Inch&amp;qid=1695173898&amp;sr=8-3", "https://www.amazon.com/Journeyman-T-Handle-Klein-Tools-JTH6M5BE/dp/B005G3959S/ref=sr_1_3?keywords=Klein+Tools+JTH6E11+3%2F16-Inch+Hex+Key%2C+Journeyman+T-Handle%2C+6-Inch&amp;qid=1695173898&amp;sr=8-3")</f>
        <v>https://www.amazon.com/Journeyman-T-Handle-Klein-Tools-JTH6M5BE/dp/B005G3959S/ref=sr_1_3?keywords=Klein+Tools+JTH6E11+3%2F16-Inch+Hex+Key%2C+Journeyman+T-Handle%2C+6-Inch&amp;qid=1695173898&amp;sr=8-3</v>
      </c>
      <c r="F5282" t="s">
        <v>3173</v>
      </c>
      <c r="G5282" t="e">
        <f ca="1">_xludf.IMAGE("https://edmondsonsupply.com/cdn/shop/products/jth6e15_0266106d-0a3b-44ba-997b-66db7749d83f.jpg?v=1587144829")</f>
        <v>#NAME?</v>
      </c>
      <c r="H5282" t="e">
        <f ca="1">_xludf.IMAGE("https://m.media-amazon.com/images/I/51huXA+ij8L._AC_UL320_.jpg")</f>
        <v>#NAME?</v>
      </c>
      <c r="I5282" t="s">
        <v>2388</v>
      </c>
      <c r="J5282">
        <v>7.43</v>
      </c>
      <c r="K5282" s="4">
        <v>0.48899999999999999</v>
      </c>
      <c r="L5282">
        <v>4.8</v>
      </c>
      <c r="M5282">
        <v>988</v>
      </c>
      <c r="O5282" t="s">
        <v>25</v>
      </c>
      <c r="P5282" t="s">
        <v>2392</v>
      </c>
      <c r="Q5282" t="s">
        <v>2393</v>
      </c>
    </row>
    <row r="5283" spans="1:17" ht="15.5" x14ac:dyDescent="0.35">
      <c r="A5283"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5283" s="3" t="str">
        <f>HYPERLINK("https://edmondsonsupply.com/products/diablo-tools-dag1130-1-in-x-7-1-2-in-auger-bit", "https://edmondsonsupply.com/products/diablo-tools-dag1130-1-in-x-7-1-2-in-auger-bit")</f>
        <v>https://edmondsonsupply.com/products/diablo-tools-dag1130-1-in-x-7-1-2-in-auger-bit</v>
      </c>
      <c r="C5283" t="s">
        <v>3530</v>
      </c>
      <c r="D5283" t="s">
        <v>7133</v>
      </c>
      <c r="E5283" s="3" t="str">
        <f>HYPERLINK("https://www.amazon.com/Diablo-Freud-DAG3050-17-1-Auger/dp/B089KWL81X/ref=sr_1_8?keywords=Diablo+Tools+DAG1130+1+in.+x+7-1%2F2+in.+Auger+Bit&amp;qid=1695173913&amp;sr=8-8", "https://www.amazon.com/Diablo-Freud-DAG3050-17-1-Auger/dp/B089KWL81X/ref=sr_1_8?keywords=Diablo+Tools+DAG1130+1+in.+x+7-1%2F2+in.+Auger+Bit&amp;qid=1695173913&amp;sr=8-8")</f>
        <v>https://www.amazon.com/Diablo-Freud-DAG3050-17-1-Auger/dp/B089KWL81X/ref=sr_1_8?keywords=Diablo+Tools+DAG1130+1+in.+x+7-1%2F2+in.+Auger+Bit&amp;qid=1695173913&amp;sr=8-8</v>
      </c>
      <c r="F5283" t="s">
        <v>7134</v>
      </c>
      <c r="G5283" t="e">
        <f ca="1">_xludf.IMAGE("https://edmondsonsupply.com/cdn/shop/products/DAG1130_Main-Image20200712.png?v=1633031124")</f>
        <v>#NAME?</v>
      </c>
      <c r="H5283" t="e">
        <f ca="1">_xludf.IMAGE("https://m.media-amazon.com/images/I/61DWkFmOdeL._AC_UL320_.jpg")</f>
        <v>#NAME?</v>
      </c>
      <c r="I5283" t="s">
        <v>3533</v>
      </c>
      <c r="J5283">
        <v>24.35</v>
      </c>
      <c r="K5283" s="4">
        <v>0.48749999999999999</v>
      </c>
      <c r="L5283">
        <v>4.3</v>
      </c>
      <c r="M5283">
        <v>20</v>
      </c>
      <c r="O5283" t="s">
        <v>25</v>
      </c>
      <c r="P5283" t="s">
        <v>3534</v>
      </c>
      <c r="Q5283" t="s">
        <v>3535</v>
      </c>
    </row>
    <row r="5284" spans="1:17" ht="15.5" x14ac:dyDescent="0.35">
      <c r="A5284"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5284"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5284" t="s">
        <v>3174</v>
      </c>
      <c r="D5284" t="s">
        <v>3175</v>
      </c>
      <c r="E5284" s="3" t="str">
        <f>HYPERLINK("https://www.amazon.com/Klein-Tools-Stripper-Stranded-Electrical/dp/B08XKMZF55/ref=sr_1_1?keywords=Klein+Tools+K12065CR+Klein-Kurve%C2%AE+Heavy-Duty+Wire+Stripper+%2F+Cutter+%2F+Crimper+Multi+Tool%2C+8-20+AWG&amp;qid=1695173857&amp;sr=8-1", "https://www.amazon.com/Klein-Tools-Stripper-Stranded-Electrical/dp/B08XKMZF55/ref=sr_1_1?keywords=Klein+Tools+K12065CR+Klein-Kurve%C2%AE+Heavy-Duty+Wire+Stripper+%2F+Cutter+%2F+Crimper+Multi+Tool%2C+8-20+AWG&amp;qid=1695173857&amp;sr=8-1")</f>
        <v>https://www.amazon.com/Klein-Tools-Stripper-Stranded-Electrical/dp/B08XKMZF55/ref=sr_1_1?keywords=Klein+Tools+K12065CR+Klein-Kurve%C2%AE+Heavy-Duty+Wire+Stripper+%2F+Cutter+%2F+Crimper+Multi+Tool%2C+8-20+AWG&amp;qid=1695173857&amp;sr=8-1</v>
      </c>
      <c r="F5284" t="s">
        <v>3176</v>
      </c>
      <c r="G5284" t="e">
        <f ca="1">_xludf.IMAGE("https://edmondsonsupply.com/cdn/shop/products/k12065cr_b.jpg?v=1650066835")</f>
        <v>#NAME?</v>
      </c>
      <c r="H5284" t="e">
        <f ca="1">_xludf.IMAGE("https://m.media-amazon.com/images/I/410rkxkOErL._AC_UL320_.jpg")</f>
        <v>#NAME?</v>
      </c>
      <c r="I5284" t="s">
        <v>246</v>
      </c>
      <c r="J5284">
        <v>59.45</v>
      </c>
      <c r="K5284" s="4">
        <v>0.4874</v>
      </c>
      <c r="L5284">
        <v>4.9000000000000004</v>
      </c>
      <c r="M5284">
        <v>14</v>
      </c>
      <c r="O5284" t="s">
        <v>25</v>
      </c>
      <c r="P5284" t="s">
        <v>3177</v>
      </c>
      <c r="Q5284" t="s">
        <v>3178</v>
      </c>
    </row>
    <row r="5285" spans="1:17" ht="15.5" x14ac:dyDescent="0.35">
      <c r="A5285" s="3" t="str">
        <f>HYPERLINK("https://edmondsonsupply.com/collections/electricians-tools/products/klein-tools-s18hb", "https://edmondsonsupply.com/collections/electricians-tools/products/klein-tools-s18hb")</f>
        <v>https://edmondsonsupply.com/collections/electricians-tools/products/klein-tools-s18hb</v>
      </c>
      <c r="B5285" s="3" t="str">
        <f>HYPERLINK("https://edmondsonsupply.com/products/klein-tools-s18hb", "https://edmondsonsupply.com/products/klein-tools-s18hb")</f>
        <v>https://edmondsonsupply.com/products/klein-tools-s18hb</v>
      </c>
      <c r="C5285" t="s">
        <v>4724</v>
      </c>
      <c r="D5285" t="s">
        <v>5573</v>
      </c>
      <c r="E5285" s="3" t="str">
        <f>HYPERLINK("https://www.amazon.com/Wrenches-18-Inch-Klein-Tools-S-18H/dp/B00093DYFQ/ref=sr_1_2?keywords=Klein+Tools+S18HB+Grip-It%E2%84%A2+Strap+Wrench%2C+1-1%2F8+to+8-Inch%2C+18-Inch+Handle&amp;qid=1695173985&amp;sr=8-2", "https://www.amazon.com/Wrenches-18-Inch-Klein-Tools-S-18H/dp/B00093DYFQ/ref=sr_1_2?keywords=Klein+Tools+S18HB+Grip-It%E2%84%A2+Strap+Wrench%2C+1-1%2F8+to+8-Inch%2C+18-Inch+Handle&amp;qid=1695173985&amp;sr=8-2")</f>
        <v>https://www.amazon.com/Wrenches-18-Inch-Klein-Tools-S-18H/dp/B00093DYFQ/ref=sr_1_2?keywords=Klein+Tools+S18HB+Grip-It%E2%84%A2+Strap+Wrench%2C+1-1%2F8+to+8-Inch%2C+18-Inch+Handle&amp;qid=1695173985&amp;sr=8-2</v>
      </c>
      <c r="F5285" t="s">
        <v>5574</v>
      </c>
      <c r="G5285" t="e">
        <f ca="1">_xludf.IMAGE("https://edmondsonsupply.com/cdn/shop/files/s18hb_b.jpg?v=1689785962")</f>
        <v>#NAME?</v>
      </c>
      <c r="H5285" t="e">
        <f ca="1">_xludf.IMAGE("https://m.media-amazon.com/images/I/41jmnfPST7L._AC_UL320_.jpg")</f>
        <v>#NAME?</v>
      </c>
      <c r="I5285" t="s">
        <v>905</v>
      </c>
      <c r="J5285">
        <v>88.99</v>
      </c>
      <c r="K5285" s="4">
        <v>0.4834</v>
      </c>
      <c r="L5285">
        <v>4.4000000000000004</v>
      </c>
      <c r="M5285">
        <v>149</v>
      </c>
      <c r="O5285" t="s">
        <v>25</v>
      </c>
      <c r="P5285" t="s">
        <v>4727</v>
      </c>
      <c r="Q5285" t="s">
        <v>4728</v>
      </c>
    </row>
    <row r="5286" spans="1:17" ht="15.5" x14ac:dyDescent="0.35">
      <c r="A5286" s="3" t="str">
        <f>HYPERLINK("https://edmondsonsupply.com/collections/electricians-tools/products/reed-mfg-r12dn-1-2-r12-segmental-dies-1-2-npt", "https://edmondsonsupply.com/collections/electricians-tools/products/reed-mfg-r12dn-1-2-r12-segmental-dies-1-2-npt")</f>
        <v>https://edmondsonsupply.com/collections/electricians-tools/products/reed-mfg-r12dn-1-2-r12-segmental-dies-1-2-npt</v>
      </c>
      <c r="B5286" s="3" t="str">
        <f>HYPERLINK("https://edmondsonsupply.com/products/reed-mfg-r12dn-1-2-r12-segmental-dies-1-2-npt", "https://edmondsonsupply.com/products/reed-mfg-r12dn-1-2-r12-segmental-dies-1-2-npt")</f>
        <v>https://edmondsonsupply.com/products/reed-mfg-r12dn-1-2-r12-segmental-dies-1-2-npt</v>
      </c>
      <c r="C5286" t="s">
        <v>7135</v>
      </c>
      <c r="D5286" t="s">
        <v>7136</v>
      </c>
      <c r="E5286" s="3" t="str">
        <f>HYPERLINK("https://www.amazon.com/Reed-Tool-R12DN-Segmental-1-Inch/dp/B001H4K78I/ref=sr_1_fkmr0_1?keywords=Reed+Mfg+R12DN+1%2F2+R12%2B+Segmental+Dies%2C+1%2F2%22+NPT&amp;qid=1695174267&amp;sr=8-1-fkmr0", "https://www.amazon.com/Reed-Tool-R12DN-Segmental-1-Inch/dp/B001H4K78I/ref=sr_1_fkmr0_1?keywords=Reed+Mfg+R12DN+1%2F2+R12%2B+Segmental+Dies%2C+1%2F2%22+NPT&amp;qid=1695174267&amp;sr=8-1-fkmr0")</f>
        <v>https://www.amazon.com/Reed-Tool-R12DN-Segmental-1-Inch/dp/B001H4K78I/ref=sr_1_fkmr0_1?keywords=Reed+Mfg+R12DN+1%2F2+R12%2B+Segmental+Dies%2C+1%2F2%22+NPT&amp;qid=1695174267&amp;sr=8-1-fkmr0</v>
      </c>
      <c r="F5286" t="s">
        <v>7137</v>
      </c>
      <c r="G5286" t="e">
        <f ca="1">_xludf.IMAGE("https://edmondsonsupply.com/cdn/shop/products/05608-R12DN3-4-dies-RGB.jpg?v=1633031014")</f>
        <v>#NAME?</v>
      </c>
      <c r="H5286" t="e">
        <f ca="1">_xludf.IMAGE("https://m.media-amazon.com/images/I/31dWFq4VtpL._AC_UY218_.jpg")</f>
        <v>#NAME?</v>
      </c>
      <c r="I5286" t="s">
        <v>946</v>
      </c>
      <c r="J5286">
        <v>66.73</v>
      </c>
      <c r="K5286" s="4">
        <v>0.48320000000000002</v>
      </c>
      <c r="L5286">
        <v>5</v>
      </c>
      <c r="M5286">
        <v>1</v>
      </c>
      <c r="O5286" t="s">
        <v>25</v>
      </c>
      <c r="P5286" t="s">
        <v>7138</v>
      </c>
      <c r="Q5286" t="s">
        <v>7139</v>
      </c>
    </row>
    <row r="5287" spans="1:17" ht="15.5" x14ac:dyDescent="0.35">
      <c r="A5287"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5287"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5287" t="s">
        <v>6595</v>
      </c>
      <c r="D5287" t="s">
        <v>7007</v>
      </c>
      <c r="E5287" s="3" t="str">
        <f>HYPERLINK("https://www.amazon.com/Klein-Tools-VDV526-200-Connections-VDV226-011-SEN/dp/B0B68N3CXD/ref=sr_1_6?keywords=Klein+Tools+VDV526-052+Cable+Tester%2C+LAN+Scout%C2%AE+Jr.+Continuity+Tester&amp;qid=1695174034&amp;sr=8-6", "https://www.amazon.com/Klein-Tools-VDV526-200-Connections-VDV226-011-SEN/dp/B0B68N3CXD/ref=sr_1_6?keywords=Klein+Tools+VDV526-052+Cable+Tester%2C+LAN+Scout%C2%AE+Jr.+Continuity+Tester&amp;qid=1695174034&amp;sr=8-6")</f>
        <v>https://www.amazon.com/Klein-Tools-VDV526-200-Connections-VDV226-011-SEN/dp/B0B68N3CXD/ref=sr_1_6?keywords=Klein+Tools+VDV526-052+Cable+Tester%2C+LAN+Scout%C2%AE+Jr.+Continuity+Tester&amp;qid=1695174034&amp;sr=8-6</v>
      </c>
      <c r="F5287" t="s">
        <v>7008</v>
      </c>
      <c r="G5287" t="e">
        <f ca="1">_xludf.IMAGE("https://edmondsonsupply.com/cdn/shop/files/vdv526-052.jpg?v=1685032494")</f>
        <v>#NAME?</v>
      </c>
      <c r="H5287" t="e">
        <f ca="1">_xludf.IMAGE("https://m.media-amazon.com/images/I/518UGdBFRNL._AC_UY218_.jpg")</f>
        <v>#NAME?</v>
      </c>
      <c r="I5287" t="s">
        <v>5197</v>
      </c>
      <c r="J5287">
        <v>88.94</v>
      </c>
      <c r="K5287" s="4">
        <v>0.48309999999999997</v>
      </c>
      <c r="L5287">
        <v>5</v>
      </c>
      <c r="M5287">
        <v>3</v>
      </c>
      <c r="O5287" t="s">
        <v>25</v>
      </c>
      <c r="P5287" t="s">
        <v>6596</v>
      </c>
      <c r="Q5287" t="s">
        <v>6597</v>
      </c>
    </row>
    <row r="5288" spans="1:17" ht="15.5" x14ac:dyDescent="0.35">
      <c r="A5288" s="3" t="str">
        <f>HYPERLINK("https://edmondsonsupply.com/collections/electricians-tools/products/klein-tools-s12hb-grip-it%E2%84%A2-strap-wrench-1-1-2-to-5-inch-12-inch-handle", "https://edmondsonsupply.com/collections/electricians-tools/products/klein-tools-s12hb-grip-it%E2%84%A2-strap-wrench-1-1-2-to-5-inch-12-inch-handle")</f>
        <v>https://edmondsonsupply.com/collections/electricians-tools/products/klein-tools-s12hb-grip-it%E2%84%A2-strap-wrench-1-1-2-to-5-inch-12-inch-handle</v>
      </c>
      <c r="B5288" s="3" t="str">
        <f>HYPERLINK("https://edmondsonsupply.com/products/klein-tools-s12hb-grip-it%e2%84%a2-strap-wrench-1-1-2-to-5-inch-12-inch-handle", "https://edmondsonsupply.com/products/klein-tools-s12hb-grip-it%e2%84%a2-strap-wrench-1-1-2-to-5-inch-12-inch-handle")</f>
        <v>https://edmondsonsupply.com/products/klein-tools-s12hb-grip-it%e2%84%a2-strap-wrench-1-1-2-to-5-inch-12-inch-handle</v>
      </c>
      <c r="C5288" t="s">
        <v>3065</v>
      </c>
      <c r="D5288" t="s">
        <v>3066</v>
      </c>
      <c r="E5288" s="3" t="str">
        <f>HYPERLINK("https://www.amazon.com/Klein-Tools-S-12H-Capacity-12-Inch/dp/B0000DINCH/ref=sr_1_2?keywords=Klein+Tools+S12HB+Grip-It%E2%84%A2+Strap+Wrench%2C+1-1%2F2+to+5-Inch%2C+12-Inch+Handle&amp;qid=1695173989&amp;sr=8-2", "https://www.amazon.com/Klein-Tools-S-12H-Capacity-12-Inch/dp/B0000DINCH/ref=sr_1_2?keywords=Klein+Tools+S12HB+Grip-It%E2%84%A2+Strap+Wrench%2C+1-1%2F2+to+5-Inch%2C+12-Inch+Handle&amp;qid=1695173989&amp;sr=8-2")</f>
        <v>https://www.amazon.com/Klein-Tools-S-12H-Capacity-12-Inch/dp/B0000DINCH/ref=sr_1_2?keywords=Klein+Tools+S12HB+Grip-It%E2%84%A2+Strap+Wrench%2C+1-1%2F2+to+5-Inch%2C+12-Inch+Handle&amp;qid=1695173989&amp;sr=8-2</v>
      </c>
      <c r="F5288" t="s">
        <v>3067</v>
      </c>
      <c r="G5288" t="e">
        <f ca="1">_xludf.IMAGE("https://edmondsonsupply.com/cdn/shop/files/s12hb_b.jpg?v=1689783564")</f>
        <v>#NAME?</v>
      </c>
      <c r="H5288" t="e">
        <f ca="1">_xludf.IMAGE("https://m.media-amazon.com/images/I/51vbjGI4zpL._AC_UL320_.jpg")</f>
        <v>#NAME?</v>
      </c>
      <c r="I5288" t="s">
        <v>577</v>
      </c>
      <c r="J5288">
        <v>29.64</v>
      </c>
      <c r="K5288" s="4">
        <v>0.48270000000000002</v>
      </c>
      <c r="L5288">
        <v>4.4000000000000004</v>
      </c>
      <c r="M5288">
        <v>149</v>
      </c>
      <c r="O5288" t="s">
        <v>25</v>
      </c>
      <c r="P5288" t="s">
        <v>3068</v>
      </c>
      <c r="Q5288" t="s">
        <v>3069</v>
      </c>
    </row>
    <row r="5289" spans="1:17" ht="15.5" x14ac:dyDescent="0.35">
      <c r="A5289"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5289" s="3" t="str">
        <f>HYPERLINK("https://edmondsonsupply.com/products/klein-tools-56028-flashlight-with-worklight-led-flashlight", "https://edmondsonsupply.com/products/klein-tools-56028-flashlight-with-worklight-led-flashlight")</f>
        <v>https://edmondsonsupply.com/products/klein-tools-56028-flashlight-with-worklight-led-flashlight</v>
      </c>
      <c r="C5289" t="s">
        <v>7140</v>
      </c>
      <c r="D5289" t="s">
        <v>5270</v>
      </c>
      <c r="E5289" s="3" t="str">
        <f>HYPERLINK("https://www.amazon.com/Klein-Tools-56403-Rechargeable-Illumination/dp/B07V4FTX6C/ref=sr_1_2?keywords=Klein+Tools+56028+LED+Flashlight+with+Work+Light&amp;qid=1695174266&amp;sr=8-2", "https://www.amazon.com/Klein-Tools-56403-Rechargeable-Illumination/dp/B07V4FTX6C/ref=sr_1_2?keywords=Klein+Tools+56028+LED+Flashlight+with+Work+Light&amp;qid=1695174266&amp;sr=8-2")</f>
        <v>https://www.amazon.com/Klein-Tools-56403-Rechargeable-Illumination/dp/B07V4FTX6C/ref=sr_1_2?keywords=Klein+Tools+56028+LED+Flashlight+with+Work+Light&amp;qid=1695174266&amp;sr=8-2</v>
      </c>
      <c r="F5289" t="s">
        <v>5271</v>
      </c>
      <c r="G5289" t="e">
        <f ca="1">_xludf.IMAGE("https://edmondsonsupply.com/cdn/shop/products/56028.jpg?v=1587148656")</f>
        <v>#NAME?</v>
      </c>
      <c r="H5289" t="e">
        <f ca="1">_xludf.IMAGE("https://m.media-amazon.com/images/I/61Gs90A8wDL._AC_UL320_.jpg")</f>
        <v>#NAME?</v>
      </c>
      <c r="I5289" t="s">
        <v>936</v>
      </c>
      <c r="J5289">
        <v>39.97</v>
      </c>
      <c r="K5289" s="4">
        <v>0.48199999999999998</v>
      </c>
      <c r="L5289">
        <v>4.8</v>
      </c>
      <c r="M5289">
        <v>2756</v>
      </c>
      <c r="O5289" t="s">
        <v>25</v>
      </c>
      <c r="P5289" t="s">
        <v>7141</v>
      </c>
      <c r="Q5289" t="s">
        <v>7142</v>
      </c>
    </row>
    <row r="5290" spans="1:17" ht="15.5" x14ac:dyDescent="0.35">
      <c r="A5290"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5290" s="3" t="str">
        <f>HYPERLINK("https://edmondsonsupply.com/products/klein-tools-56028-flashlight-with-worklight-led-flashlight", "https://edmondsonsupply.com/products/klein-tools-56028-flashlight-with-worklight-led-flashlight")</f>
        <v>https://edmondsonsupply.com/products/klein-tools-56028-flashlight-with-worklight-led-flashlight</v>
      </c>
      <c r="C5290" t="s">
        <v>7140</v>
      </c>
      <c r="D5290" t="s">
        <v>6708</v>
      </c>
      <c r="E5290" s="3" t="str">
        <f>HYPERLINK("https://www.amazon.com/Rechargeable-Flashlight-Worklight-Klein-Tools/dp/B0947YMH51/ref=sr_1_1?keywords=Klein+Tools+56028+LED+Flashlight+with+Work+Light&amp;qid=1695174266&amp;sr=8-1", "https://www.amazon.com/Rechargeable-Flashlight-Worklight-Klein-Tools/dp/B0947YMH51/ref=sr_1_1?keywords=Klein+Tools+56028+LED+Flashlight+with+Work+Light&amp;qid=1695174266&amp;sr=8-1")</f>
        <v>https://www.amazon.com/Rechargeable-Flashlight-Worklight-Klein-Tools/dp/B0947YMH51/ref=sr_1_1?keywords=Klein+Tools+56028+LED+Flashlight+with+Work+Light&amp;qid=1695174266&amp;sr=8-1</v>
      </c>
      <c r="F5290" t="s">
        <v>6709</v>
      </c>
      <c r="G5290" t="e">
        <f ca="1">_xludf.IMAGE("https://edmondsonsupply.com/cdn/shop/products/56028.jpg?v=1587148656")</f>
        <v>#NAME?</v>
      </c>
      <c r="H5290" t="e">
        <f ca="1">_xludf.IMAGE("https://m.media-amazon.com/images/I/51Of8ojN4aS._AC_UL320_.jpg")</f>
        <v>#NAME?</v>
      </c>
      <c r="I5290" t="s">
        <v>936</v>
      </c>
      <c r="J5290">
        <v>39.97</v>
      </c>
      <c r="K5290" s="4">
        <v>0.48199999999999998</v>
      </c>
      <c r="L5290">
        <v>4.5999999999999996</v>
      </c>
      <c r="M5290">
        <v>424</v>
      </c>
      <c r="O5290" t="s">
        <v>25</v>
      </c>
      <c r="P5290" t="s">
        <v>7141</v>
      </c>
      <c r="Q5290" t="s">
        <v>7142</v>
      </c>
    </row>
    <row r="5291" spans="1:17" ht="15.5" x14ac:dyDescent="0.35">
      <c r="A5291" s="3" t="str">
        <f>HYPERLINK("https://edmondsonsupply.com/collections/electricians-tools/products/crescent-wiss-m8p-9-4-5-offset-straight-left-and-right-cut-aviation-snips", "https://edmondsonsupply.com/collections/electricians-tools/products/crescent-wiss-m8p-9-4-5-offset-straight-left-and-right-cut-aviation-snips")</f>
        <v>https://edmondsonsupply.com/collections/electricians-tools/products/crescent-wiss-m8p-9-4-5-offset-straight-left-and-right-cut-aviation-snips</v>
      </c>
      <c r="B5291" s="3" t="str">
        <f>HYPERLINK("https://edmondsonsupply.com/products/crescent-wiss-m8p-9-4-5-offset-straight-left-and-right-cut-aviation-snips", "https://edmondsonsupply.com/products/crescent-wiss-m8p-9-4-5-offset-straight-left-and-right-cut-aviation-snips")</f>
        <v>https://edmondsonsupply.com/products/crescent-wiss-m8p-9-4-5-offset-straight-left-and-right-cut-aviation-snips</v>
      </c>
      <c r="C5291" t="s">
        <v>7143</v>
      </c>
      <c r="D5291" t="s">
        <v>6922</v>
      </c>
      <c r="E5291" s="3" t="str">
        <f>HYPERLINK("https://www.amazon.com/Crescent-Wiss-Metalmaster-Straight-Aviation/dp/B087492PJS/ref=sr_1_1?keywords=Crescent+Wiss+M8P+9-4%2F5%22+Offset+Straight%2C+Left+and+Right+Cut+Aviation+Snips&amp;qid=1695174053&amp;sr=8-1", "https://www.amazon.com/Crescent-Wiss-Metalmaster-Straight-Aviation/dp/B087492PJS/ref=sr_1_1?keywords=Crescent+Wiss+M8P+9-4%2F5%22+Offset+Straight%2C+Left+and+Right+Cut+Aviation+Snips&amp;qid=1695174053&amp;sr=8-1")</f>
        <v>https://www.amazon.com/Crescent-Wiss-Metalmaster-Straight-Aviation/dp/B087492PJS/ref=sr_1_1?keywords=Crescent+Wiss+M8P+9-4%2F5%22+Offset+Straight%2C+Left+and+Right+Cut+Aviation+Snips&amp;qid=1695174053&amp;sr=8-1</v>
      </c>
      <c r="F5291" t="s">
        <v>6923</v>
      </c>
      <c r="G5291" t="e">
        <f ca="1">_xludf.IMAGE("https://edmondsonsupply.com/cdn/shop/products/WIS_M8P_IMG_ANG_01.jpg?v=1679676030")</f>
        <v>#NAME?</v>
      </c>
      <c r="H5291" t="e">
        <f ca="1">_xludf.IMAGE("https://m.media-amazon.com/images/I/71EUUFflT7S._AC_UL320_.jpg")</f>
        <v>#NAME?</v>
      </c>
      <c r="I5291" t="s">
        <v>1589</v>
      </c>
      <c r="J5291">
        <v>33.979999999999997</v>
      </c>
      <c r="K5291" s="4">
        <v>0.47799999999999998</v>
      </c>
      <c r="L5291">
        <v>4.0999999999999996</v>
      </c>
      <c r="M5291">
        <v>34</v>
      </c>
      <c r="O5291" t="s">
        <v>25</v>
      </c>
      <c r="P5291" t="s">
        <v>7144</v>
      </c>
      <c r="Q5291" t="s">
        <v>7145</v>
      </c>
    </row>
    <row r="5292" spans="1:17" ht="15.5" x14ac:dyDescent="0.35">
      <c r="A5292"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5292"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5292" t="s">
        <v>7146</v>
      </c>
      <c r="D5292" t="s">
        <v>6922</v>
      </c>
      <c r="E5292" s="3" t="str">
        <f>HYPERLINK("https://www.amazon.com/Crescent-Wiss-Metalmaster-Straight-Aviation/dp/B087492PJS/ref=sr_1_1?keywords=Crescent+Wiss+M6P+9-1%2F4%22+Offset+Straight+and+Left+Cut+Aviation+Snips&amp;qid=1695174043&amp;sr=8-1", "https://www.amazon.com/Crescent-Wiss-Metalmaster-Straight-Aviation/dp/B087492PJS/ref=sr_1_1?keywords=Crescent+Wiss+M6P+9-1%2F4%22+Offset+Straight+and+Left+Cut+Aviation+Snips&amp;qid=1695174043&amp;sr=8-1")</f>
        <v>https://www.amazon.com/Crescent-Wiss-Metalmaster-Straight-Aviation/dp/B087492PJS/ref=sr_1_1?keywords=Crescent+Wiss+M6P+9-1%2F4%22+Offset+Straight+and+Left+Cut+Aviation+Snips&amp;qid=1695174043&amp;sr=8-1</v>
      </c>
      <c r="F5292" t="s">
        <v>6923</v>
      </c>
      <c r="G5292" t="e">
        <f ca="1">_xludf.IMAGE("https://edmondsonsupply.com/cdn/shop/products/WIS_M6P_IMG_MAIN_01.jpg?v=1679497499")</f>
        <v>#NAME?</v>
      </c>
      <c r="H5292" t="e">
        <f ca="1">_xludf.IMAGE("https://m.media-amazon.com/images/I/71EUUFflT7S._AC_UL320_.jpg")</f>
        <v>#NAME?</v>
      </c>
      <c r="I5292" t="s">
        <v>1589</v>
      </c>
      <c r="J5292">
        <v>33.979999999999997</v>
      </c>
      <c r="K5292" s="4">
        <v>0.47799999999999998</v>
      </c>
      <c r="L5292">
        <v>4.0999999999999996</v>
      </c>
      <c r="M5292">
        <v>34</v>
      </c>
      <c r="O5292" t="s">
        <v>25</v>
      </c>
      <c r="P5292" t="s">
        <v>7144</v>
      </c>
      <c r="Q5292" t="s">
        <v>7147</v>
      </c>
    </row>
    <row r="5293" spans="1:17" ht="15.5" x14ac:dyDescent="0.35">
      <c r="A5293"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5293"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5293" t="s">
        <v>7148</v>
      </c>
      <c r="D5293" t="s">
        <v>6922</v>
      </c>
      <c r="E5293" s="3" t="str">
        <f>HYPERLINK("https://www.amazon.com/Crescent-Wiss-Metalmaster-Straight-Aviation/dp/B087492PJS/ref=sr_1_2?keywords=Crescent+Wiss+M7P+9-1%2F4%22+Offset+Straight+and+Right+Cut+Aviation+Snips&amp;qid=1695174041&amp;sr=8-2", "https://www.amazon.com/Crescent-Wiss-Metalmaster-Straight-Aviation/dp/B087492PJS/ref=sr_1_2?keywords=Crescent+Wiss+M7P+9-1%2F4%22+Offset+Straight+and+Right+Cut+Aviation+Snips&amp;qid=1695174041&amp;sr=8-2")</f>
        <v>https://www.amazon.com/Crescent-Wiss-Metalmaster-Straight-Aviation/dp/B087492PJS/ref=sr_1_2?keywords=Crescent+Wiss+M7P+9-1%2F4%22+Offset+Straight+and+Right+Cut+Aviation+Snips&amp;qid=1695174041&amp;sr=8-2</v>
      </c>
      <c r="F5293" t="s">
        <v>6923</v>
      </c>
      <c r="G5293" t="e">
        <f ca="1">_xludf.IMAGE("https://edmondsonsupply.com/cdn/shop/products/WIS_M7P_IMG_ANG_01.jpg?v=1679669941")</f>
        <v>#NAME?</v>
      </c>
      <c r="H5293" t="e">
        <f ca="1">_xludf.IMAGE("https://m.media-amazon.com/images/I/71EUUFflT7S._AC_UL320_.jpg")</f>
        <v>#NAME?</v>
      </c>
      <c r="I5293" t="s">
        <v>1589</v>
      </c>
      <c r="J5293">
        <v>33.979999999999997</v>
      </c>
      <c r="K5293" s="4">
        <v>0.47799999999999998</v>
      </c>
      <c r="L5293">
        <v>4.0999999999999996</v>
      </c>
      <c r="M5293">
        <v>34</v>
      </c>
      <c r="O5293" t="s">
        <v>25</v>
      </c>
      <c r="P5293" t="s">
        <v>7144</v>
      </c>
      <c r="Q5293" t="s">
        <v>7149</v>
      </c>
    </row>
    <row r="5294" spans="1:17" ht="15.5" x14ac:dyDescent="0.35">
      <c r="A5294" s="3" t="str">
        <f>HYPERLINK("https://edmondsonsupply.com/collections/electricians-tools/products/klein-tools-d502-6-pump-pliers-6-inch", "https://edmondsonsupply.com/collections/electricians-tools/products/klein-tools-d502-6-pump-pliers-6-inch")</f>
        <v>https://edmondsonsupply.com/collections/electricians-tools/products/klein-tools-d502-6-pump-pliers-6-inch</v>
      </c>
      <c r="B5294" s="3" t="str">
        <f>HYPERLINK("https://edmondsonsupply.com/products/klein-tools-d502-6-pump-pliers-6-inch", "https://edmondsonsupply.com/products/klein-tools-d502-6-pump-pliers-6-inch")</f>
        <v>https://edmondsonsupply.com/products/klein-tools-d502-6-pump-pliers-6-inch</v>
      </c>
      <c r="C5294" t="s">
        <v>3182</v>
      </c>
      <c r="D5294" t="s">
        <v>3183</v>
      </c>
      <c r="E5294" s="3" t="str">
        <f>HYPERLINK("https://www.amazon.com/Pliers-12-Inch-Klein-Tools-D502-12/dp/B000ODU0N0/ref=sr_1_fkmr0_1?keywords=Klein+Tools+D502-6+Pump+Pliers%2C+6-Inch&amp;qid=1695173894&amp;sr=8-1-fkmr0", "https://www.amazon.com/Pliers-12-Inch-Klein-Tools-D502-12/dp/B000ODU0N0/ref=sr_1_fkmr0_1?keywords=Klein+Tools+D502-6+Pump+Pliers%2C+6-Inch&amp;qid=1695173894&amp;sr=8-1-fkmr0")</f>
        <v>https://www.amazon.com/Pliers-12-Inch-Klein-Tools-D502-12/dp/B000ODU0N0/ref=sr_1_fkmr0_1?keywords=Klein+Tools+D502-6+Pump+Pliers%2C+6-Inch&amp;qid=1695173894&amp;sr=8-1-fkmr0</v>
      </c>
      <c r="F5294" t="s">
        <v>3184</v>
      </c>
      <c r="G5294" t="e">
        <f ca="1">_xludf.IMAGE("https://edmondsonsupply.com/cdn/shop/products/d5026.jpg?v=1587150839")</f>
        <v>#NAME?</v>
      </c>
      <c r="H5294" t="e">
        <f ca="1">_xludf.IMAGE("https://m.media-amazon.com/images/I/41h2qUlpjEL._AC_UL320_.jpg")</f>
        <v>#NAME?</v>
      </c>
      <c r="I5294" t="s">
        <v>3185</v>
      </c>
      <c r="J5294">
        <v>30.99</v>
      </c>
      <c r="K5294" s="4">
        <v>0.47639999999999999</v>
      </c>
      <c r="L5294">
        <v>4.8</v>
      </c>
      <c r="M5294">
        <v>59</v>
      </c>
      <c r="O5294" t="s">
        <v>25</v>
      </c>
      <c r="P5294" t="s">
        <v>3186</v>
      </c>
      <c r="Q5294" t="s">
        <v>3187</v>
      </c>
    </row>
    <row r="5295" spans="1:17" ht="15.5" x14ac:dyDescent="0.35">
      <c r="A5295" s="3" t="str">
        <f>HYPERLINK("https://edmondsonsupply.com/collections/electricians-tools/products/sensible-products-dwl-1-dual-worklight-blue", "https://edmondsonsupply.com/collections/electricians-tools/products/sensible-products-dwl-1-dual-worklight-blue")</f>
        <v>https://edmondsonsupply.com/collections/electricians-tools/products/sensible-products-dwl-1-dual-worklight-blue</v>
      </c>
      <c r="B5295" s="3" t="str">
        <f>HYPERLINK("https://edmondsonsupply.com/products/sensible-products-dwl-1-dual-worklight-blue", "https://edmondsonsupply.com/products/sensible-products-dwl-1-dual-worklight-blue")</f>
        <v>https://edmondsonsupply.com/products/sensible-products-dwl-1-dual-worklight-blue</v>
      </c>
      <c r="C5295" t="s">
        <v>3190</v>
      </c>
      <c r="D5295" t="s">
        <v>3191</v>
      </c>
      <c r="E5295" s="3" t="str">
        <f>HYPERLINK("https://www.amazon.com/Sensible-Products-Light-DWL-1-Holster/dp/B0BVGG3JRQ/ref=sr_1_1?keywords=Sensible+Products+DWL-1+Dual+Worklight%2C+Blue&amp;qid=1695173846&amp;sr=8-1", "https://www.amazon.com/Sensible-Products-Light-DWL-1-Holster/dp/B0BVGG3JRQ/ref=sr_1_1?keywords=Sensible+Products+DWL-1+Dual+Worklight%2C+Blue&amp;qid=1695173846&amp;sr=8-1")</f>
        <v>https://www.amazon.com/Sensible-Products-Light-DWL-1-Holster/dp/B0BVGG3JRQ/ref=sr_1_1?keywords=Sensible+Products+DWL-1+Dual+Worklight%2C+Blue&amp;qid=1695173846&amp;sr=8-1</v>
      </c>
      <c r="F5295" t="s">
        <v>3192</v>
      </c>
      <c r="G5295" t="e">
        <f ca="1">_xludf.IMAGE("https://edmondsonsupply.com/cdn/shop/products/DWL-1-2.jpg?v=1587148321")</f>
        <v>#NAME?</v>
      </c>
      <c r="H5295" t="e">
        <f ca="1">_xludf.IMAGE("https://m.media-amazon.com/images/I/51bpVy8B6iL._AC_UL320_.jpg")</f>
        <v>#NAME?</v>
      </c>
      <c r="I5295" t="s">
        <v>3193</v>
      </c>
      <c r="J5295">
        <v>41</v>
      </c>
      <c r="K5295" s="4">
        <v>0.47539999999999999</v>
      </c>
      <c r="L5295">
        <v>3</v>
      </c>
      <c r="M5295">
        <v>1</v>
      </c>
      <c r="O5295" t="s">
        <v>25</v>
      </c>
      <c r="P5295" t="s">
        <v>138</v>
      </c>
      <c r="Q5295" t="s">
        <v>3194</v>
      </c>
    </row>
    <row r="5296" spans="1:17" ht="15.5" x14ac:dyDescent="0.35">
      <c r="A5296"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5296"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5296" t="s">
        <v>7100</v>
      </c>
      <c r="D5296" t="s">
        <v>6933</v>
      </c>
      <c r="E5296" s="3" t="str">
        <f>HYPERLINK("https://www.amazon.com/Diablo-Freud-DOU125JBW3-Universal-Oscillating/dp/B089KX3SWM/ref=sr_1_2?keywords=Diablo+Tools+DOU125JBW+1-1%2F4+in.+Universal+Fit+Bi-Metal+Oscillating+Blades+for+Clean+Wood&amp;qid=1695174246&amp;sr=8-2", "https://www.amazon.com/Diablo-Freud-DOU125JBW3-Universal-Oscillating/dp/B089KX3SWM/ref=sr_1_2?keywords=Diablo+Tools+DOU125JBW+1-1%2F4+in.+Universal+Fit+Bi-Metal+Oscillating+Blades+for+Clean+Wood&amp;qid=1695174246&amp;sr=8-2")</f>
        <v>https://www.amazon.com/Diablo-Freud-DOU125JBW3-Universal-Oscillating/dp/B089KX3SWM/ref=sr_1_2?keywords=Diablo+Tools+DOU125JBW+1-1%2F4+in.+Universal+Fit+Bi-Metal+Oscillating+Blades+for+Clean+Wood&amp;qid=1695174246&amp;sr=8-2</v>
      </c>
      <c r="F5296" t="s">
        <v>6934</v>
      </c>
      <c r="G5296" t="e">
        <f ca="1">_xludf.IMAGE("https://edmondsonsupply.com/cdn/shop/products/DOU125JBW_Main-Image.png?v=1633638363")</f>
        <v>#NAME?</v>
      </c>
      <c r="H5296" t="e">
        <f ca="1">_xludf.IMAGE("https://m.media-amazon.com/images/I/61wFHtmEH5L._AC_UL320_.jpg")</f>
        <v>#NAME?</v>
      </c>
      <c r="I5296" t="s">
        <v>2586</v>
      </c>
      <c r="J5296">
        <v>26.5</v>
      </c>
      <c r="K5296" s="4">
        <v>0.47470000000000001</v>
      </c>
      <c r="L5296">
        <v>4.5</v>
      </c>
      <c r="M5296">
        <v>48</v>
      </c>
      <c r="O5296" t="s">
        <v>25</v>
      </c>
      <c r="P5296" t="s">
        <v>6943</v>
      </c>
      <c r="Q5296" t="s">
        <v>7103</v>
      </c>
    </row>
    <row r="5297" spans="1:17" ht="15.5" x14ac:dyDescent="0.35">
      <c r="A5297" s="3" t="str">
        <f>HYPERLINK("https://edmondsonsupply.com/collections/electricians-tools/products/diablo-tools-dou125bw", "https://edmondsonsupply.com/collections/electricians-tools/products/diablo-tools-dou125bw")</f>
        <v>https://edmondsonsupply.com/collections/electricians-tools/products/diablo-tools-dou125bw</v>
      </c>
      <c r="B5297" s="3" t="str">
        <f>HYPERLINK("https://edmondsonsupply.com/products/diablo-tools-dou125bw", "https://edmondsonsupply.com/products/diablo-tools-dou125bw")</f>
        <v>https://edmondsonsupply.com/products/diablo-tools-dou125bw</v>
      </c>
      <c r="C5297" t="s">
        <v>6906</v>
      </c>
      <c r="D5297" t="s">
        <v>6933</v>
      </c>
      <c r="E5297" s="3" t="str">
        <f>HYPERLINK("https://www.amazon.com/Diablo-Freud-DOU125JBW3-Universal-Oscillating/dp/B089KX3SWM/ref=sr_1_5?keywords=Diablo+Tools+DOU125BW+1-1%2F4+in.+Universal+Fit+Bi-Metal+Oscillating+Blade+for+Nail-Embedded+Wood&amp;qid=1695174264&amp;sr=8-5", "https://www.amazon.com/Diablo-Freud-DOU125JBW3-Universal-Oscillating/dp/B089KX3SWM/ref=sr_1_5?keywords=Diablo+Tools+DOU125BW+1-1%2F4+in.+Universal+Fit+Bi-Metal+Oscillating+Blade+for+Nail-Embedded+Wood&amp;qid=1695174264&amp;sr=8-5")</f>
        <v>https://www.amazon.com/Diablo-Freud-DOU125JBW3-Universal-Oscillating/dp/B089KX3SWM/ref=sr_1_5?keywords=Diablo+Tools+DOU125BW+1-1%2F4+in.+Universal+Fit+Bi-Metal+Oscillating+Blade+for+Nail-Embedded+Wood&amp;qid=1695174264&amp;sr=8-5</v>
      </c>
      <c r="F5297" t="s">
        <v>6934</v>
      </c>
      <c r="G5297" t="e">
        <f ca="1">_xludf.IMAGE("https://edmondsonsupply.com/cdn/shop/products/gnn0wpqc8veb3qhldcrb.webp?v=1676040020")</f>
        <v>#NAME?</v>
      </c>
      <c r="H5297" t="e">
        <f ca="1">_xludf.IMAGE("https://m.media-amazon.com/images/I/61wFHtmEH5L._AC_UL320_.jpg")</f>
        <v>#NAME?</v>
      </c>
      <c r="I5297" t="s">
        <v>2586</v>
      </c>
      <c r="J5297">
        <v>26.5</v>
      </c>
      <c r="K5297" s="4">
        <v>0.47470000000000001</v>
      </c>
      <c r="L5297">
        <v>4.5</v>
      </c>
      <c r="M5297">
        <v>48</v>
      </c>
      <c r="O5297" t="s">
        <v>25</v>
      </c>
      <c r="P5297" t="s">
        <v>2152</v>
      </c>
      <c r="Q5297" t="s">
        <v>6909</v>
      </c>
    </row>
    <row r="5298" spans="1:17" ht="15.5" x14ac:dyDescent="0.35">
      <c r="A5298"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5298"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5298" t="s">
        <v>6443</v>
      </c>
      <c r="D5298" t="s">
        <v>3905</v>
      </c>
      <c r="E5298" s="3" t="str">
        <f>HYPERLINK("https://www.amazon.com/Journeyman-T-Handle-Klein-Tools-JTH9M3/dp/B005G3HJ28/ref=sr_1_10?keywords=Klein+Tools+JTH4E06+3%2F32-Inch+Hex+Key%2C+Journeyman+T-Handle%2C+4-Inch&amp;qid=1695174228&amp;sr=8-10", "https://www.amazon.com/Journeyman-T-Handle-Klein-Tools-JTH9M3/dp/B005G3HJ28/ref=sr_1_10?keywords=Klein+Tools+JTH4E06+3%2F32-Inch+Hex+Key%2C+Journeyman+T-Handle%2C+4-Inch&amp;qid=1695174228&amp;sr=8-10")</f>
        <v>https://www.amazon.com/Journeyman-T-Handle-Klein-Tools-JTH9M3/dp/B005G3HJ28/ref=sr_1_10?keywords=Klein+Tools+JTH4E06+3%2F32-Inch+Hex+Key%2C+Journeyman+T-Handle%2C+4-Inch&amp;qid=1695174228&amp;sr=8-10</v>
      </c>
      <c r="F5298" t="s">
        <v>3906</v>
      </c>
      <c r="G5298" t="e">
        <f ca="1">_xludf.IMAGE("https://edmondsonsupply.com/cdn/shop/products/jth4e06.jpg?v=1635112029")</f>
        <v>#NAME?</v>
      </c>
      <c r="H5298" t="e">
        <f ca="1">_xludf.IMAGE("https://m.media-amazon.com/images/I/51MZtGjDOtL._AC_UL320_.jpg")</f>
        <v>#NAME?</v>
      </c>
      <c r="I5298" t="s">
        <v>6444</v>
      </c>
      <c r="J5298">
        <v>5.88</v>
      </c>
      <c r="K5298" s="4">
        <v>0.47370000000000001</v>
      </c>
      <c r="L5298">
        <v>4.5999999999999996</v>
      </c>
      <c r="M5298">
        <v>179</v>
      </c>
      <c r="O5298" t="s">
        <v>25</v>
      </c>
      <c r="P5298" t="s">
        <v>2044</v>
      </c>
      <c r="Q5298" t="s">
        <v>6445</v>
      </c>
    </row>
    <row r="5299" spans="1:17" ht="15.5" x14ac:dyDescent="0.35">
      <c r="A5299"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5299"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5299" t="s">
        <v>7150</v>
      </c>
      <c r="D5299" t="s">
        <v>7151</v>
      </c>
      <c r="E5299" s="3" t="str">
        <f>HYPERLINK("https://www.amazon.com/Klein-Tools-Digital-Contrast-Microamps/dp/B09T6X3TL9/ref=sr_1_9?keywords=Klein+Tools+CL390+AC%2FDC+Digital+Clamp+Meter%2C+Auto-Ranging+400+Amp&amp;qid=1695174165&amp;sr=8-9", "https://www.amazon.com/Klein-Tools-Digital-Contrast-Microamps/dp/B09T6X3TL9/ref=sr_1_9?keywords=Klein+Tools+CL390+AC%2FDC+Digital+Clamp+Meter%2C+Auto-Ranging+400+Amp&amp;qid=1695174165&amp;sr=8-9")</f>
        <v>https://www.amazon.com/Klein-Tools-Digital-Contrast-Microamps/dp/B09T6X3TL9/ref=sr_1_9?keywords=Klein+Tools+CL390+AC%2FDC+Digital+Clamp+Meter%2C+Auto-Ranging+400+Amp&amp;qid=1695174165&amp;sr=8-9</v>
      </c>
      <c r="F5299" t="s">
        <v>7152</v>
      </c>
      <c r="G5299" t="e">
        <f ca="1">_xludf.IMAGE("https://edmondsonsupply.com/cdn/shop/products/cl390.jpg?v=1662670722")</f>
        <v>#NAME?</v>
      </c>
      <c r="H5299" t="e">
        <f ca="1">_xludf.IMAGE("https://m.media-amazon.com/images/I/51OYmfiB8vL._AC_UY218_.jpg")</f>
        <v>#NAME?</v>
      </c>
      <c r="I5299" t="s">
        <v>545</v>
      </c>
      <c r="J5299">
        <v>147.22</v>
      </c>
      <c r="K5299" s="4">
        <v>0.47260000000000002</v>
      </c>
      <c r="L5299">
        <v>5</v>
      </c>
      <c r="M5299">
        <v>2</v>
      </c>
      <c r="O5299" t="s">
        <v>25</v>
      </c>
      <c r="P5299" t="s">
        <v>7153</v>
      </c>
      <c r="Q5299" t="s">
        <v>7154</v>
      </c>
    </row>
    <row r="5300" spans="1:17" ht="15.5" x14ac:dyDescent="0.35">
      <c r="A5300"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5300"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5300" t="s">
        <v>6948</v>
      </c>
      <c r="D5300" t="s">
        <v>7065</v>
      </c>
      <c r="E5300" s="3" t="str">
        <f>HYPERLINK("https://www.amazon.com/Klein-Tools-6924INS-Insulated-Screwdriver/dp/B088NRM4CC/ref=sr_1_7?keywords=Klein+Tools+602-4+1%2F4-Inch+Keystone+Screwdriver%2C+4-Inch+Round+Shank&amp;qid=1695174315&amp;sr=8-7", "https://www.amazon.com/Klein-Tools-6924INS-Insulated-Screwdriver/dp/B088NRM4CC/ref=sr_1_7?keywords=Klein+Tools+602-4+1%2F4-Inch+Keystone+Screwdriver%2C+4-Inch+Round+Shank&amp;qid=1695174315&amp;sr=8-7")</f>
        <v>https://www.amazon.com/Klein-Tools-6924INS-Insulated-Screwdriver/dp/B088NRM4CC/ref=sr_1_7?keywords=Klein+Tools+602-4+1%2F4-Inch+Keystone+Screwdriver%2C+4-Inch+Round+Shank&amp;qid=1695174315&amp;sr=8-7</v>
      </c>
      <c r="F5300" t="s">
        <v>7066</v>
      </c>
      <c r="G5300" t="e">
        <f ca="1">_xludf.IMAGE("https://edmondsonsupply.com/cdn/shop/products/602-6.jpg?v=1633030821")</f>
        <v>#NAME?</v>
      </c>
      <c r="H5300" t="e">
        <f ca="1">_xludf.IMAGE("https://m.media-amazon.com/images/I/419wtU12P3L._AC_UL320_.jpg")</f>
        <v>#NAME?</v>
      </c>
      <c r="I5300" t="s">
        <v>2433</v>
      </c>
      <c r="J5300">
        <v>13.97</v>
      </c>
      <c r="K5300" s="4">
        <v>0.47210000000000002</v>
      </c>
      <c r="L5300">
        <v>4.8</v>
      </c>
      <c r="M5300">
        <v>1361</v>
      </c>
      <c r="O5300" t="s">
        <v>25</v>
      </c>
      <c r="P5300" t="s">
        <v>6949</v>
      </c>
      <c r="Q5300" t="s">
        <v>6950</v>
      </c>
    </row>
    <row r="5301" spans="1:17" ht="15.5" x14ac:dyDescent="0.35">
      <c r="A5301" s="3" t="str">
        <f>HYPERLINK("https://edmondsonsupply.com/collections/electricians-tools/products/channellock-428", "https://edmondsonsupply.com/collections/electricians-tools/products/channellock-428")</f>
        <v>https://edmondsonsupply.com/collections/electricians-tools/products/channellock-428</v>
      </c>
      <c r="B5301" s="3" t="str">
        <f>HYPERLINK("https://edmondsonsupply.com/products/channellock-428", "https://edmondsonsupply.com/products/channellock-428")</f>
        <v>https://edmondsonsupply.com/products/channellock-428</v>
      </c>
      <c r="C5301" t="s">
        <v>1791</v>
      </c>
      <c r="D5301" t="s">
        <v>3197</v>
      </c>
      <c r="E5301" s="3" t="str">
        <f>HYPERLINK("https://www.amazon.com/CHANNELLOCK-428X-8-inch-SPEEDGRIP-Straight/dp/B07R27B4CJ/ref=sr_1_2?keywords=Channellock+428+8-Inch+Straight+Jaw+Tongue+%26+Groove+Pliers&amp;qid=1695173963&amp;sr=8-2", "https://www.amazon.com/CHANNELLOCK-428X-8-inch-SPEEDGRIP-Straight/dp/B07R27B4CJ/ref=sr_1_2?keywords=Channellock+428+8-Inch+Straight+Jaw+Tongue+%26+Groove+Pliers&amp;qid=1695173963&amp;sr=8-2")</f>
        <v>https://www.amazon.com/CHANNELLOCK-428X-8-inch-SPEEDGRIP-Straight/dp/B07R27B4CJ/ref=sr_1_2?keywords=Channellock+428+8-Inch+Straight+Jaw+Tongue+%26+Groove+Pliers&amp;qid=1695173963&amp;sr=8-2</v>
      </c>
      <c r="F5301" t="s">
        <v>3198</v>
      </c>
      <c r="G5301" t="e">
        <f ca="1">_xludf.IMAGE("https://edmondsonsupply.com/cdn/shop/products/428-683x1024.jpg?v=1587145854")</f>
        <v>#NAME?</v>
      </c>
      <c r="H5301" t="e">
        <f ca="1">_xludf.IMAGE("https://m.media-amazon.com/images/I/71WmLP+C0IL._AC_UL320_.jpg")</f>
        <v>#NAME?</v>
      </c>
      <c r="I5301" t="s">
        <v>1554</v>
      </c>
      <c r="J5301">
        <v>24.95</v>
      </c>
      <c r="K5301" s="4">
        <v>0.47199999999999998</v>
      </c>
      <c r="L5301">
        <v>4.4000000000000004</v>
      </c>
      <c r="M5301">
        <v>578</v>
      </c>
      <c r="O5301" t="s">
        <v>25</v>
      </c>
      <c r="P5301" t="s">
        <v>1794</v>
      </c>
      <c r="Q5301" t="s">
        <v>1795</v>
      </c>
    </row>
    <row r="5302" spans="1:17" ht="15.5" x14ac:dyDescent="0.35">
      <c r="A5302"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5302" s="3" t="str">
        <f>HYPERLINK("https://edmondsonsupply.com/products/klein-tools-56028-flashlight-with-worklight-led-flashlight", "https://edmondsonsupply.com/products/klein-tools-56028-flashlight-with-worklight-led-flashlight")</f>
        <v>https://edmondsonsupply.com/products/klein-tools-56028-flashlight-with-worklight-led-flashlight</v>
      </c>
      <c r="C5302" t="s">
        <v>7140</v>
      </c>
      <c r="D5302" t="s">
        <v>4836</v>
      </c>
      <c r="E5302" s="3" t="str">
        <f>HYPERLINK("https://www.amazon.com/Klein-56040-Rechargeable-Focus-Flashlight/dp/B0828NGD4V/ref=sr_1_4?keywords=Klein+Tools+56028+LED+Flashlight+with+Work+Light&amp;qid=1695174266&amp;sr=8-4", "https://www.amazon.com/Klein-56040-Rechargeable-Focus-Flashlight/dp/B0828NGD4V/ref=sr_1_4?keywords=Klein+Tools+56028+LED+Flashlight+with+Work+Light&amp;qid=1695174266&amp;sr=8-4")</f>
        <v>https://www.amazon.com/Klein-56040-Rechargeable-Focus-Flashlight/dp/B0828NGD4V/ref=sr_1_4?keywords=Klein+Tools+56028+LED+Flashlight+with+Work+Light&amp;qid=1695174266&amp;sr=8-4</v>
      </c>
      <c r="F5302" t="s">
        <v>4837</v>
      </c>
      <c r="G5302" t="e">
        <f ca="1">_xludf.IMAGE("https://edmondsonsupply.com/cdn/shop/products/56028.jpg?v=1587148656")</f>
        <v>#NAME?</v>
      </c>
      <c r="H5302" t="e">
        <f ca="1">_xludf.IMAGE("https://m.media-amazon.com/images/I/51XNgm063EL._AC_UL320_.jpg")</f>
        <v>#NAME?</v>
      </c>
      <c r="I5302" t="s">
        <v>936</v>
      </c>
      <c r="J5302">
        <v>39.659999999999997</v>
      </c>
      <c r="K5302" s="4">
        <v>0.47049999999999997</v>
      </c>
      <c r="L5302">
        <v>4.5999999999999996</v>
      </c>
      <c r="M5302">
        <v>476</v>
      </c>
      <c r="O5302" t="s">
        <v>25</v>
      </c>
      <c r="P5302" t="s">
        <v>7141</v>
      </c>
      <c r="Q5302" t="s">
        <v>7142</v>
      </c>
    </row>
    <row r="5303" spans="1:17" ht="15.5" x14ac:dyDescent="0.35">
      <c r="A5303" s="3" t="str">
        <f>HYPERLINK("https://edmondsonsupply.com/collections/electricians-tools/products/diablo-tools-d0724da-7-1-4-in-24-tooth-%E2%84%A2-framing-demolition-saw-blade", "https://edmondsonsupply.com/collections/electricians-tools/products/diablo-tools-d0724da-7-1-4-in-24-tooth-%E2%84%A2-framing-demolition-saw-blade")</f>
        <v>https://edmondsonsupply.com/collections/electricians-tools/products/diablo-tools-d0724da-7-1-4-in-24-tooth-%E2%84%A2-framing-demolition-saw-blade</v>
      </c>
      <c r="B5303" s="3" t="str">
        <f>HYPERLINK("https://edmondsonsupply.com/products/diablo-tools-d0724da-7-1-4-in-24-tooth-%e2%84%a2-framing-demolition-saw-blade", "https://edmondsonsupply.com/products/diablo-tools-d0724da-7-1-4-in-24-tooth-%e2%84%a2-framing-demolition-saw-blade")</f>
        <v>https://edmondsonsupply.com/products/diablo-tools-d0724da-7-1-4-in-24-tooth-%e2%84%a2-framing-demolition-saw-blade</v>
      </c>
      <c r="C5303" t="s">
        <v>6107</v>
      </c>
      <c r="D5303" t="s">
        <v>6612</v>
      </c>
      <c r="E5303" s="3" t="str">
        <f>HYPERLINK("https://www.amazon.com/Diablo-2-Pack-Framing-Circular-Blades/dp/B09K81GP9V/ref=sr_1_4?keywords=Diablo+Tools+D0724DA+7-1%2F4+in.+24-Tooth+%E2%84%A2+Framing%2FDemolition+Saw+Blade&amp;qid=1695174061&amp;sr=8-4", "https://www.amazon.com/Diablo-2-Pack-Framing-Circular-Blades/dp/B09K81GP9V/ref=sr_1_4?keywords=Diablo+Tools+D0724DA+7-1%2F4+in.+24-Tooth+%E2%84%A2+Framing%2FDemolition+Saw+Blade&amp;qid=1695174061&amp;sr=8-4")</f>
        <v>https://www.amazon.com/Diablo-2-Pack-Framing-Circular-Blades/dp/B09K81GP9V/ref=sr_1_4?keywords=Diablo+Tools+D0724DA+7-1%2F4+in.+24-Tooth+%E2%84%A2+Framing%2FDemolition+Saw+Blade&amp;qid=1695174061&amp;sr=8-4</v>
      </c>
      <c r="F5303" t="s">
        <v>6613</v>
      </c>
      <c r="G5303" t="e">
        <f ca="1">_xludf.IMAGE("https://edmondsonsupply.com/cdn/shop/products/ms7ofgpqtqo0aptxxu1k.webp?v=1678973703")</f>
        <v>#NAME?</v>
      </c>
      <c r="H5303" t="e">
        <f ca="1">_xludf.IMAGE("https://m.media-amazon.com/images/I/61MhRzf0xyL._AC_UL320_.jpg")</f>
        <v>#NAME?</v>
      </c>
      <c r="I5303" t="s">
        <v>2784</v>
      </c>
      <c r="J5303">
        <v>21.98</v>
      </c>
      <c r="K5303" s="4">
        <v>0.46829999999999999</v>
      </c>
      <c r="L5303">
        <v>4.7</v>
      </c>
      <c r="M5303">
        <v>8</v>
      </c>
      <c r="O5303" t="s">
        <v>25</v>
      </c>
      <c r="P5303" t="s">
        <v>6110</v>
      </c>
      <c r="Q5303" t="s">
        <v>6111</v>
      </c>
    </row>
    <row r="5304" spans="1:17" ht="15.5" x14ac:dyDescent="0.35">
      <c r="A5304" s="3" t="str">
        <f>HYPERLINK("https://edmondsonsupply.com/collections/electricians-tools/products/milwaukee-48-22-8452", "https://edmondsonsupply.com/collections/electricians-tools/products/milwaukee-48-22-8452")</f>
        <v>https://edmondsonsupply.com/collections/electricians-tools/products/milwaukee-48-22-8452</v>
      </c>
      <c r="B5304" s="3" t="str">
        <f>HYPERLINK("https://edmondsonsupply.com/products/milwaukee-48-22-8452", "https://edmondsonsupply.com/products/milwaukee-48-22-8452")</f>
        <v>https://edmondsonsupply.com/products/milwaukee-48-22-8452</v>
      </c>
      <c r="C5304" t="s">
        <v>7155</v>
      </c>
      <c r="D5304" t="s">
        <v>7156</v>
      </c>
      <c r="E5304" s="3" t="str">
        <f>HYPERLINK("https://www.amazon.com/48-22-8451-Milwaukee-Packout-Inserts-Boxes-2PC/dp/B0BZTT7L29/ref=sr_1_7?keywords=Milwaukee+48-22-8452+Customizable+Foam+Insert+for+PACKOUT%E2%84%A2+Drawer+Tool+Boxes&amp;qid=1695174164&amp;sr=8-7", "https://www.amazon.com/48-22-8451-Milwaukee-Packout-Inserts-Boxes-2PC/dp/B0BZTT7L29/ref=sr_1_7?keywords=Milwaukee+48-22-8452+Customizable+Foam+Insert+for+PACKOUT%E2%84%A2+Drawer+Tool+Boxes&amp;qid=1695174164&amp;sr=8-7")</f>
        <v>https://www.amazon.com/48-22-8451-Milwaukee-Packout-Inserts-Boxes-2PC/dp/B0BZTT7L29/ref=sr_1_7?keywords=Milwaukee+48-22-8452+Customizable+Foam+Insert+for+PACKOUT%E2%84%A2+Drawer+Tool+Boxes&amp;qid=1695174164&amp;sr=8-7</v>
      </c>
      <c r="F5304" t="s">
        <v>7157</v>
      </c>
      <c r="G5304" t="e">
        <f ca="1">_xludf.IMAGE("https://edmondsonsupply.com/cdn/shop/products/48-22-8452_4.png?v=1663605573")</f>
        <v>#NAME?</v>
      </c>
      <c r="H5304" t="e">
        <f ca="1">_xludf.IMAGE("https://m.media-amazon.com/images/I/81FbhALEbKL._AC_UL320_.jpg")</f>
        <v>#NAME?</v>
      </c>
      <c r="I5304" t="s">
        <v>471</v>
      </c>
      <c r="J5304">
        <v>36.69</v>
      </c>
      <c r="K5304" s="4">
        <v>0.46820000000000001</v>
      </c>
      <c r="L5304">
        <v>4.0999999999999996</v>
      </c>
      <c r="M5304">
        <v>8</v>
      </c>
      <c r="O5304" t="s">
        <v>25</v>
      </c>
      <c r="P5304" t="s">
        <v>7158</v>
      </c>
      <c r="Q5304" t="s">
        <v>7159</v>
      </c>
    </row>
    <row r="5305" spans="1:17" ht="15.5" x14ac:dyDescent="0.35">
      <c r="A5305" s="3" t="str">
        <f>HYPERLINK("https://edmondsonsupply.com/collections/electricians-tools/products/milwaukee-48-22-7218-18-aluminum-pipe-wrench", "https://edmondsonsupply.com/collections/electricians-tools/products/milwaukee-48-22-7218-18-aluminum-pipe-wrench")</f>
        <v>https://edmondsonsupply.com/collections/electricians-tools/products/milwaukee-48-22-7218-18-aluminum-pipe-wrench</v>
      </c>
      <c r="B5305" s="3" t="str">
        <f>HYPERLINK("https://edmondsonsupply.com/products/milwaukee-48-22-7218-18-aluminum-pipe-wrench", "https://edmondsonsupply.com/products/milwaukee-48-22-7218-18-aluminum-pipe-wrench")</f>
        <v>https://edmondsonsupply.com/products/milwaukee-48-22-7218-18-aluminum-pipe-wrench</v>
      </c>
      <c r="C5305" t="s">
        <v>7160</v>
      </c>
      <c r="D5305" t="s">
        <v>6761</v>
      </c>
      <c r="E5305" s="3" t="str">
        <f>HYPERLINK("https://www.amazon.com/MILWAUKEE-48-22-7224-Milwaukee/dp/B01HOXID1I/ref=sr_1_8?keywords=Milwaukee+48-22-7218+18%22+Aluminum+Pipe+Wrench&amp;qid=1695174033&amp;sr=8-8", "https://www.amazon.com/MILWAUKEE-48-22-7224-Milwaukee/dp/B01HOXID1I/ref=sr_1_8?keywords=Milwaukee+48-22-7218+18%22+Aluminum+Pipe+Wrench&amp;qid=1695174033&amp;sr=8-8")</f>
        <v>https://www.amazon.com/MILWAUKEE-48-22-7224-Milwaukee/dp/B01HOXID1I/ref=sr_1_8?keywords=Milwaukee+48-22-7218+18%22+Aluminum+Pipe+Wrench&amp;qid=1695174033&amp;sr=8-8</v>
      </c>
      <c r="F5305" t="s">
        <v>6762</v>
      </c>
      <c r="G5305" t="e">
        <f ca="1">_xludf.IMAGE("https://edmondsonsupply.com/cdn/shop/products/48-22-7218_2_1_742fcb03-c548-4ed9-8aa1-934894b7f36d.png?v=1680096673")</f>
        <v>#NAME?</v>
      </c>
      <c r="H5305" t="e">
        <f ca="1">_xludf.IMAGE("https://m.media-amazon.com/images/I/7198DLJ590L._AC_UL320_.jpg")</f>
        <v>#NAME?</v>
      </c>
      <c r="I5305" t="s">
        <v>305</v>
      </c>
      <c r="J5305">
        <v>94.99</v>
      </c>
      <c r="K5305" s="4">
        <v>0.46210000000000001</v>
      </c>
      <c r="L5305">
        <v>4.5999999999999996</v>
      </c>
      <c r="M5305">
        <v>44</v>
      </c>
      <c r="O5305" t="s">
        <v>25</v>
      </c>
      <c r="P5305" t="s">
        <v>7161</v>
      </c>
      <c r="Q5305" t="s">
        <v>7162</v>
      </c>
    </row>
    <row r="5306" spans="1:17" ht="15.5" x14ac:dyDescent="0.35">
      <c r="A5306" s="3" t="str">
        <f>HYPERLINK("https://edmondsonsupply.com/collections/electricians-tools/products/klein-tools-2139nerins-insulated-pliers-side-cutters-9-inch", "https://edmondsonsupply.com/collections/electricians-tools/products/klein-tools-2139nerins-insulated-pliers-side-cutters-9-inch")</f>
        <v>https://edmondsonsupply.com/collections/electricians-tools/products/klein-tools-2139nerins-insulated-pliers-side-cutters-9-inch</v>
      </c>
      <c r="B5306" s="3" t="str">
        <f>HYPERLINK("https://edmondsonsupply.com/products/klein-tools-2139nerins-insulated-pliers-side-cutters-9-inch", "https://edmondsonsupply.com/products/klein-tools-2139nerins-insulated-pliers-side-cutters-9-inch")</f>
        <v>https://edmondsonsupply.com/products/klein-tools-2139nerins-insulated-pliers-side-cutters-9-inch</v>
      </c>
      <c r="C5306" t="s">
        <v>7163</v>
      </c>
      <c r="D5306" t="s">
        <v>5005</v>
      </c>
      <c r="E5306" s="3" t="str">
        <f>HYPERLINK("https://www.amazon.com/Klein-Tools-2139NEEINS-Cutting-Pliers/dp/B00JGG5RNE/ref=sr_1_2?keywords=Klein+Tools+2139NERINS+Insulated+Pliers%2C+Side+Cutters%2C+9-Inch&amp;qid=1695174127&amp;sr=8-2", "https://www.amazon.com/Klein-Tools-2139NEEINS-Cutting-Pliers/dp/B00JGG5RNE/ref=sr_1_2?keywords=Klein+Tools+2139NERINS+Insulated+Pliers%2C+Side+Cutters%2C+9-Inch&amp;qid=1695174127&amp;sr=8-2")</f>
        <v>https://www.amazon.com/Klein-Tools-2139NEEINS-Cutting-Pliers/dp/B00JGG5RNE/ref=sr_1_2?keywords=Klein+Tools+2139NERINS+Insulated+Pliers%2C+Side+Cutters%2C+9-Inch&amp;qid=1695174127&amp;sr=8-2</v>
      </c>
      <c r="F5306" t="s">
        <v>5006</v>
      </c>
      <c r="G5306" t="e">
        <f ca="1">_xludf.IMAGE("https://edmondsonsupply.com/cdn/shop/products/2139nerins.jpg?v=1667237928")</f>
        <v>#NAME?</v>
      </c>
      <c r="H5306" t="e">
        <f ca="1">_xludf.IMAGE("https://m.media-amazon.com/images/I/51eEwVZhacL._AC_UL320_.jpg")</f>
        <v>#NAME?</v>
      </c>
      <c r="I5306" t="s">
        <v>4108</v>
      </c>
      <c r="J5306">
        <v>65.599999999999994</v>
      </c>
      <c r="K5306" s="4">
        <v>0.45879999999999999</v>
      </c>
      <c r="L5306">
        <v>4.7</v>
      </c>
      <c r="M5306">
        <v>242</v>
      </c>
      <c r="O5306" t="s">
        <v>25</v>
      </c>
      <c r="P5306" t="s">
        <v>7164</v>
      </c>
      <c r="Q5306" t="s">
        <v>7165</v>
      </c>
    </row>
    <row r="5307" spans="1:17" ht="15.5" x14ac:dyDescent="0.35">
      <c r="A5307" s="3" t="str">
        <f>HYPERLINK("https://edmondsonsupply.com/collections/electricians-tools/products/klein-tools-jth6e07be-7-64-inch-ball-end-hex-key-journeyman%E2%84%A2-t-handle-6-inch", "https://edmondsonsupply.com/collections/electricians-tools/products/klein-tools-jth6e07be-7-64-inch-ball-end-hex-key-journeyman%E2%84%A2-t-handle-6-inch")</f>
        <v>https://edmondsonsupply.com/collections/electricians-tools/products/klein-tools-jth6e07be-7-64-inch-ball-end-hex-key-journeyman%E2%84%A2-t-handle-6-inch</v>
      </c>
      <c r="B5307" s="3" t="str">
        <f>HYPERLINK("https://edmondsonsupply.com/products/klein-tools-jth6e07be-7-64-inch-ball-end-hex-key-journeyman%e2%84%a2-t-handle-6-inch", "https://edmondsonsupply.com/products/klein-tools-jth6e07be-7-64-inch-ball-end-hex-key-journeyman%e2%84%a2-t-handle-6-inch")</f>
        <v>https://edmondsonsupply.com/products/klein-tools-jth6e07be-7-64-inch-ball-end-hex-key-journeyman%e2%84%a2-t-handle-6-inch</v>
      </c>
      <c r="C5307" t="s">
        <v>7166</v>
      </c>
      <c r="D5307" t="s">
        <v>7167</v>
      </c>
      <c r="E5307" s="3" t="str">
        <f>HYPERLINK("https://www.amazon.com/Ball-End-Journeyman-Klein-Tools-JTH6E09BE/dp/B004QW2H9U/ref=sr_1_6?keywords=Klein+Tools+JTH6E07BE+7%2F64-Inch+Ball-End+Hex+Key%2C+Journeyman%E2%84%A2+T-Handle%2C+6-Inch&amp;qid=1695174129&amp;sr=8-6", "https://www.amazon.com/Ball-End-Journeyman-Klein-Tools-JTH6E09BE/dp/B004QW2H9U/ref=sr_1_6?keywords=Klein+Tools+JTH6E07BE+7%2F64-Inch+Ball-End+Hex+Key%2C+Journeyman%E2%84%A2+T-Handle%2C+6-Inch&amp;qid=1695174129&amp;sr=8-6")</f>
        <v>https://www.amazon.com/Ball-End-Journeyman-Klein-Tools-JTH6E09BE/dp/B004QW2H9U/ref=sr_1_6?keywords=Klein+Tools+JTH6E07BE+7%2F64-Inch+Ball-End+Hex+Key%2C+Journeyman%E2%84%A2+T-Handle%2C+6-Inch&amp;qid=1695174129&amp;sr=8-6</v>
      </c>
      <c r="F5307" t="s">
        <v>7168</v>
      </c>
      <c r="G5307" t="e">
        <f ca="1">_xludf.IMAGE("https://edmondsonsupply.com/cdn/shop/products/jth6e13be_1.jpg?v=1667224705")</f>
        <v>#NAME?</v>
      </c>
      <c r="H5307" t="e">
        <f ca="1">_xludf.IMAGE("https://m.media-amazon.com/images/I/51f9vBFVXgL._AC_UL320_.jpg")</f>
        <v>#NAME?</v>
      </c>
      <c r="I5307" t="s">
        <v>2388</v>
      </c>
      <c r="J5307">
        <v>7.26</v>
      </c>
      <c r="K5307" s="4">
        <v>0.45490000000000003</v>
      </c>
      <c r="L5307">
        <v>4.9000000000000004</v>
      </c>
      <c r="M5307">
        <v>65</v>
      </c>
      <c r="O5307" t="s">
        <v>25</v>
      </c>
      <c r="P5307" t="s">
        <v>6356</v>
      </c>
      <c r="Q5307" t="s">
        <v>7169</v>
      </c>
    </row>
    <row r="5308" spans="1:17" ht="15.5" x14ac:dyDescent="0.35">
      <c r="A5308"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5308"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5308" t="s">
        <v>7170</v>
      </c>
      <c r="D5308" t="s">
        <v>1691</v>
      </c>
      <c r="E5308" s="3" t="str">
        <f>HYPERLINK("https://www.amazon.com/Klein-Tools-647M-Magnetic-7-Piece/dp/B000MKIUYQ/ref=sr_1_7?keywords=Klein+Tools+635-4+Nut+Driver+Set%2C+Magnetic+Nut+Drivers%2C+Heavy+Duty%2C+4-Piece&amp;qid=1695174225&amp;sr=8-7", "https://www.amazon.com/Klein-Tools-647M-Magnetic-7-Piece/dp/B000MKIUYQ/ref=sr_1_7?keywords=Klein+Tools+635-4+Nut+Driver+Set%2C+Magnetic+Nut+Drivers%2C+Heavy+Duty%2C+4-Piece&amp;qid=1695174225&amp;sr=8-7")</f>
        <v>https://www.amazon.com/Klein-Tools-647M-Magnetic-7-Piece/dp/B000MKIUYQ/ref=sr_1_7?keywords=Klein+Tools+635-4+Nut+Driver+Set%2C+Magnetic+Nut+Drivers%2C+Heavy+Duty%2C+4-Piece&amp;qid=1695174225&amp;sr=8-7</v>
      </c>
      <c r="F5308" t="s">
        <v>1692</v>
      </c>
      <c r="G5308" t="e">
        <f ca="1">_xludf.IMAGE("https://edmondsonsupply.com/cdn/shop/products/635-4.jpg?v=1640815398")</f>
        <v>#NAME?</v>
      </c>
      <c r="H5308" t="e">
        <f ca="1">_xludf.IMAGE("https://m.media-amazon.com/images/I/61PNUE211uL._AC_UL320_.jpg")</f>
        <v>#NAME?</v>
      </c>
      <c r="I5308" t="s">
        <v>269</v>
      </c>
      <c r="J5308">
        <v>79.989999999999995</v>
      </c>
      <c r="K5308" s="4">
        <v>0.4546</v>
      </c>
      <c r="L5308">
        <v>4.8</v>
      </c>
      <c r="M5308">
        <v>985</v>
      </c>
      <c r="O5308" t="s">
        <v>25</v>
      </c>
      <c r="P5308" t="s">
        <v>7171</v>
      </c>
      <c r="Q5308" t="s">
        <v>7172</v>
      </c>
    </row>
    <row r="5309" spans="1:17" ht="15.5" x14ac:dyDescent="0.35">
      <c r="A5309" s="3" t="str">
        <f>HYPERLINK("https://edmondsonsupply.com/collections/electricians-tools/products/fieldpiece-sc260", "https://edmondsonsupply.com/collections/electricians-tools/products/fieldpiece-sc260")</f>
        <v>https://edmondsonsupply.com/collections/electricians-tools/products/fieldpiece-sc260</v>
      </c>
      <c r="B5309" s="3" t="str">
        <f>HYPERLINK("https://edmondsonsupply.com/products/fieldpiece-sc260", "https://edmondsonsupply.com/products/fieldpiece-sc260")</f>
        <v>https://edmondsonsupply.com/products/fieldpiece-sc260</v>
      </c>
      <c r="C5309" t="s">
        <v>3222</v>
      </c>
      <c r="D5309" t="s">
        <v>3223</v>
      </c>
      <c r="E5309" s="3" t="str">
        <f>HYPERLINK("https://www.amazon.com/Fieldpiece-SC440-Temperature-Capacitance-Backlight/dp/B00KLYJMNQ/ref=sr_1_3?keywords=Fieldpiece+SC260+Compact+Clamp+Meter+with+True+RMS&amp;qid=1695173924&amp;sr=8-3", "https://www.amazon.com/Fieldpiece-SC440-Temperature-Capacitance-Backlight/dp/B00KLYJMNQ/ref=sr_1_3?keywords=Fieldpiece+SC260+Compact+Clamp+Meter+with+True+RMS&amp;qid=1695173924&amp;sr=8-3")</f>
        <v>https://www.amazon.com/Fieldpiece-SC440-Temperature-Capacitance-Backlight/dp/B00KLYJMNQ/ref=sr_1_3?keywords=Fieldpiece+SC260+Compact+Clamp+Meter+with+True+RMS&amp;qid=1695173924&amp;sr=8-3</v>
      </c>
      <c r="F5309" t="s">
        <v>3224</v>
      </c>
      <c r="G5309" t="e">
        <f ca="1">_xludf.IMAGE("https://edmondsonsupply.com/cdn/shop/products/SC260-SRC-product.jpg?v=1633030161")</f>
        <v>#NAME?</v>
      </c>
      <c r="H5309" t="e">
        <f ca="1">_xludf.IMAGE("https://m.media-amazon.com/images/I/51Yh8BCUNPL._AC_UY218_.jpg")</f>
        <v>#NAME?</v>
      </c>
      <c r="I5309" t="s">
        <v>3225</v>
      </c>
      <c r="J5309">
        <v>201.45</v>
      </c>
      <c r="K5309" s="4">
        <v>0.45400000000000001</v>
      </c>
      <c r="L5309">
        <v>4.7</v>
      </c>
      <c r="M5309">
        <v>700</v>
      </c>
      <c r="O5309" t="s">
        <v>25</v>
      </c>
      <c r="P5309" t="s">
        <v>1508</v>
      </c>
      <c r="Q5309" t="s">
        <v>3226</v>
      </c>
    </row>
    <row r="5310" spans="1:17" ht="15.5" x14ac:dyDescent="0.35">
      <c r="A5310"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5310"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5310" t="s">
        <v>6254</v>
      </c>
      <c r="D5310" t="s">
        <v>1920</v>
      </c>
      <c r="E5310" s="3" t="str">
        <f>HYPERLINK("https://www.amazon.com/Klein-Tools-Thermometer-Non-Contact-Temperature/dp/B0BC88SF8V/ref=sr_1_3?keywords=Klein+Tools+IR1+Infrared+Digital+Thermometer+with+Targeting+Laser%2C+10%3A1&amp;qid=1695174178&amp;sr=8-3", "https://www.amazon.com/Klein-Tools-Thermometer-Non-Contact-Temperature/dp/B0BC88SF8V/ref=sr_1_3?keywords=Klein+Tools+IR1+Infrared+Digital+Thermometer+with+Targeting+Laser%2C+10%3A1&amp;qid=1695174178&amp;sr=8-3")</f>
        <v>https://www.amazon.com/Klein-Tools-Thermometer-Non-Contact-Temperature/dp/B0BC88SF8V/ref=sr_1_3?keywords=Klein+Tools+IR1+Infrared+Digital+Thermometer+with+Targeting+Laser%2C+10%3A1&amp;qid=1695174178&amp;sr=8-3</v>
      </c>
      <c r="F5310" t="s">
        <v>1921</v>
      </c>
      <c r="G5310" t="e">
        <f ca="1">_xludf.IMAGE("https://edmondsonsupply.com/cdn/shop/products/ir1.jpg?v=1659112251")</f>
        <v>#NAME?</v>
      </c>
      <c r="H5310" t="e">
        <f ca="1">_xludf.IMAGE("https://m.media-amazon.com/images/I/41SkeuD-HkL._AC_UY218_.jpg")</f>
        <v>#NAME?</v>
      </c>
      <c r="I5310" t="s">
        <v>3578</v>
      </c>
      <c r="J5310">
        <v>47.96</v>
      </c>
      <c r="K5310" s="4">
        <v>0.45379999999999998</v>
      </c>
      <c r="L5310">
        <v>5</v>
      </c>
      <c r="M5310">
        <v>4</v>
      </c>
      <c r="O5310" t="s">
        <v>25</v>
      </c>
      <c r="P5310" t="s">
        <v>6255</v>
      </c>
      <c r="Q5310" t="s">
        <v>6256</v>
      </c>
    </row>
    <row r="5311" spans="1:17" ht="15.5" x14ac:dyDescent="0.35">
      <c r="A5311"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5311" s="3" t="str">
        <f>HYPERLINK("https://edmondsonsupply.com/products/klein-tools-ncvt1xt-non-contact-voltage-tester-70-to-1000v-ac", "https://edmondsonsupply.com/products/klein-tools-ncvt1xt-non-contact-voltage-tester-70-to-1000v-ac")</f>
        <v>https://edmondsonsupply.com/products/klein-tools-ncvt1xt-non-contact-voltage-tester-70-to-1000v-ac</v>
      </c>
      <c r="C5311" t="s">
        <v>6346</v>
      </c>
      <c r="D5311" t="s">
        <v>4912</v>
      </c>
      <c r="E5311" s="3" t="str">
        <f>HYPERLINK("https://www.amazon.com/Klein-Tools-NCVT2PKIT-Non-Contact-Application/dp/B08FPHS6HL/ref=sr_1_6?keywords=Klein+Tools+NCVT1XT+Non-Contact+Voltage+Tester%2C+70+to+1000V+AC&amp;qid=1695174075&amp;sr=8-6", "https://www.amazon.com/Klein-Tools-NCVT2PKIT-Non-Contact-Application/dp/B08FPHS6HL/ref=sr_1_6?keywords=Klein+Tools+NCVT1XT+Non-Contact+Voltage+Tester%2C+70+to+1000V+AC&amp;qid=1695174075&amp;sr=8-6")</f>
        <v>https://www.amazon.com/Klein-Tools-NCVT2PKIT-Non-Contact-Application/dp/B08FPHS6HL/ref=sr_1_6?keywords=Klein+Tools+NCVT1XT+Non-Contact+Voltage+Tester%2C+70+to+1000V+AC&amp;qid=1695174075&amp;sr=8-6</v>
      </c>
      <c r="F5311" t="s">
        <v>4913</v>
      </c>
      <c r="G5311" t="e">
        <f ca="1">_xludf.IMAGE("https://edmondsonsupply.com/cdn/shop/products/ncvt1xt.jpg?v=1674496568")</f>
        <v>#NAME?</v>
      </c>
      <c r="H5311" t="e">
        <f ca="1">_xludf.IMAGE("https://m.media-amazon.com/images/I/511RscwJPxL._AC_UL320_.jpg")</f>
        <v>#NAME?</v>
      </c>
      <c r="I5311" t="s">
        <v>893</v>
      </c>
      <c r="J5311">
        <v>28.99</v>
      </c>
      <c r="K5311" s="4">
        <v>0.45169999999999999</v>
      </c>
      <c r="L5311">
        <v>4.8</v>
      </c>
      <c r="M5311">
        <v>3262</v>
      </c>
      <c r="O5311" t="s">
        <v>25</v>
      </c>
      <c r="P5311" t="s">
        <v>6347</v>
      </c>
      <c r="Q5311" t="s">
        <v>6348</v>
      </c>
    </row>
    <row r="5312" spans="1:17" ht="15.5" x14ac:dyDescent="0.35">
      <c r="A5312"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5312"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5312" t="s">
        <v>3227</v>
      </c>
      <c r="D5312" t="s">
        <v>3228</v>
      </c>
      <c r="E5312" s="3" t="str">
        <f>HYPERLINK("https://www.amazon.com/Multimeter-Non-Contact-Klein-Tools-Electricians/dp/B0BVGB1TXZ/ref=sr_1_2?keywords=Klein+Tools+MM320KIT+Digital+Multimeter+Electrical+Test+Kit&amp;qid=1695173860&amp;sr=8-2", "https://www.amazon.com/Multimeter-Non-Contact-Klein-Tools-Electricians/dp/B0BVGB1TXZ/ref=sr_1_2?keywords=Klein+Tools+MM320KIT+Digital+Multimeter+Electrical+Test+Kit&amp;qid=1695173860&amp;sr=8-2")</f>
        <v>https://www.amazon.com/Multimeter-Non-Contact-Klein-Tools-Electricians/dp/B0BVGB1TXZ/ref=sr_1_2?keywords=Klein+Tools+MM320KIT+Digital+Multimeter+Electrical+Test+Kit&amp;qid=1695173860&amp;sr=8-2</v>
      </c>
      <c r="F5312" t="s">
        <v>3229</v>
      </c>
      <c r="G5312" t="e">
        <f ca="1">_xludf.IMAGE("https://edmondsonsupply.com/cdn/shop/products/mm320kit_photo.jpg?v=1660756496")</f>
        <v>#NAME?</v>
      </c>
      <c r="H5312" t="e">
        <f ca="1">_xludf.IMAGE("https://m.media-amazon.com/images/I/5187WRo8ulL._AC_UL320_.jpg")</f>
        <v>#NAME?</v>
      </c>
      <c r="I5312" t="s">
        <v>380</v>
      </c>
      <c r="J5312">
        <v>72.459999999999994</v>
      </c>
      <c r="K5312" s="4">
        <v>0.4501</v>
      </c>
      <c r="L5312">
        <v>5</v>
      </c>
      <c r="M5312">
        <v>1</v>
      </c>
      <c r="O5312" t="s">
        <v>25</v>
      </c>
      <c r="P5312" t="s">
        <v>3230</v>
      </c>
      <c r="Q5312" t="s">
        <v>3231</v>
      </c>
    </row>
    <row r="5313" spans="1:17" ht="15.5" x14ac:dyDescent="0.35">
      <c r="A5313"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5313"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5313" t="s">
        <v>6870</v>
      </c>
      <c r="D5313" t="s">
        <v>6488</v>
      </c>
      <c r="E5313" s="3" t="str">
        <f>HYPERLINK("https://www.amazon.com/Klein-Tools-JTH6E12BE-Journeyman-T-Handle/dp/B0CFKJBMTP/ref=sr_1_6?keywords=Klein+Tools+JTH6E14BE+5%2F16-Inch+Ball+End+Hex+Key+with+T-Handle%2C+6-Inch&amp;qid=1695174246&amp;sr=8-6", "https://www.amazon.com/Klein-Tools-JTH6E12BE-Journeyman-T-Handle/dp/B0CFKJBMTP/ref=sr_1_6?keywords=Klein+Tools+JTH6E14BE+5%2F16-Inch+Ball+End+Hex+Key+with+T-Handle%2C+6-Inch&amp;qid=1695174246&amp;sr=8-6")</f>
        <v>https://www.amazon.com/Klein-Tools-JTH6E12BE-Journeyman-T-Handle/dp/B0CFKJBMTP/ref=sr_1_6?keywords=Klein+Tools+JTH6E14BE+5%2F16-Inch+Ball+End+Hex+Key+with+T-Handle%2C+6-Inch&amp;qid=1695174246&amp;sr=8-6</v>
      </c>
      <c r="F5313" t="s">
        <v>6489</v>
      </c>
      <c r="G5313" t="e">
        <f ca="1">_xludf.IMAGE("https://edmondsonsupply.com/cdn/shop/products/jth6e13be_0da4cca6-ce15-419c-bc75-cd610bd9637f.jpg?v=1629825198")</f>
        <v>#NAME?</v>
      </c>
      <c r="H5313" t="e">
        <f ca="1">_xludf.IMAGE("https://m.media-amazon.com/images/I/41bN+I19ReL._AC_UL320_.jpg")</f>
        <v>#NAME?</v>
      </c>
      <c r="I5313" t="s">
        <v>6394</v>
      </c>
      <c r="J5313">
        <v>12.3</v>
      </c>
      <c r="K5313" s="4">
        <v>0.44879999999999998</v>
      </c>
      <c r="L5313">
        <v>4.5</v>
      </c>
      <c r="M5313">
        <v>9</v>
      </c>
      <c r="O5313" t="s">
        <v>25</v>
      </c>
      <c r="P5313" t="s">
        <v>6871</v>
      </c>
      <c r="Q5313" t="s">
        <v>6872</v>
      </c>
    </row>
    <row r="5314" spans="1:17" ht="15.5" x14ac:dyDescent="0.35">
      <c r="A5314" s="3" t="str">
        <f>HYPERLINK("https://edmondsonsupply.com/collections/electricians-tools/products/milwaukee-48-22-7214-14-aluminum-pipe-wrench", "https://edmondsonsupply.com/collections/electricians-tools/products/milwaukee-48-22-7214-14-aluminum-pipe-wrench")</f>
        <v>https://edmondsonsupply.com/collections/electricians-tools/products/milwaukee-48-22-7214-14-aluminum-pipe-wrench</v>
      </c>
      <c r="B5314" s="3" t="str">
        <f>HYPERLINK("https://edmondsonsupply.com/products/milwaukee-48-22-7214-14-aluminum-pipe-wrench", "https://edmondsonsupply.com/products/milwaukee-48-22-7214-14-aluminum-pipe-wrench")</f>
        <v>https://edmondsonsupply.com/products/milwaukee-48-22-7214-14-aluminum-pipe-wrench</v>
      </c>
      <c r="C5314" t="s">
        <v>6765</v>
      </c>
      <c r="D5314" t="s">
        <v>3516</v>
      </c>
      <c r="E5314" s="3" t="str">
        <f>HYPERLINK("https://www.amazon.com/Milwaukee-48-22-7213-Aluminum-Wrench-POWERLENGTH/dp/B09VQ6CYDG/ref=sr_1_4?keywords=Milwaukee+48-22-7214+14%22+Aluminum+Pipe+Wrench&amp;qid=1695174078&amp;sr=8-4", "https://www.amazon.com/Milwaukee-48-22-7213-Aluminum-Wrench-POWERLENGTH/dp/B09VQ6CYDG/ref=sr_1_4?keywords=Milwaukee+48-22-7214+14%22+Aluminum+Pipe+Wrench&amp;qid=1695174078&amp;sr=8-4")</f>
        <v>https://www.amazon.com/Milwaukee-48-22-7213-Aluminum-Wrench-POWERLENGTH/dp/B09VQ6CYDG/ref=sr_1_4?keywords=Milwaukee+48-22-7214+14%22+Aluminum+Pipe+Wrench&amp;qid=1695174078&amp;sr=8-4</v>
      </c>
      <c r="F5314" t="s">
        <v>3517</v>
      </c>
      <c r="G5314" t="e">
        <f ca="1">_xludf.IMAGE("https://edmondsonsupply.com/cdn/shop/products/48-22-7218_2.png?v=1675700722")</f>
        <v>#NAME?</v>
      </c>
      <c r="H5314" t="e">
        <f ca="1">_xludf.IMAGE("https://m.media-amazon.com/images/I/51qzHa1LxNL._AC_UL320_.jpg")</f>
        <v>#NAME?</v>
      </c>
      <c r="I5314" t="s">
        <v>380</v>
      </c>
      <c r="J5314">
        <v>72.36</v>
      </c>
      <c r="K5314" s="4">
        <v>0.4481</v>
      </c>
      <c r="L5314">
        <v>5</v>
      </c>
      <c r="M5314">
        <v>6</v>
      </c>
      <c r="O5314" t="s">
        <v>25</v>
      </c>
      <c r="P5314" t="s">
        <v>6766</v>
      </c>
      <c r="Q5314" t="s">
        <v>6767</v>
      </c>
    </row>
    <row r="5315" spans="1:17" ht="15.5" x14ac:dyDescent="0.35">
      <c r="A5315" s="3" t="str">
        <f>HYPERLINK("https://edmondsonsupply.com/collections/electricians-tools/products/milwaukee-48-22-7212-12-aluminum-pipe-wrench", "https://edmondsonsupply.com/collections/electricians-tools/products/milwaukee-48-22-7212-12-aluminum-pipe-wrench")</f>
        <v>https://edmondsonsupply.com/collections/electricians-tools/products/milwaukee-48-22-7212-12-aluminum-pipe-wrench</v>
      </c>
      <c r="B5315" s="3" t="str">
        <f>HYPERLINK("https://edmondsonsupply.com/products/milwaukee-48-22-7212-12-aluminum-pipe-wrench", "https://edmondsonsupply.com/products/milwaukee-48-22-7212-12-aluminum-pipe-wrench")</f>
        <v>https://edmondsonsupply.com/products/milwaukee-48-22-7212-12-aluminum-pipe-wrench</v>
      </c>
      <c r="C5315" t="s">
        <v>6760</v>
      </c>
      <c r="D5315" t="s">
        <v>3516</v>
      </c>
      <c r="E5315" s="3" t="str">
        <f>HYPERLINK("https://www.amazon.com/Milwaukee-48-22-7213-Aluminum-Wrench-POWERLENGTH/dp/B09VQ6CYDG/ref=sr_1_3?keywords=Milwaukee+48-22-7212+12%22+Aluminum+Pipe+Wrench&amp;qid=1695174041&amp;sr=8-3", "https://www.amazon.com/Milwaukee-48-22-7213-Aluminum-Wrench-POWERLENGTH/dp/B09VQ6CYDG/ref=sr_1_3?keywords=Milwaukee+48-22-7212+12%22+Aluminum+Pipe+Wrench&amp;qid=1695174041&amp;sr=8-3")</f>
        <v>https://www.amazon.com/Milwaukee-48-22-7213-Aluminum-Wrench-POWERLENGTH/dp/B09VQ6CYDG/ref=sr_1_3?keywords=Milwaukee+48-22-7212+12%22+Aluminum+Pipe+Wrench&amp;qid=1695174041&amp;sr=8-3</v>
      </c>
      <c r="F5315" t="s">
        <v>3517</v>
      </c>
      <c r="G5315" t="e">
        <f ca="1">_xludf.IMAGE("https://edmondsonsupply.com/cdn/shop/products/48-22-7218_2_1.png?v=1680096437")</f>
        <v>#NAME?</v>
      </c>
      <c r="H5315" t="e">
        <f ca="1">_xludf.IMAGE("https://m.media-amazon.com/images/I/51qzHa1LxNL._AC_UL320_.jpg")</f>
        <v>#NAME?</v>
      </c>
      <c r="I5315" t="s">
        <v>380</v>
      </c>
      <c r="J5315">
        <v>72.36</v>
      </c>
      <c r="K5315" s="4">
        <v>0.4481</v>
      </c>
      <c r="L5315">
        <v>5</v>
      </c>
      <c r="M5315">
        <v>6</v>
      </c>
      <c r="O5315" t="s">
        <v>25</v>
      </c>
      <c r="P5315" t="s">
        <v>6763</v>
      </c>
      <c r="Q5315" t="s">
        <v>6764</v>
      </c>
    </row>
    <row r="5316" spans="1:17" ht="15.5" x14ac:dyDescent="0.35">
      <c r="A5316"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5316" s="3" t="str">
        <f>HYPERLINK("https://edmondsonsupply.com/products/fluke-373-true-rms-ac-clamp-meter", "https://edmondsonsupply.com/products/fluke-373-true-rms-ac-clamp-meter")</f>
        <v>https://edmondsonsupply.com/products/fluke-373-true-rms-ac-clamp-meter</v>
      </c>
      <c r="C5316" t="s">
        <v>5826</v>
      </c>
      <c r="D5316" t="s">
        <v>5848</v>
      </c>
      <c r="E5316" s="3" t="str">
        <f>HYPERLINK("https://www.amazon.com/Fluke-True-RMS-Measures-Batteries-Carrying/dp/B017OVC1U4/ref=sr_1_9?keywords=Fluke+373+True-RMS+AC+Clamp+Meter&amp;qid=1695173996&amp;sr=8-9", "https://www.amazon.com/Fluke-True-RMS-Measures-Batteries-Carrying/dp/B017OVC1U4/ref=sr_1_9?keywords=Fluke+373+True-RMS+AC+Clamp+Meter&amp;qid=1695173996&amp;sr=8-9")</f>
        <v>https://www.amazon.com/Fluke-True-RMS-Measures-Batteries-Carrying/dp/B017OVC1U4/ref=sr_1_9?keywords=Fluke+373+True-RMS+AC+Clamp+Meter&amp;qid=1695173996&amp;sr=8-9</v>
      </c>
      <c r="F5316" t="s">
        <v>5849</v>
      </c>
      <c r="G5316" t="e">
        <f ca="1">_xludf.IMAGE("https://edmondsonsupply.com/cdn/shop/files/f-373-01d-1500x1000.webp?v=1689369435")</f>
        <v>#NAME?</v>
      </c>
      <c r="H5316" t="e">
        <f ca="1">_xludf.IMAGE("https://m.media-amazon.com/images/I/71-9RICQeuL._AC_UY218_.jpg")</f>
        <v>#NAME?</v>
      </c>
      <c r="I5316" t="s">
        <v>5829</v>
      </c>
      <c r="J5316">
        <v>420</v>
      </c>
      <c r="K5316" s="4">
        <v>0.44800000000000001</v>
      </c>
      <c r="L5316">
        <v>4.8</v>
      </c>
      <c r="M5316">
        <v>283</v>
      </c>
      <c r="O5316" t="s">
        <v>25</v>
      </c>
      <c r="P5316" t="s">
        <v>138</v>
      </c>
      <c r="Q5316" t="s">
        <v>5830</v>
      </c>
    </row>
    <row r="5317" spans="1:17" ht="15.5" x14ac:dyDescent="0.35">
      <c r="A5317"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5317"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5317" t="s">
        <v>2344</v>
      </c>
      <c r="D5317" t="s">
        <v>3243</v>
      </c>
      <c r="E5317" s="3" t="str">
        <f>HYPERLINK("https://www.amazon.com/Journeyman-T-Handle-Klein-Tools-JTH6E14BE/dp/B004QW1IC2/ref=sr_1_2?keywords=Klein+Tools+JTH6E14+5%2F16-Inch+Hex+Key+with+Journeyman+T-Handle%2C+6-Inch&amp;qid=1695173855&amp;sr=8-2", "https://www.amazon.com/Journeyman-T-Handle-Klein-Tools-JTH6E14BE/dp/B004QW1IC2/ref=sr_1_2?keywords=Klein+Tools+JTH6E14+5%2F16-Inch+Hex+Key+with+Journeyman+T-Handle%2C+6-Inch&amp;qid=1695173855&amp;sr=8-2")</f>
        <v>https://www.amazon.com/Journeyman-T-Handle-Klein-Tools-JTH6E14BE/dp/B004QW1IC2/ref=sr_1_2?keywords=Klein+Tools+JTH6E14+5%2F16-Inch+Hex+Key+with+Journeyman+T-Handle%2C+6-Inch&amp;qid=1695173855&amp;sr=8-2</v>
      </c>
      <c r="F5317" t="s">
        <v>3244</v>
      </c>
      <c r="G5317" t="e">
        <f ca="1">_xludf.IMAGE("https://edmondsonsupply.com/cdn/shop/products/jth6e15.jpg?v=1587148489")</f>
        <v>#NAME?</v>
      </c>
      <c r="H5317" t="e">
        <f ca="1">_xludf.IMAGE("https://m.media-amazon.com/images/I/51f9vBFVXgL._AC_UL320_.jpg")</f>
        <v>#NAME?</v>
      </c>
      <c r="I5317" t="s">
        <v>2347</v>
      </c>
      <c r="J5317">
        <v>10.11</v>
      </c>
      <c r="K5317" s="4">
        <v>0.44640000000000002</v>
      </c>
      <c r="L5317">
        <v>4.8</v>
      </c>
      <c r="M5317">
        <v>456</v>
      </c>
      <c r="O5317" t="s">
        <v>25</v>
      </c>
      <c r="P5317" t="s">
        <v>1140</v>
      </c>
      <c r="Q5317" t="s">
        <v>2348</v>
      </c>
    </row>
    <row r="5318" spans="1:17" ht="15.5" x14ac:dyDescent="0.35">
      <c r="A5318"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5318"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5318" t="s">
        <v>6425</v>
      </c>
      <c r="D5318" t="s">
        <v>4313</v>
      </c>
      <c r="E5318" s="3" t="str">
        <f>HYPERLINK("https://www.amazon.com/Klein-Tools-80097-Beginner-3-Piece/dp/B0B7Z178B1/ref=sr_1_5?keywords=Klein+Tools+ET45VP+AC%2FDC+Voltage+and+GFCI+Receptacle+Outlet+Test+Kit&amp;qid=1695174178&amp;sr=8-5", "https://www.amazon.com/Klein-Tools-80097-Beginner-3-Piece/dp/B0B7Z178B1/ref=sr_1_5?keywords=Klein+Tools+ET45VP+AC%2FDC+Voltage+and+GFCI+Receptacle+Outlet+Test+Kit&amp;qid=1695174178&amp;sr=8-5")</f>
        <v>https://www.amazon.com/Klein-Tools-80097-Beginner-3-Piece/dp/B0B7Z178B1/ref=sr_1_5?keywords=Klein+Tools+ET45VP+AC%2FDC+Voltage+and+GFCI+Receptacle+Outlet+Test+Kit&amp;qid=1695174178&amp;sr=8-5</v>
      </c>
      <c r="F5318" t="s">
        <v>4314</v>
      </c>
      <c r="G5318" t="e">
        <f ca="1">_xludf.IMAGE("https://edmondsonsupply.com/cdn/shop/products/et45vp.jpg?v=1660755922")</f>
        <v>#NAME?</v>
      </c>
      <c r="H5318" t="e">
        <f ca="1">_xludf.IMAGE("https://m.media-amazon.com/images/I/51TWbZ0INyL._AC_UL320_.jpg")</f>
        <v>#NAME?</v>
      </c>
      <c r="I5318" t="s">
        <v>2586</v>
      </c>
      <c r="J5318">
        <v>25.99</v>
      </c>
      <c r="K5318" s="4">
        <v>0.44629999999999997</v>
      </c>
      <c r="L5318">
        <v>4.5999999999999996</v>
      </c>
      <c r="M5318">
        <v>121</v>
      </c>
      <c r="O5318" t="s">
        <v>25</v>
      </c>
      <c r="P5318" t="s">
        <v>6426</v>
      </c>
      <c r="Q5318" t="s">
        <v>6427</v>
      </c>
    </row>
    <row r="5319" spans="1:17" ht="15.5" x14ac:dyDescent="0.35">
      <c r="A5319"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5319" s="3" t="str">
        <f>HYPERLINK("https://edmondsonsupply.com/products/klein-tools-630-3-8-3-8-inch-nut-driver-with-3-inch-hollow-shaft", "https://edmondsonsupply.com/products/klein-tools-630-3-8-3-8-inch-nut-driver-with-3-inch-hollow-shaft")</f>
        <v>https://edmondsonsupply.com/products/klein-tools-630-3-8-3-8-inch-nut-driver-with-3-inch-hollow-shaft</v>
      </c>
      <c r="C5319" t="s">
        <v>6150</v>
      </c>
      <c r="D5319" t="s">
        <v>7173</v>
      </c>
      <c r="E5319" s="3" t="str">
        <f>HYPERLINK("https://www.amazon.com/8-Inch-Heavy-Duty-Driver-Klein-Tools/dp/B01D6E8NSM/ref=sr_1_7?keywords=Klein+Tools+630-3%2F8+3%2F8-Inch+Nut+Driver+with+3-Inch+Hollow+Shaft&amp;qid=1695174289&amp;sr=8-7", "https://www.amazon.com/8-Inch-Heavy-Duty-Driver-Klein-Tools/dp/B01D6E8NSM/ref=sr_1_7?keywords=Klein+Tools+630-3%2F8+3%2F8-Inch+Nut+Driver+with+3-Inch+Hollow+Shaft&amp;qid=1695174289&amp;sr=8-7")</f>
        <v>https://www.amazon.com/8-Inch-Heavy-Duty-Driver-Klein-Tools/dp/B01D6E8NSM/ref=sr_1_7?keywords=Klein+Tools+630-3%2F8+3%2F8-Inch+Nut+Driver+with+3-Inch+Hollow+Shaft&amp;qid=1695174289&amp;sr=8-7</v>
      </c>
      <c r="F5319" t="s">
        <v>7174</v>
      </c>
      <c r="G5319" t="e">
        <f ca="1">_xludf.IMAGE("https://edmondsonsupply.com/cdn/shop/products/630-1-2_e23f9fbd-a282-44d7-b743-2cfe0f84edfa.jpg?v=1633030906")</f>
        <v>#NAME?</v>
      </c>
      <c r="H5319" t="e">
        <f ca="1">_xludf.IMAGE("https://m.media-amazon.com/images/I/41Iii738a4L._AC_UL320_.jpg")</f>
        <v>#NAME?</v>
      </c>
      <c r="I5319" t="s">
        <v>924</v>
      </c>
      <c r="J5319">
        <v>12.99</v>
      </c>
      <c r="K5319" s="4">
        <v>0.44490000000000002</v>
      </c>
      <c r="L5319">
        <v>4.7</v>
      </c>
      <c r="M5319">
        <v>91</v>
      </c>
      <c r="O5319" t="s">
        <v>25</v>
      </c>
      <c r="P5319" t="s">
        <v>6153</v>
      </c>
      <c r="Q5319" t="s">
        <v>6154</v>
      </c>
    </row>
    <row r="5320" spans="1:17" ht="15.5" x14ac:dyDescent="0.35">
      <c r="A5320"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5320" s="3" t="str">
        <f>HYPERLINK("https://edmondsonsupply.com/products/klein-tools-60401-hard-hat-vented-full-brim-style", "https://edmondsonsupply.com/products/klein-tools-60401-hard-hat-vented-full-brim-style")</f>
        <v>https://edmondsonsupply.com/products/klein-tools-60401-hard-hat-vented-full-brim-style</v>
      </c>
      <c r="C5320" t="s">
        <v>943</v>
      </c>
      <c r="D5320" t="s">
        <v>998</v>
      </c>
      <c r="E5320" s="3" t="str">
        <f>HYPERLINK("https://www.amazon.com/Klein-Tools-Headlamp-Multi-point-Adjustment/dp/B08KGCJDG8/ref=sr_1_5?keywords=Klein+Tools+60401+Hard+Hat%2C+Vented%2C+Full+Brim+Style&amp;qid=1695173946&amp;sr=8-5", "https://www.amazon.com/Klein-Tools-Headlamp-Multi-point-Adjustment/dp/B08KGCJDG8/ref=sr_1_5?keywords=Klein+Tools+60401+Hard+Hat%2C+Vented%2C+Full+Brim+Style&amp;qid=1695173946&amp;sr=8-5")</f>
        <v>https://www.amazon.com/Klein-Tools-Headlamp-Multi-point-Adjustment/dp/B08KGCJDG8/ref=sr_1_5?keywords=Klein+Tools+60401+Hard+Hat%2C+Vented%2C+Full+Brim+Style&amp;qid=1695173946&amp;sr=8-5</v>
      </c>
      <c r="F5320" t="s">
        <v>999</v>
      </c>
      <c r="G5320" t="e">
        <f ca="1">_xludf.IMAGE("https://edmondsonsupply.com/cdn/shop/products/60401.jpg?v=1587143271")</f>
        <v>#NAME?</v>
      </c>
      <c r="H5320" t="e">
        <f ca="1">_xludf.IMAGE("https://m.media-amazon.com/images/I/51tnGRYa57L._AC_UL320_.jpg")</f>
        <v>#NAME?</v>
      </c>
      <c r="I5320" t="s">
        <v>946</v>
      </c>
      <c r="J5320">
        <v>64.959999999999994</v>
      </c>
      <c r="K5320" s="4">
        <v>0.44390000000000002</v>
      </c>
      <c r="L5320">
        <v>4.8</v>
      </c>
      <c r="M5320">
        <v>8</v>
      </c>
      <c r="O5320" t="s">
        <v>25</v>
      </c>
      <c r="P5320" t="s">
        <v>947</v>
      </c>
      <c r="Q5320" t="s">
        <v>948</v>
      </c>
    </row>
    <row r="5321" spans="1:17" ht="15.5" x14ac:dyDescent="0.35">
      <c r="A5321"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5321" s="3" t="str">
        <f>HYPERLINK("https://edmondsonsupply.com/products/klein-tools-60401-hard-hat-vented-full-brim-style", "https://edmondsonsupply.com/products/klein-tools-60401-hard-hat-vented-full-brim-style")</f>
        <v>https://edmondsonsupply.com/products/klein-tools-60401-hard-hat-vented-full-brim-style</v>
      </c>
      <c r="C5321" t="s">
        <v>943</v>
      </c>
      <c r="D5321" t="s">
        <v>888</v>
      </c>
      <c r="E5321" s="3" t="str">
        <f>HYPERLINK("https://www.amazon.com/Klein-Tools-Self-Wicking-Odor-Resistant-Sweatband/dp/B0B68NYYM7/ref=sr_1_9?keywords=Klein+Tools+60401+Hard+Hat%2C+Vented%2C+Full+Brim+Style&amp;qid=1695173946&amp;sr=8-9", "https://www.amazon.com/Klein-Tools-Self-Wicking-Odor-Resistant-Sweatband/dp/B0B68NYYM7/ref=sr_1_9?keywords=Klein+Tools+60401+Hard+Hat%2C+Vented%2C+Full+Brim+Style&amp;qid=1695173946&amp;sr=8-9")</f>
        <v>https://www.amazon.com/Klein-Tools-Self-Wicking-Odor-Resistant-Sweatband/dp/B0B68NYYM7/ref=sr_1_9?keywords=Klein+Tools+60401+Hard+Hat%2C+Vented%2C+Full+Brim+Style&amp;qid=1695173946&amp;sr=8-9</v>
      </c>
      <c r="F5321" t="s">
        <v>889</v>
      </c>
      <c r="G5321" t="e">
        <f ca="1">_xludf.IMAGE("https://edmondsonsupply.com/cdn/shop/products/60401.jpg?v=1587143271")</f>
        <v>#NAME?</v>
      </c>
      <c r="H5321" t="e">
        <f ca="1">_xludf.IMAGE("https://m.media-amazon.com/images/I/41IulVK0+jL._AC_UL320_.jpg")</f>
        <v>#NAME?</v>
      </c>
      <c r="I5321" t="s">
        <v>946</v>
      </c>
      <c r="J5321">
        <v>64.959999999999994</v>
      </c>
      <c r="K5321" s="4">
        <v>0.44390000000000002</v>
      </c>
      <c r="L5321">
        <v>4.5</v>
      </c>
      <c r="M5321">
        <v>15</v>
      </c>
      <c r="O5321" t="s">
        <v>25</v>
      </c>
      <c r="P5321" t="s">
        <v>947</v>
      </c>
      <c r="Q5321" t="s">
        <v>948</v>
      </c>
    </row>
    <row r="5322" spans="1:17" ht="15.5" x14ac:dyDescent="0.35">
      <c r="A5322"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5322" s="3" t="str">
        <f>HYPERLINK("https://edmondsonsupply.com/products/klein-tools-630-3-8-3-8-inch-nut-driver-with-3-inch-hollow-shaft", "https://edmondsonsupply.com/products/klein-tools-630-3-8-3-8-inch-nut-driver-with-3-inch-hollow-shaft")</f>
        <v>https://edmondsonsupply.com/products/klein-tools-630-3-8-3-8-inch-nut-driver-with-3-inch-hollow-shaft</v>
      </c>
      <c r="C5322" t="s">
        <v>6150</v>
      </c>
      <c r="D5322" t="s">
        <v>7175</v>
      </c>
      <c r="E5322" s="3" t="str">
        <f>HYPERLINK("https://www.amazon.com/Magnetic-Comfordome-Klein-Tools-S126M/dp/B0009OODZU/ref=sr_1_9?keywords=Klein+Tools+630-3%2F8+3%2F8-Inch+Nut+Driver+with+3-Inch+Hollow+Shaft&amp;qid=1695174289&amp;sr=8-9", "https://www.amazon.com/Magnetic-Comfordome-Klein-Tools-S126M/dp/B0009OODZU/ref=sr_1_9?keywords=Klein+Tools+630-3%2F8+3%2F8-Inch+Nut+Driver+with+3-Inch+Hollow+Shaft&amp;qid=1695174289&amp;sr=8-9")</f>
        <v>https://www.amazon.com/Magnetic-Comfordome-Klein-Tools-S126M/dp/B0009OODZU/ref=sr_1_9?keywords=Klein+Tools+630-3%2F8+3%2F8-Inch+Nut+Driver+with+3-Inch+Hollow+Shaft&amp;qid=1695174289&amp;sr=8-9</v>
      </c>
      <c r="F5322" t="s">
        <v>7176</v>
      </c>
      <c r="G5322" t="e">
        <f ca="1">_xludf.IMAGE("https://edmondsonsupply.com/cdn/shop/products/630-1-2_e23f9fbd-a282-44d7-b743-2cfe0f84edfa.jpg?v=1633030906")</f>
        <v>#NAME?</v>
      </c>
      <c r="H5322" t="e">
        <f ca="1">_xludf.IMAGE("https://m.media-amazon.com/images/I/318IOnHWWJL._AC_UL320_.jpg")</f>
        <v>#NAME?</v>
      </c>
      <c r="I5322" t="s">
        <v>924</v>
      </c>
      <c r="J5322">
        <v>12.97</v>
      </c>
      <c r="K5322" s="4">
        <v>0.44269999999999998</v>
      </c>
      <c r="L5322">
        <v>4.5999999999999996</v>
      </c>
      <c r="M5322">
        <v>231</v>
      </c>
      <c r="O5322" t="s">
        <v>25</v>
      </c>
      <c r="P5322" t="s">
        <v>6153</v>
      </c>
      <c r="Q5322" t="s">
        <v>6154</v>
      </c>
    </row>
    <row r="5323" spans="1:17" ht="15.5" x14ac:dyDescent="0.35">
      <c r="A5323" s="3" t="str">
        <f>HYPERLINK("https://edmondsonsupply.com/collections/electricians-tools/products/klein-tools-60443-reusable-face-mask-filter-replacement-3-pack", "https://edmondsonsupply.com/collections/electricians-tools/products/klein-tools-60443-reusable-face-mask-filter-replacement-3-pack")</f>
        <v>https://edmondsonsupply.com/collections/electricians-tools/products/klein-tools-60443-reusable-face-mask-filter-replacement-3-pack</v>
      </c>
      <c r="B5323" s="3" t="str">
        <f>HYPERLINK("https://edmondsonsupply.com/products/klein-tools-60443-reusable-face-mask-filter-replacement-3-pack", "https://edmondsonsupply.com/products/klein-tools-60443-reusable-face-mask-filter-replacement-3-pack")</f>
        <v>https://edmondsonsupply.com/products/klein-tools-60443-reusable-face-mask-filter-replacement-3-pack</v>
      </c>
      <c r="C5323" t="s">
        <v>1000</v>
      </c>
      <c r="D5323" t="s">
        <v>1001</v>
      </c>
      <c r="E5323" s="3" t="str">
        <f>HYPERLINK("https://www.amazon.com/Klein-Tools-60443-Reusable-Replacement/dp/B08P3SYJ5X/ref=sr_1_1?keywords=Klein+Tools+60443+Reusable+Face+Mask+Filter+Replacement%2C+3-Pack&amp;qid=1695174191&amp;sr=8-1", "https://www.amazon.com/Klein-Tools-60443-Reusable-Replacement/dp/B08P3SYJ5X/ref=sr_1_1?keywords=Klein+Tools+60443+Reusable+Face+Mask+Filter+Replacement%2C+3-Pack&amp;qid=1695174191&amp;sr=8-1")</f>
        <v>https://www.amazon.com/Klein-Tools-60443-Reusable-Replacement/dp/B08P3SYJ5X/ref=sr_1_1?keywords=Klein+Tools+60443+Reusable+Face+Mask+Filter+Replacement%2C+3-Pack&amp;qid=1695174191&amp;sr=8-1</v>
      </c>
      <c r="F5323" t="s">
        <v>1002</v>
      </c>
      <c r="G5323" t="e">
        <f ca="1">_xludf.IMAGE("https://edmondsonsupply.com/cdn/shop/products/60443.jpg?v=1659119117")</f>
        <v>#NAME?</v>
      </c>
      <c r="H5323" t="e">
        <f ca="1">_xludf.IMAGE("https://m.media-amazon.com/images/I/61HSGQnqs9L._AC_UL320_.jpg")</f>
        <v>#NAME?</v>
      </c>
      <c r="I5323" t="s">
        <v>1003</v>
      </c>
      <c r="J5323">
        <v>11.52</v>
      </c>
      <c r="K5323" s="4">
        <v>0.44180000000000003</v>
      </c>
      <c r="L5323">
        <v>4.3</v>
      </c>
      <c r="M5323">
        <v>167</v>
      </c>
      <c r="O5323" t="s">
        <v>25</v>
      </c>
      <c r="P5323" t="s">
        <v>1004</v>
      </c>
      <c r="Q5323" t="s">
        <v>1005</v>
      </c>
    </row>
    <row r="5324" spans="1:17" ht="15.5" x14ac:dyDescent="0.35">
      <c r="A5324" s="3" t="str">
        <f>HYPERLINK("https://edmondsonsupply.com/collections/electricians-tools/products/greenlee-gsb01-1-2-step-bit-1", "https://edmondsonsupply.com/collections/electricians-tools/products/greenlee-gsb01-1-2-step-bit-1")</f>
        <v>https://edmondsonsupply.com/collections/electricians-tools/products/greenlee-gsb01-1-2-step-bit-1</v>
      </c>
      <c r="B5324" s="3" t="str">
        <f>HYPERLINK("https://edmondsonsupply.com/products/greenlee-gsb01-1-2-step-bit-1", "https://edmondsonsupply.com/products/greenlee-gsb01-1-2-step-bit-1")</f>
        <v>https://edmondsonsupply.com/products/greenlee-gsb01-1-2-step-bit-1</v>
      </c>
      <c r="C5324" t="s">
        <v>2319</v>
      </c>
      <c r="D5324" t="s">
        <v>3245</v>
      </c>
      <c r="E5324" s="3" t="str">
        <f>HYPERLINK("https://www.amazon.com/Greenlee-GSB12-Step-Bit-1-3/dp/B08TVF7KMP/ref=sr_1_2?keywords=Greenlee+GSB01+1%2F2%22+Step+Bit+%28%231%29&amp;qid=1695173990&amp;sr=8-2", "https://www.amazon.com/Greenlee-GSB12-Step-Bit-1-3/dp/B08TVF7KMP/ref=sr_1_2?keywords=Greenlee+GSB01+1%2F2%22+Step+Bit+%28%231%29&amp;qid=1695173990&amp;sr=8-2")</f>
        <v>https://www.amazon.com/Greenlee-GSB12-Step-Bit-1-3/dp/B08TVF7KMP/ref=sr_1_2?keywords=Greenlee+GSB01+1%2F2%22+Step+Bit+%28%231%29&amp;qid=1695173990&amp;sr=8-2</v>
      </c>
      <c r="F5324" t="s">
        <v>3246</v>
      </c>
      <c r="G5324" t="e">
        <f ca="1">_xludf.IMAGE("https://edmondsonsupply.com/cdn/shop/files/GSB01_CAT1_72dpi_1.jpg?v=1687790366")</f>
        <v>#NAME?</v>
      </c>
      <c r="H5324" t="e">
        <f ca="1">_xludf.IMAGE("https://m.media-amazon.com/images/I/41Z8kxeeZfL._AC_UY218_.jpg")</f>
        <v>#NAME?</v>
      </c>
      <c r="I5324" t="s">
        <v>2322</v>
      </c>
      <c r="J5324">
        <v>45</v>
      </c>
      <c r="K5324" s="4">
        <v>0.44140000000000001</v>
      </c>
      <c r="L5324">
        <v>4.8</v>
      </c>
      <c r="M5324">
        <v>27</v>
      </c>
      <c r="O5324" t="s">
        <v>25</v>
      </c>
      <c r="P5324" t="s">
        <v>138</v>
      </c>
      <c r="Q5324" t="s">
        <v>2323</v>
      </c>
    </row>
    <row r="5325" spans="1:17" ht="15.5" x14ac:dyDescent="0.35">
      <c r="A5325" s="3" t="str">
        <f>HYPERLINK("https://edmondsonsupply.com/collections/electricians-tools/products/klein-tools-650-cushion-grip-scratch-awl", "https://edmondsonsupply.com/collections/electricians-tools/products/klein-tools-650-cushion-grip-scratch-awl")</f>
        <v>https://edmondsonsupply.com/collections/electricians-tools/products/klein-tools-650-cushion-grip-scratch-awl</v>
      </c>
      <c r="B5325" s="3" t="str">
        <f>HYPERLINK("https://edmondsonsupply.com/products/klein-tools-650-cushion-grip-scratch-awl", "https://edmondsonsupply.com/products/klein-tools-650-cushion-grip-scratch-awl")</f>
        <v>https://edmondsonsupply.com/products/klein-tools-650-cushion-grip-scratch-awl</v>
      </c>
      <c r="C5325" t="s">
        <v>7177</v>
      </c>
      <c r="D5325" t="s">
        <v>4477</v>
      </c>
      <c r="E5325" s="3" t="str">
        <f>HYPERLINK("https://www.amazon.com/Demolition-Scratch-Klein-Tools-650DD/dp/B00LUBVL9C/ref=sr_1_3?keywords=Klein+Tools+650+Cushion-Grip+Scratch+Awl&amp;qid=1695174325&amp;sr=8-3", "https://www.amazon.com/Demolition-Scratch-Klein-Tools-650DD/dp/B00LUBVL9C/ref=sr_1_3?keywords=Klein+Tools+650+Cushion-Grip+Scratch+Awl&amp;qid=1695174325&amp;sr=8-3")</f>
        <v>https://www.amazon.com/Demolition-Scratch-Klein-Tools-650DD/dp/B00LUBVL9C/ref=sr_1_3?keywords=Klein+Tools+650+Cushion-Grip+Scratch+Awl&amp;qid=1695174325&amp;sr=8-3</v>
      </c>
      <c r="F5325" t="s">
        <v>4478</v>
      </c>
      <c r="G5325" t="e">
        <f ca="1">_xludf.IMAGE("https://edmondsonsupply.com/cdn/shop/products/650.jpg?v=1633030813")</f>
        <v>#NAME?</v>
      </c>
      <c r="H5325" t="e">
        <f ca="1">_xludf.IMAGE("https://m.media-amazon.com/images/I/41Rko-I--ML._AC_UL320_.jpg")</f>
        <v>#NAME?</v>
      </c>
      <c r="I5325" t="s">
        <v>6632</v>
      </c>
      <c r="J5325">
        <v>17.989999999999998</v>
      </c>
      <c r="K5325" s="4">
        <v>0.44040000000000001</v>
      </c>
      <c r="L5325">
        <v>4.7</v>
      </c>
      <c r="M5325">
        <v>362</v>
      </c>
      <c r="O5325" t="s">
        <v>25</v>
      </c>
      <c r="P5325" t="s">
        <v>2328</v>
      </c>
      <c r="Q5325" t="s">
        <v>7178</v>
      </c>
    </row>
    <row r="5326" spans="1:17" ht="15.5" x14ac:dyDescent="0.35">
      <c r="A5326" s="3" t="str">
        <f>HYPERLINK("https://edmondsonsupply.com/collections/electricians-tools/products/diablo-tools-dmamm1030-3-16-in-x-4-in-x-6-in-multi-material-carbide-tipped-hammer-drill-bit", "https://edmondsonsupply.com/collections/electricians-tools/products/diablo-tools-dmamm1030-3-16-in-x-4-in-x-6-in-multi-material-carbide-tipped-hammer-drill-bit")</f>
        <v>https://edmondsonsupply.com/collections/electricians-tools/products/diablo-tools-dmamm1030-3-16-in-x-4-in-x-6-in-multi-material-carbide-tipped-hammer-drill-bit</v>
      </c>
      <c r="B5326" s="3" t="str">
        <f>HYPERLINK("https://edmondsonsupply.com/products/diablo-tools-dmamm1030-3-16-in-x-4-in-x-6-in-multi-material-carbide-tipped-hammer-drill-bit", "https://edmondsonsupply.com/products/diablo-tools-dmamm1030-3-16-in-x-4-in-x-6-in-multi-material-carbide-tipped-hammer-drill-bit")</f>
        <v>https://edmondsonsupply.com/products/diablo-tools-dmamm1030-3-16-in-x-4-in-x-6-in-multi-material-carbide-tipped-hammer-drill-bit</v>
      </c>
      <c r="C5326" t="s">
        <v>6990</v>
      </c>
      <c r="D5326" t="s">
        <v>7179</v>
      </c>
      <c r="E5326" s="3" t="str">
        <f>HYPERLINK("https://www.amazon.com/Diablo-Carbide-Concrete-Anchor-Hammer/dp/B089KWDK51/ref=sr_1_3?keywords=Diablo+Tools+DMAMM1030+3%2F16+in.+x+4+in.+x+6+in.+Multi-Material+Carbide+Tipped+Hammer+Drill+Bit&amp;qid=1695174028&amp;sr=8-3", "https://www.amazon.com/Diablo-Carbide-Concrete-Anchor-Hammer/dp/B089KWDK51/ref=sr_1_3?keywords=Diablo+Tools+DMAMM1030+3%2F16+in.+x+4+in.+x+6+in.+Multi-Material+Carbide+Tipped+Hammer+Drill+Bit&amp;qid=1695174028&amp;sr=8-3")</f>
        <v>https://www.amazon.com/Diablo-Carbide-Concrete-Anchor-Hammer/dp/B089KWDK51/ref=sr_1_3?keywords=Diablo+Tools+DMAMM1030+3%2F16+in.+x+4+in.+x+6+in.+Multi-Material+Carbide+Tipped+Hammer+Drill+Bit&amp;qid=1695174028&amp;sr=8-3</v>
      </c>
      <c r="F5326" t="s">
        <v>7180</v>
      </c>
      <c r="G5326" t="e">
        <f ca="1">_xludf.IMAGE("https://edmondsonsupply.com/cdn/shop/products/o0c0wf8feit5uxkyh0x8.webp?v=1680186241")</f>
        <v>#NAME?</v>
      </c>
      <c r="H5326" t="e">
        <f ca="1">_xludf.IMAGE("https://m.media-amazon.com/images/I/61VCLLn-a7L._AC_UL320_.jpg")</f>
        <v>#NAME?</v>
      </c>
      <c r="I5326" t="s">
        <v>6991</v>
      </c>
      <c r="J5326">
        <v>9.99</v>
      </c>
      <c r="K5326" s="4">
        <v>0.43330000000000002</v>
      </c>
      <c r="L5326">
        <v>3</v>
      </c>
      <c r="M5326">
        <v>1</v>
      </c>
      <c r="O5326" t="s">
        <v>25</v>
      </c>
      <c r="P5326" t="s">
        <v>138</v>
      </c>
      <c r="Q5326" t="s">
        <v>6992</v>
      </c>
    </row>
    <row r="5327" spans="1:17" ht="15.5" x14ac:dyDescent="0.35">
      <c r="A5327" s="3" t="str">
        <f>HYPERLINK("https://edmondsonsupply.com/collections/electricians-tools/products/supco-ecmpro-ecm-universal-tester", "https://edmondsonsupply.com/collections/electricians-tools/products/supco-ecmpro-ecm-universal-tester")</f>
        <v>https://edmondsonsupply.com/collections/electricians-tools/products/supco-ecmpro-ecm-universal-tester</v>
      </c>
      <c r="B5327" s="3" t="str">
        <f>HYPERLINK("https://edmondsonsupply.com/products/supco-ecmpro-ecm-universal-tester", "https://edmondsonsupply.com/products/supco-ecmpro-ecm-universal-tester")</f>
        <v>https://edmondsonsupply.com/products/supco-ecmpro-ecm-universal-tester</v>
      </c>
      <c r="C5327" t="s">
        <v>3260</v>
      </c>
      <c r="D5327" t="s">
        <v>3261</v>
      </c>
      <c r="E5327" s="3" t="str">
        <f>HYPERLINK("https://www.amazon.com/Airstar-Supply-ECMPRO-Universal-Tester/dp/B08NXWDYMV/ref=sr_1_2?keywords=Supco+ECMPRO+ECM+Universal+Tester&amp;qid=1695173845&amp;sr=8-2", "https://www.amazon.com/Airstar-Supply-ECMPRO-Universal-Tester/dp/B08NXWDYMV/ref=sr_1_2?keywords=Supco+ECMPRO+ECM+Universal+Tester&amp;qid=1695173845&amp;sr=8-2")</f>
        <v>https://www.amazon.com/Airstar-Supply-ECMPRO-Universal-Tester/dp/B08NXWDYMV/ref=sr_1_2?keywords=Supco+ECMPRO+ECM+Universal+Tester&amp;qid=1695173845&amp;sr=8-2</v>
      </c>
      <c r="F5327" t="s">
        <v>3262</v>
      </c>
      <c r="G5327" t="e">
        <f ca="1">_xludf.IMAGE("https://edmondsonsupply.com/cdn/shop/products/ECMPRO_L.png?v=1587142591")</f>
        <v>#NAME?</v>
      </c>
      <c r="H5327" t="e">
        <f ca="1">_xludf.IMAGE("https://m.media-amazon.com/images/I/41umt7JlOeL._AC_UY218_.jpg")</f>
        <v>#NAME?</v>
      </c>
      <c r="I5327" t="s">
        <v>3263</v>
      </c>
      <c r="J5327">
        <v>75.55</v>
      </c>
      <c r="K5327" s="4">
        <v>0.43280000000000002</v>
      </c>
      <c r="L5327">
        <v>4.5999999999999996</v>
      </c>
      <c r="M5327">
        <v>92</v>
      </c>
      <c r="O5327" t="s">
        <v>25</v>
      </c>
      <c r="P5327" t="s">
        <v>138</v>
      </c>
      <c r="Q5327" t="s">
        <v>3264</v>
      </c>
    </row>
    <row r="5328" spans="1:17" ht="15.5" x14ac:dyDescent="0.35">
      <c r="A5328" s="3" t="str">
        <f>HYPERLINK("https://edmondsonsupply.com/collections/electricians-tools/products/diablo-tools-dag", "https://edmondsonsupply.com/collections/electricians-tools/products/diablo-tools-dag")</f>
        <v>https://edmondsonsupply.com/collections/electricians-tools/products/diablo-tools-dag</v>
      </c>
      <c r="B5328" s="3" t="str">
        <f>HYPERLINK("https://edmondsonsupply.com/products/diablo-tools-dag", "https://edmondsonsupply.com/products/diablo-tools-dag")</f>
        <v>https://edmondsonsupply.com/products/diablo-tools-dag</v>
      </c>
      <c r="C5328" t="s">
        <v>6819</v>
      </c>
      <c r="D5328" t="s">
        <v>7181</v>
      </c>
      <c r="E5328" s="3" t="str">
        <f>HYPERLINK("https://www.amazon.com/Diablo-17-1-Auger-Bit/dp/B089LHKRPP/ref=sr_1_5?keywords=Diablo+Tools+DAG3010+3%2F8+in.+x+17-1%2F2+in.+Auger+Bit&amp;qid=1695174114&amp;sr=8-5", "https://www.amazon.com/Diablo-17-1-Auger-Bit/dp/B089LHKRPP/ref=sr_1_5?keywords=Diablo+Tools+DAG3010+3%2F8+in.+x+17-1%2F2+in.+Auger+Bit&amp;qid=1695174114&amp;sr=8-5")</f>
        <v>https://www.amazon.com/Diablo-17-1-Auger-Bit/dp/B089LHKRPP/ref=sr_1_5?keywords=Diablo+Tools+DAG3010+3%2F8+in.+x+17-1%2F2+in.+Auger+Bit&amp;qid=1695174114&amp;sr=8-5</v>
      </c>
      <c r="F5328" t="s">
        <v>7182</v>
      </c>
      <c r="G5328" t="e">
        <f ca="1">_xludf.IMAGE("https://edmondsonsupply.com/cdn/shop/products/xfctdbahz5wx3g461fm8.webp?v=1669991052")</f>
        <v>#NAME?</v>
      </c>
      <c r="H5328" t="e">
        <f ca="1">_xludf.IMAGE("https://m.media-amazon.com/images/I/61aMNURt08L._AC_UL320_.jpg")</f>
        <v>#NAME?</v>
      </c>
      <c r="I5328" t="s">
        <v>5147</v>
      </c>
      <c r="J5328">
        <v>25</v>
      </c>
      <c r="K5328" s="4">
        <v>0.43099999999999999</v>
      </c>
      <c r="L5328">
        <v>4.5999999999999996</v>
      </c>
      <c r="M5328">
        <v>61</v>
      </c>
      <c r="O5328" t="s">
        <v>25</v>
      </c>
      <c r="P5328" t="s">
        <v>6822</v>
      </c>
      <c r="Q5328" t="s">
        <v>6823</v>
      </c>
    </row>
    <row r="5329" spans="1:17" ht="15.5" x14ac:dyDescent="0.35">
      <c r="A5329" s="3" t="str">
        <f>HYPERLINK("https://edmondsonsupply.com/collections/electricians-tools/products/klein-tools-50550-glow-in-the-dark-fish-tape-20-foot", "https://edmondsonsupply.com/collections/electricians-tools/products/klein-tools-50550-glow-in-the-dark-fish-tape-20-foot")</f>
        <v>https://edmondsonsupply.com/collections/electricians-tools/products/klein-tools-50550-glow-in-the-dark-fish-tape-20-foot</v>
      </c>
      <c r="B5329" s="3" t="str">
        <f>HYPERLINK("https://edmondsonsupply.com/products/klein-tools-50550-glow-in-the-dark-fish-tape-20-foot", "https://edmondsonsupply.com/products/klein-tools-50550-glow-in-the-dark-fish-tape-20-foot")</f>
        <v>https://edmondsonsupply.com/products/klein-tools-50550-glow-in-the-dark-fish-tape-20-foot</v>
      </c>
      <c r="C5329" t="s">
        <v>7183</v>
      </c>
      <c r="D5329" t="s">
        <v>6141</v>
      </c>
      <c r="E5329" s="3" t="str">
        <f>HYPERLINK("https://www.amazon.com/Illuminated-Attachments-Klein-Tools-80050/dp/B09FRBGCZD/ref=sr_1_3?keywords=Klein+Tools+50550+Glow+in+the+Dark+Fish+Tape%2C+20-Foot&amp;qid=1695174211&amp;sr=8-3", "https://www.amazon.com/Illuminated-Attachments-Klein-Tools-80050/dp/B09FRBGCZD/ref=sr_1_3?keywords=Klein+Tools+50550+Glow+in+the+Dark+Fish+Tape%2C+20-Foot&amp;qid=1695174211&amp;sr=8-3")</f>
        <v>https://www.amazon.com/Illuminated-Attachments-Klein-Tools-80050/dp/B09FRBGCZD/ref=sr_1_3?keywords=Klein+Tools+50550+Glow+in+the+Dark+Fish+Tape%2C+20-Foot&amp;qid=1695174211&amp;sr=8-3</v>
      </c>
      <c r="F5329" t="s">
        <v>6142</v>
      </c>
      <c r="G5329" t="e">
        <f ca="1">_xludf.IMAGE("https://edmondsonsupply.com/cdn/shop/products/50550_c.jpg?v=1650066147")</f>
        <v>#NAME?</v>
      </c>
      <c r="H5329" t="e">
        <f ca="1">_xludf.IMAGE("https://m.media-amazon.com/images/I/51K8WFeudSL._AC_UL320_.jpg")</f>
        <v>#NAME?</v>
      </c>
      <c r="I5329" t="s">
        <v>340</v>
      </c>
      <c r="J5329">
        <v>49.99</v>
      </c>
      <c r="K5329" s="4">
        <v>0.42949999999999999</v>
      </c>
      <c r="L5329">
        <v>4.3</v>
      </c>
      <c r="M5329">
        <v>22</v>
      </c>
      <c r="O5329" t="s">
        <v>25</v>
      </c>
      <c r="P5329" t="s">
        <v>7184</v>
      </c>
      <c r="Q5329" t="s">
        <v>7185</v>
      </c>
    </row>
    <row r="5330" spans="1:17" ht="15.5" x14ac:dyDescent="0.35">
      <c r="A5330"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330" s="3" t="str">
        <f>HYPERLINK("https://edmondsonsupply.com/products/klein-tools-11053-klein-kurve%c2%ae-wire-stripper-cutter", "https://edmondsonsupply.com/products/klein-tools-11053-klein-kurve%c2%ae-wire-stripper-cutter")</f>
        <v>https://edmondsonsupply.com/products/klein-tools-11053-klein-kurve%c2%ae-wire-stripper-cutter</v>
      </c>
      <c r="C5330" t="s">
        <v>2285</v>
      </c>
      <c r="D5330" t="s">
        <v>3269</v>
      </c>
      <c r="E5330" s="3" t="str">
        <f>HYPERLINK("https://www.amazon.com/Cutter-Stripper-Klein-Tools-K1412/dp/B000F9HIEC/ref=sr_1_10?keywords=Klein+Tools+11053+Klein-Kurve%C2%AE+Wire+Stripper%2FCutter&amp;qid=1695173869&amp;sr=8-10", "https://www.amazon.com/Cutter-Stripper-Klein-Tools-K1412/dp/B000F9HIEC/ref=sr_1_10?keywords=Klein+Tools+11053+Klein-Kurve%C2%AE+Wire+Stripper%2FCutter&amp;qid=1695173869&amp;sr=8-10")</f>
        <v>https://www.amazon.com/Cutter-Stripper-Klein-Tools-K1412/dp/B000F9HIEC/ref=sr_1_10?keywords=Klein+Tools+11053+Klein-Kurve%C2%AE+Wire+Stripper%2FCutter&amp;qid=1695173869&amp;sr=8-10</v>
      </c>
      <c r="F5330" t="s">
        <v>3270</v>
      </c>
      <c r="G5330" t="e">
        <f ca="1">_xludf.IMAGE("https://edmondsonsupply.com/cdn/shop/products/11053.jpg?v=1633030511")</f>
        <v>#NAME?</v>
      </c>
      <c r="H5330" t="e">
        <f ca="1">_xludf.IMAGE("https://m.media-amazon.com/images/I/41sdPMsHXcL._AC_UL320_.jpg")</f>
        <v>#NAME?</v>
      </c>
      <c r="I5330" t="s">
        <v>2288</v>
      </c>
      <c r="J5330">
        <v>29.97</v>
      </c>
      <c r="K5330" s="4">
        <v>0.42920000000000003</v>
      </c>
      <c r="L5330">
        <v>4.8</v>
      </c>
      <c r="M5330">
        <v>1850</v>
      </c>
      <c r="O5330" t="s">
        <v>25</v>
      </c>
      <c r="P5330" t="s">
        <v>2289</v>
      </c>
      <c r="Q5330" t="s">
        <v>2290</v>
      </c>
    </row>
    <row r="5331" spans="1:17" ht="15.5" x14ac:dyDescent="0.35">
      <c r="A5331"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5331"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5331" t="s">
        <v>6753</v>
      </c>
      <c r="D5331" t="s">
        <v>3271</v>
      </c>
      <c r="E5331" s="3" t="str">
        <f>HYPERLINK("https://www.amazon.com/Klein-Tools-11055RINS-Insulated-Stripper/dp/B0BFZBQ9XF/ref=sr_1_9?keywords=Klein+Tools+K11095+Klein-Kurve%C2%AE+Wire+Stripper+%2F+Cutter%2C+8-20+AWG&amp;qid=1695174173&amp;sr=8-9", "https://www.amazon.com/Klein-Tools-11055RINS-Insulated-Stripper/dp/B0BFZBQ9XF/ref=sr_1_9?keywords=Klein+Tools+K11095+Klein-Kurve%C2%AE+Wire+Stripper+%2F+Cutter%2C+8-20+AWG&amp;qid=1695174173&amp;sr=8-9")</f>
        <v>https://www.amazon.com/Klein-Tools-11055RINS-Insulated-Stripper/dp/B0BFZBQ9XF/ref=sr_1_9?keywords=Klein+Tools+K11095+Klein-Kurve%C2%AE+Wire+Stripper+%2F+Cutter%2C+8-20+AWG&amp;qid=1695174173&amp;sr=8-9</v>
      </c>
      <c r="F5331" t="s">
        <v>3272</v>
      </c>
      <c r="G5331" t="e">
        <f ca="1">_xludf.IMAGE("https://edmondsonsupply.com/cdn/shop/products/k11095_b_front_vertical.jpg?v=1661364611")</f>
        <v>#NAME?</v>
      </c>
      <c r="H5331" t="e">
        <f ca="1">_xludf.IMAGE("https://m.media-amazon.com/images/I/41Pemveg6bL._AC_UL320_.jpg")</f>
        <v>#NAME?</v>
      </c>
      <c r="I5331" t="s">
        <v>2288</v>
      </c>
      <c r="J5331">
        <v>29.97</v>
      </c>
      <c r="K5331" s="4">
        <v>0.42920000000000003</v>
      </c>
      <c r="L5331">
        <v>4.5999999999999996</v>
      </c>
      <c r="M5331">
        <v>55</v>
      </c>
      <c r="O5331" t="s">
        <v>25</v>
      </c>
      <c r="P5331" t="s">
        <v>6525</v>
      </c>
      <c r="Q5331" t="s">
        <v>6754</v>
      </c>
    </row>
    <row r="5332" spans="1:17" ht="15.5" x14ac:dyDescent="0.35">
      <c r="A5332"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332" s="3" t="str">
        <f>HYPERLINK("https://edmondsonsupply.com/products/klein-tools-11053-klein-kurve%c2%ae-wire-stripper-cutter", "https://edmondsonsupply.com/products/klein-tools-11053-klein-kurve%c2%ae-wire-stripper-cutter")</f>
        <v>https://edmondsonsupply.com/products/klein-tools-11053-klein-kurve%c2%ae-wire-stripper-cutter</v>
      </c>
      <c r="C5332" t="s">
        <v>2285</v>
      </c>
      <c r="D5332" t="s">
        <v>3271</v>
      </c>
      <c r="E5332" s="3" t="str">
        <f>HYPERLINK("https://www.amazon.com/Klein-Tools-11055RINS-Insulated-Stripper/dp/B0BFZBQ9XF/ref=sr_1_9?keywords=Klein+Tools+11053+Klein-Kurve%C2%AE+Wire+Stripper%2FCutter&amp;qid=1695173869&amp;sr=8-9", "https://www.amazon.com/Klein-Tools-11055RINS-Insulated-Stripper/dp/B0BFZBQ9XF/ref=sr_1_9?keywords=Klein+Tools+11053+Klein-Kurve%C2%AE+Wire+Stripper%2FCutter&amp;qid=1695173869&amp;sr=8-9")</f>
        <v>https://www.amazon.com/Klein-Tools-11055RINS-Insulated-Stripper/dp/B0BFZBQ9XF/ref=sr_1_9?keywords=Klein+Tools+11053+Klein-Kurve%C2%AE+Wire+Stripper%2FCutter&amp;qid=1695173869&amp;sr=8-9</v>
      </c>
      <c r="F5332" t="s">
        <v>3272</v>
      </c>
      <c r="G5332" t="e">
        <f ca="1">_xludf.IMAGE("https://edmondsonsupply.com/cdn/shop/products/11053.jpg?v=1633030511")</f>
        <v>#NAME?</v>
      </c>
      <c r="H5332" t="e">
        <f ca="1">_xludf.IMAGE("https://m.media-amazon.com/images/I/41Pemveg6bL._AC_UL320_.jpg")</f>
        <v>#NAME?</v>
      </c>
      <c r="I5332" t="s">
        <v>2288</v>
      </c>
      <c r="J5332">
        <v>29.97</v>
      </c>
      <c r="K5332" s="4">
        <v>0.42920000000000003</v>
      </c>
      <c r="L5332">
        <v>4.5999999999999996</v>
      </c>
      <c r="M5332">
        <v>55</v>
      </c>
      <c r="O5332" t="s">
        <v>25</v>
      </c>
      <c r="P5332" t="s">
        <v>2289</v>
      </c>
      <c r="Q5332" t="s">
        <v>2290</v>
      </c>
    </row>
    <row r="5333" spans="1:17" ht="15.5" x14ac:dyDescent="0.35">
      <c r="A5333"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5333"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5333" t="s">
        <v>6753</v>
      </c>
      <c r="D5333" t="s">
        <v>5178</v>
      </c>
      <c r="E5333" s="3" t="str">
        <f>HYPERLINK("https://www.amazon.com/Stripper-Electrical-Klein-Tools-11063W/dp/B00BC39YFQ/ref=sr_1_10?keywords=Klein+Tools+K11095+Klein-Kurve%C2%AE+Wire+Stripper+%2F+Cutter%2C+8-20+AWG&amp;qid=1695174173&amp;sr=8-10", "https://www.amazon.com/Stripper-Electrical-Klein-Tools-11063W/dp/B00BC39YFQ/ref=sr_1_10?keywords=Klein+Tools+K11095+Klein-Kurve%C2%AE+Wire+Stripper+%2F+Cutter%2C+8-20+AWG&amp;qid=1695174173&amp;sr=8-10")</f>
        <v>https://www.amazon.com/Stripper-Electrical-Klein-Tools-11063W/dp/B00BC39YFQ/ref=sr_1_10?keywords=Klein+Tools+K11095+Klein-Kurve%C2%AE+Wire+Stripper+%2F+Cutter%2C+8-20+AWG&amp;qid=1695174173&amp;sr=8-10</v>
      </c>
      <c r="F5333" t="s">
        <v>5179</v>
      </c>
      <c r="G5333" t="e">
        <f ca="1">_xludf.IMAGE("https://edmondsonsupply.com/cdn/shop/products/k11095_b_front_vertical.jpg?v=1661364611")</f>
        <v>#NAME?</v>
      </c>
      <c r="H5333" t="e">
        <f ca="1">_xludf.IMAGE("https://m.media-amazon.com/images/I/51cWJR-r31L._AC_UL320_.jpg")</f>
        <v>#NAME?</v>
      </c>
      <c r="I5333" t="s">
        <v>2288</v>
      </c>
      <c r="J5333">
        <v>29.97</v>
      </c>
      <c r="K5333" s="4">
        <v>0.42920000000000003</v>
      </c>
      <c r="L5333">
        <v>4.8</v>
      </c>
      <c r="M5333">
        <v>9121</v>
      </c>
      <c r="O5333" t="s">
        <v>25</v>
      </c>
      <c r="P5333" t="s">
        <v>6525</v>
      </c>
      <c r="Q5333" t="s">
        <v>6754</v>
      </c>
    </row>
    <row r="5334" spans="1:17" ht="15.5" x14ac:dyDescent="0.35">
      <c r="A5334"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334"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334" t="s">
        <v>6824</v>
      </c>
      <c r="D5334" t="s">
        <v>6340</v>
      </c>
      <c r="E5334" s="3" t="str">
        <f>HYPERLINK("https://www.amazon.com/Klein-Tools-Integrated-Receptacle-Electrical/dp/B09P85276K/ref=sr_1_7?keywords=Klein+Tools+ET310+Digital+Circuit+Breaker+Finder+with+GFCI+Outlet+Tester&amp;qid=1695173862&amp;sr=8-7", "https://www.amazon.com/Klein-Tools-Integrated-Receptacle-Electrical/dp/B09P85276K/ref=sr_1_7?keywords=Klein+Tools+ET310+Digital+Circuit+Breaker+Finder+with+GFCI+Outlet+Tester&amp;qid=1695173862&amp;sr=8-7")</f>
        <v>https://www.amazon.com/Klein-Tools-Integrated-Receptacle-Electrical/dp/B09P85276K/ref=sr_1_7?keywords=Klein+Tools+ET310+Digital+Circuit+Breaker+Finder+with+GFCI+Outlet+Tester&amp;qid=1695173862&amp;sr=8-7</v>
      </c>
      <c r="F5334" t="s">
        <v>6341</v>
      </c>
      <c r="G5334" t="e">
        <f ca="1">_xludf.IMAGE("https://edmondsonsupply.com/cdn/shop/products/et310_c.jpg?v=1646963918")</f>
        <v>#NAME?</v>
      </c>
      <c r="H5334" t="e">
        <f ca="1">_xludf.IMAGE("https://m.media-amazon.com/images/I/51AwhghGlRL._AC_UL320_.jpg")</f>
        <v>#NAME?</v>
      </c>
      <c r="I5334" t="s">
        <v>380</v>
      </c>
      <c r="J5334">
        <v>71.400000000000006</v>
      </c>
      <c r="K5334" s="4">
        <v>0.4289</v>
      </c>
      <c r="L5334">
        <v>4.8</v>
      </c>
      <c r="M5334">
        <v>235</v>
      </c>
      <c r="O5334" t="s">
        <v>25</v>
      </c>
      <c r="P5334" t="s">
        <v>6825</v>
      </c>
      <c r="Q5334" t="s">
        <v>6826</v>
      </c>
    </row>
    <row r="5335" spans="1:17" ht="15.5" x14ac:dyDescent="0.35">
      <c r="A5335"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5335"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5335" t="s">
        <v>6146</v>
      </c>
      <c r="D5335" t="s">
        <v>7186</v>
      </c>
      <c r="E5335" s="3" t="str">
        <f>HYPERLINK("https://www.amazon.com/Klein-Tools-Screwdriver-Receptacle-Electrical/dp/B0BC81C7T9/ref=sr_1_8?keywords=Klein+Tools+32288+8-in-1+Insulated+Interchangeable+Screwdriver+Set&amp;qid=1695173864&amp;sr=8-8", "https://www.amazon.com/Klein-Tools-Screwdriver-Receptacle-Electrical/dp/B0BC81C7T9/ref=sr_1_8?keywords=Klein+Tools+32288+8-in-1+Insulated+Interchangeable+Screwdriver+Set&amp;qid=1695173864&amp;sr=8-8")</f>
        <v>https://www.amazon.com/Klein-Tools-Screwdriver-Receptacle-Electrical/dp/B0BC81C7T9/ref=sr_1_8?keywords=Klein+Tools+32288+8-in-1+Insulated+Interchangeable+Screwdriver+Set&amp;qid=1695173864&amp;sr=8-8</v>
      </c>
      <c r="F5335" t="s">
        <v>7187</v>
      </c>
      <c r="G5335" t="e">
        <f ca="1">_xludf.IMAGE("https://edmondsonsupply.com/cdn/shop/products/32288.jpg?v=1587146849")</f>
        <v>#NAME?</v>
      </c>
      <c r="H5335" t="e">
        <f ca="1">_xludf.IMAGE("https://m.media-amazon.com/images/I/5148u43zoXL._AC_UL320_.jpg")</f>
        <v>#NAME?</v>
      </c>
      <c r="I5335" t="s">
        <v>1931</v>
      </c>
      <c r="J5335">
        <v>71.42</v>
      </c>
      <c r="K5335" s="4">
        <v>0.42870000000000003</v>
      </c>
      <c r="L5335">
        <v>5</v>
      </c>
      <c r="M5335">
        <v>1</v>
      </c>
      <c r="O5335" t="s">
        <v>25</v>
      </c>
      <c r="P5335" t="s">
        <v>1114</v>
      </c>
      <c r="Q5335" t="s">
        <v>6149</v>
      </c>
    </row>
    <row r="5336" spans="1:17" ht="15.5" x14ac:dyDescent="0.35">
      <c r="A5336" s="3" t="str">
        <f>HYPERLINK("https://edmondsonsupply.com/collections/electricians-tools/products/klein-tools-56380-multi-groove-fiberglass-fish-tape-with-spiral-steel-leader-100-foot", "https://edmondsonsupply.com/collections/electricians-tools/products/klein-tools-56380-multi-groove-fiberglass-fish-tape-with-spiral-steel-leader-100-foot")</f>
        <v>https://edmondsonsupply.com/collections/electricians-tools/products/klein-tools-56380-multi-groove-fiberglass-fish-tape-with-spiral-steel-leader-100-foot</v>
      </c>
      <c r="B5336"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5336" t="s">
        <v>3273</v>
      </c>
      <c r="D5336" t="s">
        <v>3274</v>
      </c>
      <c r="E5336" s="3" t="str">
        <f>HYPERLINK("https://www.amazon.com/Multi-Groove-Fiberglass-200-Foot-Klein-Tools/dp/B00N6Y8RRA/ref=sr_1_5?keywords=Klein+Tools+56380+Multi-Groove+Fiberglass+Fish+Tape+with+Spiral+Steel+Leader%2C+100-Foot&amp;qid=1695173932&amp;sr=8-5", "https://www.amazon.com/Multi-Groove-Fiberglass-200-Foot-Klein-Tools/dp/B00N6Y8RRA/ref=sr_1_5?keywords=Klein+Tools+56380+Multi-Groove+Fiberglass+Fish+Tape+with+Spiral+Steel+Leader%2C+100-Foot&amp;qid=1695173932&amp;sr=8-5")</f>
        <v>https://www.amazon.com/Multi-Groove-Fiberglass-200-Foot-Klein-Tools/dp/B00N6Y8RRA/ref=sr_1_5?keywords=Klein+Tools+56380+Multi-Groove+Fiberglass+Fish+Tape+with+Spiral+Steel+Leader%2C+100-Foot&amp;qid=1695173932&amp;sr=8-5</v>
      </c>
      <c r="F5336" t="s">
        <v>3275</v>
      </c>
      <c r="G5336" t="e">
        <f ca="1">_xludf.IMAGE("https://edmondsonsupply.com/cdn/shop/products/56380.jpg?v=1587147762")</f>
        <v>#NAME?</v>
      </c>
      <c r="H5336" t="e">
        <f ca="1">_xludf.IMAGE("https://m.media-amazon.com/images/I/61-dcSdFpvL._AC_UL320_.jpg")</f>
        <v>#NAME?</v>
      </c>
      <c r="I5336" t="s">
        <v>3276</v>
      </c>
      <c r="J5336">
        <v>199.99</v>
      </c>
      <c r="K5336" s="4">
        <v>0.42859999999999998</v>
      </c>
      <c r="L5336">
        <v>4.4000000000000004</v>
      </c>
      <c r="M5336">
        <v>86</v>
      </c>
      <c r="O5336" t="s">
        <v>25</v>
      </c>
      <c r="P5336" t="s">
        <v>3277</v>
      </c>
      <c r="Q5336" t="s">
        <v>3278</v>
      </c>
    </row>
    <row r="5337" spans="1:17" ht="15.5" x14ac:dyDescent="0.35">
      <c r="A5337"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5337" s="3" t="str">
        <f>HYPERLINK("https://edmondsonsupply.com/products/fluke-80ak-a-thermocouple-adapter-type-k", "https://edmondsonsupply.com/products/fluke-80ak-a-thermocouple-adapter-type-k")</f>
        <v>https://edmondsonsupply.com/products/fluke-80ak-a-thermocouple-adapter-type-k</v>
      </c>
      <c r="C5337" t="s">
        <v>7188</v>
      </c>
      <c r="D5337" t="s">
        <v>7189</v>
      </c>
      <c r="E5337" s="3" t="str">
        <f>HYPERLINK("https://www.amazon.com/Fluke-80PK-11-Type-K-Thermocouple-Temperature/dp/B000R81U3G/ref=sr_1_10?keywords=Fluke+80AK-A+Thermocouple+Adapter%2C+Type+K&amp;qid=1695174160&amp;sr=8-10", "https://www.amazon.com/Fluke-80PK-11-Type-K-Thermocouple-Temperature/dp/B000R81U3G/ref=sr_1_10?keywords=Fluke+80AK-A+Thermocouple+Adapter%2C+Type+K&amp;qid=1695174160&amp;sr=8-10")</f>
        <v>https://www.amazon.com/Fluke-80PK-11-Type-K-Thermocouple-Temperature/dp/B000R81U3G/ref=sr_1_10?keywords=Fluke+80AK-A+Thermocouple+Adapter%2C+Type+K&amp;qid=1695174160&amp;sr=8-10</v>
      </c>
      <c r="F5337" t="s">
        <v>7190</v>
      </c>
      <c r="G5337" t="e">
        <f ca="1">_xludf.IMAGE("https://edmondsonsupply.com/cdn/shop/products/f-80ak-a_01a_h-1500x1000.webp?v=1662642921")</f>
        <v>#NAME?</v>
      </c>
      <c r="H5337" t="e">
        <f ca="1">_xludf.IMAGE("https://m.media-amazon.com/images/I/51HSoQzN4JL._AC_UY218_.jpg")</f>
        <v>#NAME?</v>
      </c>
      <c r="I5337" t="s">
        <v>198</v>
      </c>
      <c r="J5337">
        <v>57.12</v>
      </c>
      <c r="K5337" s="4">
        <v>0.4284</v>
      </c>
      <c r="L5337">
        <v>3.7</v>
      </c>
      <c r="M5337">
        <v>19</v>
      </c>
      <c r="O5337" t="s">
        <v>25</v>
      </c>
      <c r="P5337" t="s">
        <v>3496</v>
      </c>
      <c r="Q5337" t="s">
        <v>7191</v>
      </c>
    </row>
    <row r="5338" spans="1:17" ht="15.5" x14ac:dyDescent="0.35">
      <c r="A5338"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5338"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5338" t="s">
        <v>6529</v>
      </c>
      <c r="D5338" t="s">
        <v>7192</v>
      </c>
      <c r="E5338" s="3" t="str">
        <f>HYPERLINK("https://www.amazon.com/Klein-Tools-Electrical-Dual-Range-Non-Contact/dp/B0BNL8GVPW/ref=sr_1_4?keywords=Klein+Tools+NCVT3PKIT+Dual+Range+NCVT+and+AC%2FDC+Voltage+Tester+Electrical+Test+Kit&amp;qid=1695174124&amp;sr=8-4", "https://www.amazon.com/Klein-Tools-Electrical-Dual-Range-Non-Contact/dp/B0BNL8GVPW/ref=sr_1_4?keywords=Klein+Tools+NCVT3PKIT+Dual+Range+NCVT+and+AC%2FDC+Voltage+Tester+Electrical+Test+Kit&amp;qid=1695174124&amp;sr=8-4")</f>
        <v>https://www.amazon.com/Klein-Tools-Electrical-Dual-Range-Non-Contact/dp/B0BNL8GVPW/ref=sr_1_4?keywords=Klein+Tools+NCVT3PKIT+Dual+Range+NCVT+and+AC%2FDC+Voltage+Tester+Electrical+Test+Kit&amp;qid=1695174124&amp;sr=8-4</v>
      </c>
      <c r="F5338" t="s">
        <v>7193</v>
      </c>
      <c r="G5338" t="e">
        <f ca="1">_xludf.IMAGE("https://edmondsonsupply.com/cdn/shop/products/ncvt3pkit.jpg?v=1667228452")</f>
        <v>#NAME?</v>
      </c>
      <c r="H5338" t="e">
        <f ca="1">_xludf.IMAGE("https://m.media-amazon.com/images/I/51YZJ-zkhPL._AC_UL320_.jpg")</f>
        <v>#NAME?</v>
      </c>
      <c r="I5338" t="s">
        <v>571</v>
      </c>
      <c r="J5338">
        <v>49.96</v>
      </c>
      <c r="K5338" s="4">
        <v>0.42780000000000001</v>
      </c>
      <c r="L5338">
        <v>4.5999999999999996</v>
      </c>
      <c r="M5338">
        <v>3</v>
      </c>
      <c r="O5338" t="s">
        <v>25</v>
      </c>
      <c r="P5338" t="s">
        <v>6532</v>
      </c>
      <c r="Q5338" t="s">
        <v>6533</v>
      </c>
    </row>
    <row r="5339" spans="1:17" ht="15.5" x14ac:dyDescent="0.35">
      <c r="A5339" s="3" t="str">
        <f>HYPERLINK("https://edmondsonsupply.com/collections/electricians-tools/products/reed-mfg-dhr12-1-2npt-r12-drophead-1-2-npt", "https://edmondsonsupply.com/collections/electricians-tools/products/reed-mfg-dhr12-1-2npt-r12-drophead-1-2-npt")</f>
        <v>https://edmondsonsupply.com/collections/electricians-tools/products/reed-mfg-dhr12-1-2npt-r12-drophead-1-2-npt</v>
      </c>
      <c r="B5339" s="3" t="str">
        <f>HYPERLINK("https://edmondsonsupply.com/products/reed-mfg-dhr12-1-2npt-r12-drophead-1-2-npt", "https://edmondsonsupply.com/products/reed-mfg-dhr12-1-2npt-r12-drophead-1-2-npt")</f>
        <v>https://edmondsonsupply.com/products/reed-mfg-dhr12-1-2npt-r12-drophead-1-2-npt</v>
      </c>
      <c r="C5339" t="s">
        <v>7194</v>
      </c>
      <c r="D5339" t="s">
        <v>7195</v>
      </c>
      <c r="E5339" s="3" t="str">
        <f>HYPERLINK("https://www.amazon.com/Reed-Tool-DHR12-2NPT-Drophead/dp/B000ZGXUMY/ref=sr_1_1?keywords=Reed+Mfg+DHR12+1%2F2NPT+R12%2B+Drophead%2C+1%2F2%22+NPT&amp;qid=1695174269&amp;sr=8-1", "https://www.amazon.com/Reed-Tool-DHR12-2NPT-Drophead/dp/B000ZGXUMY/ref=sr_1_1?keywords=Reed+Mfg+DHR12+1%2F2NPT+R12%2B+Drophead%2C+1%2F2%22+NPT&amp;qid=1695174269&amp;sr=8-1")</f>
        <v>https://www.amazon.com/Reed-Tool-DHR12-2NPT-Drophead/dp/B000ZGXUMY/ref=sr_1_1?keywords=Reed+Mfg+DHR12+1%2F2NPT+R12%2B+Drophead%2C+1%2F2%22+NPT&amp;qid=1695174269&amp;sr=8-1</v>
      </c>
      <c r="F5339" t="s">
        <v>7196</v>
      </c>
      <c r="G5339" t="e">
        <f ca="1">_xludf.IMAGE("https://edmondsonsupply.com/cdn/shop/products/05626-DHR12-1-2NPT-RGB.jpg?v=1633031013")</f>
        <v>#NAME?</v>
      </c>
      <c r="H5339" t="e">
        <f ca="1">_xludf.IMAGE("https://m.media-amazon.com/images/I/61Y5u+qPi2L._AC_UY218_.jpg")</f>
        <v>#NAME?</v>
      </c>
      <c r="I5339" t="s">
        <v>7197</v>
      </c>
      <c r="J5339">
        <v>172.93</v>
      </c>
      <c r="K5339" s="4">
        <v>0.42730000000000001</v>
      </c>
      <c r="L5339">
        <v>1</v>
      </c>
      <c r="M5339">
        <v>1</v>
      </c>
      <c r="O5339" t="s">
        <v>25</v>
      </c>
      <c r="P5339" t="s">
        <v>7198</v>
      </c>
      <c r="Q5339" t="s">
        <v>7199</v>
      </c>
    </row>
    <row r="5340" spans="1:17" ht="15.5" x14ac:dyDescent="0.35">
      <c r="A5340"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5340"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5340" t="s">
        <v>6587</v>
      </c>
      <c r="D5340" t="s">
        <v>3501</v>
      </c>
      <c r="E5340" s="3" t="str">
        <f>HYPERLINK("https://www.amazon.com/Non-Contact-Voltage-Flashlight-Klein-Tools/dp/B00XJQ9ZE4/ref=sr_1_6?keywords=Klein+Tools+NCVT-2P+Dual+Range+Non-Contact+Voltage+Tester+12+-+1000V+AC&amp;qid=1695174301&amp;sr=8-6", "https://www.amazon.com/Non-Contact-Voltage-Flashlight-Klein-Tools/dp/B00XJQ9ZE4/ref=sr_1_6?keywords=Klein+Tools+NCVT-2P+Dual+Range+Non-Contact+Voltage+Tester+12+-+1000V+AC&amp;qid=1695174301&amp;sr=8-6")</f>
        <v>https://www.amazon.com/Non-Contact-Voltage-Flashlight-Klein-Tools/dp/B00XJQ9ZE4/ref=sr_1_6?keywords=Klein+Tools+NCVT-2P+Dual+Range+Non-Contact+Voltage+Tester+12+-+1000V+AC&amp;qid=1695174301&amp;sr=8-6</v>
      </c>
      <c r="F5340" t="s">
        <v>3502</v>
      </c>
      <c r="G5340" t="e">
        <f ca="1">_xludf.IMAGE("https://edmondsonsupply.com/cdn/shop/products/ncvt2p.jpg?v=1633030824")</f>
        <v>#NAME?</v>
      </c>
      <c r="H5340" t="e">
        <f ca="1">_xludf.IMAGE("https://m.media-amazon.com/images/I/51dcyyMwUjL._AC_UL320_.jpg")</f>
        <v>#NAME?</v>
      </c>
      <c r="I5340" t="s">
        <v>6588</v>
      </c>
      <c r="J5340">
        <v>39.89</v>
      </c>
      <c r="K5340" s="4">
        <v>0.42620000000000002</v>
      </c>
      <c r="L5340">
        <v>4.5</v>
      </c>
      <c r="M5340">
        <v>1685</v>
      </c>
      <c r="O5340" t="s">
        <v>25</v>
      </c>
      <c r="P5340" t="s">
        <v>6589</v>
      </c>
      <c r="Q5340" t="s">
        <v>6590</v>
      </c>
    </row>
    <row r="5341" spans="1:17" ht="15.5" x14ac:dyDescent="0.35">
      <c r="A5341" s="3" t="str">
        <f>HYPERLINK("https://edmondsonsupply.com/collections/electricians-tools/products/sensible-products-hrf-1-high-beam-rechargeable-flashlight-black", "https://edmondsonsupply.com/collections/electricians-tools/products/sensible-products-hrf-1-high-beam-rechargeable-flashlight-black")</f>
        <v>https://edmondsonsupply.com/collections/electricians-tools/products/sensible-products-hrf-1-high-beam-rechargeable-flashlight-black</v>
      </c>
      <c r="B5341" s="3" t="str">
        <f>HYPERLINK("https://edmondsonsupply.com/products/sensible-products-hrf-1-high-beam-rechargeable-flashlight-black", "https://edmondsonsupply.com/products/sensible-products-hrf-1-high-beam-rechargeable-flashlight-black")</f>
        <v>https://edmondsonsupply.com/products/sensible-products-hrf-1-high-beam-rechargeable-flashlight-black</v>
      </c>
      <c r="C5341" t="s">
        <v>3285</v>
      </c>
      <c r="D5341" t="s">
        <v>3286</v>
      </c>
      <c r="E5341" s="3" t="str">
        <f>HYPERLINK("https://www.amazon.com/Sensible-Products-High-Beam-Rechargeable-Flashlight/dp/B0BVGLNYDK/ref=sr_1_1?keywords=Sensible+Products+HRF-1+High-Beam+Rechargeable+Flashlight%2C+Black&amp;qid=1695173847&amp;sr=8-1", "https://www.amazon.com/Sensible-Products-High-Beam-Rechargeable-Flashlight/dp/B0BVGLNYDK/ref=sr_1_1?keywords=Sensible+Products+HRF-1+High-Beam+Rechargeable+Flashlight%2C+Black&amp;qid=1695173847&amp;sr=8-1")</f>
        <v>https://www.amazon.com/Sensible-Products-High-Beam-Rechargeable-Flashlight/dp/B0BVGLNYDK/ref=sr_1_1?keywords=Sensible+Products+HRF-1+High-Beam+Rechargeable+Flashlight%2C+Black&amp;qid=1695173847&amp;sr=8-1</v>
      </c>
      <c r="F5341" t="s">
        <v>3287</v>
      </c>
      <c r="G5341" t="e">
        <f ca="1">_xludf.IMAGE("https://edmondsonsupply.com/cdn/shop/products/HRF1BLACK-2.jpg?v=1587144533")</f>
        <v>#NAME?</v>
      </c>
      <c r="H5341" t="e">
        <f ca="1">_xludf.IMAGE("https://m.media-amazon.com/images/I/31tIPF-TUsL._AC_UL320_.jpg")</f>
        <v>#NAME?</v>
      </c>
      <c r="I5341" t="s">
        <v>3288</v>
      </c>
      <c r="J5341">
        <v>38.950000000000003</v>
      </c>
      <c r="K5341" s="4">
        <v>0.42520000000000002</v>
      </c>
      <c r="L5341">
        <v>5</v>
      </c>
      <c r="M5341">
        <v>1</v>
      </c>
      <c r="O5341" t="s">
        <v>25</v>
      </c>
      <c r="P5341" t="s">
        <v>138</v>
      </c>
      <c r="Q5341" t="s">
        <v>3289</v>
      </c>
    </row>
    <row r="5342" spans="1:17" ht="15.5" x14ac:dyDescent="0.35">
      <c r="A5342" s="3" t="str">
        <f>HYPERLINK("https://edmondsonsupply.com/collections/electricians-tools/products/sensible-products-hrf-1-high-beam-rechargeable-flashlight-silver", "https://edmondsonsupply.com/collections/electricians-tools/products/sensible-products-hrf-1-high-beam-rechargeable-flashlight-silver")</f>
        <v>https://edmondsonsupply.com/collections/electricians-tools/products/sensible-products-hrf-1-high-beam-rechargeable-flashlight-silver</v>
      </c>
      <c r="B5342" s="3" t="str">
        <f>HYPERLINK("https://edmondsonsupply.com/products/sensible-products-hrf-1-high-beam-rechargeable-flashlight-silver", "https://edmondsonsupply.com/products/sensible-products-hrf-1-high-beam-rechargeable-flashlight-silver")</f>
        <v>https://edmondsonsupply.com/products/sensible-products-hrf-1-high-beam-rechargeable-flashlight-silver</v>
      </c>
      <c r="C5342" t="s">
        <v>3290</v>
      </c>
      <c r="D5342" t="s">
        <v>3286</v>
      </c>
      <c r="E5342" s="3" t="str">
        <f>HYPERLINK("https://www.amazon.com/Sensible-Products-High-Beam-Rechargeable-Flashlight/dp/B0BVGLNYDK/ref=sr_1_2?keywords=Sensible+Products+HRF-1+High-Beam+Rechargeable+Flashlight%2C+Silver&amp;qid=1695173859&amp;sr=8-2", "https://www.amazon.com/Sensible-Products-High-Beam-Rechargeable-Flashlight/dp/B0BVGLNYDK/ref=sr_1_2?keywords=Sensible+Products+HRF-1+High-Beam+Rechargeable+Flashlight%2C+Silver&amp;qid=1695173859&amp;sr=8-2")</f>
        <v>https://www.amazon.com/Sensible-Products-High-Beam-Rechargeable-Flashlight/dp/B0BVGLNYDK/ref=sr_1_2?keywords=Sensible+Products+HRF-1+High-Beam+Rechargeable+Flashlight%2C+Silver&amp;qid=1695173859&amp;sr=8-2</v>
      </c>
      <c r="F5342" t="s">
        <v>3287</v>
      </c>
      <c r="G5342" t="e">
        <f ca="1">_xludf.IMAGE("https://edmondsonsupply.com/cdn/shop/products/HRF1SILVER-2.jpg?v=1587142434")</f>
        <v>#NAME?</v>
      </c>
      <c r="H5342" t="e">
        <f ca="1">_xludf.IMAGE("https://m.media-amazon.com/images/I/31tIPF-TUsL._AC_UL320_.jpg")</f>
        <v>#NAME?</v>
      </c>
      <c r="I5342" t="s">
        <v>3288</v>
      </c>
      <c r="J5342">
        <v>38.950000000000003</v>
      </c>
      <c r="K5342" s="4">
        <v>0.42520000000000002</v>
      </c>
      <c r="L5342">
        <v>5</v>
      </c>
      <c r="M5342">
        <v>1</v>
      </c>
      <c r="O5342" t="s">
        <v>25</v>
      </c>
      <c r="P5342" t="s">
        <v>138</v>
      </c>
      <c r="Q5342" t="s">
        <v>3291</v>
      </c>
    </row>
    <row r="5343" spans="1:17" ht="15.5" x14ac:dyDescent="0.35">
      <c r="A5343" s="3" t="str">
        <f>HYPERLINK("https://edmondsonsupply.com/collections/electricians-tools/products/diablo-tools-dsp2150-1-3-8-in-x-6-in-spade-bit", "https://edmondsonsupply.com/collections/electricians-tools/products/diablo-tools-dsp2150-1-3-8-in-x-6-in-spade-bit")</f>
        <v>https://edmondsonsupply.com/collections/electricians-tools/products/diablo-tools-dsp2150-1-3-8-in-x-6-in-spade-bit</v>
      </c>
      <c r="B5343" s="3" t="str">
        <f>HYPERLINK("https://edmondsonsupply.com/products/diablo-tools-dsp2150-1-3-8-in-x-6-in-spade-bit", "https://edmondsonsupply.com/products/diablo-tools-dsp2150-1-3-8-in-x-6-in-spade-bit")</f>
        <v>https://edmondsonsupply.com/products/diablo-tools-dsp2150-1-3-8-in-x-6-in-spade-bit</v>
      </c>
      <c r="C5343" t="s">
        <v>7200</v>
      </c>
      <c r="D5343" t="s">
        <v>5850</v>
      </c>
      <c r="E5343" s="3" t="str">
        <f>HYPERLINK("https://www.amazon.com/Diablo-16-SPEEDemon-Spade-Bit/dp/B089LKXD6Z/ref=sr_1_7?keywords=Diablo+Tools+DSP2160+1-3%2F8+in.+x+6+in.+SPEEDemon%E2%84%A2+Spade+Bit&amp;qid=1695174215&amp;sr=8-7", "https://www.amazon.com/Diablo-16-SPEEDemon-Spade-Bit/dp/B089LKXD6Z/ref=sr_1_7?keywords=Diablo+Tools+DSP2160+1-3%2F8+in.+x+6+in.+SPEEDemon%E2%84%A2+Spade+Bit&amp;qid=1695174215&amp;sr=8-7")</f>
        <v>https://www.amazon.com/Diablo-16-SPEEDemon-Spade-Bit/dp/B089LKXD6Z/ref=sr_1_7?keywords=Diablo+Tools+DSP2160+1-3%2F8+in.+x+6+in.+SPEEDemon%E2%84%A2+Spade+Bit&amp;qid=1695174215&amp;sr=8-7</v>
      </c>
      <c r="F5343" t="s">
        <v>5851</v>
      </c>
      <c r="G5343" t="e">
        <f ca="1">_xludf.IMAGE("https://edmondsonsupply.com/cdn/shop/products/DSP2160.webp?v=1647634103")</f>
        <v>#NAME?</v>
      </c>
      <c r="H5343" t="e">
        <f ca="1">_xludf.IMAGE("https://m.media-amazon.com/images/I/616SIXUQ4mL._AC_UL320_.jpg")</f>
        <v>#NAME?</v>
      </c>
      <c r="I5343" t="s">
        <v>6991</v>
      </c>
      <c r="J5343">
        <v>9.93</v>
      </c>
      <c r="K5343" s="4">
        <v>0.42470000000000002</v>
      </c>
      <c r="L5343">
        <v>4.3</v>
      </c>
      <c r="M5343">
        <v>10</v>
      </c>
      <c r="O5343" t="s">
        <v>25</v>
      </c>
      <c r="P5343" t="s">
        <v>138</v>
      </c>
      <c r="Q5343" t="s">
        <v>7201</v>
      </c>
    </row>
    <row r="5344" spans="1:17" ht="15.5" x14ac:dyDescent="0.35">
      <c r="A5344"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5344"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5344" t="s">
        <v>3118</v>
      </c>
      <c r="D5344" t="s">
        <v>3292</v>
      </c>
      <c r="E5344" s="3" t="str">
        <f>HYPERLINK("https://www.amazon.com/Journeyman-T-Handle-Klein-Tools-JTH6E17BE/dp/B004QW58Q4/ref=sr_1_5?keywords=Klein+Tools+JTH4E17+1%2F2-Inch+Hex+Key%2C+Journeyman+T-Handle%2C+4-Inch&amp;qid=1695173921&amp;sr=8-5", "https://www.amazon.com/Journeyman-T-Handle-Klein-Tools-JTH6E17BE/dp/B004QW58Q4/ref=sr_1_5?keywords=Klein+Tools+JTH4E17+1%2F2-Inch+Hex+Key%2C+Journeyman+T-Handle%2C+4-Inch&amp;qid=1695173921&amp;sr=8-5")</f>
        <v>https://www.amazon.com/Journeyman-T-Handle-Klein-Tools-JTH6E17BE/dp/B004QW58Q4/ref=sr_1_5?keywords=Klein+Tools+JTH4E17+1%2F2-Inch+Hex+Key%2C+Journeyman+T-Handle%2C+4-Inch&amp;qid=1695173921&amp;sr=8-5</v>
      </c>
      <c r="F5344" t="s">
        <v>3293</v>
      </c>
      <c r="G5344" t="e">
        <f ca="1">_xludf.IMAGE("https://edmondsonsupply.com/cdn/shop/products/jth4e17_583549be-7b42-43c7-9c3d-a92f2416ede5.jpg?v=1610655610")</f>
        <v>#NAME?</v>
      </c>
      <c r="H5344" t="e">
        <f ca="1">_xludf.IMAGE("https://m.media-amazon.com/images/I/51f9vBFVXgL._AC_UL320_.jpg")</f>
        <v>#NAME?</v>
      </c>
      <c r="I5344" t="s">
        <v>252</v>
      </c>
      <c r="J5344">
        <v>22.72</v>
      </c>
      <c r="K5344" s="4">
        <v>0.4209</v>
      </c>
      <c r="L5344">
        <v>4.8</v>
      </c>
      <c r="M5344">
        <v>456</v>
      </c>
      <c r="O5344" t="s">
        <v>25</v>
      </c>
      <c r="P5344" t="s">
        <v>3121</v>
      </c>
      <c r="Q5344" t="s">
        <v>3122</v>
      </c>
    </row>
    <row r="5345" spans="1:17" ht="15.5" x14ac:dyDescent="0.35">
      <c r="A5345" s="3" t="str">
        <f>HYPERLINK("https://edmondsonsupply.com/collections/electricians-tools/products/diablo-tools-dsp3050-7-8-in-x-16-in-spade-bit", "https://edmondsonsupply.com/collections/electricians-tools/products/diablo-tools-dsp3050-7-8-in-x-16-in-spade-bit")</f>
        <v>https://edmondsonsupply.com/collections/electricians-tools/products/diablo-tools-dsp3050-7-8-in-x-16-in-spade-bit</v>
      </c>
      <c r="B5345" s="3" t="str">
        <f>HYPERLINK("https://edmondsonsupply.com/products/diablo-tools-dsp3050-7-8-in-x-16-in-spade-bit", "https://edmondsonsupply.com/products/diablo-tools-dsp3050-7-8-in-x-16-in-spade-bit")</f>
        <v>https://edmondsonsupply.com/products/diablo-tools-dsp3050-7-8-in-x-16-in-spade-bit</v>
      </c>
      <c r="C5345" t="s">
        <v>5814</v>
      </c>
      <c r="D5345" t="s">
        <v>5850</v>
      </c>
      <c r="E5345" s="3" t="str">
        <f>HYPERLINK("https://www.amazon.com/Diablo-16-SPEEDemon-Spade-Bit/dp/B089LKXD6Z/ref=sr_1_9?keywords=Diablo+Tools+DSP3050+7%2F8+in.+x+16+in.+Spade+Bit&amp;qid=1695174014&amp;sr=8-9", "https://www.amazon.com/Diablo-16-SPEEDemon-Spade-Bit/dp/B089LKXD6Z/ref=sr_1_9?keywords=Diablo+Tools+DSP3050+7%2F8+in.+x+16+in.+Spade+Bit&amp;qid=1695174014&amp;sr=8-9")</f>
        <v>https://www.amazon.com/Diablo-16-SPEEDemon-Spade-Bit/dp/B089LKXD6Z/ref=sr_1_9?keywords=Diablo+Tools+DSP3050+7%2F8+in.+x+16+in.+Spade+Bit&amp;qid=1695174014&amp;sr=8-9</v>
      </c>
      <c r="F5345" t="s">
        <v>5851</v>
      </c>
      <c r="G5345" t="e">
        <f ca="1">_xludf.IMAGE("https://edmondsonsupply.com/cdn/shop/files/y2jtkhe6p1ztkurhqyvu.webp?v=1685722260")</f>
        <v>#NAME?</v>
      </c>
      <c r="H5345" t="e">
        <f ca="1">_xludf.IMAGE("https://m.media-amazon.com/images/I/616SIXUQ4mL._AC_UL320_.jpg")</f>
        <v>#NAME?</v>
      </c>
      <c r="I5345" t="s">
        <v>2347</v>
      </c>
      <c r="J5345">
        <v>9.93</v>
      </c>
      <c r="K5345" s="4">
        <v>0.42059999999999997</v>
      </c>
      <c r="L5345">
        <v>4.3</v>
      </c>
      <c r="M5345">
        <v>10</v>
      </c>
      <c r="O5345" t="s">
        <v>25</v>
      </c>
      <c r="P5345" t="s">
        <v>5817</v>
      </c>
      <c r="Q5345" t="s">
        <v>5818</v>
      </c>
    </row>
    <row r="5346" spans="1:17" ht="15.5" x14ac:dyDescent="0.35">
      <c r="A5346"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5346" s="3" t="str">
        <f>HYPERLINK("https://edmondsonsupply.com/products/klein-tools-630-5-8-nut-driver-5-8-inch-4-inch-hollow-shaft", "https://edmondsonsupply.com/products/klein-tools-630-5-8-nut-driver-5-8-inch-4-inch-hollow-shaft")</f>
        <v>https://edmondsonsupply.com/products/klein-tools-630-5-8-nut-driver-5-8-inch-4-inch-hollow-shaft</v>
      </c>
      <c r="C5346" t="s">
        <v>6629</v>
      </c>
      <c r="D5346" t="s">
        <v>7202</v>
      </c>
      <c r="E5346" s="3" t="str">
        <f>HYPERLINK("https://www.amazon.com/8-Inch-Comfordome-Klein-Tools-S20/dp/B0002RIA2Q/ref=sr_1_2?keywords=Klein+Tools+630-5%2F8+Nut+Driver%2C+5%2F8-Inch%2C+4-Inch+Hollow+Shaft&amp;qid=1695174302&amp;sr=8-2", "https://www.amazon.com/8-Inch-Comfordome-Klein-Tools-S20/dp/B0002RIA2Q/ref=sr_1_2?keywords=Klein+Tools+630-5%2F8+Nut+Driver%2C+5%2F8-Inch%2C+4-Inch+Hollow+Shaft&amp;qid=1695174302&amp;sr=8-2")</f>
        <v>https://www.amazon.com/8-Inch-Comfordome-Klein-Tools-S20/dp/B0002RIA2Q/ref=sr_1_2?keywords=Klein+Tools+630-5%2F8+Nut+Driver%2C+5%2F8-Inch%2C+4-Inch+Hollow+Shaft&amp;qid=1695174302&amp;sr=8-2</v>
      </c>
      <c r="F5346" t="s">
        <v>7203</v>
      </c>
      <c r="G5346" t="e">
        <f ca="1">_xludf.IMAGE("https://edmondsonsupply.com/cdn/shop/products/630-1-2_df0ca74a-79e7-41f4-ad94-60312e01e692.jpg?v=1633031052")</f>
        <v>#NAME?</v>
      </c>
      <c r="H5346" t="e">
        <f ca="1">_xludf.IMAGE("https://m.media-amazon.com/images/I/51ES8ZYN+AL._AC_UL320_.jpg")</f>
        <v>#NAME?</v>
      </c>
      <c r="I5346" t="s">
        <v>6632</v>
      </c>
      <c r="J5346">
        <v>17.739999999999998</v>
      </c>
      <c r="K5346" s="4">
        <v>0.42030000000000001</v>
      </c>
      <c r="L5346">
        <v>4.5</v>
      </c>
      <c r="M5346">
        <v>225</v>
      </c>
      <c r="O5346" t="s">
        <v>25</v>
      </c>
      <c r="P5346" t="s">
        <v>2328</v>
      </c>
      <c r="Q5346" t="s">
        <v>6633</v>
      </c>
    </row>
    <row r="5347" spans="1:17" ht="15.5" x14ac:dyDescent="0.35">
      <c r="A5347"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5347"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5347" t="s">
        <v>7204</v>
      </c>
      <c r="D5347" t="s">
        <v>6775</v>
      </c>
      <c r="E5347" s="3" t="str">
        <f>HYPERLINK("https://www.amazon.com/Insulated-Screwdriver-Klein-Tools-601-4-INS/dp/B000LEBVIK/ref=sr_1_6?keywords=Klein+Tools+6816INS+Insulated+Screwdriver%2C+3%2F16-Inch+Cabinet+Tip%2C+6-Inch+Round+Shank&amp;qid=1695174141&amp;sr=8-6", "https://www.amazon.com/Insulated-Screwdriver-Klein-Tools-601-4-INS/dp/B000LEBVIK/ref=sr_1_6?keywords=Klein+Tools+6816INS+Insulated+Screwdriver%2C+3%2F16-Inch+Cabinet+Tip%2C+6-Inch+Round+Shank&amp;qid=1695174141&amp;sr=8-6")</f>
        <v>https://www.amazon.com/Insulated-Screwdriver-Klein-Tools-601-4-INS/dp/B000LEBVIK/ref=sr_1_6?keywords=Klein+Tools+6816INS+Insulated+Screwdriver%2C+3%2F16-Inch+Cabinet+Tip%2C+6-Inch+Round+Shank&amp;qid=1695174141&amp;sr=8-6</v>
      </c>
      <c r="F5347" t="s">
        <v>6776</v>
      </c>
      <c r="G5347" t="e">
        <f ca="1">_xludf.IMAGE("https://edmondsonsupply.com/cdn/shop/products/6816ins.jpg?v=1664812840")</f>
        <v>#NAME?</v>
      </c>
      <c r="H5347" t="e">
        <f ca="1">_xludf.IMAGE("https://m.media-amazon.com/images/I/41SIcZZiIAL._AC_UL320_.jpg")</f>
        <v>#NAME?</v>
      </c>
      <c r="I5347" t="s">
        <v>6073</v>
      </c>
      <c r="J5347">
        <v>16.989999999999998</v>
      </c>
      <c r="K5347" s="4">
        <v>0.4194</v>
      </c>
      <c r="L5347">
        <v>4.8</v>
      </c>
      <c r="M5347">
        <v>1064</v>
      </c>
      <c r="O5347" t="s">
        <v>25</v>
      </c>
      <c r="P5347" t="s">
        <v>6728</v>
      </c>
      <c r="Q5347" t="s">
        <v>7205</v>
      </c>
    </row>
    <row r="5348" spans="1:17" ht="15.5" x14ac:dyDescent="0.35">
      <c r="A5348"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5348" s="3" t="str">
        <f>HYPERLINK("https://edmondsonsupply.com/products/klein-tools-646-5-16-5-16-inch-nut-driver-6-inch-hollow-shaft", "https://edmondsonsupply.com/products/klein-tools-646-5-16-5-16-inch-nut-driver-6-inch-hollow-shaft")</f>
        <v>https://edmondsonsupply.com/products/klein-tools-646-5-16-5-16-inch-nut-driver-6-inch-hollow-shaft</v>
      </c>
      <c r="C5348" t="s">
        <v>1893</v>
      </c>
      <c r="D5348" t="s">
        <v>3301</v>
      </c>
      <c r="E5348" s="3" t="str">
        <f>HYPERLINK("https://www.amazon.com/Magnetic-Klein-Tools-610-5-16M/dp/B00093DZP0/ref=sr_1_6?keywords=Klein+Tools+646-5%2F16+5%2F16-Inch+Nut+Driver%2C+6-Inch+Hollow+Shaft&amp;qid=1695173904&amp;sr=8-6", "https://www.amazon.com/Magnetic-Klein-Tools-610-5-16M/dp/B00093DZP0/ref=sr_1_6?keywords=Klein+Tools+646-5%2F16+5%2F16-Inch+Nut+Driver%2C+6-Inch+Hollow+Shaft&amp;qid=1695173904&amp;sr=8-6")</f>
        <v>https://www.amazon.com/Magnetic-Klein-Tools-610-5-16M/dp/B00093DZP0/ref=sr_1_6?keywords=Klein+Tools+646-5%2F16+5%2F16-Inch+Nut+Driver%2C+6-Inch+Hollow+Shaft&amp;qid=1695173904&amp;sr=8-6</v>
      </c>
      <c r="F5348" t="s">
        <v>3302</v>
      </c>
      <c r="G5348" t="e">
        <f ca="1">_xludf.IMAGE("https://edmondsonsupply.com/cdn/shop/products/646-1-2_e1540905-f750-4509-90c5-74ff653e4d83.jpg?v=1587145119")</f>
        <v>#NAME?</v>
      </c>
      <c r="H5348" t="e">
        <f ca="1">_xludf.IMAGE("https://m.media-amazon.com/images/I/41rQZ0-NNZL._AC_UL320_.jpg")</f>
        <v>#NAME?</v>
      </c>
      <c r="I5348" t="s">
        <v>1003</v>
      </c>
      <c r="J5348">
        <v>11.34</v>
      </c>
      <c r="K5348" s="4">
        <v>0.41930000000000001</v>
      </c>
      <c r="L5348">
        <v>4.8</v>
      </c>
      <c r="M5348">
        <v>260</v>
      </c>
      <c r="O5348" t="s">
        <v>25</v>
      </c>
      <c r="P5348" t="s">
        <v>1481</v>
      </c>
      <c r="Q5348" t="s">
        <v>1896</v>
      </c>
    </row>
    <row r="5349" spans="1:17" ht="15.5" x14ac:dyDescent="0.35">
      <c r="A5349"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5349"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5349" t="s">
        <v>7100</v>
      </c>
      <c r="D5349" t="s">
        <v>5938</v>
      </c>
      <c r="E5349" s="3" t="str">
        <f>HYPERLINK("https://www.amazon.com/Diablo-Universal-Bi-Metal-Blades-Nail-Embedded/dp/B089KW2WVD/ref=sr_1_4?keywords=Diablo+Tools+DOU125JBW+1-1%2F4+in.+Universal+Fit+Bi-Metal+Oscillating+Blades+for+Clean+Wood&amp;qid=1695174246&amp;sr=8-4", "https://www.amazon.com/Diablo-Universal-Bi-Metal-Blades-Nail-Embedded/dp/B089KW2WVD/ref=sr_1_4?keywords=Diablo+Tools+DOU125JBW+1-1%2F4+in.+Universal+Fit+Bi-Metal+Oscillating+Blades+for+Clean+Wood&amp;qid=1695174246&amp;sr=8-4")</f>
        <v>https://www.amazon.com/Diablo-Universal-Bi-Metal-Blades-Nail-Embedded/dp/B089KW2WVD/ref=sr_1_4?keywords=Diablo+Tools+DOU125JBW+1-1%2F4+in.+Universal+Fit+Bi-Metal+Oscillating+Blades+for+Clean+Wood&amp;qid=1695174246&amp;sr=8-4</v>
      </c>
      <c r="F5349" t="s">
        <v>5939</v>
      </c>
      <c r="G5349" t="e">
        <f ca="1">_xludf.IMAGE("https://edmondsonsupply.com/cdn/shop/products/DOU125JBW_Main-Image.png?v=1633638363")</f>
        <v>#NAME?</v>
      </c>
      <c r="H5349" t="e">
        <f ca="1">_xludf.IMAGE("https://m.media-amazon.com/images/I/613ig7mNjfL._AC_UL320_.jpg")</f>
        <v>#NAME?</v>
      </c>
      <c r="I5349" t="s">
        <v>2586</v>
      </c>
      <c r="J5349">
        <v>25.49</v>
      </c>
      <c r="K5349" s="4">
        <v>0.41849999999999998</v>
      </c>
      <c r="L5349">
        <v>4.5999999999999996</v>
      </c>
      <c r="M5349">
        <v>148</v>
      </c>
      <c r="O5349" t="s">
        <v>25</v>
      </c>
      <c r="P5349" t="s">
        <v>6943</v>
      </c>
      <c r="Q5349" t="s">
        <v>7103</v>
      </c>
    </row>
    <row r="5350" spans="1:17" ht="15.5" x14ac:dyDescent="0.35">
      <c r="A5350"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5350"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5350" t="s">
        <v>7206</v>
      </c>
      <c r="D5350" t="s">
        <v>7207</v>
      </c>
      <c r="E5350" s="3" t="str">
        <f>HYPERLINK("https://www.amazon.com/Milwaukee-Mid-Torque-Impact-Wrench-Friction/dp/B08P3RPQ4M/ref=sr_1_3?keywords=Milwaukee+2960-22+M18+FUEL%E2%84%A2+3%2F8+%22+Mid-Torque+Impact+Wrench+w%2F+Friction+Ring+Kit&amp;qid=1695174167&amp;sr=8-3", "https://www.amazon.com/Milwaukee-Mid-Torque-Impact-Wrench-Friction/dp/B08P3RPQ4M/ref=sr_1_3?keywords=Milwaukee+2960-22+M18+FUEL%E2%84%A2+3%2F8+%22+Mid-Torque+Impact+Wrench+w%2F+Friction+Ring+Kit&amp;qid=1695174167&amp;sr=8-3")</f>
        <v>https://www.amazon.com/Milwaukee-Mid-Torque-Impact-Wrench-Friction/dp/B08P3RPQ4M/ref=sr_1_3?keywords=Milwaukee+2960-22+M18+FUEL%E2%84%A2+3%2F8+%22+Mid-Torque+Impact+Wrench+w%2F+Friction+Ring+Kit&amp;qid=1695174167&amp;sr=8-3</v>
      </c>
      <c r="F5350" t="s">
        <v>7208</v>
      </c>
      <c r="G5350" t="e">
        <f ca="1">_xludf.IMAGE("https://edmondsonsupply.com/cdn/shop/products/2960-22_Kit_1.png?v=1661616340")</f>
        <v>#NAME?</v>
      </c>
      <c r="H5350" t="e">
        <f ca="1">_xludf.IMAGE("https://m.media-amazon.com/images/I/41WfocGQmdL._AC_UL320_.jpg")</f>
        <v>#NAME?</v>
      </c>
      <c r="I5350" t="s">
        <v>4404</v>
      </c>
      <c r="J5350">
        <v>650.5</v>
      </c>
      <c r="K5350" s="4">
        <v>0.41720000000000002</v>
      </c>
      <c r="L5350">
        <v>5</v>
      </c>
      <c r="M5350">
        <v>1</v>
      </c>
      <c r="O5350" t="s">
        <v>25</v>
      </c>
      <c r="P5350" t="s">
        <v>7209</v>
      </c>
      <c r="Q5350" t="s">
        <v>7210</v>
      </c>
    </row>
    <row r="5351" spans="1:17" ht="15.5" x14ac:dyDescent="0.35">
      <c r="A5351"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5351" s="3" t="str">
        <f>HYPERLINK("https://edmondsonsupply.com/products/greenlee-dtap1-4-20-drill-tap-1-4-20", "https://edmondsonsupply.com/products/greenlee-dtap1-4-20-drill-tap-1-4-20")</f>
        <v>https://edmondsonsupply.com/products/greenlee-dtap1-4-20-drill-tap-1-4-20</v>
      </c>
      <c r="C5351" t="s">
        <v>2854</v>
      </c>
      <c r="D5351" t="s">
        <v>3312</v>
      </c>
      <c r="E5351" s="3" t="str">
        <f>HYPERLINK("https://www.amazon.com/Greenlee-DTAP1-4-20-Combination-Deburr/dp/B000FCEQ8K/ref=sr_1_1?keywords=Greenlee+DTAP1%2F4-20+Drill%2FTap%2C+1%2F4-20&amp;qid=1695173937&amp;sr=8-1", "https://www.amazon.com/Greenlee-DTAP1-4-20-Combination-Deburr/dp/B000FCEQ8K/ref=sr_1_1?keywords=Greenlee+DTAP1%2F4-20+Drill%2FTap%2C+1%2F4-20&amp;qid=1695173937&amp;sr=8-1")</f>
        <v>https://www.amazon.com/Greenlee-DTAP1-4-20-Combination-Deburr/dp/B000FCEQ8K/ref=sr_1_1?keywords=Greenlee+DTAP1%2F4-20+Drill%2FTap%2C+1%2F4-20&amp;qid=1695173937&amp;sr=8-1</v>
      </c>
      <c r="F5351" t="s">
        <v>3313</v>
      </c>
      <c r="G5351" t="e">
        <f ca="1">_xludf.IMAGE("https://edmondsonsupply.com/cdn/shop/products/DTAP1-4-20.jpg?v=1587151009")</f>
        <v>#NAME?</v>
      </c>
      <c r="H5351" t="e">
        <f ca="1">_xludf.IMAGE("https://m.media-amazon.com/images/I/61SYTqjZhjL._AC_UL320_.jpg")</f>
        <v>#NAME?</v>
      </c>
      <c r="I5351" t="s">
        <v>924</v>
      </c>
      <c r="J5351">
        <v>12.74</v>
      </c>
      <c r="K5351" s="4">
        <v>0.41710000000000003</v>
      </c>
      <c r="L5351">
        <v>4.4000000000000004</v>
      </c>
      <c r="M5351">
        <v>170</v>
      </c>
      <c r="O5351" t="s">
        <v>25</v>
      </c>
      <c r="P5351" t="s">
        <v>2857</v>
      </c>
      <c r="Q5351" t="s">
        <v>2858</v>
      </c>
    </row>
    <row r="5352" spans="1:17" ht="15.5" x14ac:dyDescent="0.35">
      <c r="A5352" s="3" t="str">
        <f>HYPERLINK("https://edmondsonsupply.com/collections/electricians-tools/products/malco-tools-gsg6-gutter-screw-guide", "https://edmondsonsupply.com/collections/electricians-tools/products/malco-tools-gsg6-gutter-screw-guide")</f>
        <v>https://edmondsonsupply.com/collections/electricians-tools/products/malco-tools-gsg6-gutter-screw-guide</v>
      </c>
      <c r="B5352" s="3" t="str">
        <f>HYPERLINK("https://edmondsonsupply.com/products/malco-tools-gsg6-gutter-screw-guide", "https://edmondsonsupply.com/products/malco-tools-gsg6-gutter-screw-guide")</f>
        <v>https://edmondsonsupply.com/products/malco-tools-gsg6-gutter-screw-guide</v>
      </c>
      <c r="C5352" t="s">
        <v>3316</v>
      </c>
      <c r="D5352" t="s">
        <v>3317</v>
      </c>
      <c r="E5352" s="3" t="str">
        <f>HYPERLINK("https://www.amazon.com/Malco-GSG6-Extra-Long-Magnetic-Gutter/dp/B01D5UBZQY/ref=sr_1_1?keywords=Malco+Tools+GSG6+Gutter+Screw+Guide&amp;qid=1695173928&amp;sr=8-1", "https://www.amazon.com/Malco-GSG6-Extra-Long-Magnetic-Gutter/dp/B01D5UBZQY/ref=sr_1_1?keywords=Malco+Tools+GSG6+Gutter+Screw+Guide&amp;qid=1695173928&amp;sr=8-1")</f>
        <v>https://www.amazon.com/Malco-GSG6-Extra-Long-Magnetic-Gutter/dp/B01D5UBZQY/ref=sr_1_1?keywords=Malco+Tools+GSG6+Gutter+Screw+Guide&amp;qid=1695173928&amp;sr=8-1</v>
      </c>
      <c r="F5352" t="s">
        <v>3318</v>
      </c>
      <c r="G5352" t="e">
        <f ca="1">_xludf.IMAGE("https://edmondsonsupply.com/cdn/shop/products/gsg6_catalog-big.jpg?v=1633030416")</f>
        <v>#NAME?</v>
      </c>
      <c r="H5352" t="e">
        <f ca="1">_xludf.IMAGE("https://m.media-amazon.com/images/I/51SQaPIgD2L._AC_UL320_.jpg")</f>
        <v>#NAME?</v>
      </c>
      <c r="I5352" t="s">
        <v>288</v>
      </c>
      <c r="J5352">
        <v>19.8</v>
      </c>
      <c r="K5352" s="4">
        <v>0.4153</v>
      </c>
      <c r="L5352">
        <v>4.5</v>
      </c>
      <c r="M5352">
        <v>155</v>
      </c>
      <c r="O5352" t="s">
        <v>25</v>
      </c>
      <c r="P5352" t="s">
        <v>3319</v>
      </c>
      <c r="Q5352" t="s">
        <v>3320</v>
      </c>
    </row>
    <row r="5353" spans="1:17" ht="15.5" x14ac:dyDescent="0.35">
      <c r="A5353"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5353" s="3" t="str">
        <f>HYPERLINK("https://edmondsonsupply.com/products/diablo-tools-dsp2130-p2-1-in-x-6-in-spade-bit", "https://edmondsonsupply.com/products/diablo-tools-dsp2130-p2-1-in-x-6-in-spade-bit")</f>
        <v>https://edmondsonsupply.com/products/diablo-tools-dsp2130-p2-1-in-x-6-in-spade-bit</v>
      </c>
      <c r="C5353" t="s">
        <v>7211</v>
      </c>
      <c r="D5353" t="s">
        <v>6299</v>
      </c>
      <c r="E5353" s="3" t="str">
        <f>HYPERLINK("https://www.amazon.com/Diablo-DSP2170-P2-SPEEDemon-Spade-2-Pack/dp/B089KWGLL1/ref=sr_1_4?keywords=Diablo+Tools+DSP2130-P2+1+in.+x+6+in.+Spade+Bit&amp;qid=1695174112&amp;sr=8-4", "https://www.amazon.com/Diablo-DSP2170-P2-SPEEDemon-Spade-2-Pack/dp/B089KWGLL1/ref=sr_1_4?keywords=Diablo+Tools+DSP2130-P2+1+in.+x+6+in.+Spade+Bit&amp;qid=1695174112&amp;sr=8-4")</f>
        <v>https://www.amazon.com/Diablo-DSP2170-P2-SPEEDemon-Spade-2-Pack/dp/B089KWGLL1/ref=sr_1_4?keywords=Diablo+Tools+DSP2130-P2+1+in.+x+6+in.+Spade+Bit&amp;qid=1695174112&amp;sr=8-4</v>
      </c>
      <c r="F5353" t="s">
        <v>6300</v>
      </c>
      <c r="G5353" t="e">
        <f ca="1">_xludf.IMAGE("https://edmondsonsupply.com/cdn/shop/products/peyjwqlntvnioikkr5be.webp?v=1670515689")</f>
        <v>#NAME?</v>
      </c>
      <c r="H5353" t="e">
        <f ca="1">_xludf.IMAGE("https://m.media-amazon.com/images/I/61mOtHPCpLL._AC_UL320_.jpg")</f>
        <v>#NAME?</v>
      </c>
      <c r="I5353" t="s">
        <v>7212</v>
      </c>
      <c r="J5353">
        <v>9</v>
      </c>
      <c r="K5353" s="4">
        <v>0.40849999999999997</v>
      </c>
      <c r="L5353">
        <v>4.3</v>
      </c>
      <c r="M5353">
        <v>45</v>
      </c>
      <c r="O5353" t="s">
        <v>25</v>
      </c>
      <c r="P5353" t="s">
        <v>138</v>
      </c>
      <c r="Q5353" t="s">
        <v>7213</v>
      </c>
    </row>
    <row r="5354" spans="1:17" ht="15.5" x14ac:dyDescent="0.35">
      <c r="A5354" s="3" t="str">
        <f>HYPERLINK("https://edmondsonsupply.com/collections/electricians-tools/products/diablo-tools-dou125bw", "https://edmondsonsupply.com/collections/electricians-tools/products/diablo-tools-dou125bw")</f>
        <v>https://edmondsonsupply.com/collections/electricians-tools/products/diablo-tools-dou125bw</v>
      </c>
      <c r="B5354" s="3" t="str">
        <f>HYPERLINK("https://edmondsonsupply.com/products/diablo-tools-dou125bw", "https://edmondsonsupply.com/products/diablo-tools-dou125bw")</f>
        <v>https://edmondsonsupply.com/products/diablo-tools-dou125bw</v>
      </c>
      <c r="C5354" t="s">
        <v>6906</v>
      </c>
      <c r="D5354" t="s">
        <v>5938</v>
      </c>
      <c r="E5354" s="3" t="str">
        <f>HYPERLINK("https://www.amazon.com/Diablo-Universal-Bi-Metal-Blades-Nail-Embedded/dp/B089KW2WVD/ref=sr_1_1?keywords=Diablo+Tools+DOU125BW+1-1%2F4+in.+Universal+Fit+Bi-Metal+Oscillating+Blade+for+Nail-Embedded+Wood&amp;qid=1695174264&amp;sr=8-1", "https://www.amazon.com/Diablo-Universal-Bi-Metal-Blades-Nail-Embedded/dp/B089KW2WVD/ref=sr_1_1?keywords=Diablo+Tools+DOU125BW+1-1%2F4+in.+Universal+Fit+Bi-Metal+Oscillating+Blade+for+Nail-Embedded+Wood&amp;qid=1695174264&amp;sr=8-1")</f>
        <v>https://www.amazon.com/Diablo-Universal-Bi-Metal-Blades-Nail-Embedded/dp/B089KW2WVD/ref=sr_1_1?keywords=Diablo+Tools+DOU125BW+1-1%2F4+in.+Universal+Fit+Bi-Metal+Oscillating+Blade+for+Nail-Embedded+Wood&amp;qid=1695174264&amp;sr=8-1</v>
      </c>
      <c r="F5354" t="s">
        <v>5939</v>
      </c>
      <c r="G5354" t="e">
        <f ca="1">_xludf.IMAGE("https://edmondsonsupply.com/cdn/shop/products/gnn0wpqc8veb3qhldcrb.webp?v=1676040020")</f>
        <v>#NAME?</v>
      </c>
      <c r="H5354" t="e">
        <f ca="1">_xludf.IMAGE("https://m.media-amazon.com/images/I/613ig7mNjfL._AC_UL320_.jpg")</f>
        <v>#NAME?</v>
      </c>
      <c r="I5354" t="s">
        <v>2586</v>
      </c>
      <c r="J5354">
        <v>25.3</v>
      </c>
      <c r="K5354" s="4">
        <v>0.40789999999999998</v>
      </c>
      <c r="L5354">
        <v>4.5999999999999996</v>
      </c>
      <c r="M5354">
        <v>148</v>
      </c>
      <c r="O5354" t="s">
        <v>25</v>
      </c>
      <c r="P5354" t="s">
        <v>2152</v>
      </c>
      <c r="Q5354" t="s">
        <v>6909</v>
      </c>
    </row>
    <row r="5355" spans="1:17" ht="15.5" x14ac:dyDescent="0.35">
      <c r="A5355" s="3" t="str">
        <f>HYPERLINK("https://edmondsonsupply.com/collections/electricians-tools/products/klein-tools-56220-led-headlamp-flashlight-with-strap-for-hard-hat", "https://edmondsonsupply.com/collections/electricians-tools/products/klein-tools-56220-led-headlamp-flashlight-with-strap-for-hard-hat")</f>
        <v>https://edmondsonsupply.com/collections/electricians-tools/products/klein-tools-56220-led-headlamp-flashlight-with-strap-for-hard-hat</v>
      </c>
      <c r="B5355" s="3" t="str">
        <f>HYPERLINK("https://edmondsonsupply.com/products/klein-tools-56220-led-headlamp-flashlight-with-strap-for-hard-hat", "https://edmondsonsupply.com/products/klein-tools-56220-led-headlamp-flashlight-with-strap-for-hard-hat")</f>
        <v>https://edmondsonsupply.com/products/klein-tools-56220-led-headlamp-flashlight-with-strap-for-hard-hat</v>
      </c>
      <c r="C5355" t="s">
        <v>933</v>
      </c>
      <c r="D5355" t="s">
        <v>1008</v>
      </c>
      <c r="E5355" s="3" t="str">
        <f>HYPERLINK("https://www.amazon.com/Klein-Tools-Rechargeable-Worklight-Carpenter/dp/B09Z9239J6/ref=sr_1_7?keywords=Klein+Tools+56220+LED+Headlamp+with+Silicone+Hard+Hat+Strap&amp;qid=1695173937&amp;sr=8-7", "https://www.amazon.com/Klein-Tools-Rechargeable-Worklight-Carpenter/dp/B09Z9239J6/ref=sr_1_7?keywords=Klein+Tools+56220+LED+Headlamp+with+Silicone+Hard+Hat+Strap&amp;qid=1695173937&amp;sr=8-7")</f>
        <v>https://www.amazon.com/Klein-Tools-Rechargeable-Worklight-Carpenter/dp/B09Z9239J6/ref=sr_1_7?keywords=Klein+Tools+56220+LED+Headlamp+with+Silicone+Hard+Hat+Strap&amp;qid=1695173937&amp;sr=8-7</v>
      </c>
      <c r="F5355" t="s">
        <v>1009</v>
      </c>
      <c r="G5355" t="e">
        <f ca="1">_xludf.IMAGE("https://edmondsonsupply.com/cdn/shop/files/56220_874194e8-71d5-41d8-a579-6dec47b3f455.jpg?v=1687356671")</f>
        <v>#NAME?</v>
      </c>
      <c r="H5355" t="e">
        <f ca="1">_xludf.IMAGE("https://m.media-amazon.com/images/I/512rGhe8GUL._AC_UL320_.jpg")</f>
        <v>#NAME?</v>
      </c>
      <c r="I5355" t="s">
        <v>936</v>
      </c>
      <c r="J5355">
        <v>37.94</v>
      </c>
      <c r="K5355" s="4">
        <v>0.40670000000000001</v>
      </c>
      <c r="L5355">
        <v>4.7</v>
      </c>
      <c r="M5355">
        <v>6</v>
      </c>
      <c r="O5355" t="s">
        <v>25</v>
      </c>
      <c r="P5355" t="s">
        <v>937</v>
      </c>
      <c r="Q5355" t="s">
        <v>938</v>
      </c>
    </row>
    <row r="5356" spans="1:17" ht="15.5" x14ac:dyDescent="0.35">
      <c r="A5356"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5356"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5356" t="s">
        <v>7214</v>
      </c>
      <c r="D5356" t="s">
        <v>7215</v>
      </c>
      <c r="E5356" s="3" t="str">
        <f>HYPERLINK("https://www.amazon.com/Klein-Tools-6944INS-Screwdriver-Cushion-Grip/dp/B09GPYTZV3/ref=sr_1_4?keywords=Klein+Tools+6844INS+Insulated+Screwdriver%2C+%232+Square+Tip%2C+4-Inch+Round+Shank&amp;qid=1695174147&amp;sr=8-4", "https://www.amazon.com/Klein-Tools-6944INS-Screwdriver-Cushion-Grip/dp/B09GPYTZV3/ref=sr_1_4?keywords=Klein+Tools+6844INS+Insulated+Screwdriver%2C+%232+Square+Tip%2C+4-Inch+Round+Shank&amp;qid=1695174147&amp;sr=8-4")</f>
        <v>https://www.amazon.com/Klein-Tools-6944INS-Screwdriver-Cushion-Grip/dp/B09GPYTZV3/ref=sr_1_4?keywords=Klein+Tools+6844INS+Insulated+Screwdriver%2C+%232+Square+Tip%2C+4-Inch+Round+Shank&amp;qid=1695174147&amp;sr=8-4</v>
      </c>
      <c r="F5356" t="s">
        <v>7216</v>
      </c>
      <c r="G5356" t="e">
        <f ca="1">_xludf.IMAGE("https://edmondsonsupply.com/cdn/shop/products/6844ins.jpg?v=1664817203")</f>
        <v>#NAME?</v>
      </c>
      <c r="H5356" t="e">
        <f ca="1">_xludf.IMAGE("https://m.media-amazon.com/images/I/41PzygwLx+L._AC_UL320_.jpg")</f>
        <v>#NAME?</v>
      </c>
      <c r="I5356" t="s">
        <v>1427</v>
      </c>
      <c r="J5356">
        <v>13.99</v>
      </c>
      <c r="K5356" s="4">
        <v>0.4032</v>
      </c>
      <c r="L5356">
        <v>4.7</v>
      </c>
      <c r="M5356">
        <v>95</v>
      </c>
      <c r="O5356" t="s">
        <v>25</v>
      </c>
      <c r="P5356" t="s">
        <v>7217</v>
      </c>
      <c r="Q5356" t="s">
        <v>7218</v>
      </c>
    </row>
    <row r="5357" spans="1:17" ht="15.5" x14ac:dyDescent="0.35">
      <c r="A5357"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5357"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5357" t="s">
        <v>7214</v>
      </c>
      <c r="D5357" t="s">
        <v>7219</v>
      </c>
      <c r="E5357" s="3" t="str">
        <f>HYPERLINK("https://www.amazon.com/Klein-Tools-6984INS-Screwdriver-Cushion-Grip/dp/B09GPZ5P2M/ref=sr_1_6?keywords=Klein+Tools+6844INS+Insulated+Screwdriver%2C+%232+Square+Tip%2C+4-Inch+Round+Shank&amp;qid=1695174147&amp;sr=8-6", "https://www.amazon.com/Klein-Tools-6984INS-Screwdriver-Cushion-Grip/dp/B09GPZ5P2M/ref=sr_1_6?keywords=Klein+Tools+6844INS+Insulated+Screwdriver%2C+%232+Square+Tip%2C+4-Inch+Round+Shank&amp;qid=1695174147&amp;sr=8-6")</f>
        <v>https://www.amazon.com/Klein-Tools-6984INS-Screwdriver-Cushion-Grip/dp/B09GPZ5P2M/ref=sr_1_6?keywords=Klein+Tools+6844INS+Insulated+Screwdriver%2C+%232+Square+Tip%2C+4-Inch+Round+Shank&amp;qid=1695174147&amp;sr=8-6</v>
      </c>
      <c r="F5357" t="s">
        <v>7220</v>
      </c>
      <c r="G5357" t="e">
        <f ca="1">_xludf.IMAGE("https://edmondsonsupply.com/cdn/shop/products/6844ins.jpg?v=1664817203")</f>
        <v>#NAME?</v>
      </c>
      <c r="H5357" t="e">
        <f ca="1">_xludf.IMAGE("https://m.media-amazon.com/images/I/41uj4ogsy3L._AC_UL320_.jpg")</f>
        <v>#NAME?</v>
      </c>
      <c r="I5357" t="s">
        <v>1427</v>
      </c>
      <c r="J5357">
        <v>13.99</v>
      </c>
      <c r="K5357" s="4">
        <v>0.4032</v>
      </c>
      <c r="L5357">
        <v>4.8</v>
      </c>
      <c r="M5357">
        <v>108</v>
      </c>
      <c r="O5357" t="s">
        <v>25</v>
      </c>
      <c r="P5357" t="s">
        <v>7217</v>
      </c>
      <c r="Q5357" t="s">
        <v>7218</v>
      </c>
    </row>
    <row r="5358" spans="1:17" ht="15.5" x14ac:dyDescent="0.35">
      <c r="A5358" s="3" t="str">
        <f>HYPERLINK("https://edmondsonsupply.com/collections/electricians-tools/products/klein-tools-725-jab-saw", "https://edmondsonsupply.com/collections/electricians-tools/products/klein-tools-725-jab-saw")</f>
        <v>https://edmondsonsupply.com/collections/electricians-tools/products/klein-tools-725-jab-saw</v>
      </c>
      <c r="B5358" s="3" t="str">
        <f>HYPERLINK("https://edmondsonsupply.com/products/klein-tools-725-jab-saw", "https://edmondsonsupply.com/products/klein-tools-725-jab-saw")</f>
        <v>https://edmondsonsupply.com/products/klein-tools-725-jab-saw</v>
      </c>
      <c r="C5358" t="s">
        <v>3337</v>
      </c>
      <c r="D5358" t="s">
        <v>3338</v>
      </c>
      <c r="E5358" s="3" t="str">
        <f>HYPERLINK("https://www.amazon.com/Drywall-Lockback-Klein-Tools-31737/dp/B07DKRCNX3/ref=sr_1_2?keywords=Klein+Tools+725+Jab+Saw&amp;qid=1695173921&amp;sr=8-2", "https://www.amazon.com/Drywall-Lockback-Klein-Tools-31737/dp/B07DKRCNX3/ref=sr_1_2?keywords=Klein+Tools+725+Jab+Saw&amp;qid=1695173921&amp;sr=8-2")</f>
        <v>https://www.amazon.com/Drywall-Lockback-Klein-Tools-31737/dp/B07DKRCNX3/ref=sr_1_2?keywords=Klein+Tools+725+Jab+Saw&amp;qid=1695173921&amp;sr=8-2</v>
      </c>
      <c r="F5358" t="s">
        <v>3339</v>
      </c>
      <c r="G5358" t="e">
        <f ca="1">_xludf.IMAGE("https://edmondsonsupply.com/cdn/shop/products/725.jpg?v=1633030531")</f>
        <v>#NAME?</v>
      </c>
      <c r="H5358" t="e">
        <f ca="1">_xludf.IMAGE("https://m.media-amazon.com/images/I/51aZ4FRWZaL._AC_UL320_.jpg")</f>
        <v>#NAME?</v>
      </c>
      <c r="I5358" t="s">
        <v>2784</v>
      </c>
      <c r="J5358">
        <v>20.99</v>
      </c>
      <c r="K5358" s="4">
        <v>0.40210000000000001</v>
      </c>
      <c r="L5358">
        <v>4.8</v>
      </c>
      <c r="M5358">
        <v>3367</v>
      </c>
      <c r="O5358" t="s">
        <v>25</v>
      </c>
      <c r="P5358" t="s">
        <v>332</v>
      </c>
      <c r="Q5358" t="s">
        <v>3340</v>
      </c>
    </row>
    <row r="5359" spans="1:17" ht="15.5" x14ac:dyDescent="0.35">
      <c r="A5359" s="3" t="str">
        <f>HYPERLINK("https://edmondsonsupply.com/collections/electricians-tools/products/channellock-431", "https://edmondsonsupply.com/collections/electricians-tools/products/channellock-431")</f>
        <v>https://edmondsonsupply.com/collections/electricians-tools/products/channellock-431</v>
      </c>
      <c r="B5359" s="3" t="str">
        <f>HYPERLINK("https://edmondsonsupply.com/products/channellock-431", "https://edmondsonsupply.com/products/channellock-431")</f>
        <v>https://edmondsonsupply.com/products/channellock-431</v>
      </c>
      <c r="C5359" t="s">
        <v>3341</v>
      </c>
      <c r="D5359" t="s">
        <v>3342</v>
      </c>
      <c r="E5359" s="3" t="str">
        <f>HYPERLINK("https://www.amazon.com/Channellock-432X-SPEEDGRIP-Tongue-Adjustment/dp/B0CF7NZW61/ref=sr_1_1?keywords=Channellock+432+10-Inch+V-Jaw+Tongue&amp;qid=1695173959&amp;sr=8-1", "https://www.amazon.com/Channellock-432X-SPEEDGRIP-Tongue-Adjustment/dp/B0CF7NZW61/ref=sr_1_1?keywords=Channellock+432+10-Inch+V-Jaw+Tongue&amp;qid=1695173959&amp;sr=8-1")</f>
        <v>https://www.amazon.com/Channellock-432X-SPEEDGRIP-Tongue-Adjustment/dp/B0CF7NZW61/ref=sr_1_1?keywords=Channellock+432+10-Inch+V-Jaw+Tongue&amp;qid=1695173959&amp;sr=8-1</v>
      </c>
      <c r="F5359" t="s">
        <v>3343</v>
      </c>
      <c r="G5359" t="e">
        <f ca="1">_xludf.IMAGE("https://edmondsonsupply.com/cdn/shop/products/432-683x1024.jpg?v=1587147134")</f>
        <v>#NAME?</v>
      </c>
      <c r="H5359" t="e">
        <f ca="1">_xludf.IMAGE("https://m.media-amazon.com/images/I/71VK5DgcWtL._AC_UL320_.jpg")</f>
        <v>#NAME?</v>
      </c>
      <c r="I5359" t="s">
        <v>488</v>
      </c>
      <c r="J5359">
        <v>27.97</v>
      </c>
      <c r="K5359" s="4">
        <v>0.40200000000000002</v>
      </c>
      <c r="L5359">
        <v>5</v>
      </c>
      <c r="M5359">
        <v>1</v>
      </c>
      <c r="O5359" t="s">
        <v>25</v>
      </c>
      <c r="P5359" t="s">
        <v>3344</v>
      </c>
      <c r="Q5359" t="s">
        <v>3345</v>
      </c>
    </row>
    <row r="5360" spans="1:17" ht="15.5" x14ac:dyDescent="0.35">
      <c r="A5360"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5360"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5360" t="s">
        <v>6812</v>
      </c>
      <c r="D5360" t="s">
        <v>7065</v>
      </c>
      <c r="E5360" s="3" t="str">
        <f>HYPERLINK("https://www.amazon.com/Klein-Tools-6924INS-Insulated-Screwdriver/dp/B088NRM4CC/ref=sr_1_1?keywords=Klein+Tools+6824INS+Insulated+Screwdriver%2C+1%2F4-Inch+Cabinet+Tip%2C+4-Inch+Round+Shank&amp;qid=1695174148&amp;sr=8-1", "https://www.amazon.com/Klein-Tools-6924INS-Insulated-Screwdriver/dp/B088NRM4CC/ref=sr_1_1?keywords=Klein+Tools+6824INS+Insulated+Screwdriver%2C+1%2F4-Inch+Cabinet+Tip%2C+4-Inch+Round+Shank&amp;qid=1695174148&amp;sr=8-1")</f>
        <v>https://www.amazon.com/Klein-Tools-6924INS-Insulated-Screwdriver/dp/B088NRM4CC/ref=sr_1_1?keywords=Klein+Tools+6824INS+Insulated+Screwdriver%2C+1%2F4-Inch+Cabinet+Tip%2C+4-Inch+Round+Shank&amp;qid=1695174148&amp;sr=8-1</v>
      </c>
      <c r="F5360" t="s">
        <v>7066</v>
      </c>
      <c r="G5360" t="e">
        <f ca="1">_xludf.IMAGE("https://edmondsonsupply.com/cdn/shop/products/6824ins.jpg?v=1664813487")</f>
        <v>#NAME?</v>
      </c>
      <c r="H5360" t="e">
        <f ca="1">_xludf.IMAGE("https://m.media-amazon.com/images/I/419wtU12P3L._AC_UL320_.jpg")</f>
        <v>#NAME?</v>
      </c>
      <c r="I5360" t="s">
        <v>1427</v>
      </c>
      <c r="J5360">
        <v>13.97</v>
      </c>
      <c r="K5360" s="4">
        <v>0.4012</v>
      </c>
      <c r="L5360">
        <v>4.8</v>
      </c>
      <c r="M5360">
        <v>1361</v>
      </c>
      <c r="O5360" t="s">
        <v>25</v>
      </c>
      <c r="P5360" t="s">
        <v>6813</v>
      </c>
      <c r="Q5360" t="s">
        <v>6814</v>
      </c>
    </row>
    <row r="5361" spans="1:17" ht="15.5" x14ac:dyDescent="0.35">
      <c r="A5361" s="3" t="str">
        <f>HYPERLINK("https://edmondsonsupply.com/collections/electricians-tools/products/klein-tools-60466-neck-and-face-warming-half-band-black", "https://edmondsonsupply.com/collections/electricians-tools/products/klein-tools-60466-neck-and-face-warming-half-band-black")</f>
        <v>https://edmondsonsupply.com/collections/electricians-tools/products/klein-tools-60466-neck-and-face-warming-half-band-black</v>
      </c>
      <c r="B5361" s="3" t="str">
        <f>HYPERLINK("https://edmondsonsupply.com/products/klein-tools-60466-neck-and-face-warming-half-band-black", "https://edmondsonsupply.com/products/klein-tools-60466-neck-and-face-warming-half-band-black")</f>
        <v>https://edmondsonsupply.com/products/klein-tools-60466-neck-and-face-warming-half-band-black</v>
      </c>
      <c r="C5361" t="s">
        <v>7221</v>
      </c>
      <c r="D5361" t="s">
        <v>3347</v>
      </c>
      <c r="E5361" s="3" t="str">
        <f>HYPERLINK("https://www.amazon.com/Klein-Tools-Standard-Balaclava-Black/dp/B08L5JYT8W/ref=sr_1_1?keywords=Klein+Tools+60466+Neck+and+Face+Warming+Half-Band%2C+Black&amp;qid=1695174208&amp;sr=8-1", "https://www.amazon.com/Klein-Tools-Standard-Balaclava-Black/dp/B08L5JYT8W/ref=sr_1_1?keywords=Klein+Tools+60466+Neck+and+Face+Warming+Half-Band%2C+Black&amp;qid=1695174208&amp;sr=8-1")</f>
        <v>https://www.amazon.com/Klein-Tools-Standard-Balaclava-Black/dp/B08L5JYT8W/ref=sr_1_1?keywords=Klein+Tools+60466+Neck+and+Face+Warming+Half-Band%2C+Black&amp;qid=1695174208&amp;sr=8-1</v>
      </c>
      <c r="F5361" t="s">
        <v>3348</v>
      </c>
      <c r="G5361" t="e">
        <f ca="1">_xludf.IMAGE("https://edmondsonsupply.com/cdn/shop/products/60466_callout_1.jpg?v=1659114198")</f>
        <v>#NAME?</v>
      </c>
      <c r="H5361" t="e">
        <f ca="1">_xludf.IMAGE("https://m.media-amazon.com/images/I/51r6HCmqqNL._AC_UL320_.jpg")</f>
        <v>#NAME?</v>
      </c>
      <c r="I5361" t="s">
        <v>2577</v>
      </c>
      <c r="J5361">
        <v>13.99</v>
      </c>
      <c r="K5361" s="4">
        <v>0.40039999999999998</v>
      </c>
      <c r="L5361">
        <v>4.4000000000000004</v>
      </c>
      <c r="M5361">
        <v>92</v>
      </c>
      <c r="O5361" t="s">
        <v>25</v>
      </c>
      <c r="P5361" t="s">
        <v>7222</v>
      </c>
      <c r="Q5361" t="s">
        <v>7223</v>
      </c>
    </row>
    <row r="5362" spans="1:17" ht="15.5" x14ac:dyDescent="0.35">
      <c r="A5362" s="3" t="str">
        <f>HYPERLINK("https://edmondsonsupply.com/collections/electricians-tools/products/klein-tools-60439-neck-and-face-cooling-band", "https://edmondsonsupply.com/collections/electricians-tools/products/klein-tools-60439-neck-and-face-cooling-band")</f>
        <v>https://edmondsonsupply.com/collections/electricians-tools/products/klein-tools-60439-neck-and-face-cooling-band</v>
      </c>
      <c r="B5362" s="3" t="str">
        <f>HYPERLINK("https://edmondsonsupply.com/products/klein-tools-60439-neck-and-face-cooling-band", "https://edmondsonsupply.com/products/klein-tools-60439-neck-and-face-cooling-band")</f>
        <v>https://edmondsonsupply.com/products/klein-tools-60439-neck-and-face-cooling-band</v>
      </c>
      <c r="C5362" t="s">
        <v>3346</v>
      </c>
      <c r="D5362" t="s">
        <v>3347</v>
      </c>
      <c r="E5362" s="3" t="str">
        <f>HYPERLINK("https://www.amazon.com/Klein-Tools-Standard-Balaclava-Black/dp/B08L5JYT8W/ref=sr_1_7?keywords=Klein+Tools+60439+Neck+and+Face+Cooling+Band&amp;qid=1695173890&amp;sr=8-7", "https://www.amazon.com/Klein-Tools-Standard-Balaclava-Black/dp/B08L5JYT8W/ref=sr_1_7?keywords=Klein+Tools+60439+Neck+and+Face+Cooling+Band&amp;qid=1695173890&amp;sr=8-7")</f>
        <v>https://www.amazon.com/Klein-Tools-Standard-Balaclava-Black/dp/B08L5JYT8W/ref=sr_1_7?keywords=Klein+Tools+60439+Neck+and+Face+Cooling+Band&amp;qid=1695173890&amp;sr=8-7</v>
      </c>
      <c r="F5362" t="s">
        <v>3348</v>
      </c>
      <c r="G5362" t="e">
        <f ca="1">_xludf.IMAGE("https://edmondsonsupply.com/cdn/shop/products/60439.jpg?v=1633030400")</f>
        <v>#NAME?</v>
      </c>
      <c r="H5362" t="e">
        <f ca="1">_xludf.IMAGE("https://m.media-amazon.com/images/I/51r6HCmqqNL._AC_UL320_.jpg")</f>
        <v>#NAME?</v>
      </c>
      <c r="I5362" t="s">
        <v>2577</v>
      </c>
      <c r="J5362">
        <v>13.99</v>
      </c>
      <c r="K5362" s="4">
        <v>0.40039999999999998</v>
      </c>
      <c r="L5362">
        <v>4.4000000000000004</v>
      </c>
      <c r="M5362">
        <v>92</v>
      </c>
      <c r="O5362" t="s">
        <v>25</v>
      </c>
      <c r="P5362" t="s">
        <v>1271</v>
      </c>
      <c r="Q5362" t="s">
        <v>3349</v>
      </c>
    </row>
    <row r="5363" spans="1:17" ht="15.5" x14ac:dyDescent="0.35">
      <c r="A5363"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363"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363" t="s">
        <v>6995</v>
      </c>
      <c r="D5363" t="s">
        <v>7224</v>
      </c>
      <c r="E5363" s="3" t="str">
        <f>HYPERLINK("https://www.amazon.com/Klein-Tools-Multimeter-Noncontact-Batteries/dp/B0BC819G7C/ref=sr_1_3?keywords=Klein+Tools+69149P+Test+Kit+with+Multimeter%2C+Non-Contact+Volt+Tester%2C+Receptacle+Tester&amp;qid=1695174288&amp;sr=8-3", "https://www.amazon.com/Klein-Tools-Multimeter-Noncontact-Batteries/dp/B0BC819G7C/ref=sr_1_3?keywords=Klein+Tools+69149P+Test+Kit+with+Multimeter%2C+Non-Contact+Volt+Tester%2C+Receptacle+Tester&amp;qid=1695174288&amp;sr=8-3")</f>
        <v>https://www.amazon.com/Klein-Tools-Multimeter-Noncontact-Batteries/dp/B0BC819G7C/ref=sr_1_3?keywords=Klein+Tools+69149P+Test+Kit+with+Multimeter%2C+Non-Contact+Volt+Tester%2C+Receptacle+Tester&amp;qid=1695174288&amp;sr=8-3</v>
      </c>
      <c r="F5363" t="s">
        <v>7225</v>
      </c>
      <c r="G5363" t="e">
        <f ca="1">_xludf.IMAGE("https://edmondsonsupply.com/cdn/shop/products/69149p.jpg?v=1664479017")</f>
        <v>#NAME?</v>
      </c>
      <c r="H5363" t="e">
        <f ca="1">_xludf.IMAGE("https://m.media-amazon.com/images/I/61-QuyRIr7L._AC_UL320_.jpg")</f>
        <v>#NAME?</v>
      </c>
      <c r="I5363" t="s">
        <v>246</v>
      </c>
      <c r="J5363">
        <v>55.97</v>
      </c>
      <c r="K5363" s="4">
        <v>0.40029999999999999</v>
      </c>
      <c r="L5363">
        <v>5</v>
      </c>
      <c r="M5363">
        <v>2</v>
      </c>
      <c r="O5363" t="s">
        <v>25</v>
      </c>
      <c r="P5363" t="s">
        <v>6996</v>
      </c>
      <c r="Q5363" t="s">
        <v>6997</v>
      </c>
    </row>
    <row r="5364" spans="1:17" ht="15.5" x14ac:dyDescent="0.35">
      <c r="A5364"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5364" s="3" t="str">
        <f>HYPERLINK("https://edmondsonsupply.com/products/klein-tools-rt310-afci-gfci-outlet-tester", "https://edmondsonsupply.com/products/klein-tools-rt310-afci-gfci-outlet-tester")</f>
        <v>https://edmondsonsupply.com/products/klein-tools-rt310-afci-gfci-outlet-tester</v>
      </c>
      <c r="C5364" t="s">
        <v>6210</v>
      </c>
      <c r="D5364" t="s">
        <v>7226</v>
      </c>
      <c r="E5364" s="3" t="str">
        <f>HYPERLINK("https://www.amazon.com/Klein-Tools-Receptacle-Electrical-Multimeter/dp/B0BNL4NYN9/ref=sr_1_5?keywords=Klein+Tools+RT310+AFCI+%2F+GFCI+Outlet+Tester&amp;qid=1695173970&amp;sr=8-5", "https://www.amazon.com/Klein-Tools-Receptacle-Electrical-Multimeter/dp/B0BNL4NYN9/ref=sr_1_5?keywords=Klein+Tools+RT310+AFCI+%2F+GFCI+Outlet+Tester&amp;qid=1695173970&amp;sr=8-5")</f>
        <v>https://www.amazon.com/Klein-Tools-Receptacle-Electrical-Multimeter/dp/B0BNL4NYN9/ref=sr_1_5?keywords=Klein+Tools+RT310+AFCI+%2F+GFCI+Outlet+Tester&amp;qid=1695173970&amp;sr=8-5</v>
      </c>
      <c r="F5364" t="s">
        <v>7227</v>
      </c>
      <c r="G5364" t="e">
        <f ca="1">_xludf.IMAGE("https://edmondsonsupply.com/cdn/shop/products/rt310.jpg?v=1587148552")</f>
        <v>#NAME?</v>
      </c>
      <c r="H5364" t="e">
        <f ca="1">_xludf.IMAGE("https://m.media-amazon.com/images/I/51rZF3lboNL._AC_UL320_.jpg")</f>
        <v>#NAME?</v>
      </c>
      <c r="I5364" t="s">
        <v>246</v>
      </c>
      <c r="J5364">
        <v>55.97</v>
      </c>
      <c r="K5364" s="4">
        <v>0.40029999999999999</v>
      </c>
      <c r="L5364">
        <v>2.9</v>
      </c>
      <c r="M5364">
        <v>2</v>
      </c>
      <c r="O5364" t="s">
        <v>25</v>
      </c>
      <c r="P5364" t="s">
        <v>6213</v>
      </c>
      <c r="Q5364" t="s">
        <v>6214</v>
      </c>
    </row>
    <row r="5365" spans="1:17" ht="15.5" x14ac:dyDescent="0.35">
      <c r="A5365"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5365"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5365" t="s">
        <v>851</v>
      </c>
      <c r="D5365" t="s">
        <v>974</v>
      </c>
      <c r="E5365" s="3" t="str">
        <f>HYPERLINK("https://www.amazon.com/Klein-Tools-60537-Professional-Protective/dp/B0BLQM26TJ/ref=sr_1_5?keywords=Klein+Tools+60163+Professional+Safety+Glasses%2C+Full+Frame%2C+Clear+Lens&amp;qid=1695174311&amp;sr=8-5", "https://www.amazon.com/Klein-Tools-60537-Professional-Protective/dp/B0BLQM26TJ/ref=sr_1_5?keywords=Klein+Tools+60163+Professional+Safety+Glasses%2C+Full+Frame%2C+Clear+Lens&amp;qid=1695174311&amp;sr=8-5")</f>
        <v>https://www.amazon.com/Klein-Tools-60537-Professional-Protective/dp/B0BLQM26TJ/ref=sr_1_5?keywords=Klein+Tools+60163+Professional+Safety+Glasses%2C+Full+Frame%2C+Clear+Lens&amp;qid=1695174311&amp;sr=8-5</v>
      </c>
      <c r="F5365" t="s">
        <v>975</v>
      </c>
      <c r="G5365" t="e">
        <f ca="1">_xludf.IMAGE("https://edmondsonsupply.com/cdn/shop/products/60163.jpg?v=1633030848")</f>
        <v>#NAME?</v>
      </c>
      <c r="H5365" t="e">
        <f ca="1">_xludf.IMAGE("https://m.media-amazon.com/images/I/41ZbdEu2lCL._AC_UL320_.jpg")</f>
        <v>#NAME?</v>
      </c>
      <c r="I5365" t="s">
        <v>276</v>
      </c>
      <c r="J5365">
        <v>20.99</v>
      </c>
      <c r="K5365" s="4">
        <v>0.40029999999999999</v>
      </c>
      <c r="L5365">
        <v>4.5</v>
      </c>
      <c r="M5365">
        <v>15</v>
      </c>
      <c r="O5365" t="s">
        <v>25</v>
      </c>
      <c r="P5365" t="s">
        <v>277</v>
      </c>
      <c r="Q5365" t="s">
        <v>852</v>
      </c>
    </row>
    <row r="5366" spans="1:17" ht="15.5" x14ac:dyDescent="0.35">
      <c r="A5366"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5366"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5366" t="s">
        <v>1848</v>
      </c>
      <c r="D5366" t="s">
        <v>974</v>
      </c>
      <c r="E5366" s="3" t="str">
        <f>HYPERLINK("https://www.amazon.com/Klein-Tools-60537-Professional-Protective/dp/B0BLQM26TJ/ref=sr_1_9?keywords=Klein+Tools+60164+Professional+Safety+Glasses%2C+Full+Frame%2C+Gray+Lens&amp;qid=1695173933&amp;sr=8-9", "https://www.amazon.com/Klein-Tools-60537-Professional-Protective/dp/B0BLQM26TJ/ref=sr_1_9?keywords=Klein+Tools+60164+Professional+Safety+Glasses%2C+Full+Frame%2C+Gray+Lens&amp;qid=1695173933&amp;sr=8-9")</f>
        <v>https://www.amazon.com/Klein-Tools-60537-Professional-Protective/dp/B0BLQM26TJ/ref=sr_1_9?keywords=Klein+Tools+60164+Professional+Safety+Glasses%2C+Full+Frame%2C+Gray+Lens&amp;qid=1695173933&amp;sr=8-9</v>
      </c>
      <c r="F5366" t="s">
        <v>975</v>
      </c>
      <c r="G5366" t="e">
        <f ca="1">_xludf.IMAGE("https://edmondsonsupply.com/cdn/shop/products/60164.jpg?v=1633030851")</f>
        <v>#NAME?</v>
      </c>
      <c r="H5366" t="e">
        <f ca="1">_xludf.IMAGE("https://m.media-amazon.com/images/I/41ZbdEu2lCL._AC_UL320_.jpg")</f>
        <v>#NAME?</v>
      </c>
      <c r="I5366" t="s">
        <v>276</v>
      </c>
      <c r="J5366">
        <v>20.99</v>
      </c>
      <c r="K5366" s="4">
        <v>0.40029999999999999</v>
      </c>
      <c r="L5366">
        <v>4.5</v>
      </c>
      <c r="M5366">
        <v>15</v>
      </c>
      <c r="O5366" t="s">
        <v>25</v>
      </c>
      <c r="P5366" t="s">
        <v>277</v>
      </c>
      <c r="Q5366" t="s">
        <v>1849</v>
      </c>
    </row>
    <row r="5367" spans="1:17" ht="15.5" x14ac:dyDescent="0.35">
      <c r="A5367"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5367"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5367" t="s">
        <v>896</v>
      </c>
      <c r="D5367" t="s">
        <v>974</v>
      </c>
      <c r="E5367" s="3" t="str">
        <f>HYPERLINK("https://www.amazon.com/Klein-Tools-60537-Professional-Protective/dp/B0BLQM26TJ/ref=sr_1_1?keywords=Klein+Tools+60537+Professional+Safety+Glasses%2C+Full-Frame%2C+Indoor%2FOutdoor+Lens&amp;qid=1695174097&amp;sr=8-1", "https://www.amazon.com/Klein-Tools-60537-Professional-Protective/dp/B0BLQM26TJ/ref=sr_1_1?keywords=Klein+Tools+60537+Professional+Safety+Glasses%2C+Full-Frame%2C+Indoor%2FOutdoor+Lens&amp;qid=1695174097&amp;sr=8-1")</f>
        <v>https://www.amazon.com/Klein-Tools-60537-Professional-Protective/dp/B0BLQM26TJ/ref=sr_1_1?keywords=Klein+Tools+60537+Professional+Safety+Glasses%2C+Full-Frame%2C+Indoor%2FOutdoor+Lens&amp;qid=1695174097&amp;sr=8-1</v>
      </c>
      <c r="F5367" t="s">
        <v>975</v>
      </c>
      <c r="G5367" t="e">
        <f ca="1">_xludf.IMAGE("https://edmondsonsupply.com/cdn/shop/products/60537.jpg?v=1670947087")</f>
        <v>#NAME?</v>
      </c>
      <c r="H5367" t="e">
        <f ca="1">_xludf.IMAGE("https://m.media-amazon.com/images/I/41ZbdEu2lCL._AC_UL320_.jpg")</f>
        <v>#NAME?</v>
      </c>
      <c r="I5367" t="s">
        <v>276</v>
      </c>
      <c r="J5367">
        <v>20.99</v>
      </c>
      <c r="K5367" s="4">
        <v>0.40029999999999999</v>
      </c>
      <c r="L5367">
        <v>4.5</v>
      </c>
      <c r="M5367">
        <v>15</v>
      </c>
      <c r="O5367" t="s">
        <v>25</v>
      </c>
      <c r="P5367" t="s">
        <v>277</v>
      </c>
      <c r="Q5367" t="s">
        <v>897</v>
      </c>
    </row>
    <row r="5368" spans="1:17" ht="15.5" x14ac:dyDescent="0.35">
      <c r="A5368" s="3" t="str">
        <f>HYPERLINK("https://edmondsonsupply.com/collections/electricians-tools/products/klein-tools-33736ins", "https://edmondsonsupply.com/collections/electricians-tools/products/klein-tools-33736ins")</f>
        <v>https://edmondsonsupply.com/collections/electricians-tools/products/klein-tools-33736ins</v>
      </c>
      <c r="B5368" s="3" t="str">
        <f>HYPERLINK("https://edmondsonsupply.com/products/klein-tools-33736ins", "https://edmondsonsupply.com/products/klein-tools-33736ins")</f>
        <v>https://edmondsonsupply.com/products/klein-tools-33736ins</v>
      </c>
      <c r="C5368" t="s">
        <v>1928</v>
      </c>
      <c r="D5368" t="s">
        <v>3350</v>
      </c>
      <c r="E5368" s="3" t="str">
        <f>HYPERLINK("https://www.amazon.com/Klein-Tools-Insulated-Screwdriver-Magnetizer/dp/B0BD3TP57V/ref=sr_1_2?keywords=Klein+Tools+33736INS+Screwdriver+Set%2C+1000V+Slim-Tip+Insulated+and+Magnetizer%2C+6-Piece&amp;qid=1695173911&amp;sr=8-2", "https://www.amazon.com/Klein-Tools-Insulated-Screwdriver-Magnetizer/dp/B0BD3TP57V/ref=sr_1_2?keywords=Klein+Tools+33736INS+Screwdriver+Set%2C+1000V+Slim-Tip+Insulated+and+Magnetizer%2C+6-Piece&amp;qid=1695173911&amp;sr=8-2")</f>
        <v>https://www.amazon.com/Klein-Tools-Insulated-Screwdriver-Magnetizer/dp/B0BD3TP57V/ref=sr_1_2?keywords=Klein+Tools+33736INS+Screwdriver+Set%2C+1000V+Slim-Tip+Insulated+and+Magnetizer%2C+6-Piece&amp;qid=1695173911&amp;sr=8-2</v>
      </c>
      <c r="F5368" t="s">
        <v>3351</v>
      </c>
      <c r="G5368" t="e">
        <f ca="1">_xludf.IMAGE("https://edmondsonsupply.com/cdn/shop/products/33736ins.jpg?v=1664807705")</f>
        <v>#NAME?</v>
      </c>
      <c r="H5368" t="e">
        <f ca="1">_xludf.IMAGE("https://m.media-amazon.com/images/I/51XENACg0nL._AC_UL320_.jpg")</f>
        <v>#NAME?</v>
      </c>
      <c r="I5368" t="s">
        <v>1931</v>
      </c>
      <c r="J5368">
        <v>69.98</v>
      </c>
      <c r="K5368" s="4">
        <v>0.39989999999999998</v>
      </c>
      <c r="L5368">
        <v>5</v>
      </c>
      <c r="M5368">
        <v>1</v>
      </c>
      <c r="O5368" t="s">
        <v>25</v>
      </c>
      <c r="P5368" t="s">
        <v>1932</v>
      </c>
      <c r="Q5368" t="s">
        <v>1933</v>
      </c>
    </row>
    <row r="5369" spans="1:17" ht="15.5" x14ac:dyDescent="0.35">
      <c r="A5369"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5369"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5369" t="s">
        <v>6146</v>
      </c>
      <c r="D5369" t="s">
        <v>7228</v>
      </c>
      <c r="E5369" s="3" t="str">
        <f>HYPERLINK("https://www.amazon.com/Klein-Tools-Insulated-Screwdriver-Double-Ended/dp/B08ZNQFGYR/ref=sr_1_3?keywords=Klein+Tools+32288+8-in-1+Insulated+Interchangeable+Screwdriver+Set&amp;qid=1695173864&amp;sr=8-3", "https://www.amazon.com/Klein-Tools-Insulated-Screwdriver-Double-Ended/dp/B08ZNQFGYR/ref=sr_1_3?keywords=Klein+Tools+32288+8-in-1+Insulated+Interchangeable+Screwdriver+Set&amp;qid=1695173864&amp;sr=8-3")</f>
        <v>https://www.amazon.com/Klein-Tools-Insulated-Screwdriver-Double-Ended/dp/B08ZNQFGYR/ref=sr_1_3?keywords=Klein+Tools+32288+8-in-1+Insulated+Interchangeable+Screwdriver+Set&amp;qid=1695173864&amp;sr=8-3</v>
      </c>
      <c r="F5369" t="s">
        <v>7229</v>
      </c>
      <c r="G5369" t="e">
        <f ca="1">_xludf.IMAGE("https://edmondsonsupply.com/cdn/shop/products/32288.jpg?v=1587146849")</f>
        <v>#NAME?</v>
      </c>
      <c r="H5369" t="e">
        <f ca="1">_xludf.IMAGE("https://m.media-amazon.com/images/I/51PAxTnXGXS._AC_UL320_.jpg")</f>
        <v>#NAME?</v>
      </c>
      <c r="I5369" t="s">
        <v>1931</v>
      </c>
      <c r="J5369">
        <v>69.97</v>
      </c>
      <c r="K5369" s="4">
        <v>0.3997</v>
      </c>
      <c r="L5369">
        <v>5</v>
      </c>
      <c r="M5369">
        <v>7</v>
      </c>
      <c r="O5369" t="s">
        <v>25</v>
      </c>
      <c r="P5369" t="s">
        <v>1114</v>
      </c>
      <c r="Q5369" t="s">
        <v>6149</v>
      </c>
    </row>
    <row r="5370" spans="1:17" ht="15.5" x14ac:dyDescent="0.35">
      <c r="A5370"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370"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370" t="s">
        <v>6824</v>
      </c>
      <c r="D5370" t="s">
        <v>7230</v>
      </c>
      <c r="E5370" s="3" t="str">
        <f>HYPERLINK("https://www.amazon.com/Klein-Tools-Electrical-Multimeter-Integrated/dp/B0BXK9J5KD/ref=sr_1_8?keywords=Klein+Tools+ET310+Digital+Circuit+Breaker+Finder+with+GFCI+Outlet+Tester&amp;qid=1695173862&amp;sr=8-8", "https://www.amazon.com/Klein-Tools-Electrical-Multimeter-Integrated/dp/B0BXK9J5KD/ref=sr_1_8?keywords=Klein+Tools+ET310+Digital+Circuit+Breaker+Finder+with+GFCI+Outlet+Tester&amp;qid=1695173862&amp;sr=8-8")</f>
        <v>https://www.amazon.com/Klein-Tools-Electrical-Multimeter-Integrated/dp/B0BXK9J5KD/ref=sr_1_8?keywords=Klein+Tools+ET310+Digital+Circuit+Breaker+Finder+with+GFCI+Outlet+Tester&amp;qid=1695173862&amp;sr=8-8</v>
      </c>
      <c r="F5370" t="s">
        <v>7231</v>
      </c>
      <c r="G5370" t="e">
        <f ca="1">_xludf.IMAGE("https://edmondsonsupply.com/cdn/shop/products/et310_c.jpg?v=1646963918")</f>
        <v>#NAME?</v>
      </c>
      <c r="H5370" t="e">
        <f ca="1">_xludf.IMAGE("https://m.media-amazon.com/images/I/519RU+M3-AL._AC_UL320_.jpg")</f>
        <v>#NAME?</v>
      </c>
      <c r="I5370" t="s">
        <v>380</v>
      </c>
      <c r="J5370">
        <v>69.94</v>
      </c>
      <c r="K5370" s="4">
        <v>0.39960000000000001</v>
      </c>
      <c r="L5370">
        <v>5</v>
      </c>
      <c r="M5370">
        <v>3</v>
      </c>
      <c r="O5370" t="s">
        <v>25</v>
      </c>
      <c r="P5370" t="s">
        <v>6825</v>
      </c>
      <c r="Q5370" t="s">
        <v>6826</v>
      </c>
    </row>
    <row r="5371" spans="1:17" ht="15.5" x14ac:dyDescent="0.35">
      <c r="A5371"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371"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371" t="s">
        <v>6824</v>
      </c>
      <c r="D5371" t="s">
        <v>7232</v>
      </c>
      <c r="E5371" s="3" t="str">
        <f>HYPERLINK("https://www.amazon.com/Klein-Tools-Digital-Accessory-Adapters/dp/B08MG1LZJS/ref=sr_1_1?keywords=Klein+Tools+ET310+Digital+Circuit+Breaker+Finder+with+GFCI+Outlet+Tester&amp;qid=1695173862&amp;sr=8-1", "https://www.amazon.com/Klein-Tools-Digital-Accessory-Adapters/dp/B08MG1LZJS/ref=sr_1_1?keywords=Klein+Tools+ET310+Digital+Circuit+Breaker+Finder+with+GFCI+Outlet+Tester&amp;qid=1695173862&amp;sr=8-1")</f>
        <v>https://www.amazon.com/Klein-Tools-Digital-Accessory-Adapters/dp/B08MG1LZJS/ref=sr_1_1?keywords=Klein+Tools+ET310+Digital+Circuit+Breaker+Finder+with+GFCI+Outlet+Tester&amp;qid=1695173862&amp;sr=8-1</v>
      </c>
      <c r="F5371" t="s">
        <v>7233</v>
      </c>
      <c r="G5371" t="e">
        <f ca="1">_xludf.IMAGE("https://edmondsonsupply.com/cdn/shop/products/et310_c.jpg?v=1646963918")</f>
        <v>#NAME?</v>
      </c>
      <c r="H5371" t="e">
        <f ca="1">_xludf.IMAGE("https://m.media-amazon.com/images/I/51MAo0prl5L._AC_UL320_.jpg")</f>
        <v>#NAME?</v>
      </c>
      <c r="I5371" t="s">
        <v>380</v>
      </c>
      <c r="J5371">
        <v>69.94</v>
      </c>
      <c r="K5371" s="4">
        <v>0.39960000000000001</v>
      </c>
      <c r="L5371">
        <v>4.7</v>
      </c>
      <c r="M5371">
        <v>2060</v>
      </c>
      <c r="O5371" t="s">
        <v>25</v>
      </c>
      <c r="P5371" t="s">
        <v>6825</v>
      </c>
      <c r="Q5371" t="s">
        <v>6826</v>
      </c>
    </row>
    <row r="5372" spans="1:17" ht="15.5" x14ac:dyDescent="0.35">
      <c r="A5372" s="3" t="str">
        <f>HYPERLINK("https://edmondsonsupply.com/collections/electricians-tools/products/klein-tools-66079-flip-impact-socket-adapter-small-1-4-to-1-4-inch", "https://edmondsonsupply.com/collections/electricians-tools/products/klein-tools-66079-flip-impact-socket-adapter-small-1-4-to-1-4-inch")</f>
        <v>https://edmondsonsupply.com/collections/electricians-tools/products/klein-tools-66079-flip-impact-socket-adapter-small-1-4-to-1-4-inch</v>
      </c>
      <c r="B5372" s="3" t="str">
        <f>HYPERLINK("https://edmondsonsupply.com/products/klein-tools-66079-flip-impact-socket-adapter-small-1-4-to-1-4-inch", "https://edmondsonsupply.com/products/klein-tools-66079-flip-impact-socket-adapter-small-1-4-to-1-4-inch")</f>
        <v>https://edmondsonsupply.com/products/klein-tools-66079-flip-impact-socket-adapter-small-1-4-to-1-4-inch</v>
      </c>
      <c r="C5372" t="s">
        <v>6051</v>
      </c>
      <c r="D5372" t="s">
        <v>7234</v>
      </c>
      <c r="E5372" s="3" t="str">
        <f>HYPERLINK("https://www.amazon.com/Klein-Tools-66079-Impact-Adapter/dp/B0B33WGYX5/ref=sr_1_1?keywords=Klein+Tools+66079+Flip+Impact+Socket+Adapter%2C+Small%2C+1%2F4+to+1%2F4-Inch&amp;qid=1695173882&amp;sr=8-1", "https://www.amazon.com/Klein-Tools-66079-Impact-Adapter/dp/B0B33WGYX5/ref=sr_1_1?keywords=Klein+Tools+66079+Flip+Impact+Socket+Adapter%2C+Small%2C+1%2F4+to+1%2F4-Inch&amp;qid=1695173882&amp;sr=8-1")</f>
        <v>https://www.amazon.com/Klein-Tools-66079-Impact-Adapter/dp/B0B33WGYX5/ref=sr_1_1?keywords=Klein+Tools+66079+Flip+Impact+Socket+Adapter%2C+Small%2C+1%2F4+to+1%2F4-Inch&amp;qid=1695173882&amp;sr=8-1</v>
      </c>
      <c r="F5372" t="s">
        <v>7235</v>
      </c>
      <c r="G5372" t="e">
        <f ca="1">_xludf.IMAGE("https://edmondsonsupply.com/cdn/shop/products/66079.jpg?v=1669735923")</f>
        <v>#NAME?</v>
      </c>
      <c r="H5372" t="e">
        <f ca="1">_xludf.IMAGE("https://m.media-amazon.com/images/I/41eZRUf3qGL._AC_UL320_.jpg")</f>
        <v>#NAME?</v>
      </c>
      <c r="I5372" t="s">
        <v>6052</v>
      </c>
      <c r="J5372">
        <v>9.6</v>
      </c>
      <c r="K5372" s="4">
        <v>0.39939999999999998</v>
      </c>
      <c r="L5372">
        <v>3.8</v>
      </c>
      <c r="M5372">
        <v>5</v>
      </c>
      <c r="O5372" t="s">
        <v>25</v>
      </c>
      <c r="P5372" t="s">
        <v>6053</v>
      </c>
      <c r="Q5372" t="s">
        <v>6054</v>
      </c>
    </row>
    <row r="5373" spans="1:17" ht="15.5" x14ac:dyDescent="0.35">
      <c r="A5373"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5373" s="3" t="str">
        <f>HYPERLINK("https://edmondsonsupply.com/products/klein-tools-mm400-digital-multimeter-auto-ranging-600v", "https://edmondsonsupply.com/products/klein-tools-mm400-digital-multimeter-auto-ranging-600v")</f>
        <v>https://edmondsonsupply.com/products/klein-tools-mm400-digital-multimeter-auto-ranging-600v</v>
      </c>
      <c r="C5373" t="s">
        <v>3356</v>
      </c>
      <c r="D5373" t="s">
        <v>3357</v>
      </c>
      <c r="E5373" s="3" t="str">
        <f>HYPERLINK("https://www.amazon.com/Klein-Tools-Multimeter-Electronic-Non-Contact/dp/B0BNLB1VFG/ref=sr_1_4?keywords=Klein+Tools+MM400+Digital+Multimeter%2C+Auto-Ranging%2C+600V&amp;qid=1695173884&amp;sr=8-4", "https://www.amazon.com/Klein-Tools-Multimeter-Electronic-Non-Contact/dp/B0BNLB1VFG/ref=sr_1_4?keywords=Klein+Tools+MM400+Digital+Multimeter%2C+Auto-Ranging%2C+600V&amp;qid=1695173884&amp;sr=8-4")</f>
        <v>https://www.amazon.com/Klein-Tools-Multimeter-Electronic-Non-Contact/dp/B0BNLB1VFG/ref=sr_1_4?keywords=Klein+Tools+MM400+Digital+Multimeter%2C+Auto-Ranging%2C+600V&amp;qid=1695173884&amp;sr=8-4</v>
      </c>
      <c r="F5373" t="s">
        <v>3358</v>
      </c>
      <c r="G5373" t="e">
        <f ca="1">_xludf.IMAGE("https://edmondsonsupply.com/cdn/shop/products/mm400_alt1.jpg?v=1633030778")</f>
        <v>#NAME?</v>
      </c>
      <c r="H5373" t="e">
        <f ca="1">_xludf.IMAGE("https://m.media-amazon.com/images/I/51x9YX+JCvL._AC_UL320_.jpg")</f>
        <v>#NAME?</v>
      </c>
      <c r="I5373" t="s">
        <v>3359</v>
      </c>
      <c r="J5373">
        <v>76.89</v>
      </c>
      <c r="K5373" s="4">
        <v>0.39879999999999999</v>
      </c>
      <c r="L5373">
        <v>4.8</v>
      </c>
      <c r="M5373">
        <v>15</v>
      </c>
      <c r="O5373" t="s">
        <v>25</v>
      </c>
      <c r="P5373" t="s">
        <v>3360</v>
      </c>
      <c r="Q5373" t="s">
        <v>3361</v>
      </c>
    </row>
    <row r="5374" spans="1:17" ht="15.5" x14ac:dyDescent="0.35">
      <c r="A5374"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5374"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5374" t="s">
        <v>6940</v>
      </c>
      <c r="D5374" t="s">
        <v>6933</v>
      </c>
      <c r="E5374" s="3" t="str">
        <f>HYPERLINK("https://www.amazon.com/Diablo-Freud-DOU125JBW3-Universal-Oscillating/dp/B089KX3SWM/ref=sr_1_4?keywords=Diablo+Tools+DOU125BF+1-1%2F4+in.+Universal+Fit+Bi-Metal+Oscillating+Blade+for+Metal&amp;qid=1695174025&amp;sr=8-4", "https://www.amazon.com/Diablo-Freud-DOU125JBW3-Universal-Oscillating/dp/B089KX3SWM/ref=sr_1_4?keywords=Diablo+Tools+DOU125BF+1-1%2F4+in.+Universal+Fit+Bi-Metal+Oscillating+Blade+for+Metal&amp;qid=1695174025&amp;sr=8-4")</f>
        <v>https://www.amazon.com/Diablo-Freud-DOU125JBW3-Universal-Oscillating/dp/B089KX3SWM/ref=sr_1_4?keywords=Diablo+Tools+DOU125BF+1-1%2F4+in.+Universal+Fit+Bi-Metal+Oscillating+Blade+for+Metal&amp;qid=1695174025&amp;sr=8-4</v>
      </c>
      <c r="F5374" t="s">
        <v>6934</v>
      </c>
      <c r="G5374" t="e">
        <f ca="1">_xludf.IMAGE("https://edmondsonsupply.com/cdn/shop/files/k1d1qiwmm4npznsdbwtg.webp?v=1685467858")</f>
        <v>#NAME?</v>
      </c>
      <c r="H5374" t="e">
        <f ca="1">_xludf.IMAGE("https://m.media-amazon.com/images/I/61wFHtmEH5L._AC_UL320_.jpg")</f>
        <v>#NAME?</v>
      </c>
      <c r="I5374" t="s">
        <v>6164</v>
      </c>
      <c r="J5374">
        <v>26.5</v>
      </c>
      <c r="K5374" s="4">
        <v>0.39689999999999998</v>
      </c>
      <c r="L5374">
        <v>4.5</v>
      </c>
      <c r="M5374">
        <v>48</v>
      </c>
      <c r="O5374" t="s">
        <v>25</v>
      </c>
      <c r="P5374" t="s">
        <v>6943</v>
      </c>
      <c r="Q5374" t="s">
        <v>6944</v>
      </c>
    </row>
    <row r="5375" spans="1:17" ht="15.5" x14ac:dyDescent="0.35">
      <c r="A5375"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5375"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5375" t="s">
        <v>6304</v>
      </c>
      <c r="D5375" t="s">
        <v>5005</v>
      </c>
      <c r="E5375" s="3" t="str">
        <f>HYPERLINK("https://www.amazon.com/Klein-Tools-2139NEEINS-Cutting-Pliers/dp/B00JGG5RNE/ref=sr_1_5?keywords=Klein+Tools+2036EINS+Long+Nose+Side+Cutter+Pliers+6-Inch+Slim+Insulated&amp;qid=1695174256&amp;sr=8-5", "https://www.amazon.com/Klein-Tools-2139NEEINS-Cutting-Pliers/dp/B00JGG5RNE/ref=sr_1_5?keywords=Klein+Tools+2036EINS+Long+Nose+Side+Cutter+Pliers+6-Inch+Slim+Insulated&amp;qid=1695174256&amp;sr=8-5")</f>
        <v>https://www.amazon.com/Klein-Tools-2139NEEINS-Cutting-Pliers/dp/B00JGG5RNE/ref=sr_1_5?keywords=Klein+Tools+2036EINS+Long+Nose+Side+Cutter+Pliers+6-Inch+Slim+Insulated&amp;qid=1695174256&amp;sr=8-5</v>
      </c>
      <c r="F5375" t="s">
        <v>5006</v>
      </c>
      <c r="G5375" t="e">
        <f ca="1">_xludf.IMAGE("https://edmondsonsupply.com/cdn/shop/products/2036eins.jpg?v=1633031077")</f>
        <v>#NAME?</v>
      </c>
      <c r="H5375" t="e">
        <f ca="1">_xludf.IMAGE("https://m.media-amazon.com/images/I/51eEwVZhacL._AC_UL320_.jpg")</f>
        <v>#NAME?</v>
      </c>
      <c r="I5375" t="s">
        <v>6307</v>
      </c>
      <c r="J5375">
        <v>65.599999999999994</v>
      </c>
      <c r="K5375" s="4">
        <v>0.39600000000000002</v>
      </c>
      <c r="L5375">
        <v>4.7</v>
      </c>
      <c r="M5375">
        <v>242</v>
      </c>
      <c r="O5375" t="s">
        <v>25</v>
      </c>
      <c r="P5375" t="s">
        <v>6308</v>
      </c>
      <c r="Q5375" t="s">
        <v>6309</v>
      </c>
    </row>
    <row r="5376" spans="1:17" ht="15.5" x14ac:dyDescent="0.35">
      <c r="A5376" s="3" t="str">
        <f>HYPERLINK("https://edmondsonsupply.com/collections/electricians-tools/products/milwaukee-48-25-2122", "https://edmondsonsupply.com/collections/electricians-tools/products/milwaukee-48-25-2122")</f>
        <v>https://edmondsonsupply.com/collections/electricians-tools/products/milwaukee-48-25-2122</v>
      </c>
      <c r="B5376" s="3" t="str">
        <f>HYPERLINK("https://edmondsonsupply.com/products/milwaukee-48-25-2122", "https://edmondsonsupply.com/products/milwaukee-48-25-2122")</f>
        <v>https://edmondsonsupply.com/products/milwaukee-48-25-2122</v>
      </c>
      <c r="C5376" t="s">
        <v>3381</v>
      </c>
      <c r="D5376" t="s">
        <v>3382</v>
      </c>
      <c r="E5376" s="3" t="str">
        <f>HYPERLINK("https://www.amazon.com/Milwaukee-48-25-2122-Heavy-duty-Selfeed-Bit/dp/B006ERPNPA/ref=sr_1_1?keywords=Milwaukee+48-25-2122+Standard+Selfeed+Bit%2C+2-1%2F8%22&amp;qid=1695174005&amp;sr=8-1", "https://www.amazon.com/Milwaukee-48-25-2122-Heavy-duty-Selfeed-Bit/dp/B006ERPNPA/ref=sr_1_1?keywords=Milwaukee+48-25-2122+Standard+Selfeed+Bit%2C+2-1%2F8%22&amp;qid=1695174005&amp;sr=8-1")</f>
        <v>https://www.amazon.com/Milwaukee-48-25-2122-Heavy-duty-Selfeed-Bit/dp/B006ERPNPA/ref=sr_1_1?keywords=Milwaukee+48-25-2122+Standard+Selfeed+Bit%2C+2-1%2F8%22&amp;qid=1695174005&amp;sr=8-1</v>
      </c>
      <c r="F5376" t="s">
        <v>3383</v>
      </c>
      <c r="G5376" t="e">
        <f ca="1">_xludf.IMAGE("https://edmondsonsupply.com/cdn/shop/files/64170_48-25-1372_1-lg.gif?v=1687367768")</f>
        <v>#NAME?</v>
      </c>
      <c r="H5376" t="e">
        <f ca="1">_xludf.IMAGE("https://m.media-amazon.com/images/I/510Y68t9mkL._AC_UL320_.jpg")</f>
        <v>#NAME?</v>
      </c>
      <c r="I5376" t="s">
        <v>380</v>
      </c>
      <c r="J5376">
        <v>69.650000000000006</v>
      </c>
      <c r="K5376" s="4">
        <v>0.39379999999999998</v>
      </c>
      <c r="L5376">
        <v>4</v>
      </c>
      <c r="M5376">
        <v>1</v>
      </c>
      <c r="O5376" t="s">
        <v>25</v>
      </c>
      <c r="P5376" t="s">
        <v>138</v>
      </c>
      <c r="Q5376" t="s">
        <v>3384</v>
      </c>
    </row>
    <row r="5377" spans="1:17" ht="15.5" x14ac:dyDescent="0.35">
      <c r="A5377" s="3" t="str">
        <f>HYPERLINK("https://edmondsonsupply.com/collections/electricians-tools/products/diablo-tools-dag", "https://edmondsonsupply.com/collections/electricians-tools/products/diablo-tools-dag")</f>
        <v>https://edmondsonsupply.com/collections/electricians-tools/products/diablo-tools-dag</v>
      </c>
      <c r="B5377" s="3" t="str">
        <f>HYPERLINK("https://edmondsonsupply.com/products/diablo-tools-dag", "https://edmondsonsupply.com/products/diablo-tools-dag")</f>
        <v>https://edmondsonsupply.com/products/diablo-tools-dag</v>
      </c>
      <c r="C5377" t="s">
        <v>6819</v>
      </c>
      <c r="D5377" t="s">
        <v>7133</v>
      </c>
      <c r="E5377" s="3" t="str">
        <f>HYPERLINK("https://www.amazon.com/Diablo-Freud-DAG3050-17-1-Auger/dp/B089KWL81X/ref=sr_1_2?keywords=Diablo+Tools+DAG3010+3%2F8+in.+x+17-1%2F2+in.+Auger+Bit&amp;qid=1695174114&amp;sr=8-2", "https://www.amazon.com/Diablo-Freud-DAG3050-17-1-Auger/dp/B089KWL81X/ref=sr_1_2?keywords=Diablo+Tools+DAG3010+3%2F8+in.+x+17-1%2F2+in.+Auger+Bit&amp;qid=1695174114&amp;sr=8-2")</f>
        <v>https://www.amazon.com/Diablo-Freud-DAG3050-17-1-Auger/dp/B089KWL81X/ref=sr_1_2?keywords=Diablo+Tools+DAG3010+3%2F8+in.+x+17-1%2F2+in.+Auger+Bit&amp;qid=1695174114&amp;sr=8-2</v>
      </c>
      <c r="F5377" t="s">
        <v>7134</v>
      </c>
      <c r="G5377" t="e">
        <f ca="1">_xludf.IMAGE("https://edmondsonsupply.com/cdn/shop/products/xfctdbahz5wx3g461fm8.webp?v=1669991052")</f>
        <v>#NAME?</v>
      </c>
      <c r="H5377" t="e">
        <f ca="1">_xludf.IMAGE("https://m.media-amazon.com/images/I/61DWkFmOdeL._AC_UL320_.jpg")</f>
        <v>#NAME?</v>
      </c>
      <c r="I5377" t="s">
        <v>5147</v>
      </c>
      <c r="J5377">
        <v>24.35</v>
      </c>
      <c r="K5377" s="4">
        <v>0.39379999999999998</v>
      </c>
      <c r="L5377">
        <v>4.3</v>
      </c>
      <c r="M5377">
        <v>20</v>
      </c>
      <c r="O5377" t="s">
        <v>25</v>
      </c>
      <c r="P5377" t="s">
        <v>6822</v>
      </c>
      <c r="Q5377" t="s">
        <v>6823</v>
      </c>
    </row>
    <row r="5378" spans="1:17" ht="15.5" x14ac:dyDescent="0.35">
      <c r="A5378" s="3" t="str">
        <f>HYPERLINK("https://edmondsonsupply.com/collections/electricians-tools/products/diablo-tools-dou125cf-1-1-4-universal-fit-carbide-oscillating-blade-for-metal", "https://edmondsonsupply.com/collections/electricians-tools/products/diablo-tools-dou125cf-1-1-4-universal-fit-carbide-oscillating-blade-for-metal")</f>
        <v>https://edmondsonsupply.com/collections/electricians-tools/products/diablo-tools-dou125cf-1-1-4-universal-fit-carbide-oscillating-blade-for-metal</v>
      </c>
      <c r="B5378" s="3" t="str">
        <f>HYPERLINK("https://edmondsonsupply.com/products/diablo-tools-dou125cf-1-1-4-universal-fit-carbide-oscillating-blade-for-metal", "https://edmondsonsupply.com/products/diablo-tools-dou125cf-1-1-4-universal-fit-carbide-oscillating-blade-for-metal")</f>
        <v>https://edmondsonsupply.com/products/diablo-tools-dou125cf-1-1-4-universal-fit-carbide-oscillating-blade-for-metal</v>
      </c>
      <c r="C5378" t="s">
        <v>7236</v>
      </c>
      <c r="D5378" t="s">
        <v>6941</v>
      </c>
      <c r="E5378" s="3" t="str">
        <f>HYPERLINK("https://www.amazon.com/Diablo-Freud-DOU125CF3-Universal-Oscillating/dp/B089LKXD7L/ref=sr_1_2?keywords=Diablo+Tools+DOU125CF+1-1%2F4%22+Universal+Fit+Carbide+Oscillating+Blade+for+Metal&amp;qid=1695174236&amp;sr=8-2", "https://www.amazon.com/Diablo-Freud-DOU125CF3-Universal-Oscillating/dp/B089LKXD7L/ref=sr_1_2?keywords=Diablo+Tools+DOU125CF+1-1%2F4%22+Universal+Fit+Carbide+Oscillating+Blade+for+Metal&amp;qid=1695174236&amp;sr=8-2")</f>
        <v>https://www.amazon.com/Diablo-Freud-DOU125CF3-Universal-Oscillating/dp/B089LKXD7L/ref=sr_1_2?keywords=Diablo+Tools+DOU125CF+1-1%2F4%22+Universal+Fit+Carbide+Oscillating+Blade+for+Metal&amp;qid=1695174236&amp;sr=8-2</v>
      </c>
      <c r="F5378" t="s">
        <v>6942</v>
      </c>
      <c r="G5378" t="e">
        <f ca="1">_xludf.IMAGE("https://edmondsonsupply.com/cdn/shop/products/DOU125CF_Main-Image.png?v=1633637708")</f>
        <v>#NAME?</v>
      </c>
      <c r="H5378" t="e">
        <f ca="1">_xludf.IMAGE("https://m.media-amazon.com/images/I/71izb0UUOkL._AC_UL320_.jpg")</f>
        <v>#NAME?</v>
      </c>
      <c r="I5378" t="s">
        <v>1716</v>
      </c>
      <c r="J5378">
        <v>32</v>
      </c>
      <c r="K5378" s="4">
        <v>0.3931</v>
      </c>
      <c r="L5378">
        <v>4.5</v>
      </c>
      <c r="M5378">
        <v>164</v>
      </c>
      <c r="O5378" t="s">
        <v>25</v>
      </c>
      <c r="P5378" t="s">
        <v>7237</v>
      </c>
      <c r="Q5378" t="s">
        <v>7238</v>
      </c>
    </row>
    <row r="5379" spans="1:17" ht="15.5" x14ac:dyDescent="0.35">
      <c r="A5379"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5379"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5379" t="s">
        <v>6827</v>
      </c>
      <c r="D5379" t="s">
        <v>5869</v>
      </c>
      <c r="E5379" s="3" t="str">
        <f>HYPERLINK("https://www.amazon.com/Diablo-DMAMX1390-SDS-Max-4-Cutter-Carbide-Tipped/dp/B089KW6C8V/ref=sr_1_2?keywords=Diablo+Tools+DMAMX1360+1-1%2F2+in.+x+16+in.+x+21+in.+Rebar+Demon%E2%84%A2+SDS-Max+4-Cutter+Carbide-Tipped+Hammer+Drill+Bit&amp;qid=1695174071&amp;sr=8-2", "https://www.amazon.com/Diablo-DMAMX1390-SDS-Max-4-Cutter-Carbide-Tipped/dp/B089KW6C8V/ref=sr_1_2?keywords=Diablo+Tools+DMAMX1360+1-1%2F2+in.+x+16+in.+x+21+in.+Rebar+Demon%E2%84%A2+SDS-Max+4-Cutter+Carbide-Tipped+Hammer+Drill+Bit&amp;qid=1695174071&amp;sr=8-2")</f>
        <v>https://www.amazon.com/Diablo-DMAMX1390-SDS-Max-4-Cutter-Carbide-Tipped/dp/B089KW6C8V/ref=sr_1_2?keywords=Diablo+Tools+DMAMX1360+1-1%2F2+in.+x+16+in.+x+21+in.+Rebar+Demon%E2%84%A2+SDS-Max+4-Cutter+Carbide-Tipped+Hammer+Drill+Bit&amp;qid=1695174071&amp;sr=8-2</v>
      </c>
      <c r="F5379" t="s">
        <v>5870</v>
      </c>
      <c r="G5379" t="e">
        <f ca="1">_xludf.IMAGE("https://edmondsonsupply.com/cdn/shop/products/z2umcsdaj3y4uvsfnxoh.webp?v=1677257156")</f>
        <v>#NAME?</v>
      </c>
      <c r="H5379" t="e">
        <f ca="1">_xludf.IMAGE("https://m.media-amazon.com/images/I/61J-83UaGmL._AC_UL320_.jpg")</f>
        <v>#NAME?</v>
      </c>
      <c r="I5379" t="s">
        <v>6830</v>
      </c>
      <c r="J5379">
        <v>130.66999999999999</v>
      </c>
      <c r="K5379" s="4">
        <v>0.39200000000000002</v>
      </c>
      <c r="L5379">
        <v>4.8</v>
      </c>
      <c r="M5379">
        <v>10</v>
      </c>
      <c r="O5379" t="s">
        <v>25</v>
      </c>
      <c r="P5379" t="s">
        <v>6831</v>
      </c>
      <c r="Q5379" t="s">
        <v>6832</v>
      </c>
    </row>
    <row r="5380" spans="1:17" ht="15.5" x14ac:dyDescent="0.35">
      <c r="A5380"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5380"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5380" t="s">
        <v>7214</v>
      </c>
      <c r="D5380" t="s">
        <v>7239</v>
      </c>
      <c r="E5380" s="3" t="str">
        <f>HYPERLINK("https://www.amazon.com/Klein-Tools-6946INS-Insulated-Screwdriver/dp/B088NN95Q5/ref=sr_1_3?keywords=Klein+Tools+6844INS+Insulated+Screwdriver%2C+%232+Square+Tip%2C+4-Inch+Round+Shank&amp;qid=1695174147&amp;sr=8-3", "https://www.amazon.com/Klein-Tools-6946INS-Insulated-Screwdriver/dp/B088NN95Q5/ref=sr_1_3?keywords=Klein+Tools+6844INS+Insulated+Screwdriver%2C+%232+Square+Tip%2C+4-Inch+Round+Shank&amp;qid=1695174147&amp;sr=8-3")</f>
        <v>https://www.amazon.com/Klein-Tools-6946INS-Insulated-Screwdriver/dp/B088NN95Q5/ref=sr_1_3?keywords=Klein+Tools+6844INS+Insulated+Screwdriver%2C+%232+Square+Tip%2C+4-Inch+Round+Shank&amp;qid=1695174147&amp;sr=8-3</v>
      </c>
      <c r="F5380" t="s">
        <v>7240</v>
      </c>
      <c r="G5380" t="e">
        <f ca="1">_xludf.IMAGE("https://edmondsonsupply.com/cdn/shop/products/6844ins.jpg?v=1664817203")</f>
        <v>#NAME?</v>
      </c>
      <c r="H5380" t="e">
        <f ca="1">_xludf.IMAGE("https://m.media-amazon.com/images/I/414Kb+NSPsS._AC_UL320_.jpg")</f>
        <v>#NAME?</v>
      </c>
      <c r="I5380" t="s">
        <v>1427</v>
      </c>
      <c r="J5380">
        <v>13.85</v>
      </c>
      <c r="K5380" s="4">
        <v>0.38919999999999999</v>
      </c>
      <c r="L5380">
        <v>4.8</v>
      </c>
      <c r="M5380">
        <v>1361</v>
      </c>
      <c r="O5380" t="s">
        <v>25</v>
      </c>
      <c r="P5380" t="s">
        <v>7217</v>
      </c>
      <c r="Q5380" t="s">
        <v>7218</v>
      </c>
    </row>
    <row r="5381" spans="1:17" ht="15.5" x14ac:dyDescent="0.35">
      <c r="A5381"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5381"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5381" t="s">
        <v>5852</v>
      </c>
      <c r="D5381" t="s">
        <v>5560</v>
      </c>
      <c r="E5381" s="3" t="str">
        <f>HYPERLINK("https://www.amazon.com/Diablo-Freud-DMAPL4300-SDS-Plus-4-Cutter/dp/B089LL8JD8/ref=sr_1_3?keywords=Diablo+Tools+DMAPL4250+3%2F4+in.+x+8+in.+x+10+in.+Rebar+Demon%E2%84%A2+SDS-Plus+4-Cutter+Full+Carbide+Head+Hammer+Drill+Bit&amp;qid=1695174039&amp;sr=8-3", "https://www.amazon.com/Diablo-Freud-DMAPL4300-SDS-Plus-4-Cutter/dp/B089LL8JD8/ref=sr_1_3?keywords=Diablo+Tools+DMAPL4250+3%2F4+in.+x+8+in.+x+10+in.+Rebar+Demon%E2%84%A2+SDS-Plus+4-Cutter+Full+Carbide+Head+Hammer+Drill+Bit&amp;qid=1695174039&amp;sr=8-3")</f>
        <v>https://www.amazon.com/Diablo-Freud-DMAPL4300-SDS-Plus-4-Cutter/dp/B089LL8JD8/ref=sr_1_3?keywords=Diablo+Tools+DMAPL4250+3%2F4+in.+x+8+in.+x+10+in.+Rebar+Demon%E2%84%A2+SDS-Plus+4-Cutter+Full+Carbide+Head+Hammer+Drill+Bit&amp;qid=1695174039&amp;sr=8-3</v>
      </c>
      <c r="F5381" t="s">
        <v>5561</v>
      </c>
      <c r="G5381" t="e">
        <f ca="1">_xludf.IMAGE("https://edmondsonsupply.com/cdn/shop/files/rltcbi253wmfv6otmtz6.webp?v=1686576913")</f>
        <v>#NAME?</v>
      </c>
      <c r="H5381" t="e">
        <f ca="1">_xludf.IMAGE("https://m.media-amazon.com/images/I/616UiJGsK1L._AC_UL320_.jpg")</f>
        <v>#NAME?</v>
      </c>
      <c r="I5381" t="s">
        <v>5853</v>
      </c>
      <c r="J5381">
        <v>33.99</v>
      </c>
      <c r="K5381" s="4">
        <v>0.38900000000000001</v>
      </c>
      <c r="L5381">
        <v>4.5</v>
      </c>
      <c r="M5381">
        <v>16</v>
      </c>
      <c r="O5381" t="s">
        <v>25</v>
      </c>
      <c r="P5381" t="s">
        <v>5854</v>
      </c>
      <c r="Q5381" t="s">
        <v>5855</v>
      </c>
    </row>
    <row r="5382" spans="1:17" ht="15.5" x14ac:dyDescent="0.35">
      <c r="A5382"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5382"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5382" t="s">
        <v>7067</v>
      </c>
      <c r="D5382" t="s">
        <v>7073</v>
      </c>
      <c r="E5382" s="3" t="str">
        <f>HYPERLINK("https://www.amazon.com/Diablo-Starlock-Bi-Metal-Oscillating-Nail-Embedded/dp/B089KX5FJS/ref=sr_1_5?keywords=Diablo+Tools+DOU250BW+2-1%2F2+in.+Universal+Fit+Bi-Metal+Oscillating+Blade+for+Nail-Embedded+Wood&amp;qid=1695174021&amp;sr=8-5", "https://www.amazon.com/Diablo-Starlock-Bi-Metal-Oscillating-Nail-Embedded/dp/B089KX5FJS/ref=sr_1_5?keywords=Diablo+Tools+DOU250BW+2-1%2F2+in.+Universal+Fit+Bi-Metal+Oscillating+Blade+for+Nail-Embedded+Wood&amp;qid=1695174021&amp;sr=8-5")</f>
        <v>https://www.amazon.com/Diablo-Starlock-Bi-Metal-Oscillating-Nail-Embedded/dp/B089KX5FJS/ref=sr_1_5?keywords=Diablo+Tools+DOU250BW+2-1%2F2+in.+Universal+Fit+Bi-Metal+Oscillating+Blade+for+Nail-Embedded+Wood&amp;qid=1695174021&amp;sr=8-5</v>
      </c>
      <c r="F5382" t="s">
        <v>7074</v>
      </c>
      <c r="G5382" t="e">
        <f ca="1">_xludf.IMAGE("https://edmondsonsupply.com/cdn/shop/files/xcched1uye7bv2s0ryod.webp?v=1685717397")</f>
        <v>#NAME?</v>
      </c>
      <c r="H5382" t="e">
        <f ca="1">_xludf.IMAGE("https://m.media-amazon.com/images/I/717H6O1AhYL._AC_UL320_.jpg")</f>
        <v>#NAME?</v>
      </c>
      <c r="I5382" t="s">
        <v>893</v>
      </c>
      <c r="J5382">
        <v>27.69</v>
      </c>
      <c r="K5382" s="4">
        <v>0.3866</v>
      </c>
      <c r="L5382">
        <v>4.7</v>
      </c>
      <c r="M5382">
        <v>65</v>
      </c>
      <c r="O5382" t="s">
        <v>25</v>
      </c>
      <c r="P5382" t="s">
        <v>6936</v>
      </c>
      <c r="Q5382" t="s">
        <v>7068</v>
      </c>
    </row>
    <row r="5383" spans="1:17" ht="15.5" x14ac:dyDescent="0.35">
      <c r="A5383" s="3" t="str">
        <f>HYPERLINK("https://edmondsonsupply.com/collections/electricians-tools/products/klein-tools-jth6m2be-2-mm-hex-key-journeyman%E2%84%A2-t-handle-6-inch", "https://edmondsonsupply.com/collections/electricians-tools/products/klein-tools-jth6m2be-2-mm-hex-key-journeyman%E2%84%A2-t-handle-6-inch")</f>
        <v>https://edmondsonsupply.com/collections/electricians-tools/products/klein-tools-jth6m2be-2-mm-hex-key-journeyman%E2%84%A2-t-handle-6-inch</v>
      </c>
      <c r="B5383" s="3" t="str">
        <f>HYPERLINK("https://edmondsonsupply.com/products/klein-tools-jth6m2be-2-mm-hex-key-journeyman%e2%84%a2-t-handle-6-inch", "https://edmondsonsupply.com/products/klein-tools-jth6m2be-2-mm-hex-key-journeyman%e2%84%a2-t-handle-6-inch")</f>
        <v>https://edmondsonsupply.com/products/klein-tools-jth6m2be-2-mm-hex-key-journeyman%e2%84%a2-t-handle-6-inch</v>
      </c>
      <c r="C5383" t="s">
        <v>7241</v>
      </c>
      <c r="D5383" t="s">
        <v>7242</v>
      </c>
      <c r="E5383" s="3" t="str">
        <f>HYPERLINK("https://www.amazon.com/Journeyman-T-Handle-Klein-Tools-JTH6M2BE/dp/B005G2RMIU/ref=sr_1_1?keywords=Klein+Tools+JTH6M2BE+2+mm+Hex+Key%2C+Journeyman%E2%84%A2+T-Handle%2C+6-Inch&amp;qid=1695174039&amp;sr=8-1", "https://www.amazon.com/Journeyman-T-Handle-Klein-Tools-JTH6M2BE/dp/B005G2RMIU/ref=sr_1_1?keywords=Klein+Tools+JTH6M2BE+2+mm+Hex+Key%2C+Journeyman%E2%84%A2+T-Handle%2C+6-Inch&amp;qid=1695174039&amp;sr=8-1")</f>
        <v>https://www.amazon.com/Journeyman-T-Handle-Klein-Tools-JTH6M2BE/dp/B005G2RMIU/ref=sr_1_1?keywords=Klein+Tools+JTH6M2BE+2+mm+Hex+Key%2C+Journeyman%E2%84%A2+T-Handle%2C+6-Inch&amp;qid=1695174039&amp;sr=8-1</v>
      </c>
      <c r="F5383" t="s">
        <v>7243</v>
      </c>
      <c r="G5383" t="e">
        <f ca="1">_xludf.IMAGE("https://edmondsonsupply.com/cdn/shop/products/jth6m8be_dc02c4f5-6424-4dc9-9167-b95380a96ebb.jpg?v=1679428749")</f>
        <v>#NAME?</v>
      </c>
      <c r="H5383" t="e">
        <f ca="1">_xludf.IMAGE("https://m.media-amazon.com/images/I/51huXA+ij8L._AC_UL320_.jpg")</f>
        <v>#NAME?</v>
      </c>
      <c r="I5383" t="s">
        <v>2388</v>
      </c>
      <c r="J5383">
        <v>6.91</v>
      </c>
      <c r="K5383" s="4">
        <v>0.38479999999999998</v>
      </c>
      <c r="L5383">
        <v>4.8</v>
      </c>
      <c r="M5383">
        <v>988</v>
      </c>
      <c r="O5383" t="s">
        <v>25</v>
      </c>
      <c r="P5383" t="s">
        <v>2392</v>
      </c>
      <c r="Q5383" t="s">
        <v>7244</v>
      </c>
    </row>
    <row r="5384" spans="1:17" ht="15.5" x14ac:dyDescent="0.35">
      <c r="A5384"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5384" s="3" t="str">
        <f>HYPERLINK("https://edmondsonsupply.com/products/klein-tools-jth4e17-1-2-inch-hex-key-journeyman-t-handle-4-inch", "https://edmondsonsupply.com/products/klein-tools-jth4e17-1-2-inch-hex-key-journeyman-t-handle-4-inch")</f>
        <v>https://edmondsonsupply.com/products/klein-tools-jth4e17-1-2-inch-hex-key-journeyman-t-handle-4-inch</v>
      </c>
      <c r="C5384" t="s">
        <v>2385</v>
      </c>
      <c r="D5384" t="s">
        <v>3393</v>
      </c>
      <c r="E5384" s="3" t="str">
        <f>HYPERLINK("https://www.amazon.com/Journeyman-T-Handle-Klein-Tools-JTH6M4BE/dp/B005G3951G/ref=sr_1_4?keywords=Klein+Tools+JTH4E11+3%2F16-Inch+Hex+Key+with+Journeyman+T-Handle%2C+4-Inch&amp;qid=1695173897&amp;sr=8-4", "https://www.amazon.com/Journeyman-T-Handle-Klein-Tools-JTH6M4BE/dp/B005G3951G/ref=sr_1_4?keywords=Klein+Tools+JTH4E11+3%2F16-Inch+Hex+Key+with+Journeyman+T-Handle%2C+4-Inch&amp;qid=1695173897&amp;sr=8-4")</f>
        <v>https://www.amazon.com/Journeyman-T-Handle-Klein-Tools-JTH6M4BE/dp/B005G3951G/ref=sr_1_4?keywords=Klein+Tools+JTH4E11+3%2F16-Inch+Hex+Key+with+Journeyman+T-Handle%2C+4-Inch&amp;qid=1695173897&amp;sr=8-4</v>
      </c>
      <c r="F5384" t="s">
        <v>3394</v>
      </c>
      <c r="G5384" t="e">
        <f ca="1">_xludf.IMAGE("https://edmondsonsupply.com/cdn/shop/products/jth4e17.jpg?v=1587144836")</f>
        <v>#NAME?</v>
      </c>
      <c r="H5384" t="e">
        <f ca="1">_xludf.IMAGE("https://m.media-amazon.com/images/I/51huXA+ij8L._AC_UL320_.jpg")</f>
        <v>#NAME?</v>
      </c>
      <c r="I5384" t="s">
        <v>2388</v>
      </c>
      <c r="J5384">
        <v>6.91</v>
      </c>
      <c r="K5384" s="4">
        <v>0.38479999999999998</v>
      </c>
      <c r="L5384">
        <v>4.8</v>
      </c>
      <c r="M5384">
        <v>988</v>
      </c>
      <c r="O5384" t="s">
        <v>25</v>
      </c>
      <c r="P5384" t="s">
        <v>2389</v>
      </c>
      <c r="Q5384" t="s">
        <v>2390</v>
      </c>
    </row>
    <row r="5385" spans="1:17" ht="15.5" x14ac:dyDescent="0.35">
      <c r="A5385" s="3" t="str">
        <f>HYPERLINK("https://edmondsonsupply.com/collections/electricians-tools/products/fluke-t5-600", "https://edmondsonsupply.com/collections/electricians-tools/products/fluke-t5-600")</f>
        <v>https://edmondsonsupply.com/collections/electricians-tools/products/fluke-t5-600</v>
      </c>
      <c r="B5385" s="3" t="str">
        <f>HYPERLINK("https://edmondsonsupply.com/products/fluke-t5-600", "https://edmondsonsupply.com/products/fluke-t5-600")</f>
        <v>https://edmondsonsupply.com/products/fluke-t5-600</v>
      </c>
      <c r="C5385" t="s">
        <v>3397</v>
      </c>
      <c r="D5385" t="s">
        <v>3398</v>
      </c>
      <c r="E5385" s="3" t="str">
        <f>HYPERLINK("https://www.amazon.com/Fluke-T5-1000-Electrical-Tester/dp/B000LDKX62/ref=sr_1_6?keywords=Fluke+T5-600+Voltage%2C+Continuity+and+Current+Tester%2C+600V+AC%2FDC&amp;qid=1695173856&amp;sr=8-6", "https://www.amazon.com/Fluke-T5-1000-Electrical-Tester/dp/B000LDKX62/ref=sr_1_6?keywords=Fluke+T5-600+Voltage%2C+Continuity+and+Current+Tester%2C+600V+AC%2FDC&amp;qid=1695173856&amp;sr=8-6")</f>
        <v>https://www.amazon.com/Fluke-T5-1000-Electrical-Tester/dp/B000LDKX62/ref=sr_1_6?keywords=Fluke+T5-600+Voltage%2C+Continuity+and+Current+Tester%2C+600V+AC%2FDC&amp;qid=1695173856&amp;sr=8-6</v>
      </c>
      <c r="F5385" t="s">
        <v>3399</v>
      </c>
      <c r="G5385" t="e">
        <f ca="1">_xludf.IMAGE("https://edmondsonsupply.com/cdn/shop/products/F-t5-600-euro_03a_c.jpg?v=1633030279")</f>
        <v>#NAME?</v>
      </c>
      <c r="H5385" t="e">
        <f ca="1">_xludf.IMAGE("https://m.media-amazon.com/images/I/61hF9Hj61sL._AC_UL320_.jpg")</f>
        <v>#NAME?</v>
      </c>
      <c r="I5385" t="s">
        <v>3400</v>
      </c>
      <c r="J5385">
        <v>190.9</v>
      </c>
      <c r="K5385" s="4">
        <v>0.38340000000000002</v>
      </c>
      <c r="L5385">
        <v>4.8</v>
      </c>
      <c r="M5385">
        <v>1281</v>
      </c>
      <c r="O5385" t="s">
        <v>25</v>
      </c>
      <c r="P5385" t="s">
        <v>3401</v>
      </c>
      <c r="Q5385" t="s">
        <v>3402</v>
      </c>
    </row>
    <row r="5386" spans="1:17" ht="15.5" x14ac:dyDescent="0.35">
      <c r="A5386" s="3" t="str">
        <f>HYPERLINK("https://edmondsonsupply.com/collections/electricians-tools/products/uniweld-70075-ratchet-wrenches", "https://edmondsonsupply.com/collections/electricians-tools/products/uniweld-70075-ratchet-wrenches")</f>
        <v>https://edmondsonsupply.com/collections/electricians-tools/products/uniweld-70075-ratchet-wrenches</v>
      </c>
      <c r="B5386" s="3" t="str">
        <f>HYPERLINK("https://edmondsonsupply.com/products/uniweld-70075-ratchet-wrenches", "https://edmondsonsupply.com/products/uniweld-70075-ratchet-wrenches")</f>
        <v>https://edmondsonsupply.com/products/uniweld-70075-ratchet-wrenches</v>
      </c>
      <c r="C5386" t="s">
        <v>7245</v>
      </c>
      <c r="D5386" t="s">
        <v>7246</v>
      </c>
      <c r="E5386" s="3" t="str">
        <f>HYPERLINK("https://www.amazon.com/DuraTech-Reversible-Ratcheting-Heavy-duty-Ratchet/dp/B08RZ1SVXG/ref=sr_1_6?keywords=uniweld+70075+heavy+duty+offset+ratchet+wrench&amp;qid=1695174182&amp;sr=8-6", "https://www.amazon.com/DuraTech-Reversible-Ratcheting-Heavy-duty-Ratchet/dp/B08RZ1SVXG/ref=sr_1_6?keywords=uniweld+70075+heavy+duty+offset+ratchet+wrench&amp;qid=1695174182&amp;sr=8-6")</f>
        <v>https://www.amazon.com/DuraTech-Reversible-Ratcheting-Heavy-duty-Ratchet/dp/B08RZ1SVXG/ref=sr_1_6?keywords=uniweld+70075+heavy+duty+offset+ratchet+wrench&amp;qid=1695174182&amp;sr=8-6</v>
      </c>
      <c r="F5386" t="s">
        <v>7247</v>
      </c>
      <c r="G5386" t="e">
        <f ca="1">_xludf.IMAGE("https://edmondsonsupply.com/cdn/shop/products/70075_pkg.jpg?v=1656078756")</f>
        <v>#NAME?</v>
      </c>
      <c r="H5386" t="e">
        <f ca="1">_xludf.IMAGE("https://m.media-amazon.com/images/I/71xcfdKeptL._AC_UL320_.jpg")</f>
        <v>#NAME?</v>
      </c>
      <c r="I5386" t="s">
        <v>3185</v>
      </c>
      <c r="J5386">
        <v>28.99</v>
      </c>
      <c r="K5386" s="4">
        <v>0.38109999999999999</v>
      </c>
      <c r="L5386">
        <v>4.5999999999999996</v>
      </c>
      <c r="M5386">
        <v>1913</v>
      </c>
      <c r="O5386" t="s">
        <v>25</v>
      </c>
      <c r="P5386" t="s">
        <v>7248</v>
      </c>
      <c r="Q5386" t="s">
        <v>7249</v>
      </c>
    </row>
    <row r="5387" spans="1:17" ht="15.5" x14ac:dyDescent="0.35">
      <c r="A5387"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5387" s="3" t="str">
        <f>HYPERLINK("https://edmondsonsupply.com/products/diablo-tools-d0704dh-7-1-4-in-x-4-tooth-fiber-cement", "https://edmondsonsupply.com/products/diablo-tools-d0704dh-7-1-4-in-x-4-tooth-fiber-cement")</f>
        <v>https://edmondsonsupply.com/products/diablo-tools-d0704dh-7-1-4-in-x-4-tooth-fiber-cement</v>
      </c>
      <c r="C5387" t="s">
        <v>6285</v>
      </c>
      <c r="D5387" t="s">
        <v>7250</v>
      </c>
      <c r="E5387" s="3" t="str">
        <f>HYPERLINK("https://www.amazon.com/Freud-D0704DH-Diablo-Hardie-Cement/dp/B09BQF8L4V/ref=sr_1_6?keywords=Diablo+Tools+D0704DH+7-1%2F4+in.+x+4+Tooth+Fiber+Cement&amp;qid=1695174050&amp;sr=8-6", "https://www.amazon.com/Freud-D0704DH-Diablo-Hardie-Cement/dp/B09BQF8L4V/ref=sr_1_6?keywords=Diablo+Tools+D0704DH+7-1%2F4+in.+x+4+Tooth+Fiber+Cement&amp;qid=1695174050&amp;sr=8-6")</f>
        <v>https://www.amazon.com/Freud-D0704DH-Diablo-Hardie-Cement/dp/B09BQF8L4V/ref=sr_1_6?keywords=Diablo+Tools+D0704DH+7-1%2F4+in.+x+4+Tooth+Fiber+Cement&amp;qid=1695174050&amp;sr=8-6</v>
      </c>
      <c r="F5387" t="s">
        <v>7251</v>
      </c>
      <c r="G5387" t="e">
        <f ca="1">_xludf.IMAGE("https://edmondsonsupply.com/cdn/shop/products/baadnmj6vhmqufio7ofn.webp?v=1679325375")</f>
        <v>#NAME?</v>
      </c>
      <c r="H5387" t="e">
        <f ca="1">_xludf.IMAGE("https://m.media-amazon.com/images/I/71C2YUlzPKS._AC_UL320_.jpg")</f>
        <v>#NAME?</v>
      </c>
      <c r="I5387" t="s">
        <v>4108</v>
      </c>
      <c r="J5387">
        <v>62</v>
      </c>
      <c r="K5387" s="4">
        <v>0.37869999999999998</v>
      </c>
      <c r="L5387">
        <v>4.3</v>
      </c>
      <c r="M5387">
        <v>7</v>
      </c>
      <c r="O5387" t="s">
        <v>25</v>
      </c>
      <c r="P5387" t="s">
        <v>3833</v>
      </c>
      <c r="Q5387" t="s">
        <v>6288</v>
      </c>
    </row>
    <row r="5388" spans="1:17" ht="15.5" x14ac:dyDescent="0.35">
      <c r="A5388"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5388" s="3" t="str">
        <f>HYPERLINK("https://edmondsonsupply.com/products/klein-tools-11046-wire-stripper-cutter-16-26-awg-stranded", "https://edmondsonsupply.com/products/klein-tools-11046-wire-stripper-cutter-16-26-awg-stranded")</f>
        <v>https://edmondsonsupply.com/products/klein-tools-11046-wire-stripper-cutter-16-26-awg-stranded</v>
      </c>
      <c r="C5388" t="s">
        <v>2278</v>
      </c>
      <c r="D5388" t="s">
        <v>7252</v>
      </c>
      <c r="E5388" s="3" t="str">
        <f>HYPERLINK("https://www.amazon.com/Self-Adjusting-Stripper-Klein-Tools-11061/dp/B00CXKOEQ6/ref=sr_1_9?keywords=Klein+Tools+11046+Wire+Stripper%2FCutter+16-26+AWG+Stranded&amp;qid=1695173951&amp;sr=8-9", "https://www.amazon.com/Self-Adjusting-Stripper-Klein-Tools-11061/dp/B00CXKOEQ6/ref=sr_1_9?keywords=Klein+Tools+11046+Wire+Stripper%2FCutter+16-26+AWG+Stranded&amp;qid=1695173951&amp;sr=8-9")</f>
        <v>https://www.amazon.com/Self-Adjusting-Stripper-Klein-Tools-11061/dp/B00CXKOEQ6/ref=sr_1_9?keywords=Klein+Tools+11046+Wire+Stripper%2FCutter+16-26+AWG+Stranded&amp;qid=1695173951&amp;sr=8-9</v>
      </c>
      <c r="F5388" t="s">
        <v>7253</v>
      </c>
      <c r="G5388" t="e">
        <f ca="1">_xludf.IMAGE("https://edmondsonsupply.com/cdn/shop/products/11046.jpg?v=1587147965")</f>
        <v>#NAME?</v>
      </c>
      <c r="H5388" t="e">
        <f ca="1">_xludf.IMAGE("https://m.media-amazon.com/images/I/61nMz2jkNIL._AC_UL320_.jpg")</f>
        <v>#NAME?</v>
      </c>
      <c r="I5388" t="s">
        <v>143</v>
      </c>
      <c r="J5388">
        <v>21.97</v>
      </c>
      <c r="K5388" s="4">
        <v>0.37569999999999998</v>
      </c>
      <c r="L5388">
        <v>4.5999999999999996</v>
      </c>
      <c r="M5388">
        <v>7741</v>
      </c>
      <c r="O5388" t="s">
        <v>25</v>
      </c>
      <c r="P5388" t="s">
        <v>2281</v>
      </c>
      <c r="Q5388" t="s">
        <v>2282</v>
      </c>
    </row>
    <row r="5389" spans="1:17" ht="15.5" x14ac:dyDescent="0.35">
      <c r="A5389"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389"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389" t="s">
        <v>6824</v>
      </c>
      <c r="D5389" t="s">
        <v>7254</v>
      </c>
      <c r="E5389" s="3" t="str">
        <f>HYPERLINK("https://www.amazon.com/Klein-Tools-Integrated-Non-Contact-Detector/dp/B0BC84182C/ref=sr_1_9?keywords=Klein+Tools+ET310+Digital+Circuit+Breaker+Finder+with+GFCI+Outlet+Tester&amp;qid=1695173862&amp;sr=8-9", "https://www.amazon.com/Klein-Tools-Integrated-Non-Contact-Detector/dp/B0BC84182C/ref=sr_1_9?keywords=Klein+Tools+ET310+Digital+Circuit+Breaker+Finder+with+GFCI+Outlet+Tester&amp;qid=1695173862&amp;sr=8-9")</f>
        <v>https://www.amazon.com/Klein-Tools-Integrated-Non-Contact-Detector/dp/B0BC84182C/ref=sr_1_9?keywords=Klein+Tools+ET310+Digital+Circuit+Breaker+Finder+with+GFCI+Outlet+Tester&amp;qid=1695173862&amp;sr=8-9</v>
      </c>
      <c r="F5389" t="s">
        <v>7255</v>
      </c>
      <c r="G5389" t="e">
        <f ca="1">_xludf.IMAGE("https://edmondsonsupply.com/cdn/shop/products/et310_c.jpg?v=1646963918")</f>
        <v>#NAME?</v>
      </c>
      <c r="H5389" t="e">
        <f ca="1">_xludf.IMAGE("https://m.media-amazon.com/images/I/51TuoTYTlvL._AC_UL320_.jpg")</f>
        <v>#NAME?</v>
      </c>
      <c r="I5389" t="s">
        <v>380</v>
      </c>
      <c r="J5389">
        <v>68.69</v>
      </c>
      <c r="K5389" s="4">
        <v>0.37459999999999999</v>
      </c>
      <c r="L5389">
        <v>4</v>
      </c>
      <c r="M5389">
        <v>8</v>
      </c>
      <c r="O5389" t="s">
        <v>25</v>
      </c>
      <c r="P5389" t="s">
        <v>6825</v>
      </c>
      <c r="Q5389" t="s">
        <v>6826</v>
      </c>
    </row>
    <row r="5390" spans="1:17" ht="15.5" x14ac:dyDescent="0.35">
      <c r="A5390"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5390"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5390" t="s">
        <v>2344</v>
      </c>
      <c r="D5390" t="s">
        <v>3413</v>
      </c>
      <c r="E5390" s="3" t="str">
        <f>HYPERLINK("https://www.amazon.com/Journeyman-T-Handle-Klein-Tools-JTH6T27/dp/B005G3B4MO/ref=sr_1_8?keywords=Klein+Tools+JTH6E14+5%2F16-Inch+Hex+Key+with+Journeyman+T-Handle%2C+6-Inch&amp;qid=1695173855&amp;sr=8-8", "https://www.amazon.com/Journeyman-T-Handle-Klein-Tools-JTH6T27/dp/B005G3B4MO/ref=sr_1_8?keywords=Klein+Tools+JTH6E14+5%2F16-Inch+Hex+Key+with+Journeyman+T-Handle%2C+6-Inch&amp;qid=1695173855&amp;sr=8-8")</f>
        <v>https://www.amazon.com/Journeyman-T-Handle-Klein-Tools-JTH6T27/dp/B005G3B4MO/ref=sr_1_8?keywords=Klein+Tools+JTH6E14+5%2F16-Inch+Hex+Key+with+Journeyman+T-Handle%2C+6-Inch&amp;qid=1695173855&amp;sr=8-8</v>
      </c>
      <c r="F5390" t="s">
        <v>3414</v>
      </c>
      <c r="G5390" t="e">
        <f ca="1">_xludf.IMAGE("https://edmondsonsupply.com/cdn/shop/products/jth6e15.jpg?v=1587148489")</f>
        <v>#NAME?</v>
      </c>
      <c r="H5390" t="e">
        <f ca="1">_xludf.IMAGE("https://m.media-amazon.com/images/I/51Xj0Vsb-EL._AC_UL320_.jpg")</f>
        <v>#NAME?</v>
      </c>
      <c r="I5390" t="s">
        <v>2347</v>
      </c>
      <c r="J5390">
        <v>9.59</v>
      </c>
      <c r="K5390" s="4">
        <v>0.372</v>
      </c>
      <c r="L5390">
        <v>4.8</v>
      </c>
      <c r="M5390">
        <v>1544</v>
      </c>
      <c r="O5390" t="s">
        <v>25</v>
      </c>
      <c r="P5390" t="s">
        <v>1140</v>
      </c>
      <c r="Q5390" t="s">
        <v>2348</v>
      </c>
    </row>
    <row r="5391" spans="1:17" ht="15.5" x14ac:dyDescent="0.35">
      <c r="A5391" s="3" t="str">
        <f>HYPERLINK("https://edmondsonsupply.com/collections/electricians-tools/products/uei-dl429b-true-rms-digital-clamp-meter-w-wireless-and-differential-temperature", "https://edmondsonsupply.com/collections/electricians-tools/products/uei-dl429b-true-rms-digital-clamp-meter-w-wireless-and-differential-temperature")</f>
        <v>https://edmondsonsupply.com/collections/electricians-tools/products/uei-dl429b-true-rms-digital-clamp-meter-w-wireless-and-differential-temperature</v>
      </c>
      <c r="B5391"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5391" t="s">
        <v>2868</v>
      </c>
      <c r="D5391" t="s">
        <v>3415</v>
      </c>
      <c r="E5391" s="3" t="str">
        <f>HYPERLINK("https://www.amazon.com/UEi-Test-Instruments-DL489-Meter/dp/B076BZ9Q69/ref=sr_1_2?keywords=UEi+DL479+AC+600A+True+RMS+HVAC%2FR+Clamp+Meter&amp;qid=1695173895&amp;sr=8-2", "https://www.amazon.com/UEi-Test-Instruments-DL489-Meter/dp/B076BZ9Q69/ref=sr_1_2?keywords=UEi+DL479+AC+600A+True+RMS+HVAC%2FR+Clamp+Meter&amp;qid=1695173895&amp;sr=8-2")</f>
        <v>https://www.amazon.com/UEi-Test-Instruments-DL489-Meter/dp/B076BZ9Q69/ref=sr_1_2?keywords=UEi+DL479+AC+600A+True+RMS+HVAC%2FR+Clamp+Meter&amp;qid=1695173895&amp;sr=8-2</v>
      </c>
      <c r="F5391" t="s">
        <v>3416</v>
      </c>
      <c r="G5391" t="e">
        <f ca="1">_xludf.IMAGE("https://edmondsonsupply.com/cdn/shop/products/DL479-1.jpg?v=1587142104")</f>
        <v>#NAME?</v>
      </c>
      <c r="H5391" t="e">
        <f ca="1">_xludf.IMAGE("https://m.media-amazon.com/images/I/61mNU-6C5eL._AC_UY218_.jpg")</f>
        <v>#NAME?</v>
      </c>
      <c r="I5391" t="s">
        <v>2871</v>
      </c>
      <c r="J5391">
        <v>189.95</v>
      </c>
      <c r="K5391" s="4">
        <v>0.37140000000000001</v>
      </c>
      <c r="L5391">
        <v>4.4000000000000004</v>
      </c>
      <c r="M5391">
        <v>263</v>
      </c>
      <c r="O5391" t="s">
        <v>171</v>
      </c>
      <c r="P5391" t="s">
        <v>2872</v>
      </c>
      <c r="Q5391" t="s">
        <v>2873</v>
      </c>
    </row>
    <row r="5392" spans="1:17" ht="15.5" x14ac:dyDescent="0.35">
      <c r="A5392"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5392" s="3" t="str">
        <f>HYPERLINK("https://edmondsonsupply.com/products/klein-tools-jth9m5-5-mm-hex-key-journeyman-t-handle-9-inch", "https://edmondsonsupply.com/products/klein-tools-jth9m5-5-mm-hex-key-journeyman-t-handle-9-inch")</f>
        <v>https://edmondsonsupply.com/products/klein-tools-jth9m5-5-mm-hex-key-journeyman-t-handle-9-inch</v>
      </c>
      <c r="C5392" t="s">
        <v>6167</v>
      </c>
      <c r="D5392" t="s">
        <v>7080</v>
      </c>
      <c r="E5392" s="3" t="str">
        <f>HYPERLINK("https://www.amazon.com/Journeyman-T-Handle-Klein-Tools-JTH9M25/dp/B005G3HIRY/ref=sr_1_3?keywords=Klein+Tools+JTH9M5+5+mm+Hex+Key%2C+Journeyman+T-Handle+9-Inch&amp;qid=1695174264&amp;sr=8-3", "https://www.amazon.com/Journeyman-T-Handle-Klein-Tools-JTH9M25/dp/B005G3HIRY/ref=sr_1_3?keywords=Klein+Tools+JTH9M5+5+mm+Hex+Key%2C+Journeyman+T-Handle+9-Inch&amp;qid=1695174264&amp;sr=8-3")</f>
        <v>https://www.amazon.com/Journeyman-T-Handle-Klein-Tools-JTH9M25/dp/B005G3HIRY/ref=sr_1_3?keywords=Klein+Tools+JTH9M5+5+mm+Hex+Key%2C+Journeyman+T-Handle+9-Inch&amp;qid=1695174264&amp;sr=8-3</v>
      </c>
      <c r="F5392" t="s">
        <v>7081</v>
      </c>
      <c r="G5392" t="e">
        <f ca="1">_xludf.IMAGE("https://edmondsonsupply.com/cdn/shop/products/jth9m_84ad507b-889a-4b5c-80a2-9633c898cd48.jpg?v=1633031048")</f>
        <v>#NAME?</v>
      </c>
      <c r="H5392" t="e">
        <f ca="1">_xludf.IMAGE("https://m.media-amazon.com/images/I/51+1x0vz9XL._AC_UL320_.jpg")</f>
        <v>#NAME?</v>
      </c>
      <c r="I5392" t="s">
        <v>2388</v>
      </c>
      <c r="J5392">
        <v>6.84</v>
      </c>
      <c r="K5392" s="4">
        <v>0.37069999999999997</v>
      </c>
      <c r="L5392">
        <v>4.2</v>
      </c>
      <c r="M5392">
        <v>14</v>
      </c>
      <c r="O5392" t="s">
        <v>25</v>
      </c>
      <c r="P5392" t="s">
        <v>6168</v>
      </c>
      <c r="Q5392" t="s">
        <v>6169</v>
      </c>
    </row>
    <row r="5393" spans="1:17" ht="15.5" x14ac:dyDescent="0.35">
      <c r="A5393" s="3" t="str">
        <f>HYPERLINK("https://edmondsonsupply.com/collections/electricians-tools/products/channellock-804", "https://edmondsonsupply.com/collections/electricians-tools/products/channellock-804")</f>
        <v>https://edmondsonsupply.com/collections/electricians-tools/products/channellock-804</v>
      </c>
      <c r="B5393" s="3" t="str">
        <f>HYPERLINK("https://edmondsonsupply.com/products/channellock-804", "https://edmondsonsupply.com/products/channellock-804")</f>
        <v>https://edmondsonsupply.com/products/channellock-804</v>
      </c>
      <c r="C5393" t="s">
        <v>1551</v>
      </c>
      <c r="D5393" t="s">
        <v>3427</v>
      </c>
      <c r="E5393" s="3" t="str">
        <f>HYPERLINK("https://www.amazon.com/Channellock-804N-Adjustable-Phosphate-4-5-Inch/dp/B000REGV8Y/ref=sr_1_8?keywords=Channellock+804+4-Inch+Chrome+Adjustable+Wrench&amp;qid=1695173945&amp;sr=8-8", "https://www.amazon.com/Channellock-804N-Adjustable-Phosphate-4-5-Inch/dp/B000REGV8Y/ref=sr_1_8?keywords=Channellock+804+4-Inch+Chrome+Adjustable+Wrench&amp;qid=1695173945&amp;sr=8-8")</f>
        <v>https://www.amazon.com/Channellock-804N-Adjustable-Phosphate-4-5-Inch/dp/B000REGV8Y/ref=sr_1_8?keywords=Channellock+804+4-Inch+Chrome+Adjustable+Wrench&amp;qid=1695173945&amp;sr=8-8</v>
      </c>
      <c r="F5393" t="s">
        <v>3428</v>
      </c>
      <c r="G5393" t="e">
        <f ca="1">_xludf.IMAGE("https://edmondsonsupply.com/cdn/shop/products/804-683x1024.jpg?v=1587145853")</f>
        <v>#NAME?</v>
      </c>
      <c r="H5393" t="e">
        <f ca="1">_xludf.IMAGE("https://m.media-amazon.com/images/I/71Coqqt+FuL._AC_UL320_.jpg")</f>
        <v>#NAME?</v>
      </c>
      <c r="I5393" t="s">
        <v>1554</v>
      </c>
      <c r="J5393">
        <v>23.23</v>
      </c>
      <c r="K5393" s="4">
        <v>0.3705</v>
      </c>
      <c r="L5393">
        <v>4.7</v>
      </c>
      <c r="M5393">
        <v>518</v>
      </c>
      <c r="O5393" t="s">
        <v>25</v>
      </c>
      <c r="P5393" t="s">
        <v>1555</v>
      </c>
      <c r="Q5393" t="s">
        <v>1556</v>
      </c>
    </row>
    <row r="5394" spans="1:17" ht="15.5" x14ac:dyDescent="0.35">
      <c r="A5394"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5394"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5394" t="s">
        <v>6861</v>
      </c>
      <c r="D5394" t="s">
        <v>7256</v>
      </c>
      <c r="E5394" s="3" t="str">
        <f>HYPERLINK("https://www.amazon.com/Klein-Tools-CL390-Electronic-Resistance/dp/B08DTDCG7T/ref=sr_1_3?keywords=Klein+Tools+CL220+Digital+Clamp+Meter%2C+AC+Auto-Ranging+400+Amp+with+Temp&amp;qid=1695174305&amp;sr=8-3", "https://www.amazon.com/Klein-Tools-CL390-Electronic-Resistance/dp/B08DTDCG7T/ref=sr_1_3?keywords=Klein+Tools+CL220+Digital+Clamp+Meter%2C+AC+Auto-Ranging+400+Amp+with+Temp&amp;qid=1695174305&amp;sr=8-3")</f>
        <v>https://www.amazon.com/Klein-Tools-CL390-Electronic-Resistance/dp/B08DTDCG7T/ref=sr_1_3?keywords=Klein+Tools+CL220+Digital+Clamp+Meter%2C+AC+Auto-Ranging+400+Amp+with+Temp&amp;qid=1695174305&amp;sr=8-3</v>
      </c>
      <c r="F5394" t="s">
        <v>7257</v>
      </c>
      <c r="G5394" t="e">
        <f ca="1">_xludf.IMAGE("https://edmondsonsupply.com/cdn/shop/products/cl220.jpg?v=1633030821")</f>
        <v>#NAME?</v>
      </c>
      <c r="H5394" t="e">
        <f ca="1">_xludf.IMAGE("https://m.media-amazon.com/images/I/61RaYUw45bL._AC_UY218_.jpg")</f>
        <v>#NAME?</v>
      </c>
      <c r="I5394" t="s">
        <v>356</v>
      </c>
      <c r="J5394">
        <v>95.87</v>
      </c>
      <c r="K5394" s="4">
        <v>0.37019999999999997</v>
      </c>
      <c r="L5394">
        <v>4.5999999999999996</v>
      </c>
      <c r="M5394">
        <v>1097</v>
      </c>
      <c r="O5394" t="s">
        <v>25</v>
      </c>
      <c r="P5394" t="s">
        <v>6864</v>
      </c>
      <c r="Q5394" t="s">
        <v>6865</v>
      </c>
    </row>
    <row r="5395" spans="1:17" ht="15.5" x14ac:dyDescent="0.35">
      <c r="A5395" s="3" t="str">
        <f>HYPERLINK("https://edmondsonsupply.com/collections/electricians-tools/products/greenlee-gsb06-1-2-step-bit-6", "https://edmondsonsupply.com/collections/electricians-tools/products/greenlee-gsb06-1-2-step-bit-6")</f>
        <v>https://edmondsonsupply.com/collections/electricians-tools/products/greenlee-gsb06-1-2-step-bit-6</v>
      </c>
      <c r="B5395" s="3" t="str">
        <f>HYPERLINK("https://edmondsonsupply.com/products/greenlee-gsb06-1-2-step-bit-6", "https://edmondsonsupply.com/products/greenlee-gsb06-1-2-step-bit-6")</f>
        <v>https://edmondsonsupply.com/products/greenlee-gsb06-1-2-step-bit-6</v>
      </c>
      <c r="C5395" t="s">
        <v>2409</v>
      </c>
      <c r="D5395" t="s">
        <v>3245</v>
      </c>
      <c r="E5395" s="3" t="str">
        <f>HYPERLINK("https://www.amazon.com/Greenlee-GSB12-Step-Bit-1-3/dp/B08TVF7KMP/ref=sr_1_3?keywords=Greenlee+GSB06+1%2F2%22+Step+Bit+%28%236%29&amp;qid=1695173911&amp;sr=8-3", "https://www.amazon.com/Greenlee-GSB12-Step-Bit-1-3/dp/B08TVF7KMP/ref=sr_1_3?keywords=Greenlee+GSB06+1%2F2%22+Step+Bit+%28%236%29&amp;qid=1695173911&amp;sr=8-3")</f>
        <v>https://www.amazon.com/Greenlee-GSB12-Step-Bit-1-3/dp/B08TVF7KMP/ref=sr_1_3?keywords=Greenlee+GSB06+1%2F2%22+Step+Bit+%28%236%29&amp;qid=1695173911&amp;sr=8-3</v>
      </c>
      <c r="F5395" t="s">
        <v>3246</v>
      </c>
      <c r="G5395" t="e">
        <f ca="1">_xludf.IMAGE("https://edmondsonsupply.com/cdn/shop/files/GSB06_CAT1_72dpi.jpg?v=1687788659")</f>
        <v>#NAME?</v>
      </c>
      <c r="H5395" t="e">
        <f ca="1">_xludf.IMAGE("https://m.media-amazon.com/images/I/41Z8kxeeZfL._AC_UY218_.jpg")</f>
        <v>#NAME?</v>
      </c>
      <c r="I5395" t="s">
        <v>2410</v>
      </c>
      <c r="J5395">
        <v>45</v>
      </c>
      <c r="K5395" s="4">
        <v>0.36820000000000003</v>
      </c>
      <c r="L5395">
        <v>4.8</v>
      </c>
      <c r="M5395">
        <v>27</v>
      </c>
      <c r="O5395" t="s">
        <v>25</v>
      </c>
      <c r="P5395" t="s">
        <v>2411</v>
      </c>
      <c r="Q5395" t="s">
        <v>2412</v>
      </c>
    </row>
    <row r="5396" spans="1:17" ht="15.5" x14ac:dyDescent="0.35">
      <c r="A5396"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5396"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5396" t="s">
        <v>6595</v>
      </c>
      <c r="D5396" t="s">
        <v>6647</v>
      </c>
      <c r="E5396" s="3" t="str">
        <f>HYPERLINK("https://www.amazon.com/Klein-Tools-VDV526-200-Racheting-Installation/dp/B09T6ZR6BP/ref=sr_1_5?keywords=Klein+Tools+VDV526-052+Cable+Tester%2C+LAN+Scout%C2%AE+Jr.+Continuity+Tester&amp;qid=1695174034&amp;sr=8-5", "https://www.amazon.com/Klein-Tools-VDV526-200-Racheting-Installation/dp/B09T6ZR6BP/ref=sr_1_5?keywords=Klein+Tools+VDV526-052+Cable+Tester%2C+LAN+Scout%C2%AE+Jr.+Continuity+Tester&amp;qid=1695174034&amp;sr=8-5")</f>
        <v>https://www.amazon.com/Klein-Tools-VDV526-200-Racheting-Installation/dp/B09T6ZR6BP/ref=sr_1_5?keywords=Klein+Tools+VDV526-052+Cable+Tester%2C+LAN+Scout%C2%AE+Jr.+Continuity+Tester&amp;qid=1695174034&amp;sr=8-5</v>
      </c>
      <c r="F5396" t="s">
        <v>6648</v>
      </c>
      <c r="G5396" t="e">
        <f ca="1">_xludf.IMAGE("https://edmondsonsupply.com/cdn/shop/files/vdv526-052.jpg?v=1685032494")</f>
        <v>#NAME?</v>
      </c>
      <c r="H5396" t="e">
        <f ca="1">_xludf.IMAGE("https://m.media-amazon.com/images/I/51KxuoR6hnL._AC_UY218_.jpg")</f>
        <v>#NAME?</v>
      </c>
      <c r="I5396" t="s">
        <v>5197</v>
      </c>
      <c r="J5396">
        <v>81.96</v>
      </c>
      <c r="K5396" s="4">
        <v>0.36670000000000003</v>
      </c>
      <c r="L5396">
        <v>5</v>
      </c>
      <c r="M5396">
        <v>7</v>
      </c>
      <c r="O5396" t="s">
        <v>25</v>
      </c>
      <c r="P5396" t="s">
        <v>6596</v>
      </c>
      <c r="Q5396" t="s">
        <v>6597</v>
      </c>
    </row>
    <row r="5397" spans="1:17" ht="15.5" x14ac:dyDescent="0.35">
      <c r="A5397"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5397" s="3" t="str">
        <f>HYPERLINK("https://edmondsonsupply.com/products/klein-tools-646-1-4-1-4-inch-nut-driver-with-6-inch-hollow-shaft", "https://edmondsonsupply.com/products/klein-tools-646-1-4-1-4-inch-nut-driver-with-6-inch-hollow-shaft")</f>
        <v>https://edmondsonsupply.com/products/klein-tools-646-1-4-1-4-inch-nut-driver-with-6-inch-hollow-shaft</v>
      </c>
      <c r="C5397" t="s">
        <v>1478</v>
      </c>
      <c r="D5397" t="s">
        <v>3438</v>
      </c>
      <c r="E5397" s="3" t="str">
        <f>HYPERLINK("https://www.amazon.com/4-Inch-Magnetic-Cushion-Klein-Tools/dp/B01D6DZRFA/ref=sr_1_7?keywords=Klein+Tools+646-1%2F4+1%2F4-Inch+Nut+Driver+with+6-Inch+Hollow+Shaft&amp;qid=1695173897&amp;sr=8-7", "https://www.amazon.com/4-Inch-Magnetic-Cushion-Klein-Tools/dp/B01D6DZRFA/ref=sr_1_7?keywords=Klein+Tools+646-1%2F4+1%2F4-Inch+Nut+Driver+with+6-Inch+Hollow+Shaft&amp;qid=1695173897&amp;sr=8-7")</f>
        <v>https://www.amazon.com/4-Inch-Magnetic-Cushion-Klein-Tools/dp/B01D6DZRFA/ref=sr_1_7?keywords=Klein+Tools+646-1%2F4+1%2F4-Inch+Nut+Driver+with+6-Inch+Hollow+Shaft&amp;qid=1695173897&amp;sr=8-7</v>
      </c>
      <c r="F5397" t="s">
        <v>3439</v>
      </c>
      <c r="G5397" t="e">
        <f ca="1">_xludf.IMAGE("https://edmondsonsupply.com/cdn/shop/products/646-1-2_08d87fa9-eac4-4869-8d3b-bb680d4b1d53.jpg?v=1587150676")</f>
        <v>#NAME?</v>
      </c>
      <c r="H5397" t="e">
        <f ca="1">_xludf.IMAGE("https://m.media-amazon.com/images/I/41DrStZKvjL._AC_UL320_.jpg")</f>
        <v>#NAME?</v>
      </c>
      <c r="I5397" t="s">
        <v>1003</v>
      </c>
      <c r="J5397">
        <v>10.91</v>
      </c>
      <c r="K5397" s="4">
        <v>0.36549999999999999</v>
      </c>
      <c r="L5397">
        <v>4.7</v>
      </c>
      <c r="M5397">
        <v>971</v>
      </c>
      <c r="O5397" t="s">
        <v>25</v>
      </c>
      <c r="P5397" t="s">
        <v>1481</v>
      </c>
      <c r="Q5397" t="s">
        <v>1482</v>
      </c>
    </row>
    <row r="5398" spans="1:17" ht="15.5" x14ac:dyDescent="0.35">
      <c r="A5398"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5398" s="3" t="str">
        <f>HYPERLINK("https://edmondsonsupply.com/products/amprobe-thwd-3-relative-humidity-temperature-meter", "https://edmondsonsupply.com/products/amprobe-thwd-3-relative-humidity-temperature-meter")</f>
        <v>https://edmondsonsupply.com/products/amprobe-thwd-3-relative-humidity-temperature-meter</v>
      </c>
      <c r="C5398" t="s">
        <v>7258</v>
      </c>
      <c r="D5398" t="s">
        <v>7259</v>
      </c>
      <c r="E5398" s="3" t="str">
        <f>HYPERLINK("https://www.amazon.com/Amprobe-TR300-Temperature-Relative-Humidity/dp/B004ZZVZLY/ref=sr_1_8?keywords=Amprobe+THWD-3+Relative+Humidity+Temperature+Meter&amp;qid=1695174239&amp;sr=8-8", "https://www.amazon.com/Amprobe-TR300-Temperature-Relative-Humidity/dp/B004ZZVZLY/ref=sr_1_8?keywords=Amprobe+THWD-3+Relative+Humidity+Temperature+Meter&amp;qid=1695174239&amp;sr=8-8")</f>
        <v>https://www.amazon.com/Amprobe-TR300-Temperature-Relative-Humidity/dp/B004ZZVZLY/ref=sr_1_8?keywords=Amprobe+THWD-3+Relative+Humidity+Temperature+Meter&amp;qid=1695174239&amp;sr=8-8</v>
      </c>
      <c r="F5398" t="s">
        <v>7260</v>
      </c>
      <c r="G5398" t="e">
        <f ca="1">_xludf.IMAGE("https://edmondsonsupply.com/cdn/shop/products/THWD-3.png?v=1633526329")</f>
        <v>#NAME?</v>
      </c>
      <c r="H5398" t="e">
        <f ca="1">_xludf.IMAGE("https://m.media-amazon.com/images/I/41szgY8aX6L._AC_UY218_.jpg")</f>
        <v>#NAME?</v>
      </c>
      <c r="I5398" t="s">
        <v>7261</v>
      </c>
      <c r="J5398">
        <v>240.81</v>
      </c>
      <c r="K5398" s="4">
        <v>0.3654</v>
      </c>
      <c r="L5398">
        <v>4.5999999999999996</v>
      </c>
      <c r="M5398">
        <v>9</v>
      </c>
      <c r="O5398" t="s">
        <v>25</v>
      </c>
      <c r="P5398" t="s">
        <v>4452</v>
      </c>
      <c r="Q5398" t="s">
        <v>7262</v>
      </c>
    </row>
    <row r="5399" spans="1:17" ht="15.5" x14ac:dyDescent="0.35">
      <c r="A5399"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5399" s="3" t="str">
        <f>HYPERLINK("https://edmondsonsupply.com/products/klein-tools-31932-bi-metal-hole-saw-2-inch", "https://edmondsonsupply.com/products/klein-tools-31932-bi-metal-hole-saw-2-inch")</f>
        <v>https://edmondsonsupply.com/products/klein-tools-31932-bi-metal-hole-saw-2-inch</v>
      </c>
      <c r="C5399" t="s">
        <v>6244</v>
      </c>
      <c r="D5399" t="s">
        <v>6787</v>
      </c>
      <c r="E5399" s="3" t="str">
        <f>HYPERLINK("https://www.amazon.com/Klein-Tools-31534-Bi-Metal-8-Inch/dp/B0009OIJFA/ref=sr_1_3?keywords=Klein+Tools+31932+Bi-Metal+Hole+Saw%2C+2-Inch&amp;qid=1695174279&amp;sr=8-3", "https://www.amazon.com/Klein-Tools-31534-Bi-Metal-8-Inch/dp/B0009OIJFA/ref=sr_1_3?keywords=Klein+Tools+31932+Bi-Metal+Hole+Saw%2C+2-Inch&amp;qid=1695174279&amp;sr=8-3")</f>
        <v>https://www.amazon.com/Klein-Tools-31534-Bi-Metal-8-Inch/dp/B0009OIJFA/ref=sr_1_3?keywords=Klein+Tools+31932+Bi-Metal+Hole+Saw%2C+2-Inch&amp;qid=1695174279&amp;sr=8-3</v>
      </c>
      <c r="F5399" t="s">
        <v>6788</v>
      </c>
      <c r="G5399" t="e">
        <f ca="1">_xludf.IMAGE("https://edmondsonsupply.com/cdn/shop/products/31932.jpg?v=1633030939")</f>
        <v>#NAME?</v>
      </c>
      <c r="H5399" t="e">
        <f ca="1">_xludf.IMAGE("https://m.media-amazon.com/images/I/31Wk-f8wwaL._AC_UL320_.jpg")</f>
        <v>#NAME?</v>
      </c>
      <c r="I5399" t="s">
        <v>6056</v>
      </c>
      <c r="J5399">
        <v>14.99</v>
      </c>
      <c r="K5399" s="4">
        <v>0.36399999999999999</v>
      </c>
      <c r="L5399">
        <v>5</v>
      </c>
      <c r="M5399">
        <v>5</v>
      </c>
      <c r="O5399" t="s">
        <v>25</v>
      </c>
      <c r="P5399" t="s">
        <v>1620</v>
      </c>
      <c r="Q5399" t="s">
        <v>6247</v>
      </c>
    </row>
    <row r="5400" spans="1:17" ht="15.5" x14ac:dyDescent="0.35">
      <c r="A5400"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5400" s="3" t="str">
        <f>HYPERLINK("https://edmondsonsupply.com/products/klein-tools-rt250-gfci-receptacle-tester-with-lcd", "https://edmondsonsupply.com/products/klein-tools-rt250-gfci-receptacle-tester-with-lcd")</f>
        <v>https://edmondsonsupply.com/products/klein-tools-rt250-gfci-receptacle-tester-with-lcd</v>
      </c>
      <c r="C5400" t="s">
        <v>6197</v>
      </c>
      <c r="D5400" t="s">
        <v>3872</v>
      </c>
      <c r="E5400" s="3" t="str">
        <f>HYPERLINK("https://www.amazon.com/Klein-Tools-Receptacle-Standard-Electrical/dp/B0BC861K3W/ref=sr_1_2?keywords=Klein+Tools+RT250+GFCI+Receptacle+Tester+with+LCD&amp;qid=1695174176&amp;sr=8-2", "https://www.amazon.com/Klein-Tools-Receptacle-Standard-Electrical/dp/B0BC861K3W/ref=sr_1_2?keywords=Klein+Tools+RT250+GFCI+Receptacle+Tester+with+LCD&amp;qid=1695174176&amp;sr=8-2")</f>
        <v>https://www.amazon.com/Klein-Tools-Receptacle-Standard-Electrical/dp/B0BC861K3W/ref=sr_1_2?keywords=Klein+Tools+RT250+GFCI+Receptacle+Tester+with+LCD&amp;qid=1695174176&amp;sr=8-2</v>
      </c>
      <c r="F5400" t="s">
        <v>3873</v>
      </c>
      <c r="G5400" t="e">
        <f ca="1">_xludf.IMAGE("https://edmondsonsupply.com/cdn/shop/products/rt250_photo_c.jpg?v=1661363824")</f>
        <v>#NAME?</v>
      </c>
      <c r="H5400" t="e">
        <f ca="1">_xludf.IMAGE("https://m.media-amazon.com/images/I/5145pmsV9+L._AC_UL320_.jpg")</f>
        <v>#NAME?</v>
      </c>
      <c r="I5400" t="s">
        <v>2247</v>
      </c>
      <c r="J5400">
        <v>29.88</v>
      </c>
      <c r="K5400" s="4">
        <v>0.36</v>
      </c>
      <c r="L5400">
        <v>4.5</v>
      </c>
      <c r="M5400">
        <v>14</v>
      </c>
      <c r="O5400" t="s">
        <v>25</v>
      </c>
      <c r="P5400" t="s">
        <v>6200</v>
      </c>
      <c r="Q5400" t="s">
        <v>6201</v>
      </c>
    </row>
    <row r="5401" spans="1:17" ht="15.5" x14ac:dyDescent="0.35">
      <c r="A5401" s="3" t="str">
        <f>HYPERLINK("https://edmondsonsupply.com/collections/electricians-tools/products/milwaukee-48-22-8452", "https://edmondsonsupply.com/collections/electricians-tools/products/milwaukee-48-22-8452")</f>
        <v>https://edmondsonsupply.com/collections/electricians-tools/products/milwaukee-48-22-8452</v>
      </c>
      <c r="B5401" s="3" t="str">
        <f>HYPERLINK("https://edmondsonsupply.com/products/milwaukee-48-22-8452", "https://edmondsonsupply.com/products/milwaukee-48-22-8452")</f>
        <v>https://edmondsonsupply.com/products/milwaukee-48-22-8452</v>
      </c>
      <c r="C5401" t="s">
        <v>7155</v>
      </c>
      <c r="D5401" t="s">
        <v>799</v>
      </c>
      <c r="E5401" s="3" t="str">
        <f>HYPERLINK("https://www.amazon.com/Custom-Inserts-48-22-8452-Packout-Milwaukee/dp/B0BRMSHYFF/ref=sr_1_1?keywords=Milwaukee+48-22-8452+Customizable+Foam+Insert+for+PACKOUT%E2%84%A2+Drawer+Tool+Boxes&amp;qid=1695174164&amp;sr=8-1", "https://www.amazon.com/Custom-Inserts-48-22-8452-Packout-Milwaukee/dp/B0BRMSHYFF/ref=sr_1_1?keywords=Milwaukee+48-22-8452+Customizable+Foam+Insert+for+PACKOUT%E2%84%A2+Drawer+Tool+Boxes&amp;qid=1695174164&amp;sr=8-1")</f>
        <v>https://www.amazon.com/Custom-Inserts-48-22-8452-Packout-Milwaukee/dp/B0BRMSHYFF/ref=sr_1_1?keywords=Milwaukee+48-22-8452+Customizable+Foam+Insert+for+PACKOUT%E2%84%A2+Drawer+Tool+Boxes&amp;qid=1695174164&amp;sr=8-1</v>
      </c>
      <c r="F5401" t="s">
        <v>800</v>
      </c>
      <c r="G5401" t="e">
        <f ca="1">_xludf.IMAGE("https://edmondsonsupply.com/cdn/shop/products/48-22-8452_4.png?v=1663605573")</f>
        <v>#NAME?</v>
      </c>
      <c r="H5401" t="e">
        <f ca="1">_xludf.IMAGE("https://m.media-amazon.com/images/I/81k-3Qp4g3L._AC_UL320_.jpg")</f>
        <v>#NAME?</v>
      </c>
      <c r="I5401" t="s">
        <v>471</v>
      </c>
      <c r="J5401">
        <v>33.96</v>
      </c>
      <c r="K5401" s="4">
        <v>0.3589</v>
      </c>
      <c r="L5401">
        <v>4.8</v>
      </c>
      <c r="M5401">
        <v>8</v>
      </c>
      <c r="O5401" t="s">
        <v>25</v>
      </c>
      <c r="P5401" t="s">
        <v>7158</v>
      </c>
      <c r="Q5401" t="s">
        <v>7159</v>
      </c>
    </row>
    <row r="5402" spans="1:17" ht="15.5" x14ac:dyDescent="0.35">
      <c r="A5402" s="3" t="str">
        <f>HYPERLINK("https://edmondsonsupply.com/collections/electricians-tools/products/milwaukee-48-22-8452", "https://edmondsonsupply.com/collections/electricians-tools/products/milwaukee-48-22-8452")</f>
        <v>https://edmondsonsupply.com/collections/electricians-tools/products/milwaukee-48-22-8452</v>
      </c>
      <c r="B5402" s="3" t="str">
        <f>HYPERLINK("https://edmondsonsupply.com/products/milwaukee-48-22-8452", "https://edmondsonsupply.com/products/milwaukee-48-22-8452")</f>
        <v>https://edmondsonsupply.com/products/milwaukee-48-22-8452</v>
      </c>
      <c r="C5402" t="s">
        <v>7155</v>
      </c>
      <c r="D5402" t="s">
        <v>7263</v>
      </c>
      <c r="E5402" s="3" t="str">
        <f>HYPERLINK("https://www.amazon.com/48-22-8452-Custom-Inserts-Packout-Milwaukee/dp/B0BRN73CTQ/ref=sr_1_6?keywords=Milwaukee+48-22-8452+Customizable+Foam+Insert+for+PACKOUT%E2%84%A2+Drawer+Tool+Boxes&amp;qid=1695174164&amp;sr=8-6", "https://www.amazon.com/48-22-8452-Custom-Inserts-Packout-Milwaukee/dp/B0BRN73CTQ/ref=sr_1_6?keywords=Milwaukee+48-22-8452+Customizable+Foam+Insert+for+PACKOUT%E2%84%A2+Drawer+Tool+Boxes&amp;qid=1695174164&amp;sr=8-6")</f>
        <v>https://www.amazon.com/48-22-8452-Custom-Inserts-Packout-Milwaukee/dp/B0BRN73CTQ/ref=sr_1_6?keywords=Milwaukee+48-22-8452+Customizable+Foam+Insert+for+PACKOUT%E2%84%A2+Drawer+Tool+Boxes&amp;qid=1695174164&amp;sr=8-6</v>
      </c>
      <c r="F5402" t="s">
        <v>7264</v>
      </c>
      <c r="G5402" t="e">
        <f ca="1">_xludf.IMAGE("https://edmondsonsupply.com/cdn/shop/products/48-22-8452_4.png?v=1663605573")</f>
        <v>#NAME?</v>
      </c>
      <c r="H5402" t="e">
        <f ca="1">_xludf.IMAGE("https://m.media-amazon.com/images/I/61a44mU0JqL._AC_UL320_.jpg")</f>
        <v>#NAME?</v>
      </c>
      <c r="I5402" t="s">
        <v>471</v>
      </c>
      <c r="J5402">
        <v>33.89</v>
      </c>
      <c r="K5402" s="4">
        <v>0.35610000000000003</v>
      </c>
      <c r="L5402">
        <v>4.4000000000000004</v>
      </c>
      <c r="M5402">
        <v>9</v>
      </c>
      <c r="O5402" t="s">
        <v>25</v>
      </c>
      <c r="P5402" t="s">
        <v>7158</v>
      </c>
      <c r="Q5402" t="s">
        <v>7159</v>
      </c>
    </row>
    <row r="5403" spans="1:17" ht="15.5" x14ac:dyDescent="0.35">
      <c r="A5403"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5403"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5403" t="s">
        <v>6355</v>
      </c>
      <c r="D5403" t="s">
        <v>7265</v>
      </c>
      <c r="E5403" s="3" t="str">
        <f>HYPERLINK("https://www.amazon.com/32-Inch-Ball-End-Klein-Tools-BL6/dp/B000936OMG/ref=sr_1_2?keywords=Klein+Tools+JTH6E06BE+3%2F32-Inch+Ball+End+Hex+Key+with+T-Handle%2C+6-Inch&amp;qid=1695174255&amp;sr=8-2", "https://www.amazon.com/32-Inch-Ball-End-Klein-Tools-BL6/dp/B000936OMG/ref=sr_1_2?keywords=Klein+Tools+JTH6E06BE+3%2F32-Inch+Ball+End+Hex+Key+with+T-Handle%2C+6-Inch&amp;qid=1695174255&amp;sr=8-2")</f>
        <v>https://www.amazon.com/32-Inch-Ball-End-Klein-Tools-BL6/dp/B000936OMG/ref=sr_1_2?keywords=Klein+Tools+JTH6E06BE+3%2F32-Inch+Ball+End+Hex+Key+with+T-Handle%2C+6-Inch&amp;qid=1695174255&amp;sr=8-2</v>
      </c>
      <c r="F5403" t="s">
        <v>7266</v>
      </c>
      <c r="G5403" t="e">
        <f ca="1">_xludf.IMAGE("https://edmondsonsupply.com/cdn/shop/products/jth6e13be_f61308c8-99eb-44df-aac2-25c9159d6b6d.jpg?v=1633031148")</f>
        <v>#NAME?</v>
      </c>
      <c r="H5403" t="e">
        <f ca="1">_xludf.IMAGE("https://m.media-amazon.com/images/I/41LcJXQVZbL._AC_UL320_.jpg")</f>
        <v>#NAME?</v>
      </c>
      <c r="I5403" t="s">
        <v>2388</v>
      </c>
      <c r="J5403">
        <v>6.75</v>
      </c>
      <c r="K5403" s="4">
        <v>0.35270000000000001</v>
      </c>
      <c r="L5403">
        <v>4.8</v>
      </c>
      <c r="M5403">
        <v>14</v>
      </c>
      <c r="O5403" t="s">
        <v>25</v>
      </c>
      <c r="P5403" t="s">
        <v>6356</v>
      </c>
      <c r="Q5403" t="s">
        <v>6357</v>
      </c>
    </row>
    <row r="5404" spans="1:17" ht="15.5" x14ac:dyDescent="0.35">
      <c r="A5404" s="3" t="str">
        <f>HYPERLINK("https://edmondsonsupply.com/collections/electricians-tools/products/milwaukee-48-22-8485-packout%E2%84%A2-mounting-plate", "https://edmondsonsupply.com/collections/electricians-tools/products/milwaukee-48-22-8485-packout%E2%84%A2-mounting-plate")</f>
        <v>https://edmondsonsupply.com/collections/electricians-tools/products/milwaukee-48-22-8485-packout%E2%84%A2-mounting-plate</v>
      </c>
      <c r="B5404" s="3" t="str">
        <f>HYPERLINK("https://edmondsonsupply.com/products/milwaukee-48-22-8485-packout%e2%84%a2-mounting-plate", "https://edmondsonsupply.com/products/milwaukee-48-22-8485-packout%e2%84%a2-mounting-plate")</f>
        <v>https://edmondsonsupply.com/products/milwaukee-48-22-8485-packout%e2%84%a2-mounting-plate</v>
      </c>
      <c r="C5404" t="s">
        <v>6894</v>
      </c>
      <c r="D5404" t="s">
        <v>7267</v>
      </c>
      <c r="E5404" s="3" t="str">
        <f>HYPERLINK("https://www.amazon.com/48-22-8485-Milwaukee-Packout-Mounting-Plate/dp/B0BCYT877C/ref=sr_1_3?keywords=Milwaukee+48-22-8485+PACKOUT%E2%84%A2+Mounting+Plate&amp;qid=1695174070&amp;sr=8-3", "https://www.amazon.com/48-22-8485-Milwaukee-Packout-Mounting-Plate/dp/B0BCYT877C/ref=sr_1_3?keywords=Milwaukee+48-22-8485+PACKOUT%E2%84%A2+Mounting+Plate&amp;qid=1695174070&amp;sr=8-3")</f>
        <v>https://www.amazon.com/48-22-8485-Milwaukee-Packout-Mounting-Plate/dp/B0BCYT877C/ref=sr_1_3?keywords=Milwaukee+48-22-8485+PACKOUT%E2%84%A2+Mounting+Plate&amp;qid=1695174070&amp;sr=8-3</v>
      </c>
      <c r="F5404" t="s">
        <v>7268</v>
      </c>
      <c r="G5404" t="e">
        <f ca="1">_xludf.IMAGE("https://edmondsonsupply.com/cdn/shop/products/48-22-8485_3.png?v=1677252283")</f>
        <v>#NAME?</v>
      </c>
      <c r="H5404" t="e">
        <f ca="1">_xludf.IMAGE("https://m.media-amazon.com/images/I/51qicuCoO0L._AC_UL320_.jpg")</f>
        <v>#NAME?</v>
      </c>
      <c r="I5404" t="s">
        <v>824</v>
      </c>
      <c r="J5404">
        <v>40.53</v>
      </c>
      <c r="K5404" s="4">
        <v>0.35239999999999999</v>
      </c>
      <c r="L5404">
        <v>5</v>
      </c>
      <c r="M5404">
        <v>2</v>
      </c>
      <c r="O5404" t="s">
        <v>25</v>
      </c>
      <c r="P5404" t="s">
        <v>6897</v>
      </c>
      <c r="Q5404" t="s">
        <v>6898</v>
      </c>
    </row>
    <row r="5405" spans="1:17" ht="15.5" x14ac:dyDescent="0.35">
      <c r="A5405" s="3" t="str">
        <f>HYPERLINK("https://edmondsonsupply.com/collections/electricians-tools/products/rack-a-tiers-47002-crocs-jr-needle-nose-wire-strippers", "https://edmondsonsupply.com/collections/electricians-tools/products/rack-a-tiers-47002-crocs-jr-needle-nose-wire-strippers")</f>
        <v>https://edmondsonsupply.com/collections/electricians-tools/products/rack-a-tiers-47002-crocs-jr-needle-nose-wire-strippers</v>
      </c>
      <c r="B5405" s="3" t="str">
        <f>HYPERLINK("https://edmondsonsupply.com/products/rack-a-tiers-47002-crocs-jr-needle-nose-wire-strippers", "https://edmondsonsupply.com/products/rack-a-tiers-47002-crocs-jr-needle-nose-wire-strippers")</f>
        <v>https://edmondsonsupply.com/products/rack-a-tiers-47002-crocs-jr-needle-nose-wire-strippers</v>
      </c>
      <c r="C5405" t="s">
        <v>3468</v>
      </c>
      <c r="D5405" t="s">
        <v>3469</v>
      </c>
      <c r="E5405" s="3" t="str">
        <f>HYPERLINK("https://www.amazon.com/Rack-Tiers-47000-Needle-Strippers/dp/B0087TBQ3G/ref=sr_1_2?keywords=Rack-A-Tiers+47002+Croc%27s+Jr.+Needle+Nose+Wire+Strippers&amp;qid=1695173869&amp;sr=8-2", "https://www.amazon.com/Rack-Tiers-47000-Needle-Strippers/dp/B0087TBQ3G/ref=sr_1_2?keywords=Rack-A-Tiers+47002+Croc%27s+Jr.+Needle+Nose+Wire+Strippers&amp;qid=1695173869&amp;sr=8-2")</f>
        <v>https://www.amazon.com/Rack-Tiers-47000-Needle-Strippers/dp/B0087TBQ3G/ref=sr_1_2?keywords=Rack-A-Tiers+47002+Croc%27s+Jr.+Needle+Nose+Wire+Strippers&amp;qid=1695173869&amp;sr=8-2</v>
      </c>
      <c r="F5405" t="s">
        <v>3470</v>
      </c>
      <c r="G5405" t="e">
        <f ca="1">_xludf.IMAGE("https://edmondsonsupply.com/cdn/shop/products/47002-Crocs-Jr-2-1-1-1.png?v=1587142280")</f>
        <v>#NAME?</v>
      </c>
      <c r="H5405" t="e">
        <f ca="1">_xludf.IMAGE("https://m.media-amazon.com/images/I/51fMweVpbYL._AC_UL320_.jpg")</f>
        <v>#NAME?</v>
      </c>
      <c r="I5405" t="s">
        <v>3471</v>
      </c>
      <c r="J5405">
        <v>30.4</v>
      </c>
      <c r="K5405" s="4">
        <v>0.35170000000000001</v>
      </c>
      <c r="L5405">
        <v>4.5999999999999996</v>
      </c>
      <c r="M5405">
        <v>507</v>
      </c>
      <c r="O5405" t="s">
        <v>25</v>
      </c>
      <c r="P5405" t="s">
        <v>3472</v>
      </c>
      <c r="Q5405" t="s">
        <v>3473</v>
      </c>
    </row>
    <row r="5406" spans="1:17" ht="15.5" x14ac:dyDescent="0.35">
      <c r="A5406" s="3" t="str">
        <f>HYPERLINK("https://edmondsonsupply.com/collections/electricians-tools/products/channellock-431", "https://edmondsonsupply.com/collections/electricians-tools/products/channellock-431")</f>
        <v>https://edmondsonsupply.com/collections/electricians-tools/products/channellock-431</v>
      </c>
      <c r="B5406" s="3" t="str">
        <f>HYPERLINK("https://edmondsonsupply.com/products/channellock-431", "https://edmondsonsupply.com/products/channellock-431")</f>
        <v>https://edmondsonsupply.com/products/channellock-431</v>
      </c>
      <c r="C5406" t="s">
        <v>3341</v>
      </c>
      <c r="D5406" t="s">
        <v>3474</v>
      </c>
      <c r="E5406" s="3" t="str">
        <f>HYPERLINK("https://www.amazon.com/CHANNELLOCK-430X-10-inch-SPEEDGRIP-Straight/dp/B07P42JFMG/ref=sr_1_2?keywords=Channellock+432+10-Inch+V-Jaw+Tongue&amp;qid=1695173959&amp;sr=8-2", "https://www.amazon.com/CHANNELLOCK-430X-10-inch-SPEEDGRIP-Straight/dp/B07P42JFMG/ref=sr_1_2?keywords=Channellock+432+10-Inch+V-Jaw+Tongue&amp;qid=1695173959&amp;sr=8-2")</f>
        <v>https://www.amazon.com/CHANNELLOCK-430X-10-inch-SPEEDGRIP-Straight/dp/B07P42JFMG/ref=sr_1_2?keywords=Channellock+432+10-Inch+V-Jaw+Tongue&amp;qid=1695173959&amp;sr=8-2</v>
      </c>
      <c r="F5406" t="s">
        <v>3475</v>
      </c>
      <c r="G5406" t="e">
        <f ca="1">_xludf.IMAGE("https://edmondsonsupply.com/cdn/shop/products/432-683x1024.jpg?v=1587147134")</f>
        <v>#NAME?</v>
      </c>
      <c r="H5406" t="e">
        <f ca="1">_xludf.IMAGE("https://m.media-amazon.com/images/I/71xwTtkFcHL._AC_UL320_.jpg")</f>
        <v>#NAME?</v>
      </c>
      <c r="I5406" t="s">
        <v>488</v>
      </c>
      <c r="J5406">
        <v>26.95</v>
      </c>
      <c r="K5406" s="4">
        <v>0.35089999999999999</v>
      </c>
      <c r="L5406">
        <v>4.4000000000000004</v>
      </c>
      <c r="M5406">
        <v>578</v>
      </c>
      <c r="O5406" t="s">
        <v>25</v>
      </c>
      <c r="P5406" t="s">
        <v>3344</v>
      </c>
      <c r="Q5406" t="s">
        <v>3345</v>
      </c>
    </row>
    <row r="5407" spans="1:17" ht="15.5" x14ac:dyDescent="0.35">
      <c r="A5407"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5407" s="3" t="str">
        <f>HYPERLINK("https://edmondsonsupply.com/products/klein-tools-5141-canvas-bag-4-pk-brown-black-gray-red", "https://edmondsonsupply.com/products/klein-tools-5141-canvas-bag-4-pk-brown-black-gray-red")</f>
        <v>https://edmondsonsupply.com/products/klein-tools-5141-canvas-bag-4-pk-brown-black-gray-red</v>
      </c>
      <c r="C5407" t="s">
        <v>243</v>
      </c>
      <c r="D5407" t="s">
        <v>438</v>
      </c>
      <c r="E5407" s="3" t="str">
        <f>HYPERLINK("https://www.amazon.com/Klein-Tools-Canvas-Utility-Stand-Up/dp/B0BD3XVWR6/ref=sr_1_5?keywords=Klein+Tools+5141+Zipper+Bags%2C+Canvas+Tool+Pouches+Brown%2FBlack%2FGray%2FRed%2C+4-Pack&amp;qid=1695173934&amp;sr=8-5", "https://www.amazon.com/Klein-Tools-Canvas-Utility-Stand-Up/dp/B0BD3XVWR6/ref=sr_1_5?keywords=Klein+Tools+5141+Zipper+Bags%2C+Canvas+Tool+Pouches+Brown%2FBlack%2FGray%2FRed%2C+4-Pack&amp;qid=1695173934&amp;sr=8-5")</f>
        <v>https://www.amazon.com/Klein-Tools-Canvas-Utility-Stand-Up/dp/B0BD3XVWR6/ref=sr_1_5?keywords=Klein+Tools+5141+Zipper+Bags%2C+Canvas+Tool+Pouches+Brown%2FBlack%2FGray%2FRed%2C+4-Pack&amp;qid=1695173934&amp;sr=8-5</v>
      </c>
      <c r="F5407" t="s">
        <v>439</v>
      </c>
      <c r="G5407" t="e">
        <f ca="1">_xludf.IMAGE("https://edmondsonsupply.com/cdn/shop/products/5141.jpg?v=1633030517")</f>
        <v>#NAME?</v>
      </c>
      <c r="H5407" t="e">
        <f ca="1">_xludf.IMAGE("https://m.media-amazon.com/images/I/51n7dZuAc6L._AC_UL320_.jpg")</f>
        <v>#NAME?</v>
      </c>
      <c r="I5407" t="s">
        <v>246</v>
      </c>
      <c r="J5407">
        <v>53.99</v>
      </c>
      <c r="K5407" s="4">
        <v>0.3508</v>
      </c>
      <c r="L5407">
        <v>5</v>
      </c>
      <c r="M5407">
        <v>2</v>
      </c>
      <c r="O5407" t="s">
        <v>25</v>
      </c>
      <c r="P5407" t="s">
        <v>247</v>
      </c>
      <c r="Q5407" t="s">
        <v>248</v>
      </c>
    </row>
    <row r="5408" spans="1:17" ht="15.5" x14ac:dyDescent="0.35">
      <c r="A5408"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5408" s="3" t="str">
        <f>HYPERLINK("https://edmondsonsupply.com/products/klein-tools-5141-canvas-bag-4-pk-brown-black-gray-red", "https://edmondsonsupply.com/products/klein-tools-5141-canvas-bag-4-pk-brown-black-gray-red")</f>
        <v>https://edmondsonsupply.com/products/klein-tools-5141-canvas-bag-4-pk-brown-black-gray-red</v>
      </c>
      <c r="C5408" t="s">
        <v>243</v>
      </c>
      <c r="D5408" t="s">
        <v>274</v>
      </c>
      <c r="E5408" s="3" t="str">
        <f>HYPERLINK("https://www.amazon.com/Klein-Tools-Stand-Up-Carabiners-14-Inch/dp/B0BKQ9CM13/ref=sr_1_3?keywords=Klein+Tools+5141+Zipper+Bags%2C+Canvas+Tool+Pouches+Brown%2FBlack%2FGray%2FRed%2C+4-Pack&amp;qid=1695173934&amp;sr=8-3", "https://www.amazon.com/Klein-Tools-Stand-Up-Carabiners-14-Inch/dp/B0BKQ9CM13/ref=sr_1_3?keywords=Klein+Tools+5141+Zipper+Bags%2C+Canvas+Tool+Pouches+Brown%2FBlack%2FGray%2FRed%2C+4-Pack&amp;qid=1695173934&amp;sr=8-3")</f>
        <v>https://www.amazon.com/Klein-Tools-Stand-Up-Carabiners-14-Inch/dp/B0BKQ9CM13/ref=sr_1_3?keywords=Klein+Tools+5141+Zipper+Bags%2C+Canvas+Tool+Pouches+Brown%2FBlack%2FGray%2FRed%2C+4-Pack&amp;qid=1695173934&amp;sr=8-3</v>
      </c>
      <c r="F5408" t="s">
        <v>275</v>
      </c>
      <c r="G5408" t="e">
        <f ca="1">_xludf.IMAGE("https://edmondsonsupply.com/cdn/shop/products/5141.jpg?v=1633030517")</f>
        <v>#NAME?</v>
      </c>
      <c r="H5408" t="e">
        <f ca="1">_xludf.IMAGE("https://m.media-amazon.com/images/I/416u4HXmGJL._AC_UL320_.jpg")</f>
        <v>#NAME?</v>
      </c>
      <c r="I5408" t="s">
        <v>246</v>
      </c>
      <c r="J5408">
        <v>53.99</v>
      </c>
      <c r="K5408" s="4">
        <v>0.3508</v>
      </c>
      <c r="L5408">
        <v>4.5</v>
      </c>
      <c r="M5408">
        <v>2</v>
      </c>
      <c r="O5408" t="s">
        <v>25</v>
      </c>
      <c r="P5408" t="s">
        <v>247</v>
      </c>
      <c r="Q5408" t="s">
        <v>248</v>
      </c>
    </row>
    <row r="5409" spans="1:17" ht="15.5" x14ac:dyDescent="0.35">
      <c r="A5409" s="3" t="str">
        <f>HYPERLINK("https://edmondsonsupply.com/collections/electricians-tools/products/supco-ecmpro-ecm-universal-tester", "https://edmondsonsupply.com/collections/electricians-tools/products/supco-ecmpro-ecm-universal-tester")</f>
        <v>https://edmondsonsupply.com/collections/electricians-tools/products/supco-ecmpro-ecm-universal-tester</v>
      </c>
      <c r="B5409" s="3" t="str">
        <f>HYPERLINK("https://edmondsonsupply.com/products/supco-ecmpro-ecm-universal-tester", "https://edmondsonsupply.com/products/supco-ecmpro-ecm-universal-tester")</f>
        <v>https://edmondsonsupply.com/products/supco-ecmpro-ecm-universal-tester</v>
      </c>
      <c r="C5409" t="s">
        <v>3260</v>
      </c>
      <c r="D5409" t="s">
        <v>3483</v>
      </c>
      <c r="E5409" s="3" t="str">
        <f>HYPERLINK("https://www.amazon.com/Supplying-Demand-Universal-Electronically-Commutated/dp/B094S73V1M/ref=sr_1_1?keywords=Supco+ECMPRO+ECM+Universal+Tester&amp;qid=1695173845&amp;sr=8-1", "https://www.amazon.com/Supplying-Demand-Universal-Electronically-Commutated/dp/B094S73V1M/ref=sr_1_1?keywords=Supco+ECMPRO+ECM+Universal+Tester&amp;qid=1695173845&amp;sr=8-1")</f>
        <v>https://www.amazon.com/Supplying-Demand-Universal-Electronically-Commutated/dp/B094S73V1M/ref=sr_1_1?keywords=Supco+ECMPRO+ECM+Universal+Tester&amp;qid=1695173845&amp;sr=8-1</v>
      </c>
      <c r="F5409" t="s">
        <v>3484</v>
      </c>
      <c r="G5409" t="e">
        <f ca="1">_xludf.IMAGE("https://edmondsonsupply.com/cdn/shop/products/ECMPRO_L.png?v=1587142591")</f>
        <v>#NAME?</v>
      </c>
      <c r="H5409" t="e">
        <f ca="1">_xludf.IMAGE("https://m.media-amazon.com/images/I/51YrZKhhreS._AC_UY218_.jpg")</f>
        <v>#NAME?</v>
      </c>
      <c r="I5409" t="s">
        <v>3263</v>
      </c>
      <c r="J5409">
        <v>70.989999999999995</v>
      </c>
      <c r="K5409" s="4">
        <v>0.3463</v>
      </c>
      <c r="L5409">
        <v>4.7</v>
      </c>
      <c r="M5409">
        <v>106</v>
      </c>
      <c r="O5409" t="s">
        <v>25</v>
      </c>
      <c r="P5409" t="s">
        <v>138</v>
      </c>
      <c r="Q5409" t="s">
        <v>3264</v>
      </c>
    </row>
    <row r="5410" spans="1:17" ht="15.5" x14ac:dyDescent="0.35">
      <c r="A5410"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5410" s="3" t="str">
        <f>HYPERLINK("https://edmondsonsupply.com/products/diablo-tools-dag3090-7-8-in-x-17-1-2-in-auger-bit", "https://edmondsonsupply.com/products/diablo-tools-dag3090-7-8-in-x-17-1-2-in-auger-bit")</f>
        <v>https://edmondsonsupply.com/products/diablo-tools-dag3090-7-8-in-x-17-1-2-in-auger-bit</v>
      </c>
      <c r="C5410" t="s">
        <v>7269</v>
      </c>
      <c r="D5410" t="s">
        <v>6820</v>
      </c>
      <c r="E5410" s="3" t="str">
        <f>HYPERLINK("https://www.amazon.com/Diablo-17-1-Auger-Bit/dp/B089LG8GYB/ref=sr_1_1?keywords=Diablo+Tools+DAG3090+7%2F8+in.+x+17-1%2F2+in.+Auger+Bit&amp;qid=1695174065&amp;sr=8-1", "https://www.amazon.com/Diablo-17-1-Auger-Bit/dp/B089LG8GYB/ref=sr_1_1?keywords=Diablo+Tools+DAG3090+7%2F8+in.+x+17-1%2F2+in.+Auger+Bit&amp;qid=1695174065&amp;sr=8-1")</f>
        <v>https://www.amazon.com/Diablo-17-1-Auger-Bit/dp/B089LG8GYB/ref=sr_1_1?keywords=Diablo+Tools+DAG3090+7%2F8+in.+x+17-1%2F2+in.+Auger+Bit&amp;qid=1695174065&amp;sr=8-1</v>
      </c>
      <c r="F5410" t="s">
        <v>6821</v>
      </c>
      <c r="G5410" t="e">
        <f ca="1">_xludf.IMAGE("https://edmondsonsupply.com/cdn/shop/products/aorgtpkivjubhtbiiau0.webp?v=1677256849")</f>
        <v>#NAME?</v>
      </c>
      <c r="H5410" t="e">
        <f ca="1">_xludf.IMAGE("https://m.media-amazon.com/images/I/61QXZJGNQTL._AC_UL320_.jpg")</f>
        <v>#NAME?</v>
      </c>
      <c r="I5410" t="s">
        <v>1589</v>
      </c>
      <c r="J5410">
        <v>30.9</v>
      </c>
      <c r="K5410" s="4">
        <v>0.34410000000000002</v>
      </c>
      <c r="L5410">
        <v>4.3</v>
      </c>
      <c r="M5410">
        <v>29</v>
      </c>
      <c r="O5410" t="s">
        <v>25</v>
      </c>
      <c r="P5410" t="s">
        <v>7270</v>
      </c>
      <c r="Q5410" t="s">
        <v>7271</v>
      </c>
    </row>
    <row r="5411" spans="1:17" ht="15.5" x14ac:dyDescent="0.35">
      <c r="A5411"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5411"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5411" t="s">
        <v>6940</v>
      </c>
      <c r="D5411" t="s">
        <v>5938</v>
      </c>
      <c r="E5411" s="3" t="str">
        <f>HYPERLINK("https://www.amazon.com/Diablo-Universal-Bi-Metal-Blades-Nail-Embedded/dp/B089KW2WVD/ref=sr_1_2?keywords=Diablo+Tools+DOU125BF+1-1%2F4+in.+Universal+Fit+Bi-Metal+Oscillating+Blade+for+Metal&amp;qid=1695174025&amp;sr=8-2", "https://www.amazon.com/Diablo-Universal-Bi-Metal-Blades-Nail-Embedded/dp/B089KW2WVD/ref=sr_1_2?keywords=Diablo+Tools+DOU125BF+1-1%2F4+in.+Universal+Fit+Bi-Metal+Oscillating+Blade+for+Metal&amp;qid=1695174025&amp;sr=8-2")</f>
        <v>https://www.amazon.com/Diablo-Universal-Bi-Metal-Blades-Nail-Embedded/dp/B089KW2WVD/ref=sr_1_2?keywords=Diablo+Tools+DOU125BF+1-1%2F4+in.+Universal+Fit+Bi-Metal+Oscillating+Blade+for+Metal&amp;qid=1695174025&amp;sr=8-2</v>
      </c>
      <c r="F5411" t="s">
        <v>5939</v>
      </c>
      <c r="G5411" t="e">
        <f ca="1">_xludf.IMAGE("https://edmondsonsupply.com/cdn/shop/files/k1d1qiwmm4npznsdbwtg.webp?v=1685467858")</f>
        <v>#NAME?</v>
      </c>
      <c r="H5411" t="e">
        <f ca="1">_xludf.IMAGE("https://m.media-amazon.com/images/I/613ig7mNjfL._AC_UL320_.jpg")</f>
        <v>#NAME?</v>
      </c>
      <c r="I5411" t="s">
        <v>6164</v>
      </c>
      <c r="J5411">
        <v>25.49</v>
      </c>
      <c r="K5411" s="4">
        <v>0.34370000000000001</v>
      </c>
      <c r="L5411">
        <v>4.5999999999999996</v>
      </c>
      <c r="M5411">
        <v>148</v>
      </c>
      <c r="O5411" t="s">
        <v>25</v>
      </c>
      <c r="P5411" t="s">
        <v>6943</v>
      </c>
      <c r="Q5411" t="s">
        <v>6944</v>
      </c>
    </row>
    <row r="5412" spans="1:17" ht="15.5" x14ac:dyDescent="0.35">
      <c r="A5412"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5412" s="3" t="str">
        <f>HYPERLINK("https://edmondsonsupply.com/products/fluke-c60-soft-carrying-case", "https://edmondsonsupply.com/products/fluke-c60-soft-carrying-case")</f>
        <v>https://edmondsonsupply.com/products/fluke-c60-soft-carrying-case</v>
      </c>
      <c r="C5412" t="s">
        <v>265</v>
      </c>
      <c r="D5412" t="s">
        <v>440</v>
      </c>
      <c r="E5412" s="3" t="str">
        <f>HYPERLINK("https://www.amazon.com/Fluke-C23-Vinyl-Soft-Carrying/dp/B000Q8SDUA/ref=sr_1_2?keywords=Fluke+C60+Soft+Carrying+Case&amp;qid=1695174290&amp;sr=8-2", "https://www.amazon.com/Fluke-C23-Vinyl-Soft-Carrying/dp/B000Q8SDUA/ref=sr_1_2?keywords=Fluke+C60+Soft+Carrying+Case&amp;qid=1695174290&amp;sr=8-2")</f>
        <v>https://www.amazon.com/Fluke-C23-Vinyl-Soft-Carrying/dp/B000Q8SDUA/ref=sr_1_2?keywords=Fluke+C60+Soft+Carrying+Case&amp;qid=1695174290&amp;sr=8-2</v>
      </c>
      <c r="F5412" t="s">
        <v>441</v>
      </c>
      <c r="G5412" t="e">
        <f ca="1">_xludf.IMAGE("https://edmondsonsupply.com/cdn/shop/products/c60.png?v=1633030926")</f>
        <v>#NAME?</v>
      </c>
      <c r="H5412" t="e">
        <f ca="1">_xludf.IMAGE("https://m.media-amazon.com/images/I/619hfrCzniL._AC_UL320_.jpg")</f>
        <v>#NAME?</v>
      </c>
      <c r="I5412" t="s">
        <v>268</v>
      </c>
      <c r="J5412">
        <v>66.489999999999995</v>
      </c>
      <c r="K5412" s="4">
        <v>0.34350000000000003</v>
      </c>
      <c r="L5412">
        <v>4.5</v>
      </c>
      <c r="M5412">
        <v>19</v>
      </c>
      <c r="O5412" t="s">
        <v>25</v>
      </c>
      <c r="P5412" t="s">
        <v>269</v>
      </c>
      <c r="Q5412" t="s">
        <v>270</v>
      </c>
    </row>
    <row r="5413" spans="1:17" ht="15.5" x14ac:dyDescent="0.35">
      <c r="A5413"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5413" s="3" t="str">
        <f>HYPERLINK("https://edmondsonsupply.com/products/klein-tools-66070-flip-impact-socket-set-7-piece", "https://edmondsonsupply.com/products/klein-tools-66070-flip-impact-socket-set-7-piece")</f>
        <v>https://edmondsonsupply.com/products/klein-tools-66070-flip-impact-socket-set-7-piece</v>
      </c>
      <c r="C5413" t="s">
        <v>6659</v>
      </c>
      <c r="D5413" t="s">
        <v>1834</v>
      </c>
      <c r="E5413" s="3" t="str">
        <f>HYPERLINK("https://www.amazon.com/Klein-Tools-Impact-Socket-7-Piece/dp/B0BGZPR364/ref=sr_1_2?keywords=Klein+Tools+66070+Flip+Impact+Socket+Set%2C+7-Piece&amp;qid=1695173845&amp;sr=8-2", "https://www.amazon.com/Klein-Tools-Impact-Socket-7-Piece/dp/B0BGZPR364/ref=sr_1_2?keywords=Klein+Tools+66070+Flip+Impact+Socket+Set%2C+7-Piece&amp;qid=1695173845&amp;sr=8-2")</f>
        <v>https://www.amazon.com/Klein-Tools-Impact-Socket-7-Piece/dp/B0BGZPR364/ref=sr_1_2?keywords=Klein+Tools+66070+Flip+Impact+Socket+Set%2C+7-Piece&amp;qid=1695173845&amp;sr=8-2</v>
      </c>
      <c r="F5413" t="s">
        <v>7272</v>
      </c>
      <c r="G5413" t="e">
        <f ca="1">_xludf.IMAGE("https://edmondsonsupply.com/cdn/shop/products/66070_b.jpg?v=1663251434")</f>
        <v>#NAME?</v>
      </c>
      <c r="H5413" t="e">
        <f ca="1">_xludf.IMAGE("https://m.media-amazon.com/images/I/51aNTtzJ2BL._AC_UL320_.jpg")</f>
        <v>#NAME?</v>
      </c>
      <c r="I5413" t="s">
        <v>380</v>
      </c>
      <c r="J5413">
        <v>66.94</v>
      </c>
      <c r="K5413" s="4">
        <v>0.33960000000000001</v>
      </c>
      <c r="L5413">
        <v>4.8</v>
      </c>
      <c r="M5413">
        <v>18</v>
      </c>
      <c r="O5413" t="s">
        <v>25</v>
      </c>
      <c r="P5413" t="s">
        <v>1114</v>
      </c>
      <c r="Q5413" t="s">
        <v>6662</v>
      </c>
    </row>
    <row r="5414" spans="1:17" ht="15.5" x14ac:dyDescent="0.35">
      <c r="A5414" s="3" t="str">
        <f>HYPERLINK("https://edmondsonsupply.com/collections/electricians-tools/products/klein-tools-66050e-2-in-1-metric-impact-socket-set-12-point-5-piece", "https://edmondsonsupply.com/collections/electricians-tools/products/klein-tools-66050e-2-in-1-metric-impact-socket-set-12-point-5-piece")</f>
        <v>https://edmondsonsupply.com/collections/electricians-tools/products/klein-tools-66050e-2-in-1-metric-impact-socket-set-12-point-5-piece</v>
      </c>
      <c r="B5414" s="3" t="str">
        <f>HYPERLINK("https://edmondsonsupply.com/products/klein-tools-66050e-2-in-1-metric-impact-socket-set-12-point-5-piece", "https://edmondsonsupply.com/products/klein-tools-66050e-2-in-1-metric-impact-socket-set-12-point-5-piece")</f>
        <v>https://edmondsonsupply.com/products/klein-tools-66050e-2-in-1-metric-impact-socket-set-12-point-5-piece</v>
      </c>
      <c r="C5414" t="s">
        <v>7273</v>
      </c>
      <c r="D5414" t="s">
        <v>7022</v>
      </c>
      <c r="E5414" s="3" t="str">
        <f>HYPERLINK("https://www.amazon.com/Klein-Tools-66010-High-Torque-12-Point/dp/B07NZS6998/ref=sr_1_3?keywords=Klein+Tools+66050E+2-in-1+Metric+Impact+Socket+Set%2C+12-Point%2C+5-Piece&amp;qid=1695174176&amp;sr=8-3", "https://www.amazon.com/Klein-Tools-66010-High-Torque-12-Point/dp/B07NZS6998/ref=sr_1_3?keywords=Klein+Tools+66050E+2-in-1+Metric+Impact+Socket+Set%2C+12-Point%2C+5-Piece&amp;qid=1695174176&amp;sr=8-3")</f>
        <v>https://www.amazon.com/Klein-Tools-66010-High-Torque-12-Point/dp/B07NZS6998/ref=sr_1_3?keywords=Klein+Tools+66050E+2-in-1+Metric+Impact+Socket+Set%2C+12-Point%2C+5-Piece&amp;qid=1695174176&amp;sr=8-3</v>
      </c>
      <c r="F5414" t="s">
        <v>7023</v>
      </c>
      <c r="G5414" t="e">
        <f ca="1">_xludf.IMAGE("https://edmondsonsupply.com/cdn/shop/products/66050e.jpg?v=1659120052")</f>
        <v>#NAME?</v>
      </c>
      <c r="H5414" t="e">
        <f ca="1">_xludf.IMAGE("https://m.media-amazon.com/images/I/51QnKGm7EiL._AC_UL320_.jpg")</f>
        <v>#NAME?</v>
      </c>
      <c r="I5414" t="s">
        <v>7274</v>
      </c>
      <c r="J5414">
        <v>199.99</v>
      </c>
      <c r="K5414" s="4">
        <v>0.33739999999999998</v>
      </c>
      <c r="L5414">
        <v>4.8</v>
      </c>
      <c r="M5414">
        <v>380</v>
      </c>
      <c r="O5414" t="s">
        <v>25</v>
      </c>
      <c r="P5414" t="s">
        <v>7275</v>
      </c>
      <c r="Q5414" t="s">
        <v>7276</v>
      </c>
    </row>
    <row r="5415" spans="1:17" ht="15.5" x14ac:dyDescent="0.35">
      <c r="A5415" s="3" t="str">
        <f>HYPERLINK("https://edmondsonsupply.com/collections/electricians-tools/products/milwaukee-48-22-8452", "https://edmondsonsupply.com/collections/electricians-tools/products/milwaukee-48-22-8452")</f>
        <v>https://edmondsonsupply.com/collections/electricians-tools/products/milwaukee-48-22-8452</v>
      </c>
      <c r="B5415" s="3" t="str">
        <f>HYPERLINK("https://edmondsonsupply.com/products/milwaukee-48-22-8452", "https://edmondsonsupply.com/products/milwaukee-48-22-8452")</f>
        <v>https://edmondsonsupply.com/products/milwaukee-48-22-8452</v>
      </c>
      <c r="C5415" t="s">
        <v>7155</v>
      </c>
      <c r="D5415" t="s">
        <v>7277</v>
      </c>
      <c r="E5415" s="3" t="str">
        <f>HYPERLINK("https://www.amazon.com/48-22-8452-packout-foam-inserts-Milwaukee/dp/B0BYS69XLH/ref=sr_1_2?keywords=Milwaukee+48-22-8452+Customizable+Foam+Insert+for+PACKOUT%E2%84%A2+Drawer+Tool+Boxes&amp;qid=1695174164&amp;sr=8-2", "https://www.amazon.com/48-22-8452-packout-foam-inserts-Milwaukee/dp/B0BYS69XLH/ref=sr_1_2?keywords=Milwaukee+48-22-8452+Customizable+Foam+Insert+for+PACKOUT%E2%84%A2+Drawer+Tool+Boxes&amp;qid=1695174164&amp;sr=8-2")</f>
        <v>https://www.amazon.com/48-22-8452-packout-foam-inserts-Milwaukee/dp/B0BYS69XLH/ref=sr_1_2?keywords=Milwaukee+48-22-8452+Customizable+Foam+Insert+for+PACKOUT%E2%84%A2+Drawer+Tool+Boxes&amp;qid=1695174164&amp;sr=8-2</v>
      </c>
      <c r="F5415" t="s">
        <v>7278</v>
      </c>
      <c r="G5415" t="e">
        <f ca="1">_xludf.IMAGE("https://edmondsonsupply.com/cdn/shop/products/48-22-8452_4.png?v=1663605573")</f>
        <v>#NAME?</v>
      </c>
      <c r="H5415" t="e">
        <f ca="1">_xludf.IMAGE("https://m.media-amazon.com/images/I/61aiyNgIssL._AC_UL320_.jpg")</f>
        <v>#NAME?</v>
      </c>
      <c r="I5415" t="s">
        <v>471</v>
      </c>
      <c r="J5415">
        <v>33.39</v>
      </c>
      <c r="K5415" s="4">
        <v>0.33610000000000001</v>
      </c>
      <c r="L5415">
        <v>4.2</v>
      </c>
      <c r="M5415">
        <v>37</v>
      </c>
      <c r="O5415" t="s">
        <v>25</v>
      </c>
      <c r="P5415" t="s">
        <v>7158</v>
      </c>
      <c r="Q5415" t="s">
        <v>7159</v>
      </c>
    </row>
    <row r="5416" spans="1:17" ht="15.5" x14ac:dyDescent="0.35">
      <c r="A5416"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5416"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5416" t="s">
        <v>6512</v>
      </c>
      <c r="D5416" t="s">
        <v>4234</v>
      </c>
      <c r="E5416" s="3" t="str">
        <f>HYPERLINK("https://www.amazon.com/Klein-Tools-J2000-48-Diagonal-Cutters/dp/B0006M6Y8O/ref=sr_1_7?keywords=Klein+Tools+D248-8+Diagonal+Cutting+Pliers%2C+Angled+Head%2C+Short+Jaw%2C+8-Inch&amp;qid=1695174274&amp;sr=8-7", "https://www.amazon.com/Klein-Tools-J2000-48-Diagonal-Cutters/dp/B0006M6Y8O/ref=sr_1_7?keywords=Klein+Tools+D248-8+Diagonal+Cutting+Pliers%2C+Angled+Head%2C+Short+Jaw%2C+8-Inch&amp;qid=1695174274&amp;sr=8-7")</f>
        <v>https://www.amazon.com/Klein-Tools-J2000-48-Diagonal-Cutters/dp/B0006M6Y8O/ref=sr_1_7?keywords=Klein+Tools+D248-8+Diagonal+Cutting+Pliers%2C+Angled+Head%2C+Short+Jaw%2C+8-Inch&amp;qid=1695174274&amp;sr=8-7</v>
      </c>
      <c r="F5416" t="s">
        <v>4235</v>
      </c>
      <c r="G5416" t="e">
        <f ca="1">_xludf.IMAGE("https://edmondsonsupply.com/cdn/shop/products/d2488.jpg?v=1633030997")</f>
        <v>#NAME?</v>
      </c>
      <c r="H5416" t="e">
        <f ca="1">_xludf.IMAGE("https://m.media-amazon.com/images/I/41ZnJLE+YFL._AC_UL320_.jpg")</f>
        <v>#NAME?</v>
      </c>
      <c r="I5416" t="s">
        <v>824</v>
      </c>
      <c r="J5416">
        <v>39.99</v>
      </c>
      <c r="K5416" s="4">
        <v>0.33429999999999999</v>
      </c>
      <c r="L5416">
        <v>4.8</v>
      </c>
      <c r="M5416">
        <v>1554</v>
      </c>
      <c r="O5416" t="s">
        <v>25</v>
      </c>
      <c r="P5416" t="s">
        <v>5277</v>
      </c>
      <c r="Q5416" t="s">
        <v>6515</v>
      </c>
    </row>
    <row r="5417" spans="1:17" ht="15.5" x14ac:dyDescent="0.35">
      <c r="A5417"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5417" s="3" t="str">
        <f>HYPERLINK("https://edmondsonsupply.com/products/klein-tools-58888-12-pocket-tool-tote-with-shoulder-strap", "https://edmondsonsupply.com/products/klein-tools-58888-12-pocket-tool-tote-with-shoulder-strap")</f>
        <v>https://edmondsonsupply.com/products/klein-tools-58888-12-pocket-tool-tote-with-shoulder-strap</v>
      </c>
      <c r="C5417" t="s">
        <v>445</v>
      </c>
      <c r="D5417" t="s">
        <v>7279</v>
      </c>
      <c r="E5417" s="3" t="str">
        <f>HYPERLINK("https://www.amazon.com/Electrician-Tradesman-Klein-Tools-55597/dp/B01N2KEYLV/ref=sr_1_10?keywords=Klein+Tools+58888+12+Pocket+Tool+Tote+with+Shoulder+Strap&amp;qid=1695174176&amp;sr=8-10", "https://www.amazon.com/Electrician-Tradesman-Klein-Tools-55597/dp/B01N2KEYLV/ref=sr_1_10?keywords=Klein+Tools+58888+12+Pocket+Tool+Tote+with+Shoulder+Strap&amp;qid=1695174176&amp;sr=8-10")</f>
        <v>https://www.amazon.com/Electrician-Tradesman-Klein-Tools-55597/dp/B01N2KEYLV/ref=sr_1_10?keywords=Klein+Tools+58888+12+Pocket+Tool+Tote+with+Shoulder+Strap&amp;qid=1695174176&amp;sr=8-10</v>
      </c>
      <c r="F5417" t="s">
        <v>7280</v>
      </c>
      <c r="G5417" t="e">
        <f ca="1">_xludf.IMAGE("https://edmondsonsupply.com/cdn/shop/products/58888.jpg?v=1660004615")</f>
        <v>#NAME?</v>
      </c>
      <c r="H5417" t="e">
        <f ca="1">_xludf.IMAGE("https://m.media-amazon.com/images/I/71Jhnj1-I+L._AC_UL320_.jpg")</f>
        <v>#NAME?</v>
      </c>
      <c r="I5417" t="s">
        <v>448</v>
      </c>
      <c r="J5417">
        <v>110.72</v>
      </c>
      <c r="K5417" s="4">
        <v>0.33410000000000001</v>
      </c>
      <c r="L5417">
        <v>4.7</v>
      </c>
      <c r="M5417">
        <v>238</v>
      </c>
      <c r="O5417" t="s">
        <v>25</v>
      </c>
      <c r="P5417" t="s">
        <v>449</v>
      </c>
      <c r="Q5417" t="s">
        <v>450</v>
      </c>
    </row>
    <row r="5418" spans="1:17" ht="15.5" x14ac:dyDescent="0.35">
      <c r="A5418"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5418"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5418" t="s">
        <v>6512</v>
      </c>
      <c r="D5418" t="s">
        <v>4244</v>
      </c>
      <c r="E5418" s="3" t="str">
        <f>HYPERLINK("https://www.amazon.com/Klein-Tools-J248-8-Diagonal-Cutters-Angled/dp/B000CRY52A/ref=sr_1_5?keywords=Klein+Tools+D248-8+Diagonal+Cutting+Pliers%2C+Angled+Head%2C+Short+Jaw%2C+8-Inch&amp;qid=1695174274&amp;sr=8-5", "https://www.amazon.com/Klein-Tools-J248-8-Diagonal-Cutters-Angled/dp/B000CRY52A/ref=sr_1_5?keywords=Klein+Tools+D248-8+Diagonal+Cutting+Pliers%2C+Angled+Head%2C+Short+Jaw%2C+8-Inch&amp;qid=1695174274&amp;sr=8-5")</f>
        <v>https://www.amazon.com/Klein-Tools-J248-8-Diagonal-Cutters-Angled/dp/B000CRY52A/ref=sr_1_5?keywords=Klein+Tools+D248-8+Diagonal+Cutting+Pliers%2C+Angled+Head%2C+Short+Jaw%2C+8-Inch&amp;qid=1695174274&amp;sr=8-5</v>
      </c>
      <c r="F5418" t="s">
        <v>4245</v>
      </c>
      <c r="G5418" t="e">
        <f ca="1">_xludf.IMAGE("https://edmondsonsupply.com/cdn/shop/products/d2488.jpg?v=1633030997")</f>
        <v>#NAME?</v>
      </c>
      <c r="H5418" t="e">
        <f ca="1">_xludf.IMAGE("https://m.media-amazon.com/images/I/51AWyzskD+L._AC_UL320_.jpg")</f>
        <v>#NAME?</v>
      </c>
      <c r="I5418" t="s">
        <v>824</v>
      </c>
      <c r="J5418">
        <v>39.97</v>
      </c>
      <c r="K5418" s="4">
        <v>0.3337</v>
      </c>
      <c r="L5418">
        <v>4.9000000000000004</v>
      </c>
      <c r="M5418">
        <v>490</v>
      </c>
      <c r="O5418" t="s">
        <v>25</v>
      </c>
      <c r="P5418" t="s">
        <v>5277</v>
      </c>
      <c r="Q5418" t="s">
        <v>6515</v>
      </c>
    </row>
    <row r="5419" spans="1:17" ht="15.5" x14ac:dyDescent="0.35">
      <c r="A5419"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5419"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5419" t="s">
        <v>6693</v>
      </c>
      <c r="D5419" t="s">
        <v>6708</v>
      </c>
      <c r="E5419" s="3" t="str">
        <f>HYPERLINK("https://www.amazon.com/Rechargeable-Flashlight-Worklight-Klein-Tools/dp/B0947YMH51/ref=sr_1_5?keywords=Klein+Tools+56411+Rechargeable+Waterproof+LED+Pocket+Light+with+Lanyard&amp;qid=1695174156&amp;sr=8-5", "https://www.amazon.com/Rechargeable-Flashlight-Worklight-Klein-Tools/dp/B0947YMH51/ref=sr_1_5?keywords=Klein+Tools+56411+Rechargeable+Waterproof+LED+Pocket+Light+with+Lanyard&amp;qid=1695174156&amp;sr=8-5")</f>
        <v>https://www.amazon.com/Rechargeable-Flashlight-Worklight-Klein-Tools/dp/B0947YMH51/ref=sr_1_5?keywords=Klein+Tools+56411+Rechargeable+Waterproof+LED+Pocket+Light+with+Lanyard&amp;qid=1695174156&amp;sr=8-5</v>
      </c>
      <c r="F5419" t="s">
        <v>6709</v>
      </c>
      <c r="G5419" t="e">
        <f ca="1">_xludf.IMAGE("https://edmondsonsupply.com/cdn/shop/products/56411.jpg?v=1663952448")</f>
        <v>#NAME?</v>
      </c>
      <c r="H5419" t="e">
        <f ca="1">_xludf.IMAGE("https://m.media-amazon.com/images/I/51Of8ojN4aS._AC_UL320_.jpg")</f>
        <v>#NAME?</v>
      </c>
      <c r="I5419" t="s">
        <v>824</v>
      </c>
      <c r="J5419">
        <v>39.97</v>
      </c>
      <c r="K5419" s="4">
        <v>0.3337</v>
      </c>
      <c r="L5419">
        <v>4.5999999999999996</v>
      </c>
      <c r="M5419">
        <v>424</v>
      </c>
      <c r="O5419" t="s">
        <v>25</v>
      </c>
      <c r="P5419" t="s">
        <v>825</v>
      </c>
      <c r="Q5419" t="s">
        <v>6696</v>
      </c>
    </row>
    <row r="5420" spans="1:17" ht="15.5" x14ac:dyDescent="0.35">
      <c r="A5420" s="3" t="str">
        <f>HYPERLINK("https://edmondsonsupply.com/collections/electricians-tools/products/klein-tools-13156-screwdriver-blades-insulated-single-end-2-pack", "https://edmondsonsupply.com/collections/electricians-tools/products/klein-tools-13156-screwdriver-blades-insulated-single-end-2-pack")</f>
        <v>https://edmondsonsupply.com/collections/electricians-tools/products/klein-tools-13156-screwdriver-blades-insulated-single-end-2-pack</v>
      </c>
      <c r="B5420" s="3" t="str">
        <f>HYPERLINK("https://edmondsonsupply.com/products/klein-tools-13156-screwdriver-blades-insulated-single-end-2-pack", "https://edmondsonsupply.com/products/klein-tools-13156-screwdriver-blades-insulated-single-end-2-pack")</f>
        <v>https://edmondsonsupply.com/products/klein-tools-13156-screwdriver-blades-insulated-single-end-2-pack</v>
      </c>
      <c r="C5420" t="s">
        <v>7281</v>
      </c>
      <c r="D5420" t="s">
        <v>7282</v>
      </c>
      <c r="E5420" s="3" t="str">
        <f>HYPERLINK("https://www.amazon.com/Klein-Tools-13157-Interchangeable-Screwdrivers/dp/B07XQC1PVB/ref=sr_1_2?keywords=Klein+Tools+13156+Screwdriver+Blades%2C+Insulated+Single-End%2C+2-Pack&amp;qid=1695173950&amp;sr=8-2", "https://www.amazon.com/Klein-Tools-13157-Interchangeable-Screwdrivers/dp/B07XQC1PVB/ref=sr_1_2?keywords=Klein+Tools+13156+Screwdriver+Blades%2C+Insulated+Single-End%2C+2-Pack&amp;qid=1695173950&amp;sr=8-2")</f>
        <v>https://www.amazon.com/Klein-Tools-13157-Interchangeable-Screwdrivers/dp/B07XQC1PVB/ref=sr_1_2?keywords=Klein+Tools+13156+Screwdriver+Blades%2C+Insulated+Single-End%2C+2-Pack&amp;qid=1695173950&amp;sr=8-2</v>
      </c>
      <c r="F5420" t="s">
        <v>7283</v>
      </c>
      <c r="G5420" t="e">
        <f ca="1">_xludf.IMAGE("https://edmondsonsupply.com/cdn/shop/products/13156.jpg?v=1587146923")</f>
        <v>#NAME?</v>
      </c>
      <c r="H5420" t="e">
        <f ca="1">_xludf.IMAGE("https://m.media-amazon.com/images/I/41c8L9-ZsYL._AC_UL320_.jpg")</f>
        <v>#NAME?</v>
      </c>
      <c r="I5420" t="s">
        <v>276</v>
      </c>
      <c r="J5420">
        <v>19.989999999999998</v>
      </c>
      <c r="K5420" s="4">
        <v>0.33360000000000001</v>
      </c>
      <c r="L5420">
        <v>4.8</v>
      </c>
      <c r="M5420">
        <v>958</v>
      </c>
      <c r="O5420" t="s">
        <v>25</v>
      </c>
      <c r="P5420" t="s">
        <v>7284</v>
      </c>
      <c r="Q5420" t="s">
        <v>7285</v>
      </c>
    </row>
    <row r="5421" spans="1:17" ht="15.5" x14ac:dyDescent="0.35">
      <c r="A5421" s="3" t="str">
        <f>HYPERLINK("https://edmondsonsupply.com/collections/electricians-tools/products/komelon-7330-30-x-1-maggrip%E2%84%A2-speedmark%E2%84%A2-magnetic-tape-measure", "https://edmondsonsupply.com/collections/electricians-tools/products/komelon-7330-30-x-1-maggrip%E2%84%A2-speedmark%E2%84%A2-magnetic-tape-measure")</f>
        <v>https://edmondsonsupply.com/collections/electricians-tools/products/komelon-7330-30-x-1-maggrip%E2%84%A2-speedmark%E2%84%A2-magnetic-tape-measure</v>
      </c>
      <c r="B5421" s="3" t="str">
        <f>HYPERLINK("https://edmondsonsupply.com/products/komelon-7330-30-x-1-maggrip%e2%84%a2-speedmark%e2%84%a2-magnetic-tape-measure", "https://edmondsonsupply.com/products/komelon-7330-30-x-1-maggrip%e2%84%a2-speedmark%e2%84%a2-magnetic-tape-measure")</f>
        <v>https://edmondsonsupply.com/products/komelon-7330-30-x-1-maggrip%e2%84%a2-speedmark%e2%84%a2-magnetic-tape-measure</v>
      </c>
      <c r="C5421" t="s">
        <v>7286</v>
      </c>
      <c r="D5421" t="s">
        <v>7287</v>
      </c>
      <c r="E5421" s="3" t="str">
        <f>HYPERLINK("https://www.amazon.com/Komelon-7430-MagGrip-Measuring-Magnetic/dp/B000HE9W2Q/ref=sr_1_2?keywords=Komelon+7330+30%27+X+1%22+MagGrip%E2%84%A2+SpeedMark%E2%84%A2%2C+Magnetic+Tape+Measure&amp;qid=1695174280&amp;sr=8-2", "https://www.amazon.com/Komelon-7430-MagGrip-Measuring-Magnetic/dp/B000HE9W2Q/ref=sr_1_2?keywords=Komelon+7330+30%27+X+1%22+MagGrip%E2%84%A2+SpeedMark%E2%84%A2%2C+Magnetic+Tape+Measure&amp;qid=1695174280&amp;sr=8-2")</f>
        <v>https://www.amazon.com/Komelon-7430-MagGrip-Measuring-Magnetic/dp/B000HE9W2Q/ref=sr_1_2?keywords=Komelon+7330+30%27+X+1%22+MagGrip%E2%84%A2+SpeedMark%E2%84%A2%2C+Magnetic+Tape+Measure&amp;qid=1695174280&amp;sr=8-2</v>
      </c>
      <c r="F5421" t="s">
        <v>7288</v>
      </c>
      <c r="G5421" t="e">
        <f ca="1">_xludf.IMAGE("https://edmondsonsupply.com/cdn/shop/products/7330_angledExtended.jpg?v=1633030981")</f>
        <v>#NAME?</v>
      </c>
      <c r="H5421" t="e">
        <f ca="1">_xludf.IMAGE("https://m.media-amazon.com/images/I/71fr97yv+HS._AC_UL320_.jpg")</f>
        <v>#NAME?</v>
      </c>
      <c r="I5421" t="s">
        <v>276</v>
      </c>
      <c r="J5421">
        <v>19.989999999999998</v>
      </c>
      <c r="K5421" s="4">
        <v>0.33360000000000001</v>
      </c>
      <c r="L5421">
        <v>4.5</v>
      </c>
      <c r="M5421">
        <v>124</v>
      </c>
      <c r="O5421" t="s">
        <v>25</v>
      </c>
      <c r="P5421" t="s">
        <v>138</v>
      </c>
      <c r="Q5421" t="s">
        <v>7289</v>
      </c>
    </row>
    <row r="5422" spans="1:17" ht="15.5" x14ac:dyDescent="0.35">
      <c r="A5422" s="3" t="str">
        <f>HYPERLINK("https://edmondsonsupply.com/collections/electricians-tools/products/klein-tools-93lcls-laser-level-self-leveling-red-cross-line-level-and-red-plumb-spot", "https://edmondsonsupply.com/collections/electricians-tools/products/klein-tools-93lcls-laser-level-self-leveling-red-cross-line-level-and-red-plumb-spot")</f>
        <v>https://edmondsonsupply.com/collections/electricians-tools/products/klein-tools-93lcls-laser-level-self-leveling-red-cross-line-level-and-red-plumb-spot</v>
      </c>
      <c r="B5422" s="3" t="str">
        <f>HYPERLINK("https://edmondsonsupply.com/products/klein-tools-93lcls-laser-level-self-leveling-red-cross-line-level-and-red-plumb-spot", "https://edmondsonsupply.com/products/klein-tools-93lcls-laser-level-self-leveling-red-cross-line-level-and-red-plumb-spot")</f>
        <v>https://edmondsonsupply.com/products/klein-tools-93lcls-laser-level-self-leveling-red-cross-line-level-and-red-plumb-spot</v>
      </c>
      <c r="C5422" t="s">
        <v>7290</v>
      </c>
      <c r="D5422" t="s">
        <v>7291</v>
      </c>
      <c r="E5422" s="3" t="str">
        <f>HYPERLINK("https://www.amazon.com/Klein-Tools-93LCLG-Cross-Line-Leveling/dp/B0866NY3NW/ref=sr_1_2?keywords=Klein+Tools+93LCLS+Laser+Level%2C+Self-Leveling+Red+Cross-Line+Level+and+Red+Plumb+Spot&amp;qid=1695174282&amp;sr=8-2", "https://www.amazon.com/Klein-Tools-93LCLG-Cross-Line-Leveling/dp/B0866NY3NW/ref=sr_1_2?keywords=Klein+Tools+93LCLS+Laser+Level%2C+Self-Leveling+Red+Cross-Line+Level+and+Red+Plumb+Spot&amp;qid=1695174282&amp;sr=8-2")</f>
        <v>https://www.amazon.com/Klein-Tools-93LCLG-Cross-Line-Leveling/dp/B0866NY3NW/ref=sr_1_2?keywords=Klein+Tools+93LCLS+Laser+Level%2C+Self-Leveling+Red+Cross-Line+Level+and+Red+Plumb+Spot&amp;qid=1695174282&amp;sr=8-2</v>
      </c>
      <c r="F5422" t="s">
        <v>7292</v>
      </c>
      <c r="G5422" t="e">
        <f ca="1">_xludf.IMAGE("https://edmondsonsupply.com/cdn/shop/files/93lcls_b.jpg?v=1685714711")</f>
        <v>#NAME?</v>
      </c>
      <c r="H5422" t="e">
        <f ca="1">_xludf.IMAGE("https://m.media-amazon.com/images/I/51lR5gFHBUL._AC_UL320_.jpg")</f>
        <v>#NAME?</v>
      </c>
      <c r="I5422" t="s">
        <v>7293</v>
      </c>
      <c r="J5422">
        <v>199.99</v>
      </c>
      <c r="K5422" s="4">
        <v>0.33350000000000002</v>
      </c>
      <c r="L5422">
        <v>4.5999999999999996</v>
      </c>
      <c r="M5422">
        <v>786</v>
      </c>
      <c r="O5422" t="s">
        <v>25</v>
      </c>
      <c r="P5422" t="s">
        <v>7294</v>
      </c>
      <c r="Q5422" t="s">
        <v>7295</v>
      </c>
    </row>
    <row r="5423" spans="1:17" ht="15.5" x14ac:dyDescent="0.35">
      <c r="A5423"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5423" s="3" t="str">
        <f>HYPERLINK("https://edmondsonsupply.com/products/klein-tools-60401-hard-hat-vented-full-brim-style", "https://edmondsonsupply.com/products/klein-tools-60401-hard-hat-vented-full-brim-style")</f>
        <v>https://edmondsonsupply.com/products/klein-tools-60401-hard-hat-vented-full-brim-style</v>
      </c>
      <c r="C5423" t="s">
        <v>943</v>
      </c>
      <c r="D5423" t="s">
        <v>900</v>
      </c>
      <c r="E5423" s="3" t="str">
        <f>HYPERLINK("https://www.amazon.com/Klein-Tools-60407RL-Rechargeable-Odor-Resistant/dp/B08DDTV9M3/ref=sr_1_1?keywords=Klein+Tools+60401+Hard+Hat%2C+Vented%2C+Full+Brim+Style&amp;qid=1695173946&amp;sr=8-1", "https://www.amazon.com/Klein-Tools-60407RL-Rechargeable-Odor-Resistant/dp/B08DDTV9M3/ref=sr_1_1?keywords=Klein+Tools+60401+Hard+Hat%2C+Vented%2C+Full+Brim+Style&amp;qid=1695173946&amp;sr=8-1")</f>
        <v>https://www.amazon.com/Klein-Tools-60407RL-Rechargeable-Odor-Resistant/dp/B08DDTV9M3/ref=sr_1_1?keywords=Klein+Tools+60401+Hard+Hat%2C+Vented%2C+Full+Brim+Style&amp;qid=1695173946&amp;sr=8-1</v>
      </c>
      <c r="F5423" t="s">
        <v>901</v>
      </c>
      <c r="G5423" t="e">
        <f ca="1">_xludf.IMAGE("https://edmondsonsupply.com/cdn/shop/products/60401.jpg?v=1587143271")</f>
        <v>#NAME?</v>
      </c>
      <c r="H5423" t="e">
        <f ca="1">_xludf.IMAGE("https://m.media-amazon.com/images/I/61w2MM+yDgL._AC_UL320_.jpg")</f>
        <v>#NAME?</v>
      </c>
      <c r="I5423" t="s">
        <v>946</v>
      </c>
      <c r="J5423">
        <v>59.99</v>
      </c>
      <c r="K5423" s="4">
        <v>0.33339999999999997</v>
      </c>
      <c r="L5423">
        <v>4.7</v>
      </c>
      <c r="M5423">
        <v>1577</v>
      </c>
      <c r="O5423" t="s">
        <v>25</v>
      </c>
      <c r="P5423" t="s">
        <v>947</v>
      </c>
      <c r="Q5423" t="s">
        <v>948</v>
      </c>
    </row>
    <row r="5424" spans="1:17" ht="15.5" x14ac:dyDescent="0.35">
      <c r="A5424"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5424"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5424" t="s">
        <v>7296</v>
      </c>
      <c r="D5424" t="s">
        <v>1691</v>
      </c>
      <c r="E5424" s="3" t="str">
        <f>HYPERLINK("https://www.amazon.com/Klein-Tools-647M-Magnetic-7-Piece/dp/B000MKIUYQ/ref=sr_1_8?keywords=Klein+Tools+631+Nut+Driver+Set%2C+3-Inch+Shafts%2C+Cushion+Grip%2C+7-Piece&amp;qid=1695174239&amp;sr=8-8", "https://www.amazon.com/Klein-Tools-647M-Magnetic-7-Piece/dp/B000MKIUYQ/ref=sr_1_8?keywords=Klein+Tools+631+Nut+Driver+Set%2C+3-Inch+Shafts%2C+Cushion+Grip%2C+7-Piece&amp;qid=1695174239&amp;sr=8-8")</f>
        <v>https://www.amazon.com/Klein-Tools-647M-Magnetic-7-Piece/dp/B000MKIUYQ/ref=sr_1_8?keywords=Klein+Tools+631+Nut+Driver+Set%2C+3-Inch+Shafts%2C+Cushion+Grip%2C+7-Piece&amp;qid=1695174239&amp;sr=8-8</v>
      </c>
      <c r="F5424" t="s">
        <v>1692</v>
      </c>
      <c r="G5424" t="e">
        <f ca="1">_xludf.IMAGE("https://edmondsonsupply.com/cdn/shop/products/631.jpg?v=1632441079")</f>
        <v>#NAME?</v>
      </c>
      <c r="H5424" t="e">
        <f ca="1">_xludf.IMAGE("https://m.media-amazon.com/images/I/61PNUE211uL._AC_UL320_.jpg")</f>
        <v>#NAME?</v>
      </c>
      <c r="I5424" t="s">
        <v>905</v>
      </c>
      <c r="J5424">
        <v>79.989999999999995</v>
      </c>
      <c r="K5424" s="4">
        <v>0.33339999999999997</v>
      </c>
      <c r="L5424">
        <v>4.8</v>
      </c>
      <c r="M5424">
        <v>985</v>
      </c>
      <c r="O5424" t="s">
        <v>25</v>
      </c>
      <c r="P5424" t="s">
        <v>7297</v>
      </c>
      <c r="Q5424" t="s">
        <v>7298</v>
      </c>
    </row>
    <row r="5425" spans="1:17" ht="15.5" x14ac:dyDescent="0.35">
      <c r="A5425"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5425"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5425" t="s">
        <v>7299</v>
      </c>
      <c r="D5425" t="s">
        <v>6602</v>
      </c>
      <c r="E5425" s="3" t="str">
        <f>HYPERLINK("https://www.amazon.com/Conduit-Technology-Benchmark-Klein-Tools/dp/B08L3ZQCT1/ref=sr_1_2?keywords=Klein+Tools+51604+Iron+Conduit+Bender+Full+Assembly%2C+3%2F4-Inch+EMT+with+Angle+Setter%E2%84%A2&amp;qid=1695174174&amp;sr=8-2", "https://www.amazon.com/Conduit-Technology-Benchmark-Klein-Tools/dp/B08L3ZQCT1/ref=sr_1_2?keywords=Klein+Tools+51604+Iron+Conduit+Bender+Full+Assembly%2C+3%2F4-Inch+EMT+with+Angle+Setter%E2%84%A2&amp;qid=1695174174&amp;sr=8-2")</f>
        <v>https://www.amazon.com/Conduit-Technology-Benchmark-Klein-Tools/dp/B08L3ZQCT1/ref=sr_1_2?keywords=Klein+Tools+51604+Iron+Conduit+Bender+Full+Assembly%2C+3%2F4-Inch+EMT+with+Angle+Setter%E2%84%A2&amp;qid=1695174174&amp;sr=8-2</v>
      </c>
      <c r="F5425" t="s">
        <v>6603</v>
      </c>
      <c r="G5425" t="e">
        <f ca="1">_xludf.IMAGE("https://edmondsonsupply.com/cdn/shop/products/51603.jpg?v=1660829273")</f>
        <v>#NAME?</v>
      </c>
      <c r="H5425" t="e">
        <f ca="1">_xludf.IMAGE("https://m.media-amazon.com/images/I/41stj4NcdUL._AC_UL320_.jpg")</f>
        <v>#NAME?</v>
      </c>
      <c r="I5425" t="s">
        <v>320</v>
      </c>
      <c r="J5425">
        <v>99.97</v>
      </c>
      <c r="K5425" s="4">
        <v>0.33310000000000001</v>
      </c>
      <c r="L5425">
        <v>4.7</v>
      </c>
      <c r="M5425">
        <v>60</v>
      </c>
      <c r="O5425" t="s">
        <v>171</v>
      </c>
      <c r="P5425" t="s">
        <v>306</v>
      </c>
      <c r="Q5425" t="s">
        <v>7300</v>
      </c>
    </row>
    <row r="5426" spans="1:17" ht="15.5" x14ac:dyDescent="0.35">
      <c r="A5426"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5426"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5426" t="s">
        <v>7089</v>
      </c>
      <c r="D5426" t="s">
        <v>2473</v>
      </c>
      <c r="E5426" s="3" t="str">
        <f>HYPERLINK("https://www.amazon.com/Channellock-Tongue-12-Inch-Straight-Comfort/dp/B0BFXP68V9/ref=sr_1_7?keywords=Channellock+440X+12-Inch+SPEEDGRIP%E2%84%A2+Straight+Jaw+Tongue+%26+Groove+Pliers&amp;qid=1695174216&amp;sr=8-7", "https://www.amazon.com/Channellock-Tongue-12-Inch-Straight-Comfort/dp/B0BFXP68V9/ref=sr_1_7?keywords=Channellock+440X+12-Inch+SPEEDGRIP%E2%84%A2+Straight+Jaw+Tongue+%26+Groove+Pliers&amp;qid=1695174216&amp;sr=8-7")</f>
        <v>https://www.amazon.com/Channellock-Tongue-12-Inch-Straight-Comfort/dp/B0BFXP68V9/ref=sr_1_7?keywords=Channellock+440X+12-Inch+SPEEDGRIP%E2%84%A2+Straight+Jaw+Tongue+%26+Groove+Pliers&amp;qid=1695174216&amp;sr=8-7</v>
      </c>
      <c r="F5426" t="s">
        <v>2474</v>
      </c>
      <c r="G5426" t="e">
        <f ca="1">_xludf.IMAGE("https://edmondsonsupply.com/cdn/shop/products/440X.jpg?v=1647104734")</f>
        <v>#NAME?</v>
      </c>
      <c r="H5426" t="e">
        <f ca="1">_xludf.IMAGE("https://m.media-amazon.com/images/I/41d-z+Tl0SL._AC_UL320_.jpg")</f>
        <v>#NAME?</v>
      </c>
      <c r="I5426" t="s">
        <v>122</v>
      </c>
      <c r="J5426">
        <v>43.9</v>
      </c>
      <c r="K5426" s="4">
        <v>0.33229999999999998</v>
      </c>
      <c r="L5426">
        <v>5</v>
      </c>
      <c r="M5426">
        <v>2</v>
      </c>
      <c r="O5426" t="s">
        <v>25</v>
      </c>
      <c r="P5426" t="s">
        <v>7092</v>
      </c>
      <c r="Q5426" t="s">
        <v>7093</v>
      </c>
    </row>
    <row r="5427" spans="1:17" ht="15.5" x14ac:dyDescent="0.35">
      <c r="A5427"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5427"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5427" t="s">
        <v>1566</v>
      </c>
      <c r="D5427" t="s">
        <v>3501</v>
      </c>
      <c r="E5427" s="3" t="str">
        <f>HYPERLINK("https://www.amazon.com/Non-Contact-Voltage-Flashlight-Klein-Tools/dp/B00XJQ9ZE4/ref=sr_1_3?keywords=Klein+Tools+NCVT-2PKIT+Dual+Range+Non-Contact+Voltage+Tester+with+Receptacle+Tester&amp;qid=1695173953&amp;sr=8-3", "https://www.amazon.com/Non-Contact-Voltage-Flashlight-Klein-Tools/dp/B00XJQ9ZE4/ref=sr_1_3?keywords=Klein+Tools+NCVT-2PKIT+Dual+Range+Non-Contact+Voltage+Tester+with+Receptacle+Tester&amp;qid=1695173953&amp;sr=8-3")</f>
        <v>https://www.amazon.com/Non-Contact-Voltage-Flashlight-Klein-Tools/dp/B00XJQ9ZE4/ref=sr_1_3?keywords=Klein+Tools+NCVT-2PKIT+Dual+Range+Non-Contact+Voltage+Tester+with+Receptacle+Tester&amp;qid=1695173953&amp;sr=8-3</v>
      </c>
      <c r="F5427" t="s">
        <v>3502</v>
      </c>
      <c r="G5427" t="e">
        <f ca="1">_xludf.IMAGE("https://edmondsonsupply.com/cdn/shop/products/ncvt2pkit.jpg?v=1633030827")</f>
        <v>#NAME?</v>
      </c>
      <c r="H5427" t="e">
        <f ca="1">_xludf.IMAGE("https://m.media-amazon.com/images/I/51dcyyMwUjL._AC_UL320_.jpg")</f>
        <v>#NAME?</v>
      </c>
      <c r="I5427" t="s">
        <v>26</v>
      </c>
      <c r="J5427">
        <v>39.89</v>
      </c>
      <c r="K5427" s="4">
        <v>0.3301</v>
      </c>
      <c r="L5427">
        <v>4.5</v>
      </c>
      <c r="M5427">
        <v>1685</v>
      </c>
      <c r="O5427" t="s">
        <v>25</v>
      </c>
      <c r="P5427" t="s">
        <v>1569</v>
      </c>
      <c r="Q5427" t="s">
        <v>1570</v>
      </c>
    </row>
    <row r="5428" spans="1:17" ht="15.5" x14ac:dyDescent="0.35">
      <c r="A5428" s="3" t="str">
        <f>HYPERLINK("https://edmondsonsupply.com/collections/electricians-tools/products/milwaukee-49-56-0509-diamond-max%E2%84%A2-hole-saws", "https://edmondsonsupply.com/collections/electricians-tools/products/milwaukee-49-56-0509-diamond-max%E2%84%A2-hole-saws")</f>
        <v>https://edmondsonsupply.com/collections/electricians-tools/products/milwaukee-49-56-0509-diamond-max%E2%84%A2-hole-saws</v>
      </c>
      <c r="B5428" s="3" t="str">
        <f>HYPERLINK("https://edmondsonsupply.com/products/milwaukee-49-56-0509-diamond-max%e2%84%a2-hole-saws", "https://edmondsonsupply.com/products/milwaukee-49-56-0509-diamond-max%e2%84%a2-hole-saws")</f>
        <v>https://edmondsonsupply.com/products/milwaukee-49-56-0509-diamond-max%e2%84%a2-hole-saws</v>
      </c>
      <c r="C5428" t="s">
        <v>6654</v>
      </c>
      <c r="D5428" t="s">
        <v>7301</v>
      </c>
      <c r="E5428" s="3" t="str">
        <f>HYPERLINK("https://www.amazon.com/Milwaukee-49-56-0513-Diamond-One-Piece-Hole/dp/B00LCUC50A/ref=sr_1_8?keywords=Milwaukee+49-56-0509+3%2F8%22+Diamond+MAX%E2%84%A2+Hole+Saw&amp;qid=1695174089&amp;sr=8-8", "https://www.amazon.com/Milwaukee-49-56-0513-Diamond-One-Piece-Hole/dp/B00LCUC50A/ref=sr_1_8?keywords=Milwaukee+49-56-0509+3%2F8%22+Diamond+MAX%E2%84%A2+Hole+Saw&amp;qid=1695174089&amp;sr=8-8")</f>
        <v>https://www.amazon.com/Milwaukee-49-56-0513-Diamond-One-Piece-Hole/dp/B00LCUC50A/ref=sr_1_8?keywords=Milwaukee+49-56-0509+3%2F8%22+Diamond+MAX%E2%84%A2+Hole+Saw&amp;qid=1695174089&amp;sr=8-8</v>
      </c>
      <c r="F5428" t="s">
        <v>7302</v>
      </c>
      <c r="G5428" t="e">
        <f ca="1">_xludf.IMAGE("https://edmondsonsupply.com/cdn/shop/products/images.jpg?v=1678461630")</f>
        <v>#NAME?</v>
      </c>
      <c r="H5428" t="e">
        <f ca="1">_xludf.IMAGE("https://m.media-amazon.com/images/I/61kXBTILFoL._AC_UL320_.jpg")</f>
        <v>#NAME?</v>
      </c>
      <c r="I5428" t="s">
        <v>3867</v>
      </c>
      <c r="J5428">
        <v>26.5</v>
      </c>
      <c r="K5428" s="4">
        <v>0.32629999999999998</v>
      </c>
      <c r="L5428">
        <v>4.7</v>
      </c>
      <c r="M5428">
        <v>33</v>
      </c>
      <c r="O5428" t="s">
        <v>25</v>
      </c>
      <c r="P5428" t="s">
        <v>6657</v>
      </c>
      <c r="Q5428" t="s">
        <v>6658</v>
      </c>
    </row>
    <row r="5429" spans="1:17" ht="15.5" x14ac:dyDescent="0.35">
      <c r="A5429"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5429" s="3" t="str">
        <f>HYPERLINK("https://edmondsonsupply.com/products/milwaukee-49-56-0505-1-4-diamond-max%e2%84%a2-hole-saw", "https://edmondsonsupply.com/products/milwaukee-49-56-0505-1-4-diamond-max%e2%84%a2-hole-saw")</f>
        <v>https://edmondsonsupply.com/products/milwaukee-49-56-0505-1-4-diamond-max%e2%84%a2-hole-saw</v>
      </c>
      <c r="C5429" t="s">
        <v>6614</v>
      </c>
      <c r="D5429" t="s">
        <v>7301</v>
      </c>
      <c r="E5429" s="3" t="str">
        <f>HYPERLINK("https://www.amazon.com/Milwaukee-49-56-0513-Diamond-One-Piece-Hole/dp/B00LCUC50A/ref=sr_1_8?keywords=Milwaukee+49-56-0505+1%2F4%22+Diamond+MAX%E2%84%A2+Hole+Saw&amp;qid=1695174028&amp;sr=8-8", "https://www.amazon.com/Milwaukee-49-56-0513-Diamond-One-Piece-Hole/dp/B00LCUC50A/ref=sr_1_8?keywords=Milwaukee+49-56-0505+1%2F4%22+Diamond+MAX%E2%84%A2+Hole+Saw&amp;qid=1695174028&amp;sr=8-8")</f>
        <v>https://www.amazon.com/Milwaukee-49-56-0513-Diamond-One-Piece-Hole/dp/B00LCUC50A/ref=sr_1_8?keywords=Milwaukee+49-56-0505+1%2F4%22+Diamond+MAX%E2%84%A2+Hole+Saw&amp;qid=1695174028&amp;sr=8-8</v>
      </c>
      <c r="F5429" t="s">
        <v>7302</v>
      </c>
      <c r="G5429" t="e">
        <f ca="1">_xludf.IMAGE("https://edmondsonsupply.com/cdn/shop/products/49-56-0507_1.png?v=1680111300")</f>
        <v>#NAME?</v>
      </c>
      <c r="H5429" t="e">
        <f ca="1">_xludf.IMAGE("https://m.media-amazon.com/images/I/61kXBTILFoL._AC_UL320_.jpg")</f>
        <v>#NAME?</v>
      </c>
      <c r="I5429" t="s">
        <v>577</v>
      </c>
      <c r="J5429">
        <v>26.5</v>
      </c>
      <c r="K5429" s="4">
        <v>0.32569999999999999</v>
      </c>
      <c r="L5429">
        <v>4.7</v>
      </c>
      <c r="M5429">
        <v>33</v>
      </c>
      <c r="O5429" t="s">
        <v>25</v>
      </c>
      <c r="P5429" t="s">
        <v>6617</v>
      </c>
      <c r="Q5429" t="s">
        <v>6618</v>
      </c>
    </row>
    <row r="5430" spans="1:17" ht="15.5" x14ac:dyDescent="0.35">
      <c r="A5430"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5430" s="3" t="str">
        <f>HYPERLINK("https://edmondsonsupply.com/products/klein-tools-58888-12-pocket-tool-tote-with-shoulder-strap", "https://edmondsonsupply.com/products/klein-tools-58888-12-pocket-tool-tote-with-shoulder-strap")</f>
        <v>https://edmondsonsupply.com/products/klein-tools-58888-12-pocket-tool-tote-with-shoulder-strap</v>
      </c>
      <c r="C5430" t="s">
        <v>445</v>
      </c>
      <c r="D5430" t="s">
        <v>446</v>
      </c>
      <c r="E5430" s="3" t="str">
        <f>HYPERLINK("https://www.amazon.com/Tradesman-High-Visibility-Klein-Tools-55598/dp/B01NCB4ZTN/ref=sr_1_8?keywords=Klein+Tools+58888+12+Pocket+Tool+Tote+with+Shoulder+Strap&amp;qid=1695174176&amp;sr=8-8", "https://www.amazon.com/Tradesman-High-Visibility-Klein-Tools-55598/dp/B01NCB4ZTN/ref=sr_1_8?keywords=Klein+Tools+58888+12+Pocket+Tool+Tote+with+Shoulder+Strap&amp;qid=1695174176&amp;sr=8-8")</f>
        <v>https://www.amazon.com/Tradesman-High-Visibility-Klein-Tools-55598/dp/B01NCB4ZTN/ref=sr_1_8?keywords=Klein+Tools+58888+12+Pocket+Tool+Tote+with+Shoulder+Strap&amp;qid=1695174176&amp;sr=8-8</v>
      </c>
      <c r="F5430" t="s">
        <v>447</v>
      </c>
      <c r="G5430" t="e">
        <f ca="1">_xludf.IMAGE("https://edmondsonsupply.com/cdn/shop/products/58888.jpg?v=1660004615")</f>
        <v>#NAME?</v>
      </c>
      <c r="H5430" t="e">
        <f ca="1">_xludf.IMAGE("https://m.media-amazon.com/images/I/71VOyZPFAxL._AC_UL320_.jpg")</f>
        <v>#NAME?</v>
      </c>
      <c r="I5430" t="s">
        <v>448</v>
      </c>
      <c r="J5430">
        <v>109.99</v>
      </c>
      <c r="K5430" s="4">
        <v>0.32529999999999998</v>
      </c>
      <c r="L5430">
        <v>4.3</v>
      </c>
      <c r="M5430">
        <v>72</v>
      </c>
      <c r="O5430" t="s">
        <v>25</v>
      </c>
      <c r="P5430" t="s">
        <v>449</v>
      </c>
      <c r="Q5430" t="s">
        <v>450</v>
      </c>
    </row>
    <row r="5431" spans="1:17" ht="15.5" x14ac:dyDescent="0.35">
      <c r="A5431"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5431" s="3" t="str">
        <f>HYPERLINK("https://edmondsonsupply.com/products/klein-tools-d2000-9ne-linemans-pliers-9-inch", "https://edmondsonsupply.com/products/klein-tools-d2000-9ne-linemans-pliers-9-inch")</f>
        <v>https://edmondsonsupply.com/products/klein-tools-d2000-9ne-linemans-pliers-9-inch</v>
      </c>
      <c r="C5431" t="s">
        <v>6770</v>
      </c>
      <c r="D5431" t="s">
        <v>7303</v>
      </c>
      <c r="E5431" s="3" t="str">
        <f>HYPERLINK("https://www.amazon.com/Ironworker-Cutting-Klein-Tools-D2000-9ST/dp/B0002RI9GI/ref=sr_1_7?keywords=Klein+Tools+D2000-9NE+Linemans+Pliers%2C+9-Inch&amp;qid=1695174298&amp;sr=8-7", "https://www.amazon.com/Ironworker-Cutting-Klein-Tools-D2000-9ST/dp/B0002RI9GI/ref=sr_1_7?keywords=Klein+Tools+D2000-9NE+Linemans+Pliers%2C+9-Inch&amp;qid=1695174298&amp;sr=8-7")</f>
        <v>https://www.amazon.com/Ironworker-Cutting-Klein-Tools-D2000-9ST/dp/B0002RI9GI/ref=sr_1_7?keywords=Klein+Tools+D2000-9NE+Linemans+Pliers%2C+9-Inch&amp;qid=1695174298&amp;sr=8-7</v>
      </c>
      <c r="F5431" t="s">
        <v>7304</v>
      </c>
      <c r="G5431" t="e">
        <f ca="1">_xludf.IMAGE("https://edmondsonsupply.com/cdn/shop/products/d20009ne.jpg?v=1633030816")</f>
        <v>#NAME?</v>
      </c>
      <c r="H5431" t="e">
        <f ca="1">_xludf.IMAGE("https://m.media-amazon.com/images/I/41ESKqayXNL._AC_UL320_.jpg")</f>
        <v>#NAME?</v>
      </c>
      <c r="I5431" t="s">
        <v>198</v>
      </c>
      <c r="J5431">
        <v>52.99</v>
      </c>
      <c r="K5431" s="4">
        <v>0.3251</v>
      </c>
      <c r="L5431">
        <v>4.7</v>
      </c>
      <c r="M5431">
        <v>1014</v>
      </c>
      <c r="O5431" t="s">
        <v>25</v>
      </c>
      <c r="P5431" t="s">
        <v>6773</v>
      </c>
      <c r="Q5431" t="s">
        <v>6774</v>
      </c>
    </row>
    <row r="5432" spans="1:17" ht="15.5" x14ac:dyDescent="0.35">
      <c r="A5432" s="3" t="str">
        <f>HYPERLINK("https://edmondsonsupply.com/collections/electricians-tools/products/klein-tools-66075-flip-impact-socket-11-16-and-5-8-inch", "https://edmondsonsupply.com/collections/electricians-tools/products/klein-tools-66075-flip-impact-socket-11-16-and-5-8-inch")</f>
        <v>https://edmondsonsupply.com/collections/electricians-tools/products/klein-tools-66075-flip-impact-socket-11-16-and-5-8-inch</v>
      </c>
      <c r="B5432" s="3" t="str">
        <f>HYPERLINK("https://edmondsonsupply.com/products/klein-tools-66075-flip-impact-socket-11-16-and-5-8-inch", "https://edmondsonsupply.com/products/klein-tools-66075-flip-impact-socket-11-16-and-5-8-inch")</f>
        <v>https://edmondsonsupply.com/products/klein-tools-66075-flip-impact-socket-11-16-and-5-8-inch</v>
      </c>
      <c r="C5432" t="s">
        <v>7305</v>
      </c>
      <c r="D5432" t="s">
        <v>7306</v>
      </c>
      <c r="E5432" s="3" t="str">
        <f>HYPERLINK("https://www.amazon.com/Klein-Tools-66075-Wrenches-BAT20CW1/dp/B0B33YLHPQ/ref=sr_1_1?keywords=Klein+Tools+66075+Flip+Impact+Socket%2C+11%2F16+and+5%2F8-Inch&amp;qid=1695174156&amp;sr=8-1", "https://www.amazon.com/Klein-Tools-66075-Wrenches-BAT20CW1/dp/B0B33YLHPQ/ref=sr_1_1?keywords=Klein+Tools+66075+Flip+Impact+Socket%2C+11%2F16+and+5%2F8-Inch&amp;qid=1695174156&amp;sr=8-1")</f>
        <v>https://www.amazon.com/Klein-Tools-66075-Wrenches-BAT20CW1/dp/B0B33YLHPQ/ref=sr_1_1?keywords=Klein+Tools+66075+Flip+Impact+Socket%2C+11%2F16+and+5%2F8-Inch&amp;qid=1695174156&amp;sr=8-1</v>
      </c>
      <c r="F5432" t="s">
        <v>7307</v>
      </c>
      <c r="G5432" t="e">
        <f ca="1">_xludf.IMAGE("https://edmondsonsupply.com/cdn/shop/products/66075.jpg?v=1663248197")</f>
        <v>#NAME?</v>
      </c>
      <c r="H5432" t="e">
        <f ca="1">_xludf.IMAGE("https://m.media-amazon.com/images/I/51OgCXHWbtL._AC_UL320_.jpg")</f>
        <v>#NAME?</v>
      </c>
      <c r="I5432" t="s">
        <v>6241</v>
      </c>
      <c r="J5432">
        <v>16.809999999999999</v>
      </c>
      <c r="K5432" s="4">
        <v>0.3226</v>
      </c>
      <c r="L5432">
        <v>1</v>
      </c>
      <c r="M5432">
        <v>1</v>
      </c>
      <c r="O5432" t="s">
        <v>25</v>
      </c>
      <c r="P5432" t="s">
        <v>6242</v>
      </c>
      <c r="Q5432" t="s">
        <v>7308</v>
      </c>
    </row>
    <row r="5433" spans="1:17" ht="15.5" x14ac:dyDescent="0.35">
      <c r="A5433"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5433" s="3" t="str">
        <f>HYPERLINK("https://edmondsonsupply.com/products/milwaukee-49-90-1900-hepa-filter", "https://edmondsonsupply.com/products/milwaukee-49-90-1900-hepa-filter")</f>
        <v>https://edmondsonsupply.com/products/milwaukee-49-90-1900-hepa-filter</v>
      </c>
      <c r="C5433" t="s">
        <v>5831</v>
      </c>
      <c r="D5433" t="s">
        <v>5856</v>
      </c>
      <c r="E5433" s="3" t="str">
        <f>HYPERLINK("https://www.amazon.com/49-90-1900-Milwaukee-Compatible-Cordless-0780-20/dp/B0CB5BCMWC/ref=sr_1_2?keywords=Milwaukee+49-90-1900+HEPA+Filter&amp;qid=1695174010&amp;sr=8-2", "https://www.amazon.com/49-90-1900-Milwaukee-Compatible-Cordless-0780-20/dp/B0CB5BCMWC/ref=sr_1_2?keywords=Milwaukee+49-90-1900+HEPA+Filter&amp;qid=1695174010&amp;sr=8-2")</f>
        <v>https://www.amazon.com/49-90-1900-Milwaukee-Compatible-Cordless-0780-20/dp/B0CB5BCMWC/ref=sr_1_2?keywords=Milwaukee+49-90-1900+HEPA+Filter&amp;qid=1695174010&amp;sr=8-2</v>
      </c>
      <c r="F5433" t="s">
        <v>5857</v>
      </c>
      <c r="G5433" t="e">
        <f ca="1">_xludf.IMAGE("https://edmondsonsupply.com/cdn/shop/files/49-90-1900_1.png?v=1686234774")</f>
        <v>#NAME?</v>
      </c>
      <c r="H5433" t="e">
        <f ca="1">_xludf.IMAGE("https://m.media-amazon.com/images/I/71C38zY2mIL._AC_UL320_.jpg")</f>
        <v>#NAME?</v>
      </c>
      <c r="I5433" t="s">
        <v>2170</v>
      </c>
      <c r="J5433">
        <v>32.99</v>
      </c>
      <c r="K5433" s="4">
        <v>0.32069999999999999</v>
      </c>
      <c r="L5433">
        <v>4.5999999999999996</v>
      </c>
      <c r="M5433">
        <v>47</v>
      </c>
      <c r="O5433" t="s">
        <v>25</v>
      </c>
      <c r="P5433" t="s">
        <v>2470</v>
      </c>
      <c r="Q5433" t="s">
        <v>5834</v>
      </c>
    </row>
    <row r="5434" spans="1:17" ht="15.5" x14ac:dyDescent="0.35">
      <c r="A5434"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5434" s="3" t="str">
        <f>HYPERLINK("https://edmondsonsupply.com/products/milwaukee-49-90-1900-hepa-filter", "https://edmondsonsupply.com/products/milwaukee-49-90-1900-hepa-filter")</f>
        <v>https://edmondsonsupply.com/products/milwaukee-49-90-1900-hepa-filter</v>
      </c>
      <c r="C5434" t="s">
        <v>5831</v>
      </c>
      <c r="D5434" t="s">
        <v>5858</v>
      </c>
      <c r="E5434" s="3" t="str">
        <f>HYPERLINK("https://www.amazon.com/Anewise-49-90-1900-Replacement-Milwaukee-0880-20/dp/B0C149NC9Q/ref=sr_1_8?keywords=Milwaukee+49-90-1900+HEPA+Filter&amp;qid=1695174010&amp;sr=8-8", "https://www.amazon.com/Anewise-49-90-1900-Replacement-Milwaukee-0880-20/dp/B0C149NC9Q/ref=sr_1_8?keywords=Milwaukee+49-90-1900+HEPA+Filter&amp;qid=1695174010&amp;sr=8-8")</f>
        <v>https://www.amazon.com/Anewise-49-90-1900-Replacement-Milwaukee-0880-20/dp/B0C149NC9Q/ref=sr_1_8?keywords=Milwaukee+49-90-1900+HEPA+Filter&amp;qid=1695174010&amp;sr=8-8</v>
      </c>
      <c r="F5434" t="s">
        <v>5859</v>
      </c>
      <c r="G5434" t="e">
        <f ca="1">_xludf.IMAGE("https://edmondsonsupply.com/cdn/shop/files/49-90-1900_1.png?v=1686234774")</f>
        <v>#NAME?</v>
      </c>
      <c r="H5434" t="e">
        <f ca="1">_xludf.IMAGE("https://m.media-amazon.com/images/I/713gthAL4TL._AC_UL320_.jpg")</f>
        <v>#NAME?</v>
      </c>
      <c r="I5434" t="s">
        <v>2170</v>
      </c>
      <c r="J5434">
        <v>32.99</v>
      </c>
      <c r="K5434" s="4">
        <v>0.32069999999999999</v>
      </c>
      <c r="L5434">
        <v>5</v>
      </c>
      <c r="M5434">
        <v>6</v>
      </c>
      <c r="O5434" t="s">
        <v>25</v>
      </c>
      <c r="P5434" t="s">
        <v>2470</v>
      </c>
      <c r="Q5434" t="s">
        <v>5834</v>
      </c>
    </row>
    <row r="5435" spans="1:17" ht="15.5" x14ac:dyDescent="0.35">
      <c r="A5435"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435"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435" t="s">
        <v>6824</v>
      </c>
      <c r="D5435" t="s">
        <v>7309</v>
      </c>
      <c r="E5435" s="3" t="str">
        <f>HYPERLINK("https://www.amazon.com/Klein-Tools-Digital-Multimeter-Carrying/dp/B08MG1HXLJ/ref=sr_1_4?keywords=Klein+Tools+ET310+Digital+Circuit+Breaker+Finder+with+GFCI+Outlet+Tester&amp;qid=1695173862&amp;sr=8-4", "https://www.amazon.com/Klein-Tools-Digital-Multimeter-Carrying/dp/B08MG1HXLJ/ref=sr_1_4?keywords=Klein+Tools+ET310+Digital+Circuit+Breaker+Finder+with+GFCI+Outlet+Tester&amp;qid=1695173862&amp;sr=8-4")</f>
        <v>https://www.amazon.com/Klein-Tools-Digital-Multimeter-Carrying/dp/B08MG1HXLJ/ref=sr_1_4?keywords=Klein+Tools+ET310+Digital+Circuit+Breaker+Finder+with+GFCI+Outlet+Tester&amp;qid=1695173862&amp;sr=8-4</v>
      </c>
      <c r="F5435" t="s">
        <v>7310</v>
      </c>
      <c r="G5435" t="e">
        <f ca="1">_xludf.IMAGE("https://edmondsonsupply.com/cdn/shop/products/et310_c.jpg?v=1646963918")</f>
        <v>#NAME?</v>
      </c>
      <c r="H5435" t="e">
        <f ca="1">_xludf.IMAGE("https://m.media-amazon.com/images/I/61ZZ2BSEYbL._AC_UL320_.jpg")</f>
        <v>#NAME?</v>
      </c>
      <c r="I5435" t="s">
        <v>380</v>
      </c>
      <c r="J5435">
        <v>65.97</v>
      </c>
      <c r="K5435" s="4">
        <v>0.32019999999999998</v>
      </c>
      <c r="L5435">
        <v>4.8</v>
      </c>
      <c r="M5435">
        <v>138</v>
      </c>
      <c r="O5435" t="s">
        <v>25</v>
      </c>
      <c r="P5435" t="s">
        <v>6825</v>
      </c>
      <c r="Q5435" t="s">
        <v>6826</v>
      </c>
    </row>
    <row r="5436" spans="1:17" ht="15.5" x14ac:dyDescent="0.35">
      <c r="A5436" s="3" t="str">
        <f>HYPERLINK("https://edmondsonsupply.com/collections/electricians-tools/products/fluke-179-true-rms-digital-multimeter", "https://edmondsonsupply.com/collections/electricians-tools/products/fluke-179-true-rms-digital-multimeter")</f>
        <v>https://edmondsonsupply.com/collections/electricians-tools/products/fluke-179-true-rms-digital-multimeter</v>
      </c>
      <c r="B5436" s="3" t="str">
        <f>HYPERLINK("https://edmondsonsupply.com/products/fluke-179-true-rms-digital-multimeter", "https://edmondsonsupply.com/products/fluke-179-true-rms-digital-multimeter")</f>
        <v>https://edmondsonsupply.com/products/fluke-179-true-rms-digital-multimeter</v>
      </c>
      <c r="C5436" t="s">
        <v>7311</v>
      </c>
      <c r="D5436" t="s">
        <v>7312</v>
      </c>
      <c r="E5436" s="3" t="str">
        <f>HYPERLINK("https://www.amazon.com/Fluke-Multimeter-NIST-Traceable-Calibration-Certificate/dp/B01CFXID8U/ref=sr_1_6?keywords=Fluke+179+True-RMS+Digital+Multimeter&amp;qid=1695174291&amp;sr=8-6", "https://www.amazon.com/Fluke-Multimeter-NIST-Traceable-Calibration-Certificate/dp/B01CFXID8U/ref=sr_1_6?keywords=Fluke+179+True-RMS+Digital+Multimeter&amp;qid=1695174291&amp;sr=8-6")</f>
        <v>https://www.amazon.com/Fluke-Multimeter-NIST-Traceable-Calibration-Certificate/dp/B01CFXID8U/ref=sr_1_6?keywords=Fluke+179+True-RMS+Digital+Multimeter&amp;qid=1695174291&amp;sr=8-6</v>
      </c>
      <c r="F5436" t="s">
        <v>7313</v>
      </c>
      <c r="G5436" t="e">
        <f ca="1">_xludf.IMAGE("https://edmondsonsupply.com/cdn/shop/products/e0021116_431x600_31fa1fdc-90ee-45e4-8560-4be681a24cfe.jpg?v=1633030926")</f>
        <v>#NAME?</v>
      </c>
      <c r="H5436" t="e">
        <f ca="1">_xludf.IMAGE("https://m.media-amazon.com/images/I/61r+cy9w6fL._AC_UL320_.jpg")</f>
        <v>#NAME?</v>
      </c>
      <c r="I5436" t="s">
        <v>7314</v>
      </c>
      <c r="J5436">
        <v>519.99</v>
      </c>
      <c r="K5436" s="4">
        <v>0.31909999999999999</v>
      </c>
      <c r="L5436">
        <v>4.4000000000000004</v>
      </c>
      <c r="M5436">
        <v>7</v>
      </c>
      <c r="O5436" t="s">
        <v>171</v>
      </c>
      <c r="P5436" t="s">
        <v>7315</v>
      </c>
      <c r="Q5436" t="s">
        <v>7316</v>
      </c>
    </row>
    <row r="5437" spans="1:17" ht="15.5" x14ac:dyDescent="0.35">
      <c r="A5437"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5437"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5437" t="s">
        <v>7055</v>
      </c>
      <c r="D5437" t="s">
        <v>7317</v>
      </c>
      <c r="E5437" s="3" t="str">
        <f>HYPERLINK("https://www.amazon.com/Klein-Tools-11054EINS-Electricians-Insulated/dp/B00JGG5VJ4/ref=sr_1_10?keywords=Klein+Tools+11055RINS+Insulated+Klein-Kurve%C2%AE+Wire+Stripper+and+Cutter&amp;qid=1695174134&amp;sr=8-10", "https://www.amazon.com/Klein-Tools-11054EINS-Electricians-Insulated/dp/B00JGG5VJ4/ref=sr_1_10?keywords=Klein+Tools+11055RINS+Insulated+Klein-Kurve%C2%AE+Wire+Stripper+and+Cutter&amp;qid=1695174134&amp;sr=8-10")</f>
        <v>https://www.amazon.com/Klein-Tools-11054EINS-Electricians-Insulated/dp/B00JGG5VJ4/ref=sr_1_10?keywords=Klein+Tools+11055RINS+Insulated+Klein-Kurve%C2%AE+Wire+Stripper+and+Cutter&amp;qid=1695174134&amp;sr=8-10</v>
      </c>
      <c r="F5437" t="s">
        <v>7318</v>
      </c>
      <c r="G5437" t="e">
        <f ca="1">_xludf.IMAGE("https://edmondsonsupply.com/cdn/shop/products/11055rins.jpg?v=1667236979")</f>
        <v>#NAME?</v>
      </c>
      <c r="H5437" t="e">
        <f ca="1">_xludf.IMAGE("https://m.media-amazon.com/images/I/415hBJVvvML._AC_UL320_.jpg")</f>
        <v>#NAME?</v>
      </c>
      <c r="I5437" t="s">
        <v>824</v>
      </c>
      <c r="J5437">
        <v>39.5</v>
      </c>
      <c r="K5437" s="4">
        <v>0.318</v>
      </c>
      <c r="L5437">
        <v>4.5999999999999996</v>
      </c>
      <c r="M5437">
        <v>245</v>
      </c>
      <c r="O5437" t="s">
        <v>25</v>
      </c>
      <c r="P5437" t="s">
        <v>562</v>
      </c>
      <c r="Q5437" t="s">
        <v>7056</v>
      </c>
    </row>
    <row r="5438" spans="1:17" ht="15.5" x14ac:dyDescent="0.35">
      <c r="A5438" s="3" t="str">
        <f>HYPERLINK("https://edmondsonsupply.com/collections/electricians-tools/products/milwaukee-48-22-7213-10l-aluminum-pipe-wrench-with-powerlength%E2%84%A2-handle", "https://edmondsonsupply.com/collections/electricians-tools/products/milwaukee-48-22-7213-10l-aluminum-pipe-wrench-with-powerlength%E2%84%A2-handle")</f>
        <v>https://edmondsonsupply.com/collections/electricians-tools/products/milwaukee-48-22-7213-10l-aluminum-pipe-wrench-with-powerlength%E2%84%A2-handle</v>
      </c>
      <c r="B5438" s="3" t="str">
        <f>HYPERLINK("https://edmondsonsupply.com/products/milwaukee-48-22-7213-10l-aluminum-pipe-wrench-with-powerlength%e2%84%a2-handle", "https://edmondsonsupply.com/products/milwaukee-48-22-7213-10l-aluminum-pipe-wrench-with-powerlength%e2%84%a2-handle")</f>
        <v>https://edmondsonsupply.com/products/milwaukee-48-22-7213-10l-aluminum-pipe-wrench-with-powerlength%e2%84%a2-handle</v>
      </c>
      <c r="C5438" t="s">
        <v>3515</v>
      </c>
      <c r="D5438" t="s">
        <v>3516</v>
      </c>
      <c r="E5438" s="3" t="str">
        <f>HYPERLINK("https://www.amazon.com/Milwaukee-48-22-7213-Aluminum-Wrench-POWERLENGTH/dp/B09VQ6CYDG/ref=sr_1_1?keywords=Milwaukee+48-22-7213+10L+Aluminum+Pipe+Wrench+with+POWERLENGTH%E2%84%A2+Handle&amp;qid=1695173885&amp;sr=8-1", "https://www.amazon.com/Milwaukee-48-22-7213-Aluminum-Wrench-POWERLENGTH/dp/B09VQ6CYDG/ref=sr_1_1?keywords=Milwaukee+48-22-7213+10L+Aluminum+Pipe+Wrench+with+POWERLENGTH%E2%84%A2+Handle&amp;qid=1695173885&amp;sr=8-1")</f>
        <v>https://www.amazon.com/Milwaukee-48-22-7213-Aluminum-Wrench-POWERLENGTH/dp/B09VQ6CYDG/ref=sr_1_1?keywords=Milwaukee+48-22-7213+10L+Aluminum+Pipe+Wrench+with+POWERLENGTH%E2%84%A2+Handle&amp;qid=1695173885&amp;sr=8-1</v>
      </c>
      <c r="F5438" t="s">
        <v>3517</v>
      </c>
      <c r="G5438" t="e">
        <f ca="1">_xludf.IMAGE("https://edmondsonsupply.com/cdn/shop/products/48-22-7213_1.png?v=1675699294")</f>
        <v>#NAME?</v>
      </c>
      <c r="H5438" t="e">
        <f ca="1">_xludf.IMAGE("https://m.media-amazon.com/images/I/51qzHa1LxNL._AC_UL320_.jpg")</f>
        <v>#NAME?</v>
      </c>
      <c r="I5438" t="s">
        <v>3359</v>
      </c>
      <c r="J5438">
        <v>72.36</v>
      </c>
      <c r="K5438" s="4">
        <v>0.31640000000000001</v>
      </c>
      <c r="L5438">
        <v>5</v>
      </c>
      <c r="M5438">
        <v>6</v>
      </c>
      <c r="O5438" t="s">
        <v>25</v>
      </c>
      <c r="P5438" t="s">
        <v>3518</v>
      </c>
      <c r="Q5438" t="s">
        <v>3519</v>
      </c>
    </row>
    <row r="5439" spans="1:17" ht="15.5" x14ac:dyDescent="0.35">
      <c r="A5439"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5439" s="3" t="str">
        <f>HYPERLINK("https://edmondsonsupply.com/products/klein-tools-630m-magnetic-nut-driver-set-3-inch-shafts-2-piece", "https://edmondsonsupply.com/products/klein-tools-630m-magnetic-nut-driver-set-3-inch-shafts-2-piece")</f>
        <v>https://edmondsonsupply.com/products/klein-tools-630m-magnetic-nut-driver-set-3-inch-shafts-2-piece</v>
      </c>
      <c r="C5439" t="s">
        <v>1690</v>
      </c>
      <c r="D5439" t="s">
        <v>1894</v>
      </c>
      <c r="E5439" s="3" t="str">
        <f>HYPERLINK("https://www.amazon.com/Magnetic-16-Inch-Klein-Tools-646M/dp/B000936QV0/ref=sr_1_3?keywords=Klein+Tools+630M+Magnetic+Nut+Driver+Set%2C+3-Inch+Shafts%2C+2-Piece&amp;qid=1695173928&amp;sr=8-3", "https://www.amazon.com/Magnetic-16-Inch-Klein-Tools-646M/dp/B000936QV0/ref=sr_1_3?keywords=Klein+Tools+630M+Magnetic+Nut+Driver+Set%2C+3-Inch+Shafts%2C+2-Piece&amp;qid=1695173928&amp;sr=8-3")</f>
        <v>https://www.amazon.com/Magnetic-16-Inch-Klein-Tools-646M/dp/B000936QV0/ref=sr_1_3?keywords=Klein+Tools+630M+Magnetic+Nut+Driver+Set%2C+3-Inch+Shafts%2C+2-Piece&amp;qid=1695173928&amp;sr=8-3</v>
      </c>
      <c r="F5439" t="s">
        <v>1895</v>
      </c>
      <c r="G5439" t="e">
        <f ca="1">_xludf.IMAGE("https://edmondsonsupply.com/cdn/shop/products/630m.jpg?v=1587143237")</f>
        <v>#NAME?</v>
      </c>
      <c r="H5439" t="e">
        <f ca="1">_xludf.IMAGE("https://m.media-amazon.com/images/I/41lkJ6KRq9L._AC_UL320_.jpg")</f>
        <v>#NAME?</v>
      </c>
      <c r="I5439" t="s">
        <v>1687</v>
      </c>
      <c r="J5439">
        <v>24.99</v>
      </c>
      <c r="K5439" s="4">
        <v>0.316</v>
      </c>
      <c r="L5439">
        <v>4.8</v>
      </c>
      <c r="M5439">
        <v>1654</v>
      </c>
      <c r="O5439" t="s">
        <v>25</v>
      </c>
      <c r="P5439" t="s">
        <v>1693</v>
      </c>
      <c r="Q5439" t="s">
        <v>1694</v>
      </c>
    </row>
    <row r="5440" spans="1:17" ht="15.5" x14ac:dyDescent="0.35">
      <c r="A5440" s="3" t="str">
        <f>HYPERLINK("https://edmondsonsupply.com/collections/electricians-tools/products/rack-a-tiers-11455-wire-dispenser", "https://edmondsonsupply.com/collections/electricians-tools/products/rack-a-tiers-11455-wire-dispenser")</f>
        <v>https://edmondsonsupply.com/collections/electricians-tools/products/rack-a-tiers-11455-wire-dispenser</v>
      </c>
      <c r="B5440" s="3" t="str">
        <f>HYPERLINK("https://edmondsonsupply.com/products/rack-a-tiers-11455-wire-dispenser", "https://edmondsonsupply.com/products/rack-a-tiers-11455-wire-dispenser")</f>
        <v>https://edmondsonsupply.com/products/rack-a-tiers-11455-wire-dispenser</v>
      </c>
      <c r="C5440" t="s">
        <v>7319</v>
      </c>
      <c r="D5440" t="s">
        <v>7320</v>
      </c>
      <c r="E5440" s="3" t="str">
        <f>HYPERLINK("https://www.amazon.com/55455-Rack-Tiers-Z-Roll/dp/B0076B0M0O/ref=sr_1_8?keywords=Rack-A-Tiers+11455+Wire+Dispenser&amp;qid=1695173848&amp;sr=8-8", "https://www.amazon.com/55455-Rack-Tiers-Z-Roll/dp/B0076B0M0O/ref=sr_1_8?keywords=Rack-A-Tiers+11455+Wire+Dispenser&amp;qid=1695173848&amp;sr=8-8")</f>
        <v>https://www.amazon.com/55455-Rack-Tiers-Z-Roll/dp/B0076B0M0O/ref=sr_1_8?keywords=Rack-A-Tiers+11455+Wire+Dispenser&amp;qid=1695173848&amp;sr=8-8</v>
      </c>
      <c r="F5440" t="s">
        <v>7321</v>
      </c>
      <c r="G5440" t="e">
        <f ca="1">_xludf.IMAGE("https://edmondsonsupply.com/cdn/shop/products/11455.png?v=1587150070")</f>
        <v>#NAME?</v>
      </c>
      <c r="H5440" t="e">
        <f ca="1">_xludf.IMAGE("https://m.media-amazon.com/images/I/31tR7p5NNsL._AC_UL320_.jpg")</f>
        <v>#NAME?</v>
      </c>
      <c r="I5440" t="s">
        <v>7322</v>
      </c>
      <c r="J5440">
        <v>138.49</v>
      </c>
      <c r="K5440" s="4">
        <v>0.31409999999999999</v>
      </c>
      <c r="L5440">
        <v>4.5</v>
      </c>
      <c r="M5440">
        <v>73</v>
      </c>
      <c r="O5440" t="s">
        <v>25</v>
      </c>
      <c r="P5440" t="s">
        <v>4016</v>
      </c>
      <c r="Q5440" t="s">
        <v>7323</v>
      </c>
    </row>
    <row r="5441" spans="1:17" ht="15.5" x14ac:dyDescent="0.35">
      <c r="A5441"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441"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441" t="s">
        <v>6995</v>
      </c>
      <c r="D5441" t="s">
        <v>4278</v>
      </c>
      <c r="E5441" s="3" t="str">
        <f>HYPERLINK("https://www.amazon.com/Multimeter-Non-Contact-Klein-Tools-MM320KIT/dp/B08W1THSM8/ref=sr_1_2?keywords=Klein+Tools+69149P+Test+Kit+with+Multimeter%2C+Non-Contact+Volt+Tester%2C+Receptacle+Tester&amp;qid=1695174288&amp;sr=8-2", "https://www.amazon.com/Multimeter-Non-Contact-Klein-Tools-MM320KIT/dp/B08W1THSM8/ref=sr_1_2?keywords=Klein+Tools+69149P+Test+Kit+with+Multimeter%2C+Non-Contact+Volt+Tester%2C+Receptacle+Tester&amp;qid=1695174288&amp;sr=8-2")</f>
        <v>https://www.amazon.com/Multimeter-Non-Contact-Klein-Tools-MM320KIT/dp/B08W1THSM8/ref=sr_1_2?keywords=Klein+Tools+69149P+Test+Kit+with+Multimeter%2C+Non-Contact+Volt+Tester%2C+Receptacle+Tester&amp;qid=1695174288&amp;sr=8-2</v>
      </c>
      <c r="F5441" t="s">
        <v>4279</v>
      </c>
      <c r="G5441" t="e">
        <f ca="1">_xludf.IMAGE("https://edmondsonsupply.com/cdn/shop/products/69149p.jpg?v=1664479017")</f>
        <v>#NAME?</v>
      </c>
      <c r="H5441" t="e">
        <f ca="1">_xludf.IMAGE("https://m.media-amazon.com/images/I/61xZtUfGpuL._AC_UL320_.jpg")</f>
        <v>#NAME?</v>
      </c>
      <c r="I5441" t="s">
        <v>246</v>
      </c>
      <c r="J5441">
        <v>52.49</v>
      </c>
      <c r="K5441" s="4">
        <v>0.31319999999999998</v>
      </c>
      <c r="L5441">
        <v>4.8</v>
      </c>
      <c r="M5441">
        <v>1458</v>
      </c>
      <c r="O5441" t="s">
        <v>25</v>
      </c>
      <c r="P5441" t="s">
        <v>6996</v>
      </c>
      <c r="Q5441" t="s">
        <v>6997</v>
      </c>
    </row>
    <row r="5442" spans="1:17" ht="15.5" x14ac:dyDescent="0.35">
      <c r="A5442" s="3" t="str">
        <f>HYPERLINK("https://edmondsonsupply.com/collections/electricians-tools/products/milwaukee-48-08-2745-m18-fuel%E2%84%A2-30-degree-framing-nailer-extended-capacity-magazine", "https://edmondsonsupply.com/collections/electricians-tools/products/milwaukee-48-08-2745-m18-fuel%E2%84%A2-30-degree-framing-nailer-extended-capacity-magazine")</f>
        <v>https://edmondsonsupply.com/collections/electricians-tools/products/milwaukee-48-08-2745-m18-fuel%E2%84%A2-30-degree-framing-nailer-extended-capacity-magazine</v>
      </c>
      <c r="B5442" s="3" t="str">
        <f>HYPERLINK("https://edmondsonsupply.com/products/milwaukee-48-08-2745-m18-fuel%e2%84%a2-30-degree-framing-nailer-extended-capacity-magazine", "https://edmondsonsupply.com/products/milwaukee-48-08-2745-m18-fuel%e2%84%a2-30-degree-framing-nailer-extended-capacity-magazine")</f>
        <v>https://edmondsonsupply.com/products/milwaukee-48-08-2745-m18-fuel%e2%84%a2-30-degree-framing-nailer-extended-capacity-magazine</v>
      </c>
      <c r="C5442" t="s">
        <v>7324</v>
      </c>
      <c r="D5442" t="s">
        <v>7325</v>
      </c>
      <c r="E5442" s="3" t="str">
        <f>HYPERLINK("https://www.amazon.com/Fortool-48-08-2745-Milwaukee-Magnesium-Extension/dp/B09YP6L87F/ref=sr_1_1?keywords=Milwaukee+48-08-2745+M18+FUEL%E2%84%A2+30+Degree+Framing+Nailer+Extended+Capacity+Magazine&amp;qid=1695174002&amp;sr=8-1", "https://www.amazon.com/Fortool-48-08-2745-Milwaukee-Magnesium-Extension/dp/B09YP6L87F/ref=sr_1_1?keywords=Milwaukee+48-08-2745+M18+FUEL%E2%84%A2+30+Degree+Framing+Nailer+Extended+Capacity+Magazine&amp;qid=1695174002&amp;sr=8-1")</f>
        <v>https://www.amazon.com/Fortool-48-08-2745-Milwaukee-Magnesium-Extension/dp/B09YP6L87F/ref=sr_1_1?keywords=Milwaukee+48-08-2745+M18+FUEL%E2%84%A2+30+Degree+Framing+Nailer+Extended+Capacity+Magazine&amp;qid=1695174002&amp;sr=8-1</v>
      </c>
      <c r="F5442" t="s">
        <v>7326</v>
      </c>
      <c r="G5442" t="e">
        <f ca="1">_xludf.IMAGE("https://edmondsonsupply.com/cdn/shop/files/48-08-2745_1.webp?v=1690296209")</f>
        <v>#NAME?</v>
      </c>
      <c r="H5442" t="e">
        <f ca="1">_xludf.IMAGE("https://m.media-amazon.com/images/I/71Gy7pjCzKL._AC_UL320_.jpg")</f>
        <v>#NAME?</v>
      </c>
      <c r="I5442" t="s">
        <v>7327</v>
      </c>
      <c r="J5442">
        <v>129.99</v>
      </c>
      <c r="K5442" s="4">
        <v>0.313</v>
      </c>
      <c r="L5442">
        <v>3</v>
      </c>
      <c r="M5442">
        <v>2</v>
      </c>
      <c r="O5442" t="s">
        <v>25</v>
      </c>
      <c r="P5442" t="s">
        <v>7328</v>
      </c>
      <c r="Q5442" t="s">
        <v>7329</v>
      </c>
    </row>
    <row r="5443" spans="1:17" ht="15.5" x14ac:dyDescent="0.35">
      <c r="A5443" s="3" t="str">
        <f>HYPERLINK("https://edmondsonsupply.com/collections/electricians-tools/products/milwaukee-48-08-2744-m18-fuel%E2%84%A2-21-degree-framing-nailer-extended-capacity-magazine", "https://edmondsonsupply.com/collections/electricians-tools/products/milwaukee-48-08-2744-m18-fuel%E2%84%A2-21-degree-framing-nailer-extended-capacity-magazine")</f>
        <v>https://edmondsonsupply.com/collections/electricians-tools/products/milwaukee-48-08-2744-m18-fuel%E2%84%A2-21-degree-framing-nailer-extended-capacity-magazine</v>
      </c>
      <c r="B5443" s="3" t="str">
        <f>HYPERLINK("https://edmondsonsupply.com/products/milwaukee-48-08-2744-m18-fuel%e2%84%a2-21-degree-framing-nailer-extended-capacity-magazine", "https://edmondsonsupply.com/products/milwaukee-48-08-2744-m18-fuel%e2%84%a2-21-degree-framing-nailer-extended-capacity-magazine")</f>
        <v>https://edmondsonsupply.com/products/milwaukee-48-08-2744-m18-fuel%e2%84%a2-21-degree-framing-nailer-extended-capacity-magazine</v>
      </c>
      <c r="C5443" t="s">
        <v>7330</v>
      </c>
      <c r="D5443" t="s">
        <v>7325</v>
      </c>
      <c r="E5443" s="3" t="str">
        <f>HYPERLINK("https://www.amazon.com/Fortool-48-08-2745-Milwaukee-Magnesium-Extension/dp/B09YP6L87F/ref=sr_1_4?keywords=Milwaukee+48-08-2744+M18+FUEL%E2%84%A2+21+Degree+Framing+Nailer+Extended+Capacity+Magazine&amp;qid=1695174095&amp;sr=8-4", "https://www.amazon.com/Fortool-48-08-2745-Milwaukee-Magnesium-Extension/dp/B09YP6L87F/ref=sr_1_4?keywords=Milwaukee+48-08-2744+M18+FUEL%E2%84%A2+21+Degree+Framing+Nailer+Extended+Capacity+Magazine&amp;qid=1695174095&amp;sr=8-4")</f>
        <v>https://www.amazon.com/Fortool-48-08-2745-Milwaukee-Magnesium-Extension/dp/B09YP6L87F/ref=sr_1_4?keywords=Milwaukee+48-08-2744+M18+FUEL%E2%84%A2+21+Degree+Framing+Nailer+Extended+Capacity+Magazine&amp;qid=1695174095&amp;sr=8-4</v>
      </c>
      <c r="F5443" t="s">
        <v>7326</v>
      </c>
      <c r="G5443" t="e">
        <f ca="1">_xludf.IMAGE("https://edmondsonsupply.com/cdn/shop/products/48-08-2744_1.webp?v=1672863053")</f>
        <v>#NAME?</v>
      </c>
      <c r="H5443" t="e">
        <f ca="1">_xludf.IMAGE("https://m.media-amazon.com/images/I/71Gy7pjCzKL._AC_UL320_.jpg")</f>
        <v>#NAME?</v>
      </c>
      <c r="I5443" t="s">
        <v>7327</v>
      </c>
      <c r="J5443">
        <v>129.99</v>
      </c>
      <c r="K5443" s="4">
        <v>0.313</v>
      </c>
      <c r="L5443">
        <v>3</v>
      </c>
      <c r="M5443">
        <v>2</v>
      </c>
      <c r="O5443" t="s">
        <v>25</v>
      </c>
      <c r="P5443" t="s">
        <v>7328</v>
      </c>
      <c r="Q5443" t="s">
        <v>7331</v>
      </c>
    </row>
    <row r="5444" spans="1:17" ht="15.5" x14ac:dyDescent="0.35">
      <c r="A5444"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5444" s="3" t="str">
        <f>HYPERLINK("https://edmondsonsupply.com/products/klein-tools-646-1-4-1-4-inch-nut-driver-with-6-inch-hollow-shaft", "https://edmondsonsupply.com/products/klein-tools-646-1-4-1-4-inch-nut-driver-with-6-inch-hollow-shaft")</f>
        <v>https://edmondsonsupply.com/products/klein-tools-646-1-4-1-4-inch-nut-driver-with-6-inch-hollow-shaft</v>
      </c>
      <c r="C5444" t="s">
        <v>1478</v>
      </c>
      <c r="D5444" t="s">
        <v>3528</v>
      </c>
      <c r="E5444" s="3" t="str">
        <f>HYPERLINK("https://www.amazon.com/4-Inch-Cushion-Klein-Tools-630-1/dp/B00093DZR8/ref=sr_1_6?keywords=Klein+Tools+646-1%2F4+1%2F4-Inch+Nut+Driver+with+6-Inch+Hollow+Shaft&amp;qid=1695173897&amp;sr=8-6", "https://www.amazon.com/4-Inch-Cushion-Klein-Tools-630-1/dp/B00093DZR8/ref=sr_1_6?keywords=Klein+Tools+646-1%2F4+1%2F4-Inch+Nut+Driver+with+6-Inch+Hollow+Shaft&amp;qid=1695173897&amp;sr=8-6")</f>
        <v>https://www.amazon.com/4-Inch-Cushion-Klein-Tools-630-1/dp/B00093DZR8/ref=sr_1_6?keywords=Klein+Tools+646-1%2F4+1%2F4-Inch+Nut+Driver+with+6-Inch+Hollow+Shaft&amp;qid=1695173897&amp;sr=8-6</v>
      </c>
      <c r="F5444" t="s">
        <v>3529</v>
      </c>
      <c r="G5444" t="e">
        <f ca="1">_xludf.IMAGE("https://edmondsonsupply.com/cdn/shop/products/646-1-2_08d87fa9-eac4-4869-8d3b-bb680d4b1d53.jpg?v=1587150676")</f>
        <v>#NAME?</v>
      </c>
      <c r="H5444" t="e">
        <f ca="1">_xludf.IMAGE("https://m.media-amazon.com/images/I/41gchQgPtfL._AC_UL320_.jpg")</f>
        <v>#NAME?</v>
      </c>
      <c r="I5444" t="s">
        <v>1003</v>
      </c>
      <c r="J5444">
        <v>10.49</v>
      </c>
      <c r="K5444" s="4">
        <v>0.31290000000000001</v>
      </c>
      <c r="L5444">
        <v>4.8</v>
      </c>
      <c r="M5444">
        <v>59</v>
      </c>
      <c r="O5444" t="s">
        <v>25</v>
      </c>
      <c r="P5444" t="s">
        <v>1481</v>
      </c>
      <c r="Q5444" t="s">
        <v>1482</v>
      </c>
    </row>
    <row r="5445" spans="1:17" ht="15.5" x14ac:dyDescent="0.35">
      <c r="A5445"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5445"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5445" t="s">
        <v>919</v>
      </c>
      <c r="D5445" t="s">
        <v>974</v>
      </c>
      <c r="E5445" s="3" t="str">
        <f>HYPERLINK("https://www.amazon.com/Klein-Tools-60537-Professional-Protective/dp/B0BLQM26TJ/ref=sr_1_7?keywords=Klein+Tools+60470+Professional+Full-Frame+Gasket+Safety+Glasses%2C+Clear+Lens&amp;qid=1695174156&amp;sr=8-7", "https://www.amazon.com/Klein-Tools-60537-Professional-Protective/dp/B0BLQM26TJ/ref=sr_1_7?keywords=Klein+Tools+60470+Professional+Full-Frame+Gasket+Safety+Glasses%2C+Clear+Lens&amp;qid=1695174156&amp;sr=8-7")</f>
        <v>https://www.amazon.com/Klein-Tools-60537-Professional-Protective/dp/B0BLQM26TJ/ref=sr_1_7?keywords=Klein+Tools+60470+Professional+Full-Frame+Gasket+Safety+Glasses%2C+Clear+Lens&amp;qid=1695174156&amp;sr=8-7</v>
      </c>
      <c r="F5445" t="s">
        <v>975</v>
      </c>
      <c r="G5445" t="e">
        <f ca="1">_xludf.IMAGE("https://edmondsonsupply.com/cdn/shop/products/60470.jpg?v=1663260659")</f>
        <v>#NAME?</v>
      </c>
      <c r="H5445" t="e">
        <f ca="1">_xludf.IMAGE("https://m.media-amazon.com/images/I/41ZbdEu2lCL._AC_UL320_.jpg")</f>
        <v>#NAME?</v>
      </c>
      <c r="I5445" t="s">
        <v>252</v>
      </c>
      <c r="J5445">
        <v>20.99</v>
      </c>
      <c r="K5445" s="4">
        <v>0.31269999999999998</v>
      </c>
      <c r="L5445">
        <v>4.5</v>
      </c>
      <c r="M5445">
        <v>15</v>
      </c>
      <c r="O5445" t="s">
        <v>25</v>
      </c>
      <c r="P5445" t="s">
        <v>854</v>
      </c>
      <c r="Q5445" t="s">
        <v>920</v>
      </c>
    </row>
    <row r="5446" spans="1:17" ht="15.5" x14ac:dyDescent="0.35">
      <c r="A5446" s="3" t="str">
        <f>HYPERLINK("https://edmondsonsupply.com/collections/electricians-tools/products/klein-tools-60538-professional-full-frame-gasket-safety-glasses-indoor-outdoor-lens", "https://edmondsonsupply.com/collections/electricians-tools/products/klein-tools-60538-professional-full-frame-gasket-safety-glasses-indoor-outdoor-lens")</f>
        <v>https://edmondsonsupply.com/collections/electricians-tools/products/klein-tools-60538-professional-full-frame-gasket-safety-glasses-indoor-outdoor-lens</v>
      </c>
      <c r="B5446" s="3" t="str">
        <f>HYPERLINK("https://edmondsonsupply.com/products/klein-tools-60538-professional-full-frame-gasket-safety-glasses-indoor-outdoor-lens", "https://edmondsonsupply.com/products/klein-tools-60538-professional-full-frame-gasket-safety-glasses-indoor-outdoor-lens")</f>
        <v>https://edmondsonsupply.com/products/klein-tools-60538-professional-full-frame-gasket-safety-glasses-indoor-outdoor-lens</v>
      </c>
      <c r="C5446" t="s">
        <v>1012</v>
      </c>
      <c r="D5446" t="s">
        <v>974</v>
      </c>
      <c r="E5446" s="3" t="str">
        <f>HYPERLINK("https://www.amazon.com/Klein-Tools-60537-Professional-Protective/dp/B0BLQM26TJ/ref=sr_1_2?keywords=Klein+Tools+60538+Professional+Full-Frame+Gasket+Safety+Glasses%2C+Indoor%2FOutdoor+Lens&amp;qid=1695174094&amp;sr=8-2", "https://www.amazon.com/Klein-Tools-60537-Professional-Protective/dp/B0BLQM26TJ/ref=sr_1_2?keywords=Klein+Tools+60538+Professional+Full-Frame+Gasket+Safety+Glasses%2C+Indoor%2FOutdoor+Lens&amp;qid=1695174094&amp;sr=8-2")</f>
        <v>https://www.amazon.com/Klein-Tools-60537-Professional-Protective/dp/B0BLQM26TJ/ref=sr_1_2?keywords=Klein+Tools+60538+Professional+Full-Frame+Gasket+Safety+Glasses%2C+Indoor%2FOutdoor+Lens&amp;qid=1695174094&amp;sr=8-2</v>
      </c>
      <c r="F5446" t="s">
        <v>975</v>
      </c>
      <c r="G5446" t="e">
        <f ca="1">_xludf.IMAGE("https://edmondsonsupply.com/cdn/shop/products/60470_1.jpg?v=1670947470")</f>
        <v>#NAME?</v>
      </c>
      <c r="H5446" t="e">
        <f ca="1">_xludf.IMAGE("https://m.media-amazon.com/images/I/41ZbdEu2lCL._AC_UL320_.jpg")</f>
        <v>#NAME?</v>
      </c>
      <c r="I5446" t="s">
        <v>252</v>
      </c>
      <c r="J5446">
        <v>20.99</v>
      </c>
      <c r="K5446" s="4">
        <v>0.31269999999999998</v>
      </c>
      <c r="L5446">
        <v>4.5</v>
      </c>
      <c r="M5446">
        <v>15</v>
      </c>
      <c r="O5446" t="s">
        <v>25</v>
      </c>
      <c r="P5446" t="s">
        <v>854</v>
      </c>
      <c r="Q5446" t="s">
        <v>1013</v>
      </c>
    </row>
    <row r="5447" spans="1:17" ht="15.5" x14ac:dyDescent="0.35">
      <c r="A5447"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5447"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447" t="s">
        <v>853</v>
      </c>
      <c r="D5447" t="s">
        <v>974</v>
      </c>
      <c r="E5447" s="3" t="str">
        <f>HYPERLINK("https://www.amazon.com/Klein-Tools-60537-Professional-Protective/dp/B0BLQM26TJ/ref=sr_1_8?keywords=Klein+Tools+60471+Professional+Full-Frame+Gasket+Safety+Glasses%2C+Gray+Lens&amp;qid=1695174157&amp;sr=8-8", "https://www.amazon.com/Klein-Tools-60537-Professional-Protective/dp/B0BLQM26TJ/ref=sr_1_8?keywords=Klein+Tools+60471+Professional+Full-Frame+Gasket+Safety+Glasses%2C+Gray+Lens&amp;qid=1695174157&amp;sr=8-8")</f>
        <v>https://www.amazon.com/Klein-Tools-60537-Professional-Protective/dp/B0BLQM26TJ/ref=sr_1_8?keywords=Klein+Tools+60471+Professional+Full-Frame+Gasket+Safety+Glasses%2C+Gray+Lens&amp;qid=1695174157&amp;sr=8-8</v>
      </c>
      <c r="F5447" t="s">
        <v>975</v>
      </c>
      <c r="G5447" t="e">
        <f ca="1">_xludf.IMAGE("https://edmondsonsupply.com/cdn/shop/products/60471.jpg?v=1663257501")</f>
        <v>#NAME?</v>
      </c>
      <c r="H5447" t="e">
        <f ca="1">_xludf.IMAGE("https://m.media-amazon.com/images/I/41ZbdEu2lCL._AC_UL320_.jpg")</f>
        <v>#NAME?</v>
      </c>
      <c r="I5447" t="s">
        <v>252</v>
      </c>
      <c r="J5447">
        <v>20.99</v>
      </c>
      <c r="K5447" s="4">
        <v>0.31269999999999998</v>
      </c>
      <c r="L5447">
        <v>4.5</v>
      </c>
      <c r="M5447">
        <v>15</v>
      </c>
      <c r="O5447" t="s">
        <v>25</v>
      </c>
      <c r="P5447" t="s">
        <v>854</v>
      </c>
      <c r="Q5447" t="s">
        <v>855</v>
      </c>
    </row>
    <row r="5448" spans="1:17" ht="15.5" x14ac:dyDescent="0.35">
      <c r="A5448"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5448" s="3" t="str">
        <f>HYPERLINK("https://edmondsonsupply.com/products/diablo-tools-dag1130-1-in-x-7-1-2-in-auger-bit", "https://edmondsonsupply.com/products/diablo-tools-dag1130-1-in-x-7-1-2-in-auger-bit")</f>
        <v>https://edmondsonsupply.com/products/diablo-tools-dag1130-1-in-x-7-1-2-in-auger-bit</v>
      </c>
      <c r="C5448" t="s">
        <v>3530</v>
      </c>
      <c r="D5448" t="s">
        <v>3531</v>
      </c>
      <c r="E5448" s="3" t="str">
        <f>HYPERLINK("https://www.amazon.com/Diablo-Freud-DAG1140-1-1-Auger/dp/B089LK4BYB/ref=sr_1_5?keywords=Diablo+Tools+DAG1130+1+in.+x+7-1%2F2+in.+Auger+Bit&amp;qid=1695173913&amp;sr=8-5", "https://www.amazon.com/Diablo-Freud-DAG1140-1-1-Auger/dp/B089LK4BYB/ref=sr_1_5?keywords=Diablo+Tools+DAG1130+1+in.+x+7-1%2F2+in.+Auger+Bit&amp;qid=1695173913&amp;sr=8-5")</f>
        <v>https://www.amazon.com/Diablo-Freud-DAG1140-1-1-Auger/dp/B089LK4BYB/ref=sr_1_5?keywords=Diablo+Tools+DAG1130+1+in.+x+7-1%2F2+in.+Auger+Bit&amp;qid=1695173913&amp;sr=8-5</v>
      </c>
      <c r="F5448" t="s">
        <v>3532</v>
      </c>
      <c r="G5448" t="e">
        <f ca="1">_xludf.IMAGE("https://edmondsonsupply.com/cdn/shop/products/DAG1130_Main-Image20200712.png?v=1633031124")</f>
        <v>#NAME?</v>
      </c>
      <c r="H5448" t="e">
        <f ca="1">_xludf.IMAGE("https://m.media-amazon.com/images/I/71oBAD0fx0L._AC_UL320_.jpg")</f>
        <v>#NAME?</v>
      </c>
      <c r="I5448" t="s">
        <v>3533</v>
      </c>
      <c r="J5448">
        <v>21.47</v>
      </c>
      <c r="K5448" s="4">
        <v>0.3115</v>
      </c>
      <c r="L5448">
        <v>4.2</v>
      </c>
      <c r="M5448">
        <v>10</v>
      </c>
      <c r="O5448" t="s">
        <v>25</v>
      </c>
      <c r="P5448" t="s">
        <v>3534</v>
      </c>
      <c r="Q5448" t="s">
        <v>3535</v>
      </c>
    </row>
    <row r="5449" spans="1:17" ht="15.5" x14ac:dyDescent="0.35">
      <c r="A5449"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5449" s="3" t="str">
        <f>HYPERLINK("https://edmondsonsupply.com/products/diablo-tools-dsp2130-p2-1-in-x-6-in-spade-bit", "https://edmondsonsupply.com/products/diablo-tools-dsp2130-p2-1-in-x-6-in-spade-bit")</f>
        <v>https://edmondsonsupply.com/products/diablo-tools-dsp2130-p2-1-in-x-6-in-spade-bit</v>
      </c>
      <c r="C5449" t="s">
        <v>7211</v>
      </c>
      <c r="D5449" t="s">
        <v>5835</v>
      </c>
      <c r="E5449" s="3" t="str">
        <f>HYPERLINK("https://www.amazon.com/Diablo-SPEEDemon-Spade-Bit-2-Pack/dp/B089KV8K7W/ref=sr_1_7?keywords=Diablo+Tools+DSP2130-P2+1+in.+x+6+in.+Spade+Bit&amp;qid=1695174112&amp;sr=8-7", "https://www.amazon.com/Diablo-SPEEDemon-Spade-Bit-2-Pack/dp/B089KV8K7W/ref=sr_1_7?keywords=Diablo+Tools+DSP2130-P2+1+in.+x+6+in.+Spade+Bit&amp;qid=1695174112&amp;sr=8-7")</f>
        <v>https://www.amazon.com/Diablo-SPEEDemon-Spade-Bit-2-Pack/dp/B089KV8K7W/ref=sr_1_7?keywords=Diablo+Tools+DSP2130-P2+1+in.+x+6+in.+Spade+Bit&amp;qid=1695174112&amp;sr=8-7</v>
      </c>
      <c r="F5449" t="s">
        <v>5836</v>
      </c>
      <c r="G5449" t="e">
        <f ca="1">_xludf.IMAGE("https://edmondsonsupply.com/cdn/shop/products/peyjwqlntvnioikkr5be.webp?v=1670515689")</f>
        <v>#NAME?</v>
      </c>
      <c r="H5449" t="e">
        <f ca="1">_xludf.IMAGE("https://m.media-amazon.com/images/I/610FU8LQY+L._AC_UL320_.jpg")</f>
        <v>#NAME?</v>
      </c>
      <c r="I5449" t="s">
        <v>7212</v>
      </c>
      <c r="J5449">
        <v>8.3800000000000008</v>
      </c>
      <c r="K5449" s="4">
        <v>0.31140000000000001</v>
      </c>
      <c r="L5449">
        <v>4.7</v>
      </c>
      <c r="M5449">
        <v>40</v>
      </c>
      <c r="O5449" t="s">
        <v>25</v>
      </c>
      <c r="P5449" t="s">
        <v>138</v>
      </c>
      <c r="Q5449" t="s">
        <v>7213</v>
      </c>
    </row>
    <row r="5450" spans="1:17" ht="15.5" x14ac:dyDescent="0.35">
      <c r="A5450" s="3" t="str">
        <f>HYPERLINK("https://edmondsonsupply.com/collections/electricians-tools/products/klein-tools-jth9e06-3-32-inch-hex-key-journeyman%E2%84%A2-t-handle-9-inch", "https://edmondsonsupply.com/collections/electricians-tools/products/klein-tools-jth9e06-3-32-inch-hex-key-journeyman%E2%84%A2-t-handle-9-inch")</f>
        <v>https://edmondsonsupply.com/collections/electricians-tools/products/klein-tools-jth9e06-3-32-inch-hex-key-journeyman%E2%84%A2-t-handle-9-inch</v>
      </c>
      <c r="B5450" s="3" t="str">
        <f>HYPERLINK("https://edmondsonsupply.com/products/klein-tools-jth9e06-3-32-inch-hex-key-journeyman%e2%84%a2-t-handle-9-inch", "https://edmondsonsupply.com/products/klein-tools-jth9e06-3-32-inch-hex-key-journeyman%e2%84%a2-t-handle-9-inch")</f>
        <v>https://edmondsonsupply.com/products/klein-tools-jth9e06-3-32-inch-hex-key-journeyman%e2%84%a2-t-handle-9-inch</v>
      </c>
      <c r="C5450" t="s">
        <v>7332</v>
      </c>
      <c r="D5450" t="s">
        <v>3905</v>
      </c>
      <c r="E5450" s="3" t="str">
        <f>HYPERLINK("https://www.amazon.com/Journeyman-T-Handle-Klein-Tools-JTH9M3/dp/B005G3HJ28/ref=sr_1_6?keywords=Klein+Tools+JTH9E06+3%2F32-Inch+Hex+Key%2C+Journeyman%E2%84%A2+T-Handle%2C+9-Inch&amp;qid=1695174164&amp;sr=8-6", "https://www.amazon.com/Journeyman-T-Handle-Klein-Tools-JTH9M3/dp/B005G3HJ28/ref=sr_1_6?keywords=Klein+Tools+JTH9E06+3%2F32-Inch+Hex+Key%2C+Journeyman%E2%84%A2+T-Handle%2C+9-Inch&amp;qid=1695174164&amp;sr=8-6")</f>
        <v>https://www.amazon.com/Journeyman-T-Handle-Klein-Tools-JTH9M3/dp/B005G3HJ28/ref=sr_1_6?keywords=Klein+Tools+JTH9E06+3%2F32-Inch+Hex+Key%2C+Journeyman%E2%84%A2+T-Handle%2C+9-Inch&amp;qid=1695174164&amp;sr=8-6</v>
      </c>
      <c r="F5450" t="s">
        <v>3906</v>
      </c>
      <c r="G5450" t="e">
        <f ca="1">_xludf.IMAGE("https://edmondsonsupply.com/cdn/shop/products/jth6e15_2136116f-dcd1-4a81-ab1c-471762cb8f3e.jpg?v=1662657547")</f>
        <v>#NAME?</v>
      </c>
      <c r="H5450" t="e">
        <f ca="1">_xludf.IMAGE("https://m.media-amazon.com/images/I/51MZtGjDOtL._AC_UL320_.jpg")</f>
        <v>#NAME?</v>
      </c>
      <c r="I5450" t="s">
        <v>6122</v>
      </c>
      <c r="J5450">
        <v>5.88</v>
      </c>
      <c r="K5450" s="4">
        <v>0.30959999999999999</v>
      </c>
      <c r="L5450">
        <v>4.5999999999999996</v>
      </c>
      <c r="M5450">
        <v>179</v>
      </c>
      <c r="O5450" t="s">
        <v>25</v>
      </c>
      <c r="P5450" t="s">
        <v>6098</v>
      </c>
      <c r="Q5450" t="s">
        <v>7333</v>
      </c>
    </row>
    <row r="5451" spans="1:17" ht="15.5" x14ac:dyDescent="0.35">
      <c r="A5451" s="3" t="str">
        <f>HYPERLINK("https://edmondsonsupply.com/collections/electricians-tools/products/uniweld-70074-offset-ratchet-wrenches", "https://edmondsonsupply.com/collections/electricians-tools/products/uniweld-70074-offset-ratchet-wrenches")</f>
        <v>https://edmondsonsupply.com/collections/electricians-tools/products/uniweld-70074-offset-ratchet-wrenches</v>
      </c>
      <c r="B5451" s="3" t="str">
        <f>HYPERLINK("https://edmondsonsupply.com/products/uniweld-70074-offset-ratchet-wrenches", "https://edmondsonsupply.com/products/uniweld-70074-offset-ratchet-wrenches")</f>
        <v>https://edmondsonsupply.com/products/uniweld-70074-offset-ratchet-wrenches</v>
      </c>
      <c r="C5451" t="s">
        <v>7334</v>
      </c>
      <c r="D5451" t="s">
        <v>7335</v>
      </c>
      <c r="E5451" s="3" t="str">
        <f>HYPERLINK("https://www.amazon.com/Uniweld-70074-Reversible-Ratchet-Adaptor/dp/B00HNQR5D4/ref=sr_1_1?keywords=uniweld+70074+medium+duty+offset+ratchet+wrench&amp;qid=1695174196&amp;sr=8-1", "https://www.amazon.com/Uniweld-70074-Reversible-Ratchet-Adaptor/dp/B00HNQR5D4/ref=sr_1_1?keywords=uniweld+70074+medium+duty+offset+ratchet+wrench&amp;qid=1695174196&amp;sr=8-1")</f>
        <v>https://www.amazon.com/Uniweld-70074-Reversible-Ratchet-Adaptor/dp/B00HNQR5D4/ref=sr_1_1?keywords=uniweld+70074+medium+duty+offset+ratchet+wrench&amp;qid=1695174196&amp;sr=8-1</v>
      </c>
      <c r="F5451" t="s">
        <v>7336</v>
      </c>
      <c r="G5451" t="e">
        <f ca="1">_xludf.IMAGE("https://edmondsonsupply.com/cdn/shop/products/70074_pkg.jpg?v=1656081623")</f>
        <v>#NAME?</v>
      </c>
      <c r="H5451" t="e">
        <f ca="1">_xludf.IMAGE("https://m.media-amazon.com/images/I/81F+vIEGwhL._AC_UL320_.jpg")</f>
        <v>#NAME?</v>
      </c>
      <c r="I5451" t="s">
        <v>7337</v>
      </c>
      <c r="J5451">
        <v>20.99</v>
      </c>
      <c r="K5451" s="4">
        <v>0.30940000000000001</v>
      </c>
      <c r="L5451">
        <v>4.4000000000000004</v>
      </c>
      <c r="M5451">
        <v>1022</v>
      </c>
      <c r="O5451" t="s">
        <v>25</v>
      </c>
      <c r="P5451" t="s">
        <v>1436</v>
      </c>
      <c r="Q5451" t="s">
        <v>7338</v>
      </c>
    </row>
    <row r="5452" spans="1:17" ht="15.5" x14ac:dyDescent="0.35">
      <c r="A5452"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5452" s="3" t="str">
        <f>HYPERLINK("https://edmondsonsupply.com/products/diablo-tools-d0740x-7-1-4-in-x-40-tooth-finish-saw-blade", "https://edmondsonsupply.com/products/diablo-tools-d0740x-7-1-4-in-x-40-tooth-finish-saw-blade")</f>
        <v>https://edmondsonsupply.com/products/diablo-tools-d0740x-7-1-4-in-x-40-tooth-finish-saw-blade</v>
      </c>
      <c r="C5452" t="s">
        <v>6112</v>
      </c>
      <c r="D5452" t="s">
        <v>7339</v>
      </c>
      <c r="E5452" s="3" t="str">
        <f>HYPERLINK("https://www.amazon.com/Diablo-Ultra-Finish-Circular-Blade/dp/B071X5DBWR/ref=sr_1_8?keywords=Diablo+Tools+D0740X+7-1%2F4+in.+x+40+Tooth+Finish+Saw+Blade&amp;qid=1695174073&amp;sr=8-8", "https://www.amazon.com/Diablo-Ultra-Finish-Circular-Blade/dp/B071X5DBWR/ref=sr_1_8?keywords=Diablo+Tools+D0740X+7-1%2F4+in.+x+40+Tooth+Finish+Saw+Blade&amp;qid=1695174073&amp;sr=8-8")</f>
        <v>https://www.amazon.com/Diablo-Ultra-Finish-Circular-Blade/dp/B071X5DBWR/ref=sr_1_8?keywords=Diablo+Tools+D0740X+7-1%2F4+in.+x+40+Tooth+Finish+Saw+Blade&amp;qid=1695174073&amp;sr=8-8</v>
      </c>
      <c r="F5452" t="s">
        <v>7340</v>
      </c>
      <c r="G5452" t="e">
        <f ca="1">_xludf.IMAGE("https://edmondsonsupply.com/cdn/shop/products/kdrkrhhsfpivsggxnkhy.webp?v=1678975834")</f>
        <v>#NAME?</v>
      </c>
      <c r="H5452" t="e">
        <f ca="1">_xludf.IMAGE("https://m.media-amazon.com/images/I/61JlPZnNLWL._AC_UL320_.jpg")</f>
        <v>#NAME?</v>
      </c>
      <c r="I5452" t="s">
        <v>2784</v>
      </c>
      <c r="J5452">
        <v>19.600000000000001</v>
      </c>
      <c r="K5452" s="4">
        <v>0.30930000000000002</v>
      </c>
      <c r="L5452">
        <v>4.8</v>
      </c>
      <c r="M5452">
        <v>145</v>
      </c>
      <c r="O5452" t="s">
        <v>25</v>
      </c>
      <c r="P5452" t="s">
        <v>6115</v>
      </c>
      <c r="Q5452" t="s">
        <v>6116</v>
      </c>
    </row>
    <row r="5453" spans="1:17" ht="15.5" x14ac:dyDescent="0.35">
      <c r="A5453" s="3" t="str">
        <f>HYPERLINK("https://edmondsonsupply.com/collections/electricians-tools/products/milwaukee-48-03-3015-carbide-bit-spline-to-sds-plus-adapter", "https://edmondsonsupply.com/collections/electricians-tools/products/milwaukee-48-03-3015-carbide-bit-spline-to-sds-plus-adapter")</f>
        <v>https://edmondsonsupply.com/collections/electricians-tools/products/milwaukee-48-03-3015-carbide-bit-spline-to-sds-plus-adapter</v>
      </c>
      <c r="B5453" s="3" t="str">
        <f>HYPERLINK("https://edmondsonsupply.com/products/milwaukee-48-03-3015-carbide-bit-spline-to-sds-plus-adapter", "https://edmondsonsupply.com/products/milwaukee-48-03-3015-carbide-bit-spline-to-sds-plus-adapter")</f>
        <v>https://edmondsonsupply.com/products/milwaukee-48-03-3015-carbide-bit-spline-to-sds-plus-adapter</v>
      </c>
      <c r="C5453" t="s">
        <v>6364</v>
      </c>
      <c r="D5453" t="s">
        <v>7341</v>
      </c>
      <c r="E5453" s="3" t="str">
        <f>HYPERLINK("https://www.amazon.com/Milwaukee-48-03-3564-12-Inch-Spline-Adapter/dp/B0009H5R6Q/ref=sr_1_6?keywords=Milwaukee+48-03-3015+Spline+to+SDS-Plus+Bit+Adapter&amp;qid=1695174101&amp;sr=8-6", "https://www.amazon.com/Milwaukee-48-03-3564-12-Inch-Spline-Adapter/dp/B0009H5R6Q/ref=sr_1_6?keywords=Milwaukee+48-03-3015+Spline+to+SDS-Plus+Bit+Adapter&amp;qid=1695174101&amp;sr=8-6")</f>
        <v>https://www.amazon.com/Milwaukee-48-03-3564-12-Inch-Spline-Adapter/dp/B0009H5R6Q/ref=sr_1_6?keywords=Milwaukee+48-03-3015+Spline+to+SDS-Plus+Bit+Adapter&amp;qid=1695174101&amp;sr=8-6</v>
      </c>
      <c r="F5453" t="s">
        <v>7342</v>
      </c>
      <c r="G5453" t="e">
        <f ca="1">_xludf.IMAGE("https://edmondsonsupply.com/cdn/shop/products/48-03-3010_1.webp?v=1674076699")</f>
        <v>#NAME?</v>
      </c>
      <c r="H5453" t="e">
        <f ca="1">_xludf.IMAGE("https://m.media-amazon.com/images/I/2157CNN6DQL._AC_UL320_.jpg")</f>
        <v>#NAME?</v>
      </c>
      <c r="I5453" t="s">
        <v>6367</v>
      </c>
      <c r="J5453">
        <v>73.88</v>
      </c>
      <c r="K5453" s="4">
        <v>0.30880000000000002</v>
      </c>
      <c r="L5453">
        <v>1</v>
      </c>
      <c r="M5453">
        <v>1</v>
      </c>
      <c r="O5453" t="s">
        <v>25</v>
      </c>
      <c r="P5453" t="s">
        <v>6368</v>
      </c>
      <c r="Q5453" t="s">
        <v>6369</v>
      </c>
    </row>
    <row r="5454" spans="1:17" ht="15.5" x14ac:dyDescent="0.35">
      <c r="A5454" s="3" t="str">
        <f>HYPERLINK("https://edmondsonsupply.com/collections/electricians-tools/products/crescent-lufkin-1-3-16-x-16-shockforce-nite-eye%E2%84%A2-g1-dual-sided-tape-measure", "https://edmondsonsupply.com/collections/electricians-tools/products/crescent-lufkin-1-3-16-x-16-shockforce-nite-eye%E2%84%A2-g1-dual-sided-tape-measure")</f>
        <v>https://edmondsonsupply.com/collections/electricians-tools/products/crescent-lufkin-1-3-16-x-16-shockforce-nite-eye%E2%84%A2-g1-dual-sided-tape-measure</v>
      </c>
      <c r="B5454" s="3" t="str">
        <f>HYPERLINK("https://edmondsonsupply.com/products/crescent-lufkin-1-3-16-x-16-shockforce-nite-eye%e2%84%a2-g1-dual-sided-tape-measure", "https://edmondsonsupply.com/products/crescent-lufkin-1-3-16-x-16-shockforce-nite-eye%e2%84%a2-g1-dual-sided-tape-measure")</f>
        <v>https://edmondsonsupply.com/products/crescent-lufkin-1-3-16-x-16-shockforce-nite-eye%e2%84%a2-g1-dual-sided-tape-measure</v>
      </c>
      <c r="C5454" t="s">
        <v>7343</v>
      </c>
      <c r="D5454" t="s">
        <v>7344</v>
      </c>
      <c r="E5454" s="3" t="str">
        <f>HYPERLINK("https://www.amazon.com/Shockforce-Nite-EyeTM-Sided-Measure/dp/B0B2MRLK53/ref=sr_1_3?keywords=Crescent+Lufkin+L1116B-02+1-3%2F16%22+x+16%27+Shockforce+Nite+Eye%E2%84%A2+G1+Dual+Sided+Tape+Measure&amp;qid=1695174039&amp;sr=8-3", "https://www.amazon.com/Shockforce-Nite-EyeTM-Sided-Measure/dp/B0B2MRLK53/ref=sr_1_3?keywords=Crescent+Lufkin+L1116B-02+1-3%2F16%22+x+16%27+Shockforce+Nite+Eye%E2%84%A2+G1+Dual+Sided+Tape+Measure&amp;qid=1695174039&amp;sr=8-3")</f>
        <v>https://www.amazon.com/Shockforce-Nite-EyeTM-Sided-Measure/dp/B0B2MRLK53/ref=sr_1_3?keywords=Crescent+Lufkin+L1116B-02+1-3%2F16%22+x+16%27+Shockforce+Nite+Eye%E2%84%A2+G1+Dual+Sided+Tape+Measure&amp;qid=1695174039&amp;sr=8-3</v>
      </c>
      <c r="F5454" t="s">
        <v>7345</v>
      </c>
      <c r="G5454" t="e">
        <f ca="1">_xludf.IMAGE("https://edmondsonsupply.com/cdn/shop/products/LFK_L11168_IMG_FRONT.jpg?v=1679577698")</f>
        <v>#NAME?</v>
      </c>
      <c r="H5454" t="e">
        <f ca="1">_xludf.IMAGE("https://m.media-amazon.com/images/I/31sKA5WeWhL._AC_UL320_.jpg")</f>
        <v>#NAME?</v>
      </c>
      <c r="I5454" t="s">
        <v>471</v>
      </c>
      <c r="J5454">
        <v>32.700000000000003</v>
      </c>
      <c r="K5454" s="4">
        <v>0.3085</v>
      </c>
      <c r="L5454">
        <v>5</v>
      </c>
      <c r="M5454">
        <v>1</v>
      </c>
      <c r="O5454" t="s">
        <v>25</v>
      </c>
      <c r="P5454" t="s">
        <v>7346</v>
      </c>
      <c r="Q5454" t="s">
        <v>7347</v>
      </c>
    </row>
    <row r="5455" spans="1:17" ht="15.5" x14ac:dyDescent="0.35">
      <c r="A5455"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5455"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5455" t="s">
        <v>3544</v>
      </c>
      <c r="D5455" t="s">
        <v>3545</v>
      </c>
      <c r="E5455" s="3" t="str">
        <f>HYPERLINK("https://www.amazon.com/Extended-Screwdriver-Klein-Tools-32560/dp/B005FQDHF4/ref=sr_1_6?keywords=Klein+Tools+32562+Multi-Bit+Screwdriver+%2F+Nut+Driver%2C+6-in-1%2C+Stubby%2C+Ph%2C+Sl%2C+Sq+Bits&amp;qid=1695173934&amp;sr=8-6", "https://www.amazon.com/Extended-Screwdriver-Klein-Tools-32560/dp/B005FQDHF4/ref=sr_1_6?keywords=Klein+Tools+32562+Multi-Bit+Screwdriver+%2F+Nut+Driver%2C+6-in-1%2C+Stubby%2C+Ph%2C+Sl%2C+Sq+Bits&amp;qid=1695173934&amp;sr=8-6")</f>
        <v>https://www.amazon.com/Extended-Screwdriver-Klein-Tools-32560/dp/B005FQDHF4/ref=sr_1_6?keywords=Klein+Tools+32562+Multi-Bit+Screwdriver+%2F+Nut+Driver%2C+6-in-1%2C+Stubby%2C+Ph%2C+Sl%2C+Sq+Bits&amp;qid=1695173934&amp;sr=8-6</v>
      </c>
      <c r="F5455" t="s">
        <v>3546</v>
      </c>
      <c r="G5455" t="e">
        <f ca="1">_xludf.IMAGE("https://edmondsonsupply.com/cdn/shop/products/32562.jpg?v=1587145424")</f>
        <v>#NAME?</v>
      </c>
      <c r="H5455" t="e">
        <f ca="1">_xludf.IMAGE("https://m.media-amazon.com/images/I/516UhfUKmUL._AC_UL320_.jpg")</f>
        <v>#NAME?</v>
      </c>
      <c r="I5455" t="s">
        <v>834</v>
      </c>
      <c r="J5455">
        <v>16.989999999999998</v>
      </c>
      <c r="K5455" s="4">
        <v>0.30790000000000001</v>
      </c>
      <c r="L5455">
        <v>4.8</v>
      </c>
      <c r="M5455">
        <v>679</v>
      </c>
      <c r="O5455" t="s">
        <v>25</v>
      </c>
      <c r="P5455" t="s">
        <v>3547</v>
      </c>
      <c r="Q5455" t="s">
        <v>3548</v>
      </c>
    </row>
    <row r="5456" spans="1:17" ht="15.5" x14ac:dyDescent="0.35">
      <c r="A5456"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5456" s="3" t="str">
        <f>HYPERLINK("https://edmondsonsupply.com/products/diablo-tools-dmapl2290-7-16-in-x-10-in-x-12-in-sds-plus-2-cutter", "https://edmondsonsupply.com/products/diablo-tools-dmapl2290-7-16-in-x-10-in-x-12-in-sds-plus-2-cutter")</f>
        <v>https://edmondsonsupply.com/products/diablo-tools-dmapl2290-7-16-in-x-10-in-x-12-in-sds-plus-2-cutter</v>
      </c>
      <c r="C5456" t="s">
        <v>5860</v>
      </c>
      <c r="D5456" t="s">
        <v>5861</v>
      </c>
      <c r="E5456" s="3" t="str">
        <f>HYPERLINK("https://www.amazon.com/Diablo-DMAPL2380-16-SDS-Plus-2-Cutter/dp/B089LGWH7X/ref=sr_1_3?keywords=Diablo+Tools+DMAPL2290+7%2F16+in.+x+10+in.+x+12+in.+SDS-Plus+2-Cutter&amp;qid=1695174015&amp;sr=8-3", "https://www.amazon.com/Diablo-DMAPL2380-16-SDS-Plus-2-Cutter/dp/B089LGWH7X/ref=sr_1_3?keywords=Diablo+Tools+DMAPL2290+7%2F16+in.+x+10+in.+x+12+in.+SDS-Plus+2-Cutter&amp;qid=1695174015&amp;sr=8-3")</f>
        <v>https://www.amazon.com/Diablo-DMAPL2380-16-SDS-Plus-2-Cutter/dp/B089LGWH7X/ref=sr_1_3?keywords=Diablo+Tools+DMAPL2290+7%2F16+in.+x+10+in.+x+12+in.+SDS-Plus+2-Cutter&amp;qid=1695174015&amp;sr=8-3</v>
      </c>
      <c r="F5456" t="s">
        <v>5862</v>
      </c>
      <c r="G5456" t="e">
        <f ca="1">_xludf.IMAGE("https://edmondsonsupply.com/cdn/shop/files/lgvfccwvf9ikjakt8qfb.webp?v=1686146379")</f>
        <v>#NAME?</v>
      </c>
      <c r="H5456" t="e">
        <f ca="1">_xludf.IMAGE("https://m.media-amazon.com/images/I/6120+2+rRTL._AC_UL320_.jpg")</f>
        <v>#NAME?</v>
      </c>
      <c r="I5456" t="s">
        <v>1140</v>
      </c>
      <c r="J5456">
        <v>13.73</v>
      </c>
      <c r="K5456" s="4">
        <v>0.30759999999999998</v>
      </c>
      <c r="L5456">
        <v>5</v>
      </c>
      <c r="M5456">
        <v>1</v>
      </c>
      <c r="O5456" t="s">
        <v>25</v>
      </c>
      <c r="P5456" t="s">
        <v>5863</v>
      </c>
      <c r="Q5456" t="s">
        <v>5864</v>
      </c>
    </row>
    <row r="5457" spans="1:17" ht="15.5" x14ac:dyDescent="0.35">
      <c r="A5457" s="3" t="str">
        <f>HYPERLINK("https://edmondsonsupply.com/collections/electricians-tools/products/tajima-jpr-265-japan-pull%E2%84%A2-265-16-tpi-blade", "https://edmondsonsupply.com/collections/electricians-tools/products/tajima-jpr-265-japan-pull%E2%84%A2-265-16-tpi-blade")</f>
        <v>https://edmondsonsupply.com/collections/electricians-tools/products/tajima-jpr-265-japan-pull%E2%84%A2-265-16-tpi-blade</v>
      </c>
      <c r="B5457" s="3" t="str">
        <f>HYPERLINK("https://edmondsonsupply.com/products/tajima-jpr-265-japan-pull%e2%84%a2-265-16-tpi-blade", "https://edmondsonsupply.com/products/tajima-jpr-265-japan-pull%e2%84%a2-265-16-tpi-blade")</f>
        <v>https://edmondsonsupply.com/products/tajima-jpr-265-japan-pull%e2%84%a2-265-16-tpi-blade</v>
      </c>
      <c r="C5457" t="s">
        <v>7348</v>
      </c>
      <c r="D5457" t="s">
        <v>7349</v>
      </c>
      <c r="E5457" s="3" t="str">
        <f>HYPERLINK("https://www.amazon.com/TAJIMA-Pull-Stroke-Saw-Quick-Release-Traditional/dp/B004AM7C4G/ref=sr_1_1?keywords=Tajima+JPR-265+Japan+Pull%E2%84%A2+265%2C+16+TPI+Blade&amp;qid=1695174192&amp;sr=8-1", "https://www.amazon.com/TAJIMA-Pull-Stroke-Saw-Quick-Release-Traditional/dp/B004AM7C4G/ref=sr_1_1?keywords=Tajima+JPR-265+Japan+Pull%E2%84%A2+265%2C+16+TPI+Blade&amp;qid=1695174192&amp;sr=8-1")</f>
        <v>https://www.amazon.com/TAJIMA-Pull-Stroke-Saw-Quick-Release-Traditional/dp/B004AM7C4G/ref=sr_1_1?keywords=Tajima+JPR-265+Japan+Pull%E2%84%A2+265%2C+16+TPI+Blade&amp;qid=1695174192&amp;sr=8-1</v>
      </c>
      <c r="F5457" t="s">
        <v>7350</v>
      </c>
      <c r="G5457" t="e">
        <f ca="1">_xludf.IMAGE("https://edmondsonsupply.com/cdn/shop/products/JPR-265.jpg?v=1655818417")</f>
        <v>#NAME?</v>
      </c>
      <c r="H5457" t="e">
        <f ca="1">_xludf.IMAGE("https://m.media-amazon.com/images/I/71D44zhki3L._AC_UL320_.jpg")</f>
        <v>#NAME?</v>
      </c>
      <c r="I5457" t="s">
        <v>7351</v>
      </c>
      <c r="J5457">
        <v>41.6</v>
      </c>
      <c r="K5457" s="4">
        <v>0.30740000000000001</v>
      </c>
      <c r="L5457">
        <v>4.4000000000000004</v>
      </c>
      <c r="M5457">
        <v>23</v>
      </c>
      <c r="O5457" t="s">
        <v>25</v>
      </c>
      <c r="P5457" t="s">
        <v>260</v>
      </c>
      <c r="Q5457" t="s">
        <v>7352</v>
      </c>
    </row>
    <row r="5458" spans="1:17" ht="15.5" x14ac:dyDescent="0.35">
      <c r="A5458"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5458" s="3" t="str">
        <f>HYPERLINK("https://edmondsonsupply.com/products/diablo-tools-d0660x-6-1-2-in-x-60-tooth-ultra-finish-saw-blade", "https://edmondsonsupply.com/products/diablo-tools-d0660x-6-1-2-in-x-60-tooth-ultra-finish-saw-blade")</f>
        <v>https://edmondsonsupply.com/products/diablo-tools-d0660x-6-1-2-in-x-60-tooth-ultra-finish-saw-blade</v>
      </c>
      <c r="C5458" t="s">
        <v>6681</v>
      </c>
      <c r="D5458" t="s">
        <v>7353</v>
      </c>
      <c r="E5458" s="3" t="str">
        <f>HYPERLINK("https://www.amazon.com/Diablo-D0641X-Finishing-Blade-8-Inch/dp/B076T8T71Z/ref=sr_1_4?keywords=Diablo+Tools+D0660X+6-1%2F2+in.+x+60+Tooth+Ultra+Finish+Saw+Blade&amp;qid=1695174055&amp;sr=8-4", "https://www.amazon.com/Diablo-D0641X-Finishing-Blade-8-Inch/dp/B076T8T71Z/ref=sr_1_4?keywords=Diablo+Tools+D0660X+6-1%2F2+in.+x+60+Tooth+Ultra+Finish+Saw+Blade&amp;qid=1695174055&amp;sr=8-4")</f>
        <v>https://www.amazon.com/Diablo-D0641X-Finishing-Blade-8-Inch/dp/B076T8T71Z/ref=sr_1_4?keywords=Diablo+Tools+D0660X+6-1%2F2+in.+x+60+Tooth+Ultra+Finish+Saw+Blade&amp;qid=1695174055&amp;sr=8-4</v>
      </c>
      <c r="F5458" t="s">
        <v>7354</v>
      </c>
      <c r="G5458" t="e">
        <f ca="1">_xludf.IMAGE("https://edmondsonsupply.com/cdn/shop/products/ma8p1gcmhxpwwhymtiim.webp?v=1678983644")</f>
        <v>#NAME?</v>
      </c>
      <c r="H5458" t="e">
        <f ca="1">_xludf.IMAGE("https://m.media-amazon.com/images/I/71ar4+W+y9L._AC_UL320_.jpg")</f>
        <v>#NAME?</v>
      </c>
      <c r="I5458" t="s">
        <v>1716</v>
      </c>
      <c r="J5458">
        <v>29.99</v>
      </c>
      <c r="K5458" s="4">
        <v>0.30559999999999998</v>
      </c>
      <c r="L5458">
        <v>4.8</v>
      </c>
      <c r="M5458">
        <v>82</v>
      </c>
      <c r="O5458" t="s">
        <v>25</v>
      </c>
      <c r="P5458" t="s">
        <v>6682</v>
      </c>
      <c r="Q5458" t="s">
        <v>6683</v>
      </c>
    </row>
    <row r="5459" spans="1:17" ht="15.5" x14ac:dyDescent="0.35">
      <c r="A5459" s="3" t="str">
        <f>HYPERLINK("https://edmondsonsupply.com/collections/electricians-tools/products/diablo-tools-dag", "https://edmondsonsupply.com/collections/electricians-tools/products/diablo-tools-dag")</f>
        <v>https://edmondsonsupply.com/collections/electricians-tools/products/diablo-tools-dag</v>
      </c>
      <c r="B5459" s="3" t="str">
        <f>HYPERLINK("https://edmondsonsupply.com/products/diablo-tools-dag", "https://edmondsonsupply.com/products/diablo-tools-dag")</f>
        <v>https://edmondsonsupply.com/products/diablo-tools-dag</v>
      </c>
      <c r="C5459" t="s">
        <v>6819</v>
      </c>
      <c r="D5459" t="s">
        <v>7355</v>
      </c>
      <c r="E5459" s="3" t="str">
        <f>HYPERLINK("https://www.amazon.com/Diablo-DAG3100-17-1-Auger-Bit/dp/B089KWFBPH/ref=sr_1_10?keywords=Diablo+Tools+DAG3010+3%2F8+in.+x+17-1%2F2+in.+Auger+Bit&amp;qid=1695174114&amp;sr=8-10", "https://www.amazon.com/Diablo-DAG3100-17-1-Auger-Bit/dp/B089KWFBPH/ref=sr_1_10?keywords=Diablo+Tools+DAG3010+3%2F8+in.+x+17-1%2F2+in.+Auger+Bit&amp;qid=1695174114&amp;sr=8-10")</f>
        <v>https://www.amazon.com/Diablo-DAG3100-17-1-Auger-Bit/dp/B089KWFBPH/ref=sr_1_10?keywords=Diablo+Tools+DAG3010+3%2F8+in.+x+17-1%2F2+in.+Auger+Bit&amp;qid=1695174114&amp;sr=8-10</v>
      </c>
      <c r="F5459" t="s">
        <v>7356</v>
      </c>
      <c r="G5459" t="e">
        <f ca="1">_xludf.IMAGE("https://edmondsonsupply.com/cdn/shop/products/xfctdbahz5wx3g461fm8.webp?v=1669991052")</f>
        <v>#NAME?</v>
      </c>
      <c r="H5459" t="e">
        <f ca="1">_xludf.IMAGE("https://m.media-amazon.com/images/I/61Lk5PecX2L._AC_UL320_.jpg")</f>
        <v>#NAME?</v>
      </c>
      <c r="I5459" t="s">
        <v>5147</v>
      </c>
      <c r="J5459">
        <v>22.8</v>
      </c>
      <c r="K5459" s="4">
        <v>0.30509999999999998</v>
      </c>
      <c r="L5459">
        <v>5</v>
      </c>
      <c r="M5459">
        <v>3</v>
      </c>
      <c r="O5459" t="s">
        <v>25</v>
      </c>
      <c r="P5459" t="s">
        <v>6822</v>
      </c>
      <c r="Q5459" t="s">
        <v>6823</v>
      </c>
    </row>
    <row r="5460" spans="1:17" ht="15.5" x14ac:dyDescent="0.35">
      <c r="A5460" s="3" t="str">
        <f>HYPERLINK("https://edmondsonsupply.com/collections/electricians-tools/products/crescent-wiss-m8p-9-4-5-offset-straight-left-and-right-cut-aviation-snips", "https://edmondsonsupply.com/collections/electricians-tools/products/crescent-wiss-m8p-9-4-5-offset-straight-left-and-right-cut-aviation-snips")</f>
        <v>https://edmondsonsupply.com/collections/electricians-tools/products/crescent-wiss-m8p-9-4-5-offset-straight-left-and-right-cut-aviation-snips</v>
      </c>
      <c r="B5460" s="3" t="str">
        <f>HYPERLINK("https://edmondsonsupply.com/products/crescent-wiss-m8p-9-4-5-offset-straight-left-and-right-cut-aviation-snips", "https://edmondsonsupply.com/products/crescent-wiss-m8p-9-4-5-offset-straight-left-and-right-cut-aviation-snips")</f>
        <v>https://edmondsonsupply.com/products/crescent-wiss-m8p-9-4-5-offset-straight-left-and-right-cut-aviation-snips</v>
      </c>
      <c r="C5460" t="s">
        <v>7143</v>
      </c>
      <c r="D5460" t="s">
        <v>7116</v>
      </c>
      <c r="E5460" s="3" t="str">
        <f>HYPERLINK("https://www.amazon.com/Crescent-Wiss-Straight-Aviation-Snips/dp/B093TXCS3X/ref=sr_1_6?keywords=Crescent+Wiss+M8P+9-4%2F5%22+Offset+Straight%2C+Left+and+Right+Cut+Aviation+Snips&amp;qid=1695174053&amp;sr=8-6", "https://www.amazon.com/Crescent-Wiss-Straight-Aviation-Snips/dp/B093TXCS3X/ref=sr_1_6?keywords=Crescent+Wiss+M8P+9-4%2F5%22+Offset+Straight%2C+Left+and+Right+Cut+Aviation+Snips&amp;qid=1695174053&amp;sr=8-6")</f>
        <v>https://www.amazon.com/Crescent-Wiss-Straight-Aviation-Snips/dp/B093TXCS3X/ref=sr_1_6?keywords=Crescent+Wiss+M8P+9-4%2F5%22+Offset+Straight%2C+Left+and+Right+Cut+Aviation+Snips&amp;qid=1695174053&amp;sr=8-6</v>
      </c>
      <c r="F5460" t="s">
        <v>7117</v>
      </c>
      <c r="G5460" t="e">
        <f ca="1">_xludf.IMAGE("https://edmondsonsupply.com/cdn/shop/products/WIS_M8P_IMG_ANG_01.jpg?v=1679676030")</f>
        <v>#NAME?</v>
      </c>
      <c r="H5460" t="e">
        <f ca="1">_xludf.IMAGE("https://m.media-amazon.com/images/I/41SEWCwniGS._AC_UL320_.jpg")</f>
        <v>#NAME?</v>
      </c>
      <c r="I5460" t="s">
        <v>1589</v>
      </c>
      <c r="J5460">
        <v>29.98</v>
      </c>
      <c r="K5460" s="4">
        <v>0.30399999999999999</v>
      </c>
      <c r="L5460">
        <v>5</v>
      </c>
      <c r="M5460">
        <v>1</v>
      </c>
      <c r="O5460" t="s">
        <v>25</v>
      </c>
      <c r="P5460" t="s">
        <v>7144</v>
      </c>
      <c r="Q5460" t="s">
        <v>7145</v>
      </c>
    </row>
    <row r="5461" spans="1:17" ht="15.5" x14ac:dyDescent="0.35">
      <c r="A5461"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5461"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5461" t="s">
        <v>7148</v>
      </c>
      <c r="D5461" t="s">
        <v>7116</v>
      </c>
      <c r="E5461" s="3" t="str">
        <f>HYPERLINK("https://www.amazon.com/Crescent-Wiss-Straight-Aviation-Snips/dp/B093TXCS3X/ref=sr_1_8?keywords=Crescent+Wiss+M7P+9-1%2F4%22+Offset+Straight+and+Right+Cut+Aviation+Snips&amp;qid=1695174041&amp;sr=8-8", "https://www.amazon.com/Crescent-Wiss-Straight-Aviation-Snips/dp/B093TXCS3X/ref=sr_1_8?keywords=Crescent+Wiss+M7P+9-1%2F4%22+Offset+Straight+and+Right+Cut+Aviation+Snips&amp;qid=1695174041&amp;sr=8-8")</f>
        <v>https://www.amazon.com/Crescent-Wiss-Straight-Aviation-Snips/dp/B093TXCS3X/ref=sr_1_8?keywords=Crescent+Wiss+M7P+9-1%2F4%22+Offset+Straight+and+Right+Cut+Aviation+Snips&amp;qid=1695174041&amp;sr=8-8</v>
      </c>
      <c r="F5461" t="s">
        <v>7117</v>
      </c>
      <c r="G5461" t="e">
        <f ca="1">_xludf.IMAGE("https://edmondsonsupply.com/cdn/shop/products/WIS_M7P_IMG_ANG_01.jpg?v=1679669941")</f>
        <v>#NAME?</v>
      </c>
      <c r="H5461" t="e">
        <f ca="1">_xludf.IMAGE("https://m.media-amazon.com/images/I/41SEWCwniGS._AC_UL320_.jpg")</f>
        <v>#NAME?</v>
      </c>
      <c r="I5461" t="s">
        <v>1589</v>
      </c>
      <c r="J5461">
        <v>29.98</v>
      </c>
      <c r="K5461" s="4">
        <v>0.30399999999999999</v>
      </c>
      <c r="L5461">
        <v>5</v>
      </c>
      <c r="M5461">
        <v>1</v>
      </c>
      <c r="O5461" t="s">
        <v>25</v>
      </c>
      <c r="P5461" t="s">
        <v>7144</v>
      </c>
      <c r="Q5461" t="s">
        <v>7149</v>
      </c>
    </row>
    <row r="5462" spans="1:17" ht="15.5" x14ac:dyDescent="0.35">
      <c r="A5462"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5462"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5462" t="s">
        <v>7146</v>
      </c>
      <c r="D5462" t="s">
        <v>7116</v>
      </c>
      <c r="E5462" s="3" t="str">
        <f>HYPERLINK("https://www.amazon.com/Crescent-Wiss-Straight-Aviation-Snips/dp/B093TXCS3X/ref=sr_1_8?keywords=Crescent+Wiss+M6P+9-1%2F4%22+Offset+Straight+and+Left+Cut+Aviation+Snips&amp;qid=1695174043&amp;sr=8-8", "https://www.amazon.com/Crescent-Wiss-Straight-Aviation-Snips/dp/B093TXCS3X/ref=sr_1_8?keywords=Crescent+Wiss+M6P+9-1%2F4%22+Offset+Straight+and+Left+Cut+Aviation+Snips&amp;qid=1695174043&amp;sr=8-8")</f>
        <v>https://www.amazon.com/Crescent-Wiss-Straight-Aviation-Snips/dp/B093TXCS3X/ref=sr_1_8?keywords=Crescent+Wiss+M6P+9-1%2F4%22+Offset+Straight+and+Left+Cut+Aviation+Snips&amp;qid=1695174043&amp;sr=8-8</v>
      </c>
      <c r="F5462" t="s">
        <v>7117</v>
      </c>
      <c r="G5462" t="e">
        <f ca="1">_xludf.IMAGE("https://edmondsonsupply.com/cdn/shop/products/WIS_M6P_IMG_MAIN_01.jpg?v=1679497499")</f>
        <v>#NAME?</v>
      </c>
      <c r="H5462" t="e">
        <f ca="1">_xludf.IMAGE("https://m.media-amazon.com/images/I/41SEWCwniGS._AC_UL320_.jpg")</f>
        <v>#NAME?</v>
      </c>
      <c r="I5462" t="s">
        <v>1589</v>
      </c>
      <c r="J5462">
        <v>29.98</v>
      </c>
      <c r="K5462" s="4">
        <v>0.30399999999999999</v>
      </c>
      <c r="L5462">
        <v>5</v>
      </c>
      <c r="M5462">
        <v>1</v>
      </c>
      <c r="O5462" t="s">
        <v>25</v>
      </c>
      <c r="P5462" t="s">
        <v>7144</v>
      </c>
      <c r="Q5462" t="s">
        <v>7147</v>
      </c>
    </row>
    <row r="5463" spans="1:17" ht="15.5" x14ac:dyDescent="0.35">
      <c r="A5463" s="3" t="str">
        <f>HYPERLINK("https://edmondsonsupply.com/collections/electricians-tools/products/reed-mfg-dhr12-1-2npt-r12-drophead-1-2-npt", "https://edmondsonsupply.com/collections/electricians-tools/products/reed-mfg-dhr12-1-2npt-r12-drophead-1-2-npt")</f>
        <v>https://edmondsonsupply.com/collections/electricians-tools/products/reed-mfg-dhr12-1-2npt-r12-drophead-1-2-npt</v>
      </c>
      <c r="B5463" s="3" t="str">
        <f>HYPERLINK("https://edmondsonsupply.com/products/reed-mfg-dhr12-1-2npt-r12-drophead-1-2-npt", "https://edmondsonsupply.com/products/reed-mfg-dhr12-1-2npt-r12-drophead-1-2-npt")</f>
        <v>https://edmondsonsupply.com/products/reed-mfg-dhr12-1-2npt-r12-drophead-1-2-npt</v>
      </c>
      <c r="C5463" t="s">
        <v>7194</v>
      </c>
      <c r="D5463" t="s">
        <v>4385</v>
      </c>
      <c r="E5463" s="3" t="str">
        <f>HYPERLINK("https://www.amazon.com/Reed-Tool-DHR12-1NPT-Drophead/dp/B000ZGZ0PY/ref=sr_1_fkmr0_2?keywords=Reed+Mfg+DHR12+1%2F2NPT+R12%2B+Drophead%2C+1%2F2%22+NPT&amp;qid=1695174269&amp;sr=8-2-fkmr0", "https://www.amazon.com/Reed-Tool-DHR12-1NPT-Drophead/dp/B000ZGZ0PY/ref=sr_1_fkmr0_2?keywords=Reed+Mfg+DHR12+1%2F2NPT+R12%2B+Drophead%2C+1%2F2%22+NPT&amp;qid=1695174269&amp;sr=8-2-fkmr0")</f>
        <v>https://www.amazon.com/Reed-Tool-DHR12-1NPT-Drophead/dp/B000ZGZ0PY/ref=sr_1_fkmr0_2?keywords=Reed+Mfg+DHR12+1%2F2NPT+R12%2B+Drophead%2C+1%2F2%22+NPT&amp;qid=1695174269&amp;sr=8-2-fkmr0</v>
      </c>
      <c r="F5463" t="s">
        <v>4386</v>
      </c>
      <c r="G5463" t="e">
        <f ca="1">_xludf.IMAGE("https://edmondsonsupply.com/cdn/shop/products/05626-DHR12-1-2NPT-RGB.jpg?v=1633031013")</f>
        <v>#NAME?</v>
      </c>
      <c r="H5463" t="e">
        <f ca="1">_xludf.IMAGE("https://m.media-amazon.com/images/I/61ePWvUMWkL._AC_UY218_.jpg")</f>
        <v>#NAME?</v>
      </c>
      <c r="I5463" t="s">
        <v>7197</v>
      </c>
      <c r="J5463">
        <v>157.93</v>
      </c>
      <c r="K5463" s="4">
        <v>0.30349999999999999</v>
      </c>
      <c r="L5463">
        <v>1</v>
      </c>
      <c r="M5463">
        <v>1</v>
      </c>
      <c r="O5463" t="s">
        <v>25</v>
      </c>
      <c r="P5463" t="s">
        <v>7198</v>
      </c>
      <c r="Q5463" t="s">
        <v>7199</v>
      </c>
    </row>
    <row r="5464" spans="1:17" ht="15.5" x14ac:dyDescent="0.35">
      <c r="A5464"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5464"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5464" t="s">
        <v>5852</v>
      </c>
      <c r="D5464" t="s">
        <v>5865</v>
      </c>
      <c r="E5464" s="3" t="str">
        <f>HYPERLINK("https://www.amazon.com/Diablo-Freud-DMAPL4270-SDS-Plus-4-Cutter/dp/B089KXBGLM/ref=sr_1_10?keywords=Diablo+Tools+DMAPL4250+3%2F4+in.+x+8+in.+x+10+in.+Rebar+Demon%E2%84%A2+SDS-Plus+4-Cutter+Full+Carbide+Head+Hammer+Drill+Bit&amp;qid=1695174039&amp;sr=8-10", "https://www.amazon.com/Diablo-Freud-DMAPL4270-SDS-Plus-4-Cutter/dp/B089KXBGLM/ref=sr_1_10?keywords=Diablo+Tools+DMAPL4250+3%2F4+in.+x+8+in.+x+10+in.+Rebar+Demon%E2%84%A2+SDS-Plus+4-Cutter+Full+Carbide+Head+Hammer+Drill+Bit&amp;qid=1695174039&amp;sr=8-10")</f>
        <v>https://www.amazon.com/Diablo-Freud-DMAPL4270-SDS-Plus-4-Cutter/dp/B089KXBGLM/ref=sr_1_10?keywords=Diablo+Tools+DMAPL4250+3%2F4+in.+x+8+in.+x+10+in.+Rebar+Demon%E2%84%A2+SDS-Plus+4-Cutter+Full+Carbide+Head+Hammer+Drill+Bit&amp;qid=1695174039&amp;sr=8-10</v>
      </c>
      <c r="F5464" t="s">
        <v>5866</v>
      </c>
      <c r="G5464" t="e">
        <f ca="1">_xludf.IMAGE("https://edmondsonsupply.com/cdn/shop/files/rltcbi253wmfv6otmtz6.webp?v=1686576913")</f>
        <v>#NAME?</v>
      </c>
      <c r="H5464" t="e">
        <f ca="1">_xludf.IMAGE("https://m.media-amazon.com/images/I/611A6sphG9L._AC_UL320_.jpg")</f>
        <v>#NAME?</v>
      </c>
      <c r="I5464" t="s">
        <v>5853</v>
      </c>
      <c r="J5464">
        <v>31.85</v>
      </c>
      <c r="K5464" s="4">
        <v>0.30159999999999998</v>
      </c>
      <c r="L5464">
        <v>5</v>
      </c>
      <c r="M5464">
        <v>2</v>
      </c>
      <c r="O5464" t="s">
        <v>25</v>
      </c>
      <c r="P5464" t="s">
        <v>5854</v>
      </c>
      <c r="Q5464" t="s">
        <v>5855</v>
      </c>
    </row>
    <row r="5465" spans="1:17" ht="15.5" x14ac:dyDescent="0.35">
      <c r="A5465" s="3" t="str">
        <f>HYPERLINK("https://edmondsonsupply.com/collections/electricians-tools/products/klein-tools-60492-lightweight-knee-pad-sleeves-m-l", "https://edmondsonsupply.com/collections/electricians-tools/products/klein-tools-60492-lightweight-knee-pad-sleeves-m-l")</f>
        <v>https://edmondsonsupply.com/collections/electricians-tools/products/klein-tools-60492-lightweight-knee-pad-sleeves-m-l</v>
      </c>
      <c r="B5465" s="3" t="str">
        <f>HYPERLINK("https://edmondsonsupply.com/products/klein-tools-60492-lightweight-knee-pad-sleeves-m-l", "https://edmondsonsupply.com/products/klein-tools-60492-lightweight-knee-pad-sleeves-m-l")</f>
        <v>https://edmondsonsupply.com/products/klein-tools-60492-lightweight-knee-pad-sleeves-m-l</v>
      </c>
      <c r="C5465" t="s">
        <v>890</v>
      </c>
      <c r="D5465" t="s">
        <v>1014</v>
      </c>
      <c r="E5465" s="3" t="str">
        <f>HYPERLINK("https://www.amazon.com/Lightweight-Breathable-Slip-Resistant-Klein-Tools/dp/B0B6216HMW/ref=sr_1_1?keywords=Klein+Tools+60492+Lightweight+Knee+Pad+Sleeves%2C+M%2FL&amp;qid=1695174171&amp;sr=8-1", "https://www.amazon.com/Lightweight-Breathable-Slip-Resistant-Klein-Tools/dp/B0B6216HMW/ref=sr_1_1?keywords=Klein+Tools+60492+Lightweight+Knee+Pad+Sleeves%2C+M%2FL&amp;qid=1695174171&amp;sr=8-1")</f>
        <v>https://www.amazon.com/Lightweight-Breathable-Slip-Resistant-Klein-Tools/dp/B0B6216HMW/ref=sr_1_1?keywords=Klein+Tools+60492+Lightweight+Knee+Pad+Sleeves%2C+M%2FL&amp;qid=1695174171&amp;sr=8-1</v>
      </c>
      <c r="F5465" t="s">
        <v>1015</v>
      </c>
      <c r="G5465" t="e">
        <f ca="1">_xludf.IMAGE("https://edmondsonsupply.com/cdn/shop/products/60492_60592_photo.jpg?v=1663255234")</f>
        <v>#NAME?</v>
      </c>
      <c r="H5465" t="e">
        <f ca="1">_xludf.IMAGE("https://m.media-amazon.com/images/I/61pjcWSwQcL._AC_UL320_.jpg")</f>
        <v>#NAME?</v>
      </c>
      <c r="I5465" t="s">
        <v>893</v>
      </c>
      <c r="J5465">
        <v>25.99</v>
      </c>
      <c r="K5465" s="4">
        <v>0.30149999999999999</v>
      </c>
      <c r="L5465">
        <v>4.5</v>
      </c>
      <c r="M5465">
        <v>192</v>
      </c>
      <c r="O5465" t="s">
        <v>25</v>
      </c>
      <c r="P5465" t="s">
        <v>894</v>
      </c>
      <c r="Q5465" t="s">
        <v>895</v>
      </c>
    </row>
    <row r="5466" spans="1:17" ht="15.5" x14ac:dyDescent="0.35">
      <c r="A5466"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5466" s="3" t="str">
        <f>HYPERLINK("https://edmondsonsupply.com/products/klein-tools-rt110-receptacle-tester", "https://edmondsonsupply.com/products/klein-tools-rt110-receptacle-tester")</f>
        <v>https://edmondsonsupply.com/products/klein-tools-rt110-receptacle-tester</v>
      </c>
      <c r="C5466" t="s">
        <v>6021</v>
      </c>
      <c r="D5466" t="s">
        <v>7357</v>
      </c>
      <c r="E5466" s="3" t="str">
        <f>HYPERLINK("https://www.amazon.com/Receptacle-Tester-Klein-Tools-RT210/dp/B01AKX8L0M/ref=sr_1_8?keywords=Klein+Tools+RT110+Receptacle+Tester&amp;qid=1695174267&amp;sr=8-8", "https://www.amazon.com/Receptacle-Tester-Klein-Tools-RT210/dp/B01AKX8L0M/ref=sr_1_8?keywords=Klein+Tools+RT110+Receptacle+Tester&amp;qid=1695174267&amp;sr=8-8")</f>
        <v>https://www.amazon.com/Receptacle-Tester-Klein-Tools-RT210/dp/B01AKX8L0M/ref=sr_1_8?keywords=Klein+Tools+RT110+Receptacle+Tester&amp;qid=1695174267&amp;sr=8-8</v>
      </c>
      <c r="F5466" t="s">
        <v>7358</v>
      </c>
      <c r="G5466" t="e">
        <f ca="1">_xludf.IMAGE("https://edmondsonsupply.com/cdn/shop/products/rt110.jpg?v=1633031036")</f>
        <v>#NAME?</v>
      </c>
      <c r="H5466" t="e">
        <f ca="1">_xludf.IMAGE("https://m.media-amazon.com/images/I/5143f577xkL._AC_UL320_.jpg")</f>
        <v>#NAME?</v>
      </c>
      <c r="I5466" t="s">
        <v>1427</v>
      </c>
      <c r="J5466">
        <v>12.97</v>
      </c>
      <c r="K5466" s="4">
        <v>0.3009</v>
      </c>
      <c r="L5466">
        <v>4.8</v>
      </c>
      <c r="M5466">
        <v>7922</v>
      </c>
      <c r="O5466" t="s">
        <v>25</v>
      </c>
      <c r="P5466" t="s">
        <v>6024</v>
      </c>
      <c r="Q5466" t="s">
        <v>6025</v>
      </c>
    </row>
    <row r="5467" spans="1:17" ht="15.5" x14ac:dyDescent="0.35">
      <c r="A5467"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467"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467" t="s">
        <v>6995</v>
      </c>
      <c r="D5467" t="s">
        <v>7359</v>
      </c>
      <c r="E5467" s="3" t="str">
        <f>HYPERLINK("https://www.amazon.com/Klein-Tools-81021-Electrical-Non-Contact/dp/B09N5598J2/ref=sr_1_6?keywords=Klein+Tools+69149P+Test+Kit+with+Multimeter%2C+Non-Contact+Volt+Tester%2C+Receptacle+Tester&amp;qid=1695174288&amp;sr=8-6", "https://www.amazon.com/Klein-Tools-81021-Electrical-Non-Contact/dp/B09N5598J2/ref=sr_1_6?keywords=Klein+Tools+69149P+Test+Kit+with+Multimeter%2C+Non-Contact+Volt+Tester%2C+Receptacle+Tester&amp;qid=1695174288&amp;sr=8-6")</f>
        <v>https://www.amazon.com/Klein-Tools-81021-Electrical-Non-Contact/dp/B09N5598J2/ref=sr_1_6?keywords=Klein+Tools+69149P+Test+Kit+with+Multimeter%2C+Non-Contact+Volt+Tester%2C+Receptacle+Tester&amp;qid=1695174288&amp;sr=8-6</v>
      </c>
      <c r="F5467" t="s">
        <v>7360</v>
      </c>
      <c r="G5467" t="e">
        <f ca="1">_xludf.IMAGE("https://edmondsonsupply.com/cdn/shop/products/69149p.jpg?v=1664479017")</f>
        <v>#NAME?</v>
      </c>
      <c r="H5467" t="e">
        <f ca="1">_xludf.IMAGE("https://m.media-amazon.com/images/I/61J5iWONbvL._AC_UL320_.jpg")</f>
        <v>#NAME?</v>
      </c>
      <c r="I5467" t="s">
        <v>246</v>
      </c>
      <c r="J5467">
        <v>51.99</v>
      </c>
      <c r="K5467" s="4">
        <v>0.30070000000000002</v>
      </c>
      <c r="L5467">
        <v>4.5999999999999996</v>
      </c>
      <c r="M5467">
        <v>40</v>
      </c>
      <c r="O5467" t="s">
        <v>25</v>
      </c>
      <c r="P5467" t="s">
        <v>6996</v>
      </c>
      <c r="Q5467" t="s">
        <v>6997</v>
      </c>
    </row>
    <row r="5468" spans="1:17" ht="15.5" x14ac:dyDescent="0.35">
      <c r="A5468" s="3" t="str">
        <f>HYPERLINK("https://edmondsonsupply.com/collections/electricians-tools/products/milwaukee-48-22-1505-fastback%E2%84%A2-6in1-folding-utility-knife", "https://edmondsonsupply.com/collections/electricians-tools/products/milwaukee-48-22-1505-fastback%E2%84%A2-6in1-folding-utility-knife")</f>
        <v>https://edmondsonsupply.com/collections/electricians-tools/products/milwaukee-48-22-1505-fastback%E2%84%A2-6in1-folding-utility-knife</v>
      </c>
      <c r="B5468" s="3" t="str">
        <f>HYPERLINK("https://edmondsonsupply.com/products/milwaukee-48-22-1505-fastback%e2%84%a2-6in1-folding-utility-knife", "https://edmondsonsupply.com/products/milwaukee-48-22-1505-fastback%e2%84%a2-6in1-folding-utility-knife")</f>
        <v>https://edmondsonsupply.com/products/milwaukee-48-22-1505-fastback%e2%84%a2-6in1-folding-utility-knife</v>
      </c>
      <c r="C5468" t="s">
        <v>3551</v>
      </c>
      <c r="D5468" t="s">
        <v>1942</v>
      </c>
      <c r="E5468" s="3" t="str">
        <f>HYPERLINK("https://www.amazon.com/Milwaukee-48-22-1505-FastbackTM-Folding-Utility/dp/B0C69TGH9K/ref=sr_1_1?keywords=Milwaukee+48-22-1505+FASTBACK%E2%84%A2+6IN1+Folding+Utility+Knife&amp;qid=1695173908&amp;sr=8-1", "https://www.amazon.com/Milwaukee-48-22-1505-FastbackTM-Folding-Utility/dp/B0C69TGH9K/ref=sr_1_1?keywords=Milwaukee+48-22-1505+FASTBACK%E2%84%A2+6IN1+Folding+Utility+Knife&amp;qid=1695173908&amp;sr=8-1")</f>
        <v>https://www.amazon.com/Milwaukee-48-22-1505-FastbackTM-Folding-Utility/dp/B0C69TGH9K/ref=sr_1_1?keywords=Milwaukee+48-22-1505+FASTBACK%E2%84%A2+6IN1+Folding+Utility+Knife&amp;qid=1695173908&amp;sr=8-1</v>
      </c>
      <c r="F5468" t="s">
        <v>1943</v>
      </c>
      <c r="G5468" t="e">
        <f ca="1">_xludf.IMAGE("https://edmondsonsupply.com/cdn/shop/products/48-22-1505_3.png?v=1675353919")</f>
        <v>#NAME?</v>
      </c>
      <c r="H5468" t="e">
        <f ca="1">_xludf.IMAGE("https://m.media-amazon.com/images/I/41ZUsUsHByL._AC_UL320_.jpg")</f>
        <v>#NAME?</v>
      </c>
      <c r="I5468" t="s">
        <v>577</v>
      </c>
      <c r="J5468">
        <v>26</v>
      </c>
      <c r="K5468" s="4">
        <v>0.30070000000000002</v>
      </c>
      <c r="L5468">
        <v>4.7</v>
      </c>
      <c r="M5468">
        <v>4</v>
      </c>
      <c r="O5468" t="s">
        <v>25</v>
      </c>
      <c r="P5468" t="s">
        <v>1159</v>
      </c>
      <c r="Q5468" t="s">
        <v>3552</v>
      </c>
    </row>
    <row r="5469" spans="1:17" ht="15.5" x14ac:dyDescent="0.35">
      <c r="A5469"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5469" s="3" t="str">
        <f>HYPERLINK("https://edmondsonsupply.com/products/milwaukee-49-90-1900-hepa-filter", "https://edmondsonsupply.com/products/milwaukee-49-90-1900-hepa-filter")</f>
        <v>https://edmondsonsupply.com/products/milwaukee-49-90-1900-hepa-filter</v>
      </c>
      <c r="C5469" t="s">
        <v>5831</v>
      </c>
      <c r="D5469" t="s">
        <v>5867</v>
      </c>
      <c r="E5469" s="3" t="str">
        <f>HYPERLINK("https://www.amazon.com/PUREBURG-Replacement-49-90-1900-Compatible-Gallon-0960-20/dp/B09TQMH51M/ref=sr_1_7?keywords=Milwaukee+49-90-1900+HEPA+Filter&amp;qid=1695174010&amp;sr=8-7", "https://www.amazon.com/PUREBURG-Replacement-49-90-1900-Compatible-Gallon-0960-20/dp/B09TQMH51M/ref=sr_1_7?keywords=Milwaukee+49-90-1900+HEPA+Filter&amp;qid=1695174010&amp;sr=8-7")</f>
        <v>https://www.amazon.com/PUREBURG-Replacement-49-90-1900-Compatible-Gallon-0960-20/dp/B09TQMH51M/ref=sr_1_7?keywords=Milwaukee+49-90-1900+HEPA+Filter&amp;qid=1695174010&amp;sr=8-7</v>
      </c>
      <c r="F5469" t="s">
        <v>5868</v>
      </c>
      <c r="G5469" t="e">
        <f ca="1">_xludf.IMAGE("https://edmondsonsupply.com/cdn/shop/files/49-90-1900_1.png?v=1686234774")</f>
        <v>#NAME?</v>
      </c>
      <c r="H5469" t="e">
        <f ca="1">_xludf.IMAGE("https://m.media-amazon.com/images/I/61QaPzKVdpL._AC_UL320_.jpg")</f>
        <v>#NAME?</v>
      </c>
      <c r="I5469" t="s">
        <v>2170</v>
      </c>
      <c r="J5469">
        <v>32.49</v>
      </c>
      <c r="K5469" s="4">
        <v>0.30059999999999998</v>
      </c>
      <c r="L5469">
        <v>4.5999999999999996</v>
      </c>
      <c r="M5469">
        <v>21</v>
      </c>
      <c r="O5469" t="s">
        <v>25</v>
      </c>
      <c r="P5469" t="s">
        <v>2470</v>
      </c>
      <c r="Q5469" t="s">
        <v>5834</v>
      </c>
    </row>
    <row r="5470" spans="1:17" ht="15.5" x14ac:dyDescent="0.35">
      <c r="A5470"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5470"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5470" t="s">
        <v>3227</v>
      </c>
      <c r="D5470" t="s">
        <v>3553</v>
      </c>
      <c r="E5470" s="3" t="str">
        <f>HYPERLINK("https://www.amazon.com/Klein-Tools-80067-Thermometer-Non-Contact/dp/B0B11NG8XM/ref=sr_1_8?keywords=Klein+Tools+MM320KIT+Digital+Multimeter+Electrical+Test+Kit&amp;qid=1695173860&amp;sr=8-8", "https://www.amazon.com/Klein-Tools-80067-Thermometer-Non-Contact/dp/B0B11NG8XM/ref=sr_1_8?keywords=Klein+Tools+MM320KIT+Digital+Multimeter+Electrical+Test+Kit&amp;qid=1695173860&amp;sr=8-8")</f>
        <v>https://www.amazon.com/Klein-Tools-80067-Thermometer-Non-Contact/dp/B0B11NG8XM/ref=sr_1_8?keywords=Klein+Tools+MM320KIT+Digital+Multimeter+Electrical+Test+Kit&amp;qid=1695173860&amp;sr=8-8</v>
      </c>
      <c r="F5470" t="s">
        <v>3554</v>
      </c>
      <c r="G5470" t="e">
        <f ca="1">_xludf.IMAGE("https://edmondsonsupply.com/cdn/shop/products/mm320kit_photo.jpg?v=1660756496")</f>
        <v>#NAME?</v>
      </c>
      <c r="H5470" t="e">
        <f ca="1">_xludf.IMAGE("https://m.media-amazon.com/images/I/61M3CphXgvL._AC_UL320_.jpg")</f>
        <v>#NAME?</v>
      </c>
      <c r="I5470" t="s">
        <v>380</v>
      </c>
      <c r="J5470">
        <v>64.989999999999995</v>
      </c>
      <c r="K5470" s="4">
        <v>0.30059999999999998</v>
      </c>
      <c r="L5470">
        <v>4.5</v>
      </c>
      <c r="M5470">
        <v>29</v>
      </c>
      <c r="O5470" t="s">
        <v>25</v>
      </c>
      <c r="P5470" t="s">
        <v>3230</v>
      </c>
      <c r="Q5470" t="s">
        <v>3231</v>
      </c>
    </row>
    <row r="5471" spans="1:17" ht="15.5" x14ac:dyDescent="0.35">
      <c r="A5471"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5471" s="3" t="str">
        <f>HYPERLINK("https://edmondsonsupply.com/products/milwaukee-49-56-0505-1-4-diamond-max%e2%84%a2-hole-saw", "https://edmondsonsupply.com/products/milwaukee-49-56-0505-1-4-diamond-max%e2%84%a2-hole-saw")</f>
        <v>https://edmondsonsupply.com/products/milwaukee-49-56-0505-1-4-diamond-max%e2%84%a2-hole-saw</v>
      </c>
      <c r="C5471" t="s">
        <v>6614</v>
      </c>
      <c r="D5471" t="s">
        <v>7361</v>
      </c>
      <c r="E5471" s="3" t="str">
        <f>HYPERLINK("https://www.amazon.com/Milwaukee-49-56-0511-Diamond-One-Piece-Hole/dp/B00L2PBUS8/ref=sr_1_7?keywords=Milwaukee+49-56-0505+1%2F4%22+Diamond+MAX%E2%84%A2+Hole+Saw&amp;qid=1695174028&amp;sr=8-7", "https://www.amazon.com/Milwaukee-49-56-0511-Diamond-One-Piece-Hole/dp/B00L2PBUS8/ref=sr_1_7?keywords=Milwaukee+49-56-0505+1%2F4%22+Diamond+MAX%E2%84%A2+Hole+Saw&amp;qid=1695174028&amp;sr=8-7")</f>
        <v>https://www.amazon.com/Milwaukee-49-56-0511-Diamond-One-Piece-Hole/dp/B00L2PBUS8/ref=sr_1_7?keywords=Milwaukee+49-56-0505+1%2F4%22+Diamond+MAX%E2%84%A2+Hole+Saw&amp;qid=1695174028&amp;sr=8-7</v>
      </c>
      <c r="F5471" t="s">
        <v>7362</v>
      </c>
      <c r="G5471" t="e">
        <f ca="1">_xludf.IMAGE("https://edmondsonsupply.com/cdn/shop/products/49-56-0507_1.png?v=1680111300")</f>
        <v>#NAME?</v>
      </c>
      <c r="H5471" t="e">
        <f ca="1">_xludf.IMAGE("https://m.media-amazon.com/images/I/61m0il20UYL._AC_UL320_.jpg")</f>
        <v>#NAME?</v>
      </c>
      <c r="I5471" t="s">
        <v>577</v>
      </c>
      <c r="J5471">
        <v>25.99</v>
      </c>
      <c r="K5471" s="4">
        <v>0.30020000000000002</v>
      </c>
      <c r="L5471">
        <v>4.7</v>
      </c>
      <c r="M5471">
        <v>36</v>
      </c>
      <c r="O5471" t="s">
        <v>25</v>
      </c>
      <c r="P5471" t="s">
        <v>6617</v>
      </c>
      <c r="Q5471" t="s">
        <v>6618</v>
      </c>
    </row>
    <row r="5472" spans="1:17" ht="15.5" x14ac:dyDescent="0.35">
      <c r="A5472" s="3" t="str">
        <f>HYPERLINK("https://edmondsonsupply.com/collections/electricians-tools/products/tajima-gkb-g210-g-saw%E2%84%A2-replacement-blade", "https://edmondsonsupply.com/collections/electricians-tools/products/tajima-gkb-g210-g-saw%E2%84%A2-replacement-blade")</f>
        <v>https://edmondsonsupply.com/collections/electricians-tools/products/tajima-gkb-g210-g-saw%E2%84%A2-replacement-blade</v>
      </c>
      <c r="B5472" s="3" t="str">
        <f>HYPERLINK("https://edmondsonsupply.com/products/tajima-gkb-g210-g-saw%e2%84%a2-replacement-blade", "https://edmondsonsupply.com/products/tajima-gkb-g210-g-saw%e2%84%a2-replacement-blade")</f>
        <v>https://edmondsonsupply.com/products/tajima-gkb-g210-g-saw%e2%84%a2-replacement-blade</v>
      </c>
      <c r="C5472" t="s">
        <v>7363</v>
      </c>
      <c r="D5472" t="s">
        <v>7364</v>
      </c>
      <c r="E5472" s="3" t="str">
        <f>HYPERLINK("https://www.amazon.com/Tajima-GKBG210-GKB-G210-210/dp/B002FB73U2/ref=sr_1_2?keywords=Tajima+GKB-G210+G-Saw%E2%84%A2+Replacement+Blade&amp;qid=1695174198&amp;sr=8-2", "https://www.amazon.com/Tajima-GKBG210-GKB-G210-210/dp/B002FB73U2/ref=sr_1_2?keywords=Tajima+GKB-G210+G-Saw%E2%84%A2+Replacement+Blade&amp;qid=1695174198&amp;sr=8-2")</f>
        <v>https://www.amazon.com/Tajima-GKBG210-GKB-G210-210/dp/B002FB73U2/ref=sr_1_2?keywords=Tajima+GKB-G210+G-Saw%E2%84%A2+Replacement+Blade&amp;qid=1695174198&amp;sr=8-2</v>
      </c>
      <c r="F5472" t="s">
        <v>7365</v>
      </c>
      <c r="G5472" t="e">
        <f ca="1">_xludf.IMAGE("https://edmondsonsupply.com/cdn/shop/products/GKB-210.jpg?v=1655298927")</f>
        <v>#NAME?</v>
      </c>
      <c r="H5472" t="e">
        <f ca="1">_xludf.IMAGE("https://m.media-amazon.com/images/I/31VmD2qVw5L._AC_UL320_.jpg")</f>
        <v>#NAME?</v>
      </c>
      <c r="I5472" t="s">
        <v>7366</v>
      </c>
      <c r="J5472">
        <v>16.489999999999998</v>
      </c>
      <c r="K5472" s="4">
        <v>0.2994</v>
      </c>
      <c r="L5472">
        <v>4.4000000000000004</v>
      </c>
      <c r="M5472">
        <v>173</v>
      </c>
      <c r="O5472" t="s">
        <v>25</v>
      </c>
      <c r="P5472" t="s">
        <v>7366</v>
      </c>
      <c r="Q5472" t="s">
        <v>7367</v>
      </c>
    </row>
    <row r="5473" spans="1:17" ht="15.5" x14ac:dyDescent="0.35">
      <c r="A5473" s="3" t="str">
        <f>HYPERLINK("https://edmondsonsupply.com/collections/electricians-tools/products/klein-tools-60346-hard-hat-premium-karbn%E2%84%A2-pattern-non-vented-full-brim-class-e-lamp", "https://edmondsonsupply.com/collections/electricians-tools/products/klein-tools-60346-hard-hat-premium-karbn%E2%84%A2-pattern-non-vented-full-brim-class-e-lamp")</f>
        <v>https://edmondsonsupply.com/collections/electricians-tools/products/klein-tools-60346-hard-hat-premium-karbn%E2%84%A2-pattern-non-vented-full-brim-class-e-lamp</v>
      </c>
      <c r="B5473"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5473" t="s">
        <v>1020</v>
      </c>
      <c r="D5473" t="s">
        <v>903</v>
      </c>
      <c r="E5473" s="3" t="str">
        <f>HYPERLINK("https://www.amazon.com/Klein-Tools-60347-Rechargeable-Sweat-Wicking/dp/B08SYM9K52/ref=sr_1_4?keywords=Klein+Tools+60346+Hard+Hat%2C+Premium+KARBN%E2%84%A2+Pattern%2C+Non-Vented+Full+Brim%2C+Class+E%2C+Lamp&amp;qid=1695173886&amp;sr=8-4", "https://www.amazon.com/Klein-Tools-60347-Rechargeable-Sweat-Wicking/dp/B08SYM9K52/ref=sr_1_4?keywords=Klein+Tools+60346+Hard+Hat%2C+Premium+KARBN%E2%84%A2+Pattern%2C+Non-Vented+Full+Brim%2C+Class+E%2C+Lamp&amp;qid=1695173886&amp;sr=8-4")</f>
        <v>https://www.amazon.com/Klein-Tools-60347-Rechargeable-Sweat-Wicking/dp/B08SYM9K52/ref=sr_1_4?keywords=Klein+Tools+60346+Hard+Hat%2C+Premium+KARBN%E2%84%A2+Pattern%2C+Non-Vented+Full+Brim%2C+Class+E%2C+Lamp&amp;qid=1695173886&amp;sr=8-4</v>
      </c>
      <c r="F5473" t="s">
        <v>904</v>
      </c>
      <c r="G5473" t="e">
        <f ca="1">_xludf.IMAGE("https://edmondsonsupply.com/cdn/shop/products/60346.jpg?v=1660168162")</f>
        <v>#NAME?</v>
      </c>
      <c r="H5473" t="e">
        <f ca="1">_xludf.IMAGE("https://m.media-amazon.com/images/I/61pIVbITWkL._AC_UL320_.jpg")</f>
        <v>#NAME?</v>
      </c>
      <c r="I5473" t="s">
        <v>315</v>
      </c>
      <c r="J5473">
        <v>116.88</v>
      </c>
      <c r="K5473" s="4">
        <v>0.29880000000000001</v>
      </c>
      <c r="L5473">
        <v>4.7</v>
      </c>
      <c r="M5473">
        <v>2542</v>
      </c>
      <c r="O5473" t="s">
        <v>25</v>
      </c>
      <c r="P5473" t="s">
        <v>917</v>
      </c>
      <c r="Q5473" t="s">
        <v>1021</v>
      </c>
    </row>
    <row r="5474" spans="1:17" ht="15.5" x14ac:dyDescent="0.35">
      <c r="A5474" s="3" t="str">
        <f>HYPERLINK("https://edmondsonsupply.com/collections/electricians-tools/products/klein-tools-60347-hard-hat-premium-karbn%E2%84%A2-pattern-vented-full-brim-class-c-lamp", "https://edmondsonsupply.com/collections/electricians-tools/products/klein-tools-60347-hard-hat-premium-karbn%E2%84%A2-pattern-vented-full-brim-class-c-lamp")</f>
        <v>https://edmondsonsupply.com/collections/electricians-tools/products/klein-tools-60347-hard-hat-premium-karbn%E2%84%A2-pattern-vented-full-brim-class-c-lamp</v>
      </c>
      <c r="B5474" s="3" t="str">
        <f>HYPERLINK("https://edmondsonsupply.com/products/klein-tools-60347-hard-hat-premium-karbn%e2%84%a2-pattern-vented-full-brim-class-c-lamp", "https://edmondsonsupply.com/products/klein-tools-60347-hard-hat-premium-karbn%e2%84%a2-pattern-vented-full-brim-class-c-lamp")</f>
        <v>https://edmondsonsupply.com/products/klein-tools-60347-hard-hat-premium-karbn%e2%84%a2-pattern-vented-full-brim-class-c-lamp</v>
      </c>
      <c r="C5474" t="s">
        <v>914</v>
      </c>
      <c r="D5474" t="s">
        <v>903</v>
      </c>
      <c r="E5474" s="3" t="str">
        <f>HYPERLINK("https://www.amazon.com/Klein-Tools-60347-Rechargeable-Sweat-Wicking/dp/B08SYM9K52/ref=sr_1_1?keywords=Klein+Tools+60347+Hard+Hat%2C+Premium+KARBN%E2%84%A2+Pattern%2C+Vented+Full+Brim%2C+Class+C%2C+Lamp&amp;qid=1695174177&amp;sr=8-1", "https://www.amazon.com/Klein-Tools-60347-Rechargeable-Sweat-Wicking/dp/B08SYM9K52/ref=sr_1_1?keywords=Klein+Tools+60347+Hard+Hat%2C+Premium+KARBN%E2%84%A2+Pattern%2C+Vented+Full+Brim%2C+Class+C%2C+Lamp&amp;qid=1695174177&amp;sr=8-1")</f>
        <v>https://www.amazon.com/Klein-Tools-60347-Rechargeable-Sweat-Wicking/dp/B08SYM9K52/ref=sr_1_1?keywords=Klein+Tools+60347+Hard+Hat%2C+Premium+KARBN%E2%84%A2+Pattern%2C+Vented+Full+Brim%2C+Class+C%2C+Lamp&amp;qid=1695174177&amp;sr=8-1</v>
      </c>
      <c r="F5474" t="s">
        <v>904</v>
      </c>
      <c r="G5474" t="e">
        <f ca="1">_xludf.IMAGE("https://edmondsonsupply.com/cdn/shop/products/60347.jpg?v=1659454043")</f>
        <v>#NAME?</v>
      </c>
      <c r="H5474" t="e">
        <f ca="1">_xludf.IMAGE("https://m.media-amazon.com/images/I/61pIVbITWkL._AC_UL320_.jpg")</f>
        <v>#NAME?</v>
      </c>
      <c r="I5474" t="s">
        <v>315</v>
      </c>
      <c r="J5474">
        <v>116.88</v>
      </c>
      <c r="K5474" s="4">
        <v>0.29880000000000001</v>
      </c>
      <c r="L5474">
        <v>4.7</v>
      </c>
      <c r="M5474">
        <v>2542</v>
      </c>
      <c r="O5474" t="s">
        <v>171</v>
      </c>
      <c r="P5474" t="s">
        <v>917</v>
      </c>
      <c r="Q5474" t="s">
        <v>918</v>
      </c>
    </row>
    <row r="5475" spans="1:17" ht="15.5" x14ac:dyDescent="0.35">
      <c r="A5475"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5475" s="3" t="str">
        <f>HYPERLINK("https://edmondsonsupply.com/products/diablo-tools-dag3090-7-8-in-x-17-1-2-in-auger-bit", "https://edmondsonsupply.com/products/diablo-tools-dag3090-7-8-in-x-17-1-2-in-auger-bit")</f>
        <v>https://edmondsonsupply.com/products/diablo-tools-dag3090-7-8-in-x-17-1-2-in-auger-bit</v>
      </c>
      <c r="C5475" t="s">
        <v>7269</v>
      </c>
      <c r="D5475" t="s">
        <v>7368</v>
      </c>
      <c r="E5475" s="3" t="str">
        <f>HYPERLINK("https://www.amazon.com/BOSCH-NKLT14-17-1-Daredevil-Auger/dp/B003BIFMW4/ref=sr_1_10?keywords=Diablo+Tools+DAG3090+7%2F8+in.+x+17-1%2F2+in.+Auger+Bit&amp;qid=1695174065&amp;sr=8-10", "https://www.amazon.com/BOSCH-NKLT14-17-1-Daredevil-Auger/dp/B003BIFMW4/ref=sr_1_10?keywords=Diablo+Tools+DAG3090+7%2F8+in.+x+17-1%2F2+in.+Auger+Bit&amp;qid=1695174065&amp;sr=8-10")</f>
        <v>https://www.amazon.com/BOSCH-NKLT14-17-1-Daredevil-Auger/dp/B003BIFMW4/ref=sr_1_10?keywords=Diablo+Tools+DAG3090+7%2F8+in.+x+17-1%2F2+in.+Auger+Bit&amp;qid=1695174065&amp;sr=8-10</v>
      </c>
      <c r="F5475" t="s">
        <v>7369</v>
      </c>
      <c r="G5475" t="e">
        <f ca="1">_xludf.IMAGE("https://edmondsonsupply.com/cdn/shop/products/aorgtpkivjubhtbiiau0.webp?v=1677256849")</f>
        <v>#NAME?</v>
      </c>
      <c r="H5475" t="e">
        <f ca="1">_xludf.IMAGE("https://m.media-amazon.com/images/I/61DtknokK5L._AC_UL320_.jpg")</f>
        <v>#NAME?</v>
      </c>
      <c r="I5475" t="s">
        <v>1589</v>
      </c>
      <c r="J5475">
        <v>29.84</v>
      </c>
      <c r="K5475" s="4">
        <v>0.29799999999999999</v>
      </c>
      <c r="L5475">
        <v>4.4000000000000004</v>
      </c>
      <c r="M5475">
        <v>161</v>
      </c>
      <c r="O5475" t="s">
        <v>25</v>
      </c>
      <c r="P5475" t="s">
        <v>7270</v>
      </c>
      <c r="Q5475" t="s">
        <v>7271</v>
      </c>
    </row>
    <row r="5476" spans="1:17" ht="15.5" x14ac:dyDescent="0.35">
      <c r="A5476"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5476" s="3" t="str">
        <f>HYPERLINK("https://edmondsonsupply.com/products/klein-tools-56028-flashlight-with-worklight-led-flashlight", "https://edmondsonsupply.com/products/klein-tools-56028-flashlight-with-worklight-led-flashlight")</f>
        <v>https://edmondsonsupply.com/products/klein-tools-56028-flashlight-with-worklight-led-flashlight</v>
      </c>
      <c r="C5476" t="s">
        <v>7140</v>
      </c>
      <c r="D5476" t="s">
        <v>7370</v>
      </c>
      <c r="E5476" s="3" t="str">
        <f>HYPERLINK("https://www.amazon.com/Blackfire-Rechargeable-Weatherproof-Flashlight-BBM6412/dp/B0973P55J1/ref=sr_1_7?keywords=Klein+Tools+56028+LED+Flashlight+with+Work+Light&amp;qid=1695174266&amp;sr=8-7", "https://www.amazon.com/Blackfire-Rechargeable-Weatherproof-Flashlight-BBM6412/dp/B0973P55J1/ref=sr_1_7?keywords=Klein+Tools+56028+LED+Flashlight+with+Work+Light&amp;qid=1695174266&amp;sr=8-7")</f>
        <v>https://www.amazon.com/Blackfire-Rechargeable-Weatherproof-Flashlight-BBM6412/dp/B0973P55J1/ref=sr_1_7?keywords=Klein+Tools+56028+LED+Flashlight+with+Work+Light&amp;qid=1695174266&amp;sr=8-7</v>
      </c>
      <c r="F5476" t="s">
        <v>7371</v>
      </c>
      <c r="G5476" t="e">
        <f ca="1">_xludf.IMAGE("https://edmondsonsupply.com/cdn/shop/products/56028.jpg?v=1587148656")</f>
        <v>#NAME?</v>
      </c>
      <c r="H5476" t="e">
        <f ca="1">_xludf.IMAGE("https://m.media-amazon.com/images/I/613u02ZMfnL._AC_UL320_.jpg")</f>
        <v>#NAME?</v>
      </c>
      <c r="I5476" t="s">
        <v>936</v>
      </c>
      <c r="J5476">
        <v>35</v>
      </c>
      <c r="K5476" s="4">
        <v>0.29770000000000002</v>
      </c>
      <c r="L5476">
        <v>4.5999999999999996</v>
      </c>
      <c r="M5476">
        <v>61</v>
      </c>
      <c r="O5476" t="s">
        <v>25</v>
      </c>
      <c r="P5476" t="s">
        <v>7141</v>
      </c>
      <c r="Q5476" t="s">
        <v>7142</v>
      </c>
    </row>
    <row r="5477" spans="1:17" ht="15.5" x14ac:dyDescent="0.35">
      <c r="A5477"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5477"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5477" t="s">
        <v>7055</v>
      </c>
      <c r="D5477" t="s">
        <v>7372</v>
      </c>
      <c r="E5477" s="3" t="str">
        <f>HYPERLINK("https://www.amazon.com/Insulated-Stripper-Klein-Tools-11045-INS/dp/B0002RI4TK/ref=sr_1_5?keywords=Klein+Tools+11055RINS+Insulated+Klein-Kurve%C2%AE+Wire+Stripper+and+Cutter&amp;qid=1695174134&amp;sr=8-5", "https://www.amazon.com/Insulated-Stripper-Klein-Tools-11045-INS/dp/B0002RI4TK/ref=sr_1_5?keywords=Klein+Tools+11055RINS+Insulated+Klein-Kurve%C2%AE+Wire+Stripper+and+Cutter&amp;qid=1695174134&amp;sr=8-5")</f>
        <v>https://www.amazon.com/Insulated-Stripper-Klein-Tools-11045-INS/dp/B0002RI4TK/ref=sr_1_5?keywords=Klein+Tools+11055RINS+Insulated+Klein-Kurve%C2%AE+Wire+Stripper+and+Cutter&amp;qid=1695174134&amp;sr=8-5</v>
      </c>
      <c r="F5477" t="s">
        <v>7373</v>
      </c>
      <c r="G5477" t="e">
        <f ca="1">_xludf.IMAGE("https://edmondsonsupply.com/cdn/shop/products/11055rins.jpg?v=1667236979")</f>
        <v>#NAME?</v>
      </c>
      <c r="H5477" t="e">
        <f ca="1">_xludf.IMAGE("https://m.media-amazon.com/images/I/51BhVtwSsVL._AC_UL320_.jpg")</f>
        <v>#NAME?</v>
      </c>
      <c r="I5477" t="s">
        <v>824</v>
      </c>
      <c r="J5477">
        <v>38.89</v>
      </c>
      <c r="K5477" s="4">
        <v>0.29759999999999998</v>
      </c>
      <c r="L5477">
        <v>4.5</v>
      </c>
      <c r="M5477">
        <v>35</v>
      </c>
      <c r="O5477" t="s">
        <v>25</v>
      </c>
      <c r="P5477" t="s">
        <v>562</v>
      </c>
      <c r="Q5477" t="s">
        <v>7056</v>
      </c>
    </row>
    <row r="5478" spans="1:17" ht="15.5" x14ac:dyDescent="0.35">
      <c r="A5478"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5478"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5478" t="s">
        <v>6969</v>
      </c>
      <c r="D5478" t="s">
        <v>7374</v>
      </c>
      <c r="E5478" s="3" t="str">
        <f>HYPERLINK("https://www.amazon.com/Stainless-Lockback-Klein-Tools-44005/dp/B000936PU2/ref=sr_1_5?keywords=Klein+Tools+1550-2+2+Blade+Pocket+Knife%2C+Steel%2C+2-1%2F2-Inch+Blade&amp;qid=1695174176&amp;sr=8-5", "https://www.amazon.com/Stainless-Lockback-Klein-Tools-44005/dp/B000936PU2/ref=sr_1_5?keywords=Klein+Tools+1550-2+2+Blade+Pocket+Knife%2C+Steel%2C+2-1%2F2-Inch+Blade&amp;qid=1695174176&amp;sr=8-5")</f>
        <v>https://www.amazon.com/Stainless-Lockback-Klein-Tools-44005/dp/B000936PU2/ref=sr_1_5?keywords=Klein+Tools+1550-2+2+Blade+Pocket+Knife%2C+Steel%2C+2-1%2F2-Inch+Blade&amp;qid=1695174176&amp;sr=8-5</v>
      </c>
      <c r="F5478" t="s">
        <v>7375</v>
      </c>
      <c r="G5478" t="e">
        <f ca="1">_xludf.IMAGE("https://edmondsonsupply.com/cdn/shop/products/15502_b.jpg?v=1658020543")</f>
        <v>#NAME?</v>
      </c>
      <c r="H5478" t="e">
        <f ca="1">_xludf.IMAGE("https://m.media-amazon.com/images/I/51kz2pGOUqL._AC_UL320_.jpg")</f>
        <v>#NAME?</v>
      </c>
      <c r="I5478" t="s">
        <v>26</v>
      </c>
      <c r="J5478">
        <v>38.9</v>
      </c>
      <c r="K5478" s="4">
        <v>0.29709999999999998</v>
      </c>
      <c r="L5478">
        <v>4.7</v>
      </c>
      <c r="M5478">
        <v>338</v>
      </c>
      <c r="O5478" t="s">
        <v>25</v>
      </c>
      <c r="P5478" t="s">
        <v>6972</v>
      </c>
      <c r="Q5478" t="s">
        <v>6973</v>
      </c>
    </row>
    <row r="5479" spans="1:17" ht="15.5" x14ac:dyDescent="0.35">
      <c r="A5479" s="3" t="str">
        <f>HYPERLINK("https://edmondsonsupply.com/collections/electricians-tools/products/channellock-428", "https://edmondsonsupply.com/collections/electricians-tools/products/channellock-428")</f>
        <v>https://edmondsonsupply.com/collections/electricians-tools/products/channellock-428</v>
      </c>
      <c r="B5479" s="3" t="str">
        <f>HYPERLINK("https://edmondsonsupply.com/products/channellock-428", "https://edmondsonsupply.com/products/channellock-428")</f>
        <v>https://edmondsonsupply.com/products/channellock-428</v>
      </c>
      <c r="C5479" t="s">
        <v>1791</v>
      </c>
      <c r="D5479" t="s">
        <v>3573</v>
      </c>
      <c r="E5479" s="3" t="str">
        <f>HYPERLINK("https://www.amazon.com/Channellock-440-12-Inch-Tongue-Groove/dp/B00004SBCU/ref=sr_1_7?keywords=Channellock+428+8-Inch+Straight+Jaw+Tongue+%26+Groove+Pliers&amp;qid=1695173963&amp;sr=8-7", "https://www.amazon.com/Channellock-440-12-Inch-Tongue-Groove/dp/B00004SBCU/ref=sr_1_7?keywords=Channellock+428+8-Inch+Straight+Jaw+Tongue+%26+Groove+Pliers&amp;qid=1695173963&amp;sr=8-7")</f>
        <v>https://www.amazon.com/Channellock-440-12-Inch-Tongue-Groove/dp/B00004SBCU/ref=sr_1_7?keywords=Channellock+428+8-Inch+Straight+Jaw+Tongue+%26+Groove+Pliers&amp;qid=1695173963&amp;sr=8-7</v>
      </c>
      <c r="F5479" t="s">
        <v>3574</v>
      </c>
      <c r="G5479" t="e">
        <f ca="1">_xludf.IMAGE("https://edmondsonsupply.com/cdn/shop/products/428-683x1024.jpg?v=1587145854")</f>
        <v>#NAME?</v>
      </c>
      <c r="H5479" t="e">
        <f ca="1">_xludf.IMAGE("https://m.media-amazon.com/images/I/71FM1bkavsL._AC_UL320_.jpg")</f>
        <v>#NAME?</v>
      </c>
      <c r="I5479" t="s">
        <v>1554</v>
      </c>
      <c r="J5479">
        <v>21.95</v>
      </c>
      <c r="K5479" s="4">
        <v>0.29499999999999998</v>
      </c>
      <c r="L5479">
        <v>4.8</v>
      </c>
      <c r="M5479">
        <v>3565</v>
      </c>
      <c r="O5479" t="s">
        <v>25</v>
      </c>
      <c r="P5479" t="s">
        <v>1794</v>
      </c>
      <c r="Q5479" t="s">
        <v>1795</v>
      </c>
    </row>
    <row r="5480" spans="1:17" ht="15.5" x14ac:dyDescent="0.35">
      <c r="A5480" s="3" t="str">
        <f>HYPERLINK("https://edmondsonsupply.com/collections/electricians-tools/products/klein-tools-55600-tradesman-pro%E2%84%A2-tough-box-17-quart-cooler", "https://edmondsonsupply.com/collections/electricians-tools/products/klein-tools-55600-tradesman-pro%E2%84%A2-tough-box-17-quart-cooler")</f>
        <v>https://edmondsonsupply.com/collections/electricians-tools/products/klein-tools-55600-tradesman-pro%E2%84%A2-tough-box-17-quart-cooler</v>
      </c>
      <c r="B5480"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5480" t="s">
        <v>3583</v>
      </c>
      <c r="D5480" t="s">
        <v>3584</v>
      </c>
      <c r="E5480" s="3" t="str">
        <f>HYPERLINK("https://www.amazon.com/Klein-Tools-Tradesman-Resistant-Reinforced/dp/B08DY41653/ref=sr_1_2?keywords=Klein+Tools+55600+Tradesman+Pro%E2%84%A2+Tough+Box+Cooler%2C+17-Quart&amp;qid=1695173941&amp;sr=8-2", "https://www.amazon.com/Klein-Tools-Tradesman-Resistant-Reinforced/dp/B08DY41653/ref=sr_1_2?keywords=Klein+Tools+55600+Tradesman+Pro%E2%84%A2+Tough+Box+Cooler%2C+17-Quart&amp;qid=1695173941&amp;sr=8-2")</f>
        <v>https://www.amazon.com/Klein-Tools-Tradesman-Resistant-Reinforced/dp/B08DY41653/ref=sr_1_2?keywords=Klein+Tools+55600+Tradesman+Pro%E2%84%A2+Tough+Box+Cooler%2C+17-Quart&amp;qid=1695173941&amp;sr=8-2</v>
      </c>
      <c r="F5480" t="s">
        <v>3585</v>
      </c>
      <c r="G5480" t="e">
        <f ca="1">_xludf.IMAGE("https://edmondsonsupply.com/cdn/shop/products/55600.jpg?v=1587145287")</f>
        <v>#NAME?</v>
      </c>
      <c r="H5480" t="e">
        <f ca="1">_xludf.IMAGE("https://m.media-amazon.com/images/I/61jzPgCIeGL._AC_UL320_.jpg")</f>
        <v>#NAME?</v>
      </c>
      <c r="I5480" t="s">
        <v>305</v>
      </c>
      <c r="J5480">
        <v>83.99</v>
      </c>
      <c r="K5480" s="4">
        <v>0.2928</v>
      </c>
      <c r="L5480">
        <v>4.8</v>
      </c>
      <c r="M5480">
        <v>9</v>
      </c>
      <c r="O5480" t="s">
        <v>25</v>
      </c>
      <c r="P5480" t="s">
        <v>3586</v>
      </c>
      <c r="Q5480" t="s">
        <v>3587</v>
      </c>
    </row>
    <row r="5481" spans="1:17" ht="15.5" x14ac:dyDescent="0.35">
      <c r="A5481" s="3" t="str">
        <f>HYPERLINK("https://edmondsonsupply.com/collections/electricians-tools/products/tajima-dfc671n-r1-rock-hard-fin%E2%84%A2-utility-knife-dial-lock", "https://edmondsonsupply.com/collections/electricians-tools/products/tajima-dfc671n-r1-rock-hard-fin%E2%84%A2-utility-knife-dial-lock")</f>
        <v>https://edmondsonsupply.com/collections/electricians-tools/products/tajima-dfc671n-r1-rock-hard-fin%E2%84%A2-utility-knife-dial-lock</v>
      </c>
      <c r="B5481" s="3" t="str">
        <f>HYPERLINK("https://edmondsonsupply.com/products/tajima-dfc671n-r1-rock-hard-fin%e2%84%a2-utility-knife-dial-lock", "https://edmondsonsupply.com/products/tajima-dfc671n-r1-rock-hard-fin%e2%84%a2-utility-knife-dial-lock")</f>
        <v>https://edmondsonsupply.com/products/tajima-dfc671n-r1-rock-hard-fin%e2%84%a2-utility-knife-dial-lock</v>
      </c>
      <c r="C5481" t="s">
        <v>3588</v>
      </c>
      <c r="D5481" t="s">
        <v>3589</v>
      </c>
      <c r="E5481" s="3" t="str">
        <f>HYPERLINK("https://www.amazon.com/TAJIMA-Utility-Knife-7-Point-DFC671N-R1/dp/B07W4FVQKV/ref=sr_1_1?keywords=Tajima+DFC671N-R1+Rock+Hard+FIN%E2%84%A2+Utility+Knife%2C+Dial+Lock&amp;qid=1695173973&amp;sr=8-1", "https://www.amazon.com/TAJIMA-Utility-Knife-7-Point-DFC671N-R1/dp/B07W4FVQKV/ref=sr_1_1?keywords=Tajima+DFC671N-R1+Rock+Hard+FIN%E2%84%A2+Utility+Knife%2C+Dial+Lock&amp;qid=1695173973&amp;sr=8-1")</f>
        <v>https://www.amazon.com/TAJIMA-Utility-Knife-7-Point-DFC671N-R1/dp/B07W4FVQKV/ref=sr_1_1?keywords=Tajima+DFC671N-R1+Rock+Hard+FIN%E2%84%A2+Utility+Knife%2C+Dial+Lock&amp;qid=1695173973&amp;sr=8-1</v>
      </c>
      <c r="F5481" t="s">
        <v>3590</v>
      </c>
      <c r="G5481" t="e">
        <f ca="1">_xludf.IMAGE("https://edmondsonsupply.com/cdn/shop/files/DFC671N-R1-2.jpg?v=1693510020")</f>
        <v>#NAME?</v>
      </c>
      <c r="H5481" t="e">
        <f ca="1">_xludf.IMAGE("https://m.media-amazon.com/images/I/51udy51xLdL._AC_UL320_.jpg")</f>
        <v>#NAME?</v>
      </c>
      <c r="I5481" t="s">
        <v>3591</v>
      </c>
      <c r="J5481">
        <v>19.75</v>
      </c>
      <c r="K5481" s="4">
        <v>0.29249999999999998</v>
      </c>
      <c r="L5481">
        <v>4.5999999999999996</v>
      </c>
      <c r="M5481">
        <v>36</v>
      </c>
      <c r="O5481" t="s">
        <v>25</v>
      </c>
      <c r="P5481" t="s">
        <v>138</v>
      </c>
      <c r="Q5481" t="s">
        <v>3592</v>
      </c>
    </row>
    <row r="5482" spans="1:17" ht="15.5" x14ac:dyDescent="0.35">
      <c r="A5482" s="3" t="str">
        <f>HYPERLINK("https://edmondsonsupply.com/collections/electricians-tools/products/rack-a-tiers-43095-electricians-grande-butt-pouch", "https://edmondsonsupply.com/collections/electricians-tools/products/rack-a-tiers-43095-electricians-grande-butt-pouch")</f>
        <v>https://edmondsonsupply.com/collections/electricians-tools/products/rack-a-tiers-43095-electricians-grande-butt-pouch</v>
      </c>
      <c r="B5482" s="3" t="str">
        <f>HYPERLINK("https://edmondsonsupply.com/products/rack-a-tiers-43095-electricians-grande-butt-pouch", "https://edmondsonsupply.com/products/rack-a-tiers-43095-electricians-grande-butt-pouch")</f>
        <v>https://edmondsonsupply.com/products/rack-a-tiers-43095-electricians-grande-butt-pouch</v>
      </c>
      <c r="C5482" t="s">
        <v>3598</v>
      </c>
      <c r="D5482" t="s">
        <v>3599</v>
      </c>
      <c r="E5482" s="3" t="str">
        <f>HYPERLINK("https://www.amazon.com/Rack-Tiers-Ballistic-Grande-Pocket/dp/B0186JN22E/ref=sr_1_1?keywords=Rack-A-Tiers+43095+Electrician%27s+Grande+Butt+Pouch&amp;qid=1695173924&amp;sr=8-1", "https://www.amazon.com/Rack-Tiers-Ballistic-Grande-Pocket/dp/B0186JN22E/ref=sr_1_1?keywords=Rack-A-Tiers+43095+Electrician%27s+Grande+Butt+Pouch&amp;qid=1695173924&amp;sr=8-1")</f>
        <v>https://www.amazon.com/Rack-Tiers-Ballistic-Grande-Pocket/dp/B0186JN22E/ref=sr_1_1?keywords=Rack-A-Tiers+43095+Electrician%27s+Grande+Butt+Pouch&amp;qid=1695173924&amp;sr=8-1</v>
      </c>
      <c r="F5482" t="s">
        <v>3600</v>
      </c>
      <c r="G5482" t="e">
        <f ca="1">_xludf.IMAGE("https://edmondsonsupply.com/cdn/shop/products/43095-Grande-Butt-Pouch-1-1-1-1-1-300x300.png?v=1633030598")</f>
        <v>#NAME?</v>
      </c>
      <c r="H5482" t="e">
        <f ca="1">_xludf.IMAGE("https://m.media-amazon.com/images/I/518zKc1qDyL._AC_UL320_.jpg")</f>
        <v>#NAME?</v>
      </c>
      <c r="I5482" t="s">
        <v>3601</v>
      </c>
      <c r="J5482">
        <v>38.1</v>
      </c>
      <c r="K5482" s="4">
        <v>0.29199999999999998</v>
      </c>
      <c r="L5482">
        <v>3.5</v>
      </c>
      <c r="M5482">
        <v>29</v>
      </c>
      <c r="O5482" t="s">
        <v>25</v>
      </c>
      <c r="P5482" t="s">
        <v>3602</v>
      </c>
      <c r="Q5482" t="s">
        <v>3603</v>
      </c>
    </row>
    <row r="5483" spans="1:17" ht="15.5" x14ac:dyDescent="0.35">
      <c r="A5483" s="3" t="str">
        <f>HYPERLINK("https://edmondsonsupply.com/collections/electricians-tools/products/uniweld-70022", "https://edmondsonsupply.com/collections/electricians-tools/products/uniweld-70022")</f>
        <v>https://edmondsonsupply.com/collections/electricians-tools/products/uniweld-70022</v>
      </c>
      <c r="B5483" s="3" t="str">
        <f>HYPERLINK("https://edmondsonsupply.com/products/uniweld-70022", "https://edmondsonsupply.com/products/uniweld-70022")</f>
        <v>https://edmondsonsupply.com/products/uniweld-70022</v>
      </c>
      <c r="C5483" t="s">
        <v>3613</v>
      </c>
      <c r="D5483" t="s">
        <v>3614</v>
      </c>
      <c r="E5483" s="3" t="str">
        <f>HYPERLINK("https://www.amazon.com/Uniweld-70022-Reversible-Ratchet-Adaptor/dp/B00ECC6DE4/ref=sr_1_1?keywords=Uniweld+70022+Ratchet+Service+Wrench%2B&amp;qid=1695173884&amp;sr=8-1", "https://www.amazon.com/Uniweld-70022-Reversible-Ratchet-Adaptor/dp/B00ECC6DE4/ref=sr_1_1?keywords=Uniweld+70022+Ratchet+Service+Wrench%2B&amp;qid=1695173884&amp;sr=8-1")</f>
        <v>https://www.amazon.com/Uniweld-70022-Reversible-Ratchet-Adaptor/dp/B00ECC6DE4/ref=sr_1_1?keywords=Uniweld+70022+Ratchet+Service+Wrench%2B&amp;qid=1695173884&amp;sr=8-1</v>
      </c>
      <c r="F5483" t="s">
        <v>3615</v>
      </c>
      <c r="G5483" t="e">
        <f ca="1">_xludf.IMAGE("https://edmondsonsupply.com/cdn/shop/products/70022_pkg.jpg?v=1656082349")</f>
        <v>#NAME?</v>
      </c>
      <c r="H5483" t="e">
        <f ca="1">_xludf.IMAGE("https://m.media-amazon.com/images/I/61tFH9OW43L._AC_UL320_.jpg")</f>
        <v>#NAME?</v>
      </c>
      <c r="I5483" t="s">
        <v>3616</v>
      </c>
      <c r="J5483">
        <v>17.29</v>
      </c>
      <c r="K5483" s="4">
        <v>0.2913</v>
      </c>
      <c r="L5483">
        <v>4.7</v>
      </c>
      <c r="M5483">
        <v>209</v>
      </c>
      <c r="O5483" t="s">
        <v>25</v>
      </c>
      <c r="P5483" t="s">
        <v>3617</v>
      </c>
      <c r="Q5483" t="s">
        <v>3618</v>
      </c>
    </row>
    <row r="5484" spans="1:17" ht="15.5" x14ac:dyDescent="0.35">
      <c r="A5484" s="3" t="str">
        <f>HYPERLINK("https://edmondsonsupply.com/collections/electricians-tools/products/fieldpiece-sc260", "https://edmondsonsupply.com/collections/electricians-tools/products/fieldpiece-sc260")</f>
        <v>https://edmondsonsupply.com/collections/electricians-tools/products/fieldpiece-sc260</v>
      </c>
      <c r="B5484" s="3" t="str">
        <f>HYPERLINK("https://edmondsonsupply.com/products/fieldpiece-sc260", "https://edmondsonsupply.com/products/fieldpiece-sc260")</f>
        <v>https://edmondsonsupply.com/products/fieldpiece-sc260</v>
      </c>
      <c r="C5484" t="s">
        <v>3222</v>
      </c>
      <c r="D5484" t="s">
        <v>3619</v>
      </c>
      <c r="E5484" s="3" t="str">
        <f>HYPERLINK("https://www.amazon.com/SC260-Compact-Clamp-Meter-True/dp/B079L5D55Z/ref=sr_1_2?keywords=Fieldpiece+SC260+Compact+Clamp+Meter+with+True+RMS&amp;qid=1695173924&amp;sr=8-2", "https://www.amazon.com/SC260-Compact-Clamp-Meter-True/dp/B079L5D55Z/ref=sr_1_2?keywords=Fieldpiece+SC260+Compact+Clamp+Meter+with+True+RMS&amp;qid=1695173924&amp;sr=8-2")</f>
        <v>https://www.amazon.com/SC260-Compact-Clamp-Meter-True/dp/B079L5D55Z/ref=sr_1_2?keywords=Fieldpiece+SC260+Compact+Clamp+Meter+with+True+RMS&amp;qid=1695173924&amp;sr=8-2</v>
      </c>
      <c r="F5484" t="s">
        <v>3620</v>
      </c>
      <c r="G5484" t="e">
        <f ca="1">_xludf.IMAGE("https://edmondsonsupply.com/cdn/shop/products/SC260-SRC-product.jpg?v=1633030161")</f>
        <v>#NAME?</v>
      </c>
      <c r="H5484" t="e">
        <f ca="1">_xludf.IMAGE("https://m.media-amazon.com/images/I/41mbTzA5D0L._AC_UY218_.jpg")</f>
        <v>#NAME?</v>
      </c>
      <c r="I5484" t="s">
        <v>3225</v>
      </c>
      <c r="J5484">
        <v>178.83</v>
      </c>
      <c r="K5484" s="4">
        <v>0.29070000000000001</v>
      </c>
      <c r="L5484">
        <v>4.8</v>
      </c>
      <c r="M5484">
        <v>11</v>
      </c>
      <c r="O5484" t="s">
        <v>25</v>
      </c>
      <c r="P5484" t="s">
        <v>1508</v>
      </c>
      <c r="Q5484" t="s">
        <v>3226</v>
      </c>
    </row>
    <row r="5485" spans="1:17" ht="15.5" x14ac:dyDescent="0.35">
      <c r="A5485"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5485"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5485" t="s">
        <v>5837</v>
      </c>
      <c r="D5485" t="s">
        <v>5869</v>
      </c>
      <c r="E5485" s="3" t="str">
        <f>HYPERLINK("https://www.amazon.com/Diablo-DMAMX1390-SDS-Max-4-Cutter-Carbide-Tipped/dp/B089KW6C8V/ref=sr_1_4?keywords=Diablo+Tools+DMAMXCC5010+2+in.+x+7+in.+SDS-Max+Carbide+Tipped+Core+Bit&amp;qid=1695174008&amp;sr=8-4", "https://www.amazon.com/Diablo-DMAMX1390-SDS-Max-4-Cutter-Carbide-Tipped/dp/B089KW6C8V/ref=sr_1_4?keywords=Diablo+Tools+DMAMXCC5010+2+in.+x+7+in.+SDS-Max+Carbide+Tipped+Core+Bit&amp;qid=1695174008&amp;sr=8-4")</f>
        <v>https://www.amazon.com/Diablo-DMAMX1390-SDS-Max-4-Cutter-Carbide-Tipped/dp/B089KW6C8V/ref=sr_1_4?keywords=Diablo+Tools+DMAMXCC5010+2+in.+x+7+in.+SDS-Max+Carbide+Tipped+Core+Bit&amp;qid=1695174008&amp;sr=8-4</v>
      </c>
      <c r="F5485" t="s">
        <v>5870</v>
      </c>
      <c r="G5485" t="e">
        <f ca="1">_xludf.IMAGE("https://edmondsonsupply.com/cdn/shop/files/kbs61qpkymnshwvx13k1.webp?v=1686583113")</f>
        <v>#NAME?</v>
      </c>
      <c r="H5485" t="e">
        <f ca="1">_xludf.IMAGE("https://m.media-amazon.com/images/I/61J-83UaGmL._AC_UL320_.jpg")</f>
        <v>#NAME?</v>
      </c>
      <c r="I5485" t="s">
        <v>5840</v>
      </c>
      <c r="J5485">
        <v>130.66999999999999</v>
      </c>
      <c r="K5485" s="4">
        <v>0.28749999999999998</v>
      </c>
      <c r="L5485">
        <v>4.8</v>
      </c>
      <c r="M5485">
        <v>10</v>
      </c>
      <c r="O5485" t="s">
        <v>25</v>
      </c>
      <c r="P5485" t="s">
        <v>5841</v>
      </c>
      <c r="Q5485" t="s">
        <v>5842</v>
      </c>
    </row>
    <row r="5486" spans="1:17" ht="15.5" x14ac:dyDescent="0.35">
      <c r="A5486"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486" s="3" t="str">
        <f>HYPERLINK("https://edmondsonsupply.com/products/klein-tools-11053-klein-kurve%c2%ae-wire-stripper-cutter", "https://edmondsonsupply.com/products/klein-tools-11053-klein-kurve%c2%ae-wire-stripper-cutter")</f>
        <v>https://edmondsonsupply.com/products/klein-tools-11053-klein-kurve%c2%ae-wire-stripper-cutter</v>
      </c>
      <c r="C5486" t="s">
        <v>2285</v>
      </c>
      <c r="D5486" t="s">
        <v>3625</v>
      </c>
      <c r="E5486" s="3" t="str">
        <f>HYPERLINK("https://www.amazon.com/Klein-Tools-11055GLW-Stripper-Klein-Kurve/dp/B09FVTWPQV/ref=sr_1_5?keywords=Klein+Tools+11053+Klein-Kurve%C2%AE+Wire+Stripper%2FCutter&amp;qid=1695173869&amp;sr=8-5", "https://www.amazon.com/Klein-Tools-11055GLW-Stripper-Klein-Kurve/dp/B09FVTWPQV/ref=sr_1_5?keywords=Klein+Tools+11053+Klein-Kurve%C2%AE+Wire+Stripper%2FCutter&amp;qid=1695173869&amp;sr=8-5")</f>
        <v>https://www.amazon.com/Klein-Tools-11055GLW-Stripper-Klein-Kurve/dp/B09FVTWPQV/ref=sr_1_5?keywords=Klein+Tools+11053+Klein-Kurve%C2%AE+Wire+Stripper%2FCutter&amp;qid=1695173869&amp;sr=8-5</v>
      </c>
      <c r="F5486" t="s">
        <v>3626</v>
      </c>
      <c r="G5486" t="e">
        <f ca="1">_xludf.IMAGE("https://edmondsonsupply.com/cdn/shop/products/11053.jpg?v=1633030511")</f>
        <v>#NAME?</v>
      </c>
      <c r="H5486" t="e">
        <f ca="1">_xludf.IMAGE("https://m.media-amazon.com/images/I/41qRg9375VL._AC_UL320_.jpg")</f>
        <v>#NAME?</v>
      </c>
      <c r="I5486" t="s">
        <v>2288</v>
      </c>
      <c r="J5486">
        <v>26.99</v>
      </c>
      <c r="K5486" s="4">
        <v>0.28710000000000002</v>
      </c>
      <c r="L5486">
        <v>4.8</v>
      </c>
      <c r="M5486">
        <v>7596</v>
      </c>
      <c r="O5486" t="s">
        <v>25</v>
      </c>
      <c r="P5486" t="s">
        <v>2289</v>
      </c>
      <c r="Q5486" t="s">
        <v>2290</v>
      </c>
    </row>
    <row r="5487" spans="1:17" ht="15.5" x14ac:dyDescent="0.35">
      <c r="A5487"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5487"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5487" t="s">
        <v>6753</v>
      </c>
      <c r="D5487" t="s">
        <v>3625</v>
      </c>
      <c r="E5487" s="3" t="str">
        <f>HYPERLINK("https://www.amazon.com/Klein-Tools-11055GLW-Stripper-Klein-Kurve/dp/B09FVTWPQV/ref=sr_1_6?keywords=Klein+Tools+K11095+Klein-Kurve%C2%AE+Wire+Stripper+%2F+Cutter%2C+8-20+AWG&amp;qid=1695174173&amp;sr=8-6", "https://www.amazon.com/Klein-Tools-11055GLW-Stripper-Klein-Kurve/dp/B09FVTWPQV/ref=sr_1_6?keywords=Klein+Tools+K11095+Klein-Kurve%C2%AE+Wire+Stripper+%2F+Cutter%2C+8-20+AWG&amp;qid=1695174173&amp;sr=8-6")</f>
        <v>https://www.amazon.com/Klein-Tools-11055GLW-Stripper-Klein-Kurve/dp/B09FVTWPQV/ref=sr_1_6?keywords=Klein+Tools+K11095+Klein-Kurve%C2%AE+Wire+Stripper+%2F+Cutter%2C+8-20+AWG&amp;qid=1695174173&amp;sr=8-6</v>
      </c>
      <c r="F5487" t="s">
        <v>3626</v>
      </c>
      <c r="G5487" t="e">
        <f ca="1">_xludf.IMAGE("https://edmondsonsupply.com/cdn/shop/products/k11095_b_front_vertical.jpg?v=1661364611")</f>
        <v>#NAME?</v>
      </c>
      <c r="H5487" t="e">
        <f ca="1">_xludf.IMAGE("https://m.media-amazon.com/images/I/41qRg9375VL._AC_UL320_.jpg")</f>
        <v>#NAME?</v>
      </c>
      <c r="I5487" t="s">
        <v>2288</v>
      </c>
      <c r="J5487">
        <v>26.99</v>
      </c>
      <c r="K5487" s="4">
        <v>0.28710000000000002</v>
      </c>
      <c r="L5487">
        <v>4.8</v>
      </c>
      <c r="M5487">
        <v>7596</v>
      </c>
      <c r="O5487" t="s">
        <v>25</v>
      </c>
      <c r="P5487" t="s">
        <v>6525</v>
      </c>
      <c r="Q5487" t="s">
        <v>6754</v>
      </c>
    </row>
    <row r="5488" spans="1:17" ht="15.5" x14ac:dyDescent="0.35">
      <c r="A5488"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5488" s="3" t="str">
        <f>HYPERLINK("https://edmondsonsupply.com/products/veto-pro-pac-tp-xxl-tool-pouch", "https://edmondsonsupply.com/products/veto-pro-pac-tp-xxl-tool-pouch")</f>
        <v>https://edmondsonsupply.com/products/veto-pro-pac-tp-xxl-tool-pouch</v>
      </c>
      <c r="C5488" t="s">
        <v>451</v>
      </c>
      <c r="D5488" t="s">
        <v>452</v>
      </c>
      <c r="E5488" s="3" t="str">
        <f>HYPERLINK("https://www.amazon.com/VETO-PRO-PAC-Model-XXL-F/dp/B0002HC2CK/ref=sr_1_3?keywords=Veto+Pro+Pac+TP-XXL+Tool+Pouch&amp;qid=1695173851&amp;sr=8-3", "https://www.amazon.com/VETO-PRO-PAC-Model-XXL-F/dp/B0002HC2CK/ref=sr_1_3?keywords=Veto+Pro+Pac+TP-XXL+Tool+Pouch&amp;qid=1695173851&amp;sr=8-3")</f>
        <v>https://www.amazon.com/VETO-PRO-PAC-Model-XXL-F/dp/B0002HC2CK/ref=sr_1_3?keywords=Veto+Pro+Pac+TP-XXL+Tool+Pouch&amp;qid=1695173851&amp;sr=8-3</v>
      </c>
      <c r="F5488" t="s">
        <v>453</v>
      </c>
      <c r="G5488" t="e">
        <f ca="1">_xludf.IMAGE("https://edmondsonsupply.com/cdn/shop/products/01_TP-XXL.jpg?v=1633031173")</f>
        <v>#NAME?</v>
      </c>
      <c r="H5488" t="e">
        <f ca="1">_xludf.IMAGE("https://m.media-amazon.com/images/I/61tR0YjGMkL._AC_UL320_.jpg")</f>
        <v>#NAME?</v>
      </c>
      <c r="I5488" t="s">
        <v>454</v>
      </c>
      <c r="J5488">
        <v>269.95</v>
      </c>
      <c r="K5488" s="4">
        <v>0.28549999999999998</v>
      </c>
      <c r="L5488">
        <v>4.5</v>
      </c>
      <c r="M5488">
        <v>262</v>
      </c>
      <c r="O5488" t="s">
        <v>25</v>
      </c>
      <c r="P5488" t="s">
        <v>138</v>
      </c>
      <c r="Q5488" t="s">
        <v>455</v>
      </c>
    </row>
    <row r="5489" spans="1:17" ht="15.5" x14ac:dyDescent="0.35">
      <c r="A5489" s="3" t="str">
        <f>HYPERLINK("https://edmondsonsupply.com/collections/electricians-tools/products/klein-tools-k12035-klein-kurve%C2%AE-heavy-duty-wire-stripper-8-20-awg", "https://edmondsonsupply.com/collections/electricians-tools/products/klein-tools-k12035-klein-kurve%C2%AE-heavy-duty-wire-stripper-8-20-awg")</f>
        <v>https://edmondsonsupply.com/collections/electricians-tools/products/klein-tools-k12035-klein-kurve%C2%AE-heavy-duty-wire-stripper-8-20-awg</v>
      </c>
      <c r="B5489" s="3" t="str">
        <f>HYPERLINK("https://edmondsonsupply.com/products/klein-tools-k12035-klein-kurve%c2%ae-heavy-duty-wire-stripper-8-20-awg", "https://edmondsonsupply.com/products/klein-tools-k12035-klein-kurve%c2%ae-heavy-duty-wire-stripper-8-20-awg")</f>
        <v>https://edmondsonsupply.com/products/klein-tools-k12035-klein-kurve%c2%ae-heavy-duty-wire-stripper-8-20-awg</v>
      </c>
      <c r="C5489" t="s">
        <v>3632</v>
      </c>
      <c r="D5489" t="s">
        <v>3633</v>
      </c>
      <c r="E5489" s="3" t="str">
        <f>HYPERLINK("https://www.amazon.com/Klein-Tools-Klein-Kurve-Electronics-Screwdriver/dp/B09Z91XMF1/ref=sr_1_7?keywords=Klein+Tools+K12035+Klein-Kurve%C2%AE+Heavy-Duty+Wire+Stripper+8-20+AWG&amp;qid=1695173967&amp;sr=8-7", "https://www.amazon.com/Klein-Tools-Klein-Kurve-Electronics-Screwdriver/dp/B09Z91XMF1/ref=sr_1_7?keywords=Klein+Tools+K12035+Klein-Kurve%C2%AE+Heavy-Duty+Wire+Stripper+8-20+AWG&amp;qid=1695173967&amp;sr=8-7")</f>
        <v>https://www.amazon.com/Klein-Tools-Klein-Kurve-Electronics-Screwdriver/dp/B09Z91XMF1/ref=sr_1_7?keywords=Klein+Tools+K12035+Klein-Kurve%C2%AE+Heavy-Duty+Wire+Stripper+8-20+AWG&amp;qid=1695173967&amp;sr=8-7</v>
      </c>
      <c r="F5489" t="s">
        <v>3634</v>
      </c>
      <c r="G5489" t="e">
        <f ca="1">_xludf.IMAGE("https://edmondsonsupply.com/cdn/shop/products/k12035_c.jpg?v=1678970768")</f>
        <v>#NAME?</v>
      </c>
      <c r="H5489" t="e">
        <f ca="1">_xludf.IMAGE("https://m.media-amazon.com/images/I/41-4krrkm2L._AC_UL320_.jpg")</f>
        <v>#NAME?</v>
      </c>
      <c r="I5489" t="s">
        <v>340</v>
      </c>
      <c r="J5489">
        <v>44.94</v>
      </c>
      <c r="K5489" s="4">
        <v>0.28510000000000002</v>
      </c>
      <c r="L5489">
        <v>4.5999999999999996</v>
      </c>
      <c r="M5489">
        <v>616</v>
      </c>
      <c r="O5489" t="s">
        <v>25</v>
      </c>
      <c r="P5489" t="s">
        <v>3635</v>
      </c>
      <c r="Q5489" t="s">
        <v>3636</v>
      </c>
    </row>
    <row r="5490" spans="1:17" ht="15.5" x14ac:dyDescent="0.35">
      <c r="A5490" s="3" t="str">
        <f>HYPERLINK("https://edmondsonsupply.com/collections/electricians-tools/products/diablo-tools-dhs0500dg-1-2-in-diamond-grit-hole-saws", "https://edmondsonsupply.com/collections/electricians-tools/products/diablo-tools-dhs0500dg-1-2-in-diamond-grit-hole-saws")</f>
        <v>https://edmondsonsupply.com/collections/electricians-tools/products/diablo-tools-dhs0500dg-1-2-in-diamond-grit-hole-saws</v>
      </c>
      <c r="B5490" s="3" t="str">
        <f>HYPERLINK("https://edmondsonsupply.com/products/diablo-tools-dhs0500dg-1-2-in-diamond-grit-hole-saws", "https://edmondsonsupply.com/products/diablo-tools-dhs0500dg-1-2-in-diamond-grit-hole-saws")</f>
        <v>https://edmondsonsupply.com/products/diablo-tools-dhs0500dg-1-2-in-diamond-grit-hole-saws</v>
      </c>
      <c r="C5490" t="s">
        <v>7376</v>
      </c>
      <c r="D5490" t="s">
        <v>7377</v>
      </c>
      <c r="E5490" s="3" t="str">
        <f>HYPERLINK("https://www.amazon.com/Lenox-Tools-121108DGDS-Diamond-2-Inch/dp/B002TQ9PKE/ref=sr_1_2?keywords=Diablo+Tools+DHS0500DG+1%2F2+in.+Diamond+Grit+Hole+Saws&amp;qid=1695174106&amp;sr=8-2", "https://www.amazon.com/Lenox-Tools-121108DGDS-Diamond-2-Inch/dp/B002TQ9PKE/ref=sr_1_2?keywords=Diablo+Tools+DHS0500DG+1%2F2+in.+Diamond+Grit+Hole+Saws&amp;qid=1695174106&amp;sr=8-2")</f>
        <v>https://www.amazon.com/Lenox-Tools-121108DGDS-Diamond-2-Inch/dp/B002TQ9PKE/ref=sr_1_2?keywords=Diablo+Tools+DHS0500DG+1%2F2+in.+Diamond+Grit+Hole+Saws&amp;qid=1695174106&amp;sr=8-2</v>
      </c>
      <c r="F5490" t="s">
        <v>7378</v>
      </c>
      <c r="G5490" t="e">
        <f ca="1">_xludf.IMAGE("https://edmondsonsupply.com/cdn/shop/products/uccn2sxvplniczqakuy1.webp?v=1670006118")</f>
        <v>#NAME?</v>
      </c>
      <c r="H5490" t="e">
        <f ca="1">_xludf.IMAGE("https://m.media-amazon.com/images/I/51eN8ja7A-L._AC_UL320_.jpg")</f>
        <v>#NAME?</v>
      </c>
      <c r="I5490" t="s">
        <v>7379</v>
      </c>
      <c r="J5490">
        <v>18.190000000000001</v>
      </c>
      <c r="K5490" s="4">
        <v>0.2792</v>
      </c>
      <c r="L5490">
        <v>4.5999999999999996</v>
      </c>
      <c r="M5490">
        <v>279</v>
      </c>
      <c r="O5490" t="s">
        <v>25</v>
      </c>
      <c r="P5490" t="s">
        <v>7380</v>
      </c>
      <c r="Q5490" t="s">
        <v>7381</v>
      </c>
    </row>
    <row r="5491" spans="1:17" ht="15.5" x14ac:dyDescent="0.35">
      <c r="A5491"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5491" s="3" t="str">
        <f>HYPERLINK("https://edmondsonsupply.com/products/diablo-tools-dag3040-9-16-in-x-17-1-2-in-auger-bit", "https://edmondsonsupply.com/products/diablo-tools-dag3040-9-16-in-x-17-1-2-in-auger-bit")</f>
        <v>https://edmondsonsupply.com/products/diablo-tools-dag3040-9-16-in-x-17-1-2-in-auger-bit</v>
      </c>
      <c r="C5491" t="s">
        <v>7382</v>
      </c>
      <c r="D5491" t="s">
        <v>7355</v>
      </c>
      <c r="E5491" s="3" t="str">
        <f>HYPERLINK("https://www.amazon.com/Diablo-DAG3100-17-1-Auger-Bit/dp/B089KWFBPH/ref=sr_1_9?keywords=Diablo+Tools+DAG3040+9%2F16+in.+x+17-1%2F2+in.+Auger+Bit&amp;qid=1695174106&amp;sr=8-9", "https://www.amazon.com/Diablo-DAG3100-17-1-Auger-Bit/dp/B089KWFBPH/ref=sr_1_9?keywords=Diablo+Tools+DAG3040+9%2F16+in.+x+17-1%2F2+in.+Auger+Bit&amp;qid=1695174106&amp;sr=8-9")</f>
        <v>https://www.amazon.com/Diablo-DAG3100-17-1-Auger-Bit/dp/B089KWFBPH/ref=sr_1_9?keywords=Diablo+Tools+DAG3040+9%2F16+in.+x+17-1%2F2+in.+Auger+Bit&amp;qid=1695174106&amp;sr=8-9</v>
      </c>
      <c r="F5491" t="s">
        <v>7356</v>
      </c>
      <c r="G5491" t="e">
        <f ca="1">_xludf.IMAGE("https://edmondsonsupply.com/cdn/shop/products/fmfcptadhtney3owwa7y.webp?v=1669993222")</f>
        <v>#NAME?</v>
      </c>
      <c r="H5491" t="e">
        <f ca="1">_xludf.IMAGE("https://m.media-amazon.com/images/I/61Lk5PecX2L._AC_UL320_.jpg")</f>
        <v>#NAME?</v>
      </c>
      <c r="I5491" t="s">
        <v>7383</v>
      </c>
      <c r="J5491">
        <v>22.8</v>
      </c>
      <c r="K5491" s="4">
        <v>0.2787</v>
      </c>
      <c r="L5491">
        <v>5</v>
      </c>
      <c r="M5491">
        <v>3</v>
      </c>
      <c r="O5491" t="s">
        <v>25</v>
      </c>
      <c r="P5491" t="s">
        <v>7384</v>
      </c>
      <c r="Q5491" t="s">
        <v>7385</v>
      </c>
    </row>
    <row r="5492" spans="1:17" ht="15.5" x14ac:dyDescent="0.35">
      <c r="A5492" s="3" t="str">
        <f>HYPERLINK("https://edmondsonsupply.com/collections/electricians-tools/products/klein-tools-60536-professional-safety-glasses-indoor-outdoor-lens", "https://edmondsonsupply.com/collections/electricians-tools/products/klein-tools-60536-professional-safety-glasses-indoor-outdoor-lens")</f>
        <v>https://edmondsonsupply.com/collections/electricians-tools/products/klein-tools-60536-professional-safety-glasses-indoor-outdoor-lens</v>
      </c>
      <c r="B5492" s="3" t="str">
        <f>HYPERLINK("https://edmondsonsupply.com/products/klein-tools-60536-professional-safety-glasses-indoor-outdoor-lens", "https://edmondsonsupply.com/products/klein-tools-60536-professional-safety-glasses-indoor-outdoor-lens")</f>
        <v>https://edmondsonsupply.com/products/klein-tools-60536-professional-safety-glasses-indoor-outdoor-lens</v>
      </c>
      <c r="C5492" t="s">
        <v>973</v>
      </c>
      <c r="D5492" t="s">
        <v>1022</v>
      </c>
      <c r="E5492" s="3" t="str">
        <f>HYPERLINK("https://www.amazon.com/Klein-Tools-60536-Professional-Protective/dp/B0BLQWVJDB/ref=sr_1_1?keywords=Klein+Tools+60536+Professional+Safety+Glasses%2C+Indoor%2FOutdoor+Lens&amp;qid=1695174102&amp;sr=8-1", "https://www.amazon.com/Klein-Tools-60536-Professional-Protective/dp/B0BLQWVJDB/ref=sr_1_1?keywords=Klein+Tools+60536+Professional+Safety+Glasses%2C+Indoor%2FOutdoor+Lens&amp;qid=1695174102&amp;sr=8-1")</f>
        <v>https://www.amazon.com/Klein-Tools-60536-Professional-Protective/dp/B0BLQWVJDB/ref=sr_1_1?keywords=Klein+Tools+60536+Professional+Safety+Glasses%2C+Indoor%2FOutdoor+Lens&amp;qid=1695174102&amp;sr=8-1</v>
      </c>
      <c r="F5492" t="s">
        <v>1023</v>
      </c>
      <c r="G5492" t="e">
        <f ca="1">_xludf.IMAGE("https://edmondsonsupply.com/cdn/shop/products/60536.jpg?v=1670946435")</f>
        <v>#NAME?</v>
      </c>
      <c r="H5492" t="e">
        <f ca="1">_xludf.IMAGE("https://m.media-amazon.com/images/I/41rAXCZifQL._AC_UL320_.jpg")</f>
        <v>#NAME?</v>
      </c>
      <c r="I5492" t="s">
        <v>834</v>
      </c>
      <c r="J5492">
        <v>16.600000000000001</v>
      </c>
      <c r="K5492" s="4">
        <v>0.27789999999999998</v>
      </c>
      <c r="L5492">
        <v>4.4000000000000004</v>
      </c>
      <c r="M5492">
        <v>374</v>
      </c>
      <c r="O5492" t="s">
        <v>25</v>
      </c>
      <c r="P5492" t="s">
        <v>835</v>
      </c>
      <c r="Q5492" t="s">
        <v>976</v>
      </c>
    </row>
    <row r="5493" spans="1:17" ht="15.5" x14ac:dyDescent="0.35">
      <c r="A5493"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5493"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5493" t="s">
        <v>7067</v>
      </c>
      <c r="D5493" t="s">
        <v>5938</v>
      </c>
      <c r="E5493" s="3" t="str">
        <f>HYPERLINK("https://www.amazon.com/Diablo-Universal-Bi-Metal-Blades-Nail-Embedded/dp/B089KW2WVD/ref=sr_1_3?keywords=Diablo+Tools+DOU250BW+2-1%2F2+in.+Universal+Fit+Bi-Metal+Oscillating+Blade+for+Nail-Embedded+Wood&amp;qid=1695174021&amp;sr=8-3", "https://www.amazon.com/Diablo-Universal-Bi-Metal-Blades-Nail-Embedded/dp/B089KW2WVD/ref=sr_1_3?keywords=Diablo+Tools+DOU250BW+2-1%2F2+in.+Universal+Fit+Bi-Metal+Oscillating+Blade+for+Nail-Embedded+Wood&amp;qid=1695174021&amp;sr=8-3")</f>
        <v>https://www.amazon.com/Diablo-Universal-Bi-Metal-Blades-Nail-Embedded/dp/B089KW2WVD/ref=sr_1_3?keywords=Diablo+Tools+DOU250BW+2-1%2F2+in.+Universal+Fit+Bi-Metal+Oscillating+Blade+for+Nail-Embedded+Wood&amp;qid=1695174021&amp;sr=8-3</v>
      </c>
      <c r="F5493" t="s">
        <v>5939</v>
      </c>
      <c r="G5493" t="e">
        <f ca="1">_xludf.IMAGE("https://edmondsonsupply.com/cdn/shop/files/xcched1uye7bv2s0ryod.webp?v=1685717397")</f>
        <v>#NAME?</v>
      </c>
      <c r="H5493" t="e">
        <f ca="1">_xludf.IMAGE("https://m.media-amazon.com/images/I/613ig7mNjfL._AC_UL320_.jpg")</f>
        <v>#NAME?</v>
      </c>
      <c r="I5493" t="s">
        <v>893</v>
      </c>
      <c r="J5493">
        <v>25.49</v>
      </c>
      <c r="K5493" s="4">
        <v>0.27639999999999998</v>
      </c>
      <c r="L5493">
        <v>4.5999999999999996</v>
      </c>
      <c r="M5493">
        <v>148</v>
      </c>
      <c r="O5493" t="s">
        <v>25</v>
      </c>
      <c r="P5493" t="s">
        <v>6936</v>
      </c>
      <c r="Q5493" t="s">
        <v>7068</v>
      </c>
    </row>
    <row r="5494" spans="1:17" ht="15.5" x14ac:dyDescent="0.35">
      <c r="A5494"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5494" s="3" t="str">
        <f>HYPERLINK("https://edmondsonsupply.com/products/klein-tools-31932-bi-metal-hole-saw-2-inch", "https://edmondsonsupply.com/products/klein-tools-31932-bi-metal-hole-saw-2-inch")</f>
        <v>https://edmondsonsupply.com/products/klein-tools-31932-bi-metal-hole-saw-2-inch</v>
      </c>
      <c r="C5494" t="s">
        <v>6244</v>
      </c>
      <c r="D5494" t="s">
        <v>7386</v>
      </c>
      <c r="E5494" s="3" t="str">
        <f>HYPERLINK("https://www.amazon.com/Bi-Metal-8-Inch-Klein-Tools-31958/dp/B01987566S/ref=sr_1_7?keywords=Klein+Tools+31932+Bi-Metal+Hole+Saw%2C+2-Inch&amp;qid=1695174279&amp;sr=8-7", "https://www.amazon.com/Bi-Metal-8-Inch-Klein-Tools-31958/dp/B01987566S/ref=sr_1_7?keywords=Klein+Tools+31932+Bi-Metal+Hole+Saw%2C+2-Inch&amp;qid=1695174279&amp;sr=8-7")</f>
        <v>https://www.amazon.com/Bi-Metal-8-Inch-Klein-Tools-31958/dp/B01987566S/ref=sr_1_7?keywords=Klein+Tools+31932+Bi-Metal+Hole+Saw%2C+2-Inch&amp;qid=1695174279&amp;sr=8-7</v>
      </c>
      <c r="F5494" t="s">
        <v>7387</v>
      </c>
      <c r="G5494" t="e">
        <f ca="1">_xludf.IMAGE("https://edmondsonsupply.com/cdn/shop/products/31932.jpg?v=1633030939")</f>
        <v>#NAME?</v>
      </c>
      <c r="H5494" t="e">
        <f ca="1">_xludf.IMAGE("https://m.media-amazon.com/images/I/417oWF+SE6L._AC_UL320_.jpg")</f>
        <v>#NAME?</v>
      </c>
      <c r="I5494" t="s">
        <v>6056</v>
      </c>
      <c r="J5494">
        <v>13.99</v>
      </c>
      <c r="K5494" s="4">
        <v>0.27300000000000002</v>
      </c>
      <c r="L5494">
        <v>4.5999999999999996</v>
      </c>
      <c r="M5494">
        <v>252</v>
      </c>
      <c r="O5494" t="s">
        <v>25</v>
      </c>
      <c r="P5494" t="s">
        <v>1620</v>
      </c>
      <c r="Q5494" t="s">
        <v>6247</v>
      </c>
    </row>
    <row r="5495" spans="1:17" ht="15.5" x14ac:dyDescent="0.35">
      <c r="A5495" s="3" t="str">
        <f>HYPERLINK("https://edmondsonsupply.com/collections/electricians-tools/products/amprobe-st-102b-receptacle-tester-with-gfci", "https://edmondsonsupply.com/collections/electricians-tools/products/amprobe-st-102b-receptacle-tester-with-gfci")</f>
        <v>https://edmondsonsupply.com/collections/electricians-tools/products/amprobe-st-102b-receptacle-tester-with-gfci</v>
      </c>
      <c r="B5495" s="3" t="str">
        <f>HYPERLINK("https://edmondsonsupply.com/products/amprobe-st-102b-receptacle-tester-with-gfci", "https://edmondsonsupply.com/products/amprobe-st-102b-receptacle-tester-with-gfci")</f>
        <v>https://edmondsonsupply.com/products/amprobe-st-102b-receptacle-tester-with-gfci</v>
      </c>
      <c r="C5495" t="s">
        <v>7388</v>
      </c>
      <c r="D5495" t="s">
        <v>7389</v>
      </c>
      <c r="E5495" s="3" t="str">
        <f>HYPERLINK("https://www.amazon.com/Amprobe-ST-102B-Socket-Tester-GFCI/dp/B008E07HM2/ref=sr_1_1?keywords=Amprobe+ST-102B+Receptacle+Tester+with+GFCI&amp;qid=1695174172&amp;sr=8-1", "https://www.amazon.com/Amprobe-ST-102B-Socket-Tester-GFCI/dp/B008E07HM2/ref=sr_1_1?keywords=Amprobe+ST-102B+Receptacle+Tester+with+GFCI&amp;qid=1695174172&amp;sr=8-1")</f>
        <v>https://www.amazon.com/Amprobe-ST-102B-Socket-Tester-GFCI/dp/B008E07HM2/ref=sr_1_1?keywords=Amprobe+ST-102B+Receptacle+Tester+with+GFCI&amp;qid=1695174172&amp;sr=8-1</v>
      </c>
      <c r="F5495" t="s">
        <v>7390</v>
      </c>
      <c r="G5495" t="e">
        <f ca="1">_xludf.IMAGE("https://edmondsonsupply.com/cdn/shop/products/PD_ST102B1.jpg?v=1662641155")</f>
        <v>#NAME?</v>
      </c>
      <c r="H5495" t="e">
        <f ca="1">_xludf.IMAGE("https://m.media-amazon.com/images/I/81-iavIBGyL._AC_UL320_.jpg")</f>
        <v>#NAME?</v>
      </c>
      <c r="I5495" t="s">
        <v>7391</v>
      </c>
      <c r="J5495">
        <v>22.15</v>
      </c>
      <c r="K5495" s="4">
        <v>0.26640000000000003</v>
      </c>
      <c r="L5495">
        <v>4.4000000000000004</v>
      </c>
      <c r="M5495">
        <v>1100</v>
      </c>
      <c r="O5495" t="s">
        <v>25</v>
      </c>
      <c r="P5495" t="s">
        <v>577</v>
      </c>
      <c r="Q5495" t="s">
        <v>7392</v>
      </c>
    </row>
    <row r="5496" spans="1:17" ht="15.5" x14ac:dyDescent="0.35">
      <c r="A5496"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5496" s="3" t="str">
        <f>HYPERLINK("https://edmondsonsupply.com/products/klein-tools-31948-bi-metal-hole-saw-3-inch", "https://edmondsonsupply.com/products/klein-tools-31948-bi-metal-hole-saw-3-inch")</f>
        <v>https://edmondsonsupply.com/products/klein-tools-31948-bi-metal-hole-saw-3-inch</v>
      </c>
      <c r="C5496" t="s">
        <v>6377</v>
      </c>
      <c r="D5496" t="s">
        <v>7393</v>
      </c>
      <c r="E5496" s="3" t="str">
        <f>HYPERLINK("https://www.amazon.com/LENOX-Tools-Bi-Metal-Speed-Technology/dp/B001HRME3Q/ref=sr_1_5?keywords=Klein+Tools+31948+Bi-Metal+Hole+Saw%2C+3-Inch&amp;qid=1695174151&amp;sr=8-5", "https://www.amazon.com/LENOX-Tools-Bi-Metal-Speed-Technology/dp/B001HRME3Q/ref=sr_1_5?keywords=Klein+Tools+31948+Bi-Metal+Hole+Saw%2C+3-Inch&amp;qid=1695174151&amp;sr=8-5")</f>
        <v>https://www.amazon.com/LENOX-Tools-Bi-Metal-Speed-Technology/dp/B001HRME3Q/ref=sr_1_5?keywords=Klein+Tools+31948+Bi-Metal+Hole+Saw%2C+3-Inch&amp;qid=1695174151&amp;sr=8-5</v>
      </c>
      <c r="F5496" t="s">
        <v>7394</v>
      </c>
      <c r="G5496" t="e">
        <f ca="1">_xludf.IMAGE("https://edmondsonsupply.com/cdn/shop/products/31948.jpg?v=1663945105")</f>
        <v>#NAME?</v>
      </c>
      <c r="H5496" t="e">
        <f ca="1">_xludf.IMAGE("https://m.media-amazon.com/images/I/61dnc3rYmwL._AC_UL320_.jpg")</f>
        <v>#NAME?</v>
      </c>
      <c r="I5496" t="s">
        <v>276</v>
      </c>
      <c r="J5496">
        <v>18.97</v>
      </c>
      <c r="K5496" s="4">
        <v>0.26550000000000001</v>
      </c>
      <c r="L5496">
        <v>4.5999999999999996</v>
      </c>
      <c r="M5496">
        <v>121</v>
      </c>
      <c r="O5496" t="s">
        <v>25</v>
      </c>
      <c r="P5496" t="s">
        <v>6378</v>
      </c>
      <c r="Q5496" t="s">
        <v>6379</v>
      </c>
    </row>
    <row r="5497" spans="1:17" ht="15.5" x14ac:dyDescent="0.35">
      <c r="A5497"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5497" s="3" t="str">
        <f>HYPERLINK("https://edmondsonsupply.com/products/diablo-tools-dag1110-7-8-in-x-7-1-2-in-auger-bit", "https://edmondsonsupply.com/products/diablo-tools-dag1110-7-8-in-x-7-1-2-in-auger-bit")</f>
        <v>https://edmondsonsupply.com/products/diablo-tools-dag1110-7-8-in-x-7-1-2-in-auger-bit</v>
      </c>
      <c r="C5497" t="s">
        <v>6839</v>
      </c>
      <c r="D5497" t="s">
        <v>3531</v>
      </c>
      <c r="E5497" s="3" t="str">
        <f>HYPERLINK("https://www.amazon.com/Diablo-Freud-DAG1140-1-1-Auger/dp/B089LK4BYB/ref=sr_1_6?keywords=Diablo+Tools+DAG1110+7%2F8+in.+x+7-1%2F2+in.+Auger+Bit&amp;qid=1695174030&amp;sr=8-6", "https://www.amazon.com/Diablo-Freud-DAG1140-1-1-Auger/dp/B089LK4BYB/ref=sr_1_6?keywords=Diablo+Tools+DAG1110+7%2F8+in.+x+7-1%2F2+in.+Auger+Bit&amp;qid=1695174030&amp;sr=8-6")</f>
        <v>https://www.amazon.com/Diablo-Freud-DAG1140-1-1-Auger/dp/B089LK4BYB/ref=sr_1_6?keywords=Diablo+Tools+DAG1110+7%2F8+in.+x+7-1%2F2+in.+Auger+Bit&amp;qid=1695174030&amp;sr=8-6</v>
      </c>
      <c r="F5497" t="s">
        <v>3532</v>
      </c>
      <c r="G5497" t="e">
        <f ca="1">_xludf.IMAGE("https://edmondsonsupply.com/cdn/shop/products/yel7mbaiyy08ii0assd5.webp?v=1680187136")</f>
        <v>#NAME?</v>
      </c>
      <c r="H5497" t="e">
        <f ca="1">_xludf.IMAGE("https://m.media-amazon.com/images/I/71oBAD0fx0L._AC_UL320_.jpg")</f>
        <v>#NAME?</v>
      </c>
      <c r="I5497" t="s">
        <v>4985</v>
      </c>
      <c r="J5497">
        <v>21.47</v>
      </c>
      <c r="K5497" s="4">
        <v>0.26519999999999999</v>
      </c>
      <c r="L5497">
        <v>4.2</v>
      </c>
      <c r="M5497">
        <v>10</v>
      </c>
      <c r="O5497" t="s">
        <v>25</v>
      </c>
      <c r="P5497" t="s">
        <v>6840</v>
      </c>
      <c r="Q5497" t="s">
        <v>6841</v>
      </c>
    </row>
    <row r="5498" spans="1:17" ht="15.5" x14ac:dyDescent="0.35">
      <c r="A5498" s="3" t="str">
        <f>HYPERLINK("https://edmondsonsupply.com/collections/electricians-tools/products/tajima-lc-303-precision-craft-303", "https://edmondsonsupply.com/collections/electricians-tools/products/tajima-lc-303-precision-craft-303")</f>
        <v>https://edmondsonsupply.com/collections/electricians-tools/products/tajima-lc-303-precision-craft-303</v>
      </c>
      <c r="B5498" s="3" t="str">
        <f>HYPERLINK("https://edmondsonsupply.com/products/tajima-lc-303-precision-craft-303", "https://edmondsonsupply.com/products/tajima-lc-303-precision-craft-303")</f>
        <v>https://edmondsonsupply.com/products/tajima-lc-303-precision-craft-303</v>
      </c>
      <c r="C5498" t="s">
        <v>7395</v>
      </c>
      <c r="D5498" t="s">
        <v>7396</v>
      </c>
      <c r="E5498" s="3" t="str">
        <f>HYPERLINK("https://www.amazon.com/TAJIMA-Utility-Knives-Blades-Endura-Blades/dp/B0008KLNR6/ref=sr_1_1?keywords=Tajima+LC-303+Precision+Craft+303+Blade+Cutter+Knife&amp;qid=1695174149&amp;sr=8-1", "https://www.amazon.com/TAJIMA-Utility-Knives-Blades-Endura-Blades/dp/B0008KLNR6/ref=sr_1_1?keywords=Tajima+LC-303+Precision+Craft+303+Blade+Cutter+Knife&amp;qid=1695174149&amp;sr=8-1")</f>
        <v>https://www.amazon.com/TAJIMA-Utility-Knives-Blades-Endura-Blades/dp/B0008KLNR6/ref=sr_1_1?keywords=Tajima+LC-303+Precision+Craft+303+Blade+Cutter+Knife&amp;qid=1695174149&amp;sr=8-1</v>
      </c>
      <c r="F5498" t="s">
        <v>7397</v>
      </c>
      <c r="G5498" t="e">
        <f ca="1">_xludf.IMAGE("https://edmondsonsupply.com/cdn/shop/products/LC-303.jpg?v=1664483437")</f>
        <v>#NAME?</v>
      </c>
      <c r="H5498" t="e">
        <f ca="1">_xludf.IMAGE("https://m.media-amazon.com/images/I/41VLFrgRZQL._AC_UL320_.jpg")</f>
        <v>#NAME?</v>
      </c>
      <c r="I5498" t="s">
        <v>7398</v>
      </c>
      <c r="J5498">
        <v>6.56</v>
      </c>
      <c r="K5498" s="4">
        <v>0.26400000000000001</v>
      </c>
      <c r="L5498">
        <v>4.3</v>
      </c>
      <c r="M5498">
        <v>13</v>
      </c>
      <c r="O5498" t="s">
        <v>25</v>
      </c>
      <c r="P5498" t="s">
        <v>138</v>
      </c>
      <c r="Q5498" t="s">
        <v>7399</v>
      </c>
    </row>
    <row r="5499" spans="1:17" ht="15.5" x14ac:dyDescent="0.35">
      <c r="A5499" s="3" t="str">
        <f>HYPERLINK("https://edmondsonsupply.com/collections/electricians-tools/products/komelon-7325-25-x-1-maggrip%E2%84%A2-speedmark%E2%84%A2-magnetic-tape-measure", "https://edmondsonsupply.com/collections/electricians-tools/products/komelon-7325-25-x-1-maggrip%E2%84%A2-speedmark%E2%84%A2-magnetic-tape-measure")</f>
        <v>https://edmondsonsupply.com/collections/electricians-tools/products/komelon-7325-25-x-1-maggrip%E2%84%A2-speedmark%E2%84%A2-magnetic-tape-measure</v>
      </c>
      <c r="B5499" s="3" t="str">
        <f>HYPERLINK("https://edmondsonsupply.com/products/komelon-7325-25-x-1-maggrip%e2%84%a2-speedmark%e2%84%a2-magnetic-tape-measure", "https://edmondsonsupply.com/products/komelon-7325-25-x-1-maggrip%e2%84%a2-speedmark%e2%84%a2-magnetic-tape-measure")</f>
        <v>https://edmondsonsupply.com/products/komelon-7325-25-x-1-maggrip%e2%84%a2-speedmark%e2%84%a2-magnetic-tape-measure</v>
      </c>
      <c r="C5499" t="s">
        <v>6059</v>
      </c>
      <c r="D5499" t="s">
        <v>7400</v>
      </c>
      <c r="E5499" s="3" t="str">
        <f>HYPERLINK("https://www.amazon.com/Komelon-7325-MagGrip-Measure-25-Feet/dp/B002IVTCDK/ref=sr_1_1?keywords=Komelon+7325+25%27+X+1%22+MagGrip%E2%84%A2+SpeedMark%E2%84%A2%2C+Magnetic+Tape+Measure&amp;qid=1695174274&amp;sr=8-1", "https://www.amazon.com/Komelon-7325-MagGrip-Measure-25-Feet/dp/B002IVTCDK/ref=sr_1_1?keywords=Komelon+7325+25%27+X+1%22+MagGrip%E2%84%A2+SpeedMark%E2%84%A2%2C+Magnetic+Tape+Measure&amp;qid=1695174274&amp;sr=8-1")</f>
        <v>https://www.amazon.com/Komelon-7325-MagGrip-Measure-25-Feet/dp/B002IVTCDK/ref=sr_1_1?keywords=Komelon+7325+25%27+X+1%22+MagGrip%E2%84%A2+SpeedMark%E2%84%A2%2C+Magnetic+Tape+Measure&amp;qid=1695174274&amp;sr=8-1</v>
      </c>
      <c r="F5499" t="s">
        <v>7401</v>
      </c>
      <c r="G5499" t="e">
        <f ca="1">_xludf.IMAGE("https://edmondsonsupply.com/cdn/shop/products/7325_angleExtended.jpg?v=1633030981")</f>
        <v>#NAME?</v>
      </c>
      <c r="H5499" t="e">
        <f ca="1">_xludf.IMAGE("https://m.media-amazon.com/images/I/81BMZejmcBL._AC_UL320_.jpg")</f>
        <v>#NAME?</v>
      </c>
      <c r="I5499" t="s">
        <v>288</v>
      </c>
      <c r="J5499">
        <v>17.68</v>
      </c>
      <c r="K5499" s="4">
        <v>0.26379999999999998</v>
      </c>
      <c r="L5499">
        <v>4.3</v>
      </c>
      <c r="M5499">
        <v>221</v>
      </c>
      <c r="O5499" t="s">
        <v>25</v>
      </c>
      <c r="P5499" t="s">
        <v>138</v>
      </c>
      <c r="Q5499" t="s">
        <v>6062</v>
      </c>
    </row>
    <row r="5500" spans="1:17" ht="15.5" x14ac:dyDescent="0.35">
      <c r="A5500"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5500"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5500" t="s">
        <v>2430</v>
      </c>
      <c r="D5500" t="s">
        <v>3678</v>
      </c>
      <c r="E5500" s="3" t="str">
        <f>HYPERLINK("https://www.amazon.com/Keystone-Screwdriver-Klein-Tools-602-6/dp/B0000302WW/ref=sr_1_8?keywords=Klein+Tools+605-6+1%2F4-Inch+Cabinet+Tip+Screwdriver%2C+Heavy+Duty%2C+6-Inch&amp;qid=1695173888&amp;sr=8-8", "https://www.amazon.com/Keystone-Screwdriver-Klein-Tools-602-6/dp/B0000302WW/ref=sr_1_8?keywords=Klein+Tools+605-6+1%2F4-Inch+Cabinet+Tip+Screwdriver%2C+Heavy+Duty%2C+6-Inch&amp;qid=1695173888&amp;sr=8-8")</f>
        <v>https://www.amazon.com/Keystone-Screwdriver-Klein-Tools-602-6/dp/B0000302WW/ref=sr_1_8?keywords=Klein+Tools+605-6+1%2F4-Inch+Cabinet+Tip+Screwdriver%2C+Heavy+Duty%2C+6-Inch&amp;qid=1695173888&amp;sr=8-8</v>
      </c>
      <c r="F5500" t="s">
        <v>3679</v>
      </c>
      <c r="G5500" t="e">
        <f ca="1">_xludf.IMAGE("https://edmondsonsupply.com/cdn/shop/products/605-6.jpg?v=1587149759")</f>
        <v>#NAME?</v>
      </c>
      <c r="H5500" t="e">
        <f ca="1">_xludf.IMAGE("https://m.media-amazon.com/images/I/51yw04G5ZvL._AC_UL320_.jpg")</f>
        <v>#NAME?</v>
      </c>
      <c r="I5500" t="s">
        <v>2433</v>
      </c>
      <c r="J5500">
        <v>11.99</v>
      </c>
      <c r="K5500" s="4">
        <v>0.26340000000000002</v>
      </c>
      <c r="L5500">
        <v>4.8</v>
      </c>
      <c r="M5500">
        <v>879</v>
      </c>
      <c r="O5500" t="s">
        <v>25</v>
      </c>
      <c r="P5500" t="s">
        <v>2434</v>
      </c>
      <c r="Q5500" t="s">
        <v>2435</v>
      </c>
    </row>
    <row r="5501" spans="1:17" ht="15.5" x14ac:dyDescent="0.35">
      <c r="A5501" s="3" t="str">
        <f>HYPERLINK("https://edmondsonsupply.com/collections/electricians-tools/products/crescent-lufkin-1-3-16-x-16-shockforce-nite-eye%E2%84%A2-g1-dual-sided-tape-measure", "https://edmondsonsupply.com/collections/electricians-tools/products/crescent-lufkin-1-3-16-x-16-shockforce-nite-eye%E2%84%A2-g1-dual-sided-tape-measure")</f>
        <v>https://edmondsonsupply.com/collections/electricians-tools/products/crescent-lufkin-1-3-16-x-16-shockforce-nite-eye%E2%84%A2-g1-dual-sided-tape-measure</v>
      </c>
      <c r="B5501" s="3" t="str">
        <f>HYPERLINK("https://edmondsonsupply.com/products/crescent-lufkin-1-3-16-x-16-shockforce-nite-eye%e2%84%a2-g1-dual-sided-tape-measure", "https://edmondsonsupply.com/products/crescent-lufkin-1-3-16-x-16-shockforce-nite-eye%e2%84%a2-g1-dual-sided-tape-measure")</f>
        <v>https://edmondsonsupply.com/products/crescent-lufkin-1-3-16-x-16-shockforce-nite-eye%e2%84%a2-g1-dual-sided-tape-measure</v>
      </c>
      <c r="C5501" t="s">
        <v>7343</v>
      </c>
      <c r="D5501" t="s">
        <v>7402</v>
      </c>
      <c r="E5501" s="3" t="str">
        <f>HYPERLINK("https://www.amazon.com/CRESCENT-LUFKIN-Crescent-Lufkin-Shock/dp/B09N3VL34P/ref=sr_1_2?keywords=Crescent+Lufkin+L1116B-02+1-3%2F16%22+x+16%27+Shockforce+Nite+Eye%E2%84%A2+G1+Dual+Sided+Tape+Measure&amp;qid=1695174039&amp;sr=8-2", "https://www.amazon.com/CRESCENT-LUFKIN-Crescent-Lufkin-Shock/dp/B09N3VL34P/ref=sr_1_2?keywords=Crescent+Lufkin+L1116B-02+1-3%2F16%22+x+16%27+Shockforce+Nite+Eye%E2%84%A2+G1+Dual+Sided+Tape+Measure&amp;qid=1695174039&amp;sr=8-2")</f>
        <v>https://www.amazon.com/CRESCENT-LUFKIN-Crescent-Lufkin-Shock/dp/B09N3VL34P/ref=sr_1_2?keywords=Crescent+Lufkin+L1116B-02+1-3%2F16%22+x+16%27+Shockforce+Nite+Eye%E2%84%A2+G1+Dual+Sided+Tape+Measure&amp;qid=1695174039&amp;sr=8-2</v>
      </c>
      <c r="F5501" t="s">
        <v>7403</v>
      </c>
      <c r="G5501" t="e">
        <f ca="1">_xludf.IMAGE("https://edmondsonsupply.com/cdn/shop/products/LFK_L11168_IMG_FRONT.jpg?v=1679577698")</f>
        <v>#NAME?</v>
      </c>
      <c r="H5501" t="e">
        <f ca="1">_xludf.IMAGE("https://m.media-amazon.com/images/I/911pAo7DD4L._AC_UL320_.jpg")</f>
        <v>#NAME?</v>
      </c>
      <c r="I5501" t="s">
        <v>471</v>
      </c>
      <c r="J5501">
        <v>31.55</v>
      </c>
      <c r="K5501" s="4">
        <v>0.26250000000000001</v>
      </c>
      <c r="L5501">
        <v>4.4000000000000004</v>
      </c>
      <c r="M5501">
        <v>57</v>
      </c>
      <c r="O5501" t="s">
        <v>25</v>
      </c>
      <c r="P5501" t="s">
        <v>7346</v>
      </c>
      <c r="Q5501" t="s">
        <v>7347</v>
      </c>
    </row>
    <row r="5502" spans="1:17" ht="15.5" x14ac:dyDescent="0.35">
      <c r="A5502"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5502"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5502" t="s">
        <v>2430</v>
      </c>
      <c r="D5502" t="s">
        <v>3682</v>
      </c>
      <c r="E5502" s="3" t="str">
        <f>HYPERLINK("https://www.amazon.com/Klein-Tools-6866INS-Screwdriver-Cushion-Grip/dp/B0BF73PSWC/ref=sr_1_6?keywords=Klein+Tools+605-6+1%2F4-Inch+Cabinet+Tip+Screwdriver%2C+Heavy+Duty%2C+6-Inch&amp;qid=1695173888&amp;sr=8-6", "https://www.amazon.com/Klein-Tools-6866INS-Screwdriver-Cushion-Grip/dp/B0BF73PSWC/ref=sr_1_6?keywords=Klein+Tools+605-6+1%2F4-Inch+Cabinet+Tip+Screwdriver%2C+Heavy+Duty%2C+6-Inch&amp;qid=1695173888&amp;sr=8-6")</f>
        <v>https://www.amazon.com/Klein-Tools-6866INS-Screwdriver-Cushion-Grip/dp/B0BF73PSWC/ref=sr_1_6?keywords=Klein+Tools+605-6+1%2F4-Inch+Cabinet+Tip+Screwdriver%2C+Heavy+Duty%2C+6-Inch&amp;qid=1695173888&amp;sr=8-6</v>
      </c>
      <c r="F5502" t="s">
        <v>3683</v>
      </c>
      <c r="G5502" t="e">
        <f ca="1">_xludf.IMAGE("https://edmondsonsupply.com/cdn/shop/products/605-6.jpg?v=1587149759")</f>
        <v>#NAME?</v>
      </c>
      <c r="H5502" t="e">
        <f ca="1">_xludf.IMAGE("https://m.media-amazon.com/images/I/41Sx5h6xG-L._AC_UL320_.jpg")</f>
        <v>#NAME?</v>
      </c>
      <c r="I5502" t="s">
        <v>2433</v>
      </c>
      <c r="J5502">
        <v>11.97</v>
      </c>
      <c r="K5502" s="4">
        <v>0.26129999999999998</v>
      </c>
      <c r="L5502">
        <v>4.9000000000000004</v>
      </c>
      <c r="M5502">
        <v>205</v>
      </c>
      <c r="O5502" t="s">
        <v>25</v>
      </c>
      <c r="P5502" t="s">
        <v>2434</v>
      </c>
      <c r="Q5502" t="s">
        <v>2435</v>
      </c>
    </row>
    <row r="5503" spans="1:17" ht="15.5" x14ac:dyDescent="0.35">
      <c r="A5503"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5503" s="3" t="str">
        <f>HYPERLINK("https://edmondsonsupply.com/products/diablo-tools-dag3040-9-16-in-x-17-1-2-in-auger-bit", "https://edmondsonsupply.com/products/diablo-tools-dag3040-9-16-in-x-17-1-2-in-auger-bit")</f>
        <v>https://edmondsonsupply.com/products/diablo-tools-dag3040-9-16-in-x-17-1-2-in-auger-bit</v>
      </c>
      <c r="C5503" t="s">
        <v>7382</v>
      </c>
      <c r="D5503" t="s">
        <v>7404</v>
      </c>
      <c r="E5503" s="3" t="str">
        <f>HYPERLINK("https://www.amazon.com/Diablo-16-17-1-Auger-Bit/dp/B089LDN2LV/ref=sr_1_1?keywords=Diablo+Tools+DAG3040+9%2F16+in.+x+17-1%2F2+in.+Auger+Bit&amp;qid=1695174106&amp;sr=8-1", "https://www.amazon.com/Diablo-16-17-1-Auger-Bit/dp/B089LDN2LV/ref=sr_1_1?keywords=Diablo+Tools+DAG3040+9%2F16+in.+x+17-1%2F2+in.+Auger+Bit&amp;qid=1695174106&amp;sr=8-1")</f>
        <v>https://www.amazon.com/Diablo-16-17-1-Auger-Bit/dp/B089LDN2LV/ref=sr_1_1?keywords=Diablo+Tools+DAG3040+9%2F16+in.+x+17-1%2F2+in.+Auger+Bit&amp;qid=1695174106&amp;sr=8-1</v>
      </c>
      <c r="F5503" t="s">
        <v>7405</v>
      </c>
      <c r="G5503" t="e">
        <f ca="1">_xludf.IMAGE("https://edmondsonsupply.com/cdn/shop/products/fmfcptadhtney3owwa7y.webp?v=1669993222")</f>
        <v>#NAME?</v>
      </c>
      <c r="H5503" t="e">
        <f ca="1">_xludf.IMAGE("https://m.media-amazon.com/images/I/61mtvebHezL._AC_UL320_.jpg")</f>
        <v>#NAME?</v>
      </c>
      <c r="I5503" t="s">
        <v>7383</v>
      </c>
      <c r="J5503">
        <v>22.47</v>
      </c>
      <c r="K5503" s="4">
        <v>0.26019999999999999</v>
      </c>
      <c r="L5503">
        <v>4.8</v>
      </c>
      <c r="M5503">
        <v>8</v>
      </c>
      <c r="O5503" t="s">
        <v>25</v>
      </c>
      <c r="P5503" t="s">
        <v>7384</v>
      </c>
      <c r="Q5503" t="s">
        <v>7385</v>
      </c>
    </row>
    <row r="5504" spans="1:17" ht="15.5" x14ac:dyDescent="0.35">
      <c r="A5504"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5504" s="3" t="str">
        <f>HYPERLINK("https://edmondsonsupply.com/products/milwaukee-49-56-0505-1-4-diamond-max%e2%84%a2-hole-saw", "https://edmondsonsupply.com/products/milwaukee-49-56-0505-1-4-diamond-max%e2%84%a2-hole-saw")</f>
        <v>https://edmondsonsupply.com/products/milwaukee-49-56-0505-1-4-diamond-max%e2%84%a2-hole-saw</v>
      </c>
      <c r="C5504" t="s">
        <v>6614</v>
      </c>
      <c r="D5504" t="s">
        <v>7406</v>
      </c>
      <c r="E5504" s="3" t="str">
        <f>HYPERLINK("https://www.amazon.com/Miluwakee-Milwaukee-49-56-0501-Diamond-4inch/dp/B09L5DK255/ref=sr_1_2?keywords=Milwaukee+49-56-0505+1%2F4%22+Diamond+MAX%E2%84%A2+Hole+Saw&amp;qid=1695174028&amp;sr=8-2", "https://www.amazon.com/Miluwakee-Milwaukee-49-56-0501-Diamond-4inch/dp/B09L5DK255/ref=sr_1_2?keywords=Milwaukee+49-56-0505+1%2F4%22+Diamond+MAX%E2%84%A2+Hole+Saw&amp;qid=1695174028&amp;sr=8-2")</f>
        <v>https://www.amazon.com/Miluwakee-Milwaukee-49-56-0501-Diamond-4inch/dp/B09L5DK255/ref=sr_1_2?keywords=Milwaukee+49-56-0505+1%2F4%22+Diamond+MAX%E2%84%A2+Hole+Saw&amp;qid=1695174028&amp;sr=8-2</v>
      </c>
      <c r="F5504" t="s">
        <v>7407</v>
      </c>
      <c r="G5504" t="e">
        <f ca="1">_xludf.IMAGE("https://edmondsonsupply.com/cdn/shop/products/49-56-0507_1.png?v=1680111300")</f>
        <v>#NAME?</v>
      </c>
      <c r="H5504" t="e">
        <f ca="1">_xludf.IMAGE("https://m.media-amazon.com/images/I/61ZDvOsOb3L._AC_UL320_.jpg")</f>
        <v>#NAME?</v>
      </c>
      <c r="I5504" t="s">
        <v>577</v>
      </c>
      <c r="J5504">
        <v>25.19</v>
      </c>
      <c r="K5504" s="4">
        <v>0.2601</v>
      </c>
      <c r="L5504">
        <v>4.8</v>
      </c>
      <c r="M5504">
        <v>5</v>
      </c>
      <c r="O5504" t="s">
        <v>25</v>
      </c>
      <c r="P5504" t="s">
        <v>6617</v>
      </c>
      <c r="Q5504" t="s">
        <v>6618</v>
      </c>
    </row>
    <row r="5505" spans="1:17" ht="15.5" x14ac:dyDescent="0.35">
      <c r="A5505" s="3" t="str">
        <f>HYPERLINK("https://edmondsonsupply.com/collections/electricians-tools/products/klein-tools-11045-wire-stripper-cutter-10-18-awg-solid", "https://edmondsonsupply.com/collections/electricians-tools/products/klein-tools-11045-wire-stripper-cutter-10-18-awg-solid")</f>
        <v>https://edmondsonsupply.com/collections/electricians-tools/products/klein-tools-11045-wire-stripper-cutter-10-18-awg-solid</v>
      </c>
      <c r="B5505" s="3" t="str">
        <f>HYPERLINK("https://edmondsonsupply.com/products/klein-tools-11045-wire-stripper-cutter-10-18-awg-solid", "https://edmondsonsupply.com/products/klein-tools-11045-wire-stripper-cutter-10-18-awg-solid")</f>
        <v>https://edmondsonsupply.com/products/klein-tools-11045-wire-stripper-cutter-10-18-awg-solid</v>
      </c>
      <c r="C5505" t="s">
        <v>6016</v>
      </c>
      <c r="D5505" t="s">
        <v>4941</v>
      </c>
      <c r="E5505" s="3" t="str">
        <f>HYPERLINK("https://www.amazon.com/Klein-Tools-K11095-Klein-Kurve-Stripper/dp/B08TQ83P2C/ref=sr_1_3?keywords=Klein+Tools+11045+Wire+Stripper%2FCutter+%2810-18+AWG+Solid%29&amp;qid=1695174263&amp;sr=8-3", "https://www.amazon.com/Klein-Tools-K11095-Klein-Kurve-Stripper/dp/B08TQ83P2C/ref=sr_1_3?keywords=Klein+Tools+11045+Wire+Stripper%2FCutter+%2810-18+AWG+Solid%29&amp;qid=1695174263&amp;sr=8-3")</f>
        <v>https://www.amazon.com/Klein-Tools-K11095-Klein-Kurve-Stripper/dp/B08TQ83P2C/ref=sr_1_3?keywords=Klein+Tools+11045+Wire+Stripper%2FCutter+%2810-18+AWG+Solid%29&amp;qid=1695174263&amp;sr=8-3</v>
      </c>
      <c r="F5505" t="s">
        <v>4942</v>
      </c>
      <c r="G5505" t="e">
        <f ca="1">_xludf.IMAGE("https://edmondsonsupply.com/cdn/shop/products/11045.jpg?v=1633031022")</f>
        <v>#NAME?</v>
      </c>
      <c r="H5505" t="e">
        <f ca="1">_xludf.IMAGE("https://m.media-amazon.com/images/I/5180XMjuiIL._AC_UL320_.jpg")</f>
        <v>#NAME?</v>
      </c>
      <c r="I5505" t="s">
        <v>143</v>
      </c>
      <c r="J5505">
        <v>20.07</v>
      </c>
      <c r="K5505" s="4">
        <v>0.25669999999999998</v>
      </c>
      <c r="L5505">
        <v>4.8</v>
      </c>
      <c r="M5505">
        <v>439</v>
      </c>
      <c r="O5505" t="s">
        <v>25</v>
      </c>
      <c r="P5505" t="s">
        <v>6019</v>
      </c>
      <c r="Q5505" t="s">
        <v>6020</v>
      </c>
    </row>
    <row r="5506" spans="1:17" ht="15.5" x14ac:dyDescent="0.35">
      <c r="A5506" s="3" t="str">
        <f>HYPERLINK("https://edmondsonsupply.com/collections/electricians-tools/products/diablo-tools-dag", "https://edmondsonsupply.com/collections/electricians-tools/products/diablo-tools-dag")</f>
        <v>https://edmondsonsupply.com/collections/electricians-tools/products/diablo-tools-dag</v>
      </c>
      <c r="B5506" s="3" t="str">
        <f>HYPERLINK("https://edmondsonsupply.com/products/diablo-tools-dag", "https://edmondsonsupply.com/products/diablo-tools-dag")</f>
        <v>https://edmondsonsupply.com/products/diablo-tools-dag</v>
      </c>
      <c r="C5506" t="s">
        <v>6819</v>
      </c>
      <c r="D5506" t="s">
        <v>7408</v>
      </c>
      <c r="E5506" s="3" t="str">
        <f>HYPERLINK("https://www.amazon.com/Diablo-Freud-DAG3010-17-1-Auger/dp/B089KY885C/ref=sr_1_1?keywords=Diablo+Tools+DAG3010+3%2F8+in.+x+17-1%2F2+in.+Auger+Bit&amp;qid=1695174114&amp;sr=8-1", "https://www.amazon.com/Diablo-Freud-DAG3010-17-1-Auger/dp/B089KY885C/ref=sr_1_1?keywords=Diablo+Tools+DAG3010+3%2F8+in.+x+17-1%2F2+in.+Auger+Bit&amp;qid=1695174114&amp;sr=8-1")</f>
        <v>https://www.amazon.com/Diablo-Freud-DAG3010-17-1-Auger/dp/B089KY885C/ref=sr_1_1?keywords=Diablo+Tools+DAG3010+3%2F8+in.+x+17-1%2F2+in.+Auger+Bit&amp;qid=1695174114&amp;sr=8-1</v>
      </c>
      <c r="F5506" t="s">
        <v>7409</v>
      </c>
      <c r="G5506" t="e">
        <f ca="1">_xludf.IMAGE("https://edmondsonsupply.com/cdn/shop/products/xfctdbahz5wx3g461fm8.webp?v=1669991052")</f>
        <v>#NAME?</v>
      </c>
      <c r="H5506" t="e">
        <f ca="1">_xludf.IMAGE("https://m.media-amazon.com/images/I/61cpdlwqiHL._AC_UL320_.jpg")</f>
        <v>#NAME?</v>
      </c>
      <c r="I5506" t="s">
        <v>5147</v>
      </c>
      <c r="J5506">
        <v>21.95</v>
      </c>
      <c r="K5506" s="4">
        <v>0.25640000000000002</v>
      </c>
      <c r="L5506">
        <v>4.5</v>
      </c>
      <c r="M5506">
        <v>4</v>
      </c>
      <c r="O5506" t="s">
        <v>25</v>
      </c>
      <c r="P5506" t="s">
        <v>6822</v>
      </c>
      <c r="Q5506" t="s">
        <v>6823</v>
      </c>
    </row>
    <row r="5507" spans="1:17" ht="15.5" x14ac:dyDescent="0.35">
      <c r="A5507" s="3" t="str">
        <f>HYPERLINK("https://edmondsonsupply.com/collections/electricians-tools/products/fieldpiece-sncv1", "https://edmondsonsupply.com/collections/electricians-tools/products/fieldpiece-sncv1")</f>
        <v>https://edmondsonsupply.com/collections/electricians-tools/products/fieldpiece-sncv1</v>
      </c>
      <c r="B5507" s="3" t="str">
        <f>HYPERLINK("https://edmondsonsupply.com/products/fieldpiece-sncv1", "https://edmondsonsupply.com/products/fieldpiece-sncv1")</f>
        <v>https://edmondsonsupply.com/products/fieldpiece-sncv1</v>
      </c>
      <c r="C5507" t="s">
        <v>7410</v>
      </c>
      <c r="D5507" t="s">
        <v>7411</v>
      </c>
      <c r="E5507" s="3" t="str">
        <f>HYPERLINK("https://www.amazon.com/Fieldpiece-SNCV1-Non-Contact-Voltage-Detector/dp/B003ZZIUD6/ref=sr_1_1?keywords=Fieldpiece+SNCV1+Non-contact+Voltage+Detector&amp;qid=1695173950&amp;sr=8-1", "https://www.amazon.com/Fieldpiece-SNCV1-Non-Contact-Voltage-Detector/dp/B003ZZIUD6/ref=sr_1_1?keywords=Fieldpiece+SNCV1+Non-contact+Voltage+Detector&amp;qid=1695173950&amp;sr=8-1")</f>
        <v>https://www.amazon.com/Fieldpiece-SNCV1-Non-Contact-Voltage-Detector/dp/B003ZZIUD6/ref=sr_1_1?keywords=Fieldpiece+SNCV1+Non-contact+Voltage+Detector&amp;qid=1695173950&amp;sr=8-1</v>
      </c>
      <c r="F5507" t="s">
        <v>7412</v>
      </c>
      <c r="G5507" t="e">
        <f ca="1">_xludf.IMAGE("https://edmondsonsupply.com/cdn/shop/products/57_3_2aa5a2b3-3761-4dc0-acd7-a8febdd5b5d2.jpg?v=1633030161")</f>
        <v>#NAME?</v>
      </c>
      <c r="H5507" t="e">
        <f ca="1">_xludf.IMAGE("https://m.media-amazon.com/images/I/41PP2Bi46fL._AC_UL320_.jpg")</f>
        <v>#NAME?</v>
      </c>
      <c r="I5507" t="s">
        <v>7413</v>
      </c>
      <c r="J5507">
        <v>19.2</v>
      </c>
      <c r="K5507" s="4">
        <v>0.25490000000000002</v>
      </c>
      <c r="L5507">
        <v>3.9</v>
      </c>
      <c r="M5507">
        <v>55</v>
      </c>
      <c r="O5507" t="s">
        <v>25</v>
      </c>
      <c r="P5507" t="s">
        <v>835</v>
      </c>
      <c r="Q5507" t="s">
        <v>7414</v>
      </c>
    </row>
    <row r="5508" spans="1:17" ht="15.5" x14ac:dyDescent="0.35">
      <c r="A5508" s="3" t="str">
        <f>HYPERLINK("https://edmondsonsupply.com/collections/electricians-tools/products/klein-tools-69381-heavy-duty-alligator-clip-test-leads-3-foot", "https://edmondsonsupply.com/collections/electricians-tools/products/klein-tools-69381-heavy-duty-alligator-clip-test-leads-3-foot")</f>
        <v>https://edmondsonsupply.com/collections/electricians-tools/products/klein-tools-69381-heavy-duty-alligator-clip-test-leads-3-foot</v>
      </c>
      <c r="B5508" s="3" t="str">
        <f>HYPERLINK("https://edmondsonsupply.com/products/klein-tools-69381-heavy-duty-alligator-clip-test-leads-3-foot", "https://edmondsonsupply.com/products/klein-tools-69381-heavy-duty-alligator-clip-test-leads-3-foot")</f>
        <v>https://edmondsonsupply.com/products/klein-tools-69381-heavy-duty-alligator-clip-test-leads-3-foot</v>
      </c>
      <c r="C5508" t="s">
        <v>6089</v>
      </c>
      <c r="D5508" t="s">
        <v>7415</v>
      </c>
      <c r="E5508" s="3" t="str">
        <f>HYPERLINK("https://www.amazon.com/Klein-Tools-69381-Heavy-Duty-Replacement/dp/B09YTDKDPQ/ref=sr_1_1?keywords=Klein+Tools+69381+Heavy-Duty+Alligator+Clip+Test+Leads%2C+3-Foot&amp;qid=1695174138&amp;sr=8-1", "https://www.amazon.com/Klein-Tools-69381-Heavy-Duty-Replacement/dp/B09YTDKDPQ/ref=sr_1_1?keywords=Klein+Tools+69381+Heavy-Duty+Alligator+Clip+Test+Leads%2C+3-Foot&amp;qid=1695174138&amp;sr=8-1")</f>
        <v>https://www.amazon.com/Klein-Tools-69381-Heavy-Duty-Replacement/dp/B09YTDKDPQ/ref=sr_1_1?keywords=Klein+Tools+69381+Heavy-Duty+Alligator+Clip+Test+Leads%2C+3-Foot&amp;qid=1695174138&amp;sr=8-1</v>
      </c>
      <c r="F5508" t="s">
        <v>7416</v>
      </c>
      <c r="G5508" t="e">
        <f ca="1">_xludf.IMAGE("https://edmondsonsupply.com/cdn/shop/products/69381_photo.jpg?v=1666889006")</f>
        <v>#NAME?</v>
      </c>
      <c r="H5508" t="e">
        <f ca="1">_xludf.IMAGE("https://m.media-amazon.com/images/I/41l4PY6Mw1L._AC_UY218_.jpg")</f>
        <v>#NAME?</v>
      </c>
      <c r="I5508" t="s">
        <v>276</v>
      </c>
      <c r="J5508">
        <v>18.8</v>
      </c>
      <c r="K5508" s="4">
        <v>0.25419999999999998</v>
      </c>
      <c r="L5508">
        <v>4.7</v>
      </c>
      <c r="M5508">
        <v>173</v>
      </c>
      <c r="O5508" t="s">
        <v>25</v>
      </c>
      <c r="P5508" t="s">
        <v>277</v>
      </c>
      <c r="Q5508" t="s">
        <v>6092</v>
      </c>
    </row>
    <row r="5509" spans="1:17" ht="15.5" x14ac:dyDescent="0.35">
      <c r="A5509"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5509" s="3" t="str">
        <f>HYPERLINK("https://edmondsonsupply.com/products/klein-tools-d504-10-classic-klaw%e2%84%a2-pump-pliers-10-inch", "https://edmondsonsupply.com/products/klein-tools-d504-10-classic-klaw%e2%84%a2-pump-pliers-10-inch")</f>
        <v>https://edmondsonsupply.com/products/klein-tools-d504-10-classic-klaw%e2%84%a2-pump-pliers-10-inch</v>
      </c>
      <c r="C5509" t="s">
        <v>3718</v>
      </c>
      <c r="D5509" t="s">
        <v>3719</v>
      </c>
      <c r="E5509" s="3" t="str">
        <f>HYPERLINK("https://www.amazon.com/Quick-Adjust-10-Inch-Klein-Tools-D504-10B/dp/B00BJ4ORDM/ref=sr_1_1?keywords=Klein+Tools+D504-10+Classic+Klaw%E2%84%A2+Pump+Pliers%2C+10-Inch&amp;qid=1695173948&amp;sr=8-1", "https://www.amazon.com/Quick-Adjust-10-Inch-Klein-Tools-D504-10B/dp/B00BJ4ORDM/ref=sr_1_1?keywords=Klein+Tools+D504-10+Classic+Klaw%E2%84%A2+Pump+Pliers%2C+10-Inch&amp;qid=1695173948&amp;sr=8-1")</f>
        <v>https://www.amazon.com/Quick-Adjust-10-Inch-Klein-Tools-D504-10B/dp/B00BJ4ORDM/ref=sr_1_1?keywords=Klein+Tools+D504-10+Classic+Klaw%E2%84%A2+Pump+Pliers%2C+10-Inch&amp;qid=1695173948&amp;sr=8-1</v>
      </c>
      <c r="F5509" t="s">
        <v>3720</v>
      </c>
      <c r="G5509" t="e">
        <f ca="1">_xludf.IMAGE("https://edmondsonsupply.com/cdn/shop/products/d504-10.jpg?v=1587142942")</f>
        <v>#NAME?</v>
      </c>
      <c r="H5509" t="e">
        <f ca="1">_xludf.IMAGE("https://m.media-amazon.com/images/I/51G8XuICYiL._AC_UL320_.jpg")</f>
        <v>#NAME?</v>
      </c>
      <c r="I5509" t="s">
        <v>3721</v>
      </c>
      <c r="J5509">
        <v>42.56</v>
      </c>
      <c r="K5509" s="4">
        <v>0.25290000000000001</v>
      </c>
      <c r="L5509">
        <v>4.7</v>
      </c>
      <c r="M5509">
        <v>259</v>
      </c>
      <c r="O5509" t="s">
        <v>25</v>
      </c>
      <c r="P5509" t="s">
        <v>3722</v>
      </c>
      <c r="Q5509" t="s">
        <v>3723</v>
      </c>
    </row>
    <row r="5510" spans="1:17" ht="15.5" x14ac:dyDescent="0.35">
      <c r="A5510" s="3" t="str">
        <f>HYPERLINK("https://edmondsonsupply.com/collections/electricians-tools/products/klein-tools-6886ins-insulated-screwdriver-1-square-tip-6-inch-shank", "https://edmondsonsupply.com/collections/electricians-tools/products/klein-tools-6886ins-insulated-screwdriver-1-square-tip-6-inch-shank")</f>
        <v>https://edmondsonsupply.com/collections/electricians-tools/products/klein-tools-6886ins-insulated-screwdriver-1-square-tip-6-inch-shank</v>
      </c>
      <c r="B5510" s="3" t="str">
        <f>HYPERLINK("https://edmondsonsupply.com/products/klein-tools-6886ins-insulated-screwdriver-1-square-tip-6-inch-shank", "https://edmondsonsupply.com/products/klein-tools-6886ins-insulated-screwdriver-1-square-tip-6-inch-shank")</f>
        <v>https://edmondsonsupply.com/products/klein-tools-6886ins-insulated-screwdriver-1-square-tip-6-inch-shank</v>
      </c>
      <c r="C5510" t="s">
        <v>7417</v>
      </c>
      <c r="D5510" t="s">
        <v>7418</v>
      </c>
      <c r="E5510" s="3" t="str">
        <f>HYPERLINK("https://www.amazon.com/Klein-Tools-6936INS-Screwdriver-Cushion-Grip/dp/B09GPZMQ1R/ref=sr_1_6?keywords=Klein+Tools+6886INS+Insulated+Screwdriver%2C&amp;qid=1695174139&amp;sr=8-6", "https://www.amazon.com/Klein-Tools-6936INS-Screwdriver-Cushion-Grip/dp/B09GPZMQ1R/ref=sr_1_6?keywords=Klein+Tools+6886INS+Insulated+Screwdriver%2C&amp;qid=1695174139&amp;sr=8-6")</f>
        <v>https://www.amazon.com/Klein-Tools-6936INS-Screwdriver-Cushion-Grip/dp/B09GPZMQ1R/ref=sr_1_6?keywords=Klein+Tools+6886INS+Insulated+Screwdriver%2C&amp;qid=1695174139&amp;sr=8-6</v>
      </c>
      <c r="F5510" t="s">
        <v>7419</v>
      </c>
      <c r="G5510" t="e">
        <f ca="1">_xludf.IMAGE("https://edmondsonsupply.com/cdn/shop/products/6886ins.jpg?v=1664889697")</f>
        <v>#NAME?</v>
      </c>
      <c r="H5510" t="e">
        <f ca="1">_xludf.IMAGE("https://m.media-amazon.com/images/I/414OB6kFvkL._AC_UL320_.jpg")</f>
        <v>#NAME?</v>
      </c>
      <c r="I5510" t="s">
        <v>6073</v>
      </c>
      <c r="J5510">
        <v>14.99</v>
      </c>
      <c r="K5510" s="4">
        <v>0.25230000000000002</v>
      </c>
      <c r="L5510">
        <v>4.9000000000000004</v>
      </c>
      <c r="M5510">
        <v>71</v>
      </c>
      <c r="O5510" t="s">
        <v>25</v>
      </c>
      <c r="P5510" t="s">
        <v>6728</v>
      </c>
      <c r="Q5510" t="s">
        <v>7420</v>
      </c>
    </row>
    <row r="5511" spans="1:17" ht="15.5" x14ac:dyDescent="0.35">
      <c r="A5511"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5511" s="3" t="str">
        <f>HYPERLINK("https://edmondsonsupply.com/products/diablo-tools-d0624x-6-1-2-in-24-tooth-framing-saw-blade", "https://edmondsonsupply.com/products/diablo-tools-d0624x-6-1-2-in-24-tooth-framing-saw-blade")</f>
        <v>https://edmondsonsupply.com/products/diablo-tools-d0624x-6-1-2-in-24-tooth-framing-saw-blade</v>
      </c>
      <c r="C5511" t="s">
        <v>6070</v>
      </c>
      <c r="D5511" t="s">
        <v>7421</v>
      </c>
      <c r="E5511" s="3" t="str">
        <f>HYPERLINK("https://www.amazon.com/2-Inch-24-Tooth-Circular-Framing-Cutting/dp/B09RZZ5VHQ/ref=sr_1_8?keywords=Diablo+Tools+D0624X+6-1%2F2+in.+24-Tooth+Framing+Saw+Blade&amp;qid=1695174066&amp;sr=8-8", "https://www.amazon.com/2-Inch-24-Tooth-Circular-Framing-Cutting/dp/B09RZZ5VHQ/ref=sr_1_8?keywords=Diablo+Tools+D0624X+6-1%2F2+in.+24-Tooth+Framing+Saw+Blade&amp;qid=1695174066&amp;sr=8-8")</f>
        <v>https://www.amazon.com/2-Inch-24-Tooth-Circular-Framing-Cutting/dp/B09RZZ5VHQ/ref=sr_1_8?keywords=Diablo+Tools+D0624X+6-1%2F2+in.+24-Tooth+Framing+Saw+Blade&amp;qid=1695174066&amp;sr=8-8</v>
      </c>
      <c r="F5511" t="s">
        <v>7422</v>
      </c>
      <c r="G5511" t="e">
        <f ca="1">_xludf.IMAGE("https://edmondsonsupply.com/cdn/shop/products/mfin0gl4ono6qztsnrth.webp?v=1678982694")</f>
        <v>#NAME?</v>
      </c>
      <c r="H5511" t="e">
        <f ca="1">_xludf.IMAGE("https://m.media-amazon.com/images/I/61CBTtpDg3L._AC_UL320_.jpg")</f>
        <v>#NAME?</v>
      </c>
      <c r="I5511" t="s">
        <v>6073</v>
      </c>
      <c r="J5511">
        <v>14.99</v>
      </c>
      <c r="K5511" s="4">
        <v>0.25230000000000002</v>
      </c>
      <c r="L5511">
        <v>4.5</v>
      </c>
      <c r="M5511">
        <v>1927</v>
      </c>
      <c r="O5511" t="s">
        <v>25</v>
      </c>
      <c r="P5511" t="s">
        <v>6074</v>
      </c>
      <c r="Q5511" t="s">
        <v>6075</v>
      </c>
    </row>
    <row r="5512" spans="1:17" ht="15.5" x14ac:dyDescent="0.35">
      <c r="A5512"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5512"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5512" t="s">
        <v>7204</v>
      </c>
      <c r="D5512" t="s">
        <v>7098</v>
      </c>
      <c r="E5512" s="3" t="str">
        <f>HYPERLINK("https://www.amazon.com/Klein-Tools-6926INS-Screwdriver-Cushion-Grip/dp/B09GL1X5SZ/ref=sr_1_8?keywords=Klein+Tools+6816INS+Insulated+Screwdriver%2C+3%2F16-Inch+Cabinet+Tip%2C+6-Inch+Round+Shank&amp;qid=1695174141&amp;sr=8-8", "https://www.amazon.com/Klein-Tools-6926INS-Screwdriver-Cushion-Grip/dp/B09GL1X5SZ/ref=sr_1_8?keywords=Klein+Tools+6816INS+Insulated+Screwdriver%2C+3%2F16-Inch+Cabinet+Tip%2C+6-Inch+Round+Shank&amp;qid=1695174141&amp;sr=8-8")</f>
        <v>https://www.amazon.com/Klein-Tools-6926INS-Screwdriver-Cushion-Grip/dp/B09GL1X5SZ/ref=sr_1_8?keywords=Klein+Tools+6816INS+Insulated+Screwdriver%2C+3%2F16-Inch+Cabinet+Tip%2C+6-Inch+Round+Shank&amp;qid=1695174141&amp;sr=8-8</v>
      </c>
      <c r="F5512" t="s">
        <v>7099</v>
      </c>
      <c r="G5512" t="e">
        <f ca="1">_xludf.IMAGE("https://edmondsonsupply.com/cdn/shop/products/6816ins.jpg?v=1664812840")</f>
        <v>#NAME?</v>
      </c>
      <c r="H5512" t="e">
        <f ca="1">_xludf.IMAGE("https://m.media-amazon.com/images/I/41JbepP5oGL._AC_UL320_.jpg")</f>
        <v>#NAME?</v>
      </c>
      <c r="I5512" t="s">
        <v>6073</v>
      </c>
      <c r="J5512">
        <v>14.99</v>
      </c>
      <c r="K5512" s="4">
        <v>0.25230000000000002</v>
      </c>
      <c r="L5512">
        <v>4.8</v>
      </c>
      <c r="M5512">
        <v>85</v>
      </c>
      <c r="O5512" t="s">
        <v>25</v>
      </c>
      <c r="P5512" t="s">
        <v>6728</v>
      </c>
      <c r="Q5512" t="s">
        <v>7205</v>
      </c>
    </row>
    <row r="5513" spans="1:17" ht="15.5" x14ac:dyDescent="0.35">
      <c r="A5513"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5513"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5513" t="s">
        <v>6781</v>
      </c>
      <c r="D5513" t="s">
        <v>7098</v>
      </c>
      <c r="E5513" s="3" t="str">
        <f>HYPERLINK("https://www.amazon.com/Klein-Tools-6926INS-Screwdriver-Cushion-Grip/dp/B09GL1X5SZ/ref=sr_1_4?keywords=Klein+Tools+6866INS+Insulated+Screwdriver%2C+5%2F16-Inch+Cabinet+Tip%2C+6-Inch+Shank&amp;qid=1695174142&amp;sr=8-4", "https://www.amazon.com/Klein-Tools-6926INS-Screwdriver-Cushion-Grip/dp/B09GL1X5SZ/ref=sr_1_4?keywords=Klein+Tools+6866INS+Insulated+Screwdriver%2C+5%2F16-Inch+Cabinet+Tip%2C+6-Inch+Shank&amp;qid=1695174142&amp;sr=8-4")</f>
        <v>https://www.amazon.com/Klein-Tools-6926INS-Screwdriver-Cushion-Grip/dp/B09GL1X5SZ/ref=sr_1_4?keywords=Klein+Tools+6866INS+Insulated+Screwdriver%2C+5%2F16-Inch+Cabinet+Tip%2C+6-Inch+Shank&amp;qid=1695174142&amp;sr=8-4</v>
      </c>
      <c r="F5513" t="s">
        <v>7099</v>
      </c>
      <c r="G5513" t="e">
        <f ca="1">_xludf.IMAGE("https://edmondsonsupply.com/cdn/shop/products/6866ins.jpg?v=1664818689")</f>
        <v>#NAME?</v>
      </c>
      <c r="H5513" t="e">
        <f ca="1">_xludf.IMAGE("https://m.media-amazon.com/images/I/41JbepP5oGL._AC_UL320_.jpg")</f>
        <v>#NAME?</v>
      </c>
      <c r="I5513" t="s">
        <v>6073</v>
      </c>
      <c r="J5513">
        <v>14.99</v>
      </c>
      <c r="K5513" s="4">
        <v>0.25230000000000002</v>
      </c>
      <c r="L5513">
        <v>4.8</v>
      </c>
      <c r="M5513">
        <v>85</v>
      </c>
      <c r="O5513" t="s">
        <v>25</v>
      </c>
      <c r="P5513" t="s">
        <v>6728</v>
      </c>
      <c r="Q5513" t="s">
        <v>6784</v>
      </c>
    </row>
    <row r="5514" spans="1:17" ht="15.5" x14ac:dyDescent="0.35">
      <c r="A5514" s="3" t="str">
        <f>HYPERLINK("https://edmondsonsupply.com/collections/electricians-tools/products/klein-tools-6886ins-insulated-screwdriver-1-square-tip-6-inch-shank", "https://edmondsonsupply.com/collections/electricians-tools/products/klein-tools-6886ins-insulated-screwdriver-1-square-tip-6-inch-shank")</f>
        <v>https://edmondsonsupply.com/collections/electricians-tools/products/klein-tools-6886ins-insulated-screwdriver-1-square-tip-6-inch-shank</v>
      </c>
      <c r="B5514" s="3" t="str">
        <f>HYPERLINK("https://edmondsonsupply.com/products/klein-tools-6886ins-insulated-screwdriver-1-square-tip-6-inch-shank", "https://edmondsonsupply.com/products/klein-tools-6886ins-insulated-screwdriver-1-square-tip-6-inch-shank")</f>
        <v>https://edmondsonsupply.com/products/klein-tools-6886ins-insulated-screwdriver-1-square-tip-6-inch-shank</v>
      </c>
      <c r="C5514" t="s">
        <v>7417</v>
      </c>
      <c r="D5514" t="s">
        <v>7098</v>
      </c>
      <c r="E5514" s="3" t="str">
        <f>HYPERLINK("https://www.amazon.com/Klein-Tools-6926INS-Screwdriver-Cushion-Grip/dp/B09GL1X5SZ/ref=sr_1_4?keywords=Klein+Tools+6886INS+Insulated+Screwdriver%2C&amp;qid=1695174139&amp;sr=8-4", "https://www.amazon.com/Klein-Tools-6926INS-Screwdriver-Cushion-Grip/dp/B09GL1X5SZ/ref=sr_1_4?keywords=Klein+Tools+6886INS+Insulated+Screwdriver%2C&amp;qid=1695174139&amp;sr=8-4")</f>
        <v>https://www.amazon.com/Klein-Tools-6926INS-Screwdriver-Cushion-Grip/dp/B09GL1X5SZ/ref=sr_1_4?keywords=Klein+Tools+6886INS+Insulated+Screwdriver%2C&amp;qid=1695174139&amp;sr=8-4</v>
      </c>
      <c r="F5514" t="s">
        <v>7099</v>
      </c>
      <c r="G5514" t="e">
        <f ca="1">_xludf.IMAGE("https://edmondsonsupply.com/cdn/shop/products/6886ins.jpg?v=1664889697")</f>
        <v>#NAME?</v>
      </c>
      <c r="H5514" t="e">
        <f ca="1">_xludf.IMAGE("https://m.media-amazon.com/images/I/41JbepP5oGL._AC_UL320_.jpg")</f>
        <v>#NAME?</v>
      </c>
      <c r="I5514" t="s">
        <v>6073</v>
      </c>
      <c r="J5514">
        <v>14.99</v>
      </c>
      <c r="K5514" s="4">
        <v>0.25230000000000002</v>
      </c>
      <c r="L5514">
        <v>4.8</v>
      </c>
      <c r="M5514">
        <v>85</v>
      </c>
      <c r="O5514" t="s">
        <v>25</v>
      </c>
      <c r="P5514" t="s">
        <v>6728</v>
      </c>
      <c r="Q5514" t="s">
        <v>7420</v>
      </c>
    </row>
    <row r="5515" spans="1:17" ht="15.5" x14ac:dyDescent="0.35">
      <c r="A5515"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5515"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5515" t="s">
        <v>7423</v>
      </c>
      <c r="D5515" t="s">
        <v>7095</v>
      </c>
      <c r="E5515" s="3" t="str">
        <f>HYPERLINK("https://www.amazon.com/Klein-Tools-6986INS-Screwdriver-Cushion-Grip/dp/B09GPYQ7DM/ref=sr_1_5?keywords=Klein+Tools+6846INS+Insulated+Screwdriver%2C+%232+Square+Tip%2C+6-Inch+Round+Shank&amp;qid=1695174148&amp;sr=8-5", "https://www.amazon.com/Klein-Tools-6986INS-Screwdriver-Cushion-Grip/dp/B09GPYQ7DM/ref=sr_1_5?keywords=Klein+Tools+6846INS+Insulated+Screwdriver%2C+%232+Square+Tip%2C+6-Inch+Round+Shank&amp;qid=1695174148&amp;sr=8-5")</f>
        <v>https://www.amazon.com/Klein-Tools-6986INS-Screwdriver-Cushion-Grip/dp/B09GPYQ7DM/ref=sr_1_5?keywords=Klein+Tools+6846INS+Insulated+Screwdriver%2C+%232+Square+Tip%2C+6-Inch+Round+Shank&amp;qid=1695174148&amp;sr=8-5</v>
      </c>
      <c r="F5515" t="s">
        <v>7096</v>
      </c>
      <c r="G5515" t="e">
        <f ca="1">_xludf.IMAGE("https://edmondsonsupply.com/cdn/shop/products/6846ins.jpg?v=1664817571")</f>
        <v>#NAME?</v>
      </c>
      <c r="H5515" t="e">
        <f ca="1">_xludf.IMAGE("https://m.media-amazon.com/images/I/41d5Ic37xZL._AC_UL320_.jpg")</f>
        <v>#NAME?</v>
      </c>
      <c r="I5515" t="s">
        <v>6073</v>
      </c>
      <c r="J5515">
        <v>14.99</v>
      </c>
      <c r="K5515" s="4">
        <v>0.25230000000000002</v>
      </c>
      <c r="L5515">
        <v>4.8</v>
      </c>
      <c r="M5515">
        <v>29</v>
      </c>
      <c r="O5515" t="s">
        <v>25</v>
      </c>
      <c r="P5515" t="s">
        <v>6728</v>
      </c>
      <c r="Q5515" t="s">
        <v>7424</v>
      </c>
    </row>
    <row r="5516" spans="1:17" ht="15.5" x14ac:dyDescent="0.35">
      <c r="A5516"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5516"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5516" t="s">
        <v>6725</v>
      </c>
      <c r="D5516" t="s">
        <v>7418</v>
      </c>
      <c r="E5516" s="3" t="str">
        <f>HYPERLINK("https://www.amazon.com/Klein-Tools-6936INS-Screwdriver-Cushion-Grip/dp/B09GPZMQ1R/ref=sr_1_9?keywords=Klein+Tools+6826INS+Insulated+Screwdriver%2C+1%2F4-Inch+Cabinet+Tip%2C+6-Inch+Shank&amp;qid=1695174154&amp;sr=8-9", "https://www.amazon.com/Klein-Tools-6936INS-Screwdriver-Cushion-Grip/dp/B09GPZMQ1R/ref=sr_1_9?keywords=Klein+Tools+6826INS+Insulated+Screwdriver%2C+1%2F4-Inch+Cabinet+Tip%2C+6-Inch+Shank&amp;qid=1695174154&amp;sr=8-9")</f>
        <v>https://www.amazon.com/Klein-Tools-6936INS-Screwdriver-Cushion-Grip/dp/B09GPZMQ1R/ref=sr_1_9?keywords=Klein+Tools+6826INS+Insulated+Screwdriver%2C+1%2F4-Inch+Cabinet+Tip%2C+6-Inch+Shank&amp;qid=1695174154&amp;sr=8-9</v>
      </c>
      <c r="F5516" t="s">
        <v>7419</v>
      </c>
      <c r="G5516" t="e">
        <f ca="1">_xludf.IMAGE("https://edmondsonsupply.com/cdn/shop/products/6826ins.jpg?v=1664814069")</f>
        <v>#NAME?</v>
      </c>
      <c r="H5516" t="e">
        <f ca="1">_xludf.IMAGE("https://m.media-amazon.com/images/I/414OB6kFvkL._AC_UL320_.jpg")</f>
        <v>#NAME?</v>
      </c>
      <c r="I5516" t="s">
        <v>6073</v>
      </c>
      <c r="J5516">
        <v>14.99</v>
      </c>
      <c r="K5516" s="4">
        <v>0.25230000000000002</v>
      </c>
      <c r="L5516">
        <v>4.9000000000000004</v>
      </c>
      <c r="M5516">
        <v>71</v>
      </c>
      <c r="O5516" t="s">
        <v>25</v>
      </c>
      <c r="P5516" t="s">
        <v>6728</v>
      </c>
      <c r="Q5516" t="s">
        <v>6729</v>
      </c>
    </row>
    <row r="5517" spans="1:17" ht="15.5" x14ac:dyDescent="0.35">
      <c r="A5517"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5517"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5517" t="s">
        <v>6725</v>
      </c>
      <c r="D5517" t="s">
        <v>7098</v>
      </c>
      <c r="E5517" s="3" t="str">
        <f>HYPERLINK("https://www.amazon.com/Klein-Tools-6926INS-Screwdriver-Cushion-Grip/dp/B09GL1X5SZ/ref=sr_1_2?keywords=Klein+Tools+6826INS+Insulated+Screwdriver%2C+1%2F4-Inch+Cabinet+Tip%2C+6-Inch+Shank&amp;qid=1695174154&amp;sr=8-2", "https://www.amazon.com/Klein-Tools-6926INS-Screwdriver-Cushion-Grip/dp/B09GL1X5SZ/ref=sr_1_2?keywords=Klein+Tools+6826INS+Insulated+Screwdriver%2C+1%2F4-Inch+Cabinet+Tip%2C+6-Inch+Shank&amp;qid=1695174154&amp;sr=8-2")</f>
        <v>https://www.amazon.com/Klein-Tools-6926INS-Screwdriver-Cushion-Grip/dp/B09GL1X5SZ/ref=sr_1_2?keywords=Klein+Tools+6826INS+Insulated+Screwdriver%2C+1%2F4-Inch+Cabinet+Tip%2C+6-Inch+Shank&amp;qid=1695174154&amp;sr=8-2</v>
      </c>
      <c r="F5517" t="s">
        <v>7099</v>
      </c>
      <c r="G5517" t="e">
        <f ca="1">_xludf.IMAGE("https://edmondsonsupply.com/cdn/shop/products/6826ins.jpg?v=1664814069")</f>
        <v>#NAME?</v>
      </c>
      <c r="H5517" t="e">
        <f ca="1">_xludf.IMAGE("https://m.media-amazon.com/images/I/41JbepP5oGL._AC_UL320_.jpg")</f>
        <v>#NAME?</v>
      </c>
      <c r="I5517" t="s">
        <v>6073</v>
      </c>
      <c r="J5517">
        <v>14.99</v>
      </c>
      <c r="K5517" s="4">
        <v>0.25230000000000002</v>
      </c>
      <c r="L5517">
        <v>4.8</v>
      </c>
      <c r="M5517">
        <v>85</v>
      </c>
      <c r="O5517" t="s">
        <v>25</v>
      </c>
      <c r="P5517" t="s">
        <v>6728</v>
      </c>
      <c r="Q5517" t="s">
        <v>6729</v>
      </c>
    </row>
    <row r="5518" spans="1:17" ht="15.5" x14ac:dyDescent="0.35">
      <c r="A5518"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5518" s="3" t="str">
        <f>HYPERLINK("https://edmondsonsupply.com/products/milwaukee-48-22-0305-folding-jab-saw", "https://edmondsonsupply.com/products/milwaukee-48-22-0305-folding-jab-saw")</f>
        <v>https://edmondsonsupply.com/products/milwaukee-48-22-0305-folding-jab-saw</v>
      </c>
      <c r="C5518" t="s">
        <v>2139</v>
      </c>
      <c r="D5518" t="s">
        <v>3726</v>
      </c>
      <c r="E5518" s="3" t="str">
        <f>HYPERLINK("https://www.amazon.com/MILWAUKEE-48-22-1906J-FASTBACK-DRYWALL-PLASTER/dp/B07STGMWT6/ref=sr_1_8?keywords=Milwaukee+48-22-0305+Folding+Jab+Saw&amp;qid=1695173950&amp;sr=8-8", "https://www.amazon.com/MILWAUKEE-48-22-1906J-FASTBACK-DRYWALL-PLASTER/dp/B07STGMWT6/ref=sr_1_8?keywords=Milwaukee+48-22-0305+Folding+Jab+Saw&amp;qid=1695173950&amp;sr=8-8")</f>
        <v>https://www.amazon.com/MILWAUKEE-48-22-1906J-FASTBACK-DRYWALL-PLASTER/dp/B07STGMWT6/ref=sr_1_8?keywords=Milwaukee+48-22-0305+Folding+Jab+Saw&amp;qid=1695173950&amp;sr=8-8</v>
      </c>
      <c r="F5518" t="s">
        <v>3727</v>
      </c>
      <c r="G5518" t="e">
        <f ca="1">_xludf.IMAGE("https://edmondsonsupply.com/cdn/shop/products/49678_48-22-0305-lg.jpg?v=1587148349")</f>
        <v>#NAME?</v>
      </c>
      <c r="H5518" t="e">
        <f ca="1">_xludf.IMAGE("https://m.media-amazon.com/images/I/414z44lqh3L._AC_UL320_.jpg")</f>
        <v>#NAME?</v>
      </c>
      <c r="I5518" t="s">
        <v>893</v>
      </c>
      <c r="J5518">
        <v>25</v>
      </c>
      <c r="K5518" s="4">
        <v>0.25190000000000001</v>
      </c>
      <c r="L5518">
        <v>4.9000000000000004</v>
      </c>
      <c r="M5518">
        <v>11</v>
      </c>
      <c r="O5518" t="s">
        <v>25</v>
      </c>
      <c r="P5518" t="s">
        <v>2142</v>
      </c>
      <c r="Q5518" t="s">
        <v>2143</v>
      </c>
    </row>
    <row r="5519" spans="1:17" ht="15.5" x14ac:dyDescent="0.35">
      <c r="A5519"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5519" s="3" t="str">
        <f>HYPERLINK("https://edmondsonsupply.com/products/diablo-tools-d0604dh-6-1-2-in-x-4-tooth-fiber-cement", "https://edmondsonsupply.com/products/diablo-tools-d0604dh-6-1-2-in-x-4-tooth-fiber-cement")</f>
        <v>https://edmondsonsupply.com/products/diablo-tools-d0604dh-6-1-2-in-x-4-tooth-fiber-cement</v>
      </c>
      <c r="C5519" t="s">
        <v>6483</v>
      </c>
      <c r="D5519" t="s">
        <v>7425</v>
      </c>
      <c r="E5519" s="3" t="str">
        <f>HYPERLINK("https://www.amazon.com/Norske-NCSBP281C-Polycrystalline-Diamond-Hardie/dp/B0B9LBHPLH/ref=sr_1_7?keywords=Diablo+Tools+D0604DH+6-1%2F2+in.+x+4+Tooth+Fiber+Cement&amp;qid=1695174076&amp;sr=8-7", "https://www.amazon.com/Norske-NCSBP281C-Polycrystalline-Diamond-Hardie/dp/B0B9LBHPLH/ref=sr_1_7?keywords=Diablo+Tools+D0604DH+6-1%2F2+in.+x+4+Tooth+Fiber+Cement&amp;qid=1695174076&amp;sr=8-7")</f>
        <v>https://www.amazon.com/Norske-NCSBP281C-Polycrystalline-Diamond-Hardie/dp/B0B9LBHPLH/ref=sr_1_7?keywords=Diablo+Tools+D0604DH+6-1%2F2+in.+x+4+Tooth+Fiber+Cement&amp;qid=1695174076&amp;sr=8-7</v>
      </c>
      <c r="F5519" t="s">
        <v>7426</v>
      </c>
      <c r="G5519" t="e">
        <f ca="1">_xludf.IMAGE("https://edmondsonsupply.com/cdn/shop/products/b97gznmuns4ffl0mabzf.webp?v=1679319668")</f>
        <v>#NAME?</v>
      </c>
      <c r="H5519" t="e">
        <f ca="1">_xludf.IMAGE("https://m.media-amazon.com/images/I/61gux44eitL._AC_UL320_.jpg")</f>
        <v>#NAME?</v>
      </c>
      <c r="I5519" t="s">
        <v>380</v>
      </c>
      <c r="J5519">
        <v>62.54</v>
      </c>
      <c r="K5519" s="4">
        <v>0.25159999999999999</v>
      </c>
      <c r="L5519">
        <v>4</v>
      </c>
      <c r="M5519">
        <v>2</v>
      </c>
      <c r="O5519" t="s">
        <v>25</v>
      </c>
      <c r="P5519" t="s">
        <v>6486</v>
      </c>
      <c r="Q5519" t="s">
        <v>6487</v>
      </c>
    </row>
    <row r="5520" spans="1:17" ht="15.5" x14ac:dyDescent="0.35">
      <c r="A5520"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5520"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5520" t="s">
        <v>3118</v>
      </c>
      <c r="D5520" t="s">
        <v>3728</v>
      </c>
      <c r="E5520" s="3" t="str">
        <f>HYPERLINK("https://www.amazon.com/Journeyman-T-Handle-Klein-Tools-JTH4E17/dp/B004LRBOA8/ref=sr_1_1?keywords=Klein+Tools+JTH4E17+1%2F2-Inch+Hex+Key%2C+Journeyman+T-Handle%2C+4-Inch&amp;qid=1695173921&amp;sr=8-1", "https://www.amazon.com/Journeyman-T-Handle-Klein-Tools-JTH4E17/dp/B004LRBOA8/ref=sr_1_1?keywords=Klein+Tools+JTH4E17+1%2F2-Inch+Hex+Key%2C+Journeyman+T-Handle%2C+4-Inch&amp;qid=1695173921&amp;sr=8-1")</f>
        <v>https://www.amazon.com/Journeyman-T-Handle-Klein-Tools-JTH4E17/dp/B004LRBOA8/ref=sr_1_1?keywords=Klein+Tools+JTH4E17+1%2F2-Inch+Hex+Key%2C+Journeyman+T-Handle%2C+4-Inch&amp;qid=1695173921&amp;sr=8-1</v>
      </c>
      <c r="F5520" t="s">
        <v>3729</v>
      </c>
      <c r="G5520" t="e">
        <f ca="1">_xludf.IMAGE("https://edmondsonsupply.com/cdn/shop/products/jth4e17_583549be-7b42-43c7-9c3d-a92f2416ede5.jpg?v=1610655610")</f>
        <v>#NAME?</v>
      </c>
      <c r="H5520" t="e">
        <f ca="1">_xludf.IMAGE("https://m.media-amazon.com/images/I/41kJkcAGkqL._AC_UL320_.jpg")</f>
        <v>#NAME?</v>
      </c>
      <c r="I5520" t="s">
        <v>252</v>
      </c>
      <c r="J5520">
        <v>20.010000000000002</v>
      </c>
      <c r="K5520" s="4">
        <v>0.25140000000000001</v>
      </c>
      <c r="L5520">
        <v>4.7</v>
      </c>
      <c r="M5520">
        <v>45</v>
      </c>
      <c r="O5520" t="s">
        <v>25</v>
      </c>
      <c r="P5520" t="s">
        <v>3121</v>
      </c>
      <c r="Q5520" t="s">
        <v>3122</v>
      </c>
    </row>
    <row r="5521" spans="1:17" ht="15.5" x14ac:dyDescent="0.35">
      <c r="A5521" s="3" t="str">
        <f>HYPERLINK("https://edmondsonsupply.com/collections/electricians-tools/products/klein-tools-85076ins-screwdriver-set-1000v-insulated-6-piece", "https://edmondsonsupply.com/collections/electricians-tools/products/klein-tools-85076ins-screwdriver-set-1000v-insulated-6-piece")</f>
        <v>https://edmondsonsupply.com/collections/electricians-tools/products/klein-tools-85076ins-screwdriver-set-1000v-insulated-6-piece</v>
      </c>
      <c r="B5521" s="3" t="str">
        <f>HYPERLINK("https://edmondsonsupply.com/products/klein-tools-85076ins-screwdriver-set-1000v-insulated-6-piece", "https://edmondsonsupply.com/products/klein-tools-85076ins-screwdriver-set-1000v-insulated-6-piece")</f>
        <v>https://edmondsonsupply.com/products/klein-tools-85076ins-screwdriver-set-1000v-insulated-6-piece</v>
      </c>
      <c r="C5521" t="s">
        <v>3730</v>
      </c>
      <c r="D5521" t="s">
        <v>2245</v>
      </c>
      <c r="E5521" s="3" t="str">
        <f>HYPERLINK("https://www.amazon.com/Klein-Tools-33736INS-Screwdriver-Magnetizer/dp/B09GPZPMTD/ref=sr_1_2?keywords=Klein+Tools+85076INS+Screwdriver+Set%2C+1000V+Insulated%2C+6-Piece&amp;qid=1695173919&amp;sr=8-2", "https://www.amazon.com/Klein-Tools-33736INS-Screwdriver-Magnetizer/dp/B09GPZPMTD/ref=sr_1_2?keywords=Klein+Tools+85076INS+Screwdriver+Set%2C+1000V+Insulated%2C+6-Piece&amp;qid=1695173919&amp;sr=8-2")</f>
        <v>https://www.amazon.com/Klein-Tools-33736INS-Screwdriver-Magnetizer/dp/B09GPZPMTD/ref=sr_1_2?keywords=Klein+Tools+85076INS+Screwdriver+Set%2C+1000V+Insulated%2C+6-Piece&amp;qid=1695173919&amp;sr=8-2</v>
      </c>
      <c r="F5521" t="s">
        <v>2246</v>
      </c>
      <c r="G5521" t="e">
        <f ca="1">_xludf.IMAGE("https://edmondsonsupply.com/cdn/shop/products/85076ins.jpg?v=1664891110")</f>
        <v>#NAME?</v>
      </c>
      <c r="H5521" t="e">
        <f ca="1">_xludf.IMAGE("https://m.media-amazon.com/images/I/51W2DUA3c7L._AC_UL320_.jpg")</f>
        <v>#NAME?</v>
      </c>
      <c r="I5521" t="s">
        <v>246</v>
      </c>
      <c r="J5521">
        <v>49.99</v>
      </c>
      <c r="K5521" s="4">
        <v>0.25069999999999998</v>
      </c>
      <c r="L5521">
        <v>4.8</v>
      </c>
      <c r="M5521">
        <v>419</v>
      </c>
      <c r="O5521" t="s">
        <v>25</v>
      </c>
      <c r="P5521" t="s">
        <v>199</v>
      </c>
      <c r="Q5521" t="s">
        <v>3731</v>
      </c>
    </row>
    <row r="5522" spans="1:17" ht="15.5" x14ac:dyDescent="0.35">
      <c r="A5522"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5522" s="3" t="str">
        <f>HYPERLINK("https://edmondsonsupply.com/products/klein-tools-65064-2-in-1-hex-head-screwdriver-1-4-5-16", "https://edmondsonsupply.com/products/klein-tools-65064-2-in-1-hex-head-screwdriver-1-4-5-16")</f>
        <v>https://edmondsonsupply.com/products/klein-tools-65064-2-in-1-hex-head-screwdriver-1-4-5-16</v>
      </c>
      <c r="C5522" t="s">
        <v>2093</v>
      </c>
      <c r="D5522" t="s">
        <v>3732</v>
      </c>
      <c r="E5522" s="3" t="str">
        <f>HYPERLINK("https://www.amazon.com/Driver-6-Inch-Klein-Tools-65129/dp/B0716VDFTD/ref=sr_1_5?keywords=Klein+Tools+65064+2-in-1+Nut+Driver%2C+Hex+Head%2C+1%2F4-Inch+and+5%2F16-Inch&amp;qid=1695173915&amp;sr=8-5", "https://www.amazon.com/Driver-6-Inch-Klein-Tools-65129/dp/B0716VDFTD/ref=sr_1_5?keywords=Klein+Tools+65064+2-in-1+Nut+Driver%2C+Hex+Head%2C+1%2F4-Inch+and+5%2F16-Inch&amp;qid=1695173915&amp;sr=8-5")</f>
        <v>https://www.amazon.com/Driver-6-Inch-Klein-Tools-65129/dp/B0716VDFTD/ref=sr_1_5?keywords=Klein+Tools+65064+2-in-1+Nut+Driver%2C+Hex+Head%2C+1%2F4-Inch+and+5%2F16-Inch&amp;qid=1695173915&amp;sr=8-5</v>
      </c>
      <c r="F5522" t="s">
        <v>3733</v>
      </c>
      <c r="G5522" t="e">
        <f ca="1">_xludf.IMAGE("https://edmondsonsupply.com/cdn/shop/products/65064.jpg?v=1587147719")</f>
        <v>#NAME?</v>
      </c>
      <c r="H5522" t="e">
        <f ca="1">_xludf.IMAGE("https://m.media-amazon.com/images/I/31G5opAPxjL._AC_UL320_.jpg")</f>
        <v>#NAME?</v>
      </c>
      <c r="I5522" t="s">
        <v>143</v>
      </c>
      <c r="J5522">
        <v>19.97</v>
      </c>
      <c r="K5522" s="4">
        <v>0.2505</v>
      </c>
      <c r="L5522">
        <v>4.8</v>
      </c>
      <c r="M5522">
        <v>688</v>
      </c>
      <c r="O5522" t="s">
        <v>25</v>
      </c>
      <c r="P5522" t="s">
        <v>2096</v>
      </c>
      <c r="Q5522" t="s">
        <v>2097</v>
      </c>
    </row>
    <row r="5523" spans="1:17" ht="15.5" x14ac:dyDescent="0.35">
      <c r="A5523" s="3" t="str">
        <f>HYPERLINK("https://edmondsonsupply.com/collections/electricians-tools/products/channellock-8wcb", "https://edmondsonsupply.com/collections/electricians-tools/products/channellock-8wcb")</f>
        <v>https://edmondsonsupply.com/collections/electricians-tools/products/channellock-8wcb</v>
      </c>
      <c r="B5523" s="3" t="str">
        <f>HYPERLINK("https://edmondsonsupply.com/products/channellock-8wcb", "https://edmondsonsupply.com/products/channellock-8wcb")</f>
        <v>https://edmondsonsupply.com/products/channellock-8wcb</v>
      </c>
      <c r="C5523" t="s">
        <v>3038</v>
      </c>
      <c r="D5523" t="s">
        <v>3734</v>
      </c>
      <c r="E5523" s="3" t="str">
        <f>HYPERLINK("https://www.amazon.com/Channellock-10WCB-Adjustable-Measurement-Diameters/dp/B0BDHWW8K8/ref=sr_1_4?keywords=Channellock+8WCB+8%22+Code+Blue+WIDEAZZ+Adjustable+Wrench&amp;qid=1695173930&amp;sr=8-4", "https://www.amazon.com/Channellock-10WCB-Adjustable-Measurement-Diameters/dp/B0BDHWW8K8/ref=sr_1_4?keywords=Channellock+8WCB+8%22+Code+Blue+WIDEAZZ+Adjustable+Wrench&amp;qid=1695173930&amp;sr=8-4")</f>
        <v>https://www.amazon.com/Channellock-10WCB-Adjustable-Measurement-Diameters/dp/B0BDHWW8K8/ref=sr_1_4?keywords=Channellock+8WCB+8%22+Code+Blue+WIDEAZZ+Adjustable+Wrench&amp;qid=1695173930&amp;sr=8-4</v>
      </c>
      <c r="F5523" t="s">
        <v>3735</v>
      </c>
      <c r="G5523" t="e">
        <f ca="1">_xludf.IMAGE("https://edmondsonsupply.com/cdn/shop/products/8WCB-683x1024.jpg?v=1633030324")</f>
        <v>#NAME?</v>
      </c>
      <c r="H5523" t="e">
        <f ca="1">_xludf.IMAGE("https://m.media-amazon.com/images/I/61w0hdzcX7L._AC_UL320_.jpg")</f>
        <v>#NAME?</v>
      </c>
      <c r="I5523" t="s">
        <v>3041</v>
      </c>
      <c r="J5523">
        <v>39.950000000000003</v>
      </c>
      <c r="K5523" s="4">
        <v>0.25040000000000001</v>
      </c>
      <c r="L5523">
        <v>4.9000000000000004</v>
      </c>
      <c r="M5523">
        <v>60</v>
      </c>
      <c r="O5523" t="s">
        <v>25</v>
      </c>
      <c r="P5523" t="s">
        <v>3042</v>
      </c>
      <c r="Q5523" t="s">
        <v>3043</v>
      </c>
    </row>
    <row r="5524" spans="1:17" ht="15.5" x14ac:dyDescent="0.35">
      <c r="A5524"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5524" s="3" t="str">
        <f>HYPERLINK("https://edmondsonsupply.com/products/klein-tools-ncvt1xt-non-contact-voltage-tester-70-to-1000v-ac", "https://edmondsonsupply.com/products/klein-tools-ncvt1xt-non-contact-voltage-tester-70-to-1000v-ac")</f>
        <v>https://edmondsonsupply.com/products/klein-tools-ncvt1xt-non-contact-voltage-tester-70-to-1000v-ac</v>
      </c>
      <c r="C5524" t="s">
        <v>6346</v>
      </c>
      <c r="D5524" t="s">
        <v>4791</v>
      </c>
      <c r="E5524" s="3" t="str">
        <f>HYPERLINK("https://www.amazon.com/Klein-Tools-NCVT1PKIT-Electrical-Non-Contact/dp/B0BS5SCNJ1/ref=sr_1_5?keywords=Klein+Tools+NCVT1XT+Non-Contact+Voltage+Tester%2C+70+to+1000V+AC&amp;qid=1695174075&amp;sr=8-5", "https://www.amazon.com/Klein-Tools-NCVT1PKIT-Electrical-Non-Contact/dp/B0BS5SCNJ1/ref=sr_1_5?keywords=Klein+Tools+NCVT1XT+Non-Contact+Voltage+Tester%2C+70+to+1000V+AC&amp;qid=1695174075&amp;sr=8-5")</f>
        <v>https://www.amazon.com/Klein-Tools-NCVT1PKIT-Electrical-Non-Contact/dp/B0BS5SCNJ1/ref=sr_1_5?keywords=Klein+Tools+NCVT1XT+Non-Contact+Voltage+Tester%2C+70+to+1000V+AC&amp;qid=1695174075&amp;sr=8-5</v>
      </c>
      <c r="F5524" t="s">
        <v>4792</v>
      </c>
      <c r="G5524" t="e">
        <f ca="1">_xludf.IMAGE("https://edmondsonsupply.com/cdn/shop/products/ncvt1xt.jpg?v=1674496568")</f>
        <v>#NAME?</v>
      </c>
      <c r="H5524" t="e">
        <f ca="1">_xludf.IMAGE("https://m.media-amazon.com/images/I/51CD2DGal7L._AC_UL320_.jpg")</f>
        <v>#NAME?</v>
      </c>
      <c r="I5524" t="s">
        <v>893</v>
      </c>
      <c r="J5524">
        <v>24.97</v>
      </c>
      <c r="K5524" s="4">
        <v>0.25040000000000001</v>
      </c>
      <c r="L5524">
        <v>4.5</v>
      </c>
      <c r="M5524">
        <v>33</v>
      </c>
      <c r="O5524" t="s">
        <v>25</v>
      </c>
      <c r="P5524" t="s">
        <v>6347</v>
      </c>
      <c r="Q5524" t="s">
        <v>6348</v>
      </c>
    </row>
    <row r="5525" spans="1:17" ht="15.5" x14ac:dyDescent="0.35">
      <c r="A5525" s="3" t="str">
        <f>HYPERLINK("https://edmondsonsupply.com/collections/electricians-tools/products/klein-tools-602-4dd-4-demolition-driver-1-4-keystone", "https://edmondsonsupply.com/collections/electricians-tools/products/klein-tools-602-4dd-4-demolition-driver-1-4-keystone")</f>
        <v>https://edmondsonsupply.com/collections/electricians-tools/products/klein-tools-602-4dd-4-demolition-driver-1-4-keystone</v>
      </c>
      <c r="B5525" s="3" t="str">
        <f>HYPERLINK("https://edmondsonsupply.com/products/klein-tools-602-4dd-4-demolition-driver-1-4-keystone", "https://edmondsonsupply.com/products/klein-tools-602-4dd-4-demolition-driver-1-4-keystone")</f>
        <v>https://edmondsonsupply.com/products/klein-tools-602-4dd-4-demolition-driver-1-4-keystone</v>
      </c>
      <c r="C5525" t="s">
        <v>3736</v>
      </c>
      <c r="D5525" t="s">
        <v>3737</v>
      </c>
      <c r="E5525" s="3" t="str">
        <f>HYPERLINK("https://www.amazon.com/16-Inch-Keystone-Demolition-Klein-Tools/dp/B00B9HIBYA/ref=sr_1_2?keywords=Klein+Tools+602-4DD+1%2F4-Inch+Keystone+Demolition+Driver%2C+4-Inch+Shank&amp;qid=1695173941&amp;sr=8-2", "https://www.amazon.com/16-Inch-Keystone-Demolition-Klein-Tools/dp/B00B9HIBYA/ref=sr_1_2?keywords=Klein+Tools+602-4DD+1%2F4-Inch+Keystone+Demolition+Driver%2C+4-Inch+Shank&amp;qid=1695173941&amp;sr=8-2")</f>
        <v>https://www.amazon.com/16-Inch-Keystone-Demolition-Klein-Tools/dp/B00B9HIBYA/ref=sr_1_2?keywords=Klein+Tools+602-4DD+1%2F4-Inch+Keystone+Demolition+Driver%2C+4-Inch+Shank&amp;qid=1695173941&amp;sr=8-2</v>
      </c>
      <c r="F5525" t="s">
        <v>3738</v>
      </c>
      <c r="G5525" t="e">
        <f ca="1">_xludf.IMAGE("https://edmondsonsupply.com/cdn/shop/products/602-4dd.jpg?v=1587143287")</f>
        <v>#NAME?</v>
      </c>
      <c r="H5525" t="e">
        <f ca="1">_xludf.IMAGE("https://m.media-amazon.com/images/I/41sh3Q2vVYL._AC_UL320_.jpg")</f>
        <v>#NAME?</v>
      </c>
      <c r="I5525" t="s">
        <v>252</v>
      </c>
      <c r="J5525">
        <v>19.989999999999998</v>
      </c>
      <c r="K5525" s="4">
        <v>0.25019999999999998</v>
      </c>
      <c r="L5525">
        <v>4.8</v>
      </c>
      <c r="M5525">
        <v>1377</v>
      </c>
      <c r="O5525" t="s">
        <v>25</v>
      </c>
      <c r="P5525" t="s">
        <v>3739</v>
      </c>
      <c r="Q5525" t="s">
        <v>3740</v>
      </c>
    </row>
    <row r="5526" spans="1:17" ht="15.5" x14ac:dyDescent="0.35">
      <c r="A5526"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5526" s="3" t="str">
        <f>HYPERLINK("https://edmondsonsupply.com/products/klein-tools-60511-heavy-duty-knee-pad-sleeves-m-l", "https://edmondsonsupply.com/products/klein-tools-60511-heavy-duty-knee-pad-sleeves-m-l")</f>
        <v>https://edmondsonsupply.com/products/klein-tools-60511-heavy-duty-knee-pad-sleeves-m-l</v>
      </c>
      <c r="C5526" t="s">
        <v>1024</v>
      </c>
      <c r="D5526" t="s">
        <v>1025</v>
      </c>
      <c r="E5526" s="3" t="str">
        <f>HYPERLINK("https://www.amazon.com/Klein-Tools-80123-Kneepad-3-Piece/dp/B0BMNQ58MV/ref=sr_1_3?keywords=Klein+Tools+60511+Heavy+Duty+Knee+Pad+Sleeves%2C+M%2FL&amp;qid=1695174162&amp;sr=8-3", "https://www.amazon.com/Klein-Tools-80123-Kneepad-3-Piece/dp/B0BMNQ58MV/ref=sr_1_3?keywords=Klein+Tools+60511+Heavy+Duty+Knee+Pad+Sleeves%2C+M%2FL&amp;qid=1695174162&amp;sr=8-3")</f>
        <v>https://www.amazon.com/Klein-Tools-80123-Kneepad-3-Piece/dp/B0BMNQ58MV/ref=sr_1_3?keywords=Klein+Tools+60511+Heavy+Duty+Knee+Pad+Sleeves%2C+M%2FL&amp;qid=1695174162&amp;sr=8-3</v>
      </c>
      <c r="F5526" t="s">
        <v>1026</v>
      </c>
      <c r="G5526" t="e">
        <f ca="1">_xludf.IMAGE("https://edmondsonsupply.com/cdn/shop/products/60511_60611_b.jpg?v=1663253024")</f>
        <v>#NAME?</v>
      </c>
      <c r="H5526" t="e">
        <f ca="1">_xludf.IMAGE("https://m.media-amazon.com/images/I/61nBRxV-S6L._AC_UL320_.jpg")</f>
        <v>#NAME?</v>
      </c>
      <c r="I5526" t="s">
        <v>198</v>
      </c>
      <c r="J5526">
        <v>49.99</v>
      </c>
      <c r="K5526" s="4">
        <v>0.25009999999999999</v>
      </c>
      <c r="L5526">
        <v>5</v>
      </c>
      <c r="M5526">
        <v>2</v>
      </c>
      <c r="O5526" t="s">
        <v>25</v>
      </c>
      <c r="P5526" t="s">
        <v>1027</v>
      </c>
      <c r="Q5526" t="s">
        <v>1028</v>
      </c>
    </row>
    <row r="5527" spans="1:17" ht="15.5" x14ac:dyDescent="0.35">
      <c r="A5527"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5527"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5527" t="s">
        <v>6963</v>
      </c>
      <c r="D5527" t="s">
        <v>6047</v>
      </c>
      <c r="E5527" s="3" t="str">
        <f>HYPERLINK("https://www.amazon.com/Conduit-Features-Klein-Tools-51604/dp/B08V8YVWH1/ref=sr_1_2?keywords=Klein+Tools+51603+Iron+Conduit+Bender+Full+Assembly%2C+1%2F2-Inch+EMT+with+Angle+Setter%E2%84%A2&amp;qid=1695173919&amp;sr=8-2", "https://www.amazon.com/Conduit-Features-Klein-Tools-51604/dp/B08V8YVWH1/ref=sr_1_2?keywords=Klein+Tools+51603+Iron+Conduit+Bender+Full+Assembly%2C+1%2F2-Inch+EMT+with+Angle+Setter%E2%84%A2&amp;qid=1695173919&amp;sr=8-2")</f>
        <v>https://www.amazon.com/Conduit-Features-Klein-Tools-51604/dp/B08V8YVWH1/ref=sr_1_2?keywords=Klein+Tools+51603+Iron+Conduit+Bender+Full+Assembly%2C+1%2F2-Inch+EMT+with+Angle+Setter%E2%84%A2&amp;qid=1695173919&amp;sr=8-2</v>
      </c>
      <c r="F5527" t="s">
        <v>6048</v>
      </c>
      <c r="G5527" t="e">
        <f ca="1">_xludf.IMAGE("https://edmondsonsupply.com/cdn/shop/products/51604.jpg?v=1663940749")</f>
        <v>#NAME?</v>
      </c>
      <c r="H5527" t="e">
        <f ca="1">_xludf.IMAGE("https://m.media-amazon.com/images/I/41DkDVmyczL._AC_UL320_.jpg")</f>
        <v>#NAME?</v>
      </c>
      <c r="I5527" t="s">
        <v>905</v>
      </c>
      <c r="J5527">
        <v>74.989999999999995</v>
      </c>
      <c r="K5527" s="4">
        <v>0.25</v>
      </c>
      <c r="L5527">
        <v>4.8</v>
      </c>
      <c r="M5527">
        <v>43</v>
      </c>
      <c r="O5527" t="s">
        <v>25</v>
      </c>
      <c r="P5527" t="s">
        <v>6964</v>
      </c>
      <c r="Q5527" t="s">
        <v>6965</v>
      </c>
    </row>
    <row r="5528" spans="1:17" ht="15.5" x14ac:dyDescent="0.35">
      <c r="A5528"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5528" s="3" t="str">
        <f>HYPERLINK("https://edmondsonsupply.com/products/klein-tools-51609-3-4-inch-iron-conduit-bender-head", "https://edmondsonsupply.com/products/klein-tools-51609-3-4-inch-iron-conduit-bender-head")</f>
        <v>https://edmondsonsupply.com/products/klein-tools-51609-3-4-inch-iron-conduit-bender-head</v>
      </c>
      <c r="C5528" t="s">
        <v>6966</v>
      </c>
      <c r="D5528" t="s">
        <v>6043</v>
      </c>
      <c r="E5528" s="3" t="str">
        <f>HYPERLINK("https://www.amazon.com/Conduit-Bender-Klein-Tools-51610/dp/B08V8J5CX4/ref=sr_1_2?keywords=Klein+Tools+51609+3%2F4-Inch+Iron+Conduit+Bender+Head&amp;qid=1695174173&amp;sr=8-2", "https://www.amazon.com/Conduit-Bender-Klein-Tools-51610/dp/B08V8J5CX4/ref=sr_1_2?keywords=Klein+Tools+51609+3%2F4-Inch+Iron+Conduit+Bender+Head&amp;qid=1695174173&amp;sr=8-2")</f>
        <v>https://www.amazon.com/Conduit-Bender-Klein-Tools-51610/dp/B08V8J5CX4/ref=sr_1_2?keywords=Klein+Tools+51609+3%2F4-Inch+Iron+Conduit+Bender+Head&amp;qid=1695174173&amp;sr=8-2</v>
      </c>
      <c r="F5528" t="s">
        <v>6044</v>
      </c>
      <c r="G5528" t="e">
        <f ca="1">_xludf.IMAGE("https://edmondsonsupply.com/cdn/shop/products/51609.jpg?v=1661867147")</f>
        <v>#NAME?</v>
      </c>
      <c r="H5528" t="e">
        <f ca="1">_xludf.IMAGE("https://m.media-amazon.com/images/I/61jmGqozuVL._AC_UL320_.jpg")</f>
        <v>#NAME?</v>
      </c>
      <c r="I5528" t="s">
        <v>905</v>
      </c>
      <c r="J5528">
        <v>74.989999999999995</v>
      </c>
      <c r="K5528" s="4">
        <v>0.25</v>
      </c>
      <c r="L5528">
        <v>4.8</v>
      </c>
      <c r="M5528">
        <v>11</v>
      </c>
      <c r="O5528" t="s">
        <v>25</v>
      </c>
      <c r="P5528" t="s">
        <v>6967</v>
      </c>
      <c r="Q5528" t="s">
        <v>6968</v>
      </c>
    </row>
    <row r="5529" spans="1:17" ht="15.5" x14ac:dyDescent="0.35">
      <c r="A5529"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5529" s="3" t="str">
        <f>HYPERLINK("https://edmondsonsupply.com/products/klein-tools-51609-3-4-inch-iron-conduit-bender-head", "https://edmondsonsupply.com/products/klein-tools-51609-3-4-inch-iron-conduit-bender-head")</f>
        <v>https://edmondsonsupply.com/products/klein-tools-51609-3-4-inch-iron-conduit-bender-head</v>
      </c>
      <c r="C5529" t="s">
        <v>6966</v>
      </c>
      <c r="D5529" t="s">
        <v>6047</v>
      </c>
      <c r="E5529" s="3" t="str">
        <f>HYPERLINK("https://www.amazon.com/Conduit-Features-Klein-Tools-51604/dp/B08V8YVWH1/ref=sr_1_4?keywords=Klein+Tools+51609+3%2F4-Inch+Iron+Conduit+Bender+Head&amp;qid=1695174173&amp;sr=8-4", "https://www.amazon.com/Conduit-Features-Klein-Tools-51604/dp/B08V8YVWH1/ref=sr_1_4?keywords=Klein+Tools+51609+3%2F4-Inch+Iron+Conduit+Bender+Head&amp;qid=1695174173&amp;sr=8-4")</f>
        <v>https://www.amazon.com/Conduit-Features-Klein-Tools-51604/dp/B08V8YVWH1/ref=sr_1_4?keywords=Klein+Tools+51609+3%2F4-Inch+Iron+Conduit+Bender+Head&amp;qid=1695174173&amp;sr=8-4</v>
      </c>
      <c r="F5529" t="s">
        <v>6048</v>
      </c>
      <c r="G5529" t="e">
        <f ca="1">_xludf.IMAGE("https://edmondsonsupply.com/cdn/shop/products/51609.jpg?v=1661867147")</f>
        <v>#NAME?</v>
      </c>
      <c r="H5529" t="e">
        <f ca="1">_xludf.IMAGE("https://m.media-amazon.com/images/I/41DkDVmyczL._AC_UL320_.jpg")</f>
        <v>#NAME?</v>
      </c>
      <c r="I5529" t="s">
        <v>905</v>
      </c>
      <c r="J5529">
        <v>74.989999999999995</v>
      </c>
      <c r="K5529" s="4">
        <v>0.25</v>
      </c>
      <c r="L5529">
        <v>4.8</v>
      </c>
      <c r="M5529">
        <v>43</v>
      </c>
      <c r="O5529" t="s">
        <v>25</v>
      </c>
      <c r="P5529" t="s">
        <v>6967</v>
      </c>
      <c r="Q5529" t="s">
        <v>6968</v>
      </c>
    </row>
    <row r="5530" spans="1:17" ht="15.5" x14ac:dyDescent="0.35">
      <c r="A5530" s="3" t="str">
        <f>HYPERLINK("https://edmondsonsupply.com/collections/electricians-tools/products/klein-tools-63060-ratcheting-cable-cutter", "https://edmondsonsupply.com/collections/electricians-tools/products/klein-tools-63060-ratcheting-cable-cutter")</f>
        <v>https://edmondsonsupply.com/collections/electricians-tools/products/klein-tools-63060-ratcheting-cable-cutter</v>
      </c>
      <c r="B5530" s="3" t="str">
        <f>HYPERLINK("https://edmondsonsupply.com/products/klein-tools-63060-ratcheting-cable-cutter", "https://edmondsonsupply.com/products/klein-tools-63060-ratcheting-cable-cutter")</f>
        <v>https://edmondsonsupply.com/products/klein-tools-63060-ratcheting-cable-cutter</v>
      </c>
      <c r="C5530" t="s">
        <v>7427</v>
      </c>
      <c r="D5530" t="s">
        <v>7428</v>
      </c>
      <c r="E5530" s="3" t="str">
        <f>HYPERLINK("https://www.amazon.com/Klein-Tools-Ratcheting-Preparation-Stripper/dp/B0BD431C5B/ref=sr_1_2?keywords=Klein+Tools+63060+Ratcheting+Cable+Cutter&amp;qid=1695174295&amp;sr=8-2", "https://www.amazon.com/Klein-Tools-Ratcheting-Preparation-Stripper/dp/B0BD431C5B/ref=sr_1_2?keywords=Klein+Tools+63060+Ratcheting+Cable+Cutter&amp;qid=1695174295&amp;sr=8-2")</f>
        <v>https://www.amazon.com/Klein-Tools-Ratcheting-Preparation-Stripper/dp/B0BD431C5B/ref=sr_1_2?keywords=Klein+Tools+63060+Ratcheting+Cable+Cutter&amp;qid=1695174295&amp;sr=8-2</v>
      </c>
      <c r="F5530" t="s">
        <v>7429</v>
      </c>
      <c r="G5530" t="e">
        <f ca="1">_xludf.IMAGE("https://edmondsonsupply.com/cdn/shop/products/63060.jpg?v=1633030887")</f>
        <v>#NAME?</v>
      </c>
      <c r="H5530" t="e">
        <f ca="1">_xludf.IMAGE("https://m.media-amazon.com/images/I/518sX-KFIZL._AC_UL320_.jpg")</f>
        <v>#NAME?</v>
      </c>
      <c r="I5530" t="s">
        <v>400</v>
      </c>
      <c r="J5530">
        <v>249.96</v>
      </c>
      <c r="K5530" s="4">
        <v>0.24990000000000001</v>
      </c>
      <c r="L5530">
        <v>3.6</v>
      </c>
      <c r="M5530">
        <v>4</v>
      </c>
      <c r="O5530" t="s">
        <v>25</v>
      </c>
      <c r="P5530" t="s">
        <v>7430</v>
      </c>
      <c r="Q5530" t="s">
        <v>7431</v>
      </c>
    </row>
    <row r="5531" spans="1:17" ht="15.5" x14ac:dyDescent="0.35">
      <c r="A5531"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5531"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5531" t="s">
        <v>5880</v>
      </c>
      <c r="D5531" t="s">
        <v>5881</v>
      </c>
      <c r="E5531" s="3" t="str">
        <f>HYPERLINK("https://www.amazon.com/Diablo-SDS-Max-Carbide-Tipped-Core/dp/B089M8ST7R/ref=sr_1_5?keywords=Diablo+Tools+DMAMXCC5030+3-1%2F4+in.+x+7+in.+SDS-Max+Carbide+Tipped+Core+Bit&amp;qid=1695174010&amp;sr=8-5", "https://www.amazon.com/Diablo-SDS-Max-Carbide-Tipped-Core/dp/B089M8ST7R/ref=sr_1_5?keywords=Diablo+Tools+DMAMXCC5030+3-1%2F4+in.+x+7+in.+SDS-Max+Carbide+Tipped+Core+Bit&amp;qid=1695174010&amp;sr=8-5")</f>
        <v>https://www.amazon.com/Diablo-SDS-Max-Carbide-Tipped-Core/dp/B089M8ST7R/ref=sr_1_5?keywords=Diablo+Tools+DMAMXCC5030+3-1%2F4+in.+x+7+in.+SDS-Max+Carbide+Tipped+Core+Bit&amp;qid=1695174010&amp;sr=8-5</v>
      </c>
      <c r="F5531" t="s">
        <v>5882</v>
      </c>
      <c r="G5531" t="e">
        <f ca="1">_xludf.IMAGE("https://edmondsonsupply.com/cdn/shop/files/gtygiwnduxetozty2qne.webp?v=1686585332")</f>
        <v>#NAME?</v>
      </c>
      <c r="H5531" t="e">
        <f ca="1">_xludf.IMAGE("https://m.media-amazon.com/images/I/71bh3TRvqmL._AC_UL320_.jpg")</f>
        <v>#NAME?</v>
      </c>
      <c r="I5531" t="s">
        <v>5883</v>
      </c>
      <c r="J5531">
        <v>157.44</v>
      </c>
      <c r="K5531" s="4">
        <v>0.24959999999999999</v>
      </c>
      <c r="L5531">
        <v>4.7</v>
      </c>
      <c r="M5531">
        <v>8</v>
      </c>
      <c r="O5531" t="s">
        <v>25</v>
      </c>
      <c r="P5531" t="s">
        <v>5884</v>
      </c>
      <c r="Q5531" t="s">
        <v>5885</v>
      </c>
    </row>
    <row r="5532" spans="1:17" ht="15.5" x14ac:dyDescent="0.35">
      <c r="A5532"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5532" s="3" t="str">
        <f>HYPERLINK("https://edmondsonsupply.com/products/klein-tools-60511-heavy-duty-knee-pad-sleeves-m-l", "https://edmondsonsupply.com/products/klein-tools-60511-heavy-duty-knee-pad-sleeves-m-l")</f>
        <v>https://edmondsonsupply.com/products/klein-tools-60511-heavy-duty-knee-pad-sleeves-m-l</v>
      </c>
      <c r="C5532" t="s">
        <v>1024</v>
      </c>
      <c r="D5532" t="s">
        <v>909</v>
      </c>
      <c r="E5532" s="3" t="str">
        <f>HYPERLINK("https://www.amazon.com/Klein-Tools-60491-Protective-Quick-Fasten/dp/B0BHXBMBHP/ref=sr_1_5?keywords=Klein+Tools+60511+Heavy+Duty+Knee+Pad+Sleeves%2C+M%2FL&amp;qid=1695174162&amp;sr=8-5", "https://www.amazon.com/Klein-Tools-60491-Protective-Quick-Fasten/dp/B0BHXBMBHP/ref=sr_1_5?keywords=Klein+Tools+60511+Heavy+Duty+Knee+Pad+Sleeves%2C+M%2FL&amp;qid=1695174162&amp;sr=8-5")</f>
        <v>https://www.amazon.com/Klein-Tools-60491-Protective-Quick-Fasten/dp/B0BHXBMBHP/ref=sr_1_5?keywords=Klein+Tools+60511+Heavy+Duty+Knee+Pad+Sleeves%2C+M%2FL&amp;qid=1695174162&amp;sr=8-5</v>
      </c>
      <c r="F5532" t="s">
        <v>910</v>
      </c>
      <c r="G5532" t="e">
        <f ca="1">_xludf.IMAGE("https://edmondsonsupply.com/cdn/shop/products/60511_60611_b.jpg?v=1663253024")</f>
        <v>#NAME?</v>
      </c>
      <c r="H5532" t="e">
        <f ca="1">_xludf.IMAGE("https://m.media-amazon.com/images/I/718i4PDcjnL._AC_UL320_.jpg")</f>
        <v>#NAME?</v>
      </c>
      <c r="I5532" t="s">
        <v>198</v>
      </c>
      <c r="J5532">
        <v>49.97</v>
      </c>
      <c r="K5532" s="4">
        <v>0.24959999999999999</v>
      </c>
      <c r="L5532">
        <v>4.4000000000000004</v>
      </c>
      <c r="M5532">
        <v>289</v>
      </c>
      <c r="O5532" t="s">
        <v>25</v>
      </c>
      <c r="P5532" t="s">
        <v>1027</v>
      </c>
      <c r="Q5532" t="s">
        <v>1028</v>
      </c>
    </row>
    <row r="5533" spans="1:17" ht="15.5" x14ac:dyDescent="0.35">
      <c r="A5533"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5533" s="3" t="str">
        <f>HYPERLINK("https://edmondsonsupply.com/products/klein-tools-60615-heavy-duty-knee-pad-sleeves-s-m", "https://edmondsonsupply.com/products/klein-tools-60615-heavy-duty-knee-pad-sleeves-s-m")</f>
        <v>https://edmondsonsupply.com/products/klein-tools-60615-heavy-duty-knee-pad-sleeves-s-m</v>
      </c>
      <c r="C5533" t="s">
        <v>1029</v>
      </c>
      <c r="D5533" t="s">
        <v>909</v>
      </c>
      <c r="E5533" s="3" t="str">
        <f>HYPERLINK("https://www.amazon.com/Klein-Tools-60491-Protective-Quick-Fasten/dp/B0BHXBMBHP/ref=sr_1_4?keywords=Klein+Tools+60615+Heavy+Duty+Knee+Pad+Sleeves%2C+S%2FM&amp;qid=1695174031&amp;sr=8-4", "https://www.amazon.com/Klein-Tools-60491-Protective-Quick-Fasten/dp/B0BHXBMBHP/ref=sr_1_4?keywords=Klein+Tools+60615+Heavy+Duty+Knee+Pad+Sleeves%2C+S%2FM&amp;qid=1695174031&amp;sr=8-4")</f>
        <v>https://www.amazon.com/Klein-Tools-60491-Protective-Quick-Fasten/dp/B0BHXBMBHP/ref=sr_1_4?keywords=Klein+Tools+60615+Heavy+Duty+Knee+Pad+Sleeves%2C+S%2FM&amp;qid=1695174031&amp;sr=8-4</v>
      </c>
      <c r="F5533" t="s">
        <v>910</v>
      </c>
      <c r="G5533" t="e">
        <f ca="1">_xludf.IMAGE("https://edmondsonsupply.com/cdn/shop/products/60511_60611_b_f68c12ff-69e9-4ee5-9cc0-02cf7484e091.jpg?v=1681743847")</f>
        <v>#NAME?</v>
      </c>
      <c r="H5533" t="e">
        <f ca="1">_xludf.IMAGE("https://m.media-amazon.com/images/I/718i4PDcjnL._AC_UL320_.jpg")</f>
        <v>#NAME?</v>
      </c>
      <c r="I5533" t="s">
        <v>198</v>
      </c>
      <c r="J5533">
        <v>49.97</v>
      </c>
      <c r="K5533" s="4">
        <v>0.24959999999999999</v>
      </c>
      <c r="L5533">
        <v>4.4000000000000004</v>
      </c>
      <c r="M5533">
        <v>289</v>
      </c>
      <c r="O5533" t="s">
        <v>25</v>
      </c>
      <c r="P5533" t="s">
        <v>1027</v>
      </c>
      <c r="Q5533" t="s">
        <v>1030</v>
      </c>
    </row>
    <row r="5534" spans="1:17" ht="15.5" x14ac:dyDescent="0.35">
      <c r="A5534" s="3" t="str">
        <f>HYPERLINK("https://edmondsonsupply.com/collections/electricians-tools/products/klein-tools-9125-tape-measure-25-foot-single-hook", "https://edmondsonsupply.com/collections/electricians-tools/products/klein-tools-9125-tape-measure-25-foot-single-hook")</f>
        <v>https://edmondsonsupply.com/collections/electricians-tools/products/klein-tools-9125-tape-measure-25-foot-single-hook</v>
      </c>
      <c r="B5534" s="3" t="str">
        <f>HYPERLINK("https://edmondsonsupply.com/products/klein-tools-9125-tape-measure-25-foot-single-hook", "https://edmondsonsupply.com/products/klein-tools-9125-tape-measure-25-foot-single-hook")</f>
        <v>https://edmondsonsupply.com/products/klein-tools-9125-tape-measure-25-foot-single-hook</v>
      </c>
      <c r="C5534" t="s">
        <v>5993</v>
      </c>
      <c r="D5534" t="s">
        <v>5380</v>
      </c>
      <c r="E5534" s="3" t="str">
        <f>HYPERLINK("https://www.amazon.com/Klein-Tools-Measure-Magnetic-Double-Hook/dp/B07WF9TKNN/ref=sr_1_4?keywords=Klein+Tools+9125+Tape+Measure%2C+25-Foot+Single-Hook&amp;qid=1695174185&amp;sr=8-4", "https://www.amazon.com/Klein-Tools-Measure-Magnetic-Double-Hook/dp/B07WF9TKNN/ref=sr_1_4?keywords=Klein+Tools+9125+Tape+Measure%2C+25-Foot+Single-Hook&amp;qid=1695174185&amp;sr=8-4")</f>
        <v>https://www.amazon.com/Klein-Tools-Measure-Magnetic-Double-Hook/dp/B07WF9TKNN/ref=sr_1_4?keywords=Klein+Tools+9125+Tape+Measure%2C+25-Foot+Single-Hook&amp;qid=1695174185&amp;sr=8-4</v>
      </c>
      <c r="F5534" t="s">
        <v>5381</v>
      </c>
      <c r="G5534" t="e">
        <f ca="1">_xludf.IMAGE("https://edmondsonsupply.com/cdn/shop/products/9125.jpg?v=1587148575")</f>
        <v>#NAME?</v>
      </c>
      <c r="H5534" t="e">
        <f ca="1">_xludf.IMAGE("https://m.media-amazon.com/images/I/51-QFLUv4EL._AC_UL320_.jpg")</f>
        <v>#NAME?</v>
      </c>
      <c r="I5534" t="s">
        <v>577</v>
      </c>
      <c r="J5534">
        <v>24.97</v>
      </c>
      <c r="K5534" s="4">
        <v>0.24909999999999999</v>
      </c>
      <c r="L5534">
        <v>4.5999999999999996</v>
      </c>
      <c r="M5534">
        <v>1948</v>
      </c>
      <c r="O5534" t="s">
        <v>25</v>
      </c>
      <c r="P5534" t="s">
        <v>894</v>
      </c>
      <c r="Q5534" t="s">
        <v>5996</v>
      </c>
    </row>
    <row r="5535" spans="1:17" ht="15.5" x14ac:dyDescent="0.35">
      <c r="A5535"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5535" s="3" t="str">
        <f>HYPERLINK("https://edmondsonsupply.com/products/klein-tools-646-5-16-5-16-inch-nut-driver-6-inch-hollow-shaft", "https://edmondsonsupply.com/products/klein-tools-646-5-16-5-16-inch-nut-driver-6-inch-hollow-shaft")</f>
        <v>https://edmondsonsupply.com/products/klein-tools-646-5-16-5-16-inch-nut-driver-6-inch-hollow-shaft</v>
      </c>
      <c r="C5535" t="s">
        <v>1893</v>
      </c>
      <c r="D5535" t="s">
        <v>3747</v>
      </c>
      <c r="E5535" s="3" t="str">
        <f>HYPERLINK("https://www.amazon.com/Magnetic-Klein-Tools-630-5-16M/dp/B000LEX58E/ref=sr_1_9?keywords=Klein+Tools+646-5%2F16+5%2F16-Inch+Nut+Driver%2C+6-Inch+Hollow+Shaft&amp;qid=1695173904&amp;sr=8-9", "https://www.amazon.com/Magnetic-Klein-Tools-630-5-16M/dp/B000LEX58E/ref=sr_1_9?keywords=Klein+Tools+646-5%2F16+5%2F16-Inch+Nut+Driver%2C+6-Inch+Hollow+Shaft&amp;qid=1695173904&amp;sr=8-9")</f>
        <v>https://www.amazon.com/Magnetic-Klein-Tools-630-5-16M/dp/B000LEX58E/ref=sr_1_9?keywords=Klein+Tools+646-5%2F16+5%2F16-Inch+Nut+Driver%2C+6-Inch+Hollow+Shaft&amp;qid=1695173904&amp;sr=8-9</v>
      </c>
      <c r="F5535" t="s">
        <v>3748</v>
      </c>
      <c r="G5535" t="e">
        <f ca="1">_xludf.IMAGE("https://edmondsonsupply.com/cdn/shop/products/646-1-2_e1540905-f750-4509-90c5-74ff653e4d83.jpg?v=1587145119")</f>
        <v>#NAME?</v>
      </c>
      <c r="H5535" t="e">
        <f ca="1">_xludf.IMAGE("https://m.media-amazon.com/images/I/515W26xlnhL._AC_UL320_.jpg")</f>
        <v>#NAME?</v>
      </c>
      <c r="I5535" t="s">
        <v>1003</v>
      </c>
      <c r="J5535">
        <v>9.9700000000000006</v>
      </c>
      <c r="K5535" s="4">
        <v>0.24779999999999999</v>
      </c>
      <c r="L5535">
        <v>4.7</v>
      </c>
      <c r="M5535">
        <v>1574</v>
      </c>
      <c r="O5535" t="s">
        <v>25</v>
      </c>
      <c r="P5535" t="s">
        <v>1481</v>
      </c>
      <c r="Q5535" t="s">
        <v>1896</v>
      </c>
    </row>
    <row r="5536" spans="1:17" ht="15.5" x14ac:dyDescent="0.35">
      <c r="A5536"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5536" s="3" t="str">
        <f>HYPERLINK("https://edmondsonsupply.com/products/klein-tools-s10-5-16-inch-nut-driver-3-inch-hollow-shaft", "https://edmondsonsupply.com/products/klein-tools-s10-5-16-inch-nut-driver-3-inch-hollow-shaft")</f>
        <v>https://edmondsonsupply.com/products/klein-tools-s10-5-16-inch-nut-driver-3-inch-hollow-shaft</v>
      </c>
      <c r="C5536" t="s">
        <v>7432</v>
      </c>
      <c r="D5536" t="s">
        <v>3747</v>
      </c>
      <c r="E5536" s="3" t="str">
        <f>HYPERLINK("https://www.amazon.com/Magnetic-Klein-Tools-630-5-16M/dp/B000LEX58E/ref=sr_1_2?keywords=Klein+Tools+S10+5%2F16-Inch+Nut+Driver+3-Inch+Hollow+Shaft&amp;qid=1695174298&amp;sr=8-2", "https://www.amazon.com/Magnetic-Klein-Tools-630-5-16M/dp/B000LEX58E/ref=sr_1_2?keywords=Klein+Tools+S10+5%2F16-Inch+Nut+Driver+3-Inch+Hollow+Shaft&amp;qid=1695174298&amp;sr=8-2")</f>
        <v>https://www.amazon.com/Magnetic-Klein-Tools-630-5-16M/dp/B000LEX58E/ref=sr_1_2?keywords=Klein+Tools+S10+5%2F16-Inch+Nut+Driver+3-Inch+Hollow+Shaft&amp;qid=1695174298&amp;sr=8-2</v>
      </c>
      <c r="F5536" t="s">
        <v>3748</v>
      </c>
      <c r="G5536" t="e">
        <f ca="1">_xludf.IMAGE("https://edmondsonsupply.com/cdn/shop/products/s10_38acacb8-6c8e-49ef-8ed3-7160ab53875a.jpg?v=1633030893")</f>
        <v>#NAME?</v>
      </c>
      <c r="H5536" t="e">
        <f ca="1">_xludf.IMAGE("https://m.media-amazon.com/images/I/515W26xlnhL._AC_UL320_.jpg")</f>
        <v>#NAME?</v>
      </c>
      <c r="I5536" t="s">
        <v>1003</v>
      </c>
      <c r="J5536">
        <v>9.9700000000000006</v>
      </c>
      <c r="K5536" s="4">
        <v>0.24779999999999999</v>
      </c>
      <c r="L5536">
        <v>4.7</v>
      </c>
      <c r="M5536">
        <v>1574</v>
      </c>
      <c r="O5536" t="s">
        <v>25</v>
      </c>
      <c r="P5536" t="s">
        <v>7433</v>
      </c>
      <c r="Q5536" t="s">
        <v>7434</v>
      </c>
    </row>
    <row r="5537" spans="1:17" ht="15.5" x14ac:dyDescent="0.35">
      <c r="A5537"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5537" s="3" t="str">
        <f>HYPERLINK("https://edmondsonsupply.com/products/diablo-tools-dmapl2530-1-in-x-16-in-x-18-in-sds-plus-2-cutter", "https://edmondsonsupply.com/products/diablo-tools-dmapl2530-1-in-x-16-in-x-18-in-sds-plus-2-cutter")</f>
        <v>https://edmondsonsupply.com/products/diablo-tools-dmapl2530-1-in-x-16-in-x-18-in-sds-plus-2-cutter</v>
      </c>
      <c r="C5537" t="s">
        <v>7435</v>
      </c>
      <c r="D5537" t="s">
        <v>5388</v>
      </c>
      <c r="E5537" s="3" t="str">
        <f>HYPERLINK("https://www.amazon.com/Diablo-DMAPL4310-SDS-Plus-4-Cutter-Carbide/dp/B089KX2VKR/ref=sr_1_3?keywords=Diablo+Tools+DMAPL2530+1+in.+x+16+in.+x+18+in.+SDS-Plus+2-Cutter&amp;qid=1695174263&amp;sr=8-3", "https://www.amazon.com/Diablo-DMAPL4310-SDS-Plus-4-Cutter-Carbide/dp/B089KX2VKR/ref=sr_1_3?keywords=Diablo+Tools+DMAPL2530+1+in.+x+16+in.+x+18+in.+SDS-Plus+2-Cutter&amp;qid=1695174263&amp;sr=8-3")</f>
        <v>https://www.amazon.com/Diablo-DMAPL4310-SDS-Plus-4-Cutter-Carbide/dp/B089KX2VKR/ref=sr_1_3?keywords=Diablo+Tools+DMAPL2530+1+in.+x+16+in.+x+18+in.+SDS-Plus+2-Cutter&amp;qid=1695174263&amp;sr=8-3</v>
      </c>
      <c r="F5537" t="s">
        <v>5389</v>
      </c>
      <c r="G5537" t="e">
        <f ca="1">_xludf.IMAGE("https://edmondsonsupply.com/cdn/shop/products/DMAPL2530_Main-Image20200703.png?v=1627068300")</f>
        <v>#NAME?</v>
      </c>
      <c r="H5537" t="e">
        <f ca="1">_xludf.IMAGE("https://m.media-amazon.com/images/I/61iwxfqG2VL._AC_UL320_.jpg")</f>
        <v>#NAME?</v>
      </c>
      <c r="I5537" t="s">
        <v>7436</v>
      </c>
      <c r="J5537">
        <v>48.49</v>
      </c>
      <c r="K5537" s="4">
        <v>0.24429999999999999</v>
      </c>
      <c r="L5537">
        <v>4.5</v>
      </c>
      <c r="M5537">
        <v>32</v>
      </c>
      <c r="O5537" t="s">
        <v>25</v>
      </c>
      <c r="P5537" t="s">
        <v>7437</v>
      </c>
      <c r="Q5537" t="s">
        <v>7438</v>
      </c>
    </row>
    <row r="5538" spans="1:17" ht="15.5" x14ac:dyDescent="0.35">
      <c r="A5538"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5538" s="3" t="str">
        <f>HYPERLINK("https://edmondsonsupply.com/products/klein-tools-mm400-digital-multimeter-auto-ranging-600v", "https://edmondsonsupply.com/products/klein-tools-mm400-digital-multimeter-auto-ranging-600v")</f>
        <v>https://edmondsonsupply.com/products/klein-tools-mm400-digital-multimeter-auto-ranging-600v</v>
      </c>
      <c r="C5538" t="s">
        <v>3356</v>
      </c>
      <c r="D5538" t="s">
        <v>3762</v>
      </c>
      <c r="E5538" s="3" t="str">
        <f>HYPERLINK("https://www.amazon.com/Klein-Tools-Multimeter-Receptacle-Electrical/dp/B09Y7XWBDN/ref=sr_1_3?keywords=Klein+Tools+MM400+Digital+Multimeter%2C+Auto-Ranging%2C+600V&amp;qid=1695173884&amp;sr=8-3", "https://www.amazon.com/Klein-Tools-Multimeter-Receptacle-Electrical/dp/B09Y7XWBDN/ref=sr_1_3?keywords=Klein+Tools+MM400+Digital+Multimeter%2C+Auto-Ranging%2C+600V&amp;qid=1695173884&amp;sr=8-3")</f>
        <v>https://www.amazon.com/Klein-Tools-Multimeter-Receptacle-Electrical/dp/B09Y7XWBDN/ref=sr_1_3?keywords=Klein+Tools+MM400+Digital+Multimeter%2C+Auto-Ranging%2C+600V&amp;qid=1695173884&amp;sr=8-3</v>
      </c>
      <c r="F5538" t="s">
        <v>3763</v>
      </c>
      <c r="G5538" t="e">
        <f ca="1">_xludf.IMAGE("https://edmondsonsupply.com/cdn/shop/products/mm400_alt1.jpg?v=1633030778")</f>
        <v>#NAME?</v>
      </c>
      <c r="H5538" t="e">
        <f ca="1">_xludf.IMAGE("https://m.media-amazon.com/images/I/513dpkrUdRL._AC_UL320_.jpg")</f>
        <v>#NAME?</v>
      </c>
      <c r="I5538" t="s">
        <v>3359</v>
      </c>
      <c r="J5538">
        <v>68.33</v>
      </c>
      <c r="K5538" s="4">
        <v>0.24299999999999999</v>
      </c>
      <c r="L5538">
        <v>3.7</v>
      </c>
      <c r="M5538">
        <v>3</v>
      </c>
      <c r="O5538" t="s">
        <v>25</v>
      </c>
      <c r="P5538" t="s">
        <v>3360</v>
      </c>
      <c r="Q5538" t="s">
        <v>3361</v>
      </c>
    </row>
    <row r="5539" spans="1:17" ht="15.5" x14ac:dyDescent="0.35">
      <c r="A5539"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5539"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5539" t="s">
        <v>6870</v>
      </c>
      <c r="D5539" t="s">
        <v>2386</v>
      </c>
      <c r="E5539" s="3" t="str">
        <f>HYPERLINK("https://www.amazon.com/Journeyman-T-Handle-Klein-Tools-JTH6E13BE/dp/B004QW52YW/ref=sr_1_4?keywords=Klein+Tools+JTH6E14BE+5%2F16-Inch+Ball+End+Hex+Key+with+T-Handle%2C+6-Inch&amp;qid=1695174246&amp;sr=8-4", "https://www.amazon.com/Journeyman-T-Handle-Klein-Tools-JTH6E13BE/dp/B004QW52YW/ref=sr_1_4?keywords=Klein+Tools+JTH6E14BE+5%2F16-Inch+Ball+End+Hex+Key+with+T-Handle%2C+6-Inch&amp;qid=1695174246&amp;sr=8-4")</f>
        <v>https://www.amazon.com/Journeyman-T-Handle-Klein-Tools-JTH6E13BE/dp/B004QW52YW/ref=sr_1_4?keywords=Klein+Tools+JTH6E14BE+5%2F16-Inch+Ball+End+Hex+Key+with+T-Handle%2C+6-Inch&amp;qid=1695174246&amp;sr=8-4</v>
      </c>
      <c r="F5539" t="s">
        <v>2387</v>
      </c>
      <c r="G5539" t="e">
        <f ca="1">_xludf.IMAGE("https://edmondsonsupply.com/cdn/shop/products/jth6e13be_0da4cca6-ce15-419c-bc75-cd610bd9637f.jpg?v=1629825198")</f>
        <v>#NAME?</v>
      </c>
      <c r="H5539" t="e">
        <f ca="1">_xludf.IMAGE("https://m.media-amazon.com/images/I/51f9vBFVXgL._AC_UL320_.jpg")</f>
        <v>#NAME?</v>
      </c>
      <c r="I5539" t="s">
        <v>6394</v>
      </c>
      <c r="J5539">
        <v>10.55</v>
      </c>
      <c r="K5539" s="4">
        <v>0.24260000000000001</v>
      </c>
      <c r="L5539">
        <v>4.7</v>
      </c>
      <c r="M5539">
        <v>32</v>
      </c>
      <c r="O5539" t="s">
        <v>25</v>
      </c>
      <c r="P5539" t="s">
        <v>6871</v>
      </c>
      <c r="Q5539" t="s">
        <v>6872</v>
      </c>
    </row>
    <row r="5540" spans="1:17" ht="15.5" x14ac:dyDescent="0.35">
      <c r="A5540" s="3" t="str">
        <f>HYPERLINK("https://edmondsonsupply.com/collections/electricians-tools/products/klein-tools-jth9m6-6-mm-hex-key-journeyman%E2%84%A2-t-handle-9-inch", "https://edmondsonsupply.com/collections/electricians-tools/products/klein-tools-jth9m6-6-mm-hex-key-journeyman%E2%84%A2-t-handle-9-inch")</f>
        <v>https://edmondsonsupply.com/collections/electricians-tools/products/klein-tools-jth9m6-6-mm-hex-key-journeyman%E2%84%A2-t-handle-9-inch</v>
      </c>
      <c r="B5540" s="3" t="str">
        <f>HYPERLINK("https://edmondsonsupply.com/products/klein-tools-jth9m6-6-mm-hex-key-journeyman%e2%84%a2-t-handle-9-inch", "https://edmondsonsupply.com/products/klein-tools-jth9m6-6-mm-hex-key-journeyman%e2%84%a2-t-handle-9-inch")</f>
        <v>https://edmondsonsupply.com/products/klein-tools-jth9m6-6-mm-hex-key-journeyman%e2%84%a2-t-handle-9-inch</v>
      </c>
      <c r="C5540" t="s">
        <v>6987</v>
      </c>
      <c r="D5540" t="s">
        <v>3163</v>
      </c>
      <c r="E5540" s="3" t="str">
        <f>HYPERLINK("https://www.amazon.com/Journeyman-T-Handle-Klein-Tools-JTH9E14/dp/B004QVAH4I/ref=sr_1_5?keywords=Klein+Tools+JTH9M6+6+mm+Hex+Key%2C+Journeyman%E2%84%A2+T-Handle%2C+9-Inch&amp;qid=1695174139&amp;sr=8-5", "https://www.amazon.com/Journeyman-T-Handle-Klein-Tools-JTH9E14/dp/B004QVAH4I/ref=sr_1_5?keywords=Klein+Tools+JTH9M6+6+mm+Hex+Key%2C+Journeyman%E2%84%A2+T-Handle%2C+9-Inch&amp;qid=1695174139&amp;sr=8-5")</f>
        <v>https://www.amazon.com/Journeyman-T-Handle-Klein-Tools-JTH9E14/dp/B004QVAH4I/ref=sr_1_5?keywords=Klein+Tools+JTH9M6+6+mm+Hex+Key%2C+Journeyman%E2%84%A2+T-Handle%2C+9-Inch&amp;qid=1695174139&amp;sr=8-5</v>
      </c>
      <c r="F5540" t="s">
        <v>3164</v>
      </c>
      <c r="G5540" t="e">
        <f ca="1">_xludf.IMAGE("https://edmondsonsupply.com/cdn/shop/products/jth6m8_8e3ac188-6806-4676-8198-2058bbbd4836.jpg?v=1664891890")</f>
        <v>#NAME?</v>
      </c>
      <c r="H5540" t="e">
        <f ca="1">_xludf.IMAGE("https://m.media-amazon.com/images/I/51Yb8h41vLL._AC_UL320_.jpg")</f>
        <v>#NAME?</v>
      </c>
      <c r="I5540" t="s">
        <v>2639</v>
      </c>
      <c r="J5540">
        <v>7.44</v>
      </c>
      <c r="K5540" s="4">
        <v>0.24210000000000001</v>
      </c>
      <c r="L5540">
        <v>4.8</v>
      </c>
      <c r="M5540">
        <v>114</v>
      </c>
      <c r="O5540" t="s">
        <v>25</v>
      </c>
      <c r="P5540" t="s">
        <v>6988</v>
      </c>
      <c r="Q5540" t="s">
        <v>6989</v>
      </c>
    </row>
    <row r="5541" spans="1:17" ht="15.5" x14ac:dyDescent="0.35">
      <c r="A5541"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5541"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5541" t="s">
        <v>6889</v>
      </c>
      <c r="D5541" t="s">
        <v>3163</v>
      </c>
      <c r="E5541" s="3" t="str">
        <f>HYPERLINK("https://www.amazon.com/Journeyman-T-Handle-Klein-Tools-JTH9E14/dp/B004QVAH4I/ref=sr_1_4?keywords=Klein+Tools+JTH4E13+1%2F4-Inch+Hex+Key%2C+Journeyman%E2%84%A2+T-Handle%2C+4-Inch&amp;qid=1695174202&amp;sr=8-4", "https://www.amazon.com/Journeyman-T-Handle-Klein-Tools-JTH9E14/dp/B004QVAH4I/ref=sr_1_4?keywords=Klein+Tools+JTH4E13+1%2F4-Inch+Hex+Key%2C+Journeyman%E2%84%A2+T-Handle%2C+4-Inch&amp;qid=1695174202&amp;sr=8-4")</f>
        <v>https://www.amazon.com/Journeyman-T-Handle-Klein-Tools-JTH9E14/dp/B004QVAH4I/ref=sr_1_4?keywords=Klein+Tools+JTH4E13+1%2F4-Inch+Hex+Key%2C+Journeyman%E2%84%A2+T-Handle%2C+4-Inch&amp;qid=1695174202&amp;sr=8-4</v>
      </c>
      <c r="F5541" t="s">
        <v>3164</v>
      </c>
      <c r="G5541" t="e">
        <f ca="1">_xludf.IMAGE("https://edmondsonsupply.com/cdn/shop/products/jth4e13.jpg?v=1660919816")</f>
        <v>#NAME?</v>
      </c>
      <c r="H5541" t="e">
        <f ca="1">_xludf.IMAGE("https://m.media-amazon.com/images/I/51Yb8h41vLL._AC_UL320_.jpg")</f>
        <v>#NAME?</v>
      </c>
      <c r="I5541" t="s">
        <v>2639</v>
      </c>
      <c r="J5541">
        <v>7.44</v>
      </c>
      <c r="K5541" s="4">
        <v>0.24210000000000001</v>
      </c>
      <c r="L5541">
        <v>4.8</v>
      </c>
      <c r="M5541">
        <v>114</v>
      </c>
      <c r="O5541" t="s">
        <v>25</v>
      </c>
      <c r="P5541" t="s">
        <v>6890</v>
      </c>
      <c r="Q5541" t="s">
        <v>6891</v>
      </c>
    </row>
    <row r="5542" spans="1:17" ht="15.5" x14ac:dyDescent="0.35">
      <c r="A5542" s="3" t="str">
        <f>HYPERLINK("https://edmondsonsupply.com/collections/electricians-tools/products/reed-mfg-r12dn-1-1-2-r12-segmental-dies-1-1-2-npt", "https://edmondsonsupply.com/collections/electricians-tools/products/reed-mfg-r12dn-1-1-2-r12-segmental-dies-1-1-2-npt")</f>
        <v>https://edmondsonsupply.com/collections/electricians-tools/products/reed-mfg-r12dn-1-1-2-r12-segmental-dies-1-1-2-npt</v>
      </c>
      <c r="B5542" s="3" t="str">
        <f>HYPERLINK("https://edmondsonsupply.com/products/reed-mfg-r12dn-1-1-2-r12-segmental-dies-1-1-2-npt", "https://edmondsonsupply.com/products/reed-mfg-r12dn-1-1-2-r12-segmental-dies-1-1-2-npt")</f>
        <v>https://edmondsonsupply.com/products/reed-mfg-r12dn-1-1-2-r12-segmental-dies-1-1-2-npt</v>
      </c>
      <c r="C5542" t="s">
        <v>7439</v>
      </c>
      <c r="D5542" t="s">
        <v>7136</v>
      </c>
      <c r="E5542" s="3" t="str">
        <f>HYPERLINK("https://www.amazon.com/Reed-Tool-R12DN-Segmental-1-Inch/dp/B001H4K78I/ref=sr_1_fkmr0_1?keywords=Reed+Mfg+R12DN+1+1%2F2+R12%2B+Segmental+Dies%2C+1-1%2F2%22+NPT&amp;qid=1695174266&amp;sr=8-1-fkmr0", "https://www.amazon.com/Reed-Tool-R12DN-Segmental-1-Inch/dp/B001H4K78I/ref=sr_1_fkmr0_1?keywords=Reed+Mfg+R12DN+1+1%2F2+R12%2B+Segmental+Dies%2C+1-1%2F2%22+NPT&amp;qid=1695174266&amp;sr=8-1-fkmr0")</f>
        <v>https://www.amazon.com/Reed-Tool-R12DN-Segmental-1-Inch/dp/B001H4K78I/ref=sr_1_fkmr0_1?keywords=Reed+Mfg+R12DN+1+1%2F2+R12%2B+Segmental+Dies%2C+1-1%2F2%22+NPT&amp;qid=1695174266&amp;sr=8-1-fkmr0</v>
      </c>
      <c r="F5542" t="s">
        <v>7137</v>
      </c>
      <c r="G5542" t="e">
        <f ca="1">_xludf.IMAGE("https://edmondsonsupply.com/cdn/shop/products/05608-R12DN3-4-dies-RGB_18be43bb-b5b6-4266-a027-2965d5bb2b0a.jpg?v=1633031014")</f>
        <v>#NAME?</v>
      </c>
      <c r="H5542" t="e">
        <f ca="1">_xludf.IMAGE("https://m.media-amazon.com/images/I/31dWFq4VtpL._AC_UY218_.jpg")</f>
        <v>#NAME?</v>
      </c>
      <c r="I5542" t="s">
        <v>5519</v>
      </c>
      <c r="J5542">
        <v>66.73</v>
      </c>
      <c r="K5542" s="4">
        <v>0.23669999999999999</v>
      </c>
      <c r="L5542">
        <v>5</v>
      </c>
      <c r="M5542">
        <v>1</v>
      </c>
      <c r="O5542" t="s">
        <v>25</v>
      </c>
      <c r="P5542" t="s">
        <v>7440</v>
      </c>
      <c r="Q5542" t="s">
        <v>7441</v>
      </c>
    </row>
    <row r="5543" spans="1:17" ht="15.5" x14ac:dyDescent="0.35">
      <c r="A5543" s="3" t="str">
        <f>HYPERLINK("https://edmondsonsupply.com/collections/electricians-tools/products/fluke-376", "https://edmondsonsupply.com/collections/electricians-tools/products/fluke-376")</f>
        <v>https://edmondsonsupply.com/collections/electricians-tools/products/fluke-376</v>
      </c>
      <c r="B5543" s="3" t="str">
        <f>HYPERLINK("https://edmondsonsupply.com/products/fluke-376", "https://edmondsonsupply.com/products/fluke-376")</f>
        <v>https://edmondsonsupply.com/products/fluke-376</v>
      </c>
      <c r="C5543" t="s">
        <v>3766</v>
      </c>
      <c r="D5543" t="s">
        <v>3767</v>
      </c>
      <c r="E5543" s="3" t="str">
        <f>HYPERLINK("https://www.amazon.com/Fluke-376-FC-NIST-Traceable-Calibration-Certificate/dp/B01CFXIMOU/ref=sr_1_1?keywords=Fluke+376+FC+Wireless+True-RMS+AC%2FDC+Clamp+Meter+with+iFlex&amp;qid=1695173895&amp;sr=8-1", "https://www.amazon.com/Fluke-376-FC-NIST-Traceable-Calibration-Certificate/dp/B01CFXIMOU/ref=sr_1_1?keywords=Fluke+376+FC+Wireless+True-RMS+AC%2FDC+Clamp+Meter+with+iFlex&amp;qid=1695173895&amp;sr=8-1")</f>
        <v>https://www.amazon.com/Fluke-376-FC-NIST-Traceable-Calibration-Certificate/dp/B01CFXIMOU/ref=sr_1_1?keywords=Fluke+376+FC+Wireless+True-RMS+AC%2FDC+Clamp+Meter+with+iFlex&amp;qid=1695173895&amp;sr=8-1</v>
      </c>
      <c r="F5543" t="s">
        <v>3768</v>
      </c>
      <c r="G5543" t="e">
        <f ca="1">_xludf.IMAGE("https://edmondsonsupply.com/cdn/shop/products/f-376fc-16a-1500x1000.jpg?v=1633030274")</f>
        <v>#NAME?</v>
      </c>
      <c r="H5543" t="e">
        <f ca="1">_xludf.IMAGE("https://m.media-amazon.com/images/I/81SZ2OCx2VL._AC_UY218_.jpg")</f>
        <v>#NAME?</v>
      </c>
      <c r="I5543" t="s">
        <v>3769</v>
      </c>
      <c r="J5543">
        <v>659.99</v>
      </c>
      <c r="K5543" s="4">
        <v>0.23669999999999999</v>
      </c>
      <c r="L5543">
        <v>4.5999999999999996</v>
      </c>
      <c r="M5543">
        <v>21</v>
      </c>
      <c r="O5543" t="s">
        <v>25</v>
      </c>
      <c r="P5543" t="s">
        <v>3770</v>
      </c>
      <c r="Q5543" t="s">
        <v>3771</v>
      </c>
    </row>
    <row r="5544" spans="1:17" ht="15.5" x14ac:dyDescent="0.35">
      <c r="A5544"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5544" s="3" t="str">
        <f>HYPERLINK("https://edmondsonsupply.com/products/diablo-tools-d0740x-7-1-4-in-x-40-tooth-finish-saw-blade", "https://edmondsonsupply.com/products/diablo-tools-d0740x-7-1-4-in-x-40-tooth-finish-saw-blade")</f>
        <v>https://edmondsonsupply.com/products/diablo-tools-d0740x-7-1-4-in-x-40-tooth-finish-saw-blade</v>
      </c>
      <c r="C5544" t="s">
        <v>6112</v>
      </c>
      <c r="D5544" t="s">
        <v>7442</v>
      </c>
      <c r="E5544" s="3" t="str">
        <f>HYPERLINK("https://www.amazon.com/D0760A-Diablo-60-Tooth-Finishing-Circular/dp/B0062KI7BQ/ref=sr_1_2?keywords=Diablo+Tools+D0740X+7-1%2F4+in.+x+40+Tooth+Finish+Saw+Blade&amp;qid=1695174073&amp;sr=8-2", "https://www.amazon.com/D0760A-Diablo-60-Tooth-Finishing-Circular/dp/B0062KI7BQ/ref=sr_1_2?keywords=Diablo+Tools+D0740X+7-1%2F4+in.+x+40+Tooth+Finish+Saw+Blade&amp;qid=1695174073&amp;sr=8-2")</f>
        <v>https://www.amazon.com/D0760A-Diablo-60-Tooth-Finishing-Circular/dp/B0062KI7BQ/ref=sr_1_2?keywords=Diablo+Tools+D0740X+7-1%2F4+in.+x+40+Tooth+Finish+Saw+Blade&amp;qid=1695174073&amp;sr=8-2</v>
      </c>
      <c r="F5544" t="s">
        <v>7443</v>
      </c>
      <c r="G5544" t="e">
        <f ca="1">_xludf.IMAGE("https://edmondsonsupply.com/cdn/shop/products/kdrkrhhsfpivsggxnkhy.webp?v=1678975834")</f>
        <v>#NAME?</v>
      </c>
      <c r="H5544" t="e">
        <f ca="1">_xludf.IMAGE("https://m.media-amazon.com/images/I/71vYkbeqidL._AC_UL320_.jpg")</f>
        <v>#NAME?</v>
      </c>
      <c r="I5544" t="s">
        <v>2784</v>
      </c>
      <c r="J5544">
        <v>18.489999999999998</v>
      </c>
      <c r="K5544" s="4">
        <v>0.2351</v>
      </c>
      <c r="L5544">
        <v>4.8</v>
      </c>
      <c r="M5544">
        <v>2928</v>
      </c>
      <c r="O5544" t="s">
        <v>25</v>
      </c>
      <c r="P5544" t="s">
        <v>6115</v>
      </c>
      <c r="Q5544" t="s">
        <v>6116</v>
      </c>
    </row>
    <row r="5545" spans="1:17" ht="15.5" x14ac:dyDescent="0.35">
      <c r="A5545" s="3" t="str">
        <f>HYPERLINK("https://edmondsonsupply.com/collections/electricians-tools/products/klein-tools-jth6e07be-7-64-inch-ball-end-hex-key-journeyman%E2%84%A2-t-handle-6-inch", "https://edmondsonsupply.com/collections/electricians-tools/products/klein-tools-jth6e07be-7-64-inch-ball-end-hex-key-journeyman%E2%84%A2-t-handle-6-inch")</f>
        <v>https://edmondsonsupply.com/collections/electricians-tools/products/klein-tools-jth6e07be-7-64-inch-ball-end-hex-key-journeyman%E2%84%A2-t-handle-6-inch</v>
      </c>
      <c r="B5545" s="3" t="str">
        <f>HYPERLINK("https://edmondsonsupply.com/products/klein-tools-jth6e07be-7-64-inch-ball-end-hex-key-journeyman%e2%84%a2-t-handle-6-inch", "https://edmondsonsupply.com/products/klein-tools-jth6e07be-7-64-inch-ball-end-hex-key-journeyman%e2%84%a2-t-handle-6-inch")</f>
        <v>https://edmondsonsupply.com/products/klein-tools-jth6e07be-7-64-inch-ball-end-hex-key-journeyman%e2%84%a2-t-handle-6-inch</v>
      </c>
      <c r="C5545" t="s">
        <v>7166</v>
      </c>
      <c r="D5545" t="s">
        <v>7444</v>
      </c>
      <c r="E5545" s="3" t="str">
        <f>HYPERLINK("https://www.amazon.com/Journeyman-T-Handle-Klein-Tools-JTH6E12BE/dp/B004QW74L6/ref=sr_1_4?keywords=Klein+Tools+JTH6E07BE+7%2F64-Inch+Ball-End+Hex+Key%2C+Journeyman%E2%84%A2+T-Handle%2C+6-Inch&amp;qid=1695174129&amp;sr=8-4", "https://www.amazon.com/Journeyman-T-Handle-Klein-Tools-JTH6E12BE/dp/B004QW74L6/ref=sr_1_4?keywords=Klein+Tools+JTH6E07BE+7%2F64-Inch+Ball-End+Hex+Key%2C+Journeyman%E2%84%A2+T-Handle%2C+6-Inch&amp;qid=1695174129&amp;sr=8-4")</f>
        <v>https://www.amazon.com/Journeyman-T-Handle-Klein-Tools-JTH6E12BE/dp/B004QW74L6/ref=sr_1_4?keywords=Klein+Tools+JTH6E07BE+7%2F64-Inch+Ball-End+Hex+Key%2C+Journeyman%E2%84%A2+T-Handle%2C+6-Inch&amp;qid=1695174129&amp;sr=8-4</v>
      </c>
      <c r="F5545" t="s">
        <v>7445</v>
      </c>
      <c r="G5545" t="e">
        <f ca="1">_xludf.IMAGE("https://edmondsonsupply.com/cdn/shop/products/jth6e13be_1.jpg?v=1667224705")</f>
        <v>#NAME?</v>
      </c>
      <c r="H5545" t="e">
        <f ca="1">_xludf.IMAGE("https://m.media-amazon.com/images/I/51f9vBFVXgL._AC_UL320_.jpg")</f>
        <v>#NAME?</v>
      </c>
      <c r="I5545" t="s">
        <v>2388</v>
      </c>
      <c r="J5545">
        <v>6.15</v>
      </c>
      <c r="K5545" s="4">
        <v>0.23250000000000001</v>
      </c>
      <c r="L5545">
        <v>4.5</v>
      </c>
      <c r="M5545">
        <v>9</v>
      </c>
      <c r="O5545" t="s">
        <v>25</v>
      </c>
      <c r="P5545" t="s">
        <v>6356</v>
      </c>
      <c r="Q5545" t="s">
        <v>7169</v>
      </c>
    </row>
    <row r="5546" spans="1:17" ht="15.5" x14ac:dyDescent="0.35">
      <c r="A5546"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5546"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5546" t="s">
        <v>6674</v>
      </c>
      <c r="D5546" t="s">
        <v>2500</v>
      </c>
      <c r="E5546" s="3" t="str">
        <f>HYPERLINK("https://www.amazon.com/Journeyman-T-Handle-Klein-Tools-JTH9M6/dp/B005G3HJKU/ref=sr_1_10?keywords=Klein+Tools+JTH9M8+8+mm+Hex+Key%2C+Journeyman%E2%84%A2+T-Handle%2C+9-Inch&amp;qid=1695174169&amp;sr=8-10", "https://www.amazon.com/Journeyman-T-Handle-Klein-Tools-JTH9M6/dp/B005G3HJKU/ref=sr_1_10?keywords=Klein+Tools+JTH9M8+8+mm+Hex+Key%2C+Journeyman%E2%84%A2+T-Handle%2C+9-Inch&amp;qid=1695174169&amp;sr=8-10")</f>
        <v>https://www.amazon.com/Journeyman-T-Handle-Klein-Tools-JTH9M6/dp/B005G3HJKU/ref=sr_1_10?keywords=Klein+Tools+JTH9M8+8+mm+Hex+Key%2C+Journeyman%E2%84%A2+T-Handle%2C+9-Inch&amp;qid=1695174169&amp;sr=8-10</v>
      </c>
      <c r="F5546" t="s">
        <v>2501</v>
      </c>
      <c r="G5546" t="e">
        <f ca="1">_xludf.IMAGE("https://edmondsonsupply.com/cdn/shop/products/jth6m8_03ba3d30-ff38-4b9e-93e7-b0fc6da199d0.jpg?v=1662658324")</f>
        <v>#NAME?</v>
      </c>
      <c r="H5546" t="e">
        <f ca="1">_xludf.IMAGE("https://m.media-amazon.com/images/I/51+1x0vz9XL._AC_UL320_.jpg")</f>
        <v>#NAME?</v>
      </c>
      <c r="I5546" t="s">
        <v>1003</v>
      </c>
      <c r="J5546">
        <v>9.84</v>
      </c>
      <c r="K5546" s="4">
        <v>0.23150000000000001</v>
      </c>
      <c r="L5546">
        <v>4.7</v>
      </c>
      <c r="M5546">
        <v>123</v>
      </c>
      <c r="O5546" t="s">
        <v>25</v>
      </c>
      <c r="P5546" t="s">
        <v>1481</v>
      </c>
      <c r="Q5546" t="s">
        <v>6675</v>
      </c>
    </row>
    <row r="5547" spans="1:17" ht="15.5" x14ac:dyDescent="0.35">
      <c r="A5547"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5547" s="3" t="str">
        <f>HYPERLINK("https://edmondsonsupply.com/products/klein-tools-60161-professional-safety-glasses-clear-lens", "https://edmondsonsupply.com/products/klein-tools-60161-professional-safety-glasses-clear-lens")</f>
        <v>https://edmondsonsupply.com/products/klein-tools-60161-professional-safety-glasses-clear-lens</v>
      </c>
      <c r="C5547" t="s">
        <v>884</v>
      </c>
      <c r="D5547" t="s">
        <v>922</v>
      </c>
      <c r="E5547" s="3" t="str">
        <f>HYPERLINK("https://www.amazon.com/Klein-60161-Professional-Protective-Resistant/dp/B08B496F57/ref=sr_1_1?keywords=Klein+Tools+60161+Professional+Safety+Glasses%2C+Clear+Lens&amp;qid=1695174304&amp;sr=8-1", "https://www.amazon.com/Klein-60161-Professional-Protective-Resistant/dp/B08B496F57/ref=sr_1_1?keywords=Klein+Tools+60161+Professional+Safety+Glasses%2C+Clear+Lens&amp;qid=1695174304&amp;sr=8-1")</f>
        <v>https://www.amazon.com/Klein-60161-Professional-Protective-Resistant/dp/B08B496F57/ref=sr_1_1?keywords=Klein+Tools+60161+Professional+Safety+Glasses%2C+Clear+Lens&amp;qid=1695174304&amp;sr=8-1</v>
      </c>
      <c r="F5547" t="s">
        <v>923</v>
      </c>
      <c r="G5547" t="e">
        <f ca="1">_xludf.IMAGE("https://edmondsonsupply.com/cdn/shop/products/60161.jpg?v=1633030845")</f>
        <v>#NAME?</v>
      </c>
      <c r="H5547" t="e">
        <f ca="1">_xludf.IMAGE("https://m.media-amazon.com/images/I/515pVZPvJ0L._AC_UL320_.jpg")</f>
        <v>#NAME?</v>
      </c>
      <c r="I5547" t="s">
        <v>834</v>
      </c>
      <c r="J5547">
        <v>15.99</v>
      </c>
      <c r="K5547" s="4">
        <v>0.23089999999999999</v>
      </c>
      <c r="L5547">
        <v>4.4000000000000004</v>
      </c>
      <c r="M5547">
        <v>374</v>
      </c>
      <c r="O5547" t="s">
        <v>25</v>
      </c>
      <c r="P5547" t="s">
        <v>835</v>
      </c>
      <c r="Q5547" t="s">
        <v>885</v>
      </c>
    </row>
    <row r="5548" spans="1:17" ht="15.5" x14ac:dyDescent="0.35">
      <c r="A5548"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5548" s="3" t="str">
        <f>HYPERLINK("https://edmondsonsupply.com/products/klein-tools-60161-professional-safety-glasses-clear-lens", "https://edmondsonsupply.com/products/klein-tools-60161-professional-safety-glasses-clear-lens")</f>
        <v>https://edmondsonsupply.com/products/klein-tools-60161-professional-safety-glasses-clear-lens</v>
      </c>
      <c r="C5548" t="s">
        <v>884</v>
      </c>
      <c r="D5548" t="s">
        <v>927</v>
      </c>
      <c r="E5548" s="3" t="str">
        <f>HYPERLINK("https://www.amazon.com/Klein-60470-Protection-Anti-Fog-Resistant/dp/B0B69KPRPF/ref=sr_1_3?keywords=Klein+Tools+60161+Professional+Safety+Glasses%2C+Clear+Lens&amp;qid=1695174304&amp;sr=8-3", "https://www.amazon.com/Klein-60470-Protection-Anti-Fog-Resistant/dp/B0B69KPRPF/ref=sr_1_3?keywords=Klein+Tools+60161+Professional+Safety+Glasses%2C+Clear+Lens&amp;qid=1695174304&amp;sr=8-3")</f>
        <v>https://www.amazon.com/Klein-60470-Protection-Anti-Fog-Resistant/dp/B0B69KPRPF/ref=sr_1_3?keywords=Klein+Tools+60161+Professional+Safety+Glasses%2C+Clear+Lens&amp;qid=1695174304&amp;sr=8-3</v>
      </c>
      <c r="F5548" t="s">
        <v>928</v>
      </c>
      <c r="G5548" t="e">
        <f ca="1">_xludf.IMAGE("https://edmondsonsupply.com/cdn/shop/products/60161.jpg?v=1633030845")</f>
        <v>#NAME?</v>
      </c>
      <c r="H5548" t="e">
        <f ca="1">_xludf.IMAGE("https://m.media-amazon.com/images/I/51TkfiRMYgL._AC_UL320_.jpg")</f>
        <v>#NAME?</v>
      </c>
      <c r="I5548" t="s">
        <v>834</v>
      </c>
      <c r="J5548">
        <v>15.99</v>
      </c>
      <c r="K5548" s="4">
        <v>0.23089999999999999</v>
      </c>
      <c r="L5548">
        <v>4</v>
      </c>
      <c r="M5548">
        <v>29</v>
      </c>
      <c r="O5548" t="s">
        <v>25</v>
      </c>
      <c r="P5548" t="s">
        <v>835</v>
      </c>
      <c r="Q5548" t="s">
        <v>885</v>
      </c>
    </row>
    <row r="5549" spans="1:17" ht="15.5" x14ac:dyDescent="0.35">
      <c r="A5549"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5549" s="3" t="str">
        <f>HYPERLINK("https://edmondsonsupply.com/products/klein-tools-60162-professional-safety-glasses-gray-lens", "https://edmondsonsupply.com/products/klein-tools-60162-professional-safety-glasses-gray-lens")</f>
        <v>https://edmondsonsupply.com/products/klein-tools-60162-professional-safety-glasses-gray-lens</v>
      </c>
      <c r="C5549" t="s">
        <v>833</v>
      </c>
      <c r="D5549" t="s">
        <v>930</v>
      </c>
      <c r="E5549" s="3" t="str">
        <f>HYPERLINK("https://www.amazon.com/Klein-60471-Protection-Anti-Fog-Resistant/dp/B0B69LNT2Y/ref=sr_1_3?keywords=Klein+Tools+60162+Professional+Safety+Glasses%2C+Gray+Lens&amp;qid=1695174302&amp;sr=8-3", "https://www.amazon.com/Klein-60471-Protection-Anti-Fog-Resistant/dp/B0B69LNT2Y/ref=sr_1_3?keywords=Klein+Tools+60162+Professional+Safety+Glasses%2C+Gray+Lens&amp;qid=1695174302&amp;sr=8-3")</f>
        <v>https://www.amazon.com/Klein-60471-Protection-Anti-Fog-Resistant/dp/B0B69LNT2Y/ref=sr_1_3?keywords=Klein+Tools+60162+Professional+Safety+Glasses%2C+Gray+Lens&amp;qid=1695174302&amp;sr=8-3</v>
      </c>
      <c r="F5549" t="s">
        <v>931</v>
      </c>
      <c r="G5549" t="e">
        <f ca="1">_xludf.IMAGE("https://edmondsonsupply.com/cdn/shop/products/60162.jpg?v=1633030847")</f>
        <v>#NAME?</v>
      </c>
      <c r="H5549" t="e">
        <f ca="1">_xludf.IMAGE("https://m.media-amazon.com/images/I/51z-a2tdJlL._AC_UL320_.jpg")</f>
        <v>#NAME?</v>
      </c>
      <c r="I5549" t="s">
        <v>834</v>
      </c>
      <c r="J5549">
        <v>15.99</v>
      </c>
      <c r="K5549" s="4">
        <v>0.23089999999999999</v>
      </c>
      <c r="L5549">
        <v>4.3</v>
      </c>
      <c r="M5549">
        <v>56</v>
      </c>
      <c r="O5549" t="s">
        <v>25</v>
      </c>
      <c r="P5549" t="s">
        <v>835</v>
      </c>
      <c r="Q5549" t="s">
        <v>836</v>
      </c>
    </row>
    <row r="5550" spans="1:17" ht="15.5" x14ac:dyDescent="0.35">
      <c r="A5550" s="3" t="str">
        <f>HYPERLINK("https://edmondsonsupply.com/collections/electricians-tools/products/reed-mfg-arw48-48-heavy-duty-aluminum-straight-pipe-wrench", "https://edmondsonsupply.com/collections/electricians-tools/products/reed-mfg-arw48-48-heavy-duty-aluminum-straight-pipe-wrench")</f>
        <v>https://edmondsonsupply.com/collections/electricians-tools/products/reed-mfg-arw48-48-heavy-duty-aluminum-straight-pipe-wrench</v>
      </c>
      <c r="B5550" s="3" t="str">
        <f>HYPERLINK("https://edmondsonsupply.com/products/reed-mfg-arw48-48-heavy-duty-aluminum-straight-pipe-wrench", "https://edmondsonsupply.com/products/reed-mfg-arw48-48-heavy-duty-aluminum-straight-pipe-wrench")</f>
        <v>https://edmondsonsupply.com/products/reed-mfg-arw48-48-heavy-duty-aluminum-straight-pipe-wrench</v>
      </c>
      <c r="C5550" t="s">
        <v>7446</v>
      </c>
      <c r="D5550" t="s">
        <v>7447</v>
      </c>
      <c r="E5550" s="3" t="str">
        <f>HYPERLINK("https://www.amazon.com/Reed-Tool-ARW48-Aluminum-48-Inch/dp/B001H4K7II/ref=sr_1_1?keywords=Reed+Mfg+ARW48+48%22+Heavy-Duty+Aluminum+Straight+Pipe+Wrench&amp;qid=1695174024&amp;sr=8-1", "https://www.amazon.com/Reed-Tool-ARW48-Aluminum-48-Inch/dp/B001H4K7II/ref=sr_1_1?keywords=Reed+Mfg+ARW48+48%22+Heavy-Duty+Aluminum+Straight+Pipe+Wrench&amp;qid=1695174024&amp;sr=8-1")</f>
        <v>https://www.amazon.com/Reed-Tool-ARW48-Aluminum-48-Inch/dp/B001H4K7II/ref=sr_1_1?keywords=Reed+Mfg+ARW48+48%22+Heavy-Duty+Aluminum+Straight+Pipe+Wrench&amp;qid=1695174024&amp;sr=8-1</v>
      </c>
      <c r="F5550" t="s">
        <v>7448</v>
      </c>
      <c r="G5550" t="e">
        <f ca="1">_xludf.IMAGE("https://edmondsonsupply.com/cdn/shop/files/02102-ARW48-RGB.jpg?v=1684714319")</f>
        <v>#NAME?</v>
      </c>
      <c r="H5550" t="e">
        <f ca="1">_xludf.IMAGE("https://m.media-amazon.com/images/I/71ThQYdNTAL._AC_UL320_.jpg")</f>
        <v>#NAME?</v>
      </c>
      <c r="I5550" t="s">
        <v>7449</v>
      </c>
      <c r="J5550">
        <v>431.37</v>
      </c>
      <c r="K5550" s="4">
        <v>0.22839999999999999</v>
      </c>
      <c r="L5550">
        <v>4.8</v>
      </c>
      <c r="M5550">
        <v>10</v>
      </c>
      <c r="O5550" t="s">
        <v>25</v>
      </c>
      <c r="P5550" t="s">
        <v>7450</v>
      </c>
      <c r="Q5550" t="s">
        <v>7451</v>
      </c>
    </row>
    <row r="5551" spans="1:17" ht="15.5" x14ac:dyDescent="0.35">
      <c r="A5551" s="3" t="str">
        <f>HYPERLINK("https://edmondsonsupply.com/collections/electricians-tools/products/klein-tools-51427-conduit-bender-handle-for-1-2-inch-3-4-inch-heads", "https://edmondsonsupply.com/collections/electricians-tools/products/klein-tools-51427-conduit-bender-handle-for-1-2-inch-3-4-inch-heads")</f>
        <v>https://edmondsonsupply.com/collections/electricians-tools/products/klein-tools-51427-conduit-bender-handle-for-1-2-inch-3-4-inch-heads</v>
      </c>
      <c r="B5551" s="3" t="str">
        <f>HYPERLINK("https://edmondsonsupply.com/products/klein-tools-51427-conduit-bender-handle-for-1-2-inch-3-4-inch-heads", "https://edmondsonsupply.com/products/klein-tools-51427-conduit-bender-handle-for-1-2-inch-3-4-inch-heads")</f>
        <v>https://edmondsonsupply.com/products/klein-tools-51427-conduit-bender-handle-for-1-2-inch-3-4-inch-heads</v>
      </c>
      <c r="C5551" t="s">
        <v>7013</v>
      </c>
      <c r="D5551" t="s">
        <v>7452</v>
      </c>
      <c r="E5551" s="3" t="str">
        <f>HYPERLINK("https://www.amazon.com/Klein-Tools-51427-Conduit-Benders/dp/B002PDZKY6/ref=sr_1_1?keywords=Klein+Tools+51427+Conduit+Bender+Handle+for+1%2F2-Inch%2C+3%2F4-Inch+Heads&amp;qid=1695174154&amp;sr=8-1", "https://www.amazon.com/Klein-Tools-51427-Conduit-Benders/dp/B002PDZKY6/ref=sr_1_1?keywords=Klein+Tools+51427+Conduit+Bender+Handle+for+1%2F2-Inch%2C+3%2F4-Inch+Heads&amp;qid=1695174154&amp;sr=8-1")</f>
        <v>https://www.amazon.com/Klein-Tools-51427-Conduit-Benders/dp/B002PDZKY6/ref=sr_1_1?keywords=Klein+Tools+51427+Conduit+Bender+Handle+for+1%2F2-Inch%2C+3%2F4-Inch+Heads&amp;qid=1695174154&amp;sr=8-1</v>
      </c>
      <c r="F5551" t="s">
        <v>7453</v>
      </c>
      <c r="G5551" t="e">
        <f ca="1">_xludf.IMAGE("https://edmondsonsupply.com/cdn/shop/products/51429.jpg?v=1663694213")</f>
        <v>#NAME?</v>
      </c>
      <c r="H5551" t="e">
        <f ca="1">_xludf.IMAGE("https://m.media-amazon.com/images/I/31GJGeFqCRL._AC_UL320_.jpg")</f>
        <v>#NAME?</v>
      </c>
      <c r="I5551" t="s">
        <v>3207</v>
      </c>
      <c r="J5551">
        <v>34.340000000000003</v>
      </c>
      <c r="K5551" s="4">
        <v>0.22689999999999999</v>
      </c>
      <c r="L5551">
        <v>4.5</v>
      </c>
      <c r="M5551">
        <v>52</v>
      </c>
      <c r="O5551" t="s">
        <v>25</v>
      </c>
      <c r="P5551" t="s">
        <v>7014</v>
      </c>
      <c r="Q5551" t="s">
        <v>7015</v>
      </c>
    </row>
    <row r="5552" spans="1:17" ht="15.5" x14ac:dyDescent="0.35">
      <c r="A5552"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552"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552" t="s">
        <v>6995</v>
      </c>
      <c r="D5552" t="s">
        <v>4861</v>
      </c>
      <c r="E5552" s="3" t="str">
        <f>HYPERLINK("https://www.amazon.com/Klein-Tools-69355-Electrical-Test/dp/B09SVQQFZX/ref=sr_1_4?keywords=Klein+Tools+69149P+Test+Kit+with+Multimeter%2C+Non-Contact+Volt+Tester%2C+Receptacle+Tester&amp;qid=1695174288&amp;sr=8-4", "https://www.amazon.com/Klein-Tools-69355-Electrical-Test/dp/B09SVQQFZX/ref=sr_1_4?keywords=Klein+Tools+69149P+Test+Kit+with+Multimeter%2C+Non-Contact+Volt+Tester%2C+Receptacle+Tester&amp;qid=1695174288&amp;sr=8-4")</f>
        <v>https://www.amazon.com/Klein-Tools-69355-Electrical-Test/dp/B09SVQQFZX/ref=sr_1_4?keywords=Klein+Tools+69149P+Test+Kit+with+Multimeter%2C+Non-Contact+Volt+Tester%2C+Receptacle+Tester&amp;qid=1695174288&amp;sr=8-4</v>
      </c>
      <c r="F5552" t="s">
        <v>4862</v>
      </c>
      <c r="G5552" t="e">
        <f ca="1">_xludf.IMAGE("https://edmondsonsupply.com/cdn/shop/products/69149p.jpg?v=1664479017")</f>
        <v>#NAME?</v>
      </c>
      <c r="H5552" t="e">
        <f ca="1">_xludf.IMAGE("https://m.media-amazon.com/images/I/51heXSegywL._AC_UL320_.jpg")</f>
        <v>#NAME?</v>
      </c>
      <c r="I5552" t="s">
        <v>246</v>
      </c>
      <c r="J5552">
        <v>48.99</v>
      </c>
      <c r="K5552" s="4">
        <v>0.22570000000000001</v>
      </c>
      <c r="L5552">
        <v>4.7</v>
      </c>
      <c r="M5552">
        <v>406</v>
      </c>
      <c r="O5552" t="s">
        <v>25</v>
      </c>
      <c r="P5552" t="s">
        <v>6996</v>
      </c>
      <c r="Q5552" t="s">
        <v>6997</v>
      </c>
    </row>
    <row r="5553" spans="1:17" ht="15.5" x14ac:dyDescent="0.35">
      <c r="A5553" s="3" t="str">
        <f>HYPERLINK("https://edmondsonsupply.com/collections/electricians-tools/products/diablo-tools-dmamx1220", "https://edmondsonsupply.com/collections/electricians-tools/products/diablo-tools-dmamx1220")</f>
        <v>https://edmondsonsupply.com/collections/electricians-tools/products/diablo-tools-dmamx1220</v>
      </c>
      <c r="B5553" s="3" t="str">
        <f>HYPERLINK("https://edmondsonsupply.com/products/diablo-tools-dmamx1220", "https://edmondsonsupply.com/products/diablo-tools-dmamx1220")</f>
        <v>https://edmondsonsupply.com/products/diablo-tools-dmamx1220</v>
      </c>
      <c r="C5553" t="s">
        <v>7454</v>
      </c>
      <c r="D5553" t="s">
        <v>5202</v>
      </c>
      <c r="E5553" s="3" t="str">
        <f>HYPERLINK("https://www.amazon.com/Diablo-SDS-Max-4-Cutter-Carbide-Hammer/dp/B089LN5QN7/ref=sr_1_1?keywords=Diablo+Tools+DMAMX1220+1+in.+x+16+in.+x+21+in.+Rebar+Demon%E2%84%A2+SDS-Max+4-Cutter+Full+Carbide+Head+Hammer+Drill+Bit&amp;qid=1695174109&amp;sr=8-1", "https://www.amazon.com/Diablo-SDS-Max-4-Cutter-Carbide-Hammer/dp/B089LN5QN7/ref=sr_1_1?keywords=Diablo+Tools+DMAMX1220+1+in.+x+16+in.+x+21+in.+Rebar+Demon%E2%84%A2+SDS-Max+4-Cutter+Full+Carbide+Head+Hammer+Drill+Bit&amp;qid=1695174109&amp;sr=8-1")</f>
        <v>https://www.amazon.com/Diablo-SDS-Max-4-Cutter-Carbide-Hammer/dp/B089LN5QN7/ref=sr_1_1?keywords=Diablo+Tools+DMAMX1220+1+in.+x+16+in.+x+21+in.+Rebar+Demon%E2%84%A2+SDS-Max+4-Cutter+Full+Carbide+Head+Hammer+Drill+Bit&amp;qid=1695174109&amp;sr=8-1</v>
      </c>
      <c r="F5553" t="s">
        <v>5203</v>
      </c>
      <c r="G5553" t="e">
        <f ca="1">_xludf.IMAGE("https://edmondsonsupply.com/cdn/shop/products/immoyh7jjmbau4fzhuq6.webp?v=1670431066")</f>
        <v>#NAME?</v>
      </c>
      <c r="H5553" t="e">
        <f ca="1">_xludf.IMAGE("https://m.media-amazon.com/images/I/6182PTqKZGL._AC_UL320_.jpg")</f>
        <v>#NAME?</v>
      </c>
      <c r="I5553" t="s">
        <v>7455</v>
      </c>
      <c r="J5553">
        <v>55.99</v>
      </c>
      <c r="K5553" s="4">
        <v>0.22539999999999999</v>
      </c>
      <c r="L5553">
        <v>3.6</v>
      </c>
      <c r="M5553">
        <v>4</v>
      </c>
      <c r="O5553" t="s">
        <v>25</v>
      </c>
      <c r="P5553" t="s">
        <v>7456</v>
      </c>
      <c r="Q5553" t="s">
        <v>7457</v>
      </c>
    </row>
    <row r="5554" spans="1:17" ht="15.5" x14ac:dyDescent="0.35">
      <c r="A5554"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554" s="3" t="str">
        <f>HYPERLINK("https://edmondsonsupply.com/products/klein-tools-jth6m10-10-mm-hex-key-journeyman-t-handle-6-inch", "https://edmondsonsupply.com/products/klein-tools-jth6m10-10-mm-hex-key-journeyman-t-handle-6-inch")</f>
        <v>https://edmondsonsupply.com/products/klein-tools-jth6m10-10-mm-hex-key-journeyman-t-handle-6-inch</v>
      </c>
      <c r="C5554" t="s">
        <v>6945</v>
      </c>
      <c r="D5554" t="s">
        <v>7458</v>
      </c>
      <c r="E5554" s="3" t="str">
        <f>HYPERLINK("https://www.amazon.com/Journeyman-T-Handle-Klein-Tools-JTH6M10BE/dp/B007FZ4F3G/ref=sr_1_3?keywords=Klein+Tools+JTH6M10+10+mm+Hex+Key+Journeyman+T-Handle+6-Inch&amp;qid=1695174255&amp;sr=8-3", "https://www.amazon.com/Journeyman-T-Handle-Klein-Tools-JTH6M10BE/dp/B007FZ4F3G/ref=sr_1_3?keywords=Klein+Tools+JTH6M10+10+mm+Hex+Key+Journeyman+T-Handle+6-Inch&amp;qid=1695174255&amp;sr=8-3")</f>
        <v>https://www.amazon.com/Journeyman-T-Handle-Klein-Tools-JTH6M10BE/dp/B007FZ4F3G/ref=sr_1_3?keywords=Klein+Tools+JTH6M10+10+mm+Hex+Key+Journeyman+T-Handle+6-Inch&amp;qid=1695174255&amp;sr=8-3</v>
      </c>
      <c r="F5554" t="s">
        <v>7459</v>
      </c>
      <c r="G5554" t="e">
        <f ca="1">_xludf.IMAGE("https://edmondsonsupply.com/cdn/shop/products/jth6m8_64c2c8d3-e13e-4b81-9b34-745be7fd837a.jpg?v=1627827117")</f>
        <v>#NAME?</v>
      </c>
      <c r="H5554" t="e">
        <f ca="1">_xludf.IMAGE("https://m.media-amazon.com/images/I/51huXA+ij8L._AC_UL320_.jpg")</f>
        <v>#NAME?</v>
      </c>
      <c r="I5554" t="s">
        <v>924</v>
      </c>
      <c r="J5554">
        <v>10.99</v>
      </c>
      <c r="K5554" s="4">
        <v>0.2225</v>
      </c>
      <c r="L5554">
        <v>4.8</v>
      </c>
      <c r="M5554">
        <v>988</v>
      </c>
      <c r="O5554" t="s">
        <v>25</v>
      </c>
      <c r="P5554" t="s">
        <v>6946</v>
      </c>
      <c r="Q5554" t="s">
        <v>6947</v>
      </c>
    </row>
    <row r="5555" spans="1:17" ht="15.5" x14ac:dyDescent="0.35">
      <c r="A5555"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555" s="3" t="str">
        <f>HYPERLINK("https://edmondsonsupply.com/products/klein-tools-jth6m10-10-mm-hex-key-journeyman-t-handle-6-inch", "https://edmondsonsupply.com/products/klein-tools-jth6m10-10-mm-hex-key-journeyman-t-handle-6-inch")</f>
        <v>https://edmondsonsupply.com/products/klein-tools-jth6m10-10-mm-hex-key-journeyman-t-handle-6-inch</v>
      </c>
      <c r="C5555" t="s">
        <v>6945</v>
      </c>
      <c r="D5555" t="s">
        <v>7460</v>
      </c>
      <c r="E5555" s="3" t="str">
        <f>HYPERLINK("https://www.amazon.com/Journeyman-T-Handle-Klein-Tools-JTH6M10/dp/B007GOWC1S/ref=sr_1_1?keywords=Klein+Tools+JTH6M10+10+mm+Hex+Key+Journeyman+T-Handle+6-Inch&amp;qid=1695174255&amp;sr=8-1", "https://www.amazon.com/Journeyman-T-Handle-Klein-Tools-JTH6M10/dp/B007GOWC1S/ref=sr_1_1?keywords=Klein+Tools+JTH6M10+10+mm+Hex+Key+Journeyman+T-Handle+6-Inch&amp;qid=1695174255&amp;sr=8-1")</f>
        <v>https://www.amazon.com/Journeyman-T-Handle-Klein-Tools-JTH6M10/dp/B007GOWC1S/ref=sr_1_1?keywords=Klein+Tools+JTH6M10+10+mm+Hex+Key+Journeyman+T-Handle+6-Inch&amp;qid=1695174255&amp;sr=8-1</v>
      </c>
      <c r="F5555" t="s">
        <v>7461</v>
      </c>
      <c r="G5555" t="e">
        <f ca="1">_xludf.IMAGE("https://edmondsonsupply.com/cdn/shop/products/jth6m8_64c2c8d3-e13e-4b81-9b34-745be7fd837a.jpg?v=1627827117")</f>
        <v>#NAME?</v>
      </c>
      <c r="H5555" t="e">
        <f ca="1">_xludf.IMAGE("https://m.media-amazon.com/images/I/51+1x0vz9XL._AC_UL320_.jpg")</f>
        <v>#NAME?</v>
      </c>
      <c r="I5555" t="s">
        <v>924</v>
      </c>
      <c r="J5555">
        <v>10.99</v>
      </c>
      <c r="K5555" s="4">
        <v>0.2225</v>
      </c>
      <c r="L5555">
        <v>4.8</v>
      </c>
      <c r="M5555">
        <v>1532</v>
      </c>
      <c r="O5555" t="s">
        <v>25</v>
      </c>
      <c r="P5555" t="s">
        <v>6946</v>
      </c>
      <c r="Q5555" t="s">
        <v>6947</v>
      </c>
    </row>
    <row r="5556" spans="1:17" ht="15.5" x14ac:dyDescent="0.35">
      <c r="A5556"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5556" s="3" t="str">
        <f>HYPERLINK("https://edmondsonsupply.com/products/diablo-tools-dag1130-1-in-x-7-1-2-in-auger-bit", "https://edmondsonsupply.com/products/diablo-tools-dag1130-1-in-x-7-1-2-in-auger-bit")</f>
        <v>https://edmondsonsupply.com/products/diablo-tools-dag1130-1-in-x-7-1-2-in-auger-bit</v>
      </c>
      <c r="C5556" t="s">
        <v>3530</v>
      </c>
      <c r="D5556" t="s">
        <v>3797</v>
      </c>
      <c r="E5556" s="3" t="str">
        <f>HYPERLINK("https://www.amazon.com/Diablo-Freud-DAG1150-1-1-Auger/dp/B089LGR2GW/ref=sr_1_6?keywords=Diablo+Tools+DAG1130+1+in.+x+7-1%2F2+in.+Auger+Bit&amp;qid=1695173913&amp;sr=8-6", "https://www.amazon.com/Diablo-Freud-DAG1150-1-1-Auger/dp/B089LGR2GW/ref=sr_1_6?keywords=Diablo+Tools+DAG1130+1+in.+x+7-1%2F2+in.+Auger+Bit&amp;qid=1695173913&amp;sr=8-6")</f>
        <v>https://www.amazon.com/Diablo-Freud-DAG1150-1-1-Auger/dp/B089LGR2GW/ref=sr_1_6?keywords=Diablo+Tools+DAG1130+1+in.+x+7-1%2F2+in.+Auger+Bit&amp;qid=1695173913&amp;sr=8-6</v>
      </c>
      <c r="F5556" t="s">
        <v>3798</v>
      </c>
      <c r="G5556" t="e">
        <f ca="1">_xludf.IMAGE("https://edmondsonsupply.com/cdn/shop/products/DAG1130_Main-Image20200712.png?v=1633031124")</f>
        <v>#NAME?</v>
      </c>
      <c r="H5556" t="e">
        <f ca="1">_xludf.IMAGE("https://m.media-amazon.com/images/I/71M61xRfPtL._AC_UL320_.jpg")</f>
        <v>#NAME?</v>
      </c>
      <c r="I5556" t="s">
        <v>3533</v>
      </c>
      <c r="J5556">
        <v>20</v>
      </c>
      <c r="K5556" s="4">
        <v>0.22170000000000001</v>
      </c>
      <c r="L5556">
        <v>4.5999999999999996</v>
      </c>
      <c r="M5556">
        <v>28</v>
      </c>
      <c r="O5556" t="s">
        <v>25</v>
      </c>
      <c r="P5556" t="s">
        <v>3534</v>
      </c>
      <c r="Q5556" t="s">
        <v>3535</v>
      </c>
    </row>
    <row r="5557" spans="1:17" ht="15.5" x14ac:dyDescent="0.35">
      <c r="A5557" s="3" t="str">
        <f>HYPERLINK("https://edmondsonsupply.com/collections/electricians-tools/products/klein-tools-607-3-mini-screwdriver-3-32-inch-cabinet-tip-3-inch", "https://edmondsonsupply.com/collections/electricians-tools/products/klein-tools-607-3-mini-screwdriver-3-32-inch-cabinet-tip-3-inch")</f>
        <v>https://edmondsonsupply.com/collections/electricians-tools/products/klein-tools-607-3-mini-screwdriver-3-32-inch-cabinet-tip-3-inch</v>
      </c>
      <c r="B5557" s="3" t="str">
        <f>HYPERLINK("https://edmondsonsupply.com/products/klein-tools-607-3-mini-screwdriver-3-32-inch-cabinet-tip-3-inch", "https://edmondsonsupply.com/products/klein-tools-607-3-mini-screwdriver-3-32-inch-cabinet-tip-3-inch")</f>
        <v>https://edmondsonsupply.com/products/klein-tools-607-3-mini-screwdriver-3-32-inch-cabinet-tip-3-inch</v>
      </c>
      <c r="C5557" t="s">
        <v>6476</v>
      </c>
      <c r="D5557" t="s">
        <v>7462</v>
      </c>
      <c r="E5557" s="3" t="str">
        <f>HYPERLINK("https://www.amazon.com/Klein-Tools-A116-3-32-Inch-Screwdriver/dp/B00093D4M4/ref=sr_1_4?keywords=Klein+Tools+607-3+Mini+Screwdriver%2C+3%2F32-Inch+Cabinet+Tip%2C+3-Inch&amp;qid=1695174302&amp;sr=8-4", "https://www.amazon.com/Klein-Tools-A116-3-32-Inch-Screwdriver/dp/B00093D4M4/ref=sr_1_4?keywords=Klein+Tools+607-3+Mini+Screwdriver%2C+3%2F32-Inch+Cabinet+Tip%2C+3-Inch&amp;qid=1695174302&amp;sr=8-4")</f>
        <v>https://www.amazon.com/Klein-Tools-A116-3-32-Inch-Screwdriver/dp/B00093D4M4/ref=sr_1_4?keywords=Klein+Tools+607-3+Mini+Screwdriver%2C+3%2F32-Inch+Cabinet+Tip%2C+3-Inch&amp;qid=1695174302&amp;sr=8-4</v>
      </c>
      <c r="F5557" t="s">
        <v>7463</v>
      </c>
      <c r="G5557" t="e">
        <f ca="1">_xludf.IMAGE("https://edmondsonsupply.com/cdn/shop/products/607-3_5e9ac034-1968-449c-957e-7d3aa01f1413.jpg?v=1633030814")</f>
        <v>#NAME?</v>
      </c>
      <c r="H5557" t="e">
        <f ca="1">_xludf.IMAGE("https://m.media-amazon.com/images/I/416B++nRvZL._AC_UL320_.jpg")</f>
        <v>#NAME?</v>
      </c>
      <c r="I5557" t="s">
        <v>2347</v>
      </c>
      <c r="J5557">
        <v>8.5299999999999994</v>
      </c>
      <c r="K5557" s="4">
        <v>0.2203</v>
      </c>
      <c r="L5557">
        <v>4.4000000000000004</v>
      </c>
      <c r="M5557">
        <v>525</v>
      </c>
      <c r="O5557" t="s">
        <v>25</v>
      </c>
      <c r="P5557" t="s">
        <v>6479</v>
      </c>
      <c r="Q5557" t="s">
        <v>6480</v>
      </c>
    </row>
    <row r="5558" spans="1:17" ht="15.5" x14ac:dyDescent="0.35">
      <c r="A5558"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5558" s="3" t="str">
        <f>HYPERLINK("https://edmondsonsupply.com/products/klein-tools-630-3-8-3-8-inch-nut-driver-with-3-inch-hollow-shaft", "https://edmondsonsupply.com/products/klein-tools-630-3-8-3-8-inch-nut-driver-with-3-inch-hollow-shaft")</f>
        <v>https://edmondsonsupply.com/products/klein-tools-630-3-8-3-8-inch-nut-driver-with-3-inch-hollow-shaft</v>
      </c>
      <c r="C5558" t="s">
        <v>6150</v>
      </c>
      <c r="D5558" t="s">
        <v>3810</v>
      </c>
      <c r="E5558" s="3" t="str">
        <f>HYPERLINK("https://www.amazon.com/Magnetic-Klein-Tools-630-3-8M/dp/B000MKH4OS/ref=sr_1_1?keywords=Klein+Tools+630-3%2F8+3%2F8-Inch+Nut+Driver+with+3-Inch+Hollow+Shaft&amp;qid=1695174289&amp;sr=8-1", "https://www.amazon.com/Magnetic-Klein-Tools-630-3-8M/dp/B000MKH4OS/ref=sr_1_1?keywords=Klein+Tools+630-3%2F8+3%2F8-Inch+Nut+Driver+with+3-Inch+Hollow+Shaft&amp;qid=1695174289&amp;sr=8-1")</f>
        <v>https://www.amazon.com/Magnetic-Klein-Tools-630-3-8M/dp/B000MKH4OS/ref=sr_1_1?keywords=Klein+Tools+630-3%2F8+3%2F8-Inch+Nut+Driver+with+3-Inch+Hollow+Shaft&amp;qid=1695174289&amp;sr=8-1</v>
      </c>
      <c r="F5558" t="s">
        <v>3811</v>
      </c>
      <c r="G5558" t="e">
        <f ca="1">_xludf.IMAGE("https://edmondsonsupply.com/cdn/shop/products/630-1-2_e23f9fbd-a282-44d7-b743-2cfe0f84edfa.jpg?v=1633030906")</f>
        <v>#NAME?</v>
      </c>
      <c r="H5558" t="e">
        <f ca="1">_xludf.IMAGE("https://m.media-amazon.com/images/I/51TxY7IaTtL._AC_UL320_.jpg")</f>
        <v>#NAME?</v>
      </c>
      <c r="I5558" t="s">
        <v>924</v>
      </c>
      <c r="J5558">
        <v>10.97</v>
      </c>
      <c r="K5558" s="4">
        <v>0.22020000000000001</v>
      </c>
      <c r="L5558">
        <v>4.7</v>
      </c>
      <c r="M5558">
        <v>1574</v>
      </c>
      <c r="O5558" t="s">
        <v>25</v>
      </c>
      <c r="P5558" t="s">
        <v>6153</v>
      </c>
      <c r="Q5558" t="s">
        <v>6154</v>
      </c>
    </row>
    <row r="5559" spans="1:17" ht="15.5" x14ac:dyDescent="0.35">
      <c r="A5559"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5559" s="3" t="str">
        <f>HYPERLINK("https://edmondsonsupply.com/products/klein-tools-605-4-1-4-inch-cabinet-tip-screwdriver-4-inch-shank", "https://edmondsonsupply.com/products/klein-tools-605-4-1-4-inch-cabinet-tip-screwdriver-4-inch-shank")</f>
        <v>https://edmondsonsupply.com/products/klein-tools-605-4-1-4-inch-cabinet-tip-screwdriver-4-inch-shank</v>
      </c>
      <c r="C5559" t="s">
        <v>6418</v>
      </c>
      <c r="D5559" t="s">
        <v>7464</v>
      </c>
      <c r="E5559" s="3" t="str">
        <f>HYPERLINK("https://www.amazon.com/Bending-Cabinet-Screwdriver-Klein-Tools/dp/B00093DZNM/ref=sr_1_2?keywords=Klein+Tools+605-4+1%2F4-Inch+Cabinet+Tip+Screwdriver+4-Inch+Shank&amp;qid=1695174135&amp;sr=8-2", "https://www.amazon.com/Bending-Cabinet-Screwdriver-Klein-Tools/dp/B00093DZNM/ref=sr_1_2?keywords=Klein+Tools+605-4+1%2F4-Inch+Cabinet+Tip+Screwdriver+4-Inch+Shank&amp;qid=1695174135&amp;sr=8-2")</f>
        <v>https://www.amazon.com/Bending-Cabinet-Screwdriver-Klein-Tools/dp/B00093DZNM/ref=sr_1_2?keywords=Klein+Tools+605-4+1%2F4-Inch+Cabinet+Tip+Screwdriver+4-Inch+Shank&amp;qid=1695174135&amp;sr=8-2</v>
      </c>
      <c r="F5559" t="s">
        <v>7465</v>
      </c>
      <c r="G5559" t="e">
        <f ca="1">_xludf.IMAGE("https://edmondsonsupply.com/cdn/shop/products/605-6_ac5e56ca-920d-4d55-842f-c7dc8361f892.jpg?v=1665688377")</f>
        <v>#NAME?</v>
      </c>
      <c r="H5559" t="e">
        <f ca="1">_xludf.IMAGE("https://m.media-amazon.com/images/I/41cMYMAcXSL._AC_UL320_.jpg")</f>
        <v>#NAME?</v>
      </c>
      <c r="I5559" t="s">
        <v>924</v>
      </c>
      <c r="J5559">
        <v>10.97</v>
      </c>
      <c r="K5559" s="4">
        <v>0.22020000000000001</v>
      </c>
      <c r="L5559">
        <v>4.7</v>
      </c>
      <c r="M5559">
        <v>488</v>
      </c>
      <c r="O5559" t="s">
        <v>25</v>
      </c>
      <c r="P5559" t="s">
        <v>6421</v>
      </c>
      <c r="Q5559" t="s">
        <v>6422</v>
      </c>
    </row>
    <row r="5560" spans="1:17" ht="15.5" x14ac:dyDescent="0.35">
      <c r="A5560"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5560" s="3" t="str">
        <f>HYPERLINK("https://edmondsonsupply.com/products/klein-tools-s8m-1-4-inch-magnetic-nut-driver-3-inch-shank", "https://edmondsonsupply.com/products/klein-tools-s8m-1-4-inch-magnetic-nut-driver-3-inch-shank")</f>
        <v>https://edmondsonsupply.com/products/klein-tools-s8m-1-4-inch-magnetic-nut-driver-3-inch-shank</v>
      </c>
      <c r="C5560" t="s">
        <v>3809</v>
      </c>
      <c r="D5560" t="s">
        <v>3810</v>
      </c>
      <c r="E5560" s="3" t="str">
        <f>HYPERLINK("https://www.amazon.com/Magnetic-Klein-Tools-630-3-8M/dp/B000MKH4OS/ref=sr_1_4?keywords=Klein+Tools+S8M+1%2F4-Inch+Magnetic+Nut+Driver+3-Inch+Shank&amp;qid=1695174041&amp;sr=8-4", "https://www.amazon.com/Magnetic-Klein-Tools-630-3-8M/dp/B000MKH4OS/ref=sr_1_4?keywords=Klein+Tools+S8M+1%2F4-Inch+Magnetic+Nut+Driver+3-Inch+Shank&amp;qid=1695174041&amp;sr=8-4")</f>
        <v>https://www.amazon.com/Magnetic-Klein-Tools-630-3-8M/dp/B000MKH4OS/ref=sr_1_4?keywords=Klein+Tools+S8M+1%2F4-Inch+Magnetic+Nut+Driver+3-Inch+Shank&amp;qid=1695174041&amp;sr=8-4</v>
      </c>
      <c r="F5560" t="s">
        <v>3811</v>
      </c>
      <c r="G5560" t="e">
        <f ca="1">_xludf.IMAGE("https://edmondsonsupply.com/cdn/shop/products/s8m.jpg?v=1633030818")</f>
        <v>#NAME?</v>
      </c>
      <c r="H5560" t="e">
        <f ca="1">_xludf.IMAGE("https://m.media-amazon.com/images/I/51TxY7IaTtL._AC_UL320_.jpg")</f>
        <v>#NAME?</v>
      </c>
      <c r="I5560" t="s">
        <v>924</v>
      </c>
      <c r="J5560">
        <v>10.97</v>
      </c>
      <c r="K5560" s="4">
        <v>0.22020000000000001</v>
      </c>
      <c r="L5560">
        <v>4.7</v>
      </c>
      <c r="M5560">
        <v>1574</v>
      </c>
      <c r="O5560" t="s">
        <v>25</v>
      </c>
      <c r="P5560" t="s">
        <v>3812</v>
      </c>
      <c r="Q5560" t="s">
        <v>3813</v>
      </c>
    </row>
    <row r="5561" spans="1:17" ht="15.5" x14ac:dyDescent="0.35">
      <c r="A5561"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5561"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5561" t="s">
        <v>3118</v>
      </c>
      <c r="D5561" t="s">
        <v>3814</v>
      </c>
      <c r="E5561" s="3" t="str">
        <f>HYPERLINK("https://www.amazon.com/Journeyman-T-Handle-Klein-Tools-JTH6E17/dp/B004N604GC/ref=sr_1_4?keywords=Klein+Tools+JTH4E17+1%2F2-Inch+Hex+Key%2C+Journeyman+T-Handle%2C+4-Inch&amp;qid=1695173921&amp;sr=8-4", "https://www.amazon.com/Journeyman-T-Handle-Klein-Tools-JTH6E17/dp/B004N604GC/ref=sr_1_4?keywords=Klein+Tools+JTH4E17+1%2F2-Inch+Hex+Key%2C+Journeyman+T-Handle%2C+4-Inch&amp;qid=1695173921&amp;sr=8-4")</f>
        <v>https://www.amazon.com/Journeyman-T-Handle-Klein-Tools-JTH6E17/dp/B004N604GC/ref=sr_1_4?keywords=Klein+Tools+JTH4E17+1%2F2-Inch+Hex+Key%2C+Journeyman+T-Handle%2C+4-Inch&amp;qid=1695173921&amp;sr=8-4</v>
      </c>
      <c r="F5561" t="s">
        <v>3815</v>
      </c>
      <c r="G5561" t="e">
        <f ca="1">_xludf.IMAGE("https://edmondsonsupply.com/cdn/shop/products/jth4e17_583549be-7b42-43c7-9c3d-a92f2416ede5.jpg?v=1610655610")</f>
        <v>#NAME?</v>
      </c>
      <c r="H5561" t="e">
        <f ca="1">_xludf.IMAGE("https://m.media-amazon.com/images/I/41bgisgIOrL._AC_UL320_.jpg")</f>
        <v>#NAME?</v>
      </c>
      <c r="I5561" t="s">
        <v>252</v>
      </c>
      <c r="J5561">
        <v>19.5</v>
      </c>
      <c r="K5561" s="4">
        <v>0.2195</v>
      </c>
      <c r="L5561">
        <v>4.8</v>
      </c>
      <c r="M5561">
        <v>772</v>
      </c>
      <c r="O5561" t="s">
        <v>25</v>
      </c>
      <c r="P5561" t="s">
        <v>3121</v>
      </c>
      <c r="Q5561" t="s">
        <v>3122</v>
      </c>
    </row>
    <row r="5562" spans="1:17" ht="15.5" x14ac:dyDescent="0.35">
      <c r="A5562" s="3" t="str">
        <f>HYPERLINK("https://edmondsonsupply.com/collections/electricians-tools/products/testo-0590-7551-755-1-current-voltage-meter-with-200-a-ac-600-v-ac-dc-and-continuity", "https://edmondsonsupply.com/collections/electricians-tools/products/testo-0590-7551-755-1-current-voltage-meter-with-200-a-ac-600-v-ac-dc-and-continuity")</f>
        <v>https://edmondsonsupply.com/collections/electricians-tools/products/testo-0590-7551-755-1-current-voltage-meter-with-200-a-ac-600-v-ac-dc-and-continuity</v>
      </c>
      <c r="B5562" s="3" t="str">
        <f>HYPERLINK("https://edmondsonsupply.com/products/testo-0590-7551-755-1-current-voltage-meter-with-200-a-ac-600-v-ac-dc-and-continuity", "https://edmondsonsupply.com/products/testo-0590-7551-755-1-current-voltage-meter-with-200-a-ac-600-v-ac-dc-and-continuity")</f>
        <v>https://edmondsonsupply.com/products/testo-0590-7551-755-1-current-voltage-meter-with-200-a-ac-600-v-ac-dc-and-continuity</v>
      </c>
      <c r="C5562" t="s">
        <v>3816</v>
      </c>
      <c r="D5562" t="s">
        <v>3817</v>
      </c>
      <c r="E5562" s="3" t="str">
        <f>HYPERLINK("https://www.amazon.com/Testo-755-2-Current-Continuity-Rotation/dp/B01F3MPHQG/ref=sr_1_2?keywords=Testo+0590+7551+755-1+-+Current+%2F+Voltage+Meter+with+200+A+AC%2C+600+V+AC%2FDC%2C+and+Continuity&amp;qid=1695173987&amp;sr=8-2", "https://www.amazon.com/Testo-755-2-Current-Continuity-Rotation/dp/B01F3MPHQG/ref=sr_1_2?keywords=Testo+0590+7551+755-1+-+Current+%2F+Voltage+Meter+with+200+A+AC%2C+600+V+AC%2FDC%2C+and+Continuity&amp;qid=1695173987&amp;sr=8-2")</f>
        <v>https://www.amazon.com/Testo-755-2-Current-Continuity-Rotation/dp/B01F3MPHQG/ref=sr_1_2?keywords=Testo+0590+7551+755-1+-+Current+%2F+Voltage+Meter+with+200+A+AC%2C+600+V+AC%2FDC%2C+and+Continuity&amp;qid=1695173987&amp;sr=8-2</v>
      </c>
      <c r="F5562" t="s">
        <v>3818</v>
      </c>
      <c r="G5562" t="e">
        <f ca="1">_xludf.IMAGE("https://edmondsonsupply.com/cdn/shop/files/testo-755-1_front_prl.jpg?v=1688226764")</f>
        <v>#NAME?</v>
      </c>
      <c r="H5562" t="e">
        <f ca="1">_xludf.IMAGE("https://m.media-amazon.com/images/I/617sSpgpYbL._AC_UY218_.jpg")</f>
        <v>#NAME?</v>
      </c>
      <c r="I5562" t="s">
        <v>1902</v>
      </c>
      <c r="J5562">
        <v>216.53</v>
      </c>
      <c r="K5562" s="4">
        <v>0.21890000000000001</v>
      </c>
      <c r="L5562">
        <v>4.2</v>
      </c>
      <c r="M5562">
        <v>7</v>
      </c>
      <c r="O5562" t="s">
        <v>25</v>
      </c>
      <c r="P5562" t="s">
        <v>697</v>
      </c>
      <c r="Q5562" t="s">
        <v>3819</v>
      </c>
    </row>
    <row r="5563" spans="1:17" ht="15.5" x14ac:dyDescent="0.35">
      <c r="A5563" s="3" t="str">
        <f>HYPERLINK("https://edmondsonsupply.com/collections/electricians-tools/products/fluke-377-fc-non-contact-voltage-true-rms-ac-dc-clamp-meter-with-iflex", "https://edmondsonsupply.com/collections/electricians-tools/products/fluke-377-fc-non-contact-voltage-true-rms-ac-dc-clamp-meter-with-iflex")</f>
        <v>https://edmondsonsupply.com/collections/electricians-tools/products/fluke-377-fc-non-contact-voltage-true-rms-ac-dc-clamp-meter-with-iflex</v>
      </c>
      <c r="B5563" s="3" t="str">
        <f>HYPERLINK("https://edmondsonsupply.com/products/fluke-377-fc-non-contact-voltage-true-rms-ac-dc-clamp-meter-with-iflex", "https://edmondsonsupply.com/products/fluke-377-fc-non-contact-voltage-true-rms-ac-dc-clamp-meter-with-iflex")</f>
        <v>https://edmondsonsupply.com/products/fluke-377-fc-non-contact-voltage-true-rms-ac-dc-clamp-meter-with-iflex</v>
      </c>
      <c r="C5563" t="s">
        <v>7466</v>
      </c>
      <c r="D5563" t="s">
        <v>4439</v>
      </c>
      <c r="E5563" s="3" t="str">
        <f>HYPERLINK("https://www.amazon.com/Fluke-Non-Contact-Voltage-Wireless-Indicator/dp/B0916K6JZF/ref=sr_1_4?keywords=Fluke+377+FC+Non-Contact+Voltage+True-RMS+AC%2FDC+Clamp+Meter+with+iFlex&amp;qid=1695174253&amp;sr=8-4", "https://www.amazon.com/Fluke-Non-Contact-Voltage-Wireless-Indicator/dp/B0916K6JZF/ref=sr_1_4?keywords=Fluke+377+FC+Non-Contact+Voltage+True-RMS+AC%2FDC+Clamp+Meter+with+iFlex&amp;qid=1695174253&amp;sr=8-4")</f>
        <v>https://www.amazon.com/Fluke-Non-Contact-Voltage-Wireless-Indicator/dp/B0916K6JZF/ref=sr_1_4?keywords=Fluke+377+FC+Non-Contact+Voltage+True-RMS+AC%2FDC+Clamp+Meter+with+iFlex&amp;qid=1695174253&amp;sr=8-4</v>
      </c>
      <c r="F5563" t="s">
        <v>4440</v>
      </c>
      <c r="G5563" t="e">
        <f ca="1">_xludf.IMAGE("https://edmondsonsupply.com/cdn/shop/products/377_FC_72dpi_499x1024px_E_NR-27677.jpg?v=1633031119")</f>
        <v>#NAME?</v>
      </c>
      <c r="H5563" t="e">
        <f ca="1">_xludf.IMAGE("https://m.media-amazon.com/images/I/813NB9dMeUL._AC_UL320_.jpg")</f>
        <v>#NAME?</v>
      </c>
      <c r="I5563" t="s">
        <v>7467</v>
      </c>
      <c r="J5563">
        <v>779.89</v>
      </c>
      <c r="K5563" s="4">
        <v>0.21879999999999999</v>
      </c>
      <c r="L5563">
        <v>4.5999999999999996</v>
      </c>
      <c r="M5563">
        <v>97</v>
      </c>
      <c r="O5563" t="s">
        <v>171</v>
      </c>
      <c r="P5563" t="s">
        <v>7468</v>
      </c>
      <c r="Q5563" t="s">
        <v>7469</v>
      </c>
    </row>
    <row r="5564" spans="1:17" ht="15.5" x14ac:dyDescent="0.35">
      <c r="A5564"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5564"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5564" t="s">
        <v>6889</v>
      </c>
      <c r="D5564" t="s">
        <v>5599</v>
      </c>
      <c r="E5564" s="3" t="str">
        <f>HYPERLINK("https://www.amazon.com/Klein-Tools-JTH4E13-Journeyman-T-Handle/dp/B007GH2CDS/ref=sr_1_1?keywords=Klein+Tools+JTH4E13+1%2F4-Inch+Hex+Key%2C+Journeyman%E2%84%A2+T-Handle%2C+4-Inch&amp;qid=1695174202&amp;sr=8-1", "https://www.amazon.com/Klein-Tools-JTH4E13-Journeyman-T-Handle/dp/B007GH2CDS/ref=sr_1_1?keywords=Klein+Tools+JTH4E13+1%2F4-Inch+Hex+Key%2C+Journeyman%E2%84%A2+T-Handle%2C+4-Inch&amp;qid=1695174202&amp;sr=8-1")</f>
        <v>https://www.amazon.com/Klein-Tools-JTH4E13-Journeyman-T-Handle/dp/B007GH2CDS/ref=sr_1_1?keywords=Klein+Tools+JTH4E13+1%2F4-Inch+Hex+Key%2C+Journeyman%E2%84%A2+T-Handle%2C+4-Inch&amp;qid=1695174202&amp;sr=8-1</v>
      </c>
      <c r="F5564" t="s">
        <v>5600</v>
      </c>
      <c r="G5564" t="e">
        <f ca="1">_xludf.IMAGE("https://edmondsonsupply.com/cdn/shop/products/jth4e13.jpg?v=1660919816")</f>
        <v>#NAME?</v>
      </c>
      <c r="H5564" t="e">
        <f ca="1">_xludf.IMAGE("https://m.media-amazon.com/images/I/41ERRKlO36L._AC_UL320_.jpg")</f>
        <v>#NAME?</v>
      </c>
      <c r="I5564" t="s">
        <v>2639</v>
      </c>
      <c r="J5564">
        <v>7.3</v>
      </c>
      <c r="K5564" s="4">
        <v>0.21870000000000001</v>
      </c>
      <c r="L5564">
        <v>4.8</v>
      </c>
      <c r="M5564">
        <v>2479</v>
      </c>
      <c r="O5564" t="s">
        <v>25</v>
      </c>
      <c r="P5564" t="s">
        <v>6890</v>
      </c>
      <c r="Q5564" t="s">
        <v>6891</v>
      </c>
    </row>
    <row r="5565" spans="1:17" ht="15.5" x14ac:dyDescent="0.35">
      <c r="A5565"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5565"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5565" t="s">
        <v>5886</v>
      </c>
      <c r="D5565" t="s">
        <v>5887</v>
      </c>
      <c r="E5565" s="3" t="str">
        <f>HYPERLINK("https://www.amazon.com/Diablo-Freud-DOU125CGP3-Universal-Oscillating/dp/B089KW6C8Q/ref=sr_1_4?keywords=Diablo+Tools+DOU125CGP+1-1%2F4+in.+Universal+Fit+Carbide+Oscillating+Blade+for+General+Purpose+Cuts&amp;qid=1695174006&amp;sr=8-4", "https://www.amazon.com/Diablo-Freud-DOU125CGP3-Universal-Oscillating/dp/B089KW6C8Q/ref=sr_1_4?keywords=Diablo+Tools+DOU125CGP+1-1%2F4+in.+Universal+Fit+Carbide+Oscillating+Blade+for+General+Purpose+Cuts&amp;qid=1695174006&amp;sr=8-4")</f>
        <v>https://www.amazon.com/Diablo-Freud-DOU125CGP3-Universal-Oscillating/dp/B089KW6C8Q/ref=sr_1_4?keywords=Diablo+Tools+DOU125CGP+1-1%2F4+in.+Universal+Fit+Carbide+Oscillating+Blade+for+General+Purpose+Cuts&amp;qid=1695174006&amp;sr=8-4</v>
      </c>
      <c r="F5565" t="s">
        <v>5888</v>
      </c>
      <c r="G5565" t="e">
        <f ca="1">_xludf.IMAGE("https://edmondsonsupply.com/cdn/shop/files/htobgrjt150mygkkk6to_dca17485-ff4c-4cd2-9345-f1b96a9206f3.webp?v=1686146827")</f>
        <v>#NAME?</v>
      </c>
      <c r="H5565" t="e">
        <f ca="1">_xludf.IMAGE("https://m.media-amazon.com/images/I/71lNEMXVnHL._AC_UL320_.jpg")</f>
        <v>#NAME?</v>
      </c>
      <c r="I5565" t="s">
        <v>1716</v>
      </c>
      <c r="J5565">
        <v>27.99</v>
      </c>
      <c r="K5565" s="4">
        <v>0.2185</v>
      </c>
      <c r="L5565">
        <v>4.5</v>
      </c>
      <c r="M5565">
        <v>139</v>
      </c>
      <c r="O5565" t="s">
        <v>25</v>
      </c>
      <c r="P5565" t="s">
        <v>5889</v>
      </c>
      <c r="Q5565" t="s">
        <v>5890</v>
      </c>
    </row>
    <row r="5566" spans="1:17" ht="15.5" x14ac:dyDescent="0.35">
      <c r="A5566"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5566"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5566" t="s">
        <v>7470</v>
      </c>
      <c r="D5566" t="s">
        <v>7471</v>
      </c>
      <c r="E5566" s="3" t="str">
        <f>HYPERLINK("https://www.amazon.com/Crescent-Lufkin-Command-Control-Measure/dp/B09PGYR28F/ref=sr_1_7?keywords=Crescent+Lufkin+L1025C-02+1-3%2F16%22+x+25%27+Command+Control+Series%E2%84%A2+Yellow+Clad+Tape+Measure&amp;qid=1695174033&amp;sr=8-7", "https://www.amazon.com/Crescent-Lufkin-Command-Control-Measure/dp/B09PGYR28F/ref=sr_1_7?keywords=Crescent+Lufkin+L1025C-02+1-3%2F16%22+x+25%27+Command+Control+Series%E2%84%A2+Yellow+Clad+Tape+Measure&amp;qid=1695174033&amp;sr=8-7")</f>
        <v>https://www.amazon.com/Crescent-Lufkin-Command-Control-Measure/dp/B09PGYR28F/ref=sr_1_7?keywords=Crescent+Lufkin+L1025C-02+1-3%2F16%22+x+25%27+Command+Control+Series%E2%84%A2+Yellow+Clad+Tape+Measure&amp;qid=1695174033&amp;sr=8-7</v>
      </c>
      <c r="F5566" t="s">
        <v>7472</v>
      </c>
      <c r="G5566" t="e">
        <f ca="1">_xludf.IMAGE("https://edmondsonsupply.com/cdn/shop/products/LFK_L1025C_4-SIDES_IMG-MAIN1.jpg?v=1680013140")</f>
        <v>#NAME?</v>
      </c>
      <c r="H5566" t="e">
        <f ca="1">_xludf.IMAGE("https://m.media-amazon.com/images/I/61+R28AwoAL._AC_UL320_.jpg")</f>
        <v>#NAME?</v>
      </c>
      <c r="I5566" t="s">
        <v>7473</v>
      </c>
      <c r="J5566">
        <v>18.989999999999998</v>
      </c>
      <c r="K5566" s="4">
        <v>0.21809999999999999</v>
      </c>
      <c r="L5566">
        <v>3.6</v>
      </c>
      <c r="M5566">
        <v>4</v>
      </c>
      <c r="O5566" t="s">
        <v>25</v>
      </c>
      <c r="P5566" t="s">
        <v>6822</v>
      </c>
      <c r="Q5566" t="s">
        <v>7474</v>
      </c>
    </row>
    <row r="5567" spans="1:17" ht="15.5" x14ac:dyDescent="0.35">
      <c r="A5567" s="3" t="str">
        <f>HYPERLINK("https://edmondsonsupply.com/collections/electricians-tools/products/klein-tools-jth6t30-t30-torx%C2%AE-hex-key-with-journeyman-t-handle-6-inch", "https://edmondsonsupply.com/collections/electricians-tools/products/klein-tools-jth6t30-t30-torx%C2%AE-hex-key-with-journeyman-t-handle-6-inch")</f>
        <v>https://edmondsonsupply.com/collections/electricians-tools/products/klein-tools-jth6t30-t30-torx%C2%AE-hex-key-with-journeyman-t-handle-6-inch</v>
      </c>
      <c r="B5567" s="3" t="str">
        <f>HYPERLINK("https://edmondsonsupply.com/products/klein-tools-jth6t30-t30-torx%c2%ae-hex-key-with-journeyman-t-handle-6-inch", "https://edmondsonsupply.com/products/klein-tools-jth6t30-t30-torx%c2%ae-hex-key-with-journeyman-t-handle-6-inch")</f>
        <v>https://edmondsonsupply.com/products/klein-tools-jth6t30-t30-torx%c2%ae-hex-key-with-journeyman-t-handle-6-inch</v>
      </c>
      <c r="C5567" t="s">
        <v>7475</v>
      </c>
      <c r="D5567" t="s">
        <v>7476</v>
      </c>
      <c r="E5567" s="3" t="str">
        <f>HYPERLINK("https://www.amazon.com/Journeyman-T-Handle-Klein-Tools-JTH6T30/dp/B005G3B4TM/ref=sr_1_1?keywords=Klein+Tools+JTH6T30+T30+TORX%C2%AE+Hex+Key%2C+Journeyman%E2%84%A2+T-Handle%2C+6-Inch&amp;qid=1695174313&amp;sr=8-1", "https://www.amazon.com/Journeyman-T-Handle-Klein-Tools-JTH6T30/dp/B005G3B4TM/ref=sr_1_1?keywords=Klein+Tools+JTH6T30+T30+TORX%C2%AE+Hex+Key%2C+Journeyman%E2%84%A2+T-Handle%2C+6-Inch&amp;qid=1695174313&amp;sr=8-1")</f>
        <v>https://www.amazon.com/Journeyman-T-Handle-Klein-Tools-JTH6T30/dp/B005G3B4TM/ref=sr_1_1?keywords=Klein+Tools+JTH6T30+T30+TORX%C2%AE+Hex+Key%2C+Journeyman%E2%84%A2+T-Handle%2C+6-Inch&amp;qid=1695174313&amp;sr=8-1</v>
      </c>
      <c r="F5567" t="s">
        <v>7477</v>
      </c>
      <c r="G5567" t="e">
        <f ca="1">_xludf.IMAGE("https://edmondsonsupply.com/cdn/shop/products/jth6t40_b13aa79d-2a34-4a55-8cbe-04b803f08391.jpg?v=1610547787")</f>
        <v>#NAME?</v>
      </c>
      <c r="H5567" t="e">
        <f ca="1">_xludf.IMAGE("https://m.media-amazon.com/images/I/51Xj0Vsb-EL._AC_UL320_.jpg")</f>
        <v>#NAME?</v>
      </c>
      <c r="I5567" t="s">
        <v>924</v>
      </c>
      <c r="J5567">
        <v>10.94</v>
      </c>
      <c r="K5567" s="4">
        <v>0.21690000000000001</v>
      </c>
      <c r="L5567">
        <v>4.8</v>
      </c>
      <c r="M5567">
        <v>1544</v>
      </c>
      <c r="O5567" t="s">
        <v>25</v>
      </c>
      <c r="P5567" t="s">
        <v>7478</v>
      </c>
      <c r="Q5567" t="s">
        <v>7479</v>
      </c>
    </row>
    <row r="5568" spans="1:17" ht="15.5" x14ac:dyDescent="0.35">
      <c r="A5568" s="3" t="str">
        <f>HYPERLINK("https://edmondsonsupply.com/collections/electricians-tools/products/klein-tools-832-26-linemans-claw-milled-hammer", "https://edmondsonsupply.com/collections/electricians-tools/products/klein-tools-832-26-linemans-claw-milled-hammer")</f>
        <v>https://edmondsonsupply.com/collections/electricians-tools/products/klein-tools-832-26-linemans-claw-milled-hammer</v>
      </c>
      <c r="B5568" s="3" t="str">
        <f>HYPERLINK("https://edmondsonsupply.com/products/klein-tools-832-26-linemans-claw-milled-hammer", "https://edmondsonsupply.com/products/klein-tools-832-26-linemans-claw-milled-hammer")</f>
        <v>https://edmondsonsupply.com/products/klein-tools-832-26-linemans-claw-milled-hammer</v>
      </c>
      <c r="C5568" t="s">
        <v>7480</v>
      </c>
      <c r="D5568" t="s">
        <v>7481</v>
      </c>
      <c r="E5568" s="3" t="str">
        <f>HYPERLINK("https://www.amazon.com/Linemans-Straight-Claw-Klein-Tools-832-32/dp/B0002RI8XC/ref=sr_1_3?keywords=Klein+Tools+832-26+Lineman%27s+Claw+Milled+Hammer&amp;qid=1695174242&amp;sr=8-3", "https://www.amazon.com/Linemans-Straight-Claw-Klein-Tools-832-32/dp/B0002RI8XC/ref=sr_1_3?keywords=Klein+Tools+832-26+Lineman%27s+Claw+Milled+Hammer&amp;qid=1695174242&amp;sr=8-3")</f>
        <v>https://www.amazon.com/Linemans-Straight-Claw-Klein-Tools-832-32/dp/B0002RI8XC/ref=sr_1_3?keywords=Klein+Tools+832-26+Lineman%27s+Claw+Milled+Hammer&amp;qid=1695174242&amp;sr=8-3</v>
      </c>
      <c r="F5568" t="s">
        <v>7482</v>
      </c>
      <c r="G5568" t="e">
        <f ca="1">_xludf.IMAGE("https://edmondsonsupply.com/cdn/shop/products/83226_b.jpg?v=1648164275")</f>
        <v>#NAME?</v>
      </c>
      <c r="H5568" t="e">
        <f ca="1">_xludf.IMAGE("https://m.media-amazon.com/images/I/41uzcXI8o2L._AC_UL320_.jpg")</f>
        <v>#NAME?</v>
      </c>
      <c r="I5568" t="s">
        <v>7483</v>
      </c>
      <c r="J5568">
        <v>56.23</v>
      </c>
      <c r="K5568" s="4">
        <v>0.21679999999999999</v>
      </c>
      <c r="L5568">
        <v>4.2</v>
      </c>
      <c r="M5568">
        <v>14</v>
      </c>
      <c r="O5568" t="s">
        <v>25</v>
      </c>
      <c r="P5568" t="s">
        <v>7484</v>
      </c>
      <c r="Q5568" t="s">
        <v>7485</v>
      </c>
    </row>
    <row r="5569" spans="1:17" ht="15.5" x14ac:dyDescent="0.35">
      <c r="A5569" s="3" t="str">
        <f>HYPERLINK("https://edmondsonsupply.com/collections/electricians-tools/products/milwaukee-2367-20-m12%E2%84%A2-rover%E2%84%A2-service-and-repair-flood-light-w-usb-charging", "https://edmondsonsupply.com/collections/electricians-tools/products/milwaukee-2367-20-m12%E2%84%A2-rover%E2%84%A2-service-and-repair-flood-light-w-usb-charging")</f>
        <v>https://edmondsonsupply.com/collections/electricians-tools/products/milwaukee-2367-20-m12%E2%84%A2-rover%E2%84%A2-service-and-repair-flood-light-w-usb-charging</v>
      </c>
      <c r="B5569" s="3" t="str">
        <f>HYPERLINK("https://edmondsonsupply.com/products/milwaukee-2367-20-m12%e2%84%a2-rover%e2%84%a2-service-and-repair-flood-light-w-usb-charging", "https://edmondsonsupply.com/products/milwaukee-2367-20-m12%e2%84%a2-rover%e2%84%a2-service-and-repair-flood-light-w-usb-charging")</f>
        <v>https://edmondsonsupply.com/products/milwaukee-2367-20-m12%e2%84%a2-rover%e2%84%a2-service-and-repair-flood-light-w-usb-charging</v>
      </c>
      <c r="C5569" t="s">
        <v>7486</v>
      </c>
      <c r="D5569" t="s">
        <v>7487</v>
      </c>
      <c r="E5569" s="3" t="str">
        <f>HYPERLINK("https://www.amazon.com/2367-20-M12-Milwaukee-Cordless-Charging/dp/B0BRZ31ZFS/ref=sr_1_2?keywords=Milwaukee+2367-20+M12%E2%84%A2+ROVER%E2%84%A2+Service+and+Repair+Flood+Light+w%2F+USB+Charging&amp;qid=1695174210&amp;sr=8-2", "https://www.amazon.com/2367-20-M12-Milwaukee-Cordless-Charging/dp/B0BRZ31ZFS/ref=sr_1_2?keywords=Milwaukee+2367-20+M12%E2%84%A2+ROVER%E2%84%A2+Service+and+Repair+Flood+Light+w%2F+USB+Charging&amp;qid=1695174210&amp;sr=8-2")</f>
        <v>https://www.amazon.com/2367-20-M12-Milwaukee-Cordless-Charging/dp/B0BRZ31ZFS/ref=sr_1_2?keywords=Milwaukee+2367-20+M12%E2%84%A2+ROVER%E2%84%A2+Service+and+Repair+Flood+Light+w%2F+USB+Charging&amp;qid=1695174210&amp;sr=8-2</v>
      </c>
      <c r="F5569" t="s">
        <v>7488</v>
      </c>
      <c r="G5569" t="e">
        <f ca="1">_xludf.IMAGE("https://edmondsonsupply.com/cdn/shop/products/2367-20_1.webp?v=1655158460")</f>
        <v>#NAME?</v>
      </c>
      <c r="H5569" t="e">
        <f ca="1">_xludf.IMAGE("https://m.media-amazon.com/images/I/413+732fO7L._AC_UL320_.jpg")</f>
        <v>#NAME?</v>
      </c>
      <c r="I5569" t="s">
        <v>5452</v>
      </c>
      <c r="J5569">
        <v>83.9</v>
      </c>
      <c r="K5569" s="4">
        <v>0.21590000000000001</v>
      </c>
      <c r="L5569">
        <v>5</v>
      </c>
      <c r="M5569">
        <v>3</v>
      </c>
      <c r="O5569" t="s">
        <v>25</v>
      </c>
      <c r="P5569" t="s">
        <v>7489</v>
      </c>
      <c r="Q5569" t="s">
        <v>7490</v>
      </c>
    </row>
    <row r="5570" spans="1:17" ht="15.5" x14ac:dyDescent="0.35">
      <c r="A5570" s="3" t="str">
        <f>HYPERLINK("https://edmondsonsupply.com/collections/electricians-tools/products/klein-tools-55600-tradesman-pro%E2%84%A2-tough-box-17-quart-cooler", "https://edmondsonsupply.com/collections/electricians-tools/products/klein-tools-55600-tradesman-pro%E2%84%A2-tough-box-17-quart-cooler")</f>
        <v>https://edmondsonsupply.com/collections/electricians-tools/products/klein-tools-55600-tradesman-pro%E2%84%A2-tough-box-17-quart-cooler</v>
      </c>
      <c r="B5570"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5570" t="s">
        <v>3583</v>
      </c>
      <c r="D5570" t="s">
        <v>3820</v>
      </c>
      <c r="E5570" s="3" t="str">
        <f>HYPERLINK("https://www.amazon.com/Klein-Tools-17-Quart-Stand-Up-Ballistic/dp/B09Y843VXJ/ref=sr_1_4?keywords=Klein+Tools+55600+Tradesman+Pro%E2%84%A2+Tough+Box+Cooler%2C+17-Quart&amp;qid=1695173941&amp;sr=8-4", "https://www.amazon.com/Klein-Tools-17-Quart-Stand-Up-Ballistic/dp/B09Y843VXJ/ref=sr_1_4?keywords=Klein+Tools+55600+Tradesman+Pro%E2%84%A2+Tough+Box+Cooler%2C+17-Quart&amp;qid=1695173941&amp;sr=8-4")</f>
        <v>https://www.amazon.com/Klein-Tools-17-Quart-Stand-Up-Ballistic/dp/B09Y843VXJ/ref=sr_1_4?keywords=Klein+Tools+55600+Tradesman+Pro%E2%84%A2+Tough+Box+Cooler%2C+17-Quart&amp;qid=1695173941&amp;sr=8-4</v>
      </c>
      <c r="F5570" t="s">
        <v>3821</v>
      </c>
      <c r="G5570" t="e">
        <f ca="1">_xludf.IMAGE("https://edmondsonsupply.com/cdn/shop/products/55600.jpg?v=1587145287")</f>
        <v>#NAME?</v>
      </c>
      <c r="H5570" t="e">
        <f ca="1">_xludf.IMAGE("https://m.media-amazon.com/images/I/518mY-OPxzL._AC_UL320_.jpg")</f>
        <v>#NAME?</v>
      </c>
      <c r="I5570" t="s">
        <v>305</v>
      </c>
      <c r="J5570">
        <v>78.989999999999995</v>
      </c>
      <c r="K5570" s="4">
        <v>0.21579999999999999</v>
      </c>
      <c r="L5570">
        <v>5</v>
      </c>
      <c r="M5570">
        <v>1</v>
      </c>
      <c r="O5570" t="s">
        <v>25</v>
      </c>
      <c r="P5570" t="s">
        <v>3586</v>
      </c>
      <c r="Q5570" t="s">
        <v>3587</v>
      </c>
    </row>
    <row r="5571" spans="1:17" ht="15.5" x14ac:dyDescent="0.35">
      <c r="A5571" s="3" t="str">
        <f>HYPERLINK("https://edmondsonsupply.com/collections/electricians-tools/products/tajima-lc-500-heavy-duty-ergonomic-utility-knife-auto-blade-lock-3-x-endura-blade", "https://edmondsonsupply.com/collections/electricians-tools/products/tajima-lc-500-heavy-duty-ergonomic-utility-knife-auto-blade-lock-3-x-endura-blade")</f>
        <v>https://edmondsonsupply.com/collections/electricians-tools/products/tajima-lc-500-heavy-duty-ergonomic-utility-knife-auto-blade-lock-3-x-endura-blade</v>
      </c>
      <c r="B5571" s="3" t="str">
        <f>HYPERLINK("https://edmondsonsupply.com/products/tajima-lc-500-heavy-duty-ergonomic-utility-knife-auto-blade-lock-3-x-endura-blade", "https://edmondsonsupply.com/products/tajima-lc-500-heavy-duty-ergonomic-utility-knife-auto-blade-lock-3-x-endura-blade")</f>
        <v>https://edmondsonsupply.com/products/tajima-lc-500-heavy-duty-ergonomic-utility-knife-auto-blade-lock-3-x-endura-blade</v>
      </c>
      <c r="C5571" t="s">
        <v>3826</v>
      </c>
      <c r="D5571" t="s">
        <v>3827</v>
      </c>
      <c r="E5571" s="3" t="str">
        <f>HYPERLINK("https://www.amazon.com/TAJIMA-Utility-Knives-Blades-Endura-Blades/dp/B003O684GO/ref=sr_1_1?keywords=Tajima+LC-500+Heavy+Duty+Ergonomic+Utility+Knife%2C+Auto+Blade+Lock%2C+3+x+Endura-Blade&amp;qid=1695173886&amp;sr=8-1", "https://www.amazon.com/TAJIMA-Utility-Knives-Blades-Endura-Blades/dp/B003O684GO/ref=sr_1_1?keywords=Tajima+LC-500+Heavy+Duty+Ergonomic+Utility+Knife%2C+Auto+Blade+Lock%2C+3+x+Endura-Blade&amp;qid=1695173886&amp;sr=8-1")</f>
        <v>https://www.amazon.com/TAJIMA-Utility-Knives-Blades-Endura-Blades/dp/B003O684GO/ref=sr_1_1?keywords=Tajima+LC-500+Heavy+Duty+Ergonomic+Utility+Knife%2C+Auto+Blade+Lock%2C+3+x+Endura-Blade&amp;qid=1695173886&amp;sr=8-1</v>
      </c>
      <c r="F5571" t="s">
        <v>3828</v>
      </c>
      <c r="G5571" t="e">
        <f ca="1">_xludf.IMAGE("https://edmondsonsupply.com/cdn/shop/products/LC-500_s.jpg?v=1633031159")</f>
        <v>#NAME?</v>
      </c>
      <c r="H5571" t="e">
        <f ca="1">_xludf.IMAGE("https://m.media-amazon.com/images/I/61+jGAA-25L._AC_UL320_.jpg")</f>
        <v>#NAME?</v>
      </c>
      <c r="I5571" t="s">
        <v>2219</v>
      </c>
      <c r="J5571">
        <v>10.43</v>
      </c>
      <c r="K5571" s="4">
        <v>0.2142</v>
      </c>
      <c r="L5571">
        <v>4.8</v>
      </c>
      <c r="M5571">
        <v>25</v>
      </c>
      <c r="O5571" t="s">
        <v>25</v>
      </c>
      <c r="P5571" t="s">
        <v>138</v>
      </c>
      <c r="Q5571" t="s">
        <v>3829</v>
      </c>
    </row>
    <row r="5572" spans="1:17" ht="15.5" x14ac:dyDescent="0.35">
      <c r="A5572"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5572"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5572" t="s">
        <v>7089</v>
      </c>
      <c r="D5572" t="s">
        <v>2643</v>
      </c>
      <c r="E5572" s="3" t="str">
        <f>HYPERLINK("https://www.amazon.com/Channellock-Tongue-12-Inch-Straight-Comfort/dp/B0BFXKVMMD/ref=sr_1_10?keywords=Channellock+440X+12-Inch+SPEEDGRIP%E2%84%A2+Straight+Jaw+Tongue+%26+Groove+Pliers&amp;qid=1695174216&amp;sr=8-10", "https://www.amazon.com/Channellock-Tongue-12-Inch-Straight-Comfort/dp/B0BFXKVMMD/ref=sr_1_10?keywords=Channellock+440X+12-Inch+SPEEDGRIP%E2%84%A2+Straight+Jaw+Tongue+%26+Groove+Pliers&amp;qid=1695174216&amp;sr=8-10")</f>
        <v>https://www.amazon.com/Channellock-Tongue-12-Inch-Straight-Comfort/dp/B0BFXKVMMD/ref=sr_1_10?keywords=Channellock+440X+12-Inch+SPEEDGRIP%E2%84%A2+Straight+Jaw+Tongue+%26+Groove+Pliers&amp;qid=1695174216&amp;sr=8-10</v>
      </c>
      <c r="F5572" t="s">
        <v>2644</v>
      </c>
      <c r="G5572" t="e">
        <f ca="1">_xludf.IMAGE("https://edmondsonsupply.com/cdn/shop/products/440X.jpg?v=1647104734")</f>
        <v>#NAME?</v>
      </c>
      <c r="H5572" t="e">
        <f ca="1">_xludf.IMAGE("https://m.media-amazon.com/images/I/41AZjjLwtIL._AC_UL320_.jpg")</f>
        <v>#NAME?</v>
      </c>
      <c r="I5572" t="s">
        <v>122</v>
      </c>
      <c r="J5572">
        <v>39.94</v>
      </c>
      <c r="K5572" s="4">
        <v>0.21210000000000001</v>
      </c>
      <c r="L5572">
        <v>3</v>
      </c>
      <c r="M5572">
        <v>1</v>
      </c>
      <c r="O5572" t="s">
        <v>25</v>
      </c>
      <c r="P5572" t="s">
        <v>7092</v>
      </c>
      <c r="Q5572" t="s">
        <v>7093</v>
      </c>
    </row>
    <row r="5573" spans="1:17" ht="15.5" x14ac:dyDescent="0.35">
      <c r="A5573"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5573"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5573" t="s">
        <v>6463</v>
      </c>
      <c r="D5573" t="s">
        <v>7167</v>
      </c>
      <c r="E5573" s="3" t="str">
        <f>HYPERLINK("https://www.amazon.com/Ball-End-Journeyman-Klein-Tools-JTH6E09BE/dp/B004QW2H9U/ref=sr_1_6?keywords=Klein+Tools+JTH6M6BE+6+mm+Ball-End+Hex+Key%2C+Journeyman%E2%84%A2+T-Handle%2C+6-Inch&amp;qid=1695174142&amp;sr=8-6", "https://www.amazon.com/Ball-End-Journeyman-Klein-Tools-JTH6E09BE/dp/B004QW2H9U/ref=sr_1_6?keywords=Klein+Tools+JTH6M6BE+6+mm+Ball-End+Hex+Key%2C+Journeyman%E2%84%A2+T-Handle%2C+6-Inch&amp;qid=1695174142&amp;sr=8-6")</f>
        <v>https://www.amazon.com/Ball-End-Journeyman-Klein-Tools-JTH6E09BE/dp/B004QW2H9U/ref=sr_1_6?keywords=Klein+Tools+JTH6M6BE+6+mm+Ball-End+Hex+Key%2C+Journeyman%E2%84%A2+T-Handle%2C+6-Inch&amp;qid=1695174142&amp;sr=8-6</v>
      </c>
      <c r="F5573" t="s">
        <v>7168</v>
      </c>
      <c r="G5573" t="e">
        <f ca="1">_xludf.IMAGE("https://edmondsonsupply.com/cdn/shop/products/jth6m8be_8608088e-2ec0-429e-80d7-5bd927a3a1b6.jpg?v=1666111557")</f>
        <v>#NAME?</v>
      </c>
      <c r="H5573" t="e">
        <f ca="1">_xludf.IMAGE("https://m.media-amazon.com/images/I/51f9vBFVXgL._AC_UL320_.jpg")</f>
        <v>#NAME?</v>
      </c>
      <c r="I5573" t="s">
        <v>2639</v>
      </c>
      <c r="J5573">
        <v>7.26</v>
      </c>
      <c r="K5573" s="4">
        <v>0.21199999999999999</v>
      </c>
      <c r="L5573">
        <v>4.9000000000000004</v>
      </c>
      <c r="M5573">
        <v>65</v>
      </c>
      <c r="O5573" t="s">
        <v>25</v>
      </c>
      <c r="P5573" t="s">
        <v>6464</v>
      </c>
      <c r="Q5573" t="s">
        <v>6465</v>
      </c>
    </row>
    <row r="5574" spans="1:17" ht="15.5" x14ac:dyDescent="0.35">
      <c r="A5574"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5574"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5574" t="s">
        <v>6351</v>
      </c>
      <c r="D5574" t="s">
        <v>2633</v>
      </c>
      <c r="E5574" s="3" t="str">
        <f>HYPERLINK("https://www.amazon.com/Journeyman-T-Handle-Klein-Tools-JTH9M5/dp/B005G3HJDW/ref=sr_1_7?keywords=Klein+Tools+JTH9E10+5%2F32-Inch+Hex+Key%2C+Journeyman+T-Handle%2C+9-Inch&amp;qid=1695174218&amp;sr=8-7", "https://www.amazon.com/Journeyman-T-Handle-Klein-Tools-JTH9M5/dp/B005G3HJDW/ref=sr_1_7?keywords=Klein+Tools+JTH9E10+5%2F32-Inch+Hex+Key%2C+Journeyman+T-Handle%2C+9-Inch&amp;qid=1695174218&amp;sr=8-7")</f>
        <v>https://www.amazon.com/Journeyman-T-Handle-Klein-Tools-JTH9M5/dp/B005G3HJDW/ref=sr_1_7?keywords=Klein+Tools+JTH9E10+5%2F32-Inch+Hex+Key%2C+Journeyman+T-Handle%2C+9-Inch&amp;qid=1695174218&amp;sr=8-7</v>
      </c>
      <c r="F5574" t="s">
        <v>2634</v>
      </c>
      <c r="G5574" t="e">
        <f ca="1">_xludf.IMAGE("https://edmondsonsupply.com/cdn/shop/products/jth9e12_37b16542-2f59-465e-8bba-0a543803dfd0.jpg?v=1647892900")</f>
        <v>#NAME?</v>
      </c>
      <c r="H5574" t="e">
        <f ca="1">_xludf.IMAGE("https://m.media-amazon.com/images/I/51O91N8K8wL._AC_UL320_.jpg")</f>
        <v>#NAME?</v>
      </c>
      <c r="I5574" t="s">
        <v>2389</v>
      </c>
      <c r="J5574">
        <v>9.1999999999999993</v>
      </c>
      <c r="K5574" s="4">
        <v>0.21049999999999999</v>
      </c>
      <c r="L5574">
        <v>4.7</v>
      </c>
      <c r="M5574">
        <v>160</v>
      </c>
      <c r="O5574" t="s">
        <v>171</v>
      </c>
      <c r="P5574" t="s">
        <v>138</v>
      </c>
      <c r="Q5574" t="s">
        <v>6352</v>
      </c>
    </row>
    <row r="5575" spans="1:17" ht="15.5" x14ac:dyDescent="0.35">
      <c r="A5575" s="3" t="str">
        <f>HYPERLINK("https://edmondsonsupply.com/collections/electricians-tools/products/diablo-tools-dmamx1050-9-16-in-x-8-in-x-13-in-rebar-demon%E2%84%A2-sds-max-4-cutter-full-carbide-head-hammer-drill-bit", "https://edmondsonsupply.com/collections/electricians-tools/products/diablo-tools-dmamx1050-9-16-in-x-8-in-x-13-in-rebar-demon%E2%84%A2-sds-max-4-cutter-full-carbide-head-hammer-drill-bit")</f>
        <v>https://edmondsonsupply.com/collections/electricians-tools/products/diablo-tools-dmamx1050-9-16-in-x-8-in-x-13-in-rebar-demon%E2%84%A2-sds-max-4-cutter-full-carbide-head-hammer-drill-bit</v>
      </c>
      <c r="B5575" s="3" t="str">
        <f>HYPERLINK("https://edmondsonsupply.com/products/diablo-tools-dmamx1050-9-16-in-x-8-in-x-13-in-rebar-demon%e2%84%a2-sds-max-4-cutter-full-carbide-head-hammer-drill-bit", "https://edmondsonsupply.com/products/diablo-tools-dmamx1050-9-16-in-x-8-in-x-13-in-rebar-demon%e2%84%a2-sds-max-4-cutter-full-carbide-head-hammer-drill-bit")</f>
        <v>https://edmondsonsupply.com/products/diablo-tools-dmamx1050-9-16-in-x-8-in-x-13-in-rebar-demon%e2%84%a2-sds-max-4-cutter-full-carbide-head-hammer-drill-bit</v>
      </c>
      <c r="C5575" t="s">
        <v>7491</v>
      </c>
      <c r="D5575" t="s">
        <v>7492</v>
      </c>
      <c r="E5575" s="3" t="str">
        <f>HYPERLINK("https://www.amazon.com/Diablo-SDS-Max-4-Cutter-Carbide-Hammer/dp/B089LGB35P/ref=sr_1_5?keywords=Diablo+Tools+DMAMX1050+9%2F16+in.+x+8+in.+x+13+in.+Rebar+Demon%E2%84%A2+SDS-Max+4-Cutter+Full+Carbide+Head+Hammer+Drill+Bit&amp;qid=1695174267&amp;sr=8-5", "https://www.amazon.com/Diablo-SDS-Max-4-Cutter-Carbide-Hammer/dp/B089LGB35P/ref=sr_1_5?keywords=Diablo+Tools+DMAMX1050+9%2F16+in.+x+8+in.+x+13+in.+Rebar+Demon%E2%84%A2+SDS-Max+4-Cutter+Full+Carbide+Head+Hammer+Drill+Bit&amp;qid=1695174267&amp;sr=8-5")</f>
        <v>https://www.amazon.com/Diablo-SDS-Max-4-Cutter-Carbide-Hammer/dp/B089LGB35P/ref=sr_1_5?keywords=Diablo+Tools+DMAMX1050+9%2F16+in.+x+8+in.+x+13+in.+Rebar+Demon%E2%84%A2+SDS-Max+4-Cutter+Full+Carbide+Head+Hammer+Drill+Bit&amp;qid=1695174267&amp;sr=8-5</v>
      </c>
      <c r="F5575" t="s">
        <v>7493</v>
      </c>
      <c r="G5575" t="e">
        <f ca="1">_xludf.IMAGE("https://edmondsonsupply.com/cdn/shop/products/DMAMX1050_Main-Image20200701.png?v=1633031097")</f>
        <v>#NAME?</v>
      </c>
      <c r="H5575" t="e">
        <f ca="1">_xludf.IMAGE("https://m.media-amazon.com/images/I/61Wr1t8FMOL._AC_UL320_.jpg")</f>
        <v>#NAME?</v>
      </c>
      <c r="I5575" t="s">
        <v>7494</v>
      </c>
      <c r="J5575">
        <v>35.1</v>
      </c>
      <c r="K5575" s="4">
        <v>0.20250000000000001</v>
      </c>
      <c r="L5575">
        <v>4.2</v>
      </c>
      <c r="M5575">
        <v>5</v>
      </c>
      <c r="O5575" t="s">
        <v>25</v>
      </c>
      <c r="P5575" t="s">
        <v>7495</v>
      </c>
      <c r="Q5575" t="s">
        <v>7496</v>
      </c>
    </row>
    <row r="5576" spans="1:17" ht="15.5" x14ac:dyDescent="0.35">
      <c r="A5576"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5576" s="3" t="str">
        <f>HYPERLINK("https://edmondsonsupply.com/products/diablo-tools-d0760x-7-1-4-in-x-60-tooth-ultra-finish-saw-blade", "https://edmondsonsupply.com/products/diablo-tools-d0760x-7-1-4-in-x-60-tooth-ultra-finish-saw-blade")</f>
        <v>https://edmondsonsupply.com/products/diablo-tools-d0760x-7-1-4-in-x-60-tooth-ultra-finish-saw-blade</v>
      </c>
      <c r="C5576" t="s">
        <v>6011</v>
      </c>
      <c r="D5576" t="s">
        <v>7497</v>
      </c>
      <c r="E5576" s="3" t="str">
        <f>HYPERLINK("https://www.amazon.com/Bosch-DCB760-Circular-Extra-Fine-Finish/dp/B008FYUSTG/ref=sr_1_10?keywords=Diablo+Tools+D0760X+7-1%2F4+in.+x+60+Tooth+Ultra+Finish+Saw+Blade&amp;qid=1695174054&amp;sr=8-10", "https://www.amazon.com/Bosch-DCB760-Circular-Extra-Fine-Finish/dp/B008FYUSTG/ref=sr_1_10?keywords=Diablo+Tools+D0760X+7-1%2F4+in.+x+60+Tooth+Ultra+Finish+Saw+Blade&amp;qid=1695174054&amp;sr=8-10")</f>
        <v>https://www.amazon.com/Bosch-DCB760-Circular-Extra-Fine-Finish/dp/B008FYUSTG/ref=sr_1_10?keywords=Diablo+Tools+D0760X+7-1%2F4+in.+x+60+Tooth+Ultra+Finish+Saw+Blade&amp;qid=1695174054&amp;sr=8-10</v>
      </c>
      <c r="F5576" t="s">
        <v>7498</v>
      </c>
      <c r="G5576" t="e">
        <f ca="1">_xludf.IMAGE("https://edmondsonsupply.com/cdn/shop/products/vlfiqrihhfwf5bxirasx.webp?v=1678977162")</f>
        <v>#NAME?</v>
      </c>
      <c r="H5576" t="e">
        <f ca="1">_xludf.IMAGE("https://m.media-amazon.com/images/I/81LAAFurHXL._AC_UL320_.jpg")</f>
        <v>#NAME?</v>
      </c>
      <c r="I5576" t="s">
        <v>893</v>
      </c>
      <c r="J5576">
        <v>23.99</v>
      </c>
      <c r="K5576" s="4">
        <v>0.20130000000000001</v>
      </c>
      <c r="L5576">
        <v>4.7</v>
      </c>
      <c r="M5576">
        <v>589</v>
      </c>
      <c r="O5576" t="s">
        <v>25</v>
      </c>
      <c r="P5576" t="s">
        <v>6014</v>
      </c>
      <c r="Q5576" t="s">
        <v>6015</v>
      </c>
    </row>
    <row r="5577" spans="1:17" ht="15.5" x14ac:dyDescent="0.35">
      <c r="A5577"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5577"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5577" t="s">
        <v>6231</v>
      </c>
      <c r="D5577" t="s">
        <v>3854</v>
      </c>
      <c r="E5577" s="3" t="str">
        <f>HYPERLINK("https://www.amazon.com/Klein-Tools-80077-Electronic-Non-Contact/dp/B0B11F7Q69/ref=sr_1_9?keywords=Klein+Tools+NCVT1PKIT+Non-Contact+Voltage+and+GFCI+Receptacle+Test+Kit&amp;qid=1695174067&amp;sr=8-9", "https://www.amazon.com/Klein-Tools-80077-Electronic-Non-Contact/dp/B0B11F7Q69/ref=sr_1_9?keywords=Klein+Tools+NCVT1PKIT+Non-Contact+Voltage+and+GFCI+Receptacle+Test+Kit&amp;qid=1695174067&amp;sr=8-9")</f>
        <v>https://www.amazon.com/Klein-Tools-80077-Electronic-Non-Contact/dp/B0B11F7Q69/ref=sr_1_9?keywords=Klein+Tools+NCVT1PKIT+Non-Contact+Voltage+and+GFCI+Receptacle+Test+Kit&amp;qid=1695174067&amp;sr=8-9</v>
      </c>
      <c r="F5577" t="s">
        <v>3855</v>
      </c>
      <c r="G5577" t="e">
        <f ca="1">_xludf.IMAGE("https://edmondsonsupply.com/cdn/shop/products/ncvt1pkit.jpg?v=1677682920")</f>
        <v>#NAME?</v>
      </c>
      <c r="H5577" t="e">
        <f ca="1">_xludf.IMAGE("https://m.media-amazon.com/images/I/51cU3aEkbCL._AC_UL320_.jpg")</f>
        <v>#NAME?</v>
      </c>
      <c r="I5577" t="s">
        <v>859</v>
      </c>
      <c r="J5577">
        <v>29.99</v>
      </c>
      <c r="K5577" s="4">
        <v>0.20100000000000001</v>
      </c>
      <c r="L5577">
        <v>4.5999999999999996</v>
      </c>
      <c r="M5577">
        <v>183</v>
      </c>
      <c r="O5577" t="s">
        <v>25</v>
      </c>
      <c r="P5577" t="s">
        <v>6234</v>
      </c>
      <c r="Q5577" t="s">
        <v>6235</v>
      </c>
    </row>
    <row r="5578" spans="1:17" ht="15.5" x14ac:dyDescent="0.35">
      <c r="A5578"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5578"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5578" t="s">
        <v>6812</v>
      </c>
      <c r="D5578" t="s">
        <v>7499</v>
      </c>
      <c r="E5578" s="3" t="str">
        <f>HYPERLINK("https://www.amazon.com/Klein-Tools-6846INS-Screwdriver-Cushion-Grip/dp/B0BF7X96QK/ref=sr_1_9?keywords=Klein+Tools+6824INS+Insulated+Screwdriver%2C+1%2F4-Inch+Cabinet+Tip%2C+4-Inch+Round+Shank&amp;qid=1695174148&amp;sr=8-9", "https://www.amazon.com/Klein-Tools-6846INS-Screwdriver-Cushion-Grip/dp/B0BF7X96QK/ref=sr_1_9?keywords=Klein+Tools+6824INS+Insulated+Screwdriver%2C+1%2F4-Inch+Cabinet+Tip%2C+4-Inch+Round+Shank&amp;qid=1695174148&amp;sr=8-9")</f>
        <v>https://www.amazon.com/Klein-Tools-6846INS-Screwdriver-Cushion-Grip/dp/B0BF7X96QK/ref=sr_1_9?keywords=Klein+Tools+6824INS+Insulated+Screwdriver%2C+1%2F4-Inch+Cabinet+Tip%2C+4-Inch+Round+Shank&amp;qid=1695174148&amp;sr=8-9</v>
      </c>
      <c r="F5578" t="s">
        <v>7500</v>
      </c>
      <c r="G5578" t="e">
        <f ca="1">_xludf.IMAGE("https://edmondsonsupply.com/cdn/shop/products/6824ins.jpg?v=1664813487")</f>
        <v>#NAME?</v>
      </c>
      <c r="H5578" t="e">
        <f ca="1">_xludf.IMAGE("https://m.media-amazon.com/images/I/31EOUkZ6n3L._AC_UL320_.jpg")</f>
        <v>#NAME?</v>
      </c>
      <c r="I5578" t="s">
        <v>1427</v>
      </c>
      <c r="J5578">
        <v>11.97</v>
      </c>
      <c r="K5578" s="4">
        <v>0.2006</v>
      </c>
      <c r="L5578">
        <v>4.8</v>
      </c>
      <c r="M5578">
        <v>207</v>
      </c>
      <c r="O5578" t="s">
        <v>25</v>
      </c>
      <c r="P5578" t="s">
        <v>6813</v>
      </c>
      <c r="Q5578" t="s">
        <v>6814</v>
      </c>
    </row>
    <row r="5579" spans="1:17" ht="15.5" x14ac:dyDescent="0.35">
      <c r="A5579"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5579"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5579" t="s">
        <v>7214</v>
      </c>
      <c r="D5579" t="s">
        <v>7499</v>
      </c>
      <c r="E5579" s="3" t="str">
        <f>HYPERLINK("https://www.amazon.com/Klein-Tools-6846INS-Screwdriver-Cushion-Grip/dp/B0BF7X96QK/ref=sr_1_2?keywords=Klein+Tools+6844INS+Insulated+Screwdriver%2C+%232+Square+Tip%2C+4-Inch+Round+Shank&amp;qid=1695174147&amp;sr=8-2", "https://www.amazon.com/Klein-Tools-6846INS-Screwdriver-Cushion-Grip/dp/B0BF7X96QK/ref=sr_1_2?keywords=Klein+Tools+6844INS+Insulated+Screwdriver%2C+%232+Square+Tip%2C+4-Inch+Round+Shank&amp;qid=1695174147&amp;sr=8-2")</f>
        <v>https://www.amazon.com/Klein-Tools-6846INS-Screwdriver-Cushion-Grip/dp/B0BF7X96QK/ref=sr_1_2?keywords=Klein+Tools+6844INS+Insulated+Screwdriver%2C+%232+Square+Tip%2C+4-Inch+Round+Shank&amp;qid=1695174147&amp;sr=8-2</v>
      </c>
      <c r="F5579" t="s">
        <v>7500</v>
      </c>
      <c r="G5579" t="e">
        <f ca="1">_xludf.IMAGE("https://edmondsonsupply.com/cdn/shop/products/6844ins.jpg?v=1664817203")</f>
        <v>#NAME?</v>
      </c>
      <c r="H5579" t="e">
        <f ca="1">_xludf.IMAGE("https://m.media-amazon.com/images/I/31EOUkZ6n3L._AC_UL320_.jpg")</f>
        <v>#NAME?</v>
      </c>
      <c r="I5579" t="s">
        <v>1427</v>
      </c>
      <c r="J5579">
        <v>11.97</v>
      </c>
      <c r="K5579" s="4">
        <v>0.2006</v>
      </c>
      <c r="L5579">
        <v>4.8</v>
      </c>
      <c r="M5579">
        <v>207</v>
      </c>
      <c r="O5579" t="s">
        <v>25</v>
      </c>
      <c r="P5579" t="s">
        <v>7217</v>
      </c>
      <c r="Q5579" t="s">
        <v>7218</v>
      </c>
    </row>
    <row r="5580" spans="1:17" ht="15.5" x14ac:dyDescent="0.35">
      <c r="A5580"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5580"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5580" t="s">
        <v>3227</v>
      </c>
      <c r="D5580" t="s">
        <v>3846</v>
      </c>
      <c r="E5580" s="3" t="str">
        <f>HYPERLINK("https://www.amazon.com/Klein-Tools-80130-Multimeter-Non-Contact/dp/B0BVSK581C/ref=sr_1_6?keywords=Klein+Tools+MM320KIT+Digital+Multimeter+Electrical+Test+Kit&amp;qid=1695173860&amp;sr=8-6", "https://www.amazon.com/Klein-Tools-80130-Multimeter-Non-Contact/dp/B0BVSK581C/ref=sr_1_6?keywords=Klein+Tools+MM320KIT+Digital+Multimeter+Electrical+Test+Kit&amp;qid=1695173860&amp;sr=8-6")</f>
        <v>https://www.amazon.com/Klein-Tools-80130-Multimeter-Non-Contact/dp/B0BVSK581C/ref=sr_1_6?keywords=Klein+Tools+MM320KIT+Digital+Multimeter+Electrical+Test+Kit&amp;qid=1695173860&amp;sr=8-6</v>
      </c>
      <c r="F5580" t="s">
        <v>3847</v>
      </c>
      <c r="G5580" t="e">
        <f ca="1">_xludf.IMAGE("https://edmondsonsupply.com/cdn/shop/products/mm320kit_photo.jpg?v=1660756496")</f>
        <v>#NAME?</v>
      </c>
      <c r="H5580" t="e">
        <f ca="1">_xludf.IMAGE("https://m.media-amazon.com/images/I/61U30g-38NL._AC_UL320_.jpg")</f>
        <v>#NAME?</v>
      </c>
      <c r="I5580" t="s">
        <v>380</v>
      </c>
      <c r="J5580">
        <v>59.99</v>
      </c>
      <c r="K5580" s="4">
        <v>0.20050000000000001</v>
      </c>
      <c r="L5580">
        <v>5</v>
      </c>
      <c r="M5580">
        <v>2</v>
      </c>
      <c r="O5580" t="s">
        <v>25</v>
      </c>
      <c r="P5580" t="s">
        <v>3230</v>
      </c>
      <c r="Q5580" t="s">
        <v>3231</v>
      </c>
    </row>
    <row r="5581" spans="1:17" ht="15.5" x14ac:dyDescent="0.35">
      <c r="A5581"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5581" s="3" t="str">
        <f>HYPERLINK("https://edmondsonsupply.com/products/milwaukee-2912-22-m18-fuel%e2%84%a2-1-sds-plus-rotary-hammer-kit", "https://edmondsonsupply.com/products/milwaukee-2912-22-m18-fuel%e2%84%a2-1-sds-plus-rotary-hammer-kit")</f>
        <v>https://edmondsonsupply.com/products/milwaukee-2912-22-m18-fuel%e2%84%a2-1-sds-plus-rotary-hammer-kit</v>
      </c>
      <c r="C5581" t="s">
        <v>3848</v>
      </c>
      <c r="D5581" t="s">
        <v>3849</v>
      </c>
      <c r="E5581" s="3" t="str">
        <f>HYPERLINK("https://www.amazon.com/Milwaukee-2715-22-Fuel-Rotary-Hammer/dp/B00OTXQUL2/ref=sr_1_3?keywords=Milwaukee+2912-22+M18+FUEL%E2%84%A2+1%22+SDS+Plus+Rotary+Hammer+Kit&amp;qid=1695174040&amp;sr=8-3", "https://www.amazon.com/Milwaukee-2715-22-Fuel-Rotary-Hammer/dp/B00OTXQUL2/ref=sr_1_3?keywords=Milwaukee+2912-22+M18+FUEL%E2%84%A2+1%22+SDS+Plus+Rotary+Hammer+Kit&amp;qid=1695174040&amp;sr=8-3")</f>
        <v>https://www.amazon.com/Milwaukee-2715-22-Fuel-Rotary-Hammer/dp/B00OTXQUL2/ref=sr_1_3?keywords=Milwaukee+2912-22+M18+FUEL%E2%84%A2+1%22+SDS+Plus+Rotary+Hammer+Kit&amp;qid=1695174040&amp;sr=8-3</v>
      </c>
      <c r="F5581" t="s">
        <v>3850</v>
      </c>
      <c r="G5581" t="e">
        <f ca="1">_xludf.IMAGE("https://edmondsonsupply.com/cdn/shop/files/2912-20_1.webp?v=1686934956")</f>
        <v>#NAME?</v>
      </c>
      <c r="H5581" t="e">
        <f ca="1">_xludf.IMAGE("https://m.media-amazon.com/images/I/615tfbdfVfL._AC_UL320_.jpg")</f>
        <v>#NAME?</v>
      </c>
      <c r="I5581" t="s">
        <v>3851</v>
      </c>
      <c r="J5581">
        <v>719</v>
      </c>
      <c r="K5581" s="4">
        <v>0.20030000000000001</v>
      </c>
      <c r="L5581">
        <v>4.2</v>
      </c>
      <c r="M5581">
        <v>21</v>
      </c>
      <c r="O5581" t="s">
        <v>25</v>
      </c>
      <c r="P5581" t="s">
        <v>3852</v>
      </c>
      <c r="Q5581" t="s">
        <v>3853</v>
      </c>
    </row>
    <row r="5582" spans="1:17" ht="15.5" x14ac:dyDescent="0.35">
      <c r="A5582"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5582" s="3" t="str">
        <f>HYPERLINK("https://edmondsonsupply.com/products/klein-tools-d502-10-pump-pliers-10-inch", "https://edmondsonsupply.com/products/klein-tools-d502-10-pump-pliers-10-inch")</f>
        <v>https://edmondsonsupply.com/products/klein-tools-d502-10-pump-pliers-10-inch</v>
      </c>
      <c r="C5582" t="s">
        <v>6607</v>
      </c>
      <c r="D5582" t="s">
        <v>7501</v>
      </c>
      <c r="E5582" s="3" t="str">
        <f>HYPERLINK("https://www.amazon.com/Classic-10-Inch-Klein-Tools-D504-10/dp/B00BJ4ORCI/ref=sr_1_6?keywords=Klein+Tools+D502-10+Pump+Pliers%2C+10-Inch&amp;qid=1695174291&amp;sr=8-6", "https://www.amazon.com/Classic-10-Inch-Klein-Tools-D504-10/dp/B00BJ4ORCI/ref=sr_1_6?keywords=Klein+Tools+D502-10+Pump+Pliers%2C+10-Inch&amp;qid=1695174291&amp;sr=8-6")</f>
        <v>https://www.amazon.com/Classic-10-Inch-Klein-Tools-D504-10/dp/B00BJ4ORCI/ref=sr_1_6?keywords=Klein+Tools+D502-10+Pump+Pliers%2C+10-Inch&amp;qid=1695174291&amp;sr=8-6</v>
      </c>
      <c r="F5582" t="s">
        <v>7502</v>
      </c>
      <c r="G5582" t="e">
        <f ca="1">_xludf.IMAGE("https://edmondsonsupply.com/cdn/shop/products/d50210_alt1.jpg?v=1633030884")</f>
        <v>#NAME?</v>
      </c>
      <c r="H5582" t="e">
        <f ca="1">_xludf.IMAGE("https://m.media-amazon.com/images/I/41rrivMv9dL._AC_UL320_.jpg")</f>
        <v>#NAME?</v>
      </c>
      <c r="I5582" t="s">
        <v>471</v>
      </c>
      <c r="J5582">
        <v>29.99</v>
      </c>
      <c r="K5582" s="4">
        <v>0.2001</v>
      </c>
      <c r="L5582">
        <v>4.7</v>
      </c>
      <c r="M5582">
        <v>622</v>
      </c>
      <c r="O5582" t="s">
        <v>25</v>
      </c>
      <c r="P5582" t="s">
        <v>6610</v>
      </c>
      <c r="Q5582" t="s">
        <v>6611</v>
      </c>
    </row>
    <row r="5583" spans="1:17" ht="15.5" x14ac:dyDescent="0.35">
      <c r="A5583"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5583"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5583" t="s">
        <v>2155</v>
      </c>
      <c r="D5583" t="s">
        <v>3854</v>
      </c>
      <c r="E5583" s="3" t="str">
        <f>HYPERLINK("https://www.amazon.com/Klein-Tools-80077-Electronic-Non-Contact/dp/B0B11F7Q69/ref=sr_1_8?keywords=Klein+Tools+NCVT1XTKIT+Non-Contact+Voltage+and+GFCI+Receptacle+Premium+Test+Kit&amp;qid=1695173872&amp;sr=8-8", "https://www.amazon.com/Klein-Tools-80077-Electronic-Non-Contact/dp/B0B11F7Q69/ref=sr_1_8?keywords=Klein+Tools+NCVT1XTKIT+Non-Contact+Voltage+and+GFCI+Receptacle+Premium+Test+Kit&amp;qid=1695173872&amp;sr=8-8")</f>
        <v>https://www.amazon.com/Klein-Tools-80077-Electronic-Non-Contact/dp/B0B11F7Q69/ref=sr_1_8?keywords=Klein+Tools+NCVT1XTKIT+Non-Contact+Voltage+and+GFCI+Receptacle+Premium+Test+Kit&amp;qid=1695173872&amp;sr=8-8</v>
      </c>
      <c r="F5583" t="s">
        <v>3855</v>
      </c>
      <c r="G5583" t="e">
        <f ca="1">_xludf.IMAGE("https://edmondsonsupply.com/cdn/shop/products/ncvt1xtkit.jpg?v=1674497102")</f>
        <v>#NAME?</v>
      </c>
      <c r="H5583" t="e">
        <f ca="1">_xludf.IMAGE("https://m.media-amazon.com/images/I/51cU3aEkbCL._AC_UL320_.jpg")</f>
        <v>#NAME?</v>
      </c>
      <c r="I5583" t="s">
        <v>471</v>
      </c>
      <c r="J5583">
        <v>29.99</v>
      </c>
      <c r="K5583" s="4">
        <v>0.2001</v>
      </c>
      <c r="L5583">
        <v>4.5999999999999996</v>
      </c>
      <c r="M5583">
        <v>183</v>
      </c>
      <c r="O5583" t="s">
        <v>25</v>
      </c>
      <c r="P5583" t="s">
        <v>2158</v>
      </c>
      <c r="Q5583" t="s">
        <v>2159</v>
      </c>
    </row>
    <row r="5584" spans="1:17" ht="15.5" x14ac:dyDescent="0.35">
      <c r="A5584"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5584" s="3" t="str">
        <f>HYPERLINK("https://edmondsonsupply.com/products/klein-tools-d507-8-adjustable-wrench-extra-capacity-8-inch", "https://edmondsonsupply.com/products/klein-tools-d507-8-adjustable-wrench-extra-capacity-8-inch")</f>
        <v>https://edmondsonsupply.com/products/klein-tools-d507-8-adjustable-wrench-extra-capacity-8-inch</v>
      </c>
      <c r="C5584" t="s">
        <v>6699</v>
      </c>
      <c r="D5584" t="s">
        <v>7503</v>
      </c>
      <c r="E5584" s="3" t="str">
        <f>HYPERLINK("https://www.amazon.com/Adjustable-Capacity-Klein-Tools-D507-10/dp/B000ALGRG0/ref=sr_1_4?keywords=Klein+Tools+D507-8+Adjustable+Wrench%2C+Extra+Capacity+8-Inch&amp;qid=1695173949&amp;sr=8-4", "https://www.amazon.com/Adjustable-Capacity-Klein-Tools-D507-10/dp/B000ALGRG0/ref=sr_1_4?keywords=Klein+Tools+D507-8+Adjustable+Wrench%2C+Extra+Capacity+8-Inch&amp;qid=1695173949&amp;sr=8-4")</f>
        <v>https://www.amazon.com/Adjustable-Capacity-Klein-Tools-D507-10/dp/B000ALGRG0/ref=sr_1_4?keywords=Klein+Tools+D507-8+Adjustable+Wrench%2C+Extra+Capacity+8-Inch&amp;qid=1695173949&amp;sr=8-4</v>
      </c>
      <c r="F5584" t="s">
        <v>7504</v>
      </c>
      <c r="G5584" t="e">
        <f ca="1">_xludf.IMAGE("https://edmondsonsupply.com/cdn/shop/products/d5078_b.jpg?v=1666010497")</f>
        <v>#NAME?</v>
      </c>
      <c r="H5584" t="e">
        <f ca="1">_xludf.IMAGE("https://m.media-amazon.com/images/I/51G2nXuUvrL._AC_UL320_.jpg")</f>
        <v>#NAME?</v>
      </c>
      <c r="I5584" t="s">
        <v>26</v>
      </c>
      <c r="J5584">
        <v>35.99</v>
      </c>
      <c r="K5584" s="4">
        <v>0.2001</v>
      </c>
      <c r="L5584">
        <v>4.8</v>
      </c>
      <c r="M5584">
        <v>497</v>
      </c>
      <c r="O5584" t="s">
        <v>25</v>
      </c>
      <c r="P5584" t="s">
        <v>1327</v>
      </c>
      <c r="Q5584" t="s">
        <v>6700</v>
      </c>
    </row>
    <row r="5585" spans="1:17" ht="15.5" x14ac:dyDescent="0.35">
      <c r="A5585"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5585" s="3" t="str">
        <f>HYPERLINK("https://edmondsonsupply.com/products/klein-tools-d507-8-adjustable-wrench-extra-capacity-8-inch", "https://edmondsonsupply.com/products/klein-tools-d507-8-adjustable-wrench-extra-capacity-8-inch")</f>
        <v>https://edmondsonsupply.com/products/klein-tools-d507-8-adjustable-wrench-extra-capacity-8-inch</v>
      </c>
      <c r="C5585" t="s">
        <v>6699</v>
      </c>
      <c r="D5585" t="s">
        <v>7505</v>
      </c>
      <c r="E5585" s="3" t="str">
        <f>HYPERLINK("https://www.amazon.com/Klein-Tools-507-10-Adjustable-Extra-Capacity/dp/B001BQ0DZE/ref=sr_1_9?keywords=Klein+Tools+D507-8+Adjustable+Wrench%2C+Extra+Capacity+8-Inch&amp;qid=1695173949&amp;sr=8-9", "https://www.amazon.com/Klein-Tools-507-10-Adjustable-Extra-Capacity/dp/B001BQ0DZE/ref=sr_1_9?keywords=Klein+Tools+D507-8+Adjustable+Wrench%2C+Extra+Capacity+8-Inch&amp;qid=1695173949&amp;sr=8-9")</f>
        <v>https://www.amazon.com/Klein-Tools-507-10-Adjustable-Extra-Capacity/dp/B001BQ0DZE/ref=sr_1_9?keywords=Klein+Tools+D507-8+Adjustable+Wrench%2C+Extra+Capacity+8-Inch&amp;qid=1695173949&amp;sr=8-9</v>
      </c>
      <c r="F5585" t="s">
        <v>7506</v>
      </c>
      <c r="G5585" t="e">
        <f ca="1">_xludf.IMAGE("https://edmondsonsupply.com/cdn/shop/products/d5078_b.jpg?v=1666010497")</f>
        <v>#NAME?</v>
      </c>
      <c r="H5585" t="e">
        <f ca="1">_xludf.IMAGE("https://m.media-amazon.com/images/I/41QFoeMz0WL._AC_UL320_.jpg")</f>
        <v>#NAME?</v>
      </c>
      <c r="I5585" t="s">
        <v>26</v>
      </c>
      <c r="J5585">
        <v>35.99</v>
      </c>
      <c r="K5585" s="4">
        <v>0.2001</v>
      </c>
      <c r="L5585">
        <v>4.7</v>
      </c>
      <c r="M5585">
        <v>20</v>
      </c>
      <c r="O5585" t="s">
        <v>25</v>
      </c>
      <c r="P5585" t="s">
        <v>1327</v>
      </c>
      <c r="Q5585" t="s">
        <v>6700</v>
      </c>
    </row>
    <row r="5586" spans="1:17" ht="15.5" x14ac:dyDescent="0.35">
      <c r="A5586"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5586" s="3" t="str">
        <f>HYPERLINK("https://edmondsonsupply.com/products/klein-tools-31902-bi-metal-hole-saw-kit-8-piece", "https://edmondsonsupply.com/products/klein-tools-31902-bi-metal-hole-saw-kit-8-piece")</f>
        <v>https://edmondsonsupply.com/products/klein-tools-31902-bi-metal-hole-saw-kit-8-piece</v>
      </c>
      <c r="C5586" t="s">
        <v>6259</v>
      </c>
      <c r="D5586" t="s">
        <v>6481</v>
      </c>
      <c r="E5586" s="3" t="str">
        <f>HYPERLINK("https://www.amazon.com/Carbide-Cutter-Klein-Tools-31872/dp/B003CCR97A/ref=sr_1_4?keywords=Klein+Tools+31902+Bi-Metal+Hole+Saw+Kit%2C+8-Piece&amp;qid=1695174040&amp;sr=8-4", "https://www.amazon.com/Carbide-Cutter-Klein-Tools-31872/dp/B003CCR97A/ref=sr_1_4?keywords=Klein+Tools+31902+Bi-Metal+Hole+Saw+Kit%2C+8-Piece&amp;qid=1695174040&amp;sr=8-4")</f>
        <v>https://www.amazon.com/Carbide-Cutter-Klein-Tools-31872/dp/B003CCR97A/ref=sr_1_4?keywords=Klein+Tools+31902+Bi-Metal+Hole+Saw+Kit%2C+8-Piece&amp;qid=1695174040&amp;sr=8-4</v>
      </c>
      <c r="F5586" t="s">
        <v>6482</v>
      </c>
      <c r="G5586" t="e">
        <f ca="1">_xludf.IMAGE("https://edmondsonsupply.com/cdn/shop/products/31902.jpg?v=1679665390")</f>
        <v>#NAME?</v>
      </c>
      <c r="H5586" t="e">
        <f ca="1">_xludf.IMAGE("https://m.media-amazon.com/images/I/61oX7BDmtJL._AC_UL320_.jpg")</f>
        <v>#NAME?</v>
      </c>
      <c r="I5586" t="s">
        <v>320</v>
      </c>
      <c r="J5586">
        <v>89.99</v>
      </c>
      <c r="K5586" s="4">
        <v>0.2</v>
      </c>
      <c r="L5586">
        <v>4.7</v>
      </c>
      <c r="M5586">
        <v>929</v>
      </c>
      <c r="O5586" t="s">
        <v>25</v>
      </c>
      <c r="P5586" t="s">
        <v>6260</v>
      </c>
      <c r="Q5586" t="s">
        <v>6261</v>
      </c>
    </row>
    <row r="5587" spans="1:17" ht="15.5" x14ac:dyDescent="0.35">
      <c r="A5587"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5587"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5587" t="s">
        <v>6861</v>
      </c>
      <c r="D5587" t="s">
        <v>7507</v>
      </c>
      <c r="E5587" s="3" t="str">
        <f>HYPERLINK("https://www.amazon.com/Klein-Tools-Auto-Ranging-Resistance-Continuity/dp/B0BC885SQJ/ref=sr_1_5?keywords=Klein+Tools+CL220+Digital+Clamp+Meter%2C+AC+Auto-Ranging+400+Amp+with+Temp&amp;qid=1695174305&amp;sr=8-5", "https://www.amazon.com/Klein-Tools-Auto-Ranging-Resistance-Continuity/dp/B0BC885SQJ/ref=sr_1_5?keywords=Klein+Tools+CL220+Digital+Clamp+Meter%2C+AC+Auto-Ranging+400+Amp+with+Temp&amp;qid=1695174305&amp;sr=8-5")</f>
        <v>https://www.amazon.com/Klein-Tools-Auto-Ranging-Resistance-Continuity/dp/B0BC885SQJ/ref=sr_1_5?keywords=Klein+Tools+CL220+Digital+Clamp+Meter%2C+AC+Auto-Ranging+400+Amp+with+Temp&amp;qid=1695174305&amp;sr=8-5</v>
      </c>
      <c r="F5587" t="s">
        <v>7508</v>
      </c>
      <c r="G5587" t="e">
        <f ca="1">_xludf.IMAGE("https://edmondsonsupply.com/cdn/shop/products/cl220.jpg?v=1633030821")</f>
        <v>#NAME?</v>
      </c>
      <c r="H5587" t="e">
        <f ca="1">_xludf.IMAGE("https://m.media-amazon.com/images/I/51eYCwafd6L._AC_UY218_.jpg")</f>
        <v>#NAME?</v>
      </c>
      <c r="I5587" t="s">
        <v>356</v>
      </c>
      <c r="J5587">
        <v>83.96</v>
      </c>
      <c r="K5587" s="4">
        <v>0.19989999999999999</v>
      </c>
      <c r="L5587">
        <v>4</v>
      </c>
      <c r="M5587">
        <v>1</v>
      </c>
      <c r="O5587" t="s">
        <v>25</v>
      </c>
      <c r="P5587" t="s">
        <v>6864</v>
      </c>
      <c r="Q5587" t="s">
        <v>6865</v>
      </c>
    </row>
    <row r="5588" spans="1:17" ht="15.5" x14ac:dyDescent="0.35">
      <c r="A5588" s="3" t="str">
        <f>HYPERLINK("https://edmondsonsupply.com/collections/electricians-tools/products/klein-tools-et180-digital-differential-manometer", "https://edmondsonsupply.com/collections/electricians-tools/products/klein-tools-et180-digital-differential-manometer")</f>
        <v>https://edmondsonsupply.com/collections/electricians-tools/products/klein-tools-et180-digital-differential-manometer</v>
      </c>
      <c r="B5588" s="3" t="str">
        <f>HYPERLINK("https://edmondsonsupply.com/products/klein-tools-et180-digital-differential-manometer", "https://edmondsonsupply.com/products/klein-tools-et180-digital-differential-manometer")</f>
        <v>https://edmondsonsupply.com/products/klein-tools-et180-digital-differential-manometer</v>
      </c>
      <c r="C5588" t="s">
        <v>7509</v>
      </c>
      <c r="D5588" t="s">
        <v>7510</v>
      </c>
      <c r="E5588" s="3" t="str">
        <f>HYPERLINK("https://www.amazon.com/Manometer-Differential-Klein-Tools-Thermometer/dp/B0BD3TD1X3/ref=sr_1_2?keywords=Klein+Tools+ET180+Digital+Differential+Manometer&amp;qid=1695173879&amp;sr=8-2", "https://www.amazon.com/Manometer-Differential-Klein-Tools-Thermometer/dp/B0BD3TD1X3/ref=sr_1_2?keywords=Klein+Tools+ET180+Digital+Differential+Manometer&amp;qid=1695173879&amp;sr=8-2")</f>
        <v>https://www.amazon.com/Manometer-Differential-Klein-Tools-Thermometer/dp/B0BD3TD1X3/ref=sr_1_2?keywords=Klein+Tools+ET180+Digital+Differential+Manometer&amp;qid=1695173879&amp;sr=8-2</v>
      </c>
      <c r="F5588" t="s">
        <v>7511</v>
      </c>
      <c r="G5588" t="e">
        <f ca="1">_xludf.IMAGE("https://edmondsonsupply.com/cdn/shop/products/et180.jpg?v=1664390112")</f>
        <v>#NAME?</v>
      </c>
      <c r="H5588" t="e">
        <f ca="1">_xludf.IMAGE("https://m.media-amazon.com/images/I/51-5iG6Yo-L._AC_UY218_.jpg")</f>
        <v>#NAME?</v>
      </c>
      <c r="I5588" t="s">
        <v>7512</v>
      </c>
      <c r="J5588">
        <v>131.97999999999999</v>
      </c>
      <c r="K5588" s="4">
        <v>0.19989999999999999</v>
      </c>
      <c r="L5588">
        <v>5</v>
      </c>
      <c r="M5588">
        <v>2</v>
      </c>
      <c r="O5588" t="s">
        <v>25</v>
      </c>
      <c r="P5588" t="s">
        <v>7513</v>
      </c>
      <c r="Q5588" t="s">
        <v>7514</v>
      </c>
    </row>
    <row r="5589" spans="1:17" ht="15.5" x14ac:dyDescent="0.35">
      <c r="A5589" s="3" t="str">
        <f>HYPERLINK("https://edmondsonsupply.com/collections/electricians-tools/products/klein-tools-mm720-digital-multimeter-trms-auto-ranging-1000v-temp-low-impedance", "https://edmondsonsupply.com/collections/electricians-tools/products/klein-tools-mm720-digital-multimeter-trms-auto-ranging-1000v-temp-low-impedance")</f>
        <v>https://edmondsonsupply.com/collections/electricians-tools/products/klein-tools-mm720-digital-multimeter-trms-auto-ranging-1000v-temp-low-impedance</v>
      </c>
      <c r="B5589" s="3" t="str">
        <f>HYPERLINK("https://edmondsonsupply.com/products/klein-tools-mm720-digital-multimeter-trms-auto-ranging-1000v-temp-low-impedance", "https://edmondsonsupply.com/products/klein-tools-mm720-digital-multimeter-trms-auto-ranging-1000v-temp-low-impedance")</f>
        <v>https://edmondsonsupply.com/products/klein-tools-mm720-digital-multimeter-trms-auto-ranging-1000v-temp-low-impedance</v>
      </c>
      <c r="C5589" t="s">
        <v>3861</v>
      </c>
      <c r="D5589" t="s">
        <v>1527</v>
      </c>
      <c r="E5589" s="3" t="str">
        <f>HYPERLINK("https://www.amazon.com/Klein-Tools-Auto-Ranging-MOhms-Resistance-Replacement/dp/B0C7QB94HG/ref=sr_1_3?keywords=Klein+Tools+MM720+Digital+Multimeter%2C+TRMS+Auto-Ranging%2C+1000V%2C+Temp%2C+Low+Impedance&amp;qid=1695173869&amp;sr=8-3", "https://www.amazon.com/Klein-Tools-Auto-Ranging-MOhms-Resistance-Replacement/dp/B0C7QB94HG/ref=sr_1_3?keywords=Klein+Tools+MM720+Digital+Multimeter%2C+TRMS+Auto-Ranging%2C+1000V%2C+Temp%2C+Low+Impedance&amp;qid=1695173869&amp;sr=8-3")</f>
        <v>https://www.amazon.com/Klein-Tools-Auto-Ranging-MOhms-Resistance-Replacement/dp/B0C7QB94HG/ref=sr_1_3?keywords=Klein+Tools+MM720+Digital+Multimeter%2C+TRMS+Auto-Ranging%2C+1000V%2C+Temp%2C+Low+Impedance&amp;qid=1695173869&amp;sr=8-3</v>
      </c>
      <c r="F5589" t="s">
        <v>1528</v>
      </c>
      <c r="G5589" t="e">
        <f ca="1">_xludf.IMAGE("https://edmondsonsupply.com/cdn/shop/products/mm720.jpg?v=1663609402")</f>
        <v>#NAME?</v>
      </c>
      <c r="H5589" t="e">
        <f ca="1">_xludf.IMAGE("https://m.media-amazon.com/images/I/51iZGkiWnZL._AC_UL320_.jpg")</f>
        <v>#NAME?</v>
      </c>
      <c r="I5589" t="s">
        <v>545</v>
      </c>
      <c r="J5589">
        <v>119.94</v>
      </c>
      <c r="K5589" s="4">
        <v>0.19980000000000001</v>
      </c>
      <c r="L5589">
        <v>5</v>
      </c>
      <c r="M5589">
        <v>1</v>
      </c>
      <c r="O5589" t="s">
        <v>25</v>
      </c>
      <c r="P5589" t="s">
        <v>3862</v>
      </c>
      <c r="Q5589" t="s">
        <v>3863</v>
      </c>
    </row>
    <row r="5590" spans="1:17" ht="15.5" x14ac:dyDescent="0.35">
      <c r="A5590" s="3" t="str">
        <f>HYPERLINK("https://edmondsonsupply.com/collections/electricians-tools/products/klein-tools-85153k-slotted-screw-holding-driver-kit-3-16-inch-and-1-4-inch", "https://edmondsonsupply.com/collections/electricians-tools/products/klein-tools-85153k-slotted-screw-holding-driver-kit-3-16-inch-and-1-4-inch")</f>
        <v>https://edmondsonsupply.com/collections/electricians-tools/products/klein-tools-85153k-slotted-screw-holding-driver-kit-3-16-inch-and-1-4-inch</v>
      </c>
      <c r="B5590"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5590" t="s">
        <v>3864</v>
      </c>
      <c r="D5590" t="s">
        <v>3865</v>
      </c>
      <c r="E5590" s="3" t="str">
        <f>HYPERLINK("https://www.amazon.com/Klein-Tools-85153K-Screw-Holding-Screwdriver/dp/B0CFRP1K3L/ref=sr_1_1?keywords=Klein+Tools+85153K+Slotted+Screw+Holding+Driver+Kit%2C+3%2F16-Inch+and+1%2F4-Inch&amp;qid=1695173961&amp;sr=8-1", "https://www.amazon.com/Klein-Tools-85153K-Screw-Holding-Screwdriver/dp/B0CFRP1K3L/ref=sr_1_1?keywords=Klein+Tools+85153K+Slotted+Screw+Holding+Driver+Kit%2C+3%2F16-Inch+and+1%2F4-Inch&amp;qid=1695173961&amp;sr=8-1")</f>
        <v>https://www.amazon.com/Klein-Tools-85153K-Screw-Holding-Screwdriver/dp/B0CFRP1K3L/ref=sr_1_1?keywords=Klein+Tools+85153K+Slotted+Screw+Holding+Driver+Kit%2C+3%2F16-Inch+and+1%2F4-Inch&amp;qid=1695173961&amp;sr=8-1</v>
      </c>
      <c r="F5590" t="s">
        <v>3866</v>
      </c>
      <c r="G5590" t="e">
        <f ca="1">_xludf.IMAGE("https://edmondsonsupply.com/cdn/shop/files/85153k.jpg?v=1693933663")</f>
        <v>#NAME?</v>
      </c>
      <c r="H5590" t="e">
        <f ca="1">_xludf.IMAGE("https://m.media-amazon.com/images/I/41KoRmOkBpL._AC_UL320_.jpg")</f>
        <v>#NAME?</v>
      </c>
      <c r="I5590" t="s">
        <v>3867</v>
      </c>
      <c r="J5590">
        <v>23.97</v>
      </c>
      <c r="K5590" s="4">
        <v>0.19969999999999999</v>
      </c>
      <c r="L5590">
        <v>5</v>
      </c>
      <c r="M5590">
        <v>1</v>
      </c>
      <c r="O5590" t="s">
        <v>25</v>
      </c>
      <c r="P5590" t="s">
        <v>3068</v>
      </c>
      <c r="Q5590" t="s">
        <v>3868</v>
      </c>
    </row>
    <row r="5591" spans="1:17" ht="15.5" x14ac:dyDescent="0.35">
      <c r="A5591"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5591"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5591" t="s">
        <v>6146</v>
      </c>
      <c r="D5591" t="s">
        <v>1521</v>
      </c>
      <c r="E5591" s="3" t="str">
        <f>HYPERLINK("https://www.amazon.com/Klein-Tools-Screwdriver-Demagnetizer-Magnetizer/dp/B0BXK8RB9N/ref=sr_1_5?keywords=Klein+Tools+32288+8-in-1+Insulated+Interchangeable+Screwdriver+Set&amp;qid=1695173864&amp;sr=8-5", "https://www.amazon.com/Klein-Tools-Screwdriver-Demagnetizer-Magnetizer/dp/B0BXK8RB9N/ref=sr_1_5?keywords=Klein+Tools+32288+8-in-1+Insulated+Interchangeable+Screwdriver+Set&amp;qid=1695173864&amp;sr=8-5")</f>
        <v>https://www.amazon.com/Klein-Tools-Screwdriver-Demagnetizer-Magnetizer/dp/B0BXK8RB9N/ref=sr_1_5?keywords=Klein+Tools+32288+8-in-1+Insulated+Interchangeable+Screwdriver+Set&amp;qid=1695173864&amp;sr=8-5</v>
      </c>
      <c r="F5591" t="s">
        <v>1522</v>
      </c>
      <c r="G5591" t="e">
        <f ca="1">_xludf.IMAGE("https://edmondsonsupply.com/cdn/shop/products/32288.jpg?v=1587146849")</f>
        <v>#NAME?</v>
      </c>
      <c r="H5591" t="e">
        <f ca="1">_xludf.IMAGE("https://m.media-amazon.com/images/I/51OwgO9uq9L._AC_UL320_.jpg")</f>
        <v>#NAME?</v>
      </c>
      <c r="I5591" t="s">
        <v>1931</v>
      </c>
      <c r="J5591">
        <v>59.96</v>
      </c>
      <c r="K5591" s="4">
        <v>0.19939999999999999</v>
      </c>
      <c r="L5591">
        <v>4.5</v>
      </c>
      <c r="M5591">
        <v>11</v>
      </c>
      <c r="O5591" t="s">
        <v>25</v>
      </c>
      <c r="P5591" t="s">
        <v>1114</v>
      </c>
      <c r="Q5591" t="s">
        <v>6149</v>
      </c>
    </row>
    <row r="5592" spans="1:17" ht="15.5" x14ac:dyDescent="0.35">
      <c r="A5592" s="3" t="str">
        <f>HYPERLINK("https://edmondsonsupply.com/collections/electricians-tools/products/klein-tools-56048-rechargeable-headlamp-with-strap-400-lumen-all-day-runtime-auto-off", "https://edmondsonsupply.com/collections/electricians-tools/products/klein-tools-56048-rechargeable-headlamp-with-strap-400-lumen-all-day-runtime-auto-off")</f>
        <v>https://edmondsonsupply.com/collections/electricians-tools/products/klein-tools-56048-rechargeable-headlamp-with-strap-400-lumen-all-day-runtime-auto-off</v>
      </c>
      <c r="B5592"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5592" t="s">
        <v>1034</v>
      </c>
      <c r="D5592" t="s">
        <v>934</v>
      </c>
      <c r="E5592" s="3" t="str">
        <f>HYPERLINK("https://www.amazon.com/Klein-Tools-Rechargeable-Auto-Off-Headlamp/dp/B09Z932C3Z/ref=sr_1_4?keywords=Klein+Tools+56048+Rechargeable+Headlamp+with+Fabric+Strap%2C+400+Lumens%2C+All-Day+Runtime&amp;qid=1695173981&amp;sr=8-4", "https://www.amazon.com/Klein-Tools-Rechargeable-Auto-Off-Headlamp/dp/B09Z932C3Z/ref=sr_1_4?keywords=Klein+Tools+56048+Rechargeable+Headlamp+with+Fabric+Strap%2C+400+Lumens%2C+All-Day+Runtime&amp;qid=1695173981&amp;sr=8-4")</f>
        <v>https://www.amazon.com/Klein-Tools-Rechargeable-Auto-Off-Headlamp/dp/B09Z932C3Z/ref=sr_1_4?keywords=Klein+Tools+56048+Rechargeable+Headlamp+with+Fabric+Strap%2C+400+Lumens%2C+All-Day+Runtime&amp;qid=1695173981&amp;sr=8-4</v>
      </c>
      <c r="F5592" t="s">
        <v>935</v>
      </c>
      <c r="G5592" t="e">
        <f ca="1">_xludf.IMAGE("https://edmondsonsupply.com/cdn/shop/products/56048.jpg?v=1633030457")</f>
        <v>#NAME?</v>
      </c>
      <c r="H5592" t="e">
        <f ca="1">_xludf.IMAGE("https://m.media-amazon.com/images/I/51-nHtYlwEL._AC_UL320_.jpg")</f>
        <v>#NAME?</v>
      </c>
      <c r="I5592" t="s">
        <v>246</v>
      </c>
      <c r="J5592">
        <v>47.94</v>
      </c>
      <c r="K5592" s="4">
        <v>0.19939999999999999</v>
      </c>
      <c r="L5592">
        <v>5</v>
      </c>
      <c r="M5592">
        <v>1</v>
      </c>
      <c r="O5592" t="s">
        <v>25</v>
      </c>
      <c r="P5592" t="s">
        <v>1032</v>
      </c>
      <c r="Q5592" t="s">
        <v>1035</v>
      </c>
    </row>
    <row r="5593" spans="1:17" ht="15.5" x14ac:dyDescent="0.35">
      <c r="A5593" s="3" t="str">
        <f>HYPERLINK("https://edmondsonsupply.com/collections/electricians-tools/products/klein-tools-56064-klein-tools-%C2%AE-new-rechargeable-headlamp-offers-multiple-modes-to-fit-any-task", "https://edmondsonsupply.com/collections/electricians-tools/products/klein-tools-56064-klein-tools-%C2%AE-new-rechargeable-headlamp-offers-multiple-modes-to-fit-any-task")</f>
        <v>https://edmondsonsupply.com/collections/electricians-tools/products/klein-tools-56064-klein-tools-%C2%AE-new-rechargeable-headlamp-offers-multiple-modes-to-fit-any-task</v>
      </c>
      <c r="B5593" s="3" t="str">
        <f>HYPERLINK("https://edmondsonsupply.com/products/klein-tools-56064-klein-tools-%c2%ae-new-rechargeable-headlamp-offers-multiple-modes-to-fit-any-task", "https://edmondsonsupply.com/products/klein-tools-56064-klein-tools-%c2%ae-new-rechargeable-headlamp-offers-multiple-modes-to-fit-any-task")</f>
        <v>https://edmondsonsupply.com/products/klein-tools-56064-klein-tools-%c2%ae-new-rechargeable-headlamp-offers-multiple-modes-to-fit-any-task</v>
      </c>
      <c r="C5593" t="s">
        <v>1031</v>
      </c>
      <c r="D5593" t="s">
        <v>934</v>
      </c>
      <c r="E5593" s="3" t="str">
        <f>HYPERLINK("https://www.amazon.com/Klein-Tools-Rechargeable-Auto-Off-Headlamp/dp/B09Z932C3Z/ref=sr_1_2?keywords=Klein+Tools+56064+Rechargeable+Headlamp+with+Silicone+Strap%2C+400+Lumens%2C+All-Day+Runtime&amp;qid=1695174177&amp;sr=8-2", "https://www.amazon.com/Klein-Tools-Rechargeable-Auto-Off-Headlamp/dp/B09Z932C3Z/ref=sr_1_2?keywords=Klein+Tools+56064+Rechargeable+Headlamp+with+Silicone+Strap%2C+400+Lumens%2C+All-Day+Runtime&amp;qid=1695174177&amp;sr=8-2")</f>
        <v>https://www.amazon.com/Klein-Tools-Rechargeable-Auto-Off-Headlamp/dp/B09Z932C3Z/ref=sr_1_2?keywords=Klein+Tools+56064+Rechargeable+Headlamp+with+Silicone+Strap%2C+400+Lumens%2C+All-Day+Runtime&amp;qid=1695174177&amp;sr=8-2</v>
      </c>
      <c r="F5593" t="s">
        <v>935</v>
      </c>
      <c r="G5593" t="e">
        <f ca="1">_xludf.IMAGE("https://edmondsonsupply.com/cdn/shop/products/56064.png?v=1661362879")</f>
        <v>#NAME?</v>
      </c>
      <c r="H5593" t="e">
        <f ca="1">_xludf.IMAGE("https://m.media-amazon.com/images/I/51-nHtYlwEL._AC_UL320_.jpg")</f>
        <v>#NAME?</v>
      </c>
      <c r="I5593" t="s">
        <v>246</v>
      </c>
      <c r="J5593">
        <v>47.94</v>
      </c>
      <c r="K5593" s="4">
        <v>0.19939999999999999</v>
      </c>
      <c r="L5593">
        <v>5</v>
      </c>
      <c r="M5593">
        <v>1</v>
      </c>
      <c r="O5593" t="s">
        <v>25</v>
      </c>
      <c r="P5593" t="s">
        <v>1032</v>
      </c>
      <c r="Q5593" t="s">
        <v>1033</v>
      </c>
    </row>
    <row r="5594" spans="1:17" ht="15.5" x14ac:dyDescent="0.35">
      <c r="A5594"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5594" s="3" t="str">
        <f>HYPERLINK("https://edmondsonsupply.com/products/klein-tools-d502-10-pump-pliers-10-inch", "https://edmondsonsupply.com/products/klein-tools-d502-10-pump-pliers-10-inch")</f>
        <v>https://edmondsonsupply.com/products/klein-tools-d502-10-pump-pliers-10-inch</v>
      </c>
      <c r="C5594" t="s">
        <v>6607</v>
      </c>
      <c r="D5594" t="s">
        <v>5142</v>
      </c>
      <c r="E5594" s="3" t="str">
        <f>HYPERLINK("https://www.amazon.com/Adjustable-Material-Klein-Tools-J502-10/dp/B00093D51Y/ref=sr_1_7?keywords=Klein+Tools+D502-10+Pump+Pliers%2C+10-Inch&amp;qid=1695174291&amp;sr=8-7", "https://www.amazon.com/Adjustable-Material-Klein-Tools-J502-10/dp/B00093D51Y/ref=sr_1_7?keywords=Klein+Tools+D502-10+Pump+Pliers%2C+10-Inch&amp;qid=1695174291&amp;sr=8-7")</f>
        <v>https://www.amazon.com/Adjustable-Material-Klein-Tools-J502-10/dp/B00093D51Y/ref=sr_1_7?keywords=Klein+Tools+D502-10+Pump+Pliers%2C+10-Inch&amp;qid=1695174291&amp;sr=8-7</v>
      </c>
      <c r="F5594" t="s">
        <v>5143</v>
      </c>
      <c r="G5594" t="e">
        <f ca="1">_xludf.IMAGE("https://edmondsonsupply.com/cdn/shop/products/d50210_alt1.jpg?v=1633030884")</f>
        <v>#NAME?</v>
      </c>
      <c r="H5594" t="e">
        <f ca="1">_xludf.IMAGE("https://m.media-amazon.com/images/I/51+llp-35wL._AC_UL320_.jpg")</f>
        <v>#NAME?</v>
      </c>
      <c r="I5594" t="s">
        <v>471</v>
      </c>
      <c r="J5594">
        <v>29.97</v>
      </c>
      <c r="K5594" s="4">
        <v>0.1993</v>
      </c>
      <c r="L5594">
        <v>4.5999999999999996</v>
      </c>
      <c r="M5594">
        <v>365</v>
      </c>
      <c r="O5594" t="s">
        <v>25</v>
      </c>
      <c r="P5594" t="s">
        <v>6610</v>
      </c>
      <c r="Q5594" t="s">
        <v>6611</v>
      </c>
    </row>
    <row r="5595" spans="1:17" ht="15.5" x14ac:dyDescent="0.35">
      <c r="A5595"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5595" s="3" t="str">
        <f>HYPERLINK("https://edmondsonsupply.com/products/klein-tools-ir07-dual-ir-probe-thermometer", "https://edmondsonsupply.com/products/klein-tools-ir07-dual-ir-probe-thermometer")</f>
        <v>https://edmondsonsupply.com/products/klein-tools-ir07-dual-ir-probe-thermometer</v>
      </c>
      <c r="C5595" t="s">
        <v>2948</v>
      </c>
      <c r="D5595" t="s">
        <v>3869</v>
      </c>
      <c r="E5595" s="3" t="str">
        <f>HYPERLINK("https://www.amazon.com/Klein-Tools-Thermometer-Screwdriver-Adjustable/dp/B0BNL7N5NM/ref=sr_1_3?keywords=Klein+Tools+IR07+Dual+IR%2FProbe+Thermometer&amp;qid=1695173956&amp;sr=8-3", "https://www.amazon.com/Klein-Tools-Thermometer-Screwdriver-Adjustable/dp/B0BNL7N5NM/ref=sr_1_3?keywords=Klein+Tools+IR07+Dual+IR%2FProbe+Thermometer&amp;qid=1695173956&amp;sr=8-3")</f>
        <v>https://www.amazon.com/Klein-Tools-Thermometer-Screwdriver-Adjustable/dp/B0BNL7N5NM/ref=sr_1_3?keywords=Klein+Tools+IR07+Dual+IR%2FProbe+Thermometer&amp;qid=1695173956&amp;sr=8-3</v>
      </c>
      <c r="F5595" t="s">
        <v>3870</v>
      </c>
      <c r="G5595" t="e">
        <f ca="1">_xludf.IMAGE("https://edmondsonsupply.com/cdn/shop/products/ir07.jpg?v=1599003623")</f>
        <v>#NAME?</v>
      </c>
      <c r="H5595" t="e">
        <f ca="1">_xludf.IMAGE("https://m.media-amazon.com/images/I/51TF5FbvFYL._AC_UY218_.jpg")</f>
        <v>#NAME?</v>
      </c>
      <c r="I5595" t="s">
        <v>2951</v>
      </c>
      <c r="J5595">
        <v>68.94</v>
      </c>
      <c r="K5595" s="4">
        <v>0.19919999999999999</v>
      </c>
      <c r="L5595">
        <v>5</v>
      </c>
      <c r="M5595">
        <v>1</v>
      </c>
      <c r="O5595" t="s">
        <v>25</v>
      </c>
      <c r="P5595" t="s">
        <v>2952</v>
      </c>
      <c r="Q5595" t="s">
        <v>2953</v>
      </c>
    </row>
    <row r="5596" spans="1:17" ht="15.5" x14ac:dyDescent="0.35">
      <c r="A5596"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596" s="3" t="str">
        <f>HYPERLINK("https://edmondsonsupply.com/products/klein-tools-jth6m10-10-mm-hex-key-journeyman-t-handle-6-inch", "https://edmondsonsupply.com/products/klein-tools-jth6m10-10-mm-hex-key-journeyman-t-handle-6-inch")</f>
        <v>https://edmondsonsupply.com/products/klein-tools-jth6m10-10-mm-hex-key-journeyman-t-handle-6-inch</v>
      </c>
      <c r="C5596" t="s">
        <v>6945</v>
      </c>
      <c r="D5596" t="s">
        <v>7515</v>
      </c>
      <c r="E5596" s="3" t="str">
        <f>HYPERLINK("https://www.amazon.com/Klein-Tools-JTH6E15BE-Journeyman-T-Handle/dp/B004QW56FC/ref=sr_1_8?keywords=Klein+Tools+JTH6M10+10+mm+Hex+Key+Journeyman+T-Handle+6-Inch&amp;qid=1695174255&amp;sr=8-8", "https://www.amazon.com/Klein-Tools-JTH6E15BE-Journeyman-T-Handle/dp/B004QW56FC/ref=sr_1_8?keywords=Klein+Tools+JTH6M10+10+mm+Hex+Key+Journeyman+T-Handle+6-Inch&amp;qid=1695174255&amp;sr=8-8")</f>
        <v>https://www.amazon.com/Klein-Tools-JTH6E15BE-Journeyman-T-Handle/dp/B004QW56FC/ref=sr_1_8?keywords=Klein+Tools+JTH6M10+10+mm+Hex+Key+Journeyman+T-Handle+6-Inch&amp;qid=1695174255&amp;sr=8-8</v>
      </c>
      <c r="F5596" t="s">
        <v>7516</v>
      </c>
      <c r="G5596" t="e">
        <f ca="1">_xludf.IMAGE("https://edmondsonsupply.com/cdn/shop/products/jth6m8_64c2c8d3-e13e-4b81-9b34-745be7fd837a.jpg?v=1627827117")</f>
        <v>#NAME?</v>
      </c>
      <c r="H5596" t="e">
        <f ca="1">_xludf.IMAGE("https://m.media-amazon.com/images/I/51f9vBFVXgL._AC_UL320_.jpg")</f>
        <v>#NAME?</v>
      </c>
      <c r="I5596" t="s">
        <v>924</v>
      </c>
      <c r="J5596">
        <v>10.78</v>
      </c>
      <c r="K5596" s="4">
        <v>0.1991</v>
      </c>
      <c r="L5596">
        <v>4.8</v>
      </c>
      <c r="M5596">
        <v>456</v>
      </c>
      <c r="O5596" t="s">
        <v>25</v>
      </c>
      <c r="P5596" t="s">
        <v>6946</v>
      </c>
      <c r="Q5596" t="s">
        <v>6947</v>
      </c>
    </row>
    <row r="5597" spans="1:17" ht="15.5" x14ac:dyDescent="0.35">
      <c r="A5597" s="3" t="str">
        <f>HYPERLINK("https://edmondsonsupply.com/collections/electricians-tools/products/reed-mfg-rw10-10-heavy-duty-straight-pipe-wrench", "https://edmondsonsupply.com/collections/electricians-tools/products/reed-mfg-rw10-10-heavy-duty-straight-pipe-wrench")</f>
        <v>https://edmondsonsupply.com/collections/electricians-tools/products/reed-mfg-rw10-10-heavy-duty-straight-pipe-wrench</v>
      </c>
      <c r="B5597" s="3" t="str">
        <f>HYPERLINK("https://edmondsonsupply.com/products/reed-mfg-rw10-10-heavy-duty-straight-pipe-wrench", "https://edmondsonsupply.com/products/reed-mfg-rw10-10-heavy-duty-straight-pipe-wrench")</f>
        <v>https://edmondsonsupply.com/products/reed-mfg-rw10-10-heavy-duty-straight-pipe-wrench</v>
      </c>
      <c r="C5597" t="s">
        <v>7517</v>
      </c>
      <c r="D5597" t="s">
        <v>7518</v>
      </c>
      <c r="E5597" s="3" t="str">
        <f>HYPERLINK("https://www.amazon.com/REED-RW10-Heavy-Duty-Pipe-Wrench/dp/B002JG0JV8/ref=sr_1_1?keywords=Reed+Mfg+RW10+10%22+Heavy-Duty+Straight+Pipe+Wrench&amp;qid=1695174285&amp;sr=8-1", "https://www.amazon.com/REED-RW10-Heavy-Duty-Pipe-Wrench/dp/B002JG0JV8/ref=sr_1_1?keywords=Reed+Mfg+RW10+10%22+Heavy-Duty+Straight+Pipe+Wrench&amp;qid=1695174285&amp;sr=8-1")</f>
        <v>https://www.amazon.com/REED-RW10-Heavy-Duty-Pipe-Wrench/dp/B002JG0JV8/ref=sr_1_1?keywords=Reed+Mfg+RW10+10%22+Heavy-Duty+Straight+Pipe+Wrench&amp;qid=1695174285&amp;sr=8-1</v>
      </c>
      <c r="F5597" t="s">
        <v>7519</v>
      </c>
      <c r="G5597" t="e">
        <f ca="1">_xludf.IMAGE("https://edmondsonsupply.com/cdn/shop/products/02130-RW10-RGB.jpg?v=1633031011")</f>
        <v>#NAME?</v>
      </c>
      <c r="H5597" t="e">
        <f ca="1">_xludf.IMAGE("https://m.media-amazon.com/images/I/71kEKSUS3TL._AC_UL320_.jpg")</f>
        <v>#NAME?</v>
      </c>
      <c r="I5597" t="s">
        <v>6943</v>
      </c>
      <c r="J5597">
        <v>26.8</v>
      </c>
      <c r="K5597" s="4">
        <v>0.1991</v>
      </c>
      <c r="L5597">
        <v>5</v>
      </c>
      <c r="M5597">
        <v>4</v>
      </c>
      <c r="O5597" t="s">
        <v>25</v>
      </c>
      <c r="P5597" t="s">
        <v>7520</v>
      </c>
      <c r="Q5597" t="s">
        <v>7521</v>
      </c>
    </row>
    <row r="5598" spans="1:17" ht="15.5" x14ac:dyDescent="0.35">
      <c r="A5598" s="3" t="str">
        <f>HYPERLINK("https://edmondsonsupply.com/collections/electricians-tools/products/klein-tools-66040-2-in-1-impact-socket-set-12-point-5-piece", "https://edmondsonsupply.com/collections/electricians-tools/products/klein-tools-66040-2-in-1-impact-socket-set-12-point-5-piece")</f>
        <v>https://edmondsonsupply.com/collections/electricians-tools/products/klein-tools-66040-2-in-1-impact-socket-set-12-point-5-piece</v>
      </c>
      <c r="B5598" s="3" t="str">
        <f>HYPERLINK("https://edmondsonsupply.com/products/klein-tools-66040-2-in-1-impact-socket-set-12-point-5-piece", "https://edmondsonsupply.com/products/klein-tools-66040-2-in-1-impact-socket-set-12-point-5-piece")</f>
        <v>https://edmondsonsupply.com/products/klein-tools-66040-2-in-1-impact-socket-set-12-point-5-piece</v>
      </c>
      <c r="C5598" t="s">
        <v>7021</v>
      </c>
      <c r="D5598" t="s">
        <v>7522</v>
      </c>
      <c r="E5598" s="3" t="str">
        <f>HYPERLINK("https://www.amazon.com/Klein-Tools-66050E-12-Point-Carrying/dp/B08R138PF6/ref=sr_1_9?keywords=Klein+Tools+66040+2-in-1+Impact+Socket+Set%2C+12-Point%2C+5-Piece&amp;qid=1695173922&amp;sr=8-9", "https://www.amazon.com/Klein-Tools-66050E-12-Point-Carrying/dp/B08R138PF6/ref=sr_1_9?keywords=Klein+Tools+66040+2-in-1+Impact+Socket+Set%2C+12-Point%2C+5-Piece&amp;qid=1695173922&amp;sr=8-9")</f>
        <v>https://www.amazon.com/Klein-Tools-66050E-12-Point-Carrying/dp/B08R138PF6/ref=sr_1_9?keywords=Klein+Tools+66040+2-in-1+Impact+Socket+Set%2C+12-Point%2C+5-Piece&amp;qid=1695173922&amp;sr=8-9</v>
      </c>
      <c r="F5598" t="s">
        <v>7523</v>
      </c>
      <c r="G5598" t="e">
        <f ca="1">_xludf.IMAGE("https://edmondsonsupply.com/cdn/shop/products/66040.jpg?v=1659120255")</f>
        <v>#NAME?</v>
      </c>
      <c r="H5598" t="e">
        <f ca="1">_xludf.IMAGE("https://m.media-amazon.com/images/I/61HXSd9dQWL._AC_UL320_.jpg")</f>
        <v>#NAME?</v>
      </c>
      <c r="I5598" t="s">
        <v>7024</v>
      </c>
      <c r="J5598">
        <v>149.54</v>
      </c>
      <c r="K5598" s="4">
        <v>0.1983</v>
      </c>
      <c r="L5598">
        <v>4.3</v>
      </c>
      <c r="M5598">
        <v>6</v>
      </c>
      <c r="O5598" t="s">
        <v>25</v>
      </c>
      <c r="P5598" t="s">
        <v>7025</v>
      </c>
      <c r="Q5598" t="s">
        <v>7026</v>
      </c>
    </row>
    <row r="5599" spans="1:17" ht="15.5" x14ac:dyDescent="0.35">
      <c r="A5599"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5599"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5599" t="s">
        <v>7206</v>
      </c>
      <c r="D5599" t="s">
        <v>7524</v>
      </c>
      <c r="E5599" s="3" t="str">
        <f>HYPERLINK("https://www.amazon.com/Milwaukee-ONE-KEY-Torque-Impact-Friction/dp/B08DTMV8DQ/ref=sr_1_2?keywords=Milwaukee+2960-22+M18+FUEL%E2%84%A2+3%2F8+%22+Mid-Torque+Impact+Wrench+w%2F+Friction+Ring+Kit&amp;qid=1695174167&amp;sr=8-2", "https://www.amazon.com/Milwaukee-ONE-KEY-Torque-Impact-Friction/dp/B08DTMV8DQ/ref=sr_1_2?keywords=Milwaukee+2960-22+M18+FUEL%E2%84%A2+3%2F8+%22+Mid-Torque+Impact+Wrench+w%2F+Friction+Ring+Kit&amp;qid=1695174167&amp;sr=8-2")</f>
        <v>https://www.amazon.com/Milwaukee-ONE-KEY-Torque-Impact-Friction/dp/B08DTMV8DQ/ref=sr_1_2?keywords=Milwaukee+2960-22+M18+FUEL%E2%84%A2+3%2F8+%22+Mid-Torque+Impact+Wrench+w%2F+Friction+Ring+Kit&amp;qid=1695174167&amp;sr=8-2</v>
      </c>
      <c r="F5599" t="s">
        <v>7525</v>
      </c>
      <c r="G5599" t="e">
        <f ca="1">_xludf.IMAGE("https://edmondsonsupply.com/cdn/shop/products/2960-22_Kit_1.png?v=1661616340")</f>
        <v>#NAME?</v>
      </c>
      <c r="H5599" t="e">
        <f ca="1">_xludf.IMAGE("https://m.media-amazon.com/images/I/41bfbogzulL._AC_UL320_.jpg")</f>
        <v>#NAME?</v>
      </c>
      <c r="I5599" t="s">
        <v>4404</v>
      </c>
      <c r="J5599">
        <v>549.9</v>
      </c>
      <c r="K5599" s="4">
        <v>0.19800000000000001</v>
      </c>
      <c r="L5599">
        <v>3.6</v>
      </c>
      <c r="M5599">
        <v>2</v>
      </c>
      <c r="O5599" t="s">
        <v>25</v>
      </c>
      <c r="P5599" t="s">
        <v>7209</v>
      </c>
      <c r="Q5599" t="s">
        <v>7210</v>
      </c>
    </row>
    <row r="5600" spans="1:17" ht="15.5" x14ac:dyDescent="0.35">
      <c r="A5600" s="3" t="str">
        <f>HYPERLINK("https://edmondsonsupply.com/collections/electricians-tools/products/malco-mshc-2-inch-c-rhex-cleanable-reversible-magnetic-hex-driver-1-4-5-16", "https://edmondsonsupply.com/collections/electricians-tools/products/malco-mshc-2-inch-c-rhex-cleanable-reversible-magnetic-hex-driver-1-4-5-16")</f>
        <v>https://edmondsonsupply.com/collections/electricians-tools/products/malco-mshc-2-inch-c-rhex-cleanable-reversible-magnetic-hex-driver-1-4-5-16</v>
      </c>
      <c r="B5600" s="3" t="str">
        <f>HYPERLINK("https://edmondsonsupply.com/products/malco-mshc-2-inch-c-rhex-cleanable-reversible-magnetic-hex-driver-1-4-5-16", "https://edmondsonsupply.com/products/malco-mshc-2-inch-c-rhex-cleanable-reversible-magnetic-hex-driver-1-4-5-16")</f>
        <v>https://edmondsonsupply.com/products/malco-mshc-2-inch-c-rhex-cleanable-reversible-magnetic-hex-driver-1-4-5-16</v>
      </c>
      <c r="C5600" t="s">
        <v>134</v>
      </c>
      <c r="D5600" t="s">
        <v>213</v>
      </c>
      <c r="E5600" s="3" t="str">
        <f>HYPERLINK("https://www.amazon.com/Malco-MSHC2-Construction-Cleanable-Reversible/dp/B0BX779Y8S/ref=sr_1_2?keywords=Malco+Tools+MSHC+2-Inch+C-Rhex+Cleanable%2C+Reversible+Magnetic+Hex+Driver%2C+1%2F4&amp;qid=1695173843&amp;sr=8-2", "https://www.amazon.com/Malco-MSHC2-Construction-Cleanable-Reversible/dp/B0BX779Y8S/ref=sr_1_2?keywords=Malco+Tools+MSHC+2-Inch+C-Rhex+Cleanable%2C+Reversible+Magnetic+Hex+Driver%2C+1%2F4&amp;qid=1695173843&amp;sr=8-2")</f>
        <v>https://www.amazon.com/Malco-MSHC2-Construction-Cleanable-Reversible/dp/B0BX779Y8S/ref=sr_1_2?keywords=Malco+Tools+MSHC+2-Inch+C-Rhex+Cleanable%2C+Reversible+Magnetic+Hex+Driver%2C+1%2F4&amp;qid=1695173843&amp;sr=8-2</v>
      </c>
      <c r="F5600" t="s">
        <v>214</v>
      </c>
      <c r="G5600" t="e">
        <f ca="1">_xludf.IMAGE("https://edmondsonsupply.com/cdn/shop/products/Malco-MSHC-CRHEX-Slim-Design.jpg?v=1646614493")</f>
        <v>#NAME?</v>
      </c>
      <c r="H5600" t="e">
        <f ca="1">_xludf.IMAGE("https://m.media-amazon.com/images/I/61Iwy5K7S5L._AC_UL320_.jpg")</f>
        <v>#NAME?</v>
      </c>
      <c r="I5600" t="s">
        <v>137</v>
      </c>
      <c r="J5600">
        <v>7.05</v>
      </c>
      <c r="K5600" s="4">
        <v>0.19689999999999999</v>
      </c>
      <c r="L5600">
        <v>4.5999999999999996</v>
      </c>
      <c r="M5600">
        <v>45</v>
      </c>
      <c r="O5600" t="s">
        <v>25</v>
      </c>
      <c r="P5600" t="s">
        <v>138</v>
      </c>
      <c r="Q5600" t="s">
        <v>139</v>
      </c>
    </row>
    <row r="5601" spans="1:17" ht="15.5" x14ac:dyDescent="0.35">
      <c r="A5601"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5601"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5601" t="s">
        <v>6231</v>
      </c>
      <c r="D5601" t="s">
        <v>3872</v>
      </c>
      <c r="E5601" s="3" t="str">
        <f>HYPERLINK("https://www.amazon.com/Klein-Tools-Receptacle-Standard-Electrical/dp/B0BC861K3W/ref=sr_1_8?keywords=Klein+Tools+NCVT1PKIT+Non-Contact+Voltage+and+GFCI+Receptacle+Test+Kit&amp;qid=1695174067&amp;sr=8-8", "https://www.amazon.com/Klein-Tools-Receptacle-Standard-Electrical/dp/B0BC861K3W/ref=sr_1_8?keywords=Klein+Tools+NCVT1PKIT+Non-Contact+Voltage+and+GFCI+Receptacle+Test+Kit&amp;qid=1695174067&amp;sr=8-8")</f>
        <v>https://www.amazon.com/Klein-Tools-Receptacle-Standard-Electrical/dp/B0BC861K3W/ref=sr_1_8?keywords=Klein+Tools+NCVT1PKIT+Non-Contact+Voltage+and+GFCI+Receptacle+Test+Kit&amp;qid=1695174067&amp;sr=8-8</v>
      </c>
      <c r="F5601" t="s">
        <v>3873</v>
      </c>
      <c r="G5601" t="e">
        <f ca="1">_xludf.IMAGE("https://edmondsonsupply.com/cdn/shop/products/ncvt1pkit.jpg?v=1677682920")</f>
        <v>#NAME?</v>
      </c>
      <c r="H5601" t="e">
        <f ca="1">_xludf.IMAGE("https://m.media-amazon.com/images/I/5145pmsV9+L._AC_UL320_.jpg")</f>
        <v>#NAME?</v>
      </c>
      <c r="I5601" t="s">
        <v>859</v>
      </c>
      <c r="J5601">
        <v>29.88</v>
      </c>
      <c r="K5601" s="4">
        <v>0.1966</v>
      </c>
      <c r="L5601">
        <v>4.5</v>
      </c>
      <c r="M5601">
        <v>14</v>
      </c>
      <c r="O5601" t="s">
        <v>25</v>
      </c>
      <c r="P5601" t="s">
        <v>6234</v>
      </c>
      <c r="Q5601" t="s">
        <v>6235</v>
      </c>
    </row>
    <row r="5602" spans="1:17" ht="15.5" x14ac:dyDescent="0.35">
      <c r="A5602"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5602"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5602" t="s">
        <v>2155</v>
      </c>
      <c r="D5602" t="s">
        <v>3872</v>
      </c>
      <c r="E5602" s="3" t="str">
        <f>HYPERLINK("https://www.amazon.com/Klein-Tools-Receptacle-Standard-Electrical/dp/B0BC861K3W/ref=sr_1_7?keywords=Klein+Tools+NCVT1XTKIT+Non-Contact+Voltage+and+GFCI+Receptacle+Premium+Test+Kit&amp;qid=1695173872&amp;sr=8-7", "https://www.amazon.com/Klein-Tools-Receptacle-Standard-Electrical/dp/B0BC861K3W/ref=sr_1_7?keywords=Klein+Tools+NCVT1XTKIT+Non-Contact+Voltage+and+GFCI+Receptacle+Premium+Test+Kit&amp;qid=1695173872&amp;sr=8-7")</f>
        <v>https://www.amazon.com/Klein-Tools-Receptacle-Standard-Electrical/dp/B0BC861K3W/ref=sr_1_7?keywords=Klein+Tools+NCVT1XTKIT+Non-Contact+Voltage+and+GFCI+Receptacle+Premium+Test+Kit&amp;qid=1695173872&amp;sr=8-7</v>
      </c>
      <c r="F5602" t="s">
        <v>3873</v>
      </c>
      <c r="G5602" t="e">
        <f ca="1">_xludf.IMAGE("https://edmondsonsupply.com/cdn/shop/products/ncvt1xtkit.jpg?v=1674497102")</f>
        <v>#NAME?</v>
      </c>
      <c r="H5602" t="e">
        <f ca="1">_xludf.IMAGE("https://m.media-amazon.com/images/I/5145pmsV9+L._AC_UL320_.jpg")</f>
        <v>#NAME?</v>
      </c>
      <c r="I5602" t="s">
        <v>471</v>
      </c>
      <c r="J5602">
        <v>29.88</v>
      </c>
      <c r="K5602" s="4">
        <v>0.19570000000000001</v>
      </c>
      <c r="L5602">
        <v>4.5</v>
      </c>
      <c r="M5602">
        <v>14</v>
      </c>
      <c r="O5602" t="s">
        <v>25</v>
      </c>
      <c r="P5602" t="s">
        <v>2158</v>
      </c>
      <c r="Q5602" t="s">
        <v>2159</v>
      </c>
    </row>
    <row r="5603" spans="1:17" ht="15.5" x14ac:dyDescent="0.35">
      <c r="A5603"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5603" s="3" t="str">
        <f>HYPERLINK("https://edmondsonsupply.com/products/klein-tools-58888-12-pocket-tool-tote-with-shoulder-strap", "https://edmondsonsupply.com/products/klein-tools-58888-12-pocket-tool-tote-with-shoulder-strap")</f>
        <v>https://edmondsonsupply.com/products/klein-tools-58888-12-pocket-tool-tote-with-shoulder-strap</v>
      </c>
      <c r="C5603" t="s">
        <v>445</v>
      </c>
      <c r="D5603" t="s">
        <v>474</v>
      </c>
      <c r="E5603" s="3" t="str">
        <f>HYPERLINK("https://www.amazon.com/Klein-Tools-Deluxe-Canvas-18-Inch/dp/B07VB168TG/ref=sr_1_6?keywords=Klein+Tools+58888+12+Pocket+Tool+Tote+with+Shoulder+Strap&amp;qid=1695174176&amp;sr=8-6", "https://www.amazon.com/Klein-Tools-Deluxe-Canvas-18-Inch/dp/B07VB168TG/ref=sr_1_6?keywords=Klein+Tools+58888+12+Pocket+Tool+Tote+with+Shoulder+Strap&amp;qid=1695174176&amp;sr=8-6")</f>
        <v>https://www.amazon.com/Klein-Tools-Deluxe-Canvas-18-Inch/dp/B07VB168TG/ref=sr_1_6?keywords=Klein+Tools+58888+12+Pocket+Tool+Tote+with+Shoulder+Strap&amp;qid=1695174176&amp;sr=8-6</v>
      </c>
      <c r="F5603" t="s">
        <v>475</v>
      </c>
      <c r="G5603" t="e">
        <f ca="1">_xludf.IMAGE("https://edmondsonsupply.com/cdn/shop/products/58888.jpg?v=1660004615")</f>
        <v>#NAME?</v>
      </c>
      <c r="H5603" t="e">
        <f ca="1">_xludf.IMAGE("https://m.media-amazon.com/images/I/71FluabrW6L._AC_UL320_.jpg")</f>
        <v>#NAME?</v>
      </c>
      <c r="I5603" t="s">
        <v>448</v>
      </c>
      <c r="J5603">
        <v>99</v>
      </c>
      <c r="K5603" s="4">
        <v>0.19289999999999999</v>
      </c>
      <c r="L5603">
        <v>4.7</v>
      </c>
      <c r="M5603">
        <v>657</v>
      </c>
      <c r="O5603" t="s">
        <v>25</v>
      </c>
      <c r="P5603" t="s">
        <v>449</v>
      </c>
      <c r="Q5603" t="s">
        <v>450</v>
      </c>
    </row>
    <row r="5604" spans="1:17" ht="15.5" x14ac:dyDescent="0.35">
      <c r="A5604"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5604"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5604" t="s">
        <v>6870</v>
      </c>
      <c r="D5604" t="s">
        <v>3243</v>
      </c>
      <c r="E5604" s="3" t="str">
        <f>HYPERLINK("https://www.amazon.com/Journeyman-T-Handle-Klein-Tools-JTH6E14BE/dp/B004QW1IC2/ref=sr_1_1?keywords=Klein+Tools+JTH6E14BE+5%2F16-Inch+Ball+End+Hex+Key+with+T-Handle%2C+6-Inch&amp;qid=1695174246&amp;sr=8-1", "https://www.amazon.com/Journeyman-T-Handle-Klein-Tools-JTH6E14BE/dp/B004QW1IC2/ref=sr_1_1?keywords=Klein+Tools+JTH6E14BE+5%2F16-Inch+Ball+End+Hex+Key+with+T-Handle%2C+6-Inch&amp;qid=1695174246&amp;sr=8-1")</f>
        <v>https://www.amazon.com/Journeyman-T-Handle-Klein-Tools-JTH6E14BE/dp/B004QW1IC2/ref=sr_1_1?keywords=Klein+Tools+JTH6E14BE+5%2F16-Inch+Ball+End+Hex+Key+with+T-Handle%2C+6-Inch&amp;qid=1695174246&amp;sr=8-1</v>
      </c>
      <c r="F5604" t="s">
        <v>3244</v>
      </c>
      <c r="G5604" t="e">
        <f ca="1">_xludf.IMAGE("https://edmondsonsupply.com/cdn/shop/products/jth6e13be_0da4cca6-ce15-419c-bc75-cd610bd9637f.jpg?v=1629825198")</f>
        <v>#NAME?</v>
      </c>
      <c r="H5604" t="e">
        <f ca="1">_xludf.IMAGE("https://m.media-amazon.com/images/I/51f9vBFVXgL._AC_UL320_.jpg")</f>
        <v>#NAME?</v>
      </c>
      <c r="I5604" t="s">
        <v>6394</v>
      </c>
      <c r="J5604">
        <v>10.11</v>
      </c>
      <c r="K5604" s="4">
        <v>0.1908</v>
      </c>
      <c r="L5604">
        <v>4.8</v>
      </c>
      <c r="M5604">
        <v>456</v>
      </c>
      <c r="O5604" t="s">
        <v>25</v>
      </c>
      <c r="P5604" t="s">
        <v>6871</v>
      </c>
      <c r="Q5604" t="s">
        <v>6872</v>
      </c>
    </row>
    <row r="5605" spans="1:17" ht="15.5" x14ac:dyDescent="0.35">
      <c r="A5605"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5605"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5605" t="s">
        <v>2903</v>
      </c>
      <c r="D5605" t="s">
        <v>3878</v>
      </c>
      <c r="E5605" s="3" t="str">
        <f>HYPERLINK("https://www.amazon.com/Diablo-SDS-Max-4-Cutter-Carbide-Hammer/dp/B089LJ9GHW/ref=sr_1_6?keywords=Diablo+Tools+DMAMX1300+1-1%2F4+in.+x+16+in.+x+21+in.+Rebar+Demon%E2%84%A2+SDS-Max+4-Cutter+Full+Carbide+Head+Hammer+Drill+Bit&amp;qid=1695173871&amp;sr=8-6", "https://www.amazon.com/Diablo-SDS-Max-4-Cutter-Carbide-Hammer/dp/B089LJ9GHW/ref=sr_1_6?keywords=Diablo+Tools+DMAMX1300+1-1%2F4+in.+x+16+in.+x+21+in.+Rebar+Demon%E2%84%A2+SDS-Max+4-Cutter+Full+Carbide+Head+Hammer+Drill+Bit&amp;qid=1695173871&amp;sr=8-6")</f>
        <v>https://www.amazon.com/Diablo-SDS-Max-4-Cutter-Carbide-Hammer/dp/B089LJ9GHW/ref=sr_1_6?keywords=Diablo+Tools+DMAMX1300+1-1%2F4+in.+x+16+in.+x+21+in.+Rebar+Demon%E2%84%A2+SDS-Max+4-Cutter+Full+Carbide+Head+Hammer+Drill+Bit&amp;qid=1695173871&amp;sr=8-6</v>
      </c>
      <c r="F5605" t="s">
        <v>3879</v>
      </c>
      <c r="G5605" t="e">
        <f ca="1">_xludf.IMAGE("https://edmondsonsupply.com/cdn/shop/files/immoyh7jjmbau4fzhuq6_7dd7fd73-2865-4c12-9443-da45b48dbd51.webp?v=1685465465")</f>
        <v>#NAME?</v>
      </c>
      <c r="H5605" t="e">
        <f ca="1">_xludf.IMAGE("https://m.media-amazon.com/images/I/61vWAd-z8eL._AC_UL320_.jpg")</f>
        <v>#NAME?</v>
      </c>
      <c r="I5605" t="s">
        <v>2906</v>
      </c>
      <c r="J5605">
        <v>78.98</v>
      </c>
      <c r="K5605" s="4">
        <v>0.1895</v>
      </c>
      <c r="L5605">
        <v>4.7</v>
      </c>
      <c r="M5605">
        <v>4</v>
      </c>
      <c r="O5605" t="s">
        <v>171</v>
      </c>
      <c r="P5605" t="s">
        <v>2907</v>
      </c>
      <c r="Q5605" t="s">
        <v>2908</v>
      </c>
    </row>
    <row r="5606" spans="1:17" ht="15.5" x14ac:dyDescent="0.35">
      <c r="A5606"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5606" s="3" t="str">
        <f>HYPERLINK("https://edmondsonsupply.com/products/klein-tools-ncvt1xt-non-contact-voltage-tester-70-to-1000v-ac", "https://edmondsonsupply.com/products/klein-tools-ncvt1xt-non-contact-voltage-tester-70-to-1000v-ac")</f>
        <v>https://edmondsonsupply.com/products/klein-tools-ncvt1xt-non-contact-voltage-tester-70-to-1000v-ac</v>
      </c>
      <c r="C5606" t="s">
        <v>6346</v>
      </c>
      <c r="D5606" t="s">
        <v>5294</v>
      </c>
      <c r="E5606" s="3" t="str">
        <f>HYPERLINK("https://www.amazon.com/Klein-Tools-NCVT2P-12-1000V-Flashing/dp/B07L5N8ZWS/ref=sr_1_3?keywords=Klein+Tools+NCVT1XT+Non-Contact+Voltage+Tester%2C+70+to+1000V+AC&amp;qid=1695174075&amp;sr=8-3", "https://www.amazon.com/Klein-Tools-NCVT2P-12-1000V-Flashing/dp/B07L5N8ZWS/ref=sr_1_3?keywords=Klein+Tools+NCVT1XT+Non-Contact+Voltage+Tester%2C+70+to+1000V+AC&amp;qid=1695174075&amp;sr=8-3")</f>
        <v>https://www.amazon.com/Klein-Tools-NCVT2P-12-1000V-Flashing/dp/B07L5N8ZWS/ref=sr_1_3?keywords=Klein+Tools+NCVT1XT+Non-Contact+Voltage+Tester%2C+70+to+1000V+AC&amp;qid=1695174075&amp;sr=8-3</v>
      </c>
      <c r="F5606" t="s">
        <v>5295</v>
      </c>
      <c r="G5606" t="e">
        <f ca="1">_xludf.IMAGE("https://edmondsonsupply.com/cdn/shop/products/ncvt1xt.jpg?v=1674496568")</f>
        <v>#NAME?</v>
      </c>
      <c r="H5606" t="e">
        <f ca="1">_xludf.IMAGE("https://m.media-amazon.com/images/I/51GASnKpZ1L._AC_UL320_.jpg")</f>
        <v>#NAME?</v>
      </c>
      <c r="I5606" t="s">
        <v>893</v>
      </c>
      <c r="J5606">
        <v>23.74</v>
      </c>
      <c r="K5606" s="4">
        <v>0.1888</v>
      </c>
      <c r="L5606">
        <v>4.7</v>
      </c>
      <c r="M5606">
        <v>639</v>
      </c>
      <c r="O5606" t="s">
        <v>25</v>
      </c>
      <c r="P5606" t="s">
        <v>6347</v>
      </c>
      <c r="Q5606" t="s">
        <v>6348</v>
      </c>
    </row>
    <row r="5607" spans="1:17" ht="15.5" x14ac:dyDescent="0.35">
      <c r="A5607"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5607" s="3" t="str">
        <f>HYPERLINK("https://edmondsonsupply.com/products/klein-tools-646-1-4-1-4-inch-nut-driver-with-6-inch-hollow-shaft", "https://edmondsonsupply.com/products/klein-tools-646-1-4-1-4-inch-nut-driver-with-6-inch-hollow-shaft")</f>
        <v>https://edmondsonsupply.com/products/klein-tools-646-1-4-1-4-inch-nut-driver-with-6-inch-hollow-shaft</v>
      </c>
      <c r="C5607" t="s">
        <v>1478</v>
      </c>
      <c r="D5607" t="s">
        <v>3884</v>
      </c>
      <c r="E5607" s="3" t="str">
        <f>HYPERLINK("https://www.amazon.com/Magnetic-Cushion-Klein-610-1-4M/dp/B00093GE3A/ref=sr_1_4?keywords=Klein+Tools+646-1%2F4+1%2F4-Inch+Nut+Driver+with+6-Inch+Hollow+Shaft&amp;qid=1695173897&amp;sr=8-4", "https://www.amazon.com/Magnetic-Cushion-Klein-610-1-4M/dp/B00093GE3A/ref=sr_1_4?keywords=Klein+Tools+646-1%2F4+1%2F4-Inch+Nut+Driver+with+6-Inch+Hollow+Shaft&amp;qid=1695173897&amp;sr=8-4")</f>
        <v>https://www.amazon.com/Magnetic-Cushion-Klein-610-1-4M/dp/B00093GE3A/ref=sr_1_4?keywords=Klein+Tools+646-1%2F4+1%2F4-Inch+Nut+Driver+with+6-Inch+Hollow+Shaft&amp;qid=1695173897&amp;sr=8-4</v>
      </c>
      <c r="F5607" t="s">
        <v>3885</v>
      </c>
      <c r="G5607" t="e">
        <f ca="1">_xludf.IMAGE("https://edmondsonsupply.com/cdn/shop/products/646-1-2_08d87fa9-eac4-4869-8d3b-bb680d4b1d53.jpg?v=1587150676")</f>
        <v>#NAME?</v>
      </c>
      <c r="H5607" t="e">
        <f ca="1">_xludf.IMAGE("https://m.media-amazon.com/images/I/41piyjqJVeL._AC_UL320_.jpg")</f>
        <v>#NAME?</v>
      </c>
      <c r="I5607" t="s">
        <v>1003</v>
      </c>
      <c r="J5607">
        <v>9.49</v>
      </c>
      <c r="K5607" s="4">
        <v>0.18770000000000001</v>
      </c>
      <c r="L5607">
        <v>4.8</v>
      </c>
      <c r="M5607">
        <v>260</v>
      </c>
      <c r="O5607" t="s">
        <v>25</v>
      </c>
      <c r="P5607" t="s">
        <v>1481</v>
      </c>
      <c r="Q5607" t="s">
        <v>1482</v>
      </c>
    </row>
    <row r="5608" spans="1:17" ht="15.5" x14ac:dyDescent="0.35">
      <c r="A5608"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5608"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5608" t="s">
        <v>5837</v>
      </c>
      <c r="D5608" t="s">
        <v>5891</v>
      </c>
      <c r="E5608" s="3" t="str">
        <f>HYPERLINK("https://www.amazon.com/Diablo-DMAMXCC5020-SDS-Max-Carbide-Tipped/dp/B089M7TYBC/ref=sr_1_2?keywords=Diablo+Tools+DMAMXCC5010+2+in.+x+7+in.+SDS-Max+Carbide+Tipped+Core+Bit&amp;qid=1695174008&amp;sr=8-2", "https://www.amazon.com/Diablo-DMAMXCC5020-SDS-Max-Carbide-Tipped/dp/B089M7TYBC/ref=sr_1_2?keywords=Diablo+Tools+DMAMXCC5010+2+in.+x+7+in.+SDS-Max+Carbide+Tipped+Core+Bit&amp;qid=1695174008&amp;sr=8-2")</f>
        <v>https://www.amazon.com/Diablo-DMAMXCC5020-SDS-Max-Carbide-Tipped/dp/B089M7TYBC/ref=sr_1_2?keywords=Diablo+Tools+DMAMXCC5010+2+in.+x+7+in.+SDS-Max+Carbide+Tipped+Core+Bit&amp;qid=1695174008&amp;sr=8-2</v>
      </c>
      <c r="F5608" t="s">
        <v>5892</v>
      </c>
      <c r="G5608" t="e">
        <f ca="1">_xludf.IMAGE("https://edmondsonsupply.com/cdn/shop/files/kbs61qpkymnshwvx13k1.webp?v=1686583113")</f>
        <v>#NAME?</v>
      </c>
      <c r="H5608" t="e">
        <f ca="1">_xludf.IMAGE("https://m.media-amazon.com/images/I/61fu3xDsk5L._AC_UL320_.jpg")</f>
        <v>#NAME?</v>
      </c>
      <c r="I5608" t="s">
        <v>5840</v>
      </c>
      <c r="J5608">
        <v>120.46</v>
      </c>
      <c r="K5608" s="4">
        <v>0.18690000000000001</v>
      </c>
      <c r="L5608">
        <v>4.8</v>
      </c>
      <c r="M5608">
        <v>5</v>
      </c>
      <c r="O5608" t="s">
        <v>25</v>
      </c>
      <c r="P5608" t="s">
        <v>5841</v>
      </c>
      <c r="Q5608" t="s">
        <v>5842</v>
      </c>
    </row>
    <row r="5609" spans="1:17" ht="15.5" x14ac:dyDescent="0.35">
      <c r="A5609"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5609" s="3" t="str">
        <f>HYPERLINK("https://edmondsonsupply.com/products/fluke-c60-soft-carrying-case", "https://edmondsonsupply.com/products/fluke-c60-soft-carrying-case")</f>
        <v>https://edmondsonsupply.com/products/fluke-c60-soft-carrying-case</v>
      </c>
      <c r="C5609" t="s">
        <v>265</v>
      </c>
      <c r="D5609" t="s">
        <v>476</v>
      </c>
      <c r="E5609" s="3" t="str">
        <f>HYPERLINK("https://www.amazon.com/Fluke-C116-Polyester-Soft-Carrying/dp/B0012WRD96/ref=sr_1_10?keywords=Fluke+C60+Soft+Carrying+Case&amp;qid=1695174290&amp;sr=8-10", "https://www.amazon.com/Fluke-C116-Polyester-Soft-Carrying/dp/B0012WRD96/ref=sr_1_10?keywords=Fluke+C60+Soft+Carrying+Case&amp;qid=1695174290&amp;sr=8-10")</f>
        <v>https://www.amazon.com/Fluke-C116-Polyester-Soft-Carrying/dp/B0012WRD96/ref=sr_1_10?keywords=Fluke+C60+Soft+Carrying+Case&amp;qid=1695174290&amp;sr=8-10</v>
      </c>
      <c r="F5609" t="s">
        <v>477</v>
      </c>
      <c r="G5609" t="e">
        <f ca="1">_xludf.IMAGE("https://edmondsonsupply.com/cdn/shop/products/c60.png?v=1633030926")</f>
        <v>#NAME?</v>
      </c>
      <c r="H5609" t="e">
        <f ca="1">_xludf.IMAGE("https://m.media-amazon.com/images/I/7135NJiG3XL._AC_UL320_.jpg")</f>
        <v>#NAME?</v>
      </c>
      <c r="I5609" t="s">
        <v>268</v>
      </c>
      <c r="J5609">
        <v>58.7</v>
      </c>
      <c r="K5609" s="4">
        <v>0.18609999999999999</v>
      </c>
      <c r="L5609">
        <v>4.2</v>
      </c>
      <c r="M5609">
        <v>30</v>
      </c>
      <c r="O5609" t="s">
        <v>25</v>
      </c>
      <c r="P5609" t="s">
        <v>269</v>
      </c>
      <c r="Q5609" t="s">
        <v>270</v>
      </c>
    </row>
    <row r="5610" spans="1:17" ht="15.5" x14ac:dyDescent="0.35">
      <c r="A5610"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5610"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5610" t="s">
        <v>6225</v>
      </c>
      <c r="D5610" t="s">
        <v>5118</v>
      </c>
      <c r="E5610" s="3" t="str">
        <f>HYPERLINK("https://www.amazon.com/Journeyman-T-Handle-Klein-Tools-JTH9E10/dp/B004QV8H90/ref=sr_1_7?keywords=Klein+Tools+JTH4E09+9%2F64-Inch+Hex+Key+Journeyman+T-Handle+4-Inch&amp;qid=1695174238&amp;sr=8-7", "https://www.amazon.com/Journeyman-T-Handle-Klein-Tools-JTH9E10/dp/B004QV8H90/ref=sr_1_7?keywords=Klein+Tools+JTH4E09+9%2F64-Inch+Hex+Key+Journeyman+T-Handle+4-Inch&amp;qid=1695174238&amp;sr=8-7")</f>
        <v>https://www.amazon.com/Journeyman-T-Handle-Klein-Tools-JTH9E10/dp/B004QV8H90/ref=sr_1_7?keywords=Klein+Tools+JTH4E09+9%2F64-Inch+Hex+Key+Journeyman+T-Handle+4-Inch&amp;qid=1695174238&amp;sr=8-7</v>
      </c>
      <c r="F5610" t="s">
        <v>5119</v>
      </c>
      <c r="G5610" t="e">
        <f ca="1">_xludf.IMAGE("https://edmondsonsupply.com/cdn/shop/products/jth4e06_be5118a6-2e9d-44f5-81ad-c027572dd2d3.jpg?v=1635981570")</f>
        <v>#NAME?</v>
      </c>
      <c r="H5610" t="e">
        <f ca="1">_xludf.IMAGE("https://m.media-amazon.com/images/I/51Yb8h41vLL._AC_UL320_.jpg")</f>
        <v>#NAME?</v>
      </c>
      <c r="I5610" t="s">
        <v>6228</v>
      </c>
      <c r="J5610">
        <v>4.49</v>
      </c>
      <c r="K5610" s="4">
        <v>0.1847</v>
      </c>
      <c r="L5610">
        <v>4.8</v>
      </c>
      <c r="M5610">
        <v>294</v>
      </c>
      <c r="O5610" t="s">
        <v>25</v>
      </c>
      <c r="P5610" t="s">
        <v>6229</v>
      </c>
      <c r="Q5610" t="s">
        <v>6230</v>
      </c>
    </row>
    <row r="5611" spans="1:17" ht="15.5" x14ac:dyDescent="0.35">
      <c r="A5611"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5611" s="3" t="str">
        <f>HYPERLINK("https://edmondsonsupply.com/products/klein-tools-646-1-4-1-4-inch-nut-driver-with-6-inch-hollow-shaft", "https://edmondsonsupply.com/products/klein-tools-646-1-4-1-4-inch-nut-driver-with-6-inch-hollow-shaft")</f>
        <v>https://edmondsonsupply.com/products/klein-tools-646-1-4-1-4-inch-nut-driver-with-6-inch-hollow-shaft</v>
      </c>
      <c r="C5611" t="s">
        <v>1478</v>
      </c>
      <c r="D5611" t="s">
        <v>3895</v>
      </c>
      <c r="E5611" s="3" t="str">
        <f>HYPERLINK("https://www.amazon.com/Magnetic-Klein-Tools-630-1-4M/dp/B00093GE6M/ref=sr_1_10?keywords=Klein+Tools+646-1%2F4+1%2F4-Inch+Nut+Driver+with+6-Inch+Hollow+Shaft&amp;qid=1695173897&amp;sr=8-10", "https://www.amazon.com/Magnetic-Klein-Tools-630-1-4M/dp/B00093GE6M/ref=sr_1_10?keywords=Klein+Tools+646-1%2F4+1%2F4-Inch+Nut+Driver+with+6-Inch+Hollow+Shaft&amp;qid=1695173897&amp;sr=8-10")</f>
        <v>https://www.amazon.com/Magnetic-Klein-Tools-630-1-4M/dp/B00093GE6M/ref=sr_1_10?keywords=Klein+Tools+646-1%2F4+1%2F4-Inch+Nut+Driver+with+6-Inch+Hollow+Shaft&amp;qid=1695173897&amp;sr=8-10</v>
      </c>
      <c r="F5611" t="s">
        <v>3896</v>
      </c>
      <c r="G5611" t="e">
        <f ca="1">_xludf.IMAGE("https://edmondsonsupply.com/cdn/shop/products/646-1-2_08d87fa9-eac4-4869-8d3b-bb680d4b1d53.jpg?v=1587150676")</f>
        <v>#NAME?</v>
      </c>
      <c r="H5611" t="e">
        <f ca="1">_xludf.IMAGE("https://m.media-amazon.com/images/I/51TXA1qvEdL._AC_UL320_.jpg")</f>
        <v>#NAME?</v>
      </c>
      <c r="I5611" t="s">
        <v>1003</v>
      </c>
      <c r="J5611">
        <v>9.4499999999999993</v>
      </c>
      <c r="K5611" s="4">
        <v>0.1827</v>
      </c>
      <c r="L5611">
        <v>4.7</v>
      </c>
      <c r="M5611">
        <v>1574</v>
      </c>
      <c r="O5611" t="s">
        <v>25</v>
      </c>
      <c r="P5611" t="s">
        <v>1481</v>
      </c>
      <c r="Q5611" t="s">
        <v>1482</v>
      </c>
    </row>
    <row r="5612" spans="1:17" ht="15.5" x14ac:dyDescent="0.35">
      <c r="A5612"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5612"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5612" t="s">
        <v>3544</v>
      </c>
      <c r="D5612" t="s">
        <v>3897</v>
      </c>
      <c r="E5612" s="3" t="str">
        <f>HYPERLINK("https://www.amazon.com/Ratcheting-Screwdriver-Klein-Tools-32594/dp/B01I2KTKR8/ref=sr_1_5?keywords=Klein+Tools+32562+Multi-Bit+Screwdriver+%2F+Nut+Driver%2C+6-in-1%2C+Stubby%2C+Ph%2C+Sl%2C+Sq+Bits&amp;qid=1695173934&amp;sr=8-5", "https://www.amazon.com/Ratcheting-Screwdriver-Klein-Tools-32594/dp/B01I2KTKR8/ref=sr_1_5?keywords=Klein+Tools+32562+Multi-Bit+Screwdriver+%2F+Nut+Driver%2C+6-in-1%2C+Stubby%2C+Ph%2C+Sl%2C+Sq+Bits&amp;qid=1695173934&amp;sr=8-5")</f>
        <v>https://www.amazon.com/Ratcheting-Screwdriver-Klein-Tools-32594/dp/B01I2KTKR8/ref=sr_1_5?keywords=Klein+Tools+32562+Multi-Bit+Screwdriver+%2F+Nut+Driver%2C+6-in-1%2C+Stubby%2C+Ph%2C+Sl%2C+Sq+Bits&amp;qid=1695173934&amp;sr=8-5</v>
      </c>
      <c r="F5612" t="s">
        <v>3898</v>
      </c>
      <c r="G5612" t="e">
        <f ca="1">_xludf.IMAGE("https://edmondsonsupply.com/cdn/shop/products/32562.jpg?v=1587145424")</f>
        <v>#NAME?</v>
      </c>
      <c r="H5612" t="e">
        <f ca="1">_xludf.IMAGE("https://m.media-amazon.com/images/I/51pkI+hcIbL._AC_UL320_.jpg")</f>
        <v>#NAME?</v>
      </c>
      <c r="I5612" t="s">
        <v>834</v>
      </c>
      <c r="J5612">
        <v>15.36</v>
      </c>
      <c r="K5612" s="4">
        <v>0.18240000000000001</v>
      </c>
      <c r="L5612">
        <v>4.8</v>
      </c>
      <c r="M5612">
        <v>551</v>
      </c>
      <c r="O5612" t="s">
        <v>25</v>
      </c>
      <c r="P5612" t="s">
        <v>3547</v>
      </c>
      <c r="Q5612" t="s">
        <v>3548</v>
      </c>
    </row>
    <row r="5613" spans="1:17" ht="15.5" x14ac:dyDescent="0.35">
      <c r="A5613"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5613"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5613" t="s">
        <v>6432</v>
      </c>
      <c r="D5613" t="s">
        <v>660</v>
      </c>
      <c r="E5613" s="3" t="str">
        <f>HYPERLINK("https://www.amazon.com/Bull-Pin-Connection-Klein-Tools-5416OCTO/dp/B00Y6WMEZW/ref=sr_1_4?keywords=Klein+Tools+5416+Tool+Bag%2C+Bull-Pin+and+Bolt+Pouch%2C+Belt+Strap+Connect%2C+5+x+10+x+9-Inch&amp;qid=1695174042&amp;sr=8-4", "https://www.amazon.com/Bull-Pin-Connection-Klein-Tools-5416OCTO/dp/B00Y6WMEZW/ref=sr_1_4?keywords=Klein+Tools+5416+Tool+Bag%2C+Bull-Pin+and+Bolt+Pouch%2C+Belt+Strap+Connect%2C+5+x+10+x+9-Inch&amp;qid=1695174042&amp;sr=8-4")</f>
        <v>https://www.amazon.com/Bull-Pin-Connection-Klein-Tools-5416OCTO/dp/B00Y6WMEZW/ref=sr_1_4?keywords=Klein+Tools+5416+Tool+Bag%2C+Bull-Pin+and+Bolt+Pouch%2C+Belt+Strap+Connect%2C+5+x+10+x+9-Inch&amp;qid=1695174042&amp;sr=8-4</v>
      </c>
      <c r="F5613" t="s">
        <v>661</v>
      </c>
      <c r="G5613" t="e">
        <f ca="1">_xludf.IMAGE("https://edmondsonsupply.com/cdn/shop/products/5416.jpg?v=1679664980")</f>
        <v>#NAME?</v>
      </c>
      <c r="H5613" t="e">
        <f ca="1">_xludf.IMAGE("https://m.media-amazon.com/images/I/61SKfGzjXGL._AC_UL320_.jpg")</f>
        <v>#NAME?</v>
      </c>
      <c r="I5613" t="s">
        <v>6242</v>
      </c>
      <c r="J5613">
        <v>21</v>
      </c>
      <c r="K5613" s="4">
        <v>0.17979999999999999</v>
      </c>
      <c r="L5613">
        <v>4.8</v>
      </c>
      <c r="M5613">
        <v>513</v>
      </c>
      <c r="O5613" t="s">
        <v>25</v>
      </c>
      <c r="P5613" t="s">
        <v>6433</v>
      </c>
      <c r="Q5613" t="s">
        <v>6434</v>
      </c>
    </row>
    <row r="5614" spans="1:17" ht="15.5" x14ac:dyDescent="0.35">
      <c r="A5614"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5614" s="3" t="str">
        <f>HYPERLINK("https://edmondsonsupply.com/products/diablo-tools-dag1110-7-8-in-x-7-1-2-in-auger-bit", "https://edmondsonsupply.com/products/diablo-tools-dag1110-7-8-in-x-7-1-2-in-auger-bit")</f>
        <v>https://edmondsonsupply.com/products/diablo-tools-dag1110-7-8-in-x-7-1-2-in-auger-bit</v>
      </c>
      <c r="C5614" t="s">
        <v>6839</v>
      </c>
      <c r="D5614" t="s">
        <v>3797</v>
      </c>
      <c r="E5614" s="3" t="str">
        <f>HYPERLINK("https://www.amazon.com/Diablo-Freud-DAG1150-1-1-Auger/dp/B089LGR2GW/ref=sr_1_8?keywords=Diablo+Tools+DAG1110+7%2F8+in.+x+7-1%2F2+in.+Auger+Bit&amp;qid=1695174030&amp;sr=8-8", "https://www.amazon.com/Diablo-Freud-DAG1150-1-1-Auger/dp/B089LGR2GW/ref=sr_1_8?keywords=Diablo+Tools+DAG1110+7%2F8+in.+x+7-1%2F2+in.+Auger+Bit&amp;qid=1695174030&amp;sr=8-8")</f>
        <v>https://www.amazon.com/Diablo-Freud-DAG1150-1-1-Auger/dp/B089LGR2GW/ref=sr_1_8?keywords=Diablo+Tools+DAG1110+7%2F8+in.+x+7-1%2F2+in.+Auger+Bit&amp;qid=1695174030&amp;sr=8-8</v>
      </c>
      <c r="F5614" t="s">
        <v>3798</v>
      </c>
      <c r="G5614" t="e">
        <f ca="1">_xludf.IMAGE("https://edmondsonsupply.com/cdn/shop/products/yel7mbaiyy08ii0assd5.webp?v=1680187136")</f>
        <v>#NAME?</v>
      </c>
      <c r="H5614" t="e">
        <f ca="1">_xludf.IMAGE("https://m.media-amazon.com/images/I/71M61xRfPtL._AC_UL320_.jpg")</f>
        <v>#NAME?</v>
      </c>
      <c r="I5614" t="s">
        <v>4985</v>
      </c>
      <c r="J5614">
        <v>20</v>
      </c>
      <c r="K5614" s="4">
        <v>0.17860000000000001</v>
      </c>
      <c r="L5614">
        <v>4.5999999999999996</v>
      </c>
      <c r="M5614">
        <v>28</v>
      </c>
      <c r="O5614" t="s">
        <v>25</v>
      </c>
      <c r="P5614" t="s">
        <v>6840</v>
      </c>
      <c r="Q5614" t="s">
        <v>6841</v>
      </c>
    </row>
    <row r="5615" spans="1:17" ht="15.5" x14ac:dyDescent="0.35">
      <c r="A5615"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5615" s="3" t="str">
        <f>HYPERLINK("https://edmondsonsupply.com/products/klein-tools-jth4e17-1-2-inch-hex-key-journeyman-t-handle-4-inch", "https://edmondsonsupply.com/products/klein-tools-jth4e17-1-2-inch-hex-key-journeyman-t-handle-4-inch")</f>
        <v>https://edmondsonsupply.com/products/klein-tools-jth4e17-1-2-inch-hex-key-journeyman-t-handle-4-inch</v>
      </c>
      <c r="C5615" t="s">
        <v>2385</v>
      </c>
      <c r="D5615" t="s">
        <v>3905</v>
      </c>
      <c r="E5615" s="3" t="str">
        <f>HYPERLINK("https://www.amazon.com/Journeyman-T-Handle-Klein-Tools-JTH9M3/dp/B005G3HJ28/ref=sr_1_5?keywords=Klein+Tools+JTH4E11+3%2F16-Inch+Hex+Key+with+Journeyman+T-Handle%2C+4-Inch&amp;qid=1695173897&amp;sr=8-5", "https://www.amazon.com/Journeyman-T-Handle-Klein-Tools-JTH9M3/dp/B005G3HJ28/ref=sr_1_5?keywords=Klein+Tools+JTH4E11+3%2F16-Inch+Hex+Key+with+Journeyman+T-Handle%2C+4-Inch&amp;qid=1695173897&amp;sr=8-5")</f>
        <v>https://www.amazon.com/Journeyman-T-Handle-Klein-Tools-JTH9M3/dp/B005G3HJ28/ref=sr_1_5?keywords=Klein+Tools+JTH4E11+3%2F16-Inch+Hex+Key+with+Journeyman+T-Handle%2C+4-Inch&amp;qid=1695173897&amp;sr=8-5</v>
      </c>
      <c r="F5615" t="s">
        <v>3906</v>
      </c>
      <c r="G5615" t="e">
        <f ca="1">_xludf.IMAGE("https://edmondsonsupply.com/cdn/shop/products/jth4e17.jpg?v=1587144836")</f>
        <v>#NAME?</v>
      </c>
      <c r="H5615" t="e">
        <f ca="1">_xludf.IMAGE("https://m.media-amazon.com/images/I/51MZtGjDOtL._AC_UL320_.jpg")</f>
        <v>#NAME?</v>
      </c>
      <c r="I5615" t="s">
        <v>2388</v>
      </c>
      <c r="J5615">
        <v>5.88</v>
      </c>
      <c r="K5615" s="4">
        <v>0.1784</v>
      </c>
      <c r="L5615">
        <v>4.5999999999999996</v>
      </c>
      <c r="M5615">
        <v>179</v>
      </c>
      <c r="O5615" t="s">
        <v>25</v>
      </c>
      <c r="P5615" t="s">
        <v>2389</v>
      </c>
      <c r="Q5615" t="s">
        <v>2390</v>
      </c>
    </row>
    <row r="5616" spans="1:17" ht="15.5" x14ac:dyDescent="0.35">
      <c r="A5616"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5616" s="3" t="str">
        <f>HYPERLINK("https://edmondsonsupply.com/products/klein-tools-jth9m5-5-mm-hex-key-journeyman-t-handle-9-inch", "https://edmondsonsupply.com/products/klein-tools-jth9m5-5-mm-hex-key-journeyman-t-handle-9-inch")</f>
        <v>https://edmondsonsupply.com/products/klein-tools-jth9m5-5-mm-hex-key-journeyman-t-handle-9-inch</v>
      </c>
      <c r="C5616" t="s">
        <v>6167</v>
      </c>
      <c r="D5616" t="s">
        <v>3905</v>
      </c>
      <c r="E5616" s="3" t="str">
        <f>HYPERLINK("https://www.amazon.com/Journeyman-T-Handle-Klein-Tools-JTH9M3/dp/B005G3HJ28/ref=sr_1_7?keywords=Klein+Tools+JTH9M5+5+mm+Hex+Key%2C+Journeyman+T-Handle+9-Inch&amp;qid=1695174264&amp;sr=8-7", "https://www.amazon.com/Journeyman-T-Handle-Klein-Tools-JTH9M3/dp/B005G3HJ28/ref=sr_1_7?keywords=Klein+Tools+JTH9M5+5+mm+Hex+Key%2C+Journeyman+T-Handle+9-Inch&amp;qid=1695174264&amp;sr=8-7")</f>
        <v>https://www.amazon.com/Journeyman-T-Handle-Klein-Tools-JTH9M3/dp/B005G3HJ28/ref=sr_1_7?keywords=Klein+Tools+JTH9M5+5+mm+Hex+Key%2C+Journeyman+T-Handle+9-Inch&amp;qid=1695174264&amp;sr=8-7</v>
      </c>
      <c r="F5616" t="s">
        <v>3906</v>
      </c>
      <c r="G5616" t="e">
        <f ca="1">_xludf.IMAGE("https://edmondsonsupply.com/cdn/shop/products/jth9m_84ad507b-889a-4b5c-80a2-9633c898cd48.jpg?v=1633031048")</f>
        <v>#NAME?</v>
      </c>
      <c r="H5616" t="e">
        <f ca="1">_xludf.IMAGE("https://m.media-amazon.com/images/I/51MZtGjDOtL._AC_UL320_.jpg")</f>
        <v>#NAME?</v>
      </c>
      <c r="I5616" t="s">
        <v>2388</v>
      </c>
      <c r="J5616">
        <v>5.88</v>
      </c>
      <c r="K5616" s="4">
        <v>0.1784</v>
      </c>
      <c r="L5616">
        <v>4.5999999999999996</v>
      </c>
      <c r="M5616">
        <v>179</v>
      </c>
      <c r="O5616" t="s">
        <v>25</v>
      </c>
      <c r="P5616" t="s">
        <v>6168</v>
      </c>
      <c r="Q5616" t="s">
        <v>6169</v>
      </c>
    </row>
    <row r="5617" spans="1:17" ht="15.5" x14ac:dyDescent="0.35">
      <c r="A5617"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5617"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5617" t="s">
        <v>6358</v>
      </c>
      <c r="D5617" t="s">
        <v>3905</v>
      </c>
      <c r="E5617" s="3" t="str">
        <f>HYPERLINK("https://www.amazon.com/Journeyman-T-Handle-Klein-Tools-JTH9M3/dp/B005G3HJ28/ref=sr_1_4?keywords=Klein+Tools+JTH6M3BE+3+mm+Ball+Hex+Key+Journeyman+T-Handle+6-Inch&amp;qid=1695174181&amp;sr=8-4", "https://www.amazon.com/Journeyman-T-Handle-Klein-Tools-JTH9M3/dp/B005G3HJ28/ref=sr_1_4?keywords=Klein+Tools+JTH6M3BE+3+mm+Ball+Hex+Key+Journeyman+T-Handle+6-Inch&amp;qid=1695174181&amp;sr=8-4")</f>
        <v>https://www.amazon.com/Journeyman-T-Handle-Klein-Tools-JTH9M3/dp/B005G3HJ28/ref=sr_1_4?keywords=Klein+Tools+JTH6M3BE+3+mm+Ball+Hex+Key+Journeyman+T-Handle+6-Inch&amp;qid=1695174181&amp;sr=8-4</v>
      </c>
      <c r="F5617" t="s">
        <v>3906</v>
      </c>
      <c r="G5617" t="e">
        <f ca="1">_xludf.IMAGE("https://edmondsonsupply.com/cdn/shop/products/jth6m8be_1b0aeba1-6d03-4a46-99d8-f6853368c71f.jpg?v=1655941616")</f>
        <v>#NAME?</v>
      </c>
      <c r="H5617" t="e">
        <f ca="1">_xludf.IMAGE("https://m.media-amazon.com/images/I/51MZtGjDOtL._AC_UL320_.jpg")</f>
        <v>#NAME?</v>
      </c>
      <c r="I5617" t="s">
        <v>2388</v>
      </c>
      <c r="J5617">
        <v>5.88</v>
      </c>
      <c r="K5617" s="4">
        <v>0.1784</v>
      </c>
      <c r="L5617">
        <v>4.5999999999999996</v>
      </c>
      <c r="M5617">
        <v>179</v>
      </c>
      <c r="O5617" t="s">
        <v>25</v>
      </c>
      <c r="P5617" t="s">
        <v>2392</v>
      </c>
      <c r="Q5617" t="s">
        <v>6359</v>
      </c>
    </row>
    <row r="5618" spans="1:17" ht="15.5" x14ac:dyDescent="0.35">
      <c r="A5618"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5618"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5618" t="s">
        <v>2391</v>
      </c>
      <c r="D5618" t="s">
        <v>3905</v>
      </c>
      <c r="E5618" s="3" t="str">
        <f>HYPERLINK("https://www.amazon.com/Journeyman-T-Handle-Klein-Tools-JTH9M3/dp/B005G3HJ28/ref=sr_1_8?keywords=Klein+Tools+JTH6E11+3%2F16-Inch+Hex+Key%2C+Journeyman+T-Handle%2C+6-Inch&amp;qid=1695173898&amp;sr=8-8", "https://www.amazon.com/Journeyman-T-Handle-Klein-Tools-JTH9M3/dp/B005G3HJ28/ref=sr_1_8?keywords=Klein+Tools+JTH6E11+3%2F16-Inch+Hex+Key%2C+Journeyman+T-Handle%2C+6-Inch&amp;qid=1695173898&amp;sr=8-8")</f>
        <v>https://www.amazon.com/Journeyman-T-Handle-Klein-Tools-JTH9M3/dp/B005G3HJ28/ref=sr_1_8?keywords=Klein+Tools+JTH6E11+3%2F16-Inch+Hex+Key%2C+Journeyman+T-Handle%2C+6-Inch&amp;qid=1695173898&amp;sr=8-8</v>
      </c>
      <c r="F5618" t="s">
        <v>3906</v>
      </c>
      <c r="G5618" t="e">
        <f ca="1">_xludf.IMAGE("https://edmondsonsupply.com/cdn/shop/products/jth6e15_0266106d-0a3b-44ba-997b-66db7749d83f.jpg?v=1587144829")</f>
        <v>#NAME?</v>
      </c>
      <c r="H5618" t="e">
        <f ca="1">_xludf.IMAGE("https://m.media-amazon.com/images/I/51MZtGjDOtL._AC_UL320_.jpg")</f>
        <v>#NAME?</v>
      </c>
      <c r="I5618" t="s">
        <v>2388</v>
      </c>
      <c r="J5618">
        <v>5.88</v>
      </c>
      <c r="K5618" s="4">
        <v>0.1784</v>
      </c>
      <c r="L5618">
        <v>4.5999999999999996</v>
      </c>
      <c r="M5618">
        <v>179</v>
      </c>
      <c r="O5618" t="s">
        <v>25</v>
      </c>
      <c r="P5618" t="s">
        <v>2392</v>
      </c>
      <c r="Q5618" t="s">
        <v>2393</v>
      </c>
    </row>
    <row r="5619" spans="1:17" ht="15.5" x14ac:dyDescent="0.35">
      <c r="A5619"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5619"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5619" t="s">
        <v>6425</v>
      </c>
      <c r="D5619" t="s">
        <v>6643</v>
      </c>
      <c r="E5619" s="3" t="str">
        <f>HYPERLINK("https://www.amazon.com/Receptacle-Electrical-Klein-Tools-RT250/dp/B08QW7K1JJ/ref=sr_1_4?keywords=Klein+Tools+ET45VP+AC%2FDC+Voltage+and+GFCI+Receptacle+Outlet+Test+Kit&amp;qid=1695174178&amp;sr=8-4", "https://www.amazon.com/Receptacle-Electrical-Klein-Tools-RT250/dp/B08QW7K1JJ/ref=sr_1_4?keywords=Klein+Tools+ET45VP+AC%2FDC+Voltage+and+GFCI+Receptacle+Outlet+Test+Kit&amp;qid=1695174178&amp;sr=8-4")</f>
        <v>https://www.amazon.com/Receptacle-Electrical-Klein-Tools-RT250/dp/B08QW7K1JJ/ref=sr_1_4?keywords=Klein+Tools+ET45VP+AC%2FDC+Voltage+and+GFCI+Receptacle+Outlet+Test+Kit&amp;qid=1695174178&amp;sr=8-4</v>
      </c>
      <c r="F5619" t="s">
        <v>6644</v>
      </c>
      <c r="G5619" t="e">
        <f ca="1">_xludf.IMAGE("https://edmondsonsupply.com/cdn/shop/products/et45vp.jpg?v=1660755922")</f>
        <v>#NAME?</v>
      </c>
      <c r="H5619" t="e">
        <f ca="1">_xludf.IMAGE("https://m.media-amazon.com/images/I/61j28ynJ7bL._AC_UL320_.jpg")</f>
        <v>#NAME?</v>
      </c>
      <c r="I5619" t="s">
        <v>2586</v>
      </c>
      <c r="J5619">
        <v>21.17</v>
      </c>
      <c r="K5619" s="4">
        <v>0.17810000000000001</v>
      </c>
      <c r="L5619">
        <v>4.8</v>
      </c>
      <c r="M5619">
        <v>7966</v>
      </c>
      <c r="O5619" t="s">
        <v>25</v>
      </c>
      <c r="P5619" t="s">
        <v>6426</v>
      </c>
      <c r="Q5619" t="s">
        <v>6427</v>
      </c>
    </row>
    <row r="5620" spans="1:17" ht="15.5" x14ac:dyDescent="0.35">
      <c r="A5620" s="3" t="str">
        <f>HYPERLINK("https://edmondsonsupply.com/collections/electricians-tools/products/fluke-t5-600", "https://edmondsonsupply.com/collections/electricians-tools/products/fluke-t5-600")</f>
        <v>https://edmondsonsupply.com/collections/electricians-tools/products/fluke-t5-600</v>
      </c>
      <c r="B5620" s="3" t="str">
        <f>HYPERLINK("https://edmondsonsupply.com/products/fluke-t5-600", "https://edmondsonsupply.com/products/fluke-t5-600")</f>
        <v>https://edmondsonsupply.com/products/fluke-t5-600</v>
      </c>
      <c r="C5620" t="s">
        <v>3397</v>
      </c>
      <c r="D5620" t="s">
        <v>3907</v>
      </c>
      <c r="E5620" s="3" t="str">
        <f>HYPERLINK("https://www.amazon.com/Fluke-Continuity-NIST-Traceable-Calibration-Certificate/dp/B00DK89Y7O/ref=sr_1_2?keywords=Fluke+T5-600+Voltage%2C+Continuity+and+Current+Tester%2C+600V+AC%2FDC&amp;qid=1695173856&amp;sr=8-2", "https://www.amazon.com/Fluke-Continuity-NIST-Traceable-Calibration-Certificate/dp/B00DK89Y7O/ref=sr_1_2?keywords=Fluke+T5-600+Voltage%2C+Continuity+and+Current+Tester%2C+600V+AC%2FDC&amp;qid=1695173856&amp;sr=8-2")</f>
        <v>https://www.amazon.com/Fluke-Continuity-NIST-Traceable-Calibration-Certificate/dp/B00DK89Y7O/ref=sr_1_2?keywords=Fluke+T5-600+Voltage%2C+Continuity+and+Current+Tester%2C+600V+AC%2FDC&amp;qid=1695173856&amp;sr=8-2</v>
      </c>
      <c r="F5620" t="s">
        <v>3908</v>
      </c>
      <c r="G5620" t="e">
        <f ca="1">_xludf.IMAGE("https://edmondsonsupply.com/cdn/shop/products/F-t5-600-euro_03a_c.jpg?v=1633030279")</f>
        <v>#NAME?</v>
      </c>
      <c r="H5620" t="e">
        <f ca="1">_xludf.IMAGE("https://m.media-amazon.com/images/I/61MauP-WopL._AC_UL320_.jpg")</f>
        <v>#NAME?</v>
      </c>
      <c r="I5620" t="s">
        <v>3400</v>
      </c>
      <c r="J5620">
        <v>162.47999999999999</v>
      </c>
      <c r="K5620" s="4">
        <v>0.17749999999999999</v>
      </c>
      <c r="L5620">
        <v>4.5999999999999996</v>
      </c>
      <c r="M5620">
        <v>21</v>
      </c>
      <c r="O5620" t="s">
        <v>25</v>
      </c>
      <c r="P5620" t="s">
        <v>3401</v>
      </c>
      <c r="Q5620" t="s">
        <v>3402</v>
      </c>
    </row>
    <row r="5621" spans="1:17" ht="15.5" x14ac:dyDescent="0.35">
      <c r="A5621" s="3" t="str">
        <f>HYPERLINK("https://edmondsonsupply.com/collections/electricians-tools/products/channellock-804", "https://edmondsonsupply.com/collections/electricians-tools/products/channellock-804")</f>
        <v>https://edmondsonsupply.com/collections/electricians-tools/products/channellock-804</v>
      </c>
      <c r="B5621" s="3" t="str">
        <f>HYPERLINK("https://edmondsonsupply.com/products/channellock-804", "https://edmondsonsupply.com/products/channellock-804")</f>
        <v>https://edmondsonsupply.com/products/channellock-804</v>
      </c>
      <c r="C5621" t="s">
        <v>1551</v>
      </c>
      <c r="D5621" t="s">
        <v>3911</v>
      </c>
      <c r="E5621" s="3" t="str">
        <f>HYPERLINK("https://www.amazon.com/Channellock-808W-8-Inch-Adjustable-Wrench/dp/B000UJQ6EA/ref=sr_1_5?keywords=Channellock+804+4-Inch+Chrome+Adjustable+Wrench&amp;qid=1695173945&amp;sr=8-5", "https://www.amazon.com/Channellock-808W-8-Inch-Adjustable-Wrench/dp/B000UJQ6EA/ref=sr_1_5?keywords=Channellock+804+4-Inch+Chrome+Adjustable+Wrench&amp;qid=1695173945&amp;sr=8-5")</f>
        <v>https://www.amazon.com/Channellock-808W-8-Inch-Adjustable-Wrench/dp/B000UJQ6EA/ref=sr_1_5?keywords=Channellock+804+4-Inch+Chrome+Adjustable+Wrench&amp;qid=1695173945&amp;sr=8-5</v>
      </c>
      <c r="F5621" t="s">
        <v>3912</v>
      </c>
      <c r="G5621" t="e">
        <f ca="1">_xludf.IMAGE("https://edmondsonsupply.com/cdn/shop/products/804-683x1024.jpg?v=1587145853")</f>
        <v>#NAME?</v>
      </c>
      <c r="H5621" t="e">
        <f ca="1">_xludf.IMAGE("https://m.media-amazon.com/images/I/71Gsk0R5dIL._AC_UL320_.jpg")</f>
        <v>#NAME?</v>
      </c>
      <c r="I5621" t="s">
        <v>1554</v>
      </c>
      <c r="J5621">
        <v>19.95</v>
      </c>
      <c r="K5621" s="4">
        <v>0.17699999999999999</v>
      </c>
      <c r="L5621">
        <v>4.8</v>
      </c>
      <c r="M5621">
        <v>368</v>
      </c>
      <c r="O5621" t="s">
        <v>25</v>
      </c>
      <c r="P5621" t="s">
        <v>1555</v>
      </c>
      <c r="Q5621" t="s">
        <v>1556</v>
      </c>
    </row>
    <row r="5622" spans="1:17" ht="15.5" x14ac:dyDescent="0.35">
      <c r="A5622" s="3" t="str">
        <f>HYPERLINK("https://edmondsonsupply.com/collections/electricians-tools/products/channellock-428", "https://edmondsonsupply.com/collections/electricians-tools/products/channellock-428")</f>
        <v>https://edmondsonsupply.com/collections/electricians-tools/products/channellock-428</v>
      </c>
      <c r="B5622" s="3" t="str">
        <f>HYPERLINK("https://edmondsonsupply.com/products/channellock-428", "https://edmondsonsupply.com/products/channellock-428")</f>
        <v>https://edmondsonsupply.com/products/channellock-428</v>
      </c>
      <c r="C5622" t="s">
        <v>1791</v>
      </c>
      <c r="D5622" t="s">
        <v>3909</v>
      </c>
      <c r="E5622" s="3" t="str">
        <f>HYPERLINK("https://www.amazon.com/Channellock-430-Straight-Heat-Treated-Reinforcing/dp/B00002N5JF/ref=sr_1_6?keywords=Channellock+428+8-Inch+Straight+Jaw+Tongue+%26+Groove+Pliers&amp;qid=1695173963&amp;sr=8-6", "https://www.amazon.com/Channellock-430-Straight-Heat-Treated-Reinforcing/dp/B00002N5JF/ref=sr_1_6?keywords=Channellock+428+8-Inch+Straight+Jaw+Tongue+%26+Groove+Pliers&amp;qid=1695173963&amp;sr=8-6")</f>
        <v>https://www.amazon.com/Channellock-430-Straight-Heat-Treated-Reinforcing/dp/B00002N5JF/ref=sr_1_6?keywords=Channellock+428+8-Inch+Straight+Jaw+Tongue+%26+Groove+Pliers&amp;qid=1695173963&amp;sr=8-6</v>
      </c>
      <c r="F5622" t="s">
        <v>3910</v>
      </c>
      <c r="G5622" t="e">
        <f ca="1">_xludf.IMAGE("https://edmondsonsupply.com/cdn/shop/products/428-683x1024.jpg?v=1587145854")</f>
        <v>#NAME?</v>
      </c>
      <c r="H5622" t="e">
        <f ca="1">_xludf.IMAGE("https://m.media-amazon.com/images/I/71JqgqffnnL._AC_UL320_.jpg")</f>
        <v>#NAME?</v>
      </c>
      <c r="I5622" t="s">
        <v>1554</v>
      </c>
      <c r="J5622">
        <v>19.95</v>
      </c>
      <c r="K5622" s="4">
        <v>0.17699999999999999</v>
      </c>
      <c r="L5622">
        <v>4.8</v>
      </c>
      <c r="M5622">
        <v>2191</v>
      </c>
      <c r="O5622" t="s">
        <v>25</v>
      </c>
      <c r="P5622" t="s">
        <v>1794</v>
      </c>
      <c r="Q5622" t="s">
        <v>1795</v>
      </c>
    </row>
    <row r="5623" spans="1:17" ht="15.5" x14ac:dyDescent="0.35">
      <c r="A5623" s="3" t="str">
        <f>HYPERLINK("https://edmondsonsupply.com/collections/electricians-tools/products/rack-a-tiers-11455-wire-dispenser", "https://edmondsonsupply.com/collections/electricians-tools/products/rack-a-tiers-11455-wire-dispenser")</f>
        <v>https://edmondsonsupply.com/collections/electricians-tools/products/rack-a-tiers-11455-wire-dispenser</v>
      </c>
      <c r="B5623" s="3" t="str">
        <f>HYPERLINK("https://edmondsonsupply.com/products/rack-a-tiers-11455-wire-dispenser", "https://edmondsonsupply.com/products/rack-a-tiers-11455-wire-dispenser")</f>
        <v>https://edmondsonsupply.com/products/rack-a-tiers-11455-wire-dispenser</v>
      </c>
      <c r="C5623" t="s">
        <v>7319</v>
      </c>
      <c r="D5623" t="s">
        <v>7526</v>
      </c>
      <c r="E5623" s="3" t="str">
        <f>HYPERLINK("https://www.amazon.com/Rack-Tiers-18455-Wire-Tub/dp/B0087TBRI0/ref=sr_1_10?keywords=Rack-A-Tiers+11455+Wire+Dispenser&amp;qid=1695173848&amp;sr=8-10", "https://www.amazon.com/Rack-Tiers-18455-Wire-Tub/dp/B0087TBRI0/ref=sr_1_10?keywords=Rack-A-Tiers+11455+Wire+Dispenser&amp;qid=1695173848&amp;sr=8-10")</f>
        <v>https://www.amazon.com/Rack-Tiers-18455-Wire-Tub/dp/B0087TBRI0/ref=sr_1_10?keywords=Rack-A-Tiers+11455+Wire+Dispenser&amp;qid=1695173848&amp;sr=8-10</v>
      </c>
      <c r="F5623" t="s">
        <v>7527</v>
      </c>
      <c r="G5623" t="e">
        <f ca="1">_xludf.IMAGE("https://edmondsonsupply.com/cdn/shop/products/11455.png?v=1587150070")</f>
        <v>#NAME?</v>
      </c>
      <c r="H5623" t="e">
        <f ca="1">_xludf.IMAGE("https://m.media-amazon.com/images/I/61aM91GUOYL._AC_UL320_.jpg")</f>
        <v>#NAME?</v>
      </c>
      <c r="I5623" t="s">
        <v>7322</v>
      </c>
      <c r="J5623">
        <v>123.99</v>
      </c>
      <c r="K5623" s="4">
        <v>0.17649999999999999</v>
      </c>
      <c r="L5623">
        <v>4.5999999999999996</v>
      </c>
      <c r="M5623">
        <v>82</v>
      </c>
      <c r="O5623" t="s">
        <v>25</v>
      </c>
      <c r="P5623" t="s">
        <v>4016</v>
      </c>
      <c r="Q5623" t="s">
        <v>7323</v>
      </c>
    </row>
    <row r="5624" spans="1:17" ht="15.5" x14ac:dyDescent="0.35">
      <c r="A5624" s="3" t="str">
        <f>HYPERLINK("https://edmondsonsupply.com/collections/electricians-tools/products/milwaukee-48-03-3012-sds-max-to-spline-adapter", "https://edmondsonsupply.com/collections/electricians-tools/products/milwaukee-48-03-3012-sds-max-to-spline-adapter")</f>
        <v>https://edmondsonsupply.com/collections/electricians-tools/products/milwaukee-48-03-3012-sds-max-to-spline-adapter</v>
      </c>
      <c r="B5624" s="3" t="str">
        <f>HYPERLINK("https://edmondsonsupply.com/products/milwaukee-48-03-3012-sds-max-to-spline-adapter", "https://edmondsonsupply.com/products/milwaukee-48-03-3012-sds-max-to-spline-adapter")</f>
        <v>https://edmondsonsupply.com/products/milwaukee-48-03-3012-sds-max-to-spline-adapter</v>
      </c>
      <c r="C5624" t="s">
        <v>7528</v>
      </c>
      <c r="D5624" t="s">
        <v>6365</v>
      </c>
      <c r="E5624" s="3" t="str">
        <f>HYPERLINK("https://www.amazon.com/Milwaukee-48-03-3012-SDS-Max-Spline-Adapter/dp/B00I3PGEOA/ref=sr_1_1?keywords=Milwaukee+48-03-3012+SDS-MAX+to+Spline+Bit+Adapter&amp;qid=1695174085&amp;sr=8-1", "https://www.amazon.com/Milwaukee-48-03-3012-SDS-Max-Spline-Adapter/dp/B00I3PGEOA/ref=sr_1_1?keywords=Milwaukee+48-03-3012+SDS-MAX+to+Spline+Bit+Adapter&amp;qid=1695174085&amp;sr=8-1")</f>
        <v>https://www.amazon.com/Milwaukee-48-03-3012-SDS-Max-Spline-Adapter/dp/B00I3PGEOA/ref=sr_1_1?keywords=Milwaukee+48-03-3012+SDS-MAX+to+Spline+Bit+Adapter&amp;qid=1695174085&amp;sr=8-1</v>
      </c>
      <c r="F5624" t="s">
        <v>6366</v>
      </c>
      <c r="G5624" t="e">
        <f ca="1">_xludf.IMAGE("https://edmondsonsupply.com/cdn/shop/products/48-03-3012.jpg?v=1674074396")</f>
        <v>#NAME?</v>
      </c>
      <c r="H5624" t="e">
        <f ca="1">_xludf.IMAGE("https://m.media-amazon.com/images/I/61QrQEYLIrL._AC_UL320_.jpg")</f>
        <v>#NAME?</v>
      </c>
      <c r="I5624" t="s">
        <v>7529</v>
      </c>
      <c r="J5624">
        <v>166.85</v>
      </c>
      <c r="K5624" s="4">
        <v>0.17599999999999999</v>
      </c>
      <c r="L5624">
        <v>4.5999999999999996</v>
      </c>
      <c r="M5624">
        <v>2</v>
      </c>
      <c r="O5624" t="s">
        <v>25</v>
      </c>
      <c r="P5624" t="s">
        <v>7530</v>
      </c>
      <c r="Q5624" t="s">
        <v>7531</v>
      </c>
    </row>
    <row r="5625" spans="1:17" ht="15.5" x14ac:dyDescent="0.35">
      <c r="A5625"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5625" s="3" t="str">
        <f>HYPERLINK("https://edmondsonsupply.com/products/milwaukee-49-56-0505-1-4-diamond-max%e2%84%a2-hole-saw", "https://edmondsonsupply.com/products/milwaukee-49-56-0505-1-4-diamond-max%e2%84%a2-hole-saw")</f>
        <v>https://edmondsonsupply.com/products/milwaukee-49-56-0505-1-4-diamond-max%e2%84%a2-hole-saw</v>
      </c>
      <c r="C5625" t="s">
        <v>6614</v>
      </c>
      <c r="D5625" t="s">
        <v>7532</v>
      </c>
      <c r="E5625" s="3" t="str">
        <f>HYPERLINK("https://www.amazon.com/Milwaukee-49-56-0515-Diamond-One-Piece-Hole/dp/B00LCU108S/ref=sr_1_10?keywords=Milwaukee+49-56-0505+1%2F4%22+Diamond+MAX%E2%84%A2+Hole+Saw&amp;qid=1695174028&amp;sr=8-10", "https://www.amazon.com/Milwaukee-49-56-0515-Diamond-One-Piece-Hole/dp/B00LCU108S/ref=sr_1_10?keywords=Milwaukee+49-56-0505+1%2F4%22+Diamond+MAX%E2%84%A2+Hole+Saw&amp;qid=1695174028&amp;sr=8-10")</f>
        <v>https://www.amazon.com/Milwaukee-49-56-0515-Diamond-One-Piece-Hole/dp/B00LCU108S/ref=sr_1_10?keywords=Milwaukee+49-56-0505+1%2F4%22+Diamond+MAX%E2%84%A2+Hole+Saw&amp;qid=1695174028&amp;sr=8-10</v>
      </c>
      <c r="F5625" t="s">
        <v>7533</v>
      </c>
      <c r="G5625" t="e">
        <f ca="1">_xludf.IMAGE("https://edmondsonsupply.com/cdn/shop/products/49-56-0507_1.png?v=1680111300")</f>
        <v>#NAME?</v>
      </c>
      <c r="H5625" t="e">
        <f ca="1">_xludf.IMAGE("https://m.media-amazon.com/images/I/61m0il20UYL._AC_UL320_.jpg")</f>
        <v>#NAME?</v>
      </c>
      <c r="I5625" t="s">
        <v>577</v>
      </c>
      <c r="J5625">
        <v>23.5</v>
      </c>
      <c r="K5625" s="4">
        <v>0.17560000000000001</v>
      </c>
      <c r="L5625">
        <v>4.5</v>
      </c>
      <c r="M5625">
        <v>39</v>
      </c>
      <c r="O5625" t="s">
        <v>25</v>
      </c>
      <c r="P5625" t="s">
        <v>6617</v>
      </c>
      <c r="Q5625" t="s">
        <v>6618</v>
      </c>
    </row>
    <row r="5626" spans="1:17" ht="15.5" x14ac:dyDescent="0.35">
      <c r="A5626" s="3" t="str">
        <f>HYPERLINK("https://edmondsonsupply.com/collections/electricians-tools/products/klein-tools-pnd-916-10-9-16-inch-power-nut-driver-10-inch-length-pnd91610", "https://edmondsonsupply.com/collections/electricians-tools/products/klein-tools-pnd-916-10-9-16-inch-power-nut-driver-10-inch-length-pnd91610")</f>
        <v>https://edmondsonsupply.com/collections/electricians-tools/products/klein-tools-pnd-916-10-9-16-inch-power-nut-driver-10-inch-length-pnd91610</v>
      </c>
      <c r="B5626" s="3" t="str">
        <f>HYPERLINK("https://edmondsonsupply.com/products/klein-tools-pnd-916-10-9-16-inch-power-nut-driver-10-inch-length-pnd91610", "https://edmondsonsupply.com/products/klein-tools-pnd-916-10-9-16-inch-power-nut-driver-10-inch-length-pnd91610")</f>
        <v>https://edmondsonsupply.com/products/klein-tools-pnd-916-10-9-16-inch-power-nut-driver-10-inch-length-pnd91610</v>
      </c>
      <c r="C5626" t="s">
        <v>3920</v>
      </c>
      <c r="D5626" t="s">
        <v>3920</v>
      </c>
      <c r="E5626" s="3" t="str">
        <f>HYPERLINK("https://www.amazon.com/16-Inch-10-Inch-Klein-Tools-PND91610/dp/B00ELGQ9WC/ref=sr_1_1?keywords=Klein+Tools+PND91610+9%2F16-Inch+Power+Nut+Driver%2C+10-Inch+Length&amp;qid=1695173919&amp;sr=8-1", "https://www.amazon.com/16-Inch-10-Inch-Klein-Tools-PND91610/dp/B00ELGQ9WC/ref=sr_1_1?keywords=Klein+Tools+PND91610+9%2F16-Inch+Power+Nut+Driver%2C+10-Inch+Length&amp;qid=1695173919&amp;sr=8-1")</f>
        <v>https://www.amazon.com/16-Inch-10-Inch-Klein-Tools-PND91610/dp/B00ELGQ9WC/ref=sr_1_1?keywords=Klein+Tools+PND91610+9%2F16-Inch+Power+Nut+Driver%2C+10-Inch+Length&amp;qid=1695173919&amp;sr=8-1</v>
      </c>
      <c r="F5626" t="s">
        <v>3921</v>
      </c>
      <c r="G5626" t="e">
        <f ca="1">_xludf.IMAGE("https://edmondsonsupply.com/cdn/shop/products/pnd91610.jpg?v=1587144987")</f>
        <v>#NAME?</v>
      </c>
      <c r="H5626" t="e">
        <f ca="1">_xludf.IMAGE("https://m.media-amazon.com/images/I/31wQ2+L9xFL._AC_UL320_.jpg")</f>
        <v>#NAME?</v>
      </c>
      <c r="I5626" t="s">
        <v>471</v>
      </c>
      <c r="J5626">
        <v>29.36</v>
      </c>
      <c r="K5626" s="4">
        <v>0.1749</v>
      </c>
      <c r="L5626">
        <v>4.5999999999999996</v>
      </c>
      <c r="M5626">
        <v>1108</v>
      </c>
      <c r="O5626" t="s">
        <v>25</v>
      </c>
      <c r="P5626" t="s">
        <v>472</v>
      </c>
      <c r="Q5626" t="s">
        <v>3922</v>
      </c>
    </row>
    <row r="5627" spans="1:17" ht="15.5" x14ac:dyDescent="0.35">
      <c r="A5627"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627" s="3" t="str">
        <f>HYPERLINK("https://edmondsonsupply.com/products/klein-tools-jth6m10-10-mm-hex-key-journeyman-t-handle-6-inch", "https://edmondsonsupply.com/products/klein-tools-jth6m10-10-mm-hex-key-journeyman-t-handle-6-inch")</f>
        <v>https://edmondsonsupply.com/products/klein-tools-jth6m10-10-mm-hex-key-journeyman-t-handle-6-inch</v>
      </c>
      <c r="C5627" t="s">
        <v>6945</v>
      </c>
      <c r="D5627" t="s">
        <v>2386</v>
      </c>
      <c r="E5627" s="3" t="str">
        <f>HYPERLINK("https://www.amazon.com/Journeyman-T-Handle-Klein-Tools-JTH6E13BE/dp/B004QW52YW/ref=sr_1_7?keywords=Klein+Tools+JTH6M10+10+mm+Hex+Key+Journeyman+T-Handle+6-Inch&amp;qid=1695174255&amp;sr=8-7", "https://www.amazon.com/Journeyman-T-Handle-Klein-Tools-JTH6E13BE/dp/B004QW52YW/ref=sr_1_7?keywords=Klein+Tools+JTH6M10+10+mm+Hex+Key+Journeyman+T-Handle+6-Inch&amp;qid=1695174255&amp;sr=8-7")</f>
        <v>https://www.amazon.com/Journeyman-T-Handle-Klein-Tools-JTH6E13BE/dp/B004QW52YW/ref=sr_1_7?keywords=Klein+Tools+JTH6M10+10+mm+Hex+Key+Journeyman+T-Handle+6-Inch&amp;qid=1695174255&amp;sr=8-7</v>
      </c>
      <c r="F5627" t="s">
        <v>2387</v>
      </c>
      <c r="G5627" t="e">
        <f ca="1">_xludf.IMAGE("https://edmondsonsupply.com/cdn/shop/products/jth6m8_64c2c8d3-e13e-4b81-9b34-745be7fd837a.jpg?v=1627827117")</f>
        <v>#NAME?</v>
      </c>
      <c r="H5627" t="e">
        <f ca="1">_xludf.IMAGE("https://m.media-amazon.com/images/I/51f9vBFVXgL._AC_UL320_.jpg")</f>
        <v>#NAME?</v>
      </c>
      <c r="I5627" t="s">
        <v>924</v>
      </c>
      <c r="J5627">
        <v>10.55</v>
      </c>
      <c r="K5627" s="4">
        <v>0.17349999999999999</v>
      </c>
      <c r="L5627">
        <v>4.7</v>
      </c>
      <c r="M5627">
        <v>32</v>
      </c>
      <c r="O5627" t="s">
        <v>25</v>
      </c>
      <c r="P5627" t="s">
        <v>6946</v>
      </c>
      <c r="Q5627" t="s">
        <v>6947</v>
      </c>
    </row>
    <row r="5628" spans="1:17" ht="15.5" x14ac:dyDescent="0.35">
      <c r="A5628" s="3" t="str">
        <f>HYPERLINK("https://edmondsonsupply.com/collections/electricians-tools/products/diablo-tools-dmapl2500-7-8-in-x-8-in-x-10-in-sds-plus-2-cutter", "https://edmondsonsupply.com/collections/electricians-tools/products/diablo-tools-dmapl2500-7-8-in-x-8-in-x-10-in-sds-plus-2-cutter")</f>
        <v>https://edmondsonsupply.com/collections/electricians-tools/products/diablo-tools-dmapl2500-7-8-in-x-8-in-x-10-in-sds-plus-2-cutter</v>
      </c>
      <c r="B5628" s="3" t="str">
        <f>HYPERLINK("https://edmondsonsupply.com/products/diablo-tools-dmapl2500-7-8-in-x-8-in-x-10-in-sds-plus-2-cutter", "https://edmondsonsupply.com/products/diablo-tools-dmapl2500-7-8-in-x-8-in-x-10-in-sds-plus-2-cutter")</f>
        <v>https://edmondsonsupply.com/products/diablo-tools-dmapl2500-7-8-in-x-8-in-x-10-in-sds-plus-2-cutter</v>
      </c>
      <c r="C5628" t="s">
        <v>7534</v>
      </c>
      <c r="D5628" t="s">
        <v>5560</v>
      </c>
      <c r="E5628" s="3" t="str">
        <f>HYPERLINK("https://www.amazon.com/Diablo-Freud-DMAPL4300-SDS-Plus-4-Cutter/dp/B089LL8JD8/ref=sr_1_3?keywords=Diablo+Tools+DMAPL2500+7%2F8+in.+x+8+in.+x+10+in.+SDS-Plus+2-Cutter&amp;qid=1695174221&amp;sr=8-3", "https://www.amazon.com/Diablo-Freud-DMAPL4300-SDS-Plus-4-Cutter/dp/B089LL8JD8/ref=sr_1_3?keywords=Diablo+Tools+DMAPL2500+7%2F8+in.+x+8+in.+x+10+in.+SDS-Plus+2-Cutter&amp;qid=1695174221&amp;sr=8-3")</f>
        <v>https://www.amazon.com/Diablo-Freud-DMAPL4300-SDS-Plus-4-Cutter/dp/B089LL8JD8/ref=sr_1_3?keywords=Diablo+Tools+DMAPL2500+7%2F8+in.+x+8+in.+x+10+in.+SDS-Plus+2-Cutter&amp;qid=1695174221&amp;sr=8-3</v>
      </c>
      <c r="F5628" t="s">
        <v>5561</v>
      </c>
      <c r="G5628" t="e">
        <f ca="1">_xludf.IMAGE("https://edmondsonsupply.com/cdn/shop/products/2500.webp?v=1647636219")</f>
        <v>#NAME?</v>
      </c>
      <c r="H5628" t="e">
        <f ca="1">_xludf.IMAGE("https://m.media-amazon.com/images/I/616UiJGsK1L._AC_UL320_.jpg")</f>
        <v>#NAME?</v>
      </c>
      <c r="I5628" t="s">
        <v>7535</v>
      </c>
      <c r="J5628">
        <v>33.99</v>
      </c>
      <c r="K5628" s="4">
        <v>0.17330000000000001</v>
      </c>
      <c r="L5628">
        <v>4.5</v>
      </c>
      <c r="M5628">
        <v>16</v>
      </c>
      <c r="O5628" t="s">
        <v>25</v>
      </c>
      <c r="P5628" t="s">
        <v>6809</v>
      </c>
      <c r="Q5628" t="s">
        <v>7536</v>
      </c>
    </row>
    <row r="5629" spans="1:17" ht="15.5" x14ac:dyDescent="0.35">
      <c r="A5629"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5629"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5629" t="s">
        <v>6861</v>
      </c>
      <c r="D5629" t="s">
        <v>5231</v>
      </c>
      <c r="E5629" s="3" t="str">
        <f>HYPERLINK("https://www.amazon.com/Klein-Tools-CL320-Digital-Electrical/dp/B08DDTV5KG/ref=sr_1_2?keywords=Klein+Tools+CL220+Digital+Clamp+Meter%2C+AC+Auto-Ranging+400+Amp+with+Temp&amp;qid=1695174305&amp;sr=8-2", "https://www.amazon.com/Klein-Tools-CL320-Digital-Electrical/dp/B08DDTV5KG/ref=sr_1_2?keywords=Klein+Tools+CL220+Digital+Clamp+Meter%2C+AC+Auto-Ranging+400+Amp+with+Temp&amp;qid=1695174305&amp;sr=8-2")</f>
        <v>https://www.amazon.com/Klein-Tools-CL320-Digital-Electrical/dp/B08DDTV5KG/ref=sr_1_2?keywords=Klein+Tools+CL220+Digital+Clamp+Meter%2C+AC+Auto-Ranging+400+Amp+with+Temp&amp;qid=1695174305&amp;sr=8-2</v>
      </c>
      <c r="F5629" t="s">
        <v>5232</v>
      </c>
      <c r="G5629" t="e">
        <f ca="1">_xludf.IMAGE("https://edmondsonsupply.com/cdn/shop/products/cl220.jpg?v=1633030821")</f>
        <v>#NAME?</v>
      </c>
      <c r="H5629" t="e">
        <f ca="1">_xludf.IMAGE("https://m.media-amazon.com/images/I/61qVZZBNj2L._AC_UY218_.jpg")</f>
        <v>#NAME?</v>
      </c>
      <c r="I5629" t="s">
        <v>356</v>
      </c>
      <c r="J5629">
        <v>81.99</v>
      </c>
      <c r="K5629" s="4">
        <v>0.17180000000000001</v>
      </c>
      <c r="L5629">
        <v>4.8</v>
      </c>
      <c r="M5629">
        <v>994</v>
      </c>
      <c r="O5629" t="s">
        <v>25</v>
      </c>
      <c r="P5629" t="s">
        <v>6864</v>
      </c>
      <c r="Q5629" t="s">
        <v>6865</v>
      </c>
    </row>
    <row r="5630" spans="1:17" ht="15.5" x14ac:dyDescent="0.35">
      <c r="A5630"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5630"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5630" t="s">
        <v>6674</v>
      </c>
      <c r="D5630" t="s">
        <v>7537</v>
      </c>
      <c r="E5630" s="3" t="str">
        <f>HYPERLINK("https://www.amazon.com/Journeyman-T-Handle-Klein-Tools-JTH6M8/dp/B005G395P2/ref=sr_1_4?keywords=Klein+Tools+JTH9M8+8+mm+Hex+Key%2C+Journeyman%E2%84%A2+T-Handle%2C+9-Inch&amp;qid=1695174169&amp;sr=8-4", "https://www.amazon.com/Journeyman-T-Handle-Klein-Tools-JTH6M8/dp/B005G395P2/ref=sr_1_4?keywords=Klein+Tools+JTH9M8+8+mm+Hex+Key%2C+Journeyman%E2%84%A2+T-Handle%2C+9-Inch&amp;qid=1695174169&amp;sr=8-4")</f>
        <v>https://www.amazon.com/Journeyman-T-Handle-Klein-Tools-JTH6M8/dp/B005G395P2/ref=sr_1_4?keywords=Klein+Tools+JTH9M8+8+mm+Hex+Key%2C+Journeyman%E2%84%A2+T-Handle%2C+9-Inch&amp;qid=1695174169&amp;sr=8-4</v>
      </c>
      <c r="F5630" t="s">
        <v>7538</v>
      </c>
      <c r="G5630" t="e">
        <f ca="1">_xludf.IMAGE("https://edmondsonsupply.com/cdn/shop/products/jth6m8_03ba3d30-ff38-4b9e-93e7-b0fc6da199d0.jpg?v=1662658324")</f>
        <v>#NAME?</v>
      </c>
      <c r="H5630" t="e">
        <f ca="1">_xludf.IMAGE("https://m.media-amazon.com/images/I/51+1x0vz9XL._AC_UL320_.jpg")</f>
        <v>#NAME?</v>
      </c>
      <c r="I5630" t="s">
        <v>1003</v>
      </c>
      <c r="J5630">
        <v>9.36</v>
      </c>
      <c r="K5630" s="4">
        <v>0.17150000000000001</v>
      </c>
      <c r="L5630">
        <v>4.8</v>
      </c>
      <c r="M5630">
        <v>1532</v>
      </c>
      <c r="O5630" t="s">
        <v>25</v>
      </c>
      <c r="P5630" t="s">
        <v>1481</v>
      </c>
      <c r="Q5630" t="s">
        <v>6675</v>
      </c>
    </row>
    <row r="5631" spans="1:17" ht="15.5" x14ac:dyDescent="0.35">
      <c r="A5631"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5631" s="3" t="str">
        <f>HYPERLINK("https://edmondsonsupply.com/products/diablo-tools-dsp2130-p2-1-in-x-6-in-spade-bit", "https://edmondsonsupply.com/products/diablo-tools-dsp2130-p2-1-in-x-6-in-spade-bit")</f>
        <v>https://edmondsonsupply.com/products/diablo-tools-dsp2130-p2-1-in-x-6-in-spade-bit</v>
      </c>
      <c r="C5631" t="s">
        <v>7211</v>
      </c>
      <c r="D5631" t="s">
        <v>7539</v>
      </c>
      <c r="E5631" s="3" t="str">
        <f>HYPERLINK("https://www.amazon.com/Diablo-SPEEDemon-Spade-Bit-2-Pack/dp/B089KX7BQ7/ref=sr_1_2?keywords=Diablo+Tools+DSP2130-P2+1+in.+x+6+in.+Spade+Bit&amp;qid=1695174112&amp;sr=8-2", "https://www.amazon.com/Diablo-SPEEDemon-Spade-Bit-2-Pack/dp/B089KX7BQ7/ref=sr_1_2?keywords=Diablo+Tools+DSP2130-P2+1+in.+x+6+in.+Spade+Bit&amp;qid=1695174112&amp;sr=8-2")</f>
        <v>https://www.amazon.com/Diablo-SPEEDemon-Spade-Bit-2-Pack/dp/B089KX7BQ7/ref=sr_1_2?keywords=Diablo+Tools+DSP2130-P2+1+in.+x+6+in.+Spade+Bit&amp;qid=1695174112&amp;sr=8-2</v>
      </c>
      <c r="F5631" t="s">
        <v>7540</v>
      </c>
      <c r="G5631" t="e">
        <f ca="1">_xludf.IMAGE("https://edmondsonsupply.com/cdn/shop/products/peyjwqlntvnioikkr5be.webp?v=1670515689")</f>
        <v>#NAME?</v>
      </c>
      <c r="H5631" t="e">
        <f ca="1">_xludf.IMAGE("https://m.media-amazon.com/images/I/61QvpLGY7PL._AC_UL320_.jpg")</f>
        <v>#NAME?</v>
      </c>
      <c r="I5631" t="s">
        <v>7212</v>
      </c>
      <c r="J5631">
        <v>7.47</v>
      </c>
      <c r="K5631" s="4">
        <v>0.16900000000000001</v>
      </c>
      <c r="L5631">
        <v>4.8</v>
      </c>
      <c r="M5631">
        <v>12</v>
      </c>
      <c r="O5631" t="s">
        <v>25</v>
      </c>
      <c r="P5631" t="s">
        <v>138</v>
      </c>
      <c r="Q5631" t="s">
        <v>7213</v>
      </c>
    </row>
    <row r="5632" spans="1:17" ht="15.5" x14ac:dyDescent="0.35">
      <c r="A5632"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5632"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5632" t="s">
        <v>7423</v>
      </c>
      <c r="D5632" t="s">
        <v>7215</v>
      </c>
      <c r="E5632" s="3" t="str">
        <f>HYPERLINK("https://www.amazon.com/Klein-Tools-6944INS-Screwdriver-Cushion-Grip/dp/B09GPYTZV3/ref=sr_1_4?keywords=Klein+Tools+6846INS+Insulated+Screwdriver%2C+%232+Square+Tip%2C+6-Inch+Round+Shank&amp;qid=1695174148&amp;sr=8-4", "https://www.amazon.com/Klein-Tools-6944INS-Screwdriver-Cushion-Grip/dp/B09GPYTZV3/ref=sr_1_4?keywords=Klein+Tools+6846INS+Insulated+Screwdriver%2C+%232+Square+Tip%2C+6-Inch+Round+Shank&amp;qid=1695174148&amp;sr=8-4")</f>
        <v>https://www.amazon.com/Klein-Tools-6944INS-Screwdriver-Cushion-Grip/dp/B09GPYTZV3/ref=sr_1_4?keywords=Klein+Tools+6846INS+Insulated+Screwdriver%2C+%232+Square+Tip%2C+6-Inch+Round+Shank&amp;qid=1695174148&amp;sr=8-4</v>
      </c>
      <c r="F5632" t="s">
        <v>7216</v>
      </c>
      <c r="G5632" t="e">
        <f ca="1">_xludf.IMAGE("https://edmondsonsupply.com/cdn/shop/products/6846ins.jpg?v=1664817571")</f>
        <v>#NAME?</v>
      </c>
      <c r="H5632" t="e">
        <f ca="1">_xludf.IMAGE("https://m.media-amazon.com/images/I/41PzygwLx+L._AC_UL320_.jpg")</f>
        <v>#NAME?</v>
      </c>
      <c r="I5632" t="s">
        <v>6073</v>
      </c>
      <c r="J5632">
        <v>13.99</v>
      </c>
      <c r="K5632" s="4">
        <v>0.16880000000000001</v>
      </c>
      <c r="L5632">
        <v>4.7</v>
      </c>
      <c r="M5632">
        <v>95</v>
      </c>
      <c r="O5632" t="s">
        <v>25</v>
      </c>
      <c r="P5632" t="s">
        <v>6728</v>
      </c>
      <c r="Q5632" t="s">
        <v>7424</v>
      </c>
    </row>
    <row r="5633" spans="1:17" ht="15.5" x14ac:dyDescent="0.35">
      <c r="A5633"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5633"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5633" t="s">
        <v>7423</v>
      </c>
      <c r="D5633" t="s">
        <v>7219</v>
      </c>
      <c r="E5633" s="3" t="str">
        <f>HYPERLINK("https://www.amazon.com/Klein-Tools-6984INS-Screwdriver-Cushion-Grip/dp/B09GPZ5P2M/ref=sr_1_9?keywords=Klein+Tools+6846INS+Insulated+Screwdriver%2C+%232+Square+Tip%2C+6-Inch+Round+Shank&amp;qid=1695174148&amp;sr=8-9", "https://www.amazon.com/Klein-Tools-6984INS-Screwdriver-Cushion-Grip/dp/B09GPZ5P2M/ref=sr_1_9?keywords=Klein+Tools+6846INS+Insulated+Screwdriver%2C+%232+Square+Tip%2C+6-Inch+Round+Shank&amp;qid=1695174148&amp;sr=8-9")</f>
        <v>https://www.amazon.com/Klein-Tools-6984INS-Screwdriver-Cushion-Grip/dp/B09GPZ5P2M/ref=sr_1_9?keywords=Klein+Tools+6846INS+Insulated+Screwdriver%2C+%232+Square+Tip%2C+6-Inch+Round+Shank&amp;qid=1695174148&amp;sr=8-9</v>
      </c>
      <c r="F5633" t="s">
        <v>7220</v>
      </c>
      <c r="G5633" t="e">
        <f ca="1">_xludf.IMAGE("https://edmondsonsupply.com/cdn/shop/products/6846ins.jpg?v=1664817571")</f>
        <v>#NAME?</v>
      </c>
      <c r="H5633" t="e">
        <f ca="1">_xludf.IMAGE("https://m.media-amazon.com/images/I/41uj4ogsy3L._AC_UL320_.jpg")</f>
        <v>#NAME?</v>
      </c>
      <c r="I5633" t="s">
        <v>6073</v>
      </c>
      <c r="J5633">
        <v>13.99</v>
      </c>
      <c r="K5633" s="4">
        <v>0.16880000000000001</v>
      </c>
      <c r="L5633">
        <v>4.8</v>
      </c>
      <c r="M5633">
        <v>108</v>
      </c>
      <c r="O5633" t="s">
        <v>25</v>
      </c>
      <c r="P5633" t="s">
        <v>6728</v>
      </c>
      <c r="Q5633" t="s">
        <v>7424</v>
      </c>
    </row>
    <row r="5634" spans="1:17" ht="15.5" x14ac:dyDescent="0.35">
      <c r="A5634"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5634" s="3" t="str">
        <f>HYPERLINK("https://edmondsonsupply.com/products/milwaukee-2912-22-m18-fuel%e2%84%a2-1-sds-plus-rotary-hammer-kit", "https://edmondsonsupply.com/products/milwaukee-2912-22-m18-fuel%e2%84%a2-1-sds-plus-rotary-hammer-kit")</f>
        <v>https://edmondsonsupply.com/products/milwaukee-2912-22-m18-fuel%e2%84%a2-1-sds-plus-rotary-hammer-kit</v>
      </c>
      <c r="C5634" t="s">
        <v>3848</v>
      </c>
      <c r="D5634" t="s">
        <v>3933</v>
      </c>
      <c r="E5634" s="3" t="str">
        <f>HYPERLINK("https://www.amazon.com/Milwaukee-2715-22DE-Fuel-Rotary-Hammer/dp/B00PP58QAQ/ref=sr_1_9?keywords=Milwaukee+2912-22+M18+FUEL%E2%84%A2+1%22+SDS+Plus+Rotary+Hammer+Kit&amp;qid=1695174040&amp;sr=8-9", "https://www.amazon.com/Milwaukee-2715-22DE-Fuel-Rotary-Hammer/dp/B00PP58QAQ/ref=sr_1_9?keywords=Milwaukee+2912-22+M18+FUEL%E2%84%A2+1%22+SDS+Plus+Rotary+Hammer+Kit&amp;qid=1695174040&amp;sr=8-9")</f>
        <v>https://www.amazon.com/Milwaukee-2715-22DE-Fuel-Rotary-Hammer/dp/B00PP58QAQ/ref=sr_1_9?keywords=Milwaukee+2912-22+M18+FUEL%E2%84%A2+1%22+SDS+Plus+Rotary+Hammer+Kit&amp;qid=1695174040&amp;sr=8-9</v>
      </c>
      <c r="F5634" t="s">
        <v>3934</v>
      </c>
      <c r="G5634" t="e">
        <f ca="1">_xludf.IMAGE("https://edmondsonsupply.com/cdn/shop/files/2912-20_1.webp?v=1686934956")</f>
        <v>#NAME?</v>
      </c>
      <c r="H5634" t="e">
        <f ca="1">_xludf.IMAGE("https://m.media-amazon.com/images/I/61R8HKz2VhL._AC_UL320_.jpg")</f>
        <v>#NAME?</v>
      </c>
      <c r="I5634" t="s">
        <v>3851</v>
      </c>
      <c r="J5634">
        <v>699.99</v>
      </c>
      <c r="K5634" s="4">
        <v>0.1686</v>
      </c>
      <c r="L5634">
        <v>3.9</v>
      </c>
      <c r="M5634">
        <v>2</v>
      </c>
      <c r="O5634" t="s">
        <v>25</v>
      </c>
      <c r="P5634" t="s">
        <v>3852</v>
      </c>
      <c r="Q5634" t="s">
        <v>3853</v>
      </c>
    </row>
    <row r="5635" spans="1:17" ht="15.5" x14ac:dyDescent="0.35">
      <c r="A5635" s="3" t="str">
        <f>HYPERLINK("https://edmondsonsupply.com/collections/electricians-tools/products/sensible-products-dwl-1-dual-worklight-blue", "https://edmondsonsupply.com/collections/electricians-tools/products/sensible-products-dwl-1-dual-worklight-blue")</f>
        <v>https://edmondsonsupply.com/collections/electricians-tools/products/sensible-products-dwl-1-dual-worklight-blue</v>
      </c>
      <c r="B5635" s="3" t="str">
        <f>HYPERLINK("https://edmondsonsupply.com/products/sensible-products-dwl-1-dual-worklight-blue", "https://edmondsonsupply.com/products/sensible-products-dwl-1-dual-worklight-blue")</f>
        <v>https://edmondsonsupply.com/products/sensible-products-dwl-1-dual-worklight-blue</v>
      </c>
      <c r="C5635" t="s">
        <v>3190</v>
      </c>
      <c r="D5635" t="s">
        <v>3935</v>
      </c>
      <c r="E5635" s="3" t="str">
        <f>HYPERLINK("https://www.amazon.com/Light-DWL-1-Holster-Sensible-Products/dp/B079MDF76G/ref=sr_1_2?keywords=Sensible+Products+DWL-1+Dual+Worklight%2C+Blue&amp;qid=1695173846&amp;sr=8-2", "https://www.amazon.com/Light-DWL-1-Holster-Sensible-Products/dp/B079MDF76G/ref=sr_1_2?keywords=Sensible+Products+DWL-1+Dual+Worklight%2C+Blue&amp;qid=1695173846&amp;sr=8-2")</f>
        <v>https://www.amazon.com/Light-DWL-1-Holster-Sensible-Products/dp/B079MDF76G/ref=sr_1_2?keywords=Sensible+Products+DWL-1+Dual+Worklight%2C+Blue&amp;qid=1695173846&amp;sr=8-2</v>
      </c>
      <c r="F5635" t="s">
        <v>3936</v>
      </c>
      <c r="G5635" t="e">
        <f ca="1">_xludf.IMAGE("https://edmondsonsupply.com/cdn/shop/products/DWL-1-2.jpg?v=1587148321")</f>
        <v>#NAME?</v>
      </c>
      <c r="H5635" t="e">
        <f ca="1">_xludf.IMAGE("https://m.media-amazon.com/images/I/51bpVy8B6iL._AC_UL320_.jpg")</f>
        <v>#NAME?</v>
      </c>
      <c r="I5635" t="s">
        <v>3193</v>
      </c>
      <c r="J5635">
        <v>32.450000000000003</v>
      </c>
      <c r="K5635" s="4">
        <v>0.16769999999999999</v>
      </c>
      <c r="L5635">
        <v>4.8</v>
      </c>
      <c r="M5635">
        <v>31</v>
      </c>
      <c r="O5635" t="s">
        <v>25</v>
      </c>
      <c r="P5635" t="s">
        <v>138</v>
      </c>
      <c r="Q5635" t="s">
        <v>3194</v>
      </c>
    </row>
    <row r="5636" spans="1:17" ht="15.5" x14ac:dyDescent="0.35">
      <c r="A5636"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5636" s="3" t="str">
        <f>HYPERLINK("https://edmondsonsupply.com/products/klein-tools-s8m-1-4-inch-magnetic-nut-driver-3-inch-shank", "https://edmondsonsupply.com/products/klein-tools-s8m-1-4-inch-magnetic-nut-driver-3-inch-shank")</f>
        <v>https://edmondsonsupply.com/products/klein-tools-s8m-1-4-inch-magnetic-nut-driver-3-inch-shank</v>
      </c>
      <c r="C5636" t="s">
        <v>3809</v>
      </c>
      <c r="D5636" t="s">
        <v>3528</v>
      </c>
      <c r="E5636" s="3" t="str">
        <f>HYPERLINK("https://www.amazon.com/4-Inch-Cushion-Klein-Tools-630-1/dp/B00093DZR8/ref=sr_1_5?keywords=Klein+Tools+S8M+1%2F4-Inch+Magnetic+Nut+Driver+3-Inch+Shank&amp;qid=1695174041&amp;sr=8-5", "https://www.amazon.com/4-Inch-Cushion-Klein-Tools-630-1/dp/B00093DZR8/ref=sr_1_5?keywords=Klein+Tools+S8M+1%2F4-Inch+Magnetic+Nut+Driver+3-Inch+Shank&amp;qid=1695174041&amp;sr=8-5")</f>
        <v>https://www.amazon.com/4-Inch-Cushion-Klein-Tools-630-1/dp/B00093DZR8/ref=sr_1_5?keywords=Klein+Tools+S8M+1%2F4-Inch+Magnetic+Nut+Driver+3-Inch+Shank&amp;qid=1695174041&amp;sr=8-5</v>
      </c>
      <c r="F5636" t="s">
        <v>3529</v>
      </c>
      <c r="G5636" t="e">
        <f ca="1">_xludf.IMAGE("https://edmondsonsupply.com/cdn/shop/products/s8m.jpg?v=1633030818")</f>
        <v>#NAME?</v>
      </c>
      <c r="H5636" t="e">
        <f ca="1">_xludf.IMAGE("https://m.media-amazon.com/images/I/41gchQgPtfL._AC_UL320_.jpg")</f>
        <v>#NAME?</v>
      </c>
      <c r="I5636" t="s">
        <v>924</v>
      </c>
      <c r="J5636">
        <v>10.49</v>
      </c>
      <c r="K5636" s="4">
        <v>0.16689999999999999</v>
      </c>
      <c r="L5636">
        <v>4.8</v>
      </c>
      <c r="M5636">
        <v>59</v>
      </c>
      <c r="O5636" t="s">
        <v>25</v>
      </c>
      <c r="P5636" t="s">
        <v>3812</v>
      </c>
      <c r="Q5636" t="s">
        <v>3813</v>
      </c>
    </row>
    <row r="5637" spans="1:17" ht="15.5" x14ac:dyDescent="0.35">
      <c r="A5637"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5637" s="3" t="str">
        <f>HYPERLINK("https://edmondsonsupply.com/products/klein-tools-630-3-8-3-8-inch-nut-driver-with-3-inch-hollow-shaft", "https://edmondsonsupply.com/products/klein-tools-630-3-8-3-8-inch-nut-driver-with-3-inch-hollow-shaft")</f>
        <v>https://edmondsonsupply.com/products/klein-tools-630-3-8-3-8-inch-nut-driver-with-3-inch-hollow-shaft</v>
      </c>
      <c r="C5637" t="s">
        <v>6150</v>
      </c>
      <c r="D5637" t="s">
        <v>3528</v>
      </c>
      <c r="E5637" s="3" t="str">
        <f>HYPERLINK("https://www.amazon.com/4-Inch-Cushion-Klein-Tools-630-1/dp/B00093DZR8/ref=sr_1_8?keywords=Klein+Tools+630-3%2F8+3%2F8-Inch+Nut+Driver+with+3-Inch+Hollow+Shaft&amp;qid=1695174289&amp;sr=8-8", "https://www.amazon.com/4-Inch-Cushion-Klein-Tools-630-1/dp/B00093DZR8/ref=sr_1_8?keywords=Klein+Tools+630-3%2F8+3%2F8-Inch+Nut+Driver+with+3-Inch+Hollow+Shaft&amp;qid=1695174289&amp;sr=8-8")</f>
        <v>https://www.amazon.com/4-Inch-Cushion-Klein-Tools-630-1/dp/B00093DZR8/ref=sr_1_8?keywords=Klein+Tools+630-3%2F8+3%2F8-Inch+Nut+Driver+with+3-Inch+Hollow+Shaft&amp;qid=1695174289&amp;sr=8-8</v>
      </c>
      <c r="F5637" t="s">
        <v>3529</v>
      </c>
      <c r="G5637" t="e">
        <f ca="1">_xludf.IMAGE("https://edmondsonsupply.com/cdn/shop/products/630-1-2_e23f9fbd-a282-44d7-b743-2cfe0f84edfa.jpg?v=1633030906")</f>
        <v>#NAME?</v>
      </c>
      <c r="H5637" t="e">
        <f ca="1">_xludf.IMAGE("https://m.media-amazon.com/images/I/41gchQgPtfL._AC_UL320_.jpg")</f>
        <v>#NAME?</v>
      </c>
      <c r="I5637" t="s">
        <v>924</v>
      </c>
      <c r="J5637">
        <v>10.49</v>
      </c>
      <c r="K5637" s="4">
        <v>0.16689999999999999</v>
      </c>
      <c r="L5637">
        <v>4.8</v>
      </c>
      <c r="M5637">
        <v>59</v>
      </c>
      <c r="O5637" t="s">
        <v>25</v>
      </c>
      <c r="P5637" t="s">
        <v>6153</v>
      </c>
      <c r="Q5637" t="s">
        <v>6154</v>
      </c>
    </row>
    <row r="5638" spans="1:17" ht="15.5" x14ac:dyDescent="0.35">
      <c r="A5638"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5638" s="3" t="str">
        <f>HYPERLINK("https://edmondsonsupply.com/products/klein-tools-s8m-1-4-inch-magnetic-nut-driver-3-inch-shank", "https://edmondsonsupply.com/products/klein-tools-s8m-1-4-inch-magnetic-nut-driver-3-inch-shank")</f>
        <v>https://edmondsonsupply.com/products/klein-tools-s8m-1-4-inch-magnetic-nut-driver-3-inch-shank</v>
      </c>
      <c r="C5638" t="s">
        <v>3809</v>
      </c>
      <c r="D5638" t="s">
        <v>3943</v>
      </c>
      <c r="E5638" s="3" t="str">
        <f>HYPERLINK("https://www.amazon.com/Magnetic-Klein-Tools-646-1-4M/dp/B00093GEC6/ref=sr_1_3?keywords=Klein+Tools+S8M+1%2F4-Inch+Magnetic+Nut+Driver+3-Inch+Shank&amp;qid=1695174041&amp;sr=8-3", "https://www.amazon.com/Magnetic-Klein-Tools-646-1-4M/dp/B00093GEC6/ref=sr_1_3?keywords=Klein+Tools+S8M+1%2F4-Inch+Magnetic+Nut+Driver+3-Inch+Shank&amp;qid=1695174041&amp;sr=8-3")</f>
        <v>https://www.amazon.com/Magnetic-Klein-Tools-646-1-4M/dp/B00093GEC6/ref=sr_1_3?keywords=Klein+Tools+S8M+1%2F4-Inch+Magnetic+Nut+Driver+3-Inch+Shank&amp;qid=1695174041&amp;sr=8-3</v>
      </c>
      <c r="F5638" t="s">
        <v>3944</v>
      </c>
      <c r="G5638" t="e">
        <f ca="1">_xludf.IMAGE("https://edmondsonsupply.com/cdn/shop/products/s8m.jpg?v=1633030818")</f>
        <v>#NAME?</v>
      </c>
      <c r="H5638" t="e">
        <f ca="1">_xludf.IMAGE("https://m.media-amazon.com/images/I/418bbEGck1L._AC_UL320_.jpg")</f>
        <v>#NAME?</v>
      </c>
      <c r="I5638" t="s">
        <v>924</v>
      </c>
      <c r="J5638">
        <v>10.49</v>
      </c>
      <c r="K5638" s="4">
        <v>0.16689999999999999</v>
      </c>
      <c r="L5638">
        <v>4.8</v>
      </c>
      <c r="M5638">
        <v>2497</v>
      </c>
      <c r="O5638" t="s">
        <v>25</v>
      </c>
      <c r="P5638" t="s">
        <v>3812</v>
      </c>
      <c r="Q5638" t="s">
        <v>3813</v>
      </c>
    </row>
    <row r="5639" spans="1:17" ht="15.5" x14ac:dyDescent="0.35">
      <c r="A5639" s="3" t="str">
        <f>HYPERLINK("https://edmondsonsupply.com/collections/electricians-tools/products/klein-tools-60113rl-hard-hat-vented-cap-style-with-rechargeable-headlamp-white", "https://edmondsonsupply.com/collections/electricians-tools/products/klein-tools-60113rl-hard-hat-vented-cap-style-with-rechargeable-headlamp-white")</f>
        <v>https://edmondsonsupply.com/collections/electricians-tools/products/klein-tools-60113rl-hard-hat-vented-cap-style-with-rechargeable-headlamp-white</v>
      </c>
      <c r="B5639"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5639" t="s">
        <v>1044</v>
      </c>
      <c r="D5639" t="s">
        <v>1045</v>
      </c>
      <c r="E5639" s="3" t="str">
        <f>HYPERLINK("https://www.amazon.com/Klein-Tools-60406RL-Rechargeable-Odor-Resistant/dp/B08FBZT3BW/ref=sr_1_4?keywords=Klein+Tools+60113RL+Hard+Hat%2C+Vented%2C+Cap+Style+with+Rechargeable+Headlamp%2C+White&amp;qid=1695174220&amp;sr=8-4", "https://www.amazon.com/Klein-Tools-60406RL-Rechargeable-Odor-Resistant/dp/B08FBZT3BW/ref=sr_1_4?keywords=Klein+Tools+60113RL+Hard+Hat%2C+Vented%2C+Cap+Style+with+Rechargeable+Headlamp%2C+White&amp;qid=1695174220&amp;sr=8-4")</f>
        <v>https://www.amazon.com/Klein-Tools-60406RL-Rechargeable-Odor-Resistant/dp/B08FBZT3BW/ref=sr_1_4?keywords=Klein+Tools+60113RL+Hard+Hat%2C+Vented%2C+Cap+Style+with+Rechargeable+Headlamp%2C+White&amp;qid=1695174220&amp;sr=8-4</v>
      </c>
      <c r="F5639" t="s">
        <v>1046</v>
      </c>
      <c r="G5639" t="e">
        <f ca="1">_xludf.IMAGE("https://edmondsonsupply.com/cdn/shop/products/60113rl_c.jpg?v=1647891186")</f>
        <v>#NAME?</v>
      </c>
      <c r="H5639" t="e">
        <f ca="1">_xludf.IMAGE("https://m.media-amazon.com/images/I/61cNP5T1keL._AC_UL320_.jpg")</f>
        <v>#NAME?</v>
      </c>
      <c r="I5639" t="s">
        <v>905</v>
      </c>
      <c r="J5639">
        <v>69.989999999999995</v>
      </c>
      <c r="K5639" s="4">
        <v>0.16669999999999999</v>
      </c>
      <c r="L5639">
        <v>4.7</v>
      </c>
      <c r="M5639">
        <v>358</v>
      </c>
      <c r="O5639" t="s">
        <v>25</v>
      </c>
      <c r="P5639" t="s">
        <v>1047</v>
      </c>
      <c r="Q5639" t="s">
        <v>1048</v>
      </c>
    </row>
    <row r="5640" spans="1:17" ht="15.5" x14ac:dyDescent="0.35">
      <c r="A5640" s="3" t="str">
        <f>HYPERLINK("https://edmondsonsupply.com/collections/electricians-tools/products/veto-pro-pac-tech-ot-sc-open-top-electrician-tool-bag", "https://edmondsonsupply.com/collections/electricians-tools/products/veto-pro-pac-tech-ot-sc-open-top-electrician-tool-bag")</f>
        <v>https://edmondsonsupply.com/collections/electricians-tools/products/veto-pro-pac-tech-ot-sc-open-top-electrician-tool-bag</v>
      </c>
      <c r="B5640" s="3" t="str">
        <f>HYPERLINK("https://edmondsonsupply.com/products/veto-pro-pac-tech-ot-sc-open-top-electrician-tool-bag", "https://edmondsonsupply.com/products/veto-pro-pac-tech-ot-sc-open-top-electrician-tool-bag")</f>
        <v>https://edmondsonsupply.com/products/veto-pro-pac-tech-ot-sc-open-top-electrician-tool-bag</v>
      </c>
      <c r="C5640" t="s">
        <v>482</v>
      </c>
      <c r="D5640" t="s">
        <v>468</v>
      </c>
      <c r="E5640" s="3" t="str">
        <f>HYPERLINK("https://www.amazon.com/TECHOT-MC-Veto-COMPACT-Open-Tool/dp/B07146M3QW/ref=sr_1_4?keywords=Veto+Pro+Pac+Tech+OT-SC+Open+Top+Electrician+Tool+Bag&amp;qid=1695174089&amp;sr=8-4", "https://www.amazon.com/TECHOT-MC-Veto-COMPACT-Open-Tool/dp/B07146M3QW/ref=sr_1_4?keywords=Veto+Pro+Pac+Tech+OT-SC+Open+Top+Electrician+Tool+Bag&amp;qid=1695174089&amp;sr=8-4")</f>
        <v>https://www.amazon.com/TECHOT-MC-Veto-COMPACT-Open-Tool/dp/B07146M3QW/ref=sr_1_4?keywords=Veto+Pro+Pac+Tech+OT-SC+Open+Top+Electrician+Tool+Bag&amp;qid=1695174089&amp;sr=8-4</v>
      </c>
      <c r="F5640" t="s">
        <v>469</v>
      </c>
      <c r="G5640" t="e">
        <f ca="1">_xludf.IMAGE("https://edmondsonsupply.com/cdn/shop/products/0_707ca9f3-2e27-41c1-883d-1aec36a4e25a.jpg?v=1674835772")</f>
        <v>#NAME?</v>
      </c>
      <c r="H5640" t="e">
        <f ca="1">_xludf.IMAGE("https://m.media-amazon.com/images/I/7164ViSBjML._AC_UL320_.jpg")</f>
        <v>#NAME?</v>
      </c>
      <c r="I5640" t="s">
        <v>483</v>
      </c>
      <c r="J5640">
        <v>209.95</v>
      </c>
      <c r="K5640" s="4">
        <v>0.16650000000000001</v>
      </c>
      <c r="L5640">
        <v>4.8</v>
      </c>
      <c r="M5640">
        <v>702</v>
      </c>
      <c r="O5640" t="s">
        <v>25</v>
      </c>
      <c r="P5640" t="s">
        <v>138</v>
      </c>
      <c r="Q5640" t="s">
        <v>484</v>
      </c>
    </row>
    <row r="5641" spans="1:17" ht="15.5" x14ac:dyDescent="0.35">
      <c r="A5641" s="3" t="str">
        <f>HYPERLINK("https://edmondsonsupply.com/collections/electricians-tools/products/diablo-tools-dmamx1050-9-16-in-x-8-in-x-13-in-rebar-demon%E2%84%A2-sds-max-4-cutter-full-carbide-head-hammer-drill-bit", "https://edmondsonsupply.com/collections/electricians-tools/products/diablo-tools-dmamx1050-9-16-in-x-8-in-x-13-in-rebar-demon%E2%84%A2-sds-max-4-cutter-full-carbide-head-hammer-drill-bit")</f>
        <v>https://edmondsonsupply.com/collections/electricians-tools/products/diablo-tools-dmamx1050-9-16-in-x-8-in-x-13-in-rebar-demon%E2%84%A2-sds-max-4-cutter-full-carbide-head-hammer-drill-bit</v>
      </c>
      <c r="B5641" s="3" t="str">
        <f>HYPERLINK("https://edmondsonsupply.com/products/diablo-tools-dmamx1050-9-16-in-x-8-in-x-13-in-rebar-demon%e2%84%a2-sds-max-4-cutter-full-carbide-head-hammer-drill-bit", "https://edmondsonsupply.com/products/diablo-tools-dmamx1050-9-16-in-x-8-in-x-13-in-rebar-demon%e2%84%a2-sds-max-4-cutter-full-carbide-head-hammer-drill-bit")</f>
        <v>https://edmondsonsupply.com/products/diablo-tools-dmamx1050-9-16-in-x-8-in-x-13-in-rebar-demon%e2%84%a2-sds-max-4-cutter-full-carbide-head-hammer-drill-bit</v>
      </c>
      <c r="C5641" t="s">
        <v>7491</v>
      </c>
      <c r="D5641" t="s">
        <v>5560</v>
      </c>
      <c r="E5641" s="3" t="str">
        <f>HYPERLINK("https://www.amazon.com/Diablo-Freud-DMAPL4300-SDS-Plus-4-Cutter/dp/B089LL8JD8/ref=sr_1_7?keywords=Diablo+Tools+DMAMX1050+9%2F16+in.+x+8+in.+x+13+in.+Rebar+Demon%E2%84%A2+SDS-Max+4-Cutter+Full+Carbide+Head+Hammer+Drill+Bit&amp;qid=1695174267&amp;sr=8-7", "https://www.amazon.com/Diablo-Freud-DMAPL4300-SDS-Plus-4-Cutter/dp/B089LL8JD8/ref=sr_1_7?keywords=Diablo+Tools+DMAMX1050+9%2F16+in.+x+8+in.+x+13+in.+Rebar+Demon%E2%84%A2+SDS-Max+4-Cutter+Full+Carbide+Head+Hammer+Drill+Bit&amp;qid=1695174267&amp;sr=8-7")</f>
        <v>https://www.amazon.com/Diablo-Freud-DMAPL4300-SDS-Plus-4-Cutter/dp/B089LL8JD8/ref=sr_1_7?keywords=Diablo+Tools+DMAMX1050+9%2F16+in.+x+8+in.+x+13+in.+Rebar+Demon%E2%84%A2+SDS-Max+4-Cutter+Full+Carbide+Head+Hammer+Drill+Bit&amp;qid=1695174267&amp;sr=8-7</v>
      </c>
      <c r="F5641" t="s">
        <v>5561</v>
      </c>
      <c r="G5641" t="e">
        <f ca="1">_xludf.IMAGE("https://edmondsonsupply.com/cdn/shop/products/DMAMX1050_Main-Image20200701.png?v=1633031097")</f>
        <v>#NAME?</v>
      </c>
      <c r="H5641" t="e">
        <f ca="1">_xludf.IMAGE("https://m.media-amazon.com/images/I/616UiJGsK1L._AC_UL320_.jpg")</f>
        <v>#NAME?</v>
      </c>
      <c r="I5641" t="s">
        <v>7494</v>
      </c>
      <c r="J5641">
        <v>33.950000000000003</v>
      </c>
      <c r="K5641" s="4">
        <v>0.16309999999999999</v>
      </c>
      <c r="L5641">
        <v>4.5</v>
      </c>
      <c r="M5641">
        <v>16</v>
      </c>
      <c r="O5641" t="s">
        <v>25</v>
      </c>
      <c r="P5641" t="s">
        <v>7495</v>
      </c>
      <c r="Q5641" t="s">
        <v>7496</v>
      </c>
    </row>
    <row r="5642" spans="1:17" ht="15.5" x14ac:dyDescent="0.35">
      <c r="A5642"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5642"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5642" t="s">
        <v>6932</v>
      </c>
      <c r="D5642" t="s">
        <v>7541</v>
      </c>
      <c r="E5642" s="3" t="str">
        <f>HYPERLINK("https://www.amazon.com/Diablo-DOU350RBGP-Universal-Bi-Metal-Oscillating/dp/B089LLG8ZQ/ref=sr_1_7?keywords=Diablo+Tools+DOU250JBW+2-1%2F2+in.+Universal+Fit+Bi-Metal+Oscillating+Blade+for+Clean+Wood&amp;qid=1695174020&amp;sr=8-7", "https://www.amazon.com/Diablo-DOU350RBGP-Universal-Bi-Metal-Oscillating/dp/B089LLG8ZQ/ref=sr_1_7?keywords=Diablo+Tools+DOU250JBW+2-1%2F2+in.+Universal+Fit+Bi-Metal+Oscillating+Blade+for+Clean+Wood&amp;qid=1695174020&amp;sr=8-7")</f>
        <v>https://www.amazon.com/Diablo-DOU350RBGP-Universal-Bi-Metal-Oscillating/dp/B089LLG8ZQ/ref=sr_1_7?keywords=Diablo+Tools+DOU250JBW+2-1%2F2+in.+Universal+Fit+Bi-Metal+Oscillating+Blade+for+Clean+Wood&amp;qid=1695174020&amp;sr=8-7</v>
      </c>
      <c r="F5642" t="s">
        <v>7542</v>
      </c>
      <c r="G5642" t="e">
        <f ca="1">_xludf.IMAGE("https://edmondsonsupply.com/cdn/shop/files/pycnap4eb1urn2hxvudq.webp?v=1685718789")</f>
        <v>#NAME?</v>
      </c>
      <c r="H5642" t="e">
        <f ca="1">_xludf.IMAGE("https://m.media-amazon.com/images/I/71xBW7MA1oL._AC_UL320_.jpg")</f>
        <v>#NAME?</v>
      </c>
      <c r="I5642" t="s">
        <v>6935</v>
      </c>
      <c r="J5642">
        <v>18.2</v>
      </c>
      <c r="K5642" s="4">
        <v>0.16289999999999999</v>
      </c>
      <c r="L5642">
        <v>4.4000000000000004</v>
      </c>
      <c r="M5642">
        <v>8</v>
      </c>
      <c r="O5642" t="s">
        <v>25</v>
      </c>
      <c r="P5642" t="s">
        <v>6936</v>
      </c>
      <c r="Q5642" t="s">
        <v>6937</v>
      </c>
    </row>
    <row r="5643" spans="1:17" ht="15.5" x14ac:dyDescent="0.35">
      <c r="A5643" s="3" t="str">
        <f>HYPERLINK("https://edmondsonsupply.com/collections/electricians-tools/products/klein-tools-jth6t20-t20-torx-hex-key-with-journeyman-t-handle-6-inch", "https://edmondsonsupply.com/collections/electricians-tools/products/klein-tools-jth6t20-t20-torx-hex-key-with-journeyman-t-handle-6-inch")</f>
        <v>https://edmondsonsupply.com/collections/electricians-tools/products/klein-tools-jth6t20-t20-torx-hex-key-with-journeyman-t-handle-6-inch</v>
      </c>
      <c r="B5643" s="3" t="str">
        <f>HYPERLINK("https://edmondsonsupply.com/products/klein-tools-jth6t20-t20-torx-hex-key-with-journeyman-t-handle-6-inch", "https://edmondsonsupply.com/products/klein-tools-jth6t20-t20-torx-hex-key-with-journeyman-t-handle-6-inch")</f>
        <v>https://edmondsonsupply.com/products/klein-tools-jth6t20-t20-torx-hex-key-with-journeyman-t-handle-6-inch</v>
      </c>
      <c r="C5643" t="s">
        <v>7543</v>
      </c>
      <c r="D5643" t="s">
        <v>2386</v>
      </c>
      <c r="E5643" s="3" t="str">
        <f>HYPERLINK("https://www.amazon.com/Journeyman-T-Handle-Klein-Tools-JTH6E13BE/dp/B004QW52YW/ref=sr_1_3?keywords=Klein+Tools+JTH6T20+T20+Torx+Hex+Key+with+Journeyman+T-Handle%2C+6-Inch&amp;qid=1695174296&amp;sr=8-3", "https://www.amazon.com/Journeyman-T-Handle-Klein-Tools-JTH6E13BE/dp/B004QW52YW/ref=sr_1_3?keywords=Klein+Tools+JTH6T20+T20+Torx+Hex+Key+with+Journeyman+T-Handle%2C+6-Inch&amp;qid=1695174296&amp;sr=8-3")</f>
        <v>https://www.amazon.com/Journeyman-T-Handle-Klein-Tools-JTH6E13BE/dp/B004QW52YW/ref=sr_1_3?keywords=Klein+Tools+JTH6T20+T20+Torx+Hex+Key+with+Journeyman+T-Handle%2C+6-Inch&amp;qid=1695174296&amp;sr=8-3</v>
      </c>
      <c r="F5643" t="s">
        <v>2387</v>
      </c>
      <c r="G5643" t="e">
        <f ca="1">_xludf.IMAGE("https://edmondsonsupply.com/cdn/shop/products/jth6t40_239e6af9-df98-4759-b03a-1003afe41d97.jpg?v=1606265228")</f>
        <v>#NAME?</v>
      </c>
      <c r="H5643" t="e">
        <f ca="1">_xludf.IMAGE("https://m.media-amazon.com/images/I/51f9vBFVXgL._AC_UL320_.jpg")</f>
        <v>#NAME?</v>
      </c>
      <c r="I5643" t="s">
        <v>6890</v>
      </c>
      <c r="J5643">
        <v>10.55</v>
      </c>
      <c r="K5643" s="4">
        <v>0.16189999999999999</v>
      </c>
      <c r="L5643">
        <v>4.7</v>
      </c>
      <c r="M5643">
        <v>32</v>
      </c>
      <c r="O5643" t="s">
        <v>25</v>
      </c>
      <c r="P5643" t="s">
        <v>138</v>
      </c>
      <c r="Q5643" t="s">
        <v>7544</v>
      </c>
    </row>
    <row r="5644" spans="1:17" ht="15.5" x14ac:dyDescent="0.35">
      <c r="A5644" s="3" t="str">
        <f>HYPERLINK("https://edmondsonsupply.com/collections/electricians-tools/products/klein-tools-jth6t20-t20-torx-hex-key-with-journeyman-t-handle-6-inch", "https://edmondsonsupply.com/collections/electricians-tools/products/klein-tools-jth6t20-t20-torx-hex-key-with-journeyman-t-handle-6-inch")</f>
        <v>https://edmondsonsupply.com/collections/electricians-tools/products/klein-tools-jth6t20-t20-torx-hex-key-with-journeyman-t-handle-6-inch</v>
      </c>
      <c r="B5644" s="3" t="str">
        <f>HYPERLINK("https://edmondsonsupply.com/products/klein-tools-jth6t20-t20-torx-hex-key-with-journeyman-t-handle-6-inch", "https://edmondsonsupply.com/products/klein-tools-jth6t20-t20-torx-hex-key-with-journeyman-t-handle-6-inch")</f>
        <v>https://edmondsonsupply.com/products/klein-tools-jth6t20-t20-torx-hex-key-with-journeyman-t-handle-6-inch</v>
      </c>
      <c r="C5644" t="s">
        <v>7543</v>
      </c>
      <c r="D5644" t="s">
        <v>3108</v>
      </c>
      <c r="E5644" s="3" t="str">
        <f>HYPERLINK("https://www.amazon.com/Journeyman-T-Handle-Klein-Tools-JTH6T15/dp/B005G3B43I/ref=sr_1_2?keywords=Klein+Tools+JTH6T20+T20+Torx+Hex+Key+with+Journeyman+T-Handle%2C+6-Inch&amp;qid=1695174296&amp;sr=8-2", "https://www.amazon.com/Journeyman-T-Handle-Klein-Tools-JTH6T15/dp/B005G3B43I/ref=sr_1_2?keywords=Klein+Tools+JTH6T20+T20+Torx+Hex+Key+with+Journeyman+T-Handle%2C+6-Inch&amp;qid=1695174296&amp;sr=8-2")</f>
        <v>https://www.amazon.com/Journeyman-T-Handle-Klein-Tools-JTH6T15/dp/B005G3B43I/ref=sr_1_2?keywords=Klein+Tools+JTH6T20+T20+Torx+Hex+Key+with+Journeyman+T-Handle%2C+6-Inch&amp;qid=1695174296&amp;sr=8-2</v>
      </c>
      <c r="F5644" t="s">
        <v>3109</v>
      </c>
      <c r="G5644" t="e">
        <f ca="1">_xludf.IMAGE("https://edmondsonsupply.com/cdn/shop/products/jth6t40_239e6af9-df98-4759-b03a-1003afe41d97.jpg?v=1606265228")</f>
        <v>#NAME?</v>
      </c>
      <c r="H5644" t="e">
        <f ca="1">_xludf.IMAGE("https://m.media-amazon.com/images/I/51Xj0Vsb-EL._AC_UL320_.jpg")</f>
        <v>#NAME?</v>
      </c>
      <c r="I5644" t="s">
        <v>6890</v>
      </c>
      <c r="J5644">
        <v>10.53</v>
      </c>
      <c r="K5644" s="4">
        <v>0.15970000000000001</v>
      </c>
      <c r="L5644">
        <v>4.5999999999999996</v>
      </c>
      <c r="M5644">
        <v>232</v>
      </c>
      <c r="O5644" t="s">
        <v>25</v>
      </c>
      <c r="P5644" t="s">
        <v>138</v>
      </c>
      <c r="Q5644" t="s">
        <v>7544</v>
      </c>
    </row>
    <row r="5645" spans="1:17" ht="15.5" x14ac:dyDescent="0.35">
      <c r="A5645"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5645"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5645" t="s">
        <v>7423</v>
      </c>
      <c r="D5645" t="s">
        <v>7239</v>
      </c>
      <c r="E5645" s="3" t="str">
        <f>HYPERLINK("https://www.amazon.com/Klein-Tools-6946INS-Insulated-Screwdriver/dp/B088NN95Q5/ref=sr_1_2?keywords=Klein+Tools+6846INS+Insulated+Screwdriver%2C+%232+Square+Tip%2C+6-Inch+Round+Shank&amp;qid=1695174148&amp;sr=8-2", "https://www.amazon.com/Klein-Tools-6946INS-Insulated-Screwdriver/dp/B088NN95Q5/ref=sr_1_2?keywords=Klein+Tools+6846INS+Insulated+Screwdriver%2C+%232+Square+Tip%2C+6-Inch+Round+Shank&amp;qid=1695174148&amp;sr=8-2")</f>
        <v>https://www.amazon.com/Klein-Tools-6946INS-Insulated-Screwdriver/dp/B088NN95Q5/ref=sr_1_2?keywords=Klein+Tools+6846INS+Insulated+Screwdriver%2C+%232+Square+Tip%2C+6-Inch+Round+Shank&amp;qid=1695174148&amp;sr=8-2</v>
      </c>
      <c r="F5645" t="s">
        <v>7240</v>
      </c>
      <c r="G5645" t="e">
        <f ca="1">_xludf.IMAGE("https://edmondsonsupply.com/cdn/shop/products/6846ins.jpg?v=1664817571")</f>
        <v>#NAME?</v>
      </c>
      <c r="H5645" t="e">
        <f ca="1">_xludf.IMAGE("https://m.media-amazon.com/images/I/414Kb+NSPsS._AC_UL320_.jpg")</f>
        <v>#NAME?</v>
      </c>
      <c r="I5645" t="s">
        <v>6073</v>
      </c>
      <c r="J5645">
        <v>13.85</v>
      </c>
      <c r="K5645" s="4">
        <v>0.15709999999999999</v>
      </c>
      <c r="L5645">
        <v>4.8</v>
      </c>
      <c r="M5645">
        <v>1361</v>
      </c>
      <c r="O5645" t="s">
        <v>25</v>
      </c>
      <c r="P5645" t="s">
        <v>6728</v>
      </c>
      <c r="Q5645" t="s">
        <v>7424</v>
      </c>
    </row>
    <row r="5646" spans="1:17" ht="15.5" x14ac:dyDescent="0.35">
      <c r="A5646"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5646"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5646" t="s">
        <v>6781</v>
      </c>
      <c r="D5646" t="s">
        <v>3216</v>
      </c>
      <c r="E5646" s="3" t="str">
        <f>HYPERLINK("https://www.amazon.com/Klein-Tools-6916INS-Insulated-Screwdriver/dp/B089DR97MJ/ref=sr_1_3?keywords=Klein+Tools+6866INS+Insulated+Screwdriver%2C+5%2F16-Inch+Cabinet+Tip%2C+6-Inch+Shank&amp;qid=1695174142&amp;sr=8-3", "https://www.amazon.com/Klein-Tools-6916INS-Insulated-Screwdriver/dp/B089DR97MJ/ref=sr_1_3?keywords=Klein+Tools+6866INS+Insulated+Screwdriver%2C+5%2F16-Inch+Cabinet+Tip%2C+6-Inch+Shank&amp;qid=1695174142&amp;sr=8-3")</f>
        <v>https://www.amazon.com/Klein-Tools-6916INS-Insulated-Screwdriver/dp/B089DR97MJ/ref=sr_1_3?keywords=Klein+Tools+6866INS+Insulated+Screwdriver%2C+5%2F16-Inch+Cabinet+Tip%2C+6-Inch+Shank&amp;qid=1695174142&amp;sr=8-3</v>
      </c>
      <c r="F5646" t="s">
        <v>3217</v>
      </c>
      <c r="G5646" t="e">
        <f ca="1">_xludf.IMAGE("https://edmondsonsupply.com/cdn/shop/products/6866ins.jpg?v=1664818689")</f>
        <v>#NAME?</v>
      </c>
      <c r="H5646" t="e">
        <f ca="1">_xludf.IMAGE("https://m.media-amazon.com/images/I/41JpJG+Jh0L._AC_UL320_.jpg")</f>
        <v>#NAME?</v>
      </c>
      <c r="I5646" t="s">
        <v>6073</v>
      </c>
      <c r="J5646">
        <v>13.85</v>
      </c>
      <c r="K5646" s="4">
        <v>0.15709999999999999</v>
      </c>
      <c r="L5646">
        <v>4.8</v>
      </c>
      <c r="M5646">
        <v>1361</v>
      </c>
      <c r="O5646" t="s">
        <v>25</v>
      </c>
      <c r="P5646" t="s">
        <v>6728</v>
      </c>
      <c r="Q5646" t="s">
        <v>6784</v>
      </c>
    </row>
    <row r="5647" spans="1:17" ht="15.5" x14ac:dyDescent="0.35">
      <c r="A5647"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5647"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5647" t="s">
        <v>7204</v>
      </c>
      <c r="D5647" t="s">
        <v>3216</v>
      </c>
      <c r="E5647" s="3" t="str">
        <f>HYPERLINK("https://www.amazon.com/Klein-Tools-6916INS-Insulated-Screwdriver/dp/B089DR97MJ/ref=sr_1_1?keywords=Klein+Tools+6816INS+Insulated+Screwdriver%2C+3%2F16-Inch+Cabinet+Tip%2C+6-Inch+Round+Shank&amp;qid=1695174141&amp;sr=8-1", "https://www.amazon.com/Klein-Tools-6916INS-Insulated-Screwdriver/dp/B089DR97MJ/ref=sr_1_1?keywords=Klein+Tools+6816INS+Insulated+Screwdriver%2C+3%2F16-Inch+Cabinet+Tip%2C+6-Inch+Round+Shank&amp;qid=1695174141&amp;sr=8-1")</f>
        <v>https://www.amazon.com/Klein-Tools-6916INS-Insulated-Screwdriver/dp/B089DR97MJ/ref=sr_1_1?keywords=Klein+Tools+6816INS+Insulated+Screwdriver%2C+3%2F16-Inch+Cabinet+Tip%2C+6-Inch+Round+Shank&amp;qid=1695174141&amp;sr=8-1</v>
      </c>
      <c r="F5647" t="s">
        <v>3217</v>
      </c>
      <c r="G5647" t="e">
        <f ca="1">_xludf.IMAGE("https://edmondsonsupply.com/cdn/shop/products/6816ins.jpg?v=1664812840")</f>
        <v>#NAME?</v>
      </c>
      <c r="H5647" t="e">
        <f ca="1">_xludf.IMAGE("https://m.media-amazon.com/images/I/41JpJG+Jh0L._AC_UL320_.jpg")</f>
        <v>#NAME?</v>
      </c>
      <c r="I5647" t="s">
        <v>6073</v>
      </c>
      <c r="J5647">
        <v>13.85</v>
      </c>
      <c r="K5647" s="4">
        <v>0.15709999999999999</v>
      </c>
      <c r="L5647">
        <v>4.8</v>
      </c>
      <c r="M5647">
        <v>1361</v>
      </c>
      <c r="O5647" t="s">
        <v>25</v>
      </c>
      <c r="P5647" t="s">
        <v>6728</v>
      </c>
      <c r="Q5647" t="s">
        <v>7205</v>
      </c>
    </row>
    <row r="5648" spans="1:17" ht="15.5" x14ac:dyDescent="0.35">
      <c r="A5648"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5648"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5648" t="s">
        <v>6725</v>
      </c>
      <c r="D5648" t="s">
        <v>3216</v>
      </c>
      <c r="E5648" s="3" t="str">
        <f>HYPERLINK("https://www.amazon.com/Klein-Tools-6916INS-Insulated-Screwdriver/dp/B089DR97MJ/ref=sr_1_4?keywords=Klein+Tools+6826INS+Insulated+Screwdriver%2C+1%2F4-Inch+Cabinet+Tip%2C+6-Inch+Shank&amp;qid=1695174154&amp;sr=8-4", "https://www.amazon.com/Klein-Tools-6916INS-Insulated-Screwdriver/dp/B089DR97MJ/ref=sr_1_4?keywords=Klein+Tools+6826INS+Insulated+Screwdriver%2C+1%2F4-Inch+Cabinet+Tip%2C+6-Inch+Shank&amp;qid=1695174154&amp;sr=8-4")</f>
        <v>https://www.amazon.com/Klein-Tools-6916INS-Insulated-Screwdriver/dp/B089DR97MJ/ref=sr_1_4?keywords=Klein+Tools+6826INS+Insulated+Screwdriver%2C+1%2F4-Inch+Cabinet+Tip%2C+6-Inch+Shank&amp;qid=1695174154&amp;sr=8-4</v>
      </c>
      <c r="F5648" t="s">
        <v>3217</v>
      </c>
      <c r="G5648" t="e">
        <f ca="1">_xludf.IMAGE("https://edmondsonsupply.com/cdn/shop/products/6826ins.jpg?v=1664814069")</f>
        <v>#NAME?</v>
      </c>
      <c r="H5648" t="e">
        <f ca="1">_xludf.IMAGE("https://m.media-amazon.com/images/I/41JpJG+Jh0L._AC_UL320_.jpg")</f>
        <v>#NAME?</v>
      </c>
      <c r="I5648" t="s">
        <v>6073</v>
      </c>
      <c r="J5648">
        <v>13.85</v>
      </c>
      <c r="K5648" s="4">
        <v>0.15709999999999999</v>
      </c>
      <c r="L5648">
        <v>4.8</v>
      </c>
      <c r="M5648">
        <v>1361</v>
      </c>
      <c r="O5648" t="s">
        <v>25</v>
      </c>
      <c r="P5648" t="s">
        <v>6728</v>
      </c>
      <c r="Q5648" t="s">
        <v>6729</v>
      </c>
    </row>
    <row r="5649" spans="1:17" ht="15.5" x14ac:dyDescent="0.35">
      <c r="A5649"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5649"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5649" t="s">
        <v>6976</v>
      </c>
      <c r="D5649" t="s">
        <v>2386</v>
      </c>
      <c r="E5649" s="3" t="str">
        <f>HYPERLINK("https://www.amazon.com/Journeyman-T-Handle-Klein-Tools-JTH6E13BE/dp/B004QW52YW/ref=sr_1_3?keywords=Klein+Tools+JTH6E11BE+3%2F16-Inch+Ball+Hex+Key%2C+Journeyman+T-Handle+6-Inch&amp;qid=1695174298&amp;sr=8-3", "https://www.amazon.com/Journeyman-T-Handle-Klein-Tools-JTH6E13BE/dp/B004QW52YW/ref=sr_1_3?keywords=Klein+Tools+JTH6E11BE+3%2F16-Inch+Ball+Hex+Key%2C+Journeyman+T-Handle+6-Inch&amp;qid=1695174298&amp;sr=8-3")</f>
        <v>https://www.amazon.com/Journeyman-T-Handle-Klein-Tools-JTH6E13BE/dp/B004QW52YW/ref=sr_1_3?keywords=Klein+Tools+JTH6E11BE+3%2F16-Inch+Ball+Hex+Key%2C+Journeyman+T-Handle+6-Inch&amp;qid=1695174298&amp;sr=8-3</v>
      </c>
      <c r="F5649" t="s">
        <v>2387</v>
      </c>
      <c r="G5649" t="e">
        <f ca="1">_xludf.IMAGE("https://edmondsonsupply.com/cdn/shop/products/jth6e13be_9dba8a6a-8a07-4d76-a54f-fe57b92b3fea.jpg?v=1610659188")</f>
        <v>#NAME?</v>
      </c>
      <c r="H5649" t="e">
        <f ca="1">_xludf.IMAGE("https://m.media-amazon.com/images/I/51f9vBFVXgL._AC_UL320_.jpg")</f>
        <v>#NAME?</v>
      </c>
      <c r="I5649" t="s">
        <v>6464</v>
      </c>
      <c r="J5649">
        <v>10.55</v>
      </c>
      <c r="K5649" s="4">
        <v>0.15679999999999999</v>
      </c>
      <c r="L5649">
        <v>4.7</v>
      </c>
      <c r="M5649">
        <v>32</v>
      </c>
      <c r="O5649" t="s">
        <v>25</v>
      </c>
      <c r="P5649" t="s">
        <v>138</v>
      </c>
      <c r="Q5649" t="s">
        <v>6977</v>
      </c>
    </row>
    <row r="5650" spans="1:17" ht="15.5" x14ac:dyDescent="0.35">
      <c r="A5650" s="3" t="str">
        <f>HYPERLINK("https://edmondsonsupply.com/collections/electricians-tools/products/uei-dl429b-true-rms-digital-clamp-meter-w-wireless-and-differential-temperature", "https://edmondsonsupply.com/collections/electricians-tools/products/uei-dl429b-true-rms-digital-clamp-meter-w-wireless-and-differential-temperature")</f>
        <v>https://edmondsonsupply.com/collections/electricians-tools/products/uei-dl429b-true-rms-digital-clamp-meter-w-wireless-and-differential-temperature</v>
      </c>
      <c r="B5650" s="3" t="str">
        <f>HYPERLINK("https://edmondsonsupply.com/products/uei-dl429b-true-rms-digital-clamp-meter-w-wireless-and-differential-temperature", "https://edmondsonsupply.com/products/uei-dl429b-true-rms-digital-clamp-meter-w-wireless-and-differential-temperature")</f>
        <v>https://edmondsonsupply.com/products/uei-dl429b-true-rms-digital-clamp-meter-w-wireless-and-differential-temperature</v>
      </c>
      <c r="C5650" t="s">
        <v>2868</v>
      </c>
      <c r="D5650" t="s">
        <v>3963</v>
      </c>
      <c r="E5650" s="3" t="str">
        <f>HYPERLINK("https://www.amazon.com/DL389B-True-Display-Clamp-Meter/dp/B07T9GD6DB/ref=sr_1_1?keywords=UEi+DL479+AC+600A+True+RMS+HVAC%2FR+Clamp+Meter&amp;qid=1695173895&amp;sr=8-1", "https://www.amazon.com/DL389B-True-Display-Clamp-Meter/dp/B07T9GD6DB/ref=sr_1_1?keywords=UEi+DL479+AC+600A+True+RMS+HVAC%2FR+Clamp+Meter&amp;qid=1695173895&amp;sr=8-1")</f>
        <v>https://www.amazon.com/DL389B-True-Display-Clamp-Meter/dp/B07T9GD6DB/ref=sr_1_1?keywords=UEi+DL479+AC+600A+True+RMS+HVAC%2FR+Clamp+Meter&amp;qid=1695173895&amp;sr=8-1</v>
      </c>
      <c r="F5650" t="s">
        <v>3964</v>
      </c>
      <c r="G5650" t="e">
        <f ca="1">_xludf.IMAGE("https://edmondsonsupply.com/cdn/shop/products/DL479-1.jpg?v=1587142104")</f>
        <v>#NAME?</v>
      </c>
      <c r="H5650" t="e">
        <f ca="1">_xludf.IMAGE("https://m.media-amazon.com/images/I/61+s0r8oDBL._AC_UY218_.jpg")</f>
        <v>#NAME?</v>
      </c>
      <c r="I5650" t="s">
        <v>2871</v>
      </c>
      <c r="J5650">
        <v>160</v>
      </c>
      <c r="K5650" s="4">
        <v>0.1552</v>
      </c>
      <c r="L5650">
        <v>4.5999999999999996</v>
      </c>
      <c r="M5650">
        <v>216</v>
      </c>
      <c r="O5650" t="s">
        <v>171</v>
      </c>
      <c r="P5650" t="s">
        <v>2872</v>
      </c>
      <c r="Q5650" t="s">
        <v>2873</v>
      </c>
    </row>
    <row r="5651" spans="1:17" ht="15.5" x14ac:dyDescent="0.35">
      <c r="A5651"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5651"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5651" t="s">
        <v>6957</v>
      </c>
      <c r="D5651" t="s">
        <v>3216</v>
      </c>
      <c r="E5651" s="3" t="str">
        <f>HYPERLINK("https://www.amazon.com/Klein-Tools-6916INS-Insulated-Screwdriver/dp/B089DR97MJ/ref=sr_1_8?keywords=Klein+Tools+602-6+5%2F16-Inch+Keystone+Tip+Screwdriver%2C+Cushion+Grip%2C+6-Inch&amp;qid=1695174298&amp;sr=8-8", "https://www.amazon.com/Klein-Tools-6916INS-Insulated-Screwdriver/dp/B089DR97MJ/ref=sr_1_8?keywords=Klein+Tools+602-6+5%2F16-Inch+Keystone+Tip+Screwdriver%2C+Cushion+Grip%2C+6-Inch&amp;qid=1695174298&amp;sr=8-8")</f>
        <v>https://www.amazon.com/Klein-Tools-6916INS-Insulated-Screwdriver/dp/B089DR97MJ/ref=sr_1_8?keywords=Klein+Tools+602-6+5%2F16-Inch+Keystone+Tip+Screwdriver%2C+Cushion+Grip%2C+6-Inch&amp;qid=1695174298&amp;sr=8-8</v>
      </c>
      <c r="F5651" t="s">
        <v>3217</v>
      </c>
      <c r="G5651" t="e">
        <f ca="1">_xludf.IMAGE("https://edmondsonsupply.com/cdn/shop/products/602-6_162e3283-acea-47de-aecf-2a25f009fdcb.jpg?v=1633030880")</f>
        <v>#NAME?</v>
      </c>
      <c r="H5651" t="e">
        <f ca="1">_xludf.IMAGE("https://m.media-amazon.com/images/I/41JpJG+Jh0L._AC_UL320_.jpg")</f>
        <v>#NAME?</v>
      </c>
      <c r="I5651" t="s">
        <v>2337</v>
      </c>
      <c r="J5651">
        <v>13.85</v>
      </c>
      <c r="K5651" s="4">
        <v>0.15509999999999999</v>
      </c>
      <c r="L5651">
        <v>4.8</v>
      </c>
      <c r="M5651">
        <v>1361</v>
      </c>
      <c r="O5651" t="s">
        <v>25</v>
      </c>
      <c r="P5651" t="s">
        <v>1212</v>
      </c>
      <c r="Q5651" t="s">
        <v>6958</v>
      </c>
    </row>
    <row r="5652" spans="1:17" ht="15.5" x14ac:dyDescent="0.35">
      <c r="A5652"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5652" s="3" t="str">
        <f>HYPERLINK("https://edmondsonsupply.com/products/klein-tools-60162-professional-safety-glasses-gray-lens", "https://edmondsonsupply.com/products/klein-tools-60162-professional-safety-glasses-gray-lens")</f>
        <v>https://edmondsonsupply.com/products/klein-tools-60162-professional-safety-glasses-gray-lens</v>
      </c>
      <c r="C5652" t="s">
        <v>833</v>
      </c>
      <c r="D5652" t="s">
        <v>958</v>
      </c>
      <c r="E5652" s="3" t="str">
        <f>HYPERLINK("https://www.amazon.com/Klein-60164-Professional-Protective-Resistant/dp/B08B4BNSHM/ref=sr_1_2?keywords=Klein+Tools+60162+Professional+Safety+Glasses%2C+Gray+Lens&amp;qid=1695174302&amp;sr=8-2", "https://www.amazon.com/Klein-60164-Professional-Protective-Resistant/dp/B08B4BNSHM/ref=sr_1_2?keywords=Klein+Tools+60162+Professional+Safety+Glasses%2C+Gray+Lens&amp;qid=1695174302&amp;sr=8-2")</f>
        <v>https://www.amazon.com/Klein-60164-Professional-Protective-Resistant/dp/B08B4BNSHM/ref=sr_1_2?keywords=Klein+Tools+60162+Professional+Safety+Glasses%2C+Gray+Lens&amp;qid=1695174302&amp;sr=8-2</v>
      </c>
      <c r="F5652" t="s">
        <v>959</v>
      </c>
      <c r="G5652" t="e">
        <f ca="1">_xludf.IMAGE("https://edmondsonsupply.com/cdn/shop/products/60162.jpg?v=1633030847")</f>
        <v>#NAME?</v>
      </c>
      <c r="H5652" t="e">
        <f ca="1">_xludf.IMAGE("https://m.media-amazon.com/images/I/41bNrH9NnFL._AC_UL320_.jpg")</f>
        <v>#NAME?</v>
      </c>
      <c r="I5652" t="s">
        <v>834</v>
      </c>
      <c r="J5652">
        <v>14.99</v>
      </c>
      <c r="K5652" s="4">
        <v>0.154</v>
      </c>
      <c r="L5652">
        <v>4.4000000000000004</v>
      </c>
      <c r="M5652">
        <v>463</v>
      </c>
      <c r="O5652" t="s">
        <v>25</v>
      </c>
      <c r="P5652" t="s">
        <v>835</v>
      </c>
      <c r="Q5652" t="s">
        <v>836</v>
      </c>
    </row>
    <row r="5653" spans="1:17" ht="15.5" x14ac:dyDescent="0.35">
      <c r="A5653" s="3" t="str">
        <f>HYPERLINK("https://edmondsonsupply.com/collections/electricians-tools/products/klein-tools-60161-professional-safety-glasses-clear-lens", "https://edmondsonsupply.com/collections/electricians-tools/products/klein-tools-60161-professional-safety-glasses-clear-lens")</f>
        <v>https://edmondsonsupply.com/collections/electricians-tools/products/klein-tools-60161-professional-safety-glasses-clear-lens</v>
      </c>
      <c r="B5653" s="3" t="str">
        <f>HYPERLINK("https://edmondsonsupply.com/products/klein-tools-60161-professional-safety-glasses-clear-lens", "https://edmondsonsupply.com/products/klein-tools-60161-professional-safety-glasses-clear-lens")</f>
        <v>https://edmondsonsupply.com/products/klein-tools-60161-professional-safety-glasses-clear-lens</v>
      </c>
      <c r="C5653" t="s">
        <v>884</v>
      </c>
      <c r="D5653" t="s">
        <v>956</v>
      </c>
      <c r="E5653" s="3" t="str">
        <f>HYPERLINK("https://www.amazon.com/Klein-60163-Professional-Protective-Resistant/dp/B08B48CZ5V/ref=sr_1_4?keywords=Klein+Tools+60161+Professional+Safety+Glasses%2C+Clear+Lens&amp;qid=1695174304&amp;sr=8-4", "https://www.amazon.com/Klein-60163-Professional-Protective-Resistant/dp/B08B48CZ5V/ref=sr_1_4?keywords=Klein+Tools+60161+Professional+Safety+Glasses%2C+Clear+Lens&amp;qid=1695174304&amp;sr=8-4")</f>
        <v>https://www.amazon.com/Klein-60163-Professional-Protective-Resistant/dp/B08B48CZ5V/ref=sr_1_4?keywords=Klein+Tools+60161+Professional+Safety+Glasses%2C+Clear+Lens&amp;qid=1695174304&amp;sr=8-4</v>
      </c>
      <c r="F5653" t="s">
        <v>957</v>
      </c>
      <c r="G5653" t="e">
        <f ca="1">_xludf.IMAGE("https://edmondsonsupply.com/cdn/shop/products/60161.jpg?v=1633030845")</f>
        <v>#NAME?</v>
      </c>
      <c r="H5653" t="e">
        <f ca="1">_xludf.IMAGE("https://m.media-amazon.com/images/I/41IY8K6EFLL._AC_UL320_.jpg")</f>
        <v>#NAME?</v>
      </c>
      <c r="I5653" t="s">
        <v>834</v>
      </c>
      <c r="J5653">
        <v>14.99</v>
      </c>
      <c r="K5653" s="4">
        <v>0.154</v>
      </c>
      <c r="L5653">
        <v>4.4000000000000004</v>
      </c>
      <c r="M5653">
        <v>198</v>
      </c>
      <c r="O5653" t="s">
        <v>25</v>
      </c>
      <c r="P5653" t="s">
        <v>835</v>
      </c>
      <c r="Q5653" t="s">
        <v>885</v>
      </c>
    </row>
    <row r="5654" spans="1:17" ht="15.5" x14ac:dyDescent="0.35">
      <c r="A5654"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5654"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5654" t="s">
        <v>7545</v>
      </c>
      <c r="D5654" t="s">
        <v>7546</v>
      </c>
      <c r="E5654" s="3" t="str">
        <f>HYPERLINK("https://www.amazon.com/Klein-Tools-CL320KIT-Magnetic-Multimeters/dp/B09Z6R1FLB/ref=sr_1_2?keywords=Klein+Tools+CL320KIT+HVAC+Digital+Clamp+Meter+Electrical+Test+Kit&amp;qid=1695174178&amp;sr=8-2", "https://www.amazon.com/Klein-Tools-CL320KIT-Magnetic-Multimeters/dp/B09Z6R1FLB/ref=sr_1_2?keywords=Klein+Tools+CL320KIT+HVAC+Digital+Clamp+Meter+Electrical+Test+Kit&amp;qid=1695174178&amp;sr=8-2")</f>
        <v>https://www.amazon.com/Klein-Tools-CL320KIT-Magnetic-Multimeters/dp/B09Z6R1FLB/ref=sr_1_2?keywords=Klein+Tools+CL320KIT+HVAC+Digital+Clamp+Meter+Electrical+Test+Kit&amp;qid=1695174178&amp;sr=8-2</v>
      </c>
      <c r="F5654" t="s">
        <v>7547</v>
      </c>
      <c r="G5654" t="e">
        <f ca="1">_xludf.IMAGE("https://edmondsonsupply.com/cdn/shop/products/cl320kit_photo.jpg?v=1660753251")</f>
        <v>#NAME?</v>
      </c>
      <c r="H5654" t="e">
        <f ca="1">_xludf.IMAGE("https://m.media-amazon.com/images/I/61G0pTyWcuL._AC_UY218_.jpg")</f>
        <v>#NAME?</v>
      </c>
      <c r="I5654" t="s">
        <v>7548</v>
      </c>
      <c r="J5654">
        <v>137.24</v>
      </c>
      <c r="K5654" s="4">
        <v>0.15340000000000001</v>
      </c>
      <c r="L5654">
        <v>5</v>
      </c>
      <c r="M5654">
        <v>5</v>
      </c>
      <c r="O5654" t="s">
        <v>25</v>
      </c>
      <c r="P5654" t="s">
        <v>7549</v>
      </c>
      <c r="Q5654" t="s">
        <v>7550</v>
      </c>
    </row>
    <row r="5655" spans="1:17" ht="15.5" x14ac:dyDescent="0.35">
      <c r="A5655"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5655"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5655" t="s">
        <v>3544</v>
      </c>
      <c r="D5655" t="s">
        <v>3976</v>
      </c>
      <c r="E5655" s="3" t="str">
        <f>HYPERLINK("https://www.amazon.com/Klein-Tools-32557-Multi-Bit-Screwdriver/dp/B005FQDH9A/ref=sr_1_3?keywords=Klein+Tools+32562+Multi-Bit+Screwdriver+%2F+Nut+Driver%2C+6-in-1%2C+Stubby%2C+Ph%2C+Sl%2C+Sq+Bits&amp;qid=1695173934&amp;sr=8-3", "https://www.amazon.com/Klein-Tools-32557-Multi-Bit-Screwdriver/dp/B005FQDH9A/ref=sr_1_3?keywords=Klein+Tools+32562+Multi-Bit+Screwdriver+%2F+Nut+Driver%2C+6-in-1%2C+Stubby%2C+Ph%2C+Sl%2C+Sq+Bits&amp;qid=1695173934&amp;sr=8-3")</f>
        <v>https://www.amazon.com/Klein-Tools-32557-Multi-Bit-Screwdriver/dp/B005FQDH9A/ref=sr_1_3?keywords=Klein+Tools+32562+Multi-Bit+Screwdriver+%2F+Nut+Driver%2C+6-in-1%2C+Stubby%2C+Ph%2C+Sl%2C+Sq+Bits&amp;qid=1695173934&amp;sr=8-3</v>
      </c>
      <c r="F5655" t="s">
        <v>3977</v>
      </c>
      <c r="G5655" t="e">
        <f ca="1">_xludf.IMAGE("https://edmondsonsupply.com/cdn/shop/products/32562.jpg?v=1587145424")</f>
        <v>#NAME?</v>
      </c>
      <c r="H5655" t="e">
        <f ca="1">_xludf.IMAGE("https://m.media-amazon.com/images/I/41vMDiO0rOL._AC_UL320_.jpg")</f>
        <v>#NAME?</v>
      </c>
      <c r="I5655" t="s">
        <v>834</v>
      </c>
      <c r="J5655">
        <v>14.98</v>
      </c>
      <c r="K5655" s="4">
        <v>0.1532</v>
      </c>
      <c r="L5655">
        <v>4.8</v>
      </c>
      <c r="M5655">
        <v>921</v>
      </c>
      <c r="O5655" t="s">
        <v>25</v>
      </c>
      <c r="P5655" t="s">
        <v>3547</v>
      </c>
      <c r="Q5655" t="s">
        <v>3548</v>
      </c>
    </row>
    <row r="5656" spans="1:17" ht="15.5" x14ac:dyDescent="0.35">
      <c r="A5656" s="3" t="str">
        <f>HYPERLINK("https://edmondsonsupply.com/collections/electricians-tools/products/rack-a-tiers-19455-thomas-wheeler-wire-coil-dispenser", "https://edmondsonsupply.com/collections/electricians-tools/products/rack-a-tiers-19455-thomas-wheeler-wire-coil-dispenser")</f>
        <v>https://edmondsonsupply.com/collections/electricians-tools/products/rack-a-tiers-19455-thomas-wheeler-wire-coil-dispenser</v>
      </c>
      <c r="B5656" s="3" t="str">
        <f>HYPERLINK("https://edmondsonsupply.com/products/rack-a-tiers-19455-thomas-wheeler-wire-coil-dispenser", "https://edmondsonsupply.com/products/rack-a-tiers-19455-thomas-wheeler-wire-coil-dispenser")</f>
        <v>https://edmondsonsupply.com/products/rack-a-tiers-19455-thomas-wheeler-wire-coil-dispenser</v>
      </c>
      <c r="C5656" t="s">
        <v>7551</v>
      </c>
      <c r="D5656" t="s">
        <v>7552</v>
      </c>
      <c r="E5656" s="3" t="str">
        <f>HYPERLINK("https://www.amazon.com/Rack-A-Tiers-19455-Wire-Dispenser/dp/B0087TBQFE/ref=sr_1_1?keywords=Rack-A-Tiers+19455+Thomas+Wheeler+Wire+Coil+Dispenser&amp;qid=1695173867&amp;sr=8-1", "https://www.amazon.com/Rack-A-Tiers-19455-Wire-Dispenser/dp/B0087TBQFE/ref=sr_1_1?keywords=Rack-A-Tiers+19455+Thomas+Wheeler+Wire+Coil+Dispenser&amp;qid=1695173867&amp;sr=8-1")</f>
        <v>https://www.amazon.com/Rack-A-Tiers-19455-Wire-Dispenser/dp/B0087TBQFE/ref=sr_1_1?keywords=Rack-A-Tiers+19455+Thomas+Wheeler+Wire+Coil+Dispenser&amp;qid=1695173867&amp;sr=8-1</v>
      </c>
      <c r="F5656" t="s">
        <v>7553</v>
      </c>
      <c r="G5656" t="e">
        <f ca="1">_xludf.IMAGE("https://edmondsonsupply.com/cdn/shop/products/19455.jpg?v=1587146044")</f>
        <v>#NAME?</v>
      </c>
      <c r="H5656" t="e">
        <f ca="1">_xludf.IMAGE("https://m.media-amazon.com/images/I/51MOh71KHsL._AC_UY218_.jpg")</f>
        <v>#NAME?</v>
      </c>
      <c r="I5656" t="s">
        <v>3448</v>
      </c>
      <c r="J5656">
        <v>87.26</v>
      </c>
      <c r="K5656" s="4">
        <v>0.15290000000000001</v>
      </c>
      <c r="L5656">
        <v>4.0999999999999996</v>
      </c>
      <c r="M5656">
        <v>67</v>
      </c>
      <c r="O5656" t="s">
        <v>25</v>
      </c>
      <c r="P5656" t="s">
        <v>7554</v>
      </c>
      <c r="Q5656" t="s">
        <v>7555</v>
      </c>
    </row>
    <row r="5657" spans="1:17" ht="15.5" x14ac:dyDescent="0.35">
      <c r="A5657" s="3" t="str">
        <f>HYPERLINK("https://edmondsonsupply.com/collections/electricians-tools/products/diablo-tools-dmapl4210-5-8-in-x-4-in-x-6-in-rebar-demon%E2%84%A2-sds-plus-4-cutter-full-carbide-head-hammer-bit", "https://edmondsonsupply.com/collections/electricians-tools/products/diablo-tools-dmapl4210-5-8-in-x-4-in-x-6-in-rebar-demon%E2%84%A2-sds-plus-4-cutter-full-carbide-head-hammer-bit")</f>
        <v>https://edmondsonsupply.com/collections/electricians-tools/products/diablo-tools-dmapl4210-5-8-in-x-4-in-x-6-in-rebar-demon%E2%84%A2-sds-plus-4-cutter-full-carbide-head-hammer-bit</v>
      </c>
      <c r="B5657" s="3" t="str">
        <f>HYPERLINK("https://edmondsonsupply.com/products/diablo-tools-dmapl4210-5-8-in-x-4-in-x-6-in-rebar-demon%e2%84%a2-sds-plus-4-cutter-full-carbide-head-hammer-bit", "https://edmondsonsupply.com/products/diablo-tools-dmapl4210-5-8-in-x-4-in-x-6-in-rebar-demon%e2%84%a2-sds-plus-4-cutter-full-carbide-head-hammer-bit")</f>
        <v>https://edmondsonsupply.com/products/diablo-tools-dmapl4210-5-8-in-x-4-in-x-6-in-rebar-demon%e2%84%a2-sds-plus-4-cutter-full-carbide-head-hammer-bit</v>
      </c>
      <c r="C5657" t="s">
        <v>1424</v>
      </c>
      <c r="D5657" t="s">
        <v>3978</v>
      </c>
      <c r="E5657" s="3" t="str">
        <f>HYPERLINK("https://www.amazon.com/Diablo-Freud-DMAPL4210-SDS-Plus-4-Cutter/dp/B089LGF2KS/ref=sr_1_1?keywords=Diablo+Tools+DMAPL4210+5%2F8+in.+x+4+in.+x+6+in.+Rebar+Demon%E2%84%A2+SDS%E2%80%91Plus+4%E2%80%91Cutter+Full+Carbide+Head+Hammer+Bit&amp;qid=1695173888&amp;sr=8-1", "https://www.amazon.com/Diablo-Freud-DMAPL4210-SDS-Plus-4-Cutter/dp/B089LGF2KS/ref=sr_1_1?keywords=Diablo+Tools+DMAPL4210+5%2F8+in.+x+4+in.+x+6+in.+Rebar+Demon%E2%84%A2+SDS%E2%80%91Plus+4%E2%80%91Cutter+Full+Carbide+Head+Hammer+Bit&amp;qid=1695173888&amp;sr=8-1")</f>
        <v>https://www.amazon.com/Diablo-Freud-DMAPL4210-SDS-Plus-4-Cutter/dp/B089LGF2KS/ref=sr_1_1?keywords=Diablo+Tools+DMAPL4210+5%2F8+in.+x+4+in.+x+6+in.+Rebar+Demon%E2%84%A2+SDS%E2%80%91Plus+4%E2%80%91Cutter+Full+Carbide+Head+Hammer+Bit&amp;qid=1695173888&amp;sr=8-1</v>
      </c>
      <c r="F5657" t="s">
        <v>3979</v>
      </c>
      <c r="G5657" t="e">
        <f ca="1">_xludf.IMAGE("https://edmondsonsupply.com/cdn/shop/products/DMAPL4210_Main-Image20200701.png?v=1633030426")</f>
        <v>#NAME?</v>
      </c>
      <c r="H5657" t="e">
        <f ca="1">_xludf.IMAGE("https://m.media-amazon.com/images/I/61rU9ZgmndL._AC_UL320_.jpg")</f>
        <v>#NAME?</v>
      </c>
      <c r="I5657" t="s">
        <v>1427</v>
      </c>
      <c r="J5657">
        <v>11.49</v>
      </c>
      <c r="K5657" s="4">
        <v>0.1525</v>
      </c>
      <c r="L5657">
        <v>4.5999999999999996</v>
      </c>
      <c r="M5657">
        <v>63</v>
      </c>
      <c r="O5657" t="s">
        <v>25</v>
      </c>
      <c r="P5657" t="s">
        <v>1428</v>
      </c>
      <c r="Q5657" t="s">
        <v>1429</v>
      </c>
    </row>
    <row r="5658" spans="1:17" ht="15.5" x14ac:dyDescent="0.35">
      <c r="A5658" s="3" t="str">
        <f>HYPERLINK("https://edmondsonsupply.com/collections/electricians-tools/products/diablo-tools-dmamx1220", "https://edmondsonsupply.com/collections/electricians-tools/products/diablo-tools-dmamx1220")</f>
        <v>https://edmondsonsupply.com/collections/electricians-tools/products/diablo-tools-dmamx1220</v>
      </c>
      <c r="B5658" s="3" t="str">
        <f>HYPERLINK("https://edmondsonsupply.com/products/diablo-tools-dmamx1220", "https://edmondsonsupply.com/products/diablo-tools-dmamx1220")</f>
        <v>https://edmondsonsupply.com/products/diablo-tools-dmamx1220</v>
      </c>
      <c r="C5658" t="s">
        <v>7454</v>
      </c>
      <c r="D5658" t="s">
        <v>5298</v>
      </c>
      <c r="E5658" s="3" t="str">
        <f>HYPERLINK("https://www.amazon.com/Diablo-SDS-Max-4-Cutter-Carbide-Hammer/dp/B089KWFF8B/ref=sr_1_3?keywords=Diablo+Tools+DMAMX1220+1+in.+x+16+in.+x+21+in.+Rebar+Demon%E2%84%A2+SDS-Max+4-Cutter+Full+Carbide+Head+Hammer+Drill+Bit&amp;qid=1695174109&amp;sr=8-3", "https://www.amazon.com/Diablo-SDS-Max-4-Cutter-Carbide-Hammer/dp/B089KWFF8B/ref=sr_1_3?keywords=Diablo+Tools+DMAMX1220+1+in.+x+16+in.+x+21+in.+Rebar+Demon%E2%84%A2+SDS-Max+4-Cutter+Full+Carbide+Head+Hammer+Drill+Bit&amp;qid=1695174109&amp;sr=8-3")</f>
        <v>https://www.amazon.com/Diablo-SDS-Max-4-Cutter-Carbide-Hammer/dp/B089KWFF8B/ref=sr_1_3?keywords=Diablo+Tools+DMAMX1220+1+in.+x+16+in.+x+21+in.+Rebar+Demon%E2%84%A2+SDS-Max+4-Cutter+Full+Carbide+Head+Hammer+Drill+Bit&amp;qid=1695174109&amp;sr=8-3</v>
      </c>
      <c r="F5658" t="s">
        <v>5299</v>
      </c>
      <c r="G5658" t="e">
        <f ca="1">_xludf.IMAGE("https://edmondsonsupply.com/cdn/shop/products/immoyh7jjmbau4fzhuq6.webp?v=1670431066")</f>
        <v>#NAME?</v>
      </c>
      <c r="H5658" t="e">
        <f ca="1">_xludf.IMAGE("https://m.media-amazon.com/images/I/611fTcYRNFL._AC_UL320_.jpg")</f>
        <v>#NAME?</v>
      </c>
      <c r="I5658" t="s">
        <v>7455</v>
      </c>
      <c r="J5658">
        <v>52.51</v>
      </c>
      <c r="K5658" s="4">
        <v>0.14929999999999999</v>
      </c>
      <c r="L5658">
        <v>3.5</v>
      </c>
      <c r="M5658">
        <v>3</v>
      </c>
      <c r="O5658" t="s">
        <v>25</v>
      </c>
      <c r="P5658" t="s">
        <v>7456</v>
      </c>
      <c r="Q5658" t="s">
        <v>7457</v>
      </c>
    </row>
    <row r="5659" spans="1:17" ht="15.5" x14ac:dyDescent="0.35">
      <c r="A5659"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5659"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5659" t="s">
        <v>6276</v>
      </c>
      <c r="D5659" t="s">
        <v>3163</v>
      </c>
      <c r="E5659" s="3" t="str">
        <f>HYPERLINK("https://www.amazon.com/Journeyman-T-Handle-Klein-Tools-JTH9E14/dp/B004QVAH4I/ref=sr_1_4?keywords=Klein+Tools+JTH9E13+1%2F4-Inch+Hex+Key+with+Journeyman+T-Handle%2C+9-Inch&amp;qid=1695174307&amp;sr=8-4", "https://www.amazon.com/Journeyman-T-Handle-Klein-Tools-JTH9E14/dp/B004QVAH4I/ref=sr_1_4?keywords=Klein+Tools+JTH9E13+1%2F4-Inch+Hex+Key+with+Journeyman+T-Handle%2C+9-Inch&amp;qid=1695174307&amp;sr=8-4")</f>
        <v>https://www.amazon.com/Journeyman-T-Handle-Klein-Tools-JTH9E14/dp/B004QVAH4I/ref=sr_1_4?keywords=Klein+Tools+JTH9E13+1%2F4-Inch+Hex+Key+with+Journeyman+T-Handle%2C+9-Inch&amp;qid=1695174307&amp;sr=8-4</v>
      </c>
      <c r="F5659" t="s">
        <v>3164</v>
      </c>
      <c r="G5659" t="e">
        <f ca="1">_xludf.IMAGE("https://edmondsonsupply.com/cdn/shop/products/jth9e12_7dcdbf9a-5acd-4824-8919-6aeb4a790072.jpg?v=1604060723")</f>
        <v>#NAME?</v>
      </c>
      <c r="H5659" t="e">
        <f ca="1">_xludf.IMAGE("https://m.media-amazon.com/images/I/51Yb8h41vLL._AC_UL320_.jpg")</f>
        <v>#NAME?</v>
      </c>
      <c r="I5659" t="s">
        <v>4617</v>
      </c>
      <c r="J5659">
        <v>7.44</v>
      </c>
      <c r="K5659" s="4">
        <v>0.1464</v>
      </c>
      <c r="L5659">
        <v>4.8</v>
      </c>
      <c r="M5659">
        <v>114</v>
      </c>
      <c r="O5659" t="s">
        <v>25</v>
      </c>
      <c r="P5659" t="s">
        <v>6277</v>
      </c>
      <c r="Q5659" t="s">
        <v>6278</v>
      </c>
    </row>
    <row r="5660" spans="1:17" ht="15.5" x14ac:dyDescent="0.35">
      <c r="A5660" s="3" t="str">
        <f>HYPERLINK("https://edmondsonsupply.com/collections/electricians-tools/products/greenlee-gsb02-1-2-step-bit-2", "https://edmondsonsupply.com/collections/electricians-tools/products/greenlee-gsb02-1-2-step-bit-2")</f>
        <v>https://edmondsonsupply.com/collections/electricians-tools/products/greenlee-gsb02-1-2-step-bit-2</v>
      </c>
      <c r="B5660" s="3" t="str">
        <f>HYPERLINK("https://edmondsonsupply.com/products/greenlee-gsb02-1-2-step-bit-2", "https://edmondsonsupply.com/products/greenlee-gsb02-1-2-step-bit-2")</f>
        <v>https://edmondsonsupply.com/products/greenlee-gsb02-1-2-step-bit-2</v>
      </c>
      <c r="C5660" t="s">
        <v>2882</v>
      </c>
      <c r="D5660" t="s">
        <v>3245</v>
      </c>
      <c r="E5660" s="3" t="str">
        <f>HYPERLINK("https://www.amazon.com/Greenlee-GSB12-Step-Bit-1-3/dp/B08TVF7KMP/ref=sr_1_2?keywords=Greenlee+GSB02+1%2F2%22+Step+Bit+%28%232%29&amp;qid=1695173993&amp;sr=8-2", "https://www.amazon.com/Greenlee-GSB12-Step-Bit-1-3/dp/B08TVF7KMP/ref=sr_1_2?keywords=Greenlee+GSB02+1%2F2%22+Step+Bit+%28%232%29&amp;qid=1695173993&amp;sr=8-2")</f>
        <v>https://www.amazon.com/Greenlee-GSB12-Step-Bit-1-3/dp/B08TVF7KMP/ref=sr_1_2?keywords=Greenlee+GSB02+1%2F2%22+Step+Bit+%28%232%29&amp;qid=1695173993&amp;sr=8-2</v>
      </c>
      <c r="F5660" t="s">
        <v>3246</v>
      </c>
      <c r="G5660" t="e">
        <f ca="1">_xludf.IMAGE("https://edmondsonsupply.com/cdn/shop/files/GSB02_CAT1_72dpi.jpg?v=1687783943")</f>
        <v>#NAME?</v>
      </c>
      <c r="H5660" t="e">
        <f ca="1">_xludf.IMAGE("https://m.media-amazon.com/images/I/41Z8kxeeZfL._AC_UY218_.jpg")</f>
        <v>#NAME?</v>
      </c>
      <c r="I5660" t="s">
        <v>2883</v>
      </c>
      <c r="J5660">
        <v>45</v>
      </c>
      <c r="K5660" s="4">
        <v>0.14530000000000001</v>
      </c>
      <c r="L5660">
        <v>4.8</v>
      </c>
      <c r="M5660">
        <v>27</v>
      </c>
      <c r="O5660" t="s">
        <v>25</v>
      </c>
      <c r="P5660" t="s">
        <v>2884</v>
      </c>
      <c r="Q5660" t="s">
        <v>2885</v>
      </c>
    </row>
    <row r="5661" spans="1:17" ht="15.5" x14ac:dyDescent="0.35">
      <c r="A5661"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5661"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5661" t="s">
        <v>5852</v>
      </c>
      <c r="D5661" t="s">
        <v>5893</v>
      </c>
      <c r="E5661" s="3" t="str">
        <f>HYPERLINK("https://www.amazon.com/Diablo-Freud-DMAPL4250-SDS-Plus-4-Cutter/dp/B089KX6X16/ref=sr_1_1?keywords=Diablo+Tools+DMAPL4250+3%2F4+in.+x+8+in.+x+10+in.+Rebar+Demon%E2%84%A2+SDS-Plus+4-Cutter+Full+Carbide+Head+Hammer+Drill+Bit&amp;qid=1695174039&amp;sr=8-1", "https://www.amazon.com/Diablo-Freud-DMAPL4250-SDS-Plus-4-Cutter/dp/B089KX6X16/ref=sr_1_1?keywords=Diablo+Tools+DMAPL4250+3%2F4+in.+x+8+in.+x+10+in.+Rebar+Demon%E2%84%A2+SDS-Plus+4-Cutter+Full+Carbide+Head+Hammer+Drill+Bit&amp;qid=1695174039&amp;sr=8-1")</f>
        <v>https://www.amazon.com/Diablo-Freud-DMAPL4250-SDS-Plus-4-Cutter/dp/B089KX6X16/ref=sr_1_1?keywords=Diablo+Tools+DMAPL4250+3%2F4+in.+x+8+in.+x+10+in.+Rebar+Demon%E2%84%A2+SDS-Plus+4-Cutter+Full+Carbide+Head+Hammer+Drill+Bit&amp;qid=1695174039&amp;sr=8-1</v>
      </c>
      <c r="F5661" t="s">
        <v>5894</v>
      </c>
      <c r="G5661" t="e">
        <f ca="1">_xludf.IMAGE("https://edmondsonsupply.com/cdn/shop/files/rltcbi253wmfv6otmtz6.webp?v=1686576913")</f>
        <v>#NAME?</v>
      </c>
      <c r="H5661" t="e">
        <f ca="1">_xludf.IMAGE("https://m.media-amazon.com/images/I/61s0RHCLXEL._AC_UL320_.jpg")</f>
        <v>#NAME?</v>
      </c>
      <c r="I5661" t="s">
        <v>5853</v>
      </c>
      <c r="J5661">
        <v>27.99</v>
      </c>
      <c r="K5661" s="4">
        <v>0.14380000000000001</v>
      </c>
      <c r="L5661">
        <v>4.4000000000000004</v>
      </c>
      <c r="M5661">
        <v>83</v>
      </c>
      <c r="O5661" t="s">
        <v>25</v>
      </c>
      <c r="P5661" t="s">
        <v>5854</v>
      </c>
      <c r="Q5661" t="s">
        <v>5855</v>
      </c>
    </row>
    <row r="5662" spans="1:17" ht="15.5" x14ac:dyDescent="0.35">
      <c r="A5662"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5662"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5662" t="s">
        <v>6797</v>
      </c>
      <c r="D5662" t="s">
        <v>4234</v>
      </c>
      <c r="E5662" s="3" t="str">
        <f>HYPERLINK("https://www.amazon.com/Klein-Tools-J2000-48-Diagonal-Cutters/dp/B0006M6Y8O/ref=sr_1_3?keywords=Klein+Tools+D2000-48+Diagonal+Cutting+Pliers%2C+Angled+Head%2C+8-Inch&amp;qid=1695174171&amp;sr=8-3", "https://www.amazon.com/Klein-Tools-J2000-48-Diagonal-Cutters/dp/B0006M6Y8O/ref=sr_1_3?keywords=Klein+Tools+D2000-48+Diagonal+Cutting+Pliers%2C+Angled+Head%2C+8-Inch&amp;qid=1695174171&amp;sr=8-3")</f>
        <v>https://www.amazon.com/Klein-Tools-J2000-48-Diagonal-Cutters/dp/B0006M6Y8O/ref=sr_1_3?keywords=Klein+Tools+D2000-48+Diagonal+Cutting+Pliers%2C+Angled+Head%2C+8-Inch&amp;qid=1695174171&amp;sr=8-3</v>
      </c>
      <c r="F5662" t="s">
        <v>4235</v>
      </c>
      <c r="G5662" t="e">
        <f ca="1">_xludf.IMAGE("https://edmondsonsupply.com/cdn/shop/products/d200048.jpg?v=1660920588")</f>
        <v>#NAME?</v>
      </c>
      <c r="H5662" t="e">
        <f ca="1">_xludf.IMAGE("https://m.media-amazon.com/images/I/41ZnJLE+YFL._AC_UL320_.jpg")</f>
        <v>#NAME?</v>
      </c>
      <c r="I5662" t="s">
        <v>340</v>
      </c>
      <c r="J5662">
        <v>39.99</v>
      </c>
      <c r="K5662" s="4">
        <v>0.14360000000000001</v>
      </c>
      <c r="L5662">
        <v>4.8</v>
      </c>
      <c r="M5662">
        <v>1554</v>
      </c>
      <c r="O5662" t="s">
        <v>25</v>
      </c>
      <c r="P5662" t="s">
        <v>6800</v>
      </c>
      <c r="Q5662" t="s">
        <v>6801</v>
      </c>
    </row>
    <row r="5663" spans="1:17" ht="15.5" x14ac:dyDescent="0.35">
      <c r="A5663" s="3" t="str">
        <f>HYPERLINK("https://edmondsonsupply.com/collections/electricians-tools/products/klein-tools-86600-1-4-inch-magnetic-hex-drivers-3-pack", "https://edmondsonsupply.com/collections/electricians-tools/products/klein-tools-86600-1-4-inch-magnetic-hex-drivers-3-pack")</f>
        <v>https://edmondsonsupply.com/collections/electricians-tools/products/klein-tools-86600-1-4-inch-magnetic-hex-drivers-3-pack</v>
      </c>
      <c r="B5663" s="3" t="str">
        <f>HYPERLINK("https://edmondsonsupply.com/products/klein-tools-86600-1-4-inch-magnetic-hex-drivers-3-pack", "https://edmondsonsupply.com/products/klein-tools-86600-1-4-inch-magnetic-hex-drivers-3-pack")</f>
        <v>https://edmondsonsupply.com/products/klein-tools-86600-1-4-inch-magnetic-hex-drivers-3-pack</v>
      </c>
      <c r="C5663" t="s">
        <v>5334</v>
      </c>
      <c r="D5663" t="s">
        <v>4002</v>
      </c>
      <c r="E5663" s="3" t="str">
        <f>HYPERLINK("https://www.amazon.com/Klein-Tools-32792-Impact-Driver/dp/B07RGVMK47/ref=sr_1_2?keywords=Klein+Tools+86600+1%2F4-Inch+Magnetic+Hex+Drivers%2C+3-Pack&amp;qid=1695174220&amp;sr=8-2", "https://www.amazon.com/Klein-Tools-32792-Impact-Driver/dp/B07RGVMK47/ref=sr_1_2?keywords=Klein+Tools+86600+1%2F4-Inch+Magnetic+Hex+Drivers%2C+3-Pack&amp;qid=1695174220&amp;sr=8-2")</f>
        <v>https://www.amazon.com/Klein-Tools-32792-Impact-Driver/dp/B07RGVMK47/ref=sr_1_2?keywords=Klein+Tools+86600+1%2F4-Inch+Magnetic+Hex+Drivers%2C+3-Pack&amp;qid=1695174220&amp;sr=8-2</v>
      </c>
      <c r="F5663" t="s">
        <v>4003</v>
      </c>
      <c r="G5663" t="e">
        <f ca="1">_xludf.IMAGE("https://edmondsonsupply.com/cdn/shop/products/86600.png?v=1645569632")</f>
        <v>#NAME?</v>
      </c>
      <c r="H5663" t="e">
        <f ca="1">_xludf.IMAGE("https://m.media-amazon.com/images/I/51JzG4GF5wL._AC_UL320_.jpg")</f>
        <v>#NAME?</v>
      </c>
      <c r="I5663" t="s">
        <v>2347</v>
      </c>
      <c r="J5663">
        <v>7.99</v>
      </c>
      <c r="K5663" s="4">
        <v>0.1431</v>
      </c>
      <c r="L5663">
        <v>4.5</v>
      </c>
      <c r="M5663">
        <v>131</v>
      </c>
      <c r="O5663" t="s">
        <v>25</v>
      </c>
      <c r="P5663" t="s">
        <v>6193</v>
      </c>
      <c r="Q5663" t="s">
        <v>6636</v>
      </c>
    </row>
    <row r="5664" spans="1:17" ht="15.5" x14ac:dyDescent="0.35">
      <c r="A5664" s="3" t="str">
        <f>HYPERLINK("https://edmondsonsupply.com/collections/electricians-tools/products/klein-tools-32791-pro-impact-power-bit-extension-1-4-inch-hex", "https://edmondsonsupply.com/collections/electricians-tools/products/klein-tools-32791-pro-impact-power-bit-extension-1-4-inch-hex")</f>
        <v>https://edmondsonsupply.com/collections/electricians-tools/products/klein-tools-32791-pro-impact-power-bit-extension-1-4-inch-hex</v>
      </c>
      <c r="B5664" s="3" t="str">
        <f>HYPERLINK("https://edmondsonsupply.com/products/klein-tools-32791-pro-impact-power-bit-extension-1-4-inch-hex", "https://edmondsonsupply.com/products/klein-tools-32791-pro-impact-power-bit-extension-1-4-inch-hex")</f>
        <v>https://edmondsonsupply.com/products/klein-tools-32791-pro-impact-power-bit-extension-1-4-inch-hex</v>
      </c>
      <c r="C5664" t="s">
        <v>2944</v>
      </c>
      <c r="D5664" t="s">
        <v>4002</v>
      </c>
      <c r="E5664" s="3" t="str">
        <f>HYPERLINK("https://www.amazon.com/Klein-Tools-32792-Impact-Driver/dp/B07RGVMK47/ref=sr_1_3?keywords=Klein+Tools+32791+Pro+Impact+Power+Bit+Extension+1%2F4-Inch+Hex&amp;qid=1695173960&amp;sr=8-3", "https://www.amazon.com/Klein-Tools-32792-Impact-Driver/dp/B07RGVMK47/ref=sr_1_3?keywords=Klein+Tools+32791+Pro+Impact+Power+Bit+Extension+1%2F4-Inch+Hex&amp;qid=1695173960&amp;sr=8-3")</f>
        <v>https://www.amazon.com/Klein-Tools-32792-Impact-Driver/dp/B07RGVMK47/ref=sr_1_3?keywords=Klein+Tools+32791+Pro+Impact+Power+Bit+Extension+1%2F4-Inch+Hex&amp;qid=1695173960&amp;sr=8-3</v>
      </c>
      <c r="F5664" t="s">
        <v>4003</v>
      </c>
      <c r="G5664" t="e">
        <f ca="1">_xludf.IMAGE("https://edmondsonsupply.com/cdn/shop/products/32791.jpg?v=1587145614")</f>
        <v>#NAME?</v>
      </c>
      <c r="H5664" t="e">
        <f ca="1">_xludf.IMAGE("https://m.media-amazon.com/images/I/51JzG4GF5wL._AC_UL320_.jpg")</f>
        <v>#NAME?</v>
      </c>
      <c r="I5664" t="s">
        <v>2347</v>
      </c>
      <c r="J5664">
        <v>7.99</v>
      </c>
      <c r="K5664" s="4">
        <v>0.1431</v>
      </c>
      <c r="L5664">
        <v>4.5</v>
      </c>
      <c r="M5664">
        <v>131</v>
      </c>
      <c r="O5664" t="s">
        <v>25</v>
      </c>
      <c r="P5664" t="s">
        <v>2826</v>
      </c>
      <c r="Q5664" t="s">
        <v>2947</v>
      </c>
    </row>
    <row r="5665" spans="1:17" ht="15.5" x14ac:dyDescent="0.35">
      <c r="A5665"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5665"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5665" t="s">
        <v>6797</v>
      </c>
      <c r="D5665" t="s">
        <v>4244</v>
      </c>
      <c r="E5665" s="3" t="str">
        <f>HYPERLINK("https://www.amazon.com/Klein-Tools-J248-8-Diagonal-Cutters-Angled/dp/B000CRY52A/ref=sr_1_6?keywords=Klein+Tools+D2000-48+Diagonal+Cutting+Pliers%2C+Angled+Head%2C+8-Inch&amp;qid=1695174171&amp;sr=8-6", "https://www.amazon.com/Klein-Tools-J248-8-Diagonal-Cutters-Angled/dp/B000CRY52A/ref=sr_1_6?keywords=Klein+Tools+D2000-48+Diagonal+Cutting+Pliers%2C+Angled+Head%2C+8-Inch&amp;qid=1695174171&amp;sr=8-6")</f>
        <v>https://www.amazon.com/Klein-Tools-J248-8-Diagonal-Cutters-Angled/dp/B000CRY52A/ref=sr_1_6?keywords=Klein+Tools+D2000-48+Diagonal+Cutting+Pliers%2C+Angled+Head%2C+8-Inch&amp;qid=1695174171&amp;sr=8-6</v>
      </c>
      <c r="F5665" t="s">
        <v>4245</v>
      </c>
      <c r="G5665" t="e">
        <f ca="1">_xludf.IMAGE("https://edmondsonsupply.com/cdn/shop/products/d200048.jpg?v=1660920588")</f>
        <v>#NAME?</v>
      </c>
      <c r="H5665" t="e">
        <f ca="1">_xludf.IMAGE("https://m.media-amazon.com/images/I/51AWyzskD+L._AC_UL320_.jpg")</f>
        <v>#NAME?</v>
      </c>
      <c r="I5665" t="s">
        <v>340</v>
      </c>
      <c r="J5665">
        <v>39.97</v>
      </c>
      <c r="K5665" s="4">
        <v>0.14299999999999999</v>
      </c>
      <c r="L5665">
        <v>4.9000000000000004</v>
      </c>
      <c r="M5665">
        <v>490</v>
      </c>
      <c r="O5665" t="s">
        <v>25</v>
      </c>
      <c r="P5665" t="s">
        <v>6800</v>
      </c>
      <c r="Q5665" t="s">
        <v>6801</v>
      </c>
    </row>
    <row r="5666" spans="1:17" ht="15.5" x14ac:dyDescent="0.35">
      <c r="A5666" s="3" t="str">
        <f>HYPERLINK("https://edmondsonsupply.com/collections/electricians-tools/products/milwaukee-48-25-1372-1-3-8-self-feed-wood-bit", "https://edmondsonsupply.com/collections/electricians-tools/products/milwaukee-48-25-1372-1-3-8-self-feed-wood-bit")</f>
        <v>https://edmondsonsupply.com/collections/electricians-tools/products/milwaukee-48-25-1372-1-3-8-self-feed-wood-bit</v>
      </c>
      <c r="B5666" s="3" t="str">
        <f>HYPERLINK("https://edmondsonsupply.com/products/milwaukee-48-25-1372-1-3-8-self-feed-wood-bit", "https://edmondsonsupply.com/products/milwaukee-48-25-1372-1-3-8-self-feed-wood-bit")</f>
        <v>https://edmondsonsupply.com/products/milwaukee-48-25-1372-1-3-8-self-feed-wood-bit</v>
      </c>
      <c r="C5666" t="s">
        <v>4004</v>
      </c>
      <c r="D5666" t="s">
        <v>4005</v>
      </c>
      <c r="E5666" s="3" t="str">
        <f>HYPERLINK("https://www.amazon.com/Milwaukee-48-25-1371-8-Inch-16-Inch-Selfeed/dp/B00002249T/ref=sr_1_1?keywords=Milwaukee+48-25-1372+1-3%2F8%22+Self+Feed+Wood+Bit&amp;qid=1695173947&amp;sr=8-1", "https://www.amazon.com/Milwaukee-48-25-1371-8-Inch-16-Inch-Selfeed/dp/B00002249T/ref=sr_1_1?keywords=Milwaukee+48-25-1372+1-3%2F8%22+Self+Feed+Wood+Bit&amp;qid=1695173947&amp;sr=8-1")</f>
        <v>https://www.amazon.com/Milwaukee-48-25-1371-8-Inch-16-Inch-Selfeed/dp/B00002249T/ref=sr_1_1?keywords=Milwaukee+48-25-1372+1-3%2F8%22+Self+Feed+Wood+Bit&amp;qid=1695173947&amp;sr=8-1</v>
      </c>
      <c r="F5666" t="s">
        <v>4006</v>
      </c>
      <c r="G5666" t="e">
        <f ca="1">_xludf.IMAGE("https://edmondsonsupply.com/cdn/shop/products/milwaukee-auger-bits-48-25-1372-64_1000.jpg?v=1587150001")</f>
        <v>#NAME?</v>
      </c>
      <c r="H5666" t="e">
        <f ca="1">_xludf.IMAGE("https://m.media-amazon.com/images/I/51xlKJWPzYL._AC_UL320_.jpg")</f>
        <v>#NAME?</v>
      </c>
      <c r="I5666" t="s">
        <v>571</v>
      </c>
      <c r="J5666">
        <v>39.99</v>
      </c>
      <c r="K5666" s="4">
        <v>0.1429</v>
      </c>
      <c r="L5666">
        <v>4.5999999999999996</v>
      </c>
      <c r="M5666">
        <v>106</v>
      </c>
      <c r="O5666" t="s">
        <v>25</v>
      </c>
      <c r="P5666" t="s">
        <v>4007</v>
      </c>
      <c r="Q5666" t="s">
        <v>4008</v>
      </c>
    </row>
    <row r="5667" spans="1:17" ht="15.5" x14ac:dyDescent="0.35">
      <c r="A5667" s="3" t="str">
        <f>HYPERLINK("https://edmondsonsupply.com/collections/electricians-tools/products/diablo-tools-dmapl2500-7-8-in-x-8-in-x-10-in-sds-plus-2-cutter", "https://edmondsonsupply.com/collections/electricians-tools/products/diablo-tools-dmapl2500-7-8-in-x-8-in-x-10-in-sds-plus-2-cutter")</f>
        <v>https://edmondsonsupply.com/collections/electricians-tools/products/diablo-tools-dmapl2500-7-8-in-x-8-in-x-10-in-sds-plus-2-cutter</v>
      </c>
      <c r="B5667" s="3" t="str">
        <f>HYPERLINK("https://edmondsonsupply.com/products/diablo-tools-dmapl2500-7-8-in-x-8-in-x-10-in-sds-plus-2-cutter", "https://edmondsonsupply.com/products/diablo-tools-dmapl2500-7-8-in-x-8-in-x-10-in-sds-plus-2-cutter")</f>
        <v>https://edmondsonsupply.com/products/diablo-tools-dmapl2500-7-8-in-x-8-in-x-10-in-sds-plus-2-cutter</v>
      </c>
      <c r="C5667" t="s">
        <v>7534</v>
      </c>
      <c r="D5667" t="s">
        <v>7556</v>
      </c>
      <c r="E5667" s="3" t="str">
        <f>HYPERLINK("https://www.amazon.com/Diablo-16-18-SDS-Plus-2-Cutter/dp/B089KW5TV6/ref=sr_1_8?keywords=Diablo+Tools+DMAPL2500+7%2F8+in.+x+8+in.+x+10+in.+SDS-Plus+2-Cutter&amp;qid=1695174221&amp;sr=8-8", "https://www.amazon.com/Diablo-16-18-SDS-Plus-2-Cutter/dp/B089KW5TV6/ref=sr_1_8?keywords=Diablo+Tools+DMAPL2500+7%2F8+in.+x+8+in.+x+10+in.+SDS-Plus+2-Cutter&amp;qid=1695174221&amp;sr=8-8")</f>
        <v>https://www.amazon.com/Diablo-16-18-SDS-Plus-2-Cutter/dp/B089KW5TV6/ref=sr_1_8?keywords=Diablo+Tools+DMAPL2500+7%2F8+in.+x+8+in.+x+10+in.+SDS-Plus+2-Cutter&amp;qid=1695174221&amp;sr=8-8</v>
      </c>
      <c r="F5667" t="s">
        <v>7557</v>
      </c>
      <c r="G5667" t="e">
        <f ca="1">_xludf.IMAGE("https://edmondsonsupply.com/cdn/shop/products/2500.webp?v=1647636219")</f>
        <v>#NAME?</v>
      </c>
      <c r="H5667" t="e">
        <f ca="1">_xludf.IMAGE("https://m.media-amazon.com/images/I/61LIeXBPR+L._AC_UL320_.jpg")</f>
        <v>#NAME?</v>
      </c>
      <c r="I5667" t="s">
        <v>7535</v>
      </c>
      <c r="J5667">
        <v>32.99</v>
      </c>
      <c r="K5667" s="4">
        <v>0.13880000000000001</v>
      </c>
      <c r="L5667">
        <v>3.3</v>
      </c>
      <c r="M5667">
        <v>7</v>
      </c>
      <c r="O5667" t="s">
        <v>25</v>
      </c>
      <c r="P5667" t="s">
        <v>6809</v>
      </c>
      <c r="Q5667" t="s">
        <v>7536</v>
      </c>
    </row>
    <row r="5668" spans="1:17" ht="15.5" x14ac:dyDescent="0.35">
      <c r="A5668" s="3" t="str">
        <f>HYPERLINK("https://edmondsonsupply.com/collections/electricians-tools/products/diablo-tools-dmamx1220", "https://edmondsonsupply.com/collections/electricians-tools/products/diablo-tools-dmamx1220")</f>
        <v>https://edmondsonsupply.com/collections/electricians-tools/products/diablo-tools-dmamx1220</v>
      </c>
      <c r="B5668" s="3" t="str">
        <f>HYPERLINK("https://edmondsonsupply.com/products/diablo-tools-dmamx1220", "https://edmondsonsupply.com/products/diablo-tools-dmamx1220")</f>
        <v>https://edmondsonsupply.com/products/diablo-tools-dmamx1220</v>
      </c>
      <c r="C5668" t="s">
        <v>7454</v>
      </c>
      <c r="D5668" t="s">
        <v>5316</v>
      </c>
      <c r="E5668" s="3" t="str">
        <f>HYPERLINK("https://www.amazon.com/Diablo-SDS-Max-4-Cutter-Carbide-Hammer/dp/B089KWP4WK/ref=sr_1_2?keywords=Diablo+Tools+DMAMX1220+1+in.+x+16+in.+x+21+in.+Rebar+Demon%E2%84%A2+SDS-Max+4-Cutter+Full+Carbide+Head+Hammer+Drill+Bit&amp;qid=1695174109&amp;sr=8-2", "https://www.amazon.com/Diablo-SDS-Max-4-Cutter-Carbide-Hammer/dp/B089KWP4WK/ref=sr_1_2?keywords=Diablo+Tools+DMAMX1220+1+in.+x+16+in.+x+21+in.+Rebar+Demon%E2%84%A2+SDS-Max+4-Cutter+Full+Carbide+Head+Hammer+Drill+Bit&amp;qid=1695174109&amp;sr=8-2")</f>
        <v>https://www.amazon.com/Diablo-SDS-Max-4-Cutter-Carbide-Hammer/dp/B089KWP4WK/ref=sr_1_2?keywords=Diablo+Tools+DMAMX1220+1+in.+x+16+in.+x+21+in.+Rebar+Demon%E2%84%A2+SDS-Max+4-Cutter+Full+Carbide+Head+Hammer+Drill+Bit&amp;qid=1695174109&amp;sr=8-2</v>
      </c>
      <c r="F5668" t="s">
        <v>5317</v>
      </c>
      <c r="G5668" t="e">
        <f ca="1">_xludf.IMAGE("https://edmondsonsupply.com/cdn/shop/products/immoyh7jjmbau4fzhuq6.webp?v=1670431066")</f>
        <v>#NAME?</v>
      </c>
      <c r="H5668" t="e">
        <f ca="1">_xludf.IMAGE("https://m.media-amazon.com/images/I/61yWWNP1xrL._AC_UL320_.jpg")</f>
        <v>#NAME?</v>
      </c>
      <c r="I5668" t="s">
        <v>7455</v>
      </c>
      <c r="J5668">
        <v>51.96</v>
      </c>
      <c r="K5668" s="4">
        <v>0.13719999999999999</v>
      </c>
      <c r="L5668">
        <v>5</v>
      </c>
      <c r="M5668">
        <v>9</v>
      </c>
      <c r="O5668" t="s">
        <v>25</v>
      </c>
      <c r="P5668" t="s">
        <v>7456</v>
      </c>
      <c r="Q5668" t="s">
        <v>7457</v>
      </c>
    </row>
    <row r="5669" spans="1:17" ht="15.5" x14ac:dyDescent="0.35">
      <c r="A5669" s="3" t="str">
        <f>HYPERLINK("https://edmondsonsupply.com/collections/electricians-tools/products/testo-0590-7551-755-1-current-voltage-meter-with-200-a-ac-600-v-ac-dc-and-continuity", "https://edmondsonsupply.com/collections/electricians-tools/products/testo-0590-7551-755-1-current-voltage-meter-with-200-a-ac-600-v-ac-dc-and-continuity")</f>
        <v>https://edmondsonsupply.com/collections/electricians-tools/products/testo-0590-7551-755-1-current-voltage-meter-with-200-a-ac-600-v-ac-dc-and-continuity</v>
      </c>
      <c r="B5669" s="3" t="str">
        <f>HYPERLINK("https://edmondsonsupply.com/products/testo-0590-7551-755-1-current-voltage-meter-with-200-a-ac-600-v-ac-dc-and-continuity", "https://edmondsonsupply.com/products/testo-0590-7551-755-1-current-voltage-meter-with-200-a-ac-600-v-ac-dc-and-continuity")</f>
        <v>https://edmondsonsupply.com/products/testo-0590-7551-755-1-current-voltage-meter-with-200-a-ac-600-v-ac-dc-and-continuity</v>
      </c>
      <c r="C5669" t="s">
        <v>3816</v>
      </c>
      <c r="D5669" t="s">
        <v>4023</v>
      </c>
      <c r="E5669" s="3" t="str">
        <f>HYPERLINK("https://www.amazon.com/Testo-755-1-Current-Voltage-Continuity/dp/B01F3MPHMU/ref=sr_1_1?keywords=Testo+0590+7551+755-1+-+Current+%2F+Voltage+Meter+with+200+A+AC%2C+600+V+AC%2FDC%2C+and+Continuity&amp;qid=1695173987&amp;sr=8-1", "https://www.amazon.com/Testo-755-1-Current-Voltage-Continuity/dp/B01F3MPHMU/ref=sr_1_1?keywords=Testo+0590+7551+755-1+-+Current+%2F+Voltage+Meter+with+200+A+AC%2C+600+V+AC%2FDC%2C+and+Continuity&amp;qid=1695173987&amp;sr=8-1")</f>
        <v>https://www.amazon.com/Testo-755-1-Current-Voltage-Continuity/dp/B01F3MPHMU/ref=sr_1_1?keywords=Testo+0590+7551+755-1+-+Current+%2F+Voltage+Meter+with+200+A+AC%2C+600+V+AC%2FDC%2C+and+Continuity&amp;qid=1695173987&amp;sr=8-1</v>
      </c>
      <c r="F5669" t="s">
        <v>4024</v>
      </c>
      <c r="G5669" t="e">
        <f ca="1">_xludf.IMAGE("https://edmondsonsupply.com/cdn/shop/files/testo-755-1_front_prl.jpg?v=1688226764")</f>
        <v>#NAME?</v>
      </c>
      <c r="H5669" t="e">
        <f ca="1">_xludf.IMAGE("https://m.media-amazon.com/images/I/81EGlqWO01L._AC_UY218_.jpg")</f>
        <v>#NAME?</v>
      </c>
      <c r="I5669" t="s">
        <v>1902</v>
      </c>
      <c r="J5669">
        <v>201.68</v>
      </c>
      <c r="K5669" s="4">
        <v>0.1353</v>
      </c>
      <c r="L5669">
        <v>3.2</v>
      </c>
      <c r="M5669">
        <v>5</v>
      </c>
      <c r="O5669" t="s">
        <v>25</v>
      </c>
      <c r="P5669" t="s">
        <v>697</v>
      </c>
      <c r="Q5669" t="s">
        <v>3819</v>
      </c>
    </row>
    <row r="5670" spans="1:17" ht="15.5" x14ac:dyDescent="0.35">
      <c r="A5670"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5670" s="3" t="str">
        <f>HYPERLINK("https://edmondsonsupply.com/products/klein-tools-vaco-s10m-5-16-magnetic-nut-driver-3-hollow-shaft", "https://edmondsonsupply.com/products/klein-tools-vaco-s10m-5-16-magnetic-nut-driver-3-hollow-shaft")</f>
        <v>https://edmondsonsupply.com/products/klein-tools-vaco-s10m-5-16-magnetic-nut-driver-3-hollow-shaft</v>
      </c>
      <c r="C5670" t="s">
        <v>6468</v>
      </c>
      <c r="D5670" t="s">
        <v>3301</v>
      </c>
      <c r="E5670" s="3" t="str">
        <f>HYPERLINK("https://www.amazon.com/Magnetic-Klein-Tools-610-5-16M/dp/B00093DZP0/ref=sr_1_6?keywords=Klein+Tools+S10M+5%2F16-Inch+Magnetic+Nut+Driver+3-Inch+Shaft&amp;qid=1695174019&amp;sr=8-6", "https://www.amazon.com/Magnetic-Klein-Tools-610-5-16M/dp/B00093DZP0/ref=sr_1_6?keywords=Klein+Tools+S10M+5%2F16-Inch+Magnetic+Nut+Driver+3-Inch+Shaft&amp;qid=1695174019&amp;sr=8-6")</f>
        <v>https://www.amazon.com/Magnetic-Klein-Tools-610-5-16M/dp/B00093DZP0/ref=sr_1_6?keywords=Klein+Tools+S10M+5%2F16-Inch+Magnetic+Nut+Driver+3-Inch+Shaft&amp;qid=1695174019&amp;sr=8-6</v>
      </c>
      <c r="F5670" t="s">
        <v>3302</v>
      </c>
      <c r="G5670" t="e">
        <f ca="1">_xludf.IMAGE("https://edmondsonsupply.com/cdn/shop/products/s10m_alt2.jpg?v=1587143022")</f>
        <v>#NAME?</v>
      </c>
      <c r="H5670" t="e">
        <f ca="1">_xludf.IMAGE("https://m.media-amazon.com/images/I/41rQZ0-NNZL._AC_UL320_.jpg")</f>
        <v>#NAME?</v>
      </c>
      <c r="I5670" t="s">
        <v>2577</v>
      </c>
      <c r="J5670">
        <v>11.34</v>
      </c>
      <c r="K5670" s="4">
        <v>0.1351</v>
      </c>
      <c r="L5670">
        <v>4.8</v>
      </c>
      <c r="M5670">
        <v>260</v>
      </c>
      <c r="O5670" t="s">
        <v>25</v>
      </c>
      <c r="P5670" t="s">
        <v>6469</v>
      </c>
      <c r="Q5670" t="s">
        <v>6470</v>
      </c>
    </row>
    <row r="5671" spans="1:17" ht="15.5" x14ac:dyDescent="0.35">
      <c r="A5671"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5671"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5671" t="s">
        <v>7545</v>
      </c>
      <c r="D5671" t="s">
        <v>7558</v>
      </c>
      <c r="E5671" s="3" t="str">
        <f>HYPERLINK("https://www.amazon.com/Klein-Tools-Electrical-Digital-Accessories/dp/B0BNL7KB4S/ref=sr_1_9?keywords=Klein+Tools+CL320KIT+HVAC+Digital+Clamp+Meter+Electrical+Test+Kit&amp;qid=1695174178&amp;sr=8-9", "https://www.amazon.com/Klein-Tools-Electrical-Digital-Accessories/dp/B0BNL7KB4S/ref=sr_1_9?keywords=Klein+Tools+CL320KIT+HVAC+Digital+Clamp+Meter+Electrical+Test+Kit&amp;qid=1695174178&amp;sr=8-9")</f>
        <v>https://www.amazon.com/Klein-Tools-Electrical-Digital-Accessories/dp/B0BNL7KB4S/ref=sr_1_9?keywords=Klein+Tools+CL320KIT+HVAC+Digital+Clamp+Meter+Electrical+Test+Kit&amp;qid=1695174178&amp;sr=8-9</v>
      </c>
      <c r="F5671" t="s">
        <v>7559</v>
      </c>
      <c r="G5671" t="e">
        <f ca="1">_xludf.IMAGE("https://edmondsonsupply.com/cdn/shop/products/cl320kit_photo.jpg?v=1660753251")</f>
        <v>#NAME?</v>
      </c>
      <c r="H5671" t="e">
        <f ca="1">_xludf.IMAGE("https://m.media-amazon.com/images/I/51qczX90GxL._AC_UY218_.jpg")</f>
        <v>#NAME?</v>
      </c>
      <c r="I5671" t="s">
        <v>7548</v>
      </c>
      <c r="J5671">
        <v>134.96</v>
      </c>
      <c r="K5671" s="4">
        <v>0.13420000000000001</v>
      </c>
      <c r="L5671">
        <v>5</v>
      </c>
      <c r="M5671">
        <v>2</v>
      </c>
      <c r="O5671" t="s">
        <v>25</v>
      </c>
      <c r="P5671" t="s">
        <v>7549</v>
      </c>
      <c r="Q5671" t="s">
        <v>7550</v>
      </c>
    </row>
    <row r="5672" spans="1:17" ht="15.5" x14ac:dyDescent="0.35">
      <c r="A5672"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5672"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5672" t="s">
        <v>6512</v>
      </c>
      <c r="D5672" t="s">
        <v>5101</v>
      </c>
      <c r="E5672" s="3" t="str">
        <f>HYPERLINK("https://www.amazon.com/Diagonal-Cutting-Klein-Tools-D248-8-GLW/dp/B00LMM39TY/ref=sr_1_2?keywords=Klein+Tools+D248-8+Diagonal+Cutting+Pliers%2C+Angled+Head%2C+Short+Jaw%2C+8-Inch&amp;qid=1695174274&amp;sr=8-2", "https://www.amazon.com/Diagonal-Cutting-Klein-Tools-D248-8-GLW/dp/B00LMM39TY/ref=sr_1_2?keywords=Klein+Tools+D248-8+Diagonal+Cutting+Pliers%2C+Angled+Head%2C+Short+Jaw%2C+8-Inch&amp;qid=1695174274&amp;sr=8-2")</f>
        <v>https://www.amazon.com/Diagonal-Cutting-Klein-Tools-D248-8-GLW/dp/B00LMM39TY/ref=sr_1_2?keywords=Klein+Tools+D248-8+Diagonal+Cutting+Pliers%2C+Angled+Head%2C+Short+Jaw%2C+8-Inch&amp;qid=1695174274&amp;sr=8-2</v>
      </c>
      <c r="F5672" t="s">
        <v>5102</v>
      </c>
      <c r="G5672" t="e">
        <f ca="1">_xludf.IMAGE("https://edmondsonsupply.com/cdn/shop/products/d2488.jpg?v=1633030997")</f>
        <v>#NAME?</v>
      </c>
      <c r="H5672" t="e">
        <f ca="1">_xludf.IMAGE("https://m.media-amazon.com/images/I/41HSLnsbFiL._AC_UL320_.jpg")</f>
        <v>#NAME?</v>
      </c>
      <c r="I5672" t="s">
        <v>824</v>
      </c>
      <c r="J5672">
        <v>33.99</v>
      </c>
      <c r="K5672" s="4">
        <v>0.1341</v>
      </c>
      <c r="L5672">
        <v>4.9000000000000004</v>
      </c>
      <c r="M5672">
        <v>634</v>
      </c>
      <c r="O5672" t="s">
        <v>25</v>
      </c>
      <c r="P5672" t="s">
        <v>5277</v>
      </c>
      <c r="Q5672" t="s">
        <v>6515</v>
      </c>
    </row>
    <row r="5673" spans="1:17" ht="15.5" x14ac:dyDescent="0.35">
      <c r="A5673" s="3" t="str">
        <f>HYPERLINK("https://edmondsonsupply.com/collections/electricians-tools/products/reed-mfg-rw8-8-heavy-duty-straight-pipe-wrench", "https://edmondsonsupply.com/collections/electricians-tools/products/reed-mfg-rw8-8-heavy-duty-straight-pipe-wrench")</f>
        <v>https://edmondsonsupply.com/collections/electricians-tools/products/reed-mfg-rw8-8-heavy-duty-straight-pipe-wrench</v>
      </c>
      <c r="B5673" s="3" t="str">
        <f>HYPERLINK("https://edmondsonsupply.com/products/reed-mfg-rw8-8-heavy-duty-straight-pipe-wrench", "https://edmondsonsupply.com/products/reed-mfg-rw8-8-heavy-duty-straight-pipe-wrench")</f>
        <v>https://edmondsonsupply.com/products/reed-mfg-rw8-8-heavy-duty-straight-pipe-wrench</v>
      </c>
      <c r="C5673" t="s">
        <v>7560</v>
      </c>
      <c r="D5673" t="s">
        <v>7561</v>
      </c>
      <c r="E5673" s="3" t="str">
        <f>HYPERLINK("https://www.amazon.com/REED-RW8-Heavy-Duty-Pipe-Wrench/dp/B00467NQ3Q/ref=sr_1_1?keywords=Reed+Mfg+RW8+8%22+Heavy-Duty+Straight+Pipe+Wrench&amp;qid=1695174271&amp;sr=8-1", "https://www.amazon.com/REED-RW8-Heavy-Duty-Pipe-Wrench/dp/B00467NQ3Q/ref=sr_1_1?keywords=Reed+Mfg+RW8+8%22+Heavy-Duty+Straight+Pipe+Wrench&amp;qid=1695174271&amp;sr=8-1")</f>
        <v>https://www.amazon.com/REED-RW8-Heavy-Duty-Pipe-Wrench/dp/B00467NQ3Q/ref=sr_1_1?keywords=Reed+Mfg+RW8+8%22+Heavy-Duty+Straight+Pipe+Wrench&amp;qid=1695174271&amp;sr=8-1</v>
      </c>
      <c r="F5673" t="s">
        <v>7562</v>
      </c>
      <c r="G5673" t="e">
        <f ca="1">_xludf.IMAGE("https://edmondsonsupply.com/cdn/shop/products/02120-RW8-RGB.jpg?v=1633031010")</f>
        <v>#NAME?</v>
      </c>
      <c r="H5673" t="e">
        <f ca="1">_xludf.IMAGE("https://m.media-amazon.com/images/I/71kEKSUS3TL._AC_UL320_.jpg")</f>
        <v>#NAME?</v>
      </c>
      <c r="I5673" t="s">
        <v>7563</v>
      </c>
      <c r="J5673">
        <v>25.99</v>
      </c>
      <c r="K5673" s="4">
        <v>0.13389999999999999</v>
      </c>
      <c r="L5673">
        <v>5</v>
      </c>
      <c r="M5673">
        <v>4</v>
      </c>
      <c r="O5673" t="s">
        <v>25</v>
      </c>
      <c r="P5673" t="s">
        <v>362</v>
      </c>
      <c r="Q5673" t="s">
        <v>7564</v>
      </c>
    </row>
    <row r="5674" spans="1:17" ht="15.5" x14ac:dyDescent="0.35">
      <c r="A5674"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5674" s="3" t="str">
        <f>HYPERLINK("https://edmondsonsupply.com/products/milwaukee-2953-22-m18-fuel%e2%84%a2-1-4-hex-impact-driver-kit", "https://edmondsonsupply.com/products/milwaukee-2953-22-m18-fuel%e2%84%a2-1-4-hex-impact-driver-kit")</f>
        <v>https://edmondsonsupply.com/products/milwaukee-2953-22-m18-fuel%e2%84%a2-1-4-hex-impact-driver-kit</v>
      </c>
      <c r="C5674" t="s">
        <v>7565</v>
      </c>
      <c r="D5674" t="s">
        <v>6687</v>
      </c>
      <c r="E5674" s="3" t="str">
        <f>HYPERLINK("https://www.amazon.com/Milwaukee-2853-22-FUEL-Impact-Driver/dp/B07G9H57FM/ref=sr_1_1?keywords=Milwaukee+2953-22+M18+FUEL%E2%84%A2+1%2F4%22+Hex+Impact+Driver+Kit&amp;qid=1695174155&amp;sr=8-1", "https://www.amazon.com/Milwaukee-2853-22-FUEL-Impact-Driver/dp/B07G9H57FM/ref=sr_1_1?keywords=Milwaukee+2953-22+M18+FUEL%E2%84%A2+1%2F4%22+Hex+Impact+Driver+Kit&amp;qid=1695174155&amp;sr=8-1")</f>
        <v>https://www.amazon.com/Milwaukee-2853-22-FUEL-Impact-Driver/dp/B07G9H57FM/ref=sr_1_1?keywords=Milwaukee+2953-22+M18+FUEL%E2%84%A2+1%2F4%22+Hex+Impact+Driver+Kit&amp;qid=1695174155&amp;sr=8-1</v>
      </c>
      <c r="F5674" t="s">
        <v>6688</v>
      </c>
      <c r="G5674" t="e">
        <f ca="1">_xludf.IMAGE("https://edmondsonsupply.com/cdn/shop/products/29532022ImageReel2.webp?v=1663599746")</f>
        <v>#NAME?</v>
      </c>
      <c r="H5674" t="e">
        <f ca="1">_xludf.IMAGE("https://m.media-amazon.com/images/I/61U85JXP9NL._AC_UL320_.jpg")</f>
        <v>#NAME?</v>
      </c>
      <c r="I5674" t="s">
        <v>5012</v>
      </c>
      <c r="J5674">
        <v>339</v>
      </c>
      <c r="K5674" s="4">
        <v>0.1338</v>
      </c>
      <c r="L5674">
        <v>4.8</v>
      </c>
      <c r="M5674">
        <v>528</v>
      </c>
      <c r="O5674" t="s">
        <v>25</v>
      </c>
      <c r="P5674" t="s">
        <v>7566</v>
      </c>
      <c r="Q5674" t="s">
        <v>7567</v>
      </c>
    </row>
    <row r="5675" spans="1:17" ht="15.5" x14ac:dyDescent="0.35">
      <c r="A5675"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5675" s="3" t="str">
        <f>HYPERLINK("https://edmondsonsupply.com/products/klein-tools-s10-5-16-inch-nut-driver-3-inch-hollow-shaft", "https://edmondsonsupply.com/products/klein-tools-s10-5-16-inch-nut-driver-3-inch-hollow-shaft")</f>
        <v>https://edmondsonsupply.com/products/klein-tools-s10-5-16-inch-nut-driver-3-inch-hollow-shaft</v>
      </c>
      <c r="C5675" t="s">
        <v>7432</v>
      </c>
      <c r="D5675" t="s">
        <v>4434</v>
      </c>
      <c r="E5675" s="3" t="str">
        <f>HYPERLINK("https://www.amazon.com/Magnetic-Comfordome-Klein-Tools-S10M/dp/B000936PCU/ref=sr_1_8?keywords=Klein+Tools+S10+5%2F16-Inch+Nut+Driver+3-Inch+Hollow+Shaft&amp;qid=1695174298&amp;sr=8-8", "https://www.amazon.com/Magnetic-Comfordome-Klein-Tools-S10M/dp/B000936PCU/ref=sr_1_8?keywords=Klein+Tools+S10+5%2F16-Inch+Nut+Driver+3-Inch+Hollow+Shaft&amp;qid=1695174298&amp;sr=8-8")</f>
        <v>https://www.amazon.com/Magnetic-Comfordome-Klein-Tools-S10M/dp/B000936PCU/ref=sr_1_8?keywords=Klein+Tools+S10+5%2F16-Inch+Nut+Driver+3-Inch+Hollow+Shaft&amp;qid=1695174298&amp;sr=8-8</v>
      </c>
      <c r="F5675" t="s">
        <v>4435</v>
      </c>
      <c r="G5675" t="e">
        <f ca="1">_xludf.IMAGE("https://edmondsonsupply.com/cdn/shop/products/s10_38acacb8-6c8e-49ef-8ed3-7160ab53875a.jpg?v=1633030893")</f>
        <v>#NAME?</v>
      </c>
      <c r="H5675" t="e">
        <f ca="1">_xludf.IMAGE("https://m.media-amazon.com/images/I/51wT5Rnu5GL._AC_UL320_.jpg")</f>
        <v>#NAME?</v>
      </c>
      <c r="I5675" t="s">
        <v>1003</v>
      </c>
      <c r="J5675">
        <v>9.0500000000000007</v>
      </c>
      <c r="K5675" s="4">
        <v>0.13270000000000001</v>
      </c>
      <c r="L5675">
        <v>4.5999999999999996</v>
      </c>
      <c r="M5675">
        <v>231</v>
      </c>
      <c r="O5675" t="s">
        <v>25</v>
      </c>
      <c r="P5675" t="s">
        <v>7433</v>
      </c>
      <c r="Q5675" t="s">
        <v>7434</v>
      </c>
    </row>
    <row r="5676" spans="1:17" ht="15.5" x14ac:dyDescent="0.35">
      <c r="A5676"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5676"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5676" t="s">
        <v>7150</v>
      </c>
      <c r="D5676" t="s">
        <v>7568</v>
      </c>
      <c r="E5676" s="3" t="str">
        <f>HYPERLINK("https://www.amazon.com/Klein-Tools-Contrast-Microamps-Splitter/dp/B09T6ZV9PK/ref=sr_1_5?keywords=Klein+Tools+CL390+AC%2FDC+Digital+Clamp+Meter%2C+Auto-Ranging+400+Amp&amp;qid=1695174165&amp;sr=8-5", "https://www.amazon.com/Klein-Tools-Contrast-Microamps-Splitter/dp/B09T6ZV9PK/ref=sr_1_5?keywords=Klein+Tools+CL390+AC%2FDC+Digital+Clamp+Meter%2C+Auto-Ranging+400+Amp&amp;qid=1695174165&amp;sr=8-5")</f>
        <v>https://www.amazon.com/Klein-Tools-Contrast-Microamps-Splitter/dp/B09T6ZV9PK/ref=sr_1_5?keywords=Klein+Tools+CL390+AC%2FDC+Digital+Clamp+Meter%2C+Auto-Ranging+400+Amp&amp;qid=1695174165&amp;sr=8-5</v>
      </c>
      <c r="F5676" t="s">
        <v>7569</v>
      </c>
      <c r="G5676" t="e">
        <f ca="1">_xludf.IMAGE("https://edmondsonsupply.com/cdn/shop/products/cl390.jpg?v=1662670722")</f>
        <v>#NAME?</v>
      </c>
      <c r="H5676" t="e">
        <f ca="1">_xludf.IMAGE("https://m.media-amazon.com/images/I/51UrkmUoeML._AC_UY218_.jpg")</f>
        <v>#NAME?</v>
      </c>
      <c r="I5676" t="s">
        <v>545</v>
      </c>
      <c r="J5676">
        <v>113.22</v>
      </c>
      <c r="K5676" s="4">
        <v>0.13250000000000001</v>
      </c>
      <c r="L5676">
        <v>5</v>
      </c>
      <c r="M5676">
        <v>3</v>
      </c>
      <c r="O5676" t="s">
        <v>25</v>
      </c>
      <c r="P5676" t="s">
        <v>7153</v>
      </c>
      <c r="Q5676" t="s">
        <v>7154</v>
      </c>
    </row>
    <row r="5677" spans="1:17" ht="15.5" x14ac:dyDescent="0.35">
      <c r="A5677"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5677" s="3" t="str">
        <f>HYPERLINK("https://edmondsonsupply.com/products/milwaukee-2912-22-m18-fuel%e2%84%a2-1-sds-plus-rotary-hammer-kit", "https://edmondsonsupply.com/products/milwaukee-2912-22-m18-fuel%e2%84%a2-1-sds-plus-rotary-hammer-kit")</f>
        <v>https://edmondsonsupply.com/products/milwaukee-2912-22-m18-fuel%e2%84%a2-1-sds-plus-rotary-hammer-kit</v>
      </c>
      <c r="C5677" t="s">
        <v>3848</v>
      </c>
      <c r="D5677" t="s">
        <v>4043</v>
      </c>
      <c r="E5677" s="3" t="str">
        <f>HYPERLINK("https://www.amazon.com/Milwaukee-2712-22DE-Fuel-Rotary-Hammer/dp/B00PP3CX3O/ref=sr_1_2?keywords=Milwaukee+2912-22+M18+FUEL%E2%84%A2+1%22+SDS+Plus+Rotary+Hammer+Kit&amp;qid=1695174040&amp;sr=8-2", "https://www.amazon.com/Milwaukee-2712-22DE-Fuel-Rotary-Hammer/dp/B00PP3CX3O/ref=sr_1_2?keywords=Milwaukee+2912-22+M18+FUEL%E2%84%A2+1%22+SDS+Plus+Rotary+Hammer+Kit&amp;qid=1695174040&amp;sr=8-2")</f>
        <v>https://www.amazon.com/Milwaukee-2712-22DE-Fuel-Rotary-Hammer/dp/B00PP3CX3O/ref=sr_1_2?keywords=Milwaukee+2912-22+M18+FUEL%E2%84%A2+1%22+SDS+Plus+Rotary+Hammer+Kit&amp;qid=1695174040&amp;sr=8-2</v>
      </c>
      <c r="F5677" t="s">
        <v>4044</v>
      </c>
      <c r="G5677" t="e">
        <f ca="1">_xludf.IMAGE("https://edmondsonsupply.com/cdn/shop/files/2912-20_1.webp?v=1686934956")</f>
        <v>#NAME?</v>
      </c>
      <c r="H5677" t="e">
        <f ca="1">_xludf.IMAGE("https://m.media-amazon.com/images/I/618mxmdIXEL._AC_UL320_.jpg")</f>
        <v>#NAME?</v>
      </c>
      <c r="I5677" t="s">
        <v>3851</v>
      </c>
      <c r="J5677">
        <v>678</v>
      </c>
      <c r="K5677" s="4">
        <v>0.13189999999999999</v>
      </c>
      <c r="L5677">
        <v>3.3</v>
      </c>
      <c r="M5677">
        <v>6</v>
      </c>
      <c r="O5677" t="s">
        <v>25</v>
      </c>
      <c r="P5677" t="s">
        <v>3852</v>
      </c>
      <c r="Q5677" t="s">
        <v>3853</v>
      </c>
    </row>
    <row r="5678" spans="1:17" ht="15.5" x14ac:dyDescent="0.35">
      <c r="A5678"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5678" s="3" t="str">
        <f>HYPERLINK("https://edmondsonsupply.com/products/klein-tools-ir07-dual-ir-probe-thermometer", "https://edmondsonsupply.com/products/klein-tools-ir07-dual-ir-probe-thermometer")</f>
        <v>https://edmondsonsupply.com/products/klein-tools-ir07-dual-ir-probe-thermometer</v>
      </c>
      <c r="C5678" t="s">
        <v>2948</v>
      </c>
      <c r="D5678" t="s">
        <v>7570</v>
      </c>
      <c r="E5678" s="3" t="str">
        <f>HYPERLINK("https://www.amazon.com/Klein-Tools-IR5-Dual-Laser/dp/B01DR066WU/ref=sr_1_8?keywords=Klein+Tools+IR07+Dual+IR%2FProbe+Thermometer&amp;qid=1695173956&amp;sr=8-8", "https://www.amazon.com/Klein-Tools-IR5-Dual-Laser/dp/B01DR066WU/ref=sr_1_8?keywords=Klein+Tools+IR07+Dual+IR%2FProbe+Thermometer&amp;qid=1695173956&amp;sr=8-8")</f>
        <v>https://www.amazon.com/Klein-Tools-IR5-Dual-Laser/dp/B01DR066WU/ref=sr_1_8?keywords=Klein+Tools+IR07+Dual+IR%2FProbe+Thermometer&amp;qid=1695173956&amp;sr=8-8</v>
      </c>
      <c r="F5678" t="s">
        <v>7571</v>
      </c>
      <c r="G5678" t="e">
        <f ca="1">_xludf.IMAGE("https://edmondsonsupply.com/cdn/shop/products/ir07.jpg?v=1599003623")</f>
        <v>#NAME?</v>
      </c>
      <c r="H5678" t="e">
        <f ca="1">_xludf.IMAGE("https://m.media-amazon.com/images/I/51XCexih1QL._AC_UY218_.jpg")</f>
        <v>#NAME?</v>
      </c>
      <c r="I5678" t="s">
        <v>2951</v>
      </c>
      <c r="J5678">
        <v>64.97</v>
      </c>
      <c r="K5678" s="4">
        <v>0.13009999999999999</v>
      </c>
      <c r="L5678">
        <v>4.5999999999999996</v>
      </c>
      <c r="M5678">
        <v>1024</v>
      </c>
      <c r="O5678" t="s">
        <v>25</v>
      </c>
      <c r="P5678" t="s">
        <v>2952</v>
      </c>
      <c r="Q5678" t="s">
        <v>2953</v>
      </c>
    </row>
    <row r="5679" spans="1:17" ht="15.5" x14ac:dyDescent="0.35">
      <c r="A5679" s="3" t="str">
        <f>HYPERLINK("https://edmondsonsupply.com/collections/electricians-tools/products/sensible-products-hrf-2-high-beam-rechargeable-flashlight-2-black", "https://edmondsonsupply.com/collections/electricians-tools/products/sensible-products-hrf-2-high-beam-rechargeable-flashlight-2-black")</f>
        <v>https://edmondsonsupply.com/collections/electricians-tools/products/sensible-products-hrf-2-high-beam-rechargeable-flashlight-2-black</v>
      </c>
      <c r="B5679" s="3" t="str">
        <f>HYPERLINK("https://edmondsonsupply.com/products/sensible-products-hrf-2-high-beam-rechargeable-flashlight-2-black", "https://edmondsonsupply.com/products/sensible-products-hrf-2-high-beam-rechargeable-flashlight-2-black")</f>
        <v>https://edmondsonsupply.com/products/sensible-products-hrf-2-high-beam-rechargeable-flashlight-2-black</v>
      </c>
      <c r="C5679" t="s">
        <v>4050</v>
      </c>
      <c r="D5679" t="s">
        <v>3286</v>
      </c>
      <c r="E5679" s="3" t="str">
        <f>HYPERLINK("https://www.amazon.com/Sensible-Products-High-Beam-Rechargeable-Flashlight/dp/B0BVGLNYDK/ref=sr_1_1?keywords=Sensible+Products+HRF-2+High-Beam+Rechargeable+Flashlight-2%2C+Black&amp;qid=1695173897&amp;sr=8-1", "https://www.amazon.com/Sensible-Products-High-Beam-Rechargeable-Flashlight/dp/B0BVGLNYDK/ref=sr_1_1?keywords=Sensible+Products+HRF-2+High-Beam+Rechargeable+Flashlight-2%2C+Black&amp;qid=1695173897&amp;sr=8-1")</f>
        <v>https://www.amazon.com/Sensible-Products-High-Beam-Rechargeable-Flashlight/dp/B0BVGLNYDK/ref=sr_1_1?keywords=Sensible+Products+HRF-2+High-Beam+Rechargeable+Flashlight-2%2C+Black&amp;qid=1695173897&amp;sr=8-1</v>
      </c>
      <c r="F5679" t="s">
        <v>3287</v>
      </c>
      <c r="G5679" t="e">
        <f ca="1">_xludf.IMAGE("https://edmondsonsupply.com/cdn/shop/files/hrf2.jpg?v=1693231375")</f>
        <v>#NAME?</v>
      </c>
      <c r="H5679" t="e">
        <f ca="1">_xludf.IMAGE("https://m.media-amazon.com/images/I/31tIPF-TUsL._AC_UL320_.jpg")</f>
        <v>#NAME?</v>
      </c>
      <c r="I5679" t="s">
        <v>1297</v>
      </c>
      <c r="J5679">
        <v>38.950000000000003</v>
      </c>
      <c r="K5679" s="4">
        <v>0.1293</v>
      </c>
      <c r="L5679">
        <v>5</v>
      </c>
      <c r="M5679">
        <v>1</v>
      </c>
      <c r="O5679" t="s">
        <v>25</v>
      </c>
      <c r="P5679" t="s">
        <v>138</v>
      </c>
      <c r="Q5679" t="s">
        <v>4051</v>
      </c>
    </row>
    <row r="5680" spans="1:17" ht="15.5" x14ac:dyDescent="0.35">
      <c r="A5680" s="3" t="str">
        <f>HYPERLINK("https://edmondsonsupply.com/collections/electricians-tools/products/fluke-t5-600", "https://edmondsonsupply.com/collections/electricians-tools/products/fluke-t5-600")</f>
        <v>https://edmondsonsupply.com/collections/electricians-tools/products/fluke-t5-600</v>
      </c>
      <c r="B5680" s="3" t="str">
        <f>HYPERLINK("https://edmondsonsupply.com/products/fluke-t5-600", "https://edmondsonsupply.com/products/fluke-t5-600")</f>
        <v>https://edmondsonsupply.com/products/fluke-t5-600</v>
      </c>
      <c r="C5680" t="s">
        <v>3397</v>
      </c>
      <c r="D5680" t="s">
        <v>4052</v>
      </c>
      <c r="E5680" s="3" t="str">
        <f>HYPERLINK("https://www.amazon.com/Fluke-Electrical-Voltage-Continuity-Current/dp/B0006Z3GZU/ref=sr_1_1?keywords=Fluke+T5-600+Voltage%2C+Continuity+and+Current+Tester%2C+600V+AC%2FDC&amp;qid=1695173856&amp;sr=8-1", "https://www.amazon.com/Fluke-Electrical-Voltage-Continuity-Current/dp/B0006Z3GZU/ref=sr_1_1?keywords=Fluke+T5-600+Voltage%2C+Continuity+and+Current+Tester%2C+600V+AC%2FDC&amp;qid=1695173856&amp;sr=8-1")</f>
        <v>https://www.amazon.com/Fluke-Electrical-Voltage-Continuity-Current/dp/B0006Z3GZU/ref=sr_1_1?keywords=Fluke+T5-600+Voltage%2C+Continuity+and+Current+Tester%2C+600V+AC%2FDC&amp;qid=1695173856&amp;sr=8-1</v>
      </c>
      <c r="F5680" t="s">
        <v>4053</v>
      </c>
      <c r="G5680" t="e">
        <f ca="1">_xludf.IMAGE("https://edmondsonsupply.com/cdn/shop/products/F-t5-600-euro_03a_c.jpg?v=1633030279")</f>
        <v>#NAME?</v>
      </c>
      <c r="H5680" t="e">
        <f ca="1">_xludf.IMAGE("https://m.media-amazon.com/images/I/51Ymlw0UFUL._AC_UL320_.jpg")</f>
        <v>#NAME?</v>
      </c>
      <c r="I5680" t="s">
        <v>3400</v>
      </c>
      <c r="J5680">
        <v>155.58000000000001</v>
      </c>
      <c r="K5680" s="4">
        <v>0.1275</v>
      </c>
      <c r="L5680">
        <v>4.8</v>
      </c>
      <c r="M5680">
        <v>4638</v>
      </c>
      <c r="O5680" t="s">
        <v>25</v>
      </c>
      <c r="P5680" t="s">
        <v>3401</v>
      </c>
      <c r="Q5680" t="s">
        <v>3402</v>
      </c>
    </row>
    <row r="5681" spans="1:17" ht="15.5" x14ac:dyDescent="0.35">
      <c r="A5681"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5681" s="3" t="str">
        <f>HYPERLINK("https://edmondsonsupply.com/products/klein-tools-jth4e08-1-8-inch-hex-key-journeyman-t-handle-4-inch", "https://edmondsonsupply.com/products/klein-tools-jth4e08-1-8-inch-hex-key-journeyman-t-handle-4-inch")</f>
        <v>https://edmondsonsupply.com/products/klein-tools-jth4e08-1-8-inch-hex-key-journeyman-t-handle-4-inch</v>
      </c>
      <c r="C5681" t="s">
        <v>6406</v>
      </c>
      <c r="D5681" t="s">
        <v>7572</v>
      </c>
      <c r="E5681" s="3" t="str">
        <f>HYPERLINK("https://www.amazon.com/Journeyman-T-Handle-Klein-Tools-JTH9E08/dp/B004QV8DGW/ref=sr_1_2?keywords=Klein+Tools+JTH4E08+1%2F8-Inch+Hex+Key%2C+Journeyman+T-Handle%2C+4-Inch&amp;qid=1695174216&amp;sr=8-2", "https://www.amazon.com/Journeyman-T-Handle-Klein-Tools-JTH9E08/dp/B004QV8DGW/ref=sr_1_2?keywords=Klein+Tools+JTH4E08+1%2F8-Inch+Hex+Key%2C+Journeyman+T-Handle%2C+4-Inch&amp;qid=1695174216&amp;sr=8-2")</f>
        <v>https://www.amazon.com/Journeyman-T-Handle-Klein-Tools-JTH9E08/dp/B004QV8DGW/ref=sr_1_2?keywords=Klein+Tools+JTH4E08+1%2F8-Inch+Hex+Key%2C+Journeyman+T-Handle%2C+4-Inch&amp;qid=1695174216&amp;sr=8-2</v>
      </c>
      <c r="F5681" t="s">
        <v>7573</v>
      </c>
      <c r="G5681" t="e">
        <f ca="1">_xludf.IMAGE("https://edmondsonsupply.com/cdn/shop/products/jth4e06_0950e3ec-22b0-4cdd-acd1-822980009e67.jpg?v=1645564818")</f>
        <v>#NAME?</v>
      </c>
      <c r="H5681" t="e">
        <f ca="1">_xludf.IMAGE("https://m.media-amazon.com/images/I/51Yb8h41vLL._AC_UL320_.jpg")</f>
        <v>#NAME?</v>
      </c>
      <c r="I5681" t="s">
        <v>6228</v>
      </c>
      <c r="J5681">
        <v>4.2699999999999996</v>
      </c>
      <c r="K5681" s="4">
        <v>0.12659999999999999</v>
      </c>
      <c r="L5681">
        <v>4.5999999999999996</v>
      </c>
      <c r="M5681">
        <v>393</v>
      </c>
      <c r="O5681" t="s">
        <v>25</v>
      </c>
      <c r="P5681" t="s">
        <v>6407</v>
      </c>
      <c r="Q5681" t="s">
        <v>6408</v>
      </c>
    </row>
    <row r="5682" spans="1:17" ht="15.5" x14ac:dyDescent="0.35">
      <c r="A5682"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5682"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5682" t="s">
        <v>6225</v>
      </c>
      <c r="D5682" t="s">
        <v>7574</v>
      </c>
      <c r="E5682" s="3" t="str">
        <f>HYPERLINK("https://www.amazon.com/Journeyman-T-Handle-Klein-Tools-JTH9E09/dp/B004QV4ORY/ref=sr_1_2?keywords=Klein+Tools+JTH4E09+9%2F64-Inch+Hex+Key+Journeyman+T-Handle+4-Inch&amp;qid=1695174238&amp;sr=8-2", "https://www.amazon.com/Journeyman-T-Handle-Klein-Tools-JTH9E09/dp/B004QV4ORY/ref=sr_1_2?keywords=Klein+Tools+JTH4E09+9%2F64-Inch+Hex+Key+Journeyman+T-Handle+4-Inch&amp;qid=1695174238&amp;sr=8-2")</f>
        <v>https://www.amazon.com/Journeyman-T-Handle-Klein-Tools-JTH9E09/dp/B004QV4ORY/ref=sr_1_2?keywords=Klein+Tools+JTH4E09+9%2F64-Inch+Hex+Key+Journeyman+T-Handle+4-Inch&amp;qid=1695174238&amp;sr=8-2</v>
      </c>
      <c r="F5682" t="s">
        <v>7575</v>
      </c>
      <c r="G5682" t="e">
        <f ca="1">_xludf.IMAGE("https://edmondsonsupply.com/cdn/shop/products/jth4e06_be5118a6-2e9d-44f5-81ad-c027572dd2d3.jpg?v=1635981570")</f>
        <v>#NAME?</v>
      </c>
      <c r="H5682" t="e">
        <f ca="1">_xludf.IMAGE("https://m.media-amazon.com/images/I/51Yb8h41vLL._AC_UL320_.jpg")</f>
        <v>#NAME?</v>
      </c>
      <c r="I5682" t="s">
        <v>6228</v>
      </c>
      <c r="J5682">
        <v>4.2699999999999996</v>
      </c>
      <c r="K5682" s="4">
        <v>0.12659999999999999</v>
      </c>
      <c r="L5682">
        <v>4.5999999999999996</v>
      </c>
      <c r="M5682">
        <v>393</v>
      </c>
      <c r="O5682" t="s">
        <v>25</v>
      </c>
      <c r="P5682" t="s">
        <v>6229</v>
      </c>
      <c r="Q5682" t="s">
        <v>6230</v>
      </c>
    </row>
    <row r="5683" spans="1:17" ht="15.5" x14ac:dyDescent="0.35">
      <c r="A5683"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5683" s="3" t="str">
        <f>HYPERLINK("https://edmondsonsupply.com/products/klein-tools-65064-2-in-1-hex-head-screwdriver-1-4-5-16", "https://edmondsonsupply.com/products/klein-tools-65064-2-in-1-hex-head-screwdriver-1-4-5-16")</f>
        <v>https://edmondsonsupply.com/products/klein-tools-65064-2-in-1-hex-head-screwdriver-1-4-5-16</v>
      </c>
      <c r="C5683" t="s">
        <v>2093</v>
      </c>
      <c r="D5683" t="s">
        <v>4054</v>
      </c>
      <c r="E5683" s="3" t="str">
        <f>HYPERLINK("https://www.amazon.com/Driver-2-Inch-Klein-Tools-65131/dp/B071LCCGT1/ref=sr_1_6?keywords=Klein+Tools+65064+2-in-1+Nut+Driver%2C+Hex+Head%2C+1%2F4-Inch+and+5%2F16-Inch&amp;qid=1695173915&amp;sr=8-6", "https://www.amazon.com/Driver-2-Inch-Klein-Tools-65131/dp/B071LCCGT1/ref=sr_1_6?keywords=Klein+Tools+65064+2-in-1+Nut+Driver%2C+Hex+Head%2C+1%2F4-Inch+and+5%2F16-Inch&amp;qid=1695173915&amp;sr=8-6")</f>
        <v>https://www.amazon.com/Driver-2-Inch-Klein-Tools-65131/dp/B071LCCGT1/ref=sr_1_6?keywords=Klein+Tools+65064+2-in-1+Nut+Driver%2C+Hex+Head%2C+1%2F4-Inch+and+5%2F16-Inch&amp;qid=1695173915&amp;sr=8-6</v>
      </c>
      <c r="F5683" t="s">
        <v>4055</v>
      </c>
      <c r="G5683" t="e">
        <f ca="1">_xludf.IMAGE("https://edmondsonsupply.com/cdn/shop/products/65064.jpg?v=1587147719")</f>
        <v>#NAME?</v>
      </c>
      <c r="H5683" t="e">
        <f ca="1">_xludf.IMAGE("https://m.media-amazon.com/images/I/51SI9ktOe4L._AC_UL320_.jpg")</f>
        <v>#NAME?</v>
      </c>
      <c r="I5683" t="s">
        <v>143</v>
      </c>
      <c r="J5683">
        <v>17.989999999999998</v>
      </c>
      <c r="K5683" s="4">
        <v>0.1265</v>
      </c>
      <c r="L5683">
        <v>4.8</v>
      </c>
      <c r="M5683">
        <v>909</v>
      </c>
      <c r="O5683" t="s">
        <v>25</v>
      </c>
      <c r="P5683" t="s">
        <v>2096</v>
      </c>
      <c r="Q5683" t="s">
        <v>2097</v>
      </c>
    </row>
    <row r="5684" spans="1:17" ht="15.5" x14ac:dyDescent="0.35">
      <c r="A5684" s="3" t="str">
        <f>HYPERLINK("https://edmondsonsupply.com/collections/electricians-tools/products/klein-tools-51606", "https://edmondsonsupply.com/collections/electricians-tools/products/klein-tools-51606")</f>
        <v>https://edmondsonsupply.com/collections/electricians-tools/products/klein-tools-51606</v>
      </c>
      <c r="B5684" s="3" t="str">
        <f>HYPERLINK("https://edmondsonsupply.com/products/klein-tools-51606", "https://edmondsonsupply.com/products/klein-tools-51606")</f>
        <v>https://edmondsonsupply.com/products/klein-tools-51606</v>
      </c>
      <c r="C5684" t="s">
        <v>6785</v>
      </c>
      <c r="D5684" t="s">
        <v>6176</v>
      </c>
      <c r="E5684" s="3" t="str">
        <f>HYPERLINK("https://www.amazon.com/Aluminum-Benchmark-Technology-Klein-Tools/dp/B08L41G5G5/ref=sr_1_2?keywords=Klein+Tools+51606+Aluminum+Conduit+Bender+Full+Assembly%2C+1%2F2-Inch+EMT+with+Angle+Setter%E2%84%A2&amp;qid=1695174158&amp;sr=8-2", "https://www.amazon.com/Aluminum-Benchmark-Technology-Klein-Tools/dp/B08L41G5G5/ref=sr_1_2?keywords=Klein+Tools+51606+Aluminum+Conduit+Bender+Full+Assembly%2C+1%2F2-Inch+EMT+with+Angle+Setter%E2%84%A2&amp;qid=1695174158&amp;sr=8-2")</f>
        <v>https://www.amazon.com/Aluminum-Benchmark-Technology-Klein-Tools/dp/B08L41G5G5/ref=sr_1_2?keywords=Klein+Tools+51606+Aluminum+Conduit+Bender+Full+Assembly%2C+1%2F2-Inch+EMT+with+Angle+Setter%E2%84%A2&amp;qid=1695174158&amp;sr=8-2</v>
      </c>
      <c r="F5684" t="s">
        <v>6177</v>
      </c>
      <c r="G5684" t="e">
        <f ca="1">_xludf.IMAGE("https://edmondsonsupply.com/cdn/shop/products/51606.jpg?v=1663942126")</f>
        <v>#NAME?</v>
      </c>
      <c r="H5684" t="e">
        <f ca="1">_xludf.IMAGE("https://m.media-amazon.com/images/I/419ZjlOD69L._AC_UL320_.jpg")</f>
        <v>#NAME?</v>
      </c>
      <c r="I5684" t="s">
        <v>246</v>
      </c>
      <c r="J5684">
        <v>44.99</v>
      </c>
      <c r="K5684" s="4">
        <v>0.12559999999999999</v>
      </c>
      <c r="L5684">
        <v>4.7</v>
      </c>
      <c r="M5684">
        <v>343</v>
      </c>
      <c r="O5684" t="s">
        <v>25</v>
      </c>
      <c r="P5684" t="s">
        <v>1027</v>
      </c>
      <c r="Q5684" t="s">
        <v>6786</v>
      </c>
    </row>
    <row r="5685" spans="1:17" ht="15.5" x14ac:dyDescent="0.35">
      <c r="A5685"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5685"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5685" t="s">
        <v>6443</v>
      </c>
      <c r="D5685" t="s">
        <v>5118</v>
      </c>
      <c r="E5685" s="3" t="str">
        <f>HYPERLINK("https://www.amazon.com/Journeyman-T-Handle-Klein-Tools-JTH9E10/dp/B004QV8H90/ref=sr_1_5?keywords=Klein+Tools+JTH4E06+3%2F32-Inch+Hex+Key%2C+Journeyman+T-Handle%2C+4-Inch&amp;qid=1695174228&amp;sr=8-5", "https://www.amazon.com/Journeyman-T-Handle-Klein-Tools-JTH9E10/dp/B004QV8H90/ref=sr_1_5?keywords=Klein+Tools+JTH4E06+3%2F32-Inch+Hex+Key%2C+Journeyman+T-Handle%2C+4-Inch&amp;qid=1695174228&amp;sr=8-5")</f>
        <v>https://www.amazon.com/Journeyman-T-Handle-Klein-Tools-JTH9E10/dp/B004QV8H90/ref=sr_1_5?keywords=Klein+Tools+JTH4E06+3%2F32-Inch+Hex+Key%2C+Journeyman+T-Handle%2C+4-Inch&amp;qid=1695174228&amp;sr=8-5</v>
      </c>
      <c r="F5685" t="s">
        <v>5119</v>
      </c>
      <c r="G5685" t="e">
        <f ca="1">_xludf.IMAGE("https://edmondsonsupply.com/cdn/shop/products/jth4e06.jpg?v=1635112029")</f>
        <v>#NAME?</v>
      </c>
      <c r="H5685" t="e">
        <f ca="1">_xludf.IMAGE("https://m.media-amazon.com/images/I/51Yb8h41vLL._AC_UL320_.jpg")</f>
        <v>#NAME?</v>
      </c>
      <c r="I5685" t="s">
        <v>6444</v>
      </c>
      <c r="J5685">
        <v>4.49</v>
      </c>
      <c r="K5685" s="4">
        <v>0.12529999999999999</v>
      </c>
      <c r="L5685">
        <v>4.8</v>
      </c>
      <c r="M5685">
        <v>294</v>
      </c>
      <c r="O5685" t="s">
        <v>25</v>
      </c>
      <c r="P5685" t="s">
        <v>2044</v>
      </c>
      <c r="Q5685" t="s">
        <v>6445</v>
      </c>
    </row>
    <row r="5686" spans="1:17" ht="15.5" x14ac:dyDescent="0.35">
      <c r="A5686"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5686"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5686" t="s">
        <v>6802</v>
      </c>
      <c r="D5686" t="s">
        <v>5118</v>
      </c>
      <c r="E5686" s="3" t="str">
        <f>HYPERLINK("https://www.amazon.com/Journeyman-T-Handle-Klein-Tools-JTH9E10/dp/B004QV8H90/ref=sr_1_3?keywords=Klein+Tools+JTH4E10+5%2F32-Inch+Hex+Key%2C+Journeyman+T-Handle%2C+4-Inch&amp;qid=1695174219&amp;sr=8-3", "https://www.amazon.com/Journeyman-T-Handle-Klein-Tools-JTH9E10/dp/B004QV8H90/ref=sr_1_3?keywords=Klein+Tools+JTH4E10+5%2F32-Inch+Hex+Key%2C+Journeyman+T-Handle%2C+4-Inch&amp;qid=1695174219&amp;sr=8-3")</f>
        <v>https://www.amazon.com/Journeyman-T-Handle-Klein-Tools-JTH9E10/dp/B004QV8H90/ref=sr_1_3?keywords=Klein+Tools+JTH4E10+5%2F32-Inch+Hex+Key%2C+Journeyman+T-Handle%2C+4-Inch&amp;qid=1695174219&amp;sr=8-3</v>
      </c>
      <c r="F5686" t="s">
        <v>5119</v>
      </c>
      <c r="G5686" t="e">
        <f ca="1">_xludf.IMAGE("https://edmondsonsupply.com/cdn/shop/products/jth4e17_ce261606-f524-49c5-9cd5-8c9f52dd1e03.jpg?v=1645565342")</f>
        <v>#NAME?</v>
      </c>
      <c r="H5686" t="e">
        <f ca="1">_xludf.IMAGE("https://m.media-amazon.com/images/I/51Yb8h41vLL._AC_UL320_.jpg")</f>
        <v>#NAME?</v>
      </c>
      <c r="I5686" t="s">
        <v>6444</v>
      </c>
      <c r="J5686">
        <v>4.49</v>
      </c>
      <c r="K5686" s="4">
        <v>0.12529999999999999</v>
      </c>
      <c r="L5686">
        <v>4.8</v>
      </c>
      <c r="M5686">
        <v>294</v>
      </c>
      <c r="O5686" t="s">
        <v>25</v>
      </c>
      <c r="P5686" t="s">
        <v>2044</v>
      </c>
      <c r="Q5686" t="s">
        <v>6803</v>
      </c>
    </row>
    <row r="5687" spans="1:17" ht="15.5" x14ac:dyDescent="0.35">
      <c r="A5687"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5687" s="3" t="str">
        <f>HYPERLINK("https://edmondsonsupply.com/products/klein-tools-s10-5-16-inch-nut-driver-3-inch-hollow-shaft", "https://edmondsonsupply.com/products/klein-tools-s10-5-16-inch-nut-driver-3-inch-hollow-shaft")</f>
        <v>https://edmondsonsupply.com/products/klein-tools-s10-5-16-inch-nut-driver-3-inch-hollow-shaft</v>
      </c>
      <c r="C5687" t="s">
        <v>7432</v>
      </c>
      <c r="D5687" t="s">
        <v>4056</v>
      </c>
      <c r="E5687" s="3" t="str">
        <f>HYPERLINK("https://www.amazon.com/16-Inch-Klein-Tools-630-5-16/dp/B001BY0ESW/ref=sr_1_3?keywords=Klein+Tools+S10+5%2F16-Inch+Nut+Driver+3-Inch+Hollow+Shaft&amp;qid=1695174298&amp;sr=8-3", "https://www.amazon.com/16-Inch-Klein-Tools-630-5-16/dp/B001BY0ESW/ref=sr_1_3?keywords=Klein+Tools+S10+5%2F16-Inch+Nut+Driver+3-Inch+Hollow+Shaft&amp;qid=1695174298&amp;sr=8-3")</f>
        <v>https://www.amazon.com/16-Inch-Klein-Tools-630-5-16/dp/B001BY0ESW/ref=sr_1_3?keywords=Klein+Tools+S10+5%2F16-Inch+Nut+Driver+3-Inch+Hollow+Shaft&amp;qid=1695174298&amp;sr=8-3</v>
      </c>
      <c r="F5687" t="s">
        <v>4057</v>
      </c>
      <c r="G5687" t="e">
        <f ca="1">_xludf.IMAGE("https://edmondsonsupply.com/cdn/shop/products/s10_38acacb8-6c8e-49ef-8ed3-7160ab53875a.jpg?v=1633030893")</f>
        <v>#NAME?</v>
      </c>
      <c r="H5687" t="e">
        <f ca="1">_xludf.IMAGE("https://m.media-amazon.com/images/I/41Cj8-Y8KnL._AC_UL320_.jpg")</f>
        <v>#NAME?</v>
      </c>
      <c r="I5687" t="s">
        <v>1003</v>
      </c>
      <c r="J5687">
        <v>8.99</v>
      </c>
      <c r="K5687" s="4">
        <v>0.12520000000000001</v>
      </c>
      <c r="L5687">
        <v>4.8</v>
      </c>
      <c r="M5687">
        <v>2075</v>
      </c>
      <c r="O5687" t="s">
        <v>25</v>
      </c>
      <c r="P5687" t="s">
        <v>7433</v>
      </c>
      <c r="Q5687" t="s">
        <v>7434</v>
      </c>
    </row>
    <row r="5688" spans="1:17" ht="15.5" x14ac:dyDescent="0.35">
      <c r="A5688"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5688" s="3" t="str">
        <f>HYPERLINK("https://edmondsonsupply.com/products/klein-tools-646-5-16-5-16-inch-nut-driver-6-inch-hollow-shaft", "https://edmondsonsupply.com/products/klein-tools-646-5-16-5-16-inch-nut-driver-6-inch-hollow-shaft")</f>
        <v>https://edmondsonsupply.com/products/klein-tools-646-5-16-5-16-inch-nut-driver-6-inch-hollow-shaft</v>
      </c>
      <c r="C5688" t="s">
        <v>1893</v>
      </c>
      <c r="D5688" t="s">
        <v>4056</v>
      </c>
      <c r="E5688" s="3" t="str">
        <f>HYPERLINK("https://www.amazon.com/16-Inch-Klein-Tools-630-5-16/dp/B001BY0ESW/ref=sr_1_4?keywords=Klein+Tools+646-5%2F16+5%2F16-Inch+Nut+Driver%2C+6-Inch+Hollow+Shaft&amp;qid=1695173904&amp;sr=8-4", "https://www.amazon.com/16-Inch-Klein-Tools-630-5-16/dp/B001BY0ESW/ref=sr_1_4?keywords=Klein+Tools+646-5%2F16+5%2F16-Inch+Nut+Driver%2C+6-Inch+Hollow+Shaft&amp;qid=1695173904&amp;sr=8-4")</f>
        <v>https://www.amazon.com/16-Inch-Klein-Tools-630-5-16/dp/B001BY0ESW/ref=sr_1_4?keywords=Klein+Tools+646-5%2F16+5%2F16-Inch+Nut+Driver%2C+6-Inch+Hollow+Shaft&amp;qid=1695173904&amp;sr=8-4</v>
      </c>
      <c r="F5688" t="s">
        <v>4057</v>
      </c>
      <c r="G5688" t="e">
        <f ca="1">_xludf.IMAGE("https://edmondsonsupply.com/cdn/shop/products/646-1-2_e1540905-f750-4509-90c5-74ff653e4d83.jpg?v=1587145119")</f>
        <v>#NAME?</v>
      </c>
      <c r="H5688" t="e">
        <f ca="1">_xludf.IMAGE("https://m.media-amazon.com/images/I/41Cj8-Y8KnL._AC_UL320_.jpg")</f>
        <v>#NAME?</v>
      </c>
      <c r="I5688" t="s">
        <v>1003</v>
      </c>
      <c r="J5688">
        <v>8.99</v>
      </c>
      <c r="K5688" s="4">
        <v>0.12520000000000001</v>
      </c>
      <c r="L5688">
        <v>4.8</v>
      </c>
      <c r="M5688">
        <v>2075</v>
      </c>
      <c r="O5688" t="s">
        <v>25</v>
      </c>
      <c r="P5688" t="s">
        <v>1481</v>
      </c>
      <c r="Q5688" t="s">
        <v>1896</v>
      </c>
    </row>
    <row r="5689" spans="1:17" ht="15.5" x14ac:dyDescent="0.35">
      <c r="A5689" s="3" t="str">
        <f>HYPERLINK("https://edmondsonsupply.com/collections/electricians-tools/products/klein-tools-31918-bi-metal-hole-saw-1-1-8-inch", "https://edmondsonsupply.com/collections/electricians-tools/products/klein-tools-31918-bi-metal-hole-saw-1-1-8-inch")</f>
        <v>https://edmondsonsupply.com/collections/electricians-tools/products/klein-tools-31918-bi-metal-hole-saw-1-1-8-inch</v>
      </c>
      <c r="B5689" s="3" t="str">
        <f>HYPERLINK("https://edmondsonsupply.com/products/klein-tools-31918-bi-metal-hole-saw-1-1-8-inch", "https://edmondsonsupply.com/products/klein-tools-31918-bi-metal-hole-saw-1-1-8-inch")</f>
        <v>https://edmondsonsupply.com/products/klein-tools-31918-bi-metal-hole-saw-1-1-8-inch</v>
      </c>
      <c r="C5689" t="s">
        <v>6001</v>
      </c>
      <c r="D5689" t="s">
        <v>6049</v>
      </c>
      <c r="E5689" s="3" t="str">
        <f>HYPERLINK("https://www.amazon.com/Bi-Metal-8-Inch-Klein-Tools-31922/dp/B019874Q0K/ref=sr_1_8?keywords=Klein+Tools+31918+Bi-Metal+Hole+Saw%2C+1-1%2F8-Inch&amp;qid=1695174116&amp;sr=8-8", "https://www.amazon.com/Bi-Metal-8-Inch-Klein-Tools-31922/dp/B019874Q0K/ref=sr_1_8?keywords=Klein+Tools+31918+Bi-Metal+Hole+Saw%2C+1-1%2F8-Inch&amp;qid=1695174116&amp;sr=8-8")</f>
        <v>https://www.amazon.com/Bi-Metal-8-Inch-Klein-Tools-31922/dp/B019874Q0K/ref=sr_1_8?keywords=Klein+Tools+31918+Bi-Metal+Hole+Saw%2C+1-1%2F8-Inch&amp;qid=1695174116&amp;sr=8-8</v>
      </c>
      <c r="F5689" t="s">
        <v>7576</v>
      </c>
      <c r="G5689" t="e">
        <f ca="1">_xludf.IMAGE("https://edmondsonsupply.com/cdn/shop/products/31918.jpg?v=1669739998")</f>
        <v>#NAME?</v>
      </c>
      <c r="H5689" t="e">
        <f ca="1">_xludf.IMAGE("https://m.media-amazon.com/images/I/41GAmyLoB4L._AC_UL320_.jpg")</f>
        <v>#NAME?</v>
      </c>
      <c r="I5689" t="s">
        <v>1003</v>
      </c>
      <c r="J5689">
        <v>8.99</v>
      </c>
      <c r="K5689" s="4">
        <v>0.12520000000000001</v>
      </c>
      <c r="L5689">
        <v>4.5</v>
      </c>
      <c r="M5689">
        <v>366</v>
      </c>
      <c r="O5689" t="s">
        <v>25</v>
      </c>
      <c r="P5689" t="s">
        <v>2841</v>
      </c>
      <c r="Q5689" t="s">
        <v>6004</v>
      </c>
    </row>
    <row r="5690" spans="1:17" ht="15.5" x14ac:dyDescent="0.35">
      <c r="A5690"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5690" s="3" t="str">
        <f>HYPERLINK("https://edmondsonsupply.com/products/klein-tools-610-stubby-nut-driver-set-1-1-2-inch-shafts-2-piece", "https://edmondsonsupply.com/products/klein-tools-610-stubby-nut-driver-set-1-1-2-inch-shafts-2-piece")</f>
        <v>https://edmondsonsupply.com/products/klein-tools-610-stubby-nut-driver-set-1-1-2-inch-shafts-2-piece</v>
      </c>
      <c r="C5690" t="s">
        <v>3030</v>
      </c>
      <c r="D5690" t="s">
        <v>4058</v>
      </c>
      <c r="E5690" s="3" t="str">
        <f>HYPERLINK("https://www.amazon.com/Klein-Tools-610M-16-Inch-Magnetic/dp/B00093DZO6/ref=sr_1_1?keywords=Klein+Tools+610+Stubby+Nut+Driver+Set+1-1%2F2-Inch+Shafts+2-Piece&amp;qid=1695173958&amp;sr=8-1", "https://www.amazon.com/Klein-Tools-610M-16-Inch-Magnetic/dp/B00093DZO6/ref=sr_1_1?keywords=Klein+Tools+610+Stubby+Nut+Driver+Set+1-1%2F2-Inch+Shafts+2-Piece&amp;qid=1695173958&amp;sr=8-1")</f>
        <v>https://www.amazon.com/Klein-Tools-610M-16-Inch-Magnetic/dp/B00093DZO6/ref=sr_1_1?keywords=Klein+Tools+610+Stubby+Nut+Driver+Set+1-1%2F2-Inch+Shafts+2-Piece&amp;qid=1695173958&amp;sr=8-1</v>
      </c>
      <c r="F5690" t="s">
        <v>4059</v>
      </c>
      <c r="G5690" t="e">
        <f ca="1">_xludf.IMAGE("https://edmondsonsupply.com/cdn/shop/products/610m_169714eb-6816-4f42-aa86-ea17ea5fcbbb.jpg?v=1633030110")</f>
        <v>#NAME?</v>
      </c>
      <c r="H5690" t="e">
        <f ca="1">_xludf.IMAGE("https://m.media-amazon.com/images/I/51lgiheW64L._AC_UL320_.jpg")</f>
        <v>#NAME?</v>
      </c>
      <c r="I5690" t="s">
        <v>252</v>
      </c>
      <c r="J5690">
        <v>17.989999999999998</v>
      </c>
      <c r="K5690" s="4">
        <v>0.12509999999999999</v>
      </c>
      <c r="L5690">
        <v>4.8</v>
      </c>
      <c r="M5690">
        <v>559</v>
      </c>
      <c r="O5690" t="s">
        <v>25</v>
      </c>
      <c r="P5690" t="s">
        <v>3031</v>
      </c>
      <c r="Q5690" t="s">
        <v>3032</v>
      </c>
    </row>
    <row r="5691" spans="1:17" ht="15.5" x14ac:dyDescent="0.35">
      <c r="A5691"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5691" s="3" t="str">
        <f>HYPERLINK("https://edmondsonsupply.com/products/klein-tools-d2000-9ne-linemans-pliers-9-inch", "https://edmondsonsupply.com/products/klein-tools-d2000-9ne-linemans-pliers-9-inch")</f>
        <v>https://edmondsonsupply.com/products/klein-tools-d2000-9ne-linemans-pliers-9-inch</v>
      </c>
      <c r="C5691" t="s">
        <v>6770</v>
      </c>
      <c r="D5691" t="s">
        <v>7577</v>
      </c>
      <c r="E5691" s="3" t="str">
        <f>HYPERLINK("https://www.amazon.com/Linemans-Electrical-Klein-Tools-HD2000-9NE/dp/B0002RI9Y0/ref=sr_1_2?keywords=Klein+Tools+D2000-9NE+Linemans+Pliers%2C+9-Inch&amp;qid=1695174298&amp;sr=8-2", "https://www.amazon.com/Linemans-Electrical-Klein-Tools-HD2000-9NE/dp/B0002RI9Y0/ref=sr_1_2?keywords=Klein+Tools+D2000-9NE+Linemans+Pliers%2C+9-Inch&amp;qid=1695174298&amp;sr=8-2")</f>
        <v>https://www.amazon.com/Linemans-Electrical-Klein-Tools-HD2000-9NE/dp/B0002RI9Y0/ref=sr_1_2?keywords=Klein+Tools+D2000-9NE+Linemans+Pliers%2C+9-Inch&amp;qid=1695174298&amp;sr=8-2</v>
      </c>
      <c r="F5691" t="s">
        <v>7578</v>
      </c>
      <c r="G5691" t="e">
        <f ca="1">_xludf.IMAGE("https://edmondsonsupply.com/cdn/shop/products/d20009ne.jpg?v=1633030816")</f>
        <v>#NAME?</v>
      </c>
      <c r="H5691" t="e">
        <f ca="1">_xludf.IMAGE("https://m.media-amazon.com/images/I/41ySI6VN1NL._AC_UL320_.jpg")</f>
        <v>#NAME?</v>
      </c>
      <c r="I5691" t="s">
        <v>198</v>
      </c>
      <c r="J5691">
        <v>44.99</v>
      </c>
      <c r="K5691" s="4">
        <v>0.125</v>
      </c>
      <c r="L5691">
        <v>4.8</v>
      </c>
      <c r="M5691">
        <v>1010</v>
      </c>
      <c r="O5691" t="s">
        <v>25</v>
      </c>
      <c r="P5691" t="s">
        <v>6773</v>
      </c>
      <c r="Q5691" t="s">
        <v>6774</v>
      </c>
    </row>
    <row r="5692" spans="1:17" ht="15.5" x14ac:dyDescent="0.35">
      <c r="A5692"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5692" s="3" t="str">
        <f>HYPERLINK("https://edmondsonsupply.com/products/klein-tools-60100-hard-hat-non-vented-cap-style-white", "https://edmondsonsupply.com/products/klein-tools-60100-hard-hat-non-vented-cap-style-white")</f>
        <v>https://edmondsonsupply.com/products/klein-tools-60100-hard-hat-non-vented-cap-style-white</v>
      </c>
      <c r="C5692" t="s">
        <v>970</v>
      </c>
      <c r="D5692" t="s">
        <v>991</v>
      </c>
      <c r="E5692" s="3" t="str">
        <f>HYPERLINK("https://www.amazon.com/Klein-Tools-Hard-Non-vented-Style/dp/B07TQNTCKL/ref=sr_1_5?keywords=Klein+Tools+60100+Hard+Hat%2C+Non-Vented%2C+Cap+Style%2C+White&amp;qid=1695174219&amp;sr=8-5", "https://www.amazon.com/Klein-Tools-Hard-Non-vented-Style/dp/B07TQNTCKL/ref=sr_1_5?keywords=Klein+Tools+60100+Hard+Hat%2C+Non-Vented%2C+Cap+Style%2C+White&amp;qid=1695174219&amp;sr=8-5")</f>
        <v>https://www.amazon.com/Klein-Tools-Hard-Non-vented-Style/dp/B07TQNTCKL/ref=sr_1_5?keywords=Klein+Tools+60100+Hard+Hat%2C+Non-Vented%2C+Cap+Style%2C+White&amp;qid=1695174219&amp;sr=8-5</v>
      </c>
      <c r="F5692" t="s">
        <v>992</v>
      </c>
      <c r="G5692" t="e">
        <f ca="1">_xludf.IMAGE("https://edmondsonsupply.com/cdn/shop/products/60100_c.jpg?v=1648166061")</f>
        <v>#NAME?</v>
      </c>
      <c r="H5692" t="e">
        <f ca="1">_xludf.IMAGE("https://m.media-amazon.com/images/I/61IcdM8MBnL._AC_UL320_.jpg")</f>
        <v>#NAME?</v>
      </c>
      <c r="I5692" t="s">
        <v>198</v>
      </c>
      <c r="J5692">
        <v>44.99</v>
      </c>
      <c r="K5692" s="4">
        <v>0.125</v>
      </c>
      <c r="L5692">
        <v>4.7</v>
      </c>
      <c r="M5692">
        <v>358</v>
      </c>
      <c r="O5692" t="s">
        <v>171</v>
      </c>
      <c r="P5692" t="s">
        <v>971</v>
      </c>
      <c r="Q5692" t="s">
        <v>972</v>
      </c>
    </row>
    <row r="5693" spans="1:17" ht="15.5" x14ac:dyDescent="0.35">
      <c r="A5693"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5693" s="3" t="str">
        <f>HYPERLINK("https://edmondsonsupply.com/products/klein-tools-51608-1-2-inch-iron-conduit-bender-head", "https://edmondsonsupply.com/products/klein-tools-51608-1-2-inch-iron-conduit-bender-head")</f>
        <v>https://edmondsonsupply.com/products/klein-tools-51608-1-2-inch-iron-conduit-bender-head</v>
      </c>
      <c r="C5693" t="s">
        <v>6789</v>
      </c>
      <c r="D5693" t="s">
        <v>6178</v>
      </c>
      <c r="E5693" s="3" t="str">
        <f>HYPERLINK("https://www.amazon.com/Conduit-Bender-Klein-Tools-51609/dp/B08VYFHL9J/ref=sr_1_2?keywords=Klein+Tools+51608+1%2F2-inch+Iron+Conduit+Bender+Head&amp;qid=1695174222&amp;sr=8-2", "https://www.amazon.com/Conduit-Bender-Klein-Tools-51609/dp/B08VYFHL9J/ref=sr_1_2?keywords=Klein+Tools+51608+1%2F2-inch+Iron+Conduit+Bender+Head&amp;qid=1695174222&amp;sr=8-2")</f>
        <v>https://www.amazon.com/Conduit-Bender-Klein-Tools-51609/dp/B08VYFHL9J/ref=sr_1_2?keywords=Klein+Tools+51608+1%2F2-inch+Iron+Conduit+Bender+Head&amp;qid=1695174222&amp;sr=8-2</v>
      </c>
      <c r="F5693" t="s">
        <v>6179</v>
      </c>
      <c r="G5693" t="e">
        <f ca="1">_xludf.IMAGE("https://edmondsonsupply.com/cdn/shop/products/51608.jpg?v=1643679335")</f>
        <v>#NAME?</v>
      </c>
      <c r="H5693" t="e">
        <f ca="1">_xludf.IMAGE("https://m.media-amazon.com/images/I/61KifnC2xML._AC_UL320_.jpg")</f>
        <v>#NAME?</v>
      </c>
      <c r="I5693" t="s">
        <v>198</v>
      </c>
      <c r="J5693">
        <v>44.99</v>
      </c>
      <c r="K5693" s="4">
        <v>0.125</v>
      </c>
      <c r="L5693">
        <v>4.2</v>
      </c>
      <c r="M5693">
        <v>31</v>
      </c>
      <c r="O5693" t="s">
        <v>25</v>
      </c>
      <c r="P5693" t="s">
        <v>6790</v>
      </c>
      <c r="Q5693" t="s">
        <v>6791</v>
      </c>
    </row>
    <row r="5694" spans="1:17" ht="15.5" x14ac:dyDescent="0.35">
      <c r="A5694" s="3" t="str">
        <f>HYPERLINK("https://edmondsonsupply.com/collections/electricians-tools/products/klein-tools-d213-9neth-linemans-bolt-thread-holding-pliers-9-inch", "https://edmondsonsupply.com/collections/electricians-tools/products/klein-tools-d213-9neth-linemans-bolt-thread-holding-pliers-9-inch")</f>
        <v>https://edmondsonsupply.com/collections/electricians-tools/products/klein-tools-d213-9neth-linemans-bolt-thread-holding-pliers-9-inch</v>
      </c>
      <c r="B5694" s="3" t="str">
        <f>HYPERLINK("https://edmondsonsupply.com/products/klein-tools-d213-9neth-linemans-bolt-thread-holding-pliers-9-inch", "https://edmondsonsupply.com/products/klein-tools-d213-9neth-linemans-bolt-thread-holding-pliers-9-inch")</f>
        <v>https://edmondsonsupply.com/products/klein-tools-d213-9neth-linemans-bolt-thread-holding-pliers-9-inch</v>
      </c>
      <c r="C5694" t="s">
        <v>7579</v>
      </c>
      <c r="D5694" t="s">
        <v>7580</v>
      </c>
      <c r="E5694" s="3" t="str">
        <f>HYPERLINK("https://www.amazon.com/Linemans-Oversized-Leverage-Klein-HD213-9NETH/dp/B000FAFE7O/ref=sr_1_3?keywords=Klein+Tools+D213-9NETH+Lineman%27s+Bolt-Thread+Holding+Pliers%2C+9-Inch&amp;qid=1695174304&amp;sr=8-3", "https://www.amazon.com/Linemans-Oversized-Leverage-Klein-HD213-9NETH/dp/B000FAFE7O/ref=sr_1_3?keywords=Klein+Tools+D213-9NETH+Lineman%27s+Bolt-Thread+Holding+Pliers%2C+9-Inch&amp;qid=1695174304&amp;sr=8-3")</f>
        <v>https://www.amazon.com/Linemans-Oversized-Leverage-Klein-HD213-9NETH/dp/B000FAFE7O/ref=sr_1_3?keywords=Klein+Tools+D213-9NETH+Lineman%27s+Bolt-Thread+Holding+Pliers%2C+9-Inch&amp;qid=1695174304&amp;sr=8-3</v>
      </c>
      <c r="F5694" t="s">
        <v>7581</v>
      </c>
      <c r="G5694" t="e">
        <f ca="1">_xludf.IMAGE("https://edmondsonsupply.com/cdn/shop/products/d2139neth.jpg?v=1633030817")</f>
        <v>#NAME?</v>
      </c>
      <c r="H5694" t="e">
        <f ca="1">_xludf.IMAGE("https://m.media-amazon.com/images/I/51UrbtRoPpL._AC_UL320_.jpg")</f>
        <v>#NAME?</v>
      </c>
      <c r="I5694" t="s">
        <v>198</v>
      </c>
      <c r="J5694">
        <v>44.99</v>
      </c>
      <c r="K5694" s="4">
        <v>0.125</v>
      </c>
      <c r="L5694">
        <v>4.8</v>
      </c>
      <c r="M5694">
        <v>1010</v>
      </c>
      <c r="O5694" t="s">
        <v>25</v>
      </c>
      <c r="P5694" t="s">
        <v>1310</v>
      </c>
      <c r="Q5694" t="s">
        <v>7582</v>
      </c>
    </row>
    <row r="5695" spans="1:17" ht="15.5" x14ac:dyDescent="0.35">
      <c r="A5695" s="3" t="str">
        <f>HYPERLINK("https://edmondsonsupply.com/collections/electricians-tools/products/klein-tools-d213-9neth-linemans-bolt-thread-holding-pliers-9-inch", "https://edmondsonsupply.com/collections/electricians-tools/products/klein-tools-d213-9neth-linemans-bolt-thread-holding-pliers-9-inch")</f>
        <v>https://edmondsonsupply.com/collections/electricians-tools/products/klein-tools-d213-9neth-linemans-bolt-thread-holding-pliers-9-inch</v>
      </c>
      <c r="B5695" s="3" t="str">
        <f>HYPERLINK("https://edmondsonsupply.com/products/klein-tools-d213-9neth-linemans-bolt-thread-holding-pliers-9-inch", "https://edmondsonsupply.com/products/klein-tools-d213-9neth-linemans-bolt-thread-holding-pliers-9-inch")</f>
        <v>https://edmondsonsupply.com/products/klein-tools-d213-9neth-linemans-bolt-thread-holding-pliers-9-inch</v>
      </c>
      <c r="C5695" t="s">
        <v>7579</v>
      </c>
      <c r="D5695" t="s">
        <v>7583</v>
      </c>
      <c r="E5695" s="3" t="str">
        <f>HYPERLINK("https://www.amazon.com/Klein-Tools-D2000-9NETH-Bolt-Thread-High-Leverage/dp/B0002RI9FY/ref=sr_1_2?keywords=Klein+Tools+D213-9NETH+Lineman%27s+Bolt-Thread+Holding+Pliers%2C+9-Inch&amp;qid=1695174304&amp;sr=8-2", "https://www.amazon.com/Klein-Tools-D2000-9NETH-Bolt-Thread-High-Leverage/dp/B0002RI9FY/ref=sr_1_2?keywords=Klein+Tools+D213-9NETH+Lineman%27s+Bolt-Thread+Holding+Pliers%2C+9-Inch&amp;qid=1695174304&amp;sr=8-2")</f>
        <v>https://www.amazon.com/Klein-Tools-D2000-9NETH-Bolt-Thread-High-Leverage/dp/B0002RI9FY/ref=sr_1_2?keywords=Klein+Tools+D213-9NETH+Lineman%27s+Bolt-Thread+Holding+Pliers%2C+9-Inch&amp;qid=1695174304&amp;sr=8-2</v>
      </c>
      <c r="F5695" t="s">
        <v>7584</v>
      </c>
      <c r="G5695" t="e">
        <f ca="1">_xludf.IMAGE("https://edmondsonsupply.com/cdn/shop/products/d2139neth.jpg?v=1633030817")</f>
        <v>#NAME?</v>
      </c>
      <c r="H5695" t="e">
        <f ca="1">_xludf.IMAGE("https://m.media-amazon.com/images/I/41sLuURlgqL._AC_UL320_.jpg")</f>
        <v>#NAME?</v>
      </c>
      <c r="I5695" t="s">
        <v>198</v>
      </c>
      <c r="J5695">
        <v>44.99</v>
      </c>
      <c r="K5695" s="4">
        <v>0.125</v>
      </c>
      <c r="L5695">
        <v>4.8</v>
      </c>
      <c r="M5695">
        <v>1734</v>
      </c>
      <c r="O5695" t="s">
        <v>25</v>
      </c>
      <c r="P5695" t="s">
        <v>1310</v>
      </c>
      <c r="Q5695" t="s">
        <v>7582</v>
      </c>
    </row>
    <row r="5696" spans="1:17" ht="15.5" x14ac:dyDescent="0.35">
      <c r="A5696"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5696" s="3" t="str">
        <f>HYPERLINK("https://edmondsonsupply.com/products/klein-tools-51608-1-2-inch-iron-conduit-bender-head", "https://edmondsonsupply.com/products/klein-tools-51608-1-2-inch-iron-conduit-bender-head")</f>
        <v>https://edmondsonsupply.com/products/klein-tools-51608-1-2-inch-iron-conduit-bender-head</v>
      </c>
      <c r="C5696" t="s">
        <v>6789</v>
      </c>
      <c r="D5696" t="s">
        <v>6176</v>
      </c>
      <c r="E5696" s="3" t="str">
        <f>HYPERLINK("https://www.amazon.com/Aluminum-Benchmark-Technology-Klein-Tools/dp/B08L41G5G5/ref=sr_1_9?keywords=Klein+Tools+51608+1%2F2-inch+Iron+Conduit+Bender+Head&amp;qid=1695174222&amp;sr=8-9", "https://www.amazon.com/Aluminum-Benchmark-Technology-Klein-Tools/dp/B08L41G5G5/ref=sr_1_9?keywords=Klein+Tools+51608+1%2F2-inch+Iron+Conduit+Bender+Head&amp;qid=1695174222&amp;sr=8-9")</f>
        <v>https://www.amazon.com/Aluminum-Benchmark-Technology-Klein-Tools/dp/B08L41G5G5/ref=sr_1_9?keywords=Klein+Tools+51608+1%2F2-inch+Iron+Conduit+Bender+Head&amp;qid=1695174222&amp;sr=8-9</v>
      </c>
      <c r="F5696" t="s">
        <v>6177</v>
      </c>
      <c r="G5696" t="e">
        <f ca="1">_xludf.IMAGE("https://edmondsonsupply.com/cdn/shop/products/51608.jpg?v=1643679335")</f>
        <v>#NAME?</v>
      </c>
      <c r="H5696" t="e">
        <f ca="1">_xludf.IMAGE("https://m.media-amazon.com/images/I/419ZjlOD69L._AC_UL320_.jpg")</f>
        <v>#NAME?</v>
      </c>
      <c r="I5696" t="s">
        <v>198</v>
      </c>
      <c r="J5696">
        <v>44.99</v>
      </c>
      <c r="K5696" s="4">
        <v>0.125</v>
      </c>
      <c r="L5696">
        <v>4.7</v>
      </c>
      <c r="M5696">
        <v>343</v>
      </c>
      <c r="O5696" t="s">
        <v>25</v>
      </c>
      <c r="P5696" t="s">
        <v>6790</v>
      </c>
      <c r="Q5696" t="s">
        <v>6791</v>
      </c>
    </row>
    <row r="5697" spans="1:17" ht="15.5" x14ac:dyDescent="0.35">
      <c r="A5697"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5697" s="3" t="str">
        <f>HYPERLINK("https://edmondsonsupply.com/products/klein-tools-31870-carbide-hole-cutter-2-1-2-inch", "https://edmondsonsupply.com/products/klein-tools-31870-carbide-hole-cutter-2-1-2-inch")</f>
        <v>https://edmondsonsupply.com/products/klein-tools-31870-carbide-hole-cutter-2-1-2-inch</v>
      </c>
      <c r="C5697" t="s">
        <v>6295</v>
      </c>
      <c r="D5697" t="s">
        <v>6481</v>
      </c>
      <c r="E5697" s="3" t="str">
        <f>HYPERLINK("https://www.amazon.com/Carbide-Cutter-Klein-Tools-31872/dp/B003CCR97A/ref=sr_1_3?keywords=Klein+Tools+31870+Carbide+Hole+Cutter%2C+2-1%2F2-Inch&amp;qid=1695174279&amp;sr=8-3", "https://www.amazon.com/Carbide-Cutter-Klein-Tools-31872/dp/B003CCR97A/ref=sr_1_3?keywords=Klein+Tools+31870+Carbide+Hole+Cutter%2C+2-1%2F2-Inch&amp;qid=1695174279&amp;sr=8-3")</f>
        <v>https://www.amazon.com/Carbide-Cutter-Klein-Tools-31872/dp/B003CCR97A/ref=sr_1_3?keywords=Klein+Tools+31870+Carbide+Hole+Cutter%2C+2-1%2F2-Inch&amp;qid=1695174279&amp;sr=8-3</v>
      </c>
      <c r="F5697" t="s">
        <v>6482</v>
      </c>
      <c r="G5697" t="e">
        <f ca="1">_xludf.IMAGE("https://edmondsonsupply.com/cdn/shop/products/31870_alt1.jpg?v=1633030999")</f>
        <v>#NAME?</v>
      </c>
      <c r="H5697" t="e">
        <f ca="1">_xludf.IMAGE("https://m.media-amazon.com/images/I/61oX7BDmtJL._AC_UL320_.jpg")</f>
        <v>#NAME?</v>
      </c>
      <c r="I5697" t="s">
        <v>300</v>
      </c>
      <c r="J5697">
        <v>89.99</v>
      </c>
      <c r="K5697" s="4">
        <v>0.125</v>
      </c>
      <c r="L5697">
        <v>4.7</v>
      </c>
      <c r="M5697">
        <v>929</v>
      </c>
      <c r="O5697" t="s">
        <v>25</v>
      </c>
      <c r="P5697" t="s">
        <v>6296</v>
      </c>
      <c r="Q5697" t="s">
        <v>6297</v>
      </c>
    </row>
    <row r="5698" spans="1:17" ht="15.5" x14ac:dyDescent="0.35">
      <c r="A5698"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5698"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5698" t="s">
        <v>6276</v>
      </c>
      <c r="D5698" t="s">
        <v>5599</v>
      </c>
      <c r="E5698" s="3" t="str">
        <f>HYPERLINK("https://www.amazon.com/Klein-Tools-JTH4E13-Journeyman-T-Handle/dp/B007GH2CDS/ref=sr_1_3?keywords=Klein+Tools+JTH9E13+1%2F4-Inch+Hex+Key+with+Journeyman+T-Handle%2C+9-Inch&amp;qid=1695174307&amp;sr=8-3", "https://www.amazon.com/Klein-Tools-JTH4E13-Journeyman-T-Handle/dp/B007GH2CDS/ref=sr_1_3?keywords=Klein+Tools+JTH9E13+1%2F4-Inch+Hex+Key+with+Journeyman+T-Handle%2C+9-Inch&amp;qid=1695174307&amp;sr=8-3")</f>
        <v>https://www.amazon.com/Klein-Tools-JTH4E13-Journeyman-T-Handle/dp/B007GH2CDS/ref=sr_1_3?keywords=Klein+Tools+JTH9E13+1%2F4-Inch+Hex+Key+with+Journeyman+T-Handle%2C+9-Inch&amp;qid=1695174307&amp;sr=8-3</v>
      </c>
      <c r="F5698" t="s">
        <v>5600</v>
      </c>
      <c r="G5698" t="e">
        <f ca="1">_xludf.IMAGE("https://edmondsonsupply.com/cdn/shop/products/jth9e12_7dcdbf9a-5acd-4824-8919-6aeb4a790072.jpg?v=1604060723")</f>
        <v>#NAME?</v>
      </c>
      <c r="H5698" t="e">
        <f ca="1">_xludf.IMAGE("https://m.media-amazon.com/images/I/41ERRKlO36L._AC_UL320_.jpg")</f>
        <v>#NAME?</v>
      </c>
      <c r="I5698" t="s">
        <v>4617</v>
      </c>
      <c r="J5698">
        <v>7.3</v>
      </c>
      <c r="K5698" s="4">
        <v>0.12479999999999999</v>
      </c>
      <c r="L5698">
        <v>4.8</v>
      </c>
      <c r="M5698">
        <v>2479</v>
      </c>
      <c r="O5698" t="s">
        <v>25</v>
      </c>
      <c r="P5698" t="s">
        <v>6277</v>
      </c>
      <c r="Q5698" t="s">
        <v>6278</v>
      </c>
    </row>
    <row r="5699" spans="1:17" ht="15.5" x14ac:dyDescent="0.35">
      <c r="A5699"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5699" s="3" t="str">
        <f>HYPERLINK("https://edmondsonsupply.com/products/fluke-325-true-rms-clamp-meter", "https://edmondsonsupply.com/products/fluke-325-true-rms-clamp-meter")</f>
        <v>https://edmondsonsupply.com/products/fluke-325-true-rms-clamp-meter</v>
      </c>
      <c r="C5699" t="s">
        <v>7585</v>
      </c>
      <c r="D5699" t="s">
        <v>5848</v>
      </c>
      <c r="E5699" s="3" t="str">
        <f>HYPERLINK("https://www.amazon.com/Fluke-True-RMS-Measures-Batteries-Carrying/dp/B017OVC1U4/ref=sr_1_10?keywords=Fluke+325+True+RMS+Clamp+Meter&amp;qid=1695174241&amp;sr=8-10", "https://www.amazon.com/Fluke-True-RMS-Measures-Batteries-Carrying/dp/B017OVC1U4/ref=sr_1_10?keywords=Fluke+325+True+RMS+Clamp+Meter&amp;qid=1695174241&amp;sr=8-10")</f>
        <v>https://www.amazon.com/Fluke-True-RMS-Measures-Batteries-Carrying/dp/B017OVC1U4/ref=sr_1_10?keywords=Fluke+325+True+RMS+Clamp+Meter&amp;qid=1695174241&amp;sr=8-10</v>
      </c>
      <c r="F5699" t="s">
        <v>5849</v>
      </c>
      <c r="G5699" t="e">
        <f ca="1">_xludf.IMAGE("https://edmondsonsupply.com/cdn/shop/products/Fluke_325_clamp_meter_1280x873px_E_NR-14655.jpg?v=1688679209")</f>
        <v>#NAME?</v>
      </c>
      <c r="H5699" t="e">
        <f ca="1">_xludf.IMAGE("https://m.media-amazon.com/images/I/71-9RICQeuL._AC_UY218_.jpg")</f>
        <v>#NAME?</v>
      </c>
      <c r="I5699" t="s">
        <v>7586</v>
      </c>
      <c r="J5699">
        <v>420</v>
      </c>
      <c r="K5699" s="4">
        <v>0.1245</v>
      </c>
      <c r="L5699">
        <v>4.8</v>
      </c>
      <c r="M5699">
        <v>283</v>
      </c>
      <c r="O5699" t="s">
        <v>25</v>
      </c>
      <c r="P5699" t="s">
        <v>4069</v>
      </c>
      <c r="Q5699" t="s">
        <v>7587</v>
      </c>
    </row>
    <row r="5700" spans="1:17" ht="15.5" x14ac:dyDescent="0.35">
      <c r="A5700"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5700"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5700" t="s">
        <v>6432</v>
      </c>
      <c r="D5700" t="s">
        <v>686</v>
      </c>
      <c r="E5700" s="3" t="str">
        <f>HYPERLINK("https://www.amazon.com/Resistant-Canvas-Klein-Tools-5416TFR/dp/B0116IFD6A/ref=sr_1_3?keywords=Klein+Tools+5416+Tool+Bag%2C+Bull-Pin+and+Bolt+Pouch%2C+Belt+Strap+Connect%2C+5+x+10+x+9-Inch&amp;qid=1695174042&amp;sr=8-3", "https://www.amazon.com/Resistant-Canvas-Klein-Tools-5416TFR/dp/B0116IFD6A/ref=sr_1_3?keywords=Klein+Tools+5416+Tool+Bag%2C+Bull-Pin+and+Bolt+Pouch%2C+Belt+Strap+Connect%2C+5+x+10+x+9-Inch&amp;qid=1695174042&amp;sr=8-3")</f>
        <v>https://www.amazon.com/Resistant-Canvas-Klein-Tools-5416TFR/dp/B0116IFD6A/ref=sr_1_3?keywords=Klein+Tools+5416+Tool+Bag%2C+Bull-Pin+and+Bolt+Pouch%2C+Belt+Strap+Connect%2C+5+x+10+x+9-Inch&amp;qid=1695174042&amp;sr=8-3</v>
      </c>
      <c r="F5700" t="s">
        <v>687</v>
      </c>
      <c r="G5700" t="e">
        <f ca="1">_xludf.IMAGE("https://edmondsonsupply.com/cdn/shop/products/5416.jpg?v=1679664980")</f>
        <v>#NAME?</v>
      </c>
      <c r="H5700" t="e">
        <f ca="1">_xludf.IMAGE("https://m.media-amazon.com/images/I/71-H03ahZOL._AC_UL320_.jpg")</f>
        <v>#NAME?</v>
      </c>
      <c r="I5700" t="s">
        <v>6242</v>
      </c>
      <c r="J5700">
        <v>19.989999999999998</v>
      </c>
      <c r="K5700" s="4">
        <v>0.123</v>
      </c>
      <c r="L5700">
        <v>4.8</v>
      </c>
      <c r="M5700">
        <v>7387</v>
      </c>
      <c r="O5700" t="s">
        <v>25</v>
      </c>
      <c r="P5700" t="s">
        <v>6433</v>
      </c>
      <c r="Q5700" t="s">
        <v>6434</v>
      </c>
    </row>
    <row r="5701" spans="1:17" ht="15.5" x14ac:dyDescent="0.35">
      <c r="A5701"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5701" s="3" t="str">
        <f>HYPERLINK("https://edmondsonsupply.com/products/klein-tools-et600-insulation-resistance-tester", "https://edmondsonsupply.com/products/klein-tools-et600-insulation-resistance-tester")</f>
        <v>https://edmondsonsupply.com/products/klein-tools-et600-insulation-resistance-tester</v>
      </c>
      <c r="C5701" t="s">
        <v>6505</v>
      </c>
      <c r="D5701" t="s">
        <v>7588</v>
      </c>
      <c r="E5701" s="3" t="str">
        <f>HYPERLINK("https://www.amazon.com/Klein-Tools-Multimeter-Megohmmeter-Insulation-Ohms-Resistance/dp/B09Z3DPNJ2/ref=sr_1_3?keywords=Klein+Tools+ET600+Insulation+Resistance+Tester&amp;qid=1695173907&amp;sr=8-3", "https://www.amazon.com/Klein-Tools-Multimeter-Megohmmeter-Insulation-Ohms-Resistance/dp/B09Z3DPNJ2/ref=sr_1_3?keywords=Klein+Tools+ET600+Insulation+Resistance+Tester&amp;qid=1695173907&amp;sr=8-3")</f>
        <v>https://www.amazon.com/Klein-Tools-Multimeter-Megohmmeter-Insulation-Ohms-Resistance/dp/B09Z3DPNJ2/ref=sr_1_3?keywords=Klein+Tools+ET600+Insulation+Resistance+Tester&amp;qid=1695173907&amp;sr=8-3</v>
      </c>
      <c r="F5701" t="s">
        <v>7589</v>
      </c>
      <c r="G5701" t="e">
        <f ca="1">_xludf.IMAGE("https://edmondsonsupply.com/cdn/shop/products/et600_accessories_b.jpg?v=1677685603")</f>
        <v>#NAME?</v>
      </c>
      <c r="H5701" t="e">
        <f ca="1">_xludf.IMAGE("https://m.media-amazon.com/images/I/51iMRXHBFSL._AC_UY218_.jpg")</f>
        <v>#NAME?</v>
      </c>
      <c r="I5701" t="s">
        <v>6506</v>
      </c>
      <c r="J5701">
        <v>184.96</v>
      </c>
      <c r="K5701" s="4">
        <v>0.121</v>
      </c>
      <c r="L5701">
        <v>5</v>
      </c>
      <c r="M5701">
        <v>1</v>
      </c>
      <c r="O5701" t="s">
        <v>25</v>
      </c>
      <c r="P5701" t="s">
        <v>6507</v>
      </c>
      <c r="Q5701" t="s">
        <v>6508</v>
      </c>
    </row>
    <row r="5702" spans="1:17" ht="15.5" x14ac:dyDescent="0.35">
      <c r="A5702"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5702" s="3" t="str">
        <f>HYPERLINK("https://edmondsonsupply.com/products/klein-tools-80028-electricians-tool-kit-28-piece", "https://edmondsonsupply.com/products/klein-tools-80028-electricians-tool-kit-28-piece")</f>
        <v>https://edmondsonsupply.com/products/klein-tools-80028-electricians-tool-kit-28-piece</v>
      </c>
      <c r="C5702" t="s">
        <v>4066</v>
      </c>
      <c r="D5702" t="s">
        <v>4067</v>
      </c>
      <c r="E5702" s="3" t="str">
        <f>HYPERLINK("https://www.amazon.com/Klein-Tools-Screwdrivers-Multi-Bit-Screwdriver/dp/B0BC7Y96KZ/ref=sr_1_1?keywords=Klein+Tools+80028+Electrician%27s+Tool+Kit%2C+28-Piece&amp;qid=1695173883&amp;sr=8-1", "https://www.amazon.com/Klein-Tools-Screwdrivers-Multi-Bit-Screwdriver/dp/B0BC7Y96KZ/ref=sr_1_1?keywords=Klein+Tools+80028+Electrician%27s+Tool+Kit%2C+28-Piece&amp;qid=1695173883&amp;sr=8-1")</f>
        <v>https://www.amazon.com/Klein-Tools-Screwdrivers-Multi-Bit-Screwdriver/dp/B0BC7Y96KZ/ref=sr_1_1?keywords=Klein+Tools+80028+Electrician%27s+Tool+Kit%2C+28-Piece&amp;qid=1695173883&amp;sr=8-1</v>
      </c>
      <c r="F5702" t="s">
        <v>4068</v>
      </c>
      <c r="G5702" t="e">
        <f ca="1">_xludf.IMAGE("https://edmondsonsupply.com/cdn/shop/files/80028_d.jpg?v=1686062794")</f>
        <v>#NAME?</v>
      </c>
      <c r="H5702" t="e">
        <f ca="1">_xludf.IMAGE("https://m.media-amazon.com/images/I/51ilyu0AbQL._AC_UL320_.jpg")</f>
        <v>#NAME?</v>
      </c>
      <c r="I5702" t="s">
        <v>4069</v>
      </c>
      <c r="J5702">
        <v>464.98</v>
      </c>
      <c r="K5702" s="4">
        <v>0.1205</v>
      </c>
      <c r="L5702">
        <v>5</v>
      </c>
      <c r="M5702">
        <v>5</v>
      </c>
      <c r="O5702" t="s">
        <v>25</v>
      </c>
      <c r="P5702" t="s">
        <v>4070</v>
      </c>
      <c r="Q5702" t="s">
        <v>4071</v>
      </c>
    </row>
    <row r="5703" spans="1:17" ht="15.5" x14ac:dyDescent="0.35">
      <c r="A5703" s="3" t="str">
        <f>HYPERLINK("https://edmondsonsupply.com/collections/electricians-tools/products/klein-tools-46037-cable-splicers-kit", "https://edmondsonsupply.com/collections/electricians-tools/products/klein-tools-46037-cable-splicers-kit")</f>
        <v>https://edmondsonsupply.com/collections/electricians-tools/products/klein-tools-46037-cable-splicers-kit</v>
      </c>
      <c r="B5703" s="3" t="str">
        <f>HYPERLINK("https://edmondsonsupply.com/products/klein-tools-46037-cable-splicers-kit", "https://edmondsonsupply.com/products/klein-tools-46037-cable-splicers-kit")</f>
        <v>https://edmondsonsupply.com/products/klein-tools-46037-cable-splicers-kit</v>
      </c>
      <c r="C5703" t="s">
        <v>6545</v>
      </c>
      <c r="D5703" t="s">
        <v>7590</v>
      </c>
      <c r="E5703" s="3" t="str">
        <f>HYPERLINK("https://www.amazon.com/Klein-Tools-46039-Splicers-Free-Fall/dp/B003AXBJMC/ref=sr_1_4?keywords=Klein+Tools+46037+Cable+Splicer%27s+Kit&amp;qid=1695174157&amp;sr=8-4", "https://www.amazon.com/Klein-Tools-46039-Splicers-Free-Fall/dp/B003AXBJMC/ref=sr_1_4?keywords=Klein+Tools+46037+Cable+Splicer%27s+Kit&amp;qid=1695174157&amp;sr=8-4")</f>
        <v>https://www.amazon.com/Klein-Tools-46039-Splicers-Free-Fall/dp/B003AXBJMC/ref=sr_1_4?keywords=Klein+Tools+46037+Cable+Splicer%27s+Kit&amp;qid=1695174157&amp;sr=8-4</v>
      </c>
      <c r="F5703" t="s">
        <v>7591</v>
      </c>
      <c r="G5703" t="e">
        <f ca="1">_xludf.IMAGE("https://edmondsonsupply.com/cdn/shop/products/46037.jpg?v=1663351986")</f>
        <v>#NAME?</v>
      </c>
      <c r="H5703" t="e">
        <f ca="1">_xludf.IMAGE("https://m.media-amazon.com/images/I/61VAGquLzKL._AC_UL320_.jpg")</f>
        <v>#NAME?</v>
      </c>
      <c r="I5703" t="s">
        <v>246</v>
      </c>
      <c r="J5703">
        <v>44.71</v>
      </c>
      <c r="K5703" s="4">
        <v>0.1186</v>
      </c>
      <c r="L5703">
        <v>4.8</v>
      </c>
      <c r="M5703">
        <v>796</v>
      </c>
      <c r="O5703" t="s">
        <v>25</v>
      </c>
      <c r="P5703" t="s">
        <v>6548</v>
      </c>
      <c r="Q5703" t="s">
        <v>6549</v>
      </c>
    </row>
    <row r="5704" spans="1:17" ht="15.5" x14ac:dyDescent="0.35">
      <c r="A5704" s="3" t="str">
        <f>HYPERLINK("https://edmondsonsupply.com/collections/electricians-tools/products/diablo-tools-dmamxcc5020-2-5-8-in-x-7-in-sds-max-carbide-tipped-core-bit", "https://edmondsonsupply.com/collections/electricians-tools/products/diablo-tools-dmamxcc5020-2-5-8-in-x-7-in-sds-max-carbide-tipped-core-bit")</f>
        <v>https://edmondsonsupply.com/collections/electricians-tools/products/diablo-tools-dmamxcc5020-2-5-8-in-x-7-in-sds-max-carbide-tipped-core-bit</v>
      </c>
      <c r="B5704" s="3" t="str">
        <f>HYPERLINK("https://edmondsonsupply.com/products/diablo-tools-dmamxcc5020-2-5-8-in-x-7-in-sds-max-carbide-tipped-core-bit", "https://edmondsonsupply.com/products/diablo-tools-dmamxcc5020-2-5-8-in-x-7-in-sds-max-carbide-tipped-core-bit")</f>
        <v>https://edmondsonsupply.com/products/diablo-tools-dmamxcc5020-2-5-8-in-x-7-in-sds-max-carbide-tipped-core-bit</v>
      </c>
      <c r="C5704" t="s">
        <v>5895</v>
      </c>
      <c r="D5704" t="s">
        <v>5891</v>
      </c>
      <c r="E5704" s="3" t="str">
        <f>HYPERLINK("https://www.amazon.com/Diablo-DMAMXCC5020-SDS-Max-Carbide-Tipped/dp/B089M7TYBC/ref=sr_1_1?keywords=Diablo+Tools+DMAMXCC5020+2-5%2F8+in.+x+7+in.+SDS-Max+Carbide+Tipped+Core+Bit&amp;qid=1695174025&amp;sr=8-1", "https://www.amazon.com/Diablo-DMAMXCC5020-SDS-Max-Carbide-Tipped/dp/B089M7TYBC/ref=sr_1_1?keywords=Diablo+Tools+DMAMXCC5020+2-5%2F8+in.+x+7+in.+SDS-Max+Carbide+Tipped+Core+Bit&amp;qid=1695174025&amp;sr=8-1")</f>
        <v>https://www.amazon.com/Diablo-DMAMXCC5020-SDS-Max-Carbide-Tipped/dp/B089M7TYBC/ref=sr_1_1?keywords=Diablo+Tools+DMAMXCC5020+2-5%2F8+in.+x+7+in.+SDS-Max+Carbide+Tipped+Core+Bit&amp;qid=1695174025&amp;sr=8-1</v>
      </c>
      <c r="F5704" t="s">
        <v>5892</v>
      </c>
      <c r="G5704" t="e">
        <f ca="1">_xludf.IMAGE("https://edmondsonsupply.com/cdn/shop/files/vashcrdlazsqjug8tmyc.webp?v=1686584484")</f>
        <v>#NAME?</v>
      </c>
      <c r="H5704" t="e">
        <f ca="1">_xludf.IMAGE("https://m.media-amazon.com/images/I/61fu3xDsk5L._AC_UL320_.jpg")</f>
        <v>#NAME?</v>
      </c>
      <c r="I5704" t="s">
        <v>525</v>
      </c>
      <c r="J5704">
        <v>120.46</v>
      </c>
      <c r="K5704" s="4">
        <v>0.11550000000000001</v>
      </c>
      <c r="L5704">
        <v>4.8</v>
      </c>
      <c r="M5704">
        <v>5</v>
      </c>
      <c r="O5704" t="s">
        <v>25</v>
      </c>
      <c r="P5704" t="s">
        <v>5896</v>
      </c>
      <c r="Q5704" t="s">
        <v>5897</v>
      </c>
    </row>
    <row r="5705" spans="1:17" ht="15.5" x14ac:dyDescent="0.35">
      <c r="A5705"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5705" s="3" t="str">
        <f>HYPERLINK("https://edmondsonsupply.com/products/diablo-tools-dag1110-7-8-in-x-7-1-2-in-auger-bit", "https://edmondsonsupply.com/products/diablo-tools-dag1110-7-8-in-x-7-1-2-in-auger-bit")</f>
        <v>https://edmondsonsupply.com/products/diablo-tools-dag1110-7-8-in-x-7-1-2-in-auger-bit</v>
      </c>
      <c r="C5705" t="s">
        <v>6839</v>
      </c>
      <c r="D5705" t="s">
        <v>3903</v>
      </c>
      <c r="E5705" s="3" t="str">
        <f>HYPERLINK("https://www.amazon.com/Diablo-Freud-DAG1110-7-1-Auger/dp/B089KWR9F4/ref=sr_1_1?keywords=Diablo+Tools+DAG1110+7%2F8+in.+x+7-1%2F2+in.+Auger+Bit&amp;qid=1695174030&amp;sr=8-1", "https://www.amazon.com/Diablo-Freud-DAG1110-7-1-Auger/dp/B089KWR9F4/ref=sr_1_1?keywords=Diablo+Tools+DAG1110+7%2F8+in.+x+7-1%2F2+in.+Auger+Bit&amp;qid=1695174030&amp;sr=8-1")</f>
        <v>https://www.amazon.com/Diablo-Freud-DAG1110-7-1-Auger/dp/B089KWR9F4/ref=sr_1_1?keywords=Diablo+Tools+DAG1110+7%2F8+in.+x+7-1%2F2+in.+Auger+Bit&amp;qid=1695174030&amp;sr=8-1</v>
      </c>
      <c r="F5705" t="s">
        <v>3904</v>
      </c>
      <c r="G5705" t="e">
        <f ca="1">_xludf.IMAGE("https://edmondsonsupply.com/cdn/shop/products/yel7mbaiyy08ii0assd5.webp?v=1680187136")</f>
        <v>#NAME?</v>
      </c>
      <c r="H5705" t="e">
        <f ca="1">_xludf.IMAGE("https://m.media-amazon.com/images/I/61FgY3Jv5eL._AC_UL320_.jpg")</f>
        <v>#NAME?</v>
      </c>
      <c r="I5705" t="s">
        <v>4985</v>
      </c>
      <c r="J5705">
        <v>18.920000000000002</v>
      </c>
      <c r="K5705" s="4">
        <v>0.1149</v>
      </c>
      <c r="L5705">
        <v>4.8</v>
      </c>
      <c r="M5705">
        <v>48</v>
      </c>
      <c r="O5705" t="s">
        <v>25</v>
      </c>
      <c r="P5705" t="s">
        <v>6840</v>
      </c>
      <c r="Q5705" t="s">
        <v>6841</v>
      </c>
    </row>
    <row r="5706" spans="1:17" ht="15.5" x14ac:dyDescent="0.35">
      <c r="A5706"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5706" s="3" t="str">
        <f>HYPERLINK("https://edmondsonsupply.com/products/fluke-1587-fc-insulation-multimeter", "https://edmondsonsupply.com/products/fluke-1587-fc-insulation-multimeter")</f>
        <v>https://edmondsonsupply.com/products/fluke-1587-fc-insulation-multimeter</v>
      </c>
      <c r="C5706" t="s">
        <v>4074</v>
      </c>
      <c r="D5706" t="s">
        <v>4075</v>
      </c>
      <c r="E5706" s="3" t="str">
        <f>HYPERLINK("https://www.amazon.com/FLUKE-1587-I400-Insulation-Multimeter-Clamp/dp/B017OVC2HG/ref=sr_1_2?keywords=Fluke+1587+FC+Insulation+Multimeter&amp;qid=1695173858&amp;sr=8-2", "https://www.amazon.com/FLUKE-1587-I400-Insulation-Multimeter-Clamp/dp/B017OVC2HG/ref=sr_1_2?keywords=Fluke+1587+FC+Insulation+Multimeter&amp;qid=1695173858&amp;sr=8-2")</f>
        <v>https://www.amazon.com/FLUKE-1587-I400-Insulation-Multimeter-Clamp/dp/B017OVC2HG/ref=sr_1_2?keywords=Fluke+1587+FC+Insulation+Multimeter&amp;qid=1695173858&amp;sr=8-2</v>
      </c>
      <c r="F5706" t="s">
        <v>4076</v>
      </c>
      <c r="G5706" t="e">
        <f ca="1">_xludf.IMAGE("https://edmondsonsupply.com/cdn/shop/products/Fluke_1587_FC_True-rms_Insulation_Multimeter__1280x1006px_E_NR-20298.jpg?v=1633031188")</f>
        <v>#NAME?</v>
      </c>
      <c r="H5706" t="e">
        <f ca="1">_xludf.IMAGE("https://m.media-amazon.com/images/I/81aUvl4xhJL._AC_UL320_.jpg")</f>
        <v>#NAME?</v>
      </c>
      <c r="I5706" t="s">
        <v>4077</v>
      </c>
      <c r="J5706">
        <v>1036.67</v>
      </c>
      <c r="K5706" s="4">
        <v>0.1147</v>
      </c>
      <c r="L5706">
        <v>4.5999999999999996</v>
      </c>
      <c r="M5706">
        <v>128</v>
      </c>
      <c r="O5706" t="s">
        <v>25</v>
      </c>
      <c r="P5706" t="s">
        <v>4078</v>
      </c>
      <c r="Q5706" t="s">
        <v>4079</v>
      </c>
    </row>
    <row r="5707" spans="1:17" ht="15.5" x14ac:dyDescent="0.35">
      <c r="A5707"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5707" s="3" t="str">
        <f>HYPERLINK("https://edmondsonsupply.com/products/klein-tools-69417-rare-earth-magnetic-meter-hanger", "https://edmondsonsupply.com/products/klein-tools-69417-rare-earth-magnetic-meter-hanger")</f>
        <v>https://edmondsonsupply.com/products/klein-tools-69417-rare-earth-magnetic-meter-hanger</v>
      </c>
      <c r="C5707" t="s">
        <v>1413</v>
      </c>
      <c r="D5707" t="s">
        <v>4874</v>
      </c>
      <c r="E5707" s="3" t="str">
        <f>HYPERLINK("https://www.amazon.com/Klein-Tools-69445-Magnetic-Multimeters/dp/B08CP568HY/ref=sr_1_5?keywords=Klein+Tools+69417+Rare+Earth+Magnetic+Meter+Hanger%2C+with+Strap&amp;qid=1695173948&amp;sr=8-5", "https://www.amazon.com/Klein-Tools-69445-Magnetic-Multimeters/dp/B08CP568HY/ref=sr_1_5?keywords=Klein+Tools+69417+Rare+Earth+Magnetic+Meter+Hanger%2C+with+Strap&amp;qid=1695173948&amp;sr=8-5")</f>
        <v>https://www.amazon.com/Klein-Tools-69445-Magnetic-Multimeters/dp/B08CP568HY/ref=sr_1_5?keywords=Klein+Tools+69417+Rare+Earth+Magnetic+Meter+Hanger%2C+with+Strap&amp;qid=1695173948&amp;sr=8-5</v>
      </c>
      <c r="F5707" t="s">
        <v>4875</v>
      </c>
      <c r="G5707" t="e">
        <f ca="1">_xludf.IMAGE("https://edmondsonsupply.com/cdn/shop/products/69417.jpg?v=1587150163")</f>
        <v>#NAME?</v>
      </c>
      <c r="H5707" t="e">
        <f ca="1">_xludf.IMAGE("https://m.media-amazon.com/images/I/61xhBmfQ1SL._AC_UL320_.jpg")</f>
        <v>#NAME?</v>
      </c>
      <c r="I5707" t="s">
        <v>288</v>
      </c>
      <c r="J5707">
        <v>15.59</v>
      </c>
      <c r="K5707" s="4">
        <v>0.1144</v>
      </c>
      <c r="L5707">
        <v>4.8</v>
      </c>
      <c r="M5707">
        <v>403</v>
      </c>
      <c r="O5707" t="s">
        <v>25</v>
      </c>
      <c r="P5707" t="s">
        <v>845</v>
      </c>
      <c r="Q5707" t="s">
        <v>1416</v>
      </c>
    </row>
    <row r="5708" spans="1:17" ht="15.5" x14ac:dyDescent="0.35">
      <c r="A5708"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708"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708" t="s">
        <v>6995</v>
      </c>
      <c r="D5708" t="s">
        <v>2698</v>
      </c>
      <c r="E5708" s="3" t="str">
        <f>HYPERLINK("https://www.amazon.com/Non-Contact-Receptacle-Klein-Tools-RT250KIT/dp/B08YDFQ2FV/ref=sr_1_8?keywords=Klein+Tools+69149P+Test+Kit+with+Multimeter%2C+Non-Contact+Volt+Tester%2C+Receptacle+Tester&amp;qid=1695174288&amp;sr=8-8", "https://www.amazon.com/Non-Contact-Receptacle-Klein-Tools-RT250KIT/dp/B08YDFQ2FV/ref=sr_1_8?keywords=Klein+Tools+69149P+Test+Kit+with+Multimeter%2C+Non-Contact+Volt+Tester%2C+Receptacle+Tester&amp;qid=1695174288&amp;sr=8-8")</f>
        <v>https://www.amazon.com/Non-Contact-Receptacle-Klein-Tools-RT250KIT/dp/B08YDFQ2FV/ref=sr_1_8?keywords=Klein+Tools+69149P+Test+Kit+with+Multimeter%2C+Non-Contact+Volt+Tester%2C+Receptacle+Tester&amp;qid=1695174288&amp;sr=8-8</v>
      </c>
      <c r="F5708" t="s">
        <v>2699</v>
      </c>
      <c r="G5708" t="e">
        <f ca="1">_xludf.IMAGE("https://edmondsonsupply.com/cdn/shop/products/69149p.jpg?v=1664479017")</f>
        <v>#NAME?</v>
      </c>
      <c r="H5708" t="e">
        <f ca="1">_xludf.IMAGE("https://m.media-amazon.com/images/I/61WaBlkJfxL._AC_UL320_.jpg")</f>
        <v>#NAME?</v>
      </c>
      <c r="I5708" t="s">
        <v>246</v>
      </c>
      <c r="J5708">
        <v>44.54</v>
      </c>
      <c r="K5708" s="4">
        <v>0.1143</v>
      </c>
      <c r="L5708">
        <v>4.8</v>
      </c>
      <c r="M5708">
        <v>1269</v>
      </c>
      <c r="O5708" t="s">
        <v>25</v>
      </c>
      <c r="P5708" t="s">
        <v>6996</v>
      </c>
      <c r="Q5708" t="s">
        <v>6997</v>
      </c>
    </row>
    <row r="5709" spans="1:17" ht="15.5" x14ac:dyDescent="0.35">
      <c r="A5709" s="3" t="str">
        <f>HYPERLINK("https://edmondsonsupply.com/collections/electricians-tools/products/klein-tools-rt250kit-premium-dual-range-ncvt-and-gfci-receptacle-tester-electrical-test-kit", "https://edmondsonsupply.com/collections/electricians-tools/products/klein-tools-rt250kit-premium-dual-range-ncvt-and-gfci-receptacle-tester-electrical-test-kit")</f>
        <v>https://edmondsonsupply.com/collections/electricians-tools/products/klein-tools-rt250kit-premium-dual-range-ncvt-and-gfci-receptacle-tester-electrical-test-kit</v>
      </c>
      <c r="B5709" s="3" t="str">
        <f>HYPERLINK("https://edmondsonsupply.com/products/klein-tools-rt250kit-premium-dual-range-ncvt-and-gfci-receptacle-tester-electrical-test-kit", "https://edmondsonsupply.com/products/klein-tools-rt250kit-premium-dual-range-ncvt-and-gfci-receptacle-tester-electrical-test-kit")</f>
        <v>https://edmondsonsupply.com/products/klein-tools-rt250kit-premium-dual-range-ncvt-and-gfci-receptacle-tester-electrical-test-kit</v>
      </c>
      <c r="C5709" t="s">
        <v>7592</v>
      </c>
      <c r="D5709" t="s">
        <v>2698</v>
      </c>
      <c r="E5709" s="3" t="str">
        <f>HYPERLINK("https://www.amazon.com/Non-Contact-Receptacle-Klein-Tools-RT250KIT/dp/B08YDFQ2FV/ref=sr_1_1?keywords=Klein+Tools+RT250KIT+Premium+Dual-Range+NCVT+and+GFCI+Receptacle+Tester+Electrical+Test+Kit&amp;qid=1695174169&amp;sr=8-1", "https://www.amazon.com/Non-Contact-Receptacle-Klein-Tools-RT250KIT/dp/B08YDFQ2FV/ref=sr_1_1?keywords=Klein+Tools+RT250KIT+Premium+Dual-Range+NCVT+and+GFCI+Receptacle+Tester+Electrical+Test+Kit&amp;qid=1695174169&amp;sr=8-1")</f>
        <v>https://www.amazon.com/Non-Contact-Receptacle-Klein-Tools-RT250KIT/dp/B08YDFQ2FV/ref=sr_1_1?keywords=Klein+Tools+RT250KIT+Premium+Dual-Range+NCVT+and+GFCI+Receptacle+Tester+Electrical+Test+Kit&amp;qid=1695174169&amp;sr=8-1</v>
      </c>
      <c r="F5709" t="s">
        <v>2699</v>
      </c>
      <c r="G5709" t="e">
        <f ca="1">_xludf.IMAGE("https://edmondsonsupply.com/cdn/shop/products/rt250kit.jpg?v=1660755074")</f>
        <v>#NAME?</v>
      </c>
      <c r="H5709" t="e">
        <f ca="1">_xludf.IMAGE("https://m.media-amazon.com/images/I/61WaBlkJfxL._AC_UL320_.jpg")</f>
        <v>#NAME?</v>
      </c>
      <c r="I5709" t="s">
        <v>198</v>
      </c>
      <c r="J5709">
        <v>44.54</v>
      </c>
      <c r="K5709" s="4">
        <v>0.1138</v>
      </c>
      <c r="L5709">
        <v>4.8</v>
      </c>
      <c r="M5709">
        <v>1269</v>
      </c>
      <c r="O5709" t="s">
        <v>25</v>
      </c>
      <c r="P5709" t="s">
        <v>4236</v>
      </c>
      <c r="Q5709" t="s">
        <v>7593</v>
      </c>
    </row>
    <row r="5710" spans="1:17" ht="15.5" x14ac:dyDescent="0.35">
      <c r="A5710" s="3" t="str">
        <f>HYPERLINK("https://edmondsonsupply.com/collections/electricians-tools/products/milwaukee-48-22-7218-18-aluminum-pipe-wrench", "https://edmondsonsupply.com/collections/electricians-tools/products/milwaukee-48-22-7218-18-aluminum-pipe-wrench")</f>
        <v>https://edmondsonsupply.com/collections/electricians-tools/products/milwaukee-48-22-7218-18-aluminum-pipe-wrench</v>
      </c>
      <c r="B5710" s="3" t="str">
        <f>HYPERLINK("https://edmondsonsupply.com/products/milwaukee-48-22-7218-18-aluminum-pipe-wrench", "https://edmondsonsupply.com/products/milwaukee-48-22-7218-18-aluminum-pipe-wrench")</f>
        <v>https://edmondsonsupply.com/products/milwaukee-48-22-7218-18-aluminum-pipe-wrench</v>
      </c>
      <c r="C5710" t="s">
        <v>7160</v>
      </c>
      <c r="D5710" t="s">
        <v>3516</v>
      </c>
      <c r="E5710" s="3" t="str">
        <f>HYPERLINK("https://www.amazon.com/Milwaukee-48-22-7213-Aluminum-Wrench-POWERLENGTH/dp/B09VQ6CYDG/ref=sr_1_7?keywords=Milwaukee+48-22-7218+18%22+Aluminum+Pipe+Wrench&amp;qid=1695174033&amp;sr=8-7", "https://www.amazon.com/Milwaukee-48-22-7213-Aluminum-Wrench-POWERLENGTH/dp/B09VQ6CYDG/ref=sr_1_7?keywords=Milwaukee+48-22-7218+18%22+Aluminum+Pipe+Wrench&amp;qid=1695174033&amp;sr=8-7")</f>
        <v>https://www.amazon.com/Milwaukee-48-22-7213-Aluminum-Wrench-POWERLENGTH/dp/B09VQ6CYDG/ref=sr_1_7?keywords=Milwaukee+48-22-7218+18%22+Aluminum+Pipe+Wrench&amp;qid=1695174033&amp;sr=8-7</v>
      </c>
      <c r="F5710" t="s">
        <v>3517</v>
      </c>
      <c r="G5710" t="e">
        <f ca="1">_xludf.IMAGE("https://edmondsonsupply.com/cdn/shop/products/48-22-7218_2_1_742fcb03-c548-4ed9-8aa1-934894b7f36d.png?v=1680096673")</f>
        <v>#NAME?</v>
      </c>
      <c r="H5710" t="e">
        <f ca="1">_xludf.IMAGE("https://m.media-amazon.com/images/I/51qzHa1LxNL._AC_UL320_.jpg")</f>
        <v>#NAME?</v>
      </c>
      <c r="I5710" t="s">
        <v>305</v>
      </c>
      <c r="J5710">
        <v>72.36</v>
      </c>
      <c r="K5710" s="4">
        <v>0.1137</v>
      </c>
      <c r="L5710">
        <v>5</v>
      </c>
      <c r="M5710">
        <v>6</v>
      </c>
      <c r="O5710" t="s">
        <v>25</v>
      </c>
      <c r="P5710" t="s">
        <v>7161</v>
      </c>
      <c r="Q5710" t="s">
        <v>7162</v>
      </c>
    </row>
    <row r="5711" spans="1:17" ht="15.5" x14ac:dyDescent="0.35">
      <c r="A5711"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5711"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5711" t="s">
        <v>7150</v>
      </c>
      <c r="D5711" t="s">
        <v>6026</v>
      </c>
      <c r="E5711" s="3" t="str">
        <f>HYPERLINK("https://www.amazon.com/Klein-Tools-Contrast-Microamps-Rare-Earth/dp/B09T72LQCJ/ref=sr_1_6?keywords=Klein+Tools+CL390+AC%2FDC+Digital+Clamp+Meter%2C+Auto-Ranging+400+Amp&amp;qid=1695174165&amp;sr=8-6", "https://www.amazon.com/Klein-Tools-Contrast-Microamps-Rare-Earth/dp/B09T72LQCJ/ref=sr_1_6?keywords=Klein+Tools+CL390+AC%2FDC+Digital+Clamp+Meter%2C+Auto-Ranging+400+Amp&amp;qid=1695174165&amp;sr=8-6")</f>
        <v>https://www.amazon.com/Klein-Tools-Contrast-Microamps-Rare-Earth/dp/B09T72LQCJ/ref=sr_1_6?keywords=Klein+Tools+CL390+AC%2FDC+Digital+Clamp+Meter%2C+Auto-Ranging+400+Amp&amp;qid=1695174165&amp;sr=8-6</v>
      </c>
      <c r="F5711" t="s">
        <v>6027</v>
      </c>
      <c r="G5711" t="e">
        <f ca="1">_xludf.IMAGE("https://edmondsonsupply.com/cdn/shop/products/cl390.jpg?v=1662670722")</f>
        <v>#NAME?</v>
      </c>
      <c r="H5711" t="e">
        <f ca="1">_xludf.IMAGE("https://m.media-amazon.com/images/I/51sNOvZYe9L._AC_UY218_.jpg")</f>
        <v>#NAME?</v>
      </c>
      <c r="I5711" t="s">
        <v>545</v>
      </c>
      <c r="J5711">
        <v>111.24</v>
      </c>
      <c r="K5711" s="4">
        <v>0.11269999999999999</v>
      </c>
      <c r="L5711">
        <v>4.5999999999999996</v>
      </c>
      <c r="M5711">
        <v>7</v>
      </c>
      <c r="O5711" t="s">
        <v>25</v>
      </c>
      <c r="P5711" t="s">
        <v>7153</v>
      </c>
      <c r="Q5711" t="s">
        <v>7154</v>
      </c>
    </row>
    <row r="5712" spans="1:17" ht="15.5" x14ac:dyDescent="0.35">
      <c r="A5712"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5712"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5712" t="s">
        <v>4105</v>
      </c>
      <c r="D5712" t="s">
        <v>7594</v>
      </c>
      <c r="E5712" s="3" t="str">
        <f>HYPERLINK("https://www.amazon.com/Klein-Tools-J213-9NECR-Jouneyman-High-Leverage/dp/B000BYBZ9U/ref=sr_1_10?keywords=Klein+Tools+D20009NEGLW+High-Visibility+Side-Cutting+Pliers+High-Leverage&amp;qid=1695173949&amp;sr=8-10", "https://www.amazon.com/Klein-Tools-J213-9NECR-Jouneyman-High-Leverage/dp/B000BYBZ9U/ref=sr_1_10?keywords=Klein+Tools+D20009NEGLW+High-Visibility+Side-Cutting+Pliers+High-Leverage&amp;qid=1695173949&amp;sr=8-10")</f>
        <v>https://www.amazon.com/Klein-Tools-J213-9NECR-Jouneyman-High-Leverage/dp/B000BYBZ9U/ref=sr_1_10?keywords=Klein+Tools+D20009NEGLW+High-Visibility+Side-Cutting+Pliers+High-Leverage&amp;qid=1695173949&amp;sr=8-10</v>
      </c>
      <c r="F5712" t="s">
        <v>7595</v>
      </c>
      <c r="G5712" t="e">
        <f ca="1">_xludf.IMAGE("https://edmondsonsupply.com/cdn/shop/products/d20009neglw.jpg?v=1587144933")</f>
        <v>#NAME?</v>
      </c>
      <c r="H5712" t="e">
        <f ca="1">_xludf.IMAGE("https://m.media-amazon.com/images/I/41FjzQmfBpL._AC_UL320_.jpg")</f>
        <v>#NAME?</v>
      </c>
      <c r="I5712" t="s">
        <v>4108</v>
      </c>
      <c r="J5712">
        <v>49.99</v>
      </c>
      <c r="K5712" s="4">
        <v>0.1116</v>
      </c>
      <c r="L5712">
        <v>4.8</v>
      </c>
      <c r="M5712">
        <v>419</v>
      </c>
      <c r="O5712" t="s">
        <v>25</v>
      </c>
      <c r="P5712" t="s">
        <v>4109</v>
      </c>
      <c r="Q5712" t="s">
        <v>4110</v>
      </c>
    </row>
    <row r="5713" spans="1:17" ht="15.5" x14ac:dyDescent="0.35">
      <c r="A5713"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5713" s="3" t="str">
        <f>HYPERLINK("https://edmondsonsupply.com/products/klein-tools-56028-flashlight-with-worklight-led-flashlight", "https://edmondsonsupply.com/products/klein-tools-56028-flashlight-with-worklight-led-flashlight")</f>
        <v>https://edmondsonsupply.com/products/klein-tools-56028-flashlight-with-worklight-led-flashlight</v>
      </c>
      <c r="C5713" t="s">
        <v>7140</v>
      </c>
      <c r="D5713" t="s">
        <v>7596</v>
      </c>
      <c r="E5713" s="3" t="str">
        <f>HYPERLINK("https://www.amazon.com/Klein-Tools-56049-Rechargeable-Headlamp/dp/B089DRF7QW/ref=sr_1_5?keywords=Klein+Tools+56028+LED+Flashlight+with+Work+Light&amp;qid=1695174266&amp;sr=8-5", "https://www.amazon.com/Klein-Tools-56049-Rechargeable-Headlamp/dp/B089DRF7QW/ref=sr_1_5?keywords=Klein+Tools+56028+LED+Flashlight+with+Work+Light&amp;qid=1695174266&amp;sr=8-5")</f>
        <v>https://www.amazon.com/Klein-Tools-56049-Rechargeable-Headlamp/dp/B089DRF7QW/ref=sr_1_5?keywords=Klein+Tools+56028+LED+Flashlight+with+Work+Light&amp;qid=1695174266&amp;sr=8-5</v>
      </c>
      <c r="F5713" t="s">
        <v>7597</v>
      </c>
      <c r="G5713" t="e">
        <f ca="1">_xludf.IMAGE("https://edmondsonsupply.com/cdn/shop/products/56028.jpg?v=1587148656")</f>
        <v>#NAME?</v>
      </c>
      <c r="H5713" t="e">
        <f ca="1">_xludf.IMAGE("https://m.media-amazon.com/images/I/61PyFw1jeZL._AC_UL320_.jpg")</f>
        <v>#NAME?</v>
      </c>
      <c r="I5713" t="s">
        <v>936</v>
      </c>
      <c r="J5713">
        <v>29.97</v>
      </c>
      <c r="K5713" s="4">
        <v>0.11119999999999999</v>
      </c>
      <c r="L5713">
        <v>4.5999999999999996</v>
      </c>
      <c r="M5713">
        <v>387</v>
      </c>
      <c r="O5713" t="s">
        <v>25</v>
      </c>
      <c r="P5713" t="s">
        <v>7141</v>
      </c>
      <c r="Q5713" t="s">
        <v>7142</v>
      </c>
    </row>
    <row r="5714" spans="1:17" ht="15.5" x14ac:dyDescent="0.35">
      <c r="A5714"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5714"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5714" t="s">
        <v>4105</v>
      </c>
      <c r="D5714" t="s">
        <v>4106</v>
      </c>
      <c r="E5714" s="3" t="str">
        <f>HYPERLINK("https://www.amazon.com/Klein-Tools-J2159CRTP-Journeyman-Leverage/dp/B09YSR1M8G/ref=sr_1_6?keywords=Klein+Tools+D20009NEGLW+High-Visibility+Side-Cutting+Pliers+High-Leverage&amp;qid=1695173949&amp;sr=8-6", "https://www.amazon.com/Klein-Tools-J2159CRTP-Journeyman-Leverage/dp/B09YSR1M8G/ref=sr_1_6?keywords=Klein+Tools+D20009NEGLW+High-Visibility+Side-Cutting+Pliers+High-Leverage&amp;qid=1695173949&amp;sr=8-6")</f>
        <v>https://www.amazon.com/Klein-Tools-J2159CRTP-Journeyman-Leverage/dp/B09YSR1M8G/ref=sr_1_6?keywords=Klein+Tools+D20009NEGLW+High-Visibility+Side-Cutting+Pliers+High-Leverage&amp;qid=1695173949&amp;sr=8-6</v>
      </c>
      <c r="F5714" t="s">
        <v>4107</v>
      </c>
      <c r="G5714" t="e">
        <f ca="1">_xludf.IMAGE("https://edmondsonsupply.com/cdn/shop/products/d20009neglw.jpg?v=1587144933")</f>
        <v>#NAME?</v>
      </c>
      <c r="H5714" t="e">
        <f ca="1">_xludf.IMAGE("https://m.media-amazon.com/images/I/41p9xe-fzjL._AC_UL320_.jpg")</f>
        <v>#NAME?</v>
      </c>
      <c r="I5714" t="s">
        <v>4108</v>
      </c>
      <c r="J5714">
        <v>49.97</v>
      </c>
      <c r="K5714" s="4">
        <v>0.11119999999999999</v>
      </c>
      <c r="L5714">
        <v>4.7</v>
      </c>
      <c r="M5714">
        <v>177</v>
      </c>
      <c r="O5714" t="s">
        <v>25</v>
      </c>
      <c r="P5714" t="s">
        <v>4109</v>
      </c>
      <c r="Q5714" t="s">
        <v>4110</v>
      </c>
    </row>
    <row r="5715" spans="1:17" ht="15.5" x14ac:dyDescent="0.35">
      <c r="A5715" s="3" t="str">
        <f>HYPERLINK("https://edmondsonsupply.com/collections/electricians-tools/products/klein-tools-2139nerins-insulated-pliers-side-cutters-9-inch", "https://edmondsonsupply.com/collections/electricians-tools/products/klein-tools-2139nerins-insulated-pliers-side-cutters-9-inch")</f>
        <v>https://edmondsonsupply.com/collections/electricians-tools/products/klein-tools-2139nerins-insulated-pliers-side-cutters-9-inch</v>
      </c>
      <c r="B5715" s="3" t="str">
        <f>HYPERLINK("https://edmondsonsupply.com/products/klein-tools-2139nerins-insulated-pliers-side-cutters-9-inch", "https://edmondsonsupply.com/products/klein-tools-2139nerins-insulated-pliers-side-cutters-9-inch")</f>
        <v>https://edmondsonsupply.com/products/klein-tools-2139nerins-insulated-pliers-side-cutters-9-inch</v>
      </c>
      <c r="C5715" t="s">
        <v>7163</v>
      </c>
      <c r="D5715" t="s">
        <v>7598</v>
      </c>
      <c r="E5715" s="3" t="str">
        <f>HYPERLINK("https://www.amazon.com/Klein-Tools-2139NERINS-Insulated-Induction/dp/B0BFZRMX2B/ref=sr_1_1?keywords=Klein+Tools+2139NERINS+Insulated+Pliers%2C+Side+Cutters%2C+9-Inch&amp;qid=1695174127&amp;sr=8-1", "https://www.amazon.com/Klein-Tools-2139NERINS-Insulated-Induction/dp/B0BFZRMX2B/ref=sr_1_1?keywords=Klein+Tools+2139NERINS+Insulated+Pliers%2C+Side+Cutters%2C+9-Inch&amp;qid=1695174127&amp;sr=8-1")</f>
        <v>https://www.amazon.com/Klein-Tools-2139NERINS-Insulated-Induction/dp/B0BFZRMX2B/ref=sr_1_1?keywords=Klein+Tools+2139NERINS+Insulated+Pliers%2C+Side+Cutters%2C+9-Inch&amp;qid=1695174127&amp;sr=8-1</v>
      </c>
      <c r="F5715" t="s">
        <v>7599</v>
      </c>
      <c r="G5715" t="e">
        <f ca="1">_xludf.IMAGE("https://edmondsonsupply.com/cdn/shop/products/2139nerins.jpg?v=1667237928")</f>
        <v>#NAME?</v>
      </c>
      <c r="H5715" t="e">
        <f ca="1">_xludf.IMAGE("https://m.media-amazon.com/images/I/41W1+RI2nNL._AC_UL320_.jpg")</f>
        <v>#NAME?</v>
      </c>
      <c r="I5715" t="s">
        <v>4108</v>
      </c>
      <c r="J5715">
        <v>49.97</v>
      </c>
      <c r="K5715" s="4">
        <v>0.11119999999999999</v>
      </c>
      <c r="L5715">
        <v>4.5999999999999996</v>
      </c>
      <c r="M5715">
        <v>55</v>
      </c>
      <c r="O5715" t="s">
        <v>25</v>
      </c>
      <c r="P5715" t="s">
        <v>7164</v>
      </c>
      <c r="Q5715" t="s">
        <v>7165</v>
      </c>
    </row>
    <row r="5716" spans="1:17" ht="15.5" x14ac:dyDescent="0.35">
      <c r="A5716" s="3" t="str">
        <f>HYPERLINK("https://edmondsonsupply.com/collections/electricians-tools/products/klein-tools-60346-hard-hat-premium-karbn%E2%84%A2-pattern-non-vented-full-brim-class-e-lamp", "https://edmondsonsupply.com/collections/electricians-tools/products/klein-tools-60346-hard-hat-premium-karbn%E2%84%A2-pattern-non-vented-full-brim-class-e-lamp")</f>
        <v>https://edmondsonsupply.com/collections/electricians-tools/products/klein-tools-60346-hard-hat-premium-karbn%E2%84%A2-pattern-non-vented-full-brim-class-e-lamp</v>
      </c>
      <c r="B5716" s="3" t="str">
        <f>HYPERLINK("https://edmondsonsupply.com/products/klein-tools-60346-hard-hat-premium-karbn%e2%84%a2-pattern-non-vented-full-brim-class-e-lamp", "https://edmondsonsupply.com/products/klein-tools-60346-hard-hat-premium-karbn%e2%84%a2-pattern-non-vented-full-brim-class-e-lamp")</f>
        <v>https://edmondsonsupply.com/products/klein-tools-60346-hard-hat-premium-karbn%e2%84%a2-pattern-non-vented-full-brim-class-e-lamp</v>
      </c>
      <c r="C5716" t="s">
        <v>1020</v>
      </c>
      <c r="D5716" t="s">
        <v>962</v>
      </c>
      <c r="E5716" s="3" t="str">
        <f>HYPERLINK("https://www.amazon.com/Klein-Tools-Non-Vented-Premium-Pattern/dp/B09Z8ZC2TJ/ref=sr_1_3?keywords=Klein+Tools+60346+Hard+Hat%2C+Premium+KARBN%E2%84%A2+Pattern%2C+Non-Vented+Full+Brim%2C+Class+E%2C+Lamp&amp;qid=1695173886&amp;sr=8-3", "https://www.amazon.com/Klein-Tools-Non-Vented-Premium-Pattern/dp/B09Z8ZC2TJ/ref=sr_1_3?keywords=Klein+Tools+60346+Hard+Hat%2C+Premium+KARBN%E2%84%A2+Pattern%2C+Non-Vented+Full+Brim%2C+Class+E%2C+Lamp&amp;qid=1695173886&amp;sr=8-3")</f>
        <v>https://www.amazon.com/Klein-Tools-Non-Vented-Premium-Pattern/dp/B09Z8ZC2TJ/ref=sr_1_3?keywords=Klein+Tools+60346+Hard+Hat%2C+Premium+KARBN%E2%84%A2+Pattern%2C+Non-Vented+Full+Brim%2C+Class+E%2C+Lamp&amp;qid=1695173886&amp;sr=8-3</v>
      </c>
      <c r="F5716" t="s">
        <v>963</v>
      </c>
      <c r="G5716" t="e">
        <f ca="1">_xludf.IMAGE("https://edmondsonsupply.com/cdn/shop/products/60346.jpg?v=1660168162")</f>
        <v>#NAME?</v>
      </c>
      <c r="H5716" t="e">
        <f ca="1">_xludf.IMAGE("https://m.media-amazon.com/images/I/51OeMTIeiuL._AC_UL320_.jpg")</f>
        <v>#NAME?</v>
      </c>
      <c r="I5716" t="s">
        <v>315</v>
      </c>
      <c r="J5716">
        <v>99.98</v>
      </c>
      <c r="K5716" s="4">
        <v>0.111</v>
      </c>
      <c r="L5716">
        <v>4.7</v>
      </c>
      <c r="M5716">
        <v>8</v>
      </c>
      <c r="O5716" t="s">
        <v>25</v>
      </c>
      <c r="P5716" t="s">
        <v>917</v>
      </c>
      <c r="Q5716" t="s">
        <v>1021</v>
      </c>
    </row>
    <row r="5717" spans="1:17" ht="15.5" x14ac:dyDescent="0.35">
      <c r="A5717"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5717" s="3" t="str">
        <f>HYPERLINK("https://edmondsonsupply.com/products/klein-tools-et600-insulation-resistance-tester", "https://edmondsonsupply.com/products/klein-tools-et600-insulation-resistance-tester")</f>
        <v>https://edmondsonsupply.com/products/klein-tools-et600-insulation-resistance-tester</v>
      </c>
      <c r="C5717" t="s">
        <v>6505</v>
      </c>
      <c r="D5717" t="s">
        <v>1409</v>
      </c>
      <c r="E5717" s="3" t="str">
        <f>HYPERLINK("https://www.amazon.com/Klein-Tools-Megohmmeter-Insulation-Ohms-Resistance-Auto-Ranging/dp/B0B7NFMBPZ/ref=sr_1_5?keywords=Klein+Tools+ET600+Insulation+Resistance+Tester&amp;qid=1695173907&amp;sr=8-5", "https://www.amazon.com/Klein-Tools-Megohmmeter-Insulation-Ohms-Resistance-Auto-Ranging/dp/B0B7NFMBPZ/ref=sr_1_5?keywords=Klein+Tools+ET600+Insulation+Resistance+Tester&amp;qid=1695173907&amp;sr=8-5")</f>
        <v>https://www.amazon.com/Klein-Tools-Megohmmeter-Insulation-Ohms-Resistance-Auto-Ranging/dp/B0B7NFMBPZ/ref=sr_1_5?keywords=Klein+Tools+ET600+Insulation+Resistance+Tester&amp;qid=1695173907&amp;sr=8-5</v>
      </c>
      <c r="F5717" t="s">
        <v>1410</v>
      </c>
      <c r="G5717" t="e">
        <f ca="1">_xludf.IMAGE("https://edmondsonsupply.com/cdn/shop/products/et600_accessories_b.jpg?v=1677685603")</f>
        <v>#NAME?</v>
      </c>
      <c r="H5717" t="e">
        <f ca="1">_xludf.IMAGE("https://m.media-amazon.com/images/I/61U-LeAD05L._AC_UY218_.jpg")</f>
        <v>#NAME?</v>
      </c>
      <c r="I5717" t="s">
        <v>6506</v>
      </c>
      <c r="J5717">
        <v>183.24</v>
      </c>
      <c r="K5717" s="4">
        <v>0.1106</v>
      </c>
      <c r="L5717">
        <v>4.3</v>
      </c>
      <c r="M5717">
        <v>4</v>
      </c>
      <c r="O5717" t="s">
        <v>25</v>
      </c>
      <c r="P5717" t="s">
        <v>6507</v>
      </c>
      <c r="Q5717" t="s">
        <v>6508</v>
      </c>
    </row>
    <row r="5718" spans="1:17" ht="15.5" x14ac:dyDescent="0.35">
      <c r="A5718"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5718"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5718" t="s">
        <v>6755</v>
      </c>
      <c r="D5718" t="s">
        <v>7600</v>
      </c>
      <c r="E5718" s="3" t="str">
        <f>HYPERLINK("https://www.amazon.com/Insulated-Screwdriver-Klein-Tools-612-4-INS/dp/B00J9S3YR0/ref=sr_1_5?keywords=Klein+Tools+602-4-INS+1%2F4-Inch+Cabinet+Tip+Insulated+Screwdriver%2C+4-Inch&amp;qid=1695174266&amp;sr=8-5", "https://www.amazon.com/Insulated-Screwdriver-Klein-Tools-612-4-INS/dp/B00J9S3YR0/ref=sr_1_5?keywords=Klein+Tools+602-4-INS+1%2F4-Inch+Cabinet+Tip+Insulated+Screwdriver%2C+4-Inch&amp;qid=1695174266&amp;sr=8-5")</f>
        <v>https://www.amazon.com/Insulated-Screwdriver-Klein-Tools-612-4-INS/dp/B00J9S3YR0/ref=sr_1_5?keywords=Klein+Tools+602-4-INS+1%2F4-Inch+Cabinet+Tip+Insulated+Screwdriver%2C+4-Inch&amp;qid=1695174266&amp;sr=8-5</v>
      </c>
      <c r="F5718" t="s">
        <v>7601</v>
      </c>
      <c r="G5718" t="e">
        <f ca="1">_xludf.IMAGE("https://edmondsonsupply.com/cdn/shop/products/602-4-ins-photo.jpg?v=1633031051")</f>
        <v>#NAME?</v>
      </c>
      <c r="H5718" t="e">
        <f ca="1">_xludf.IMAGE("https://m.media-amazon.com/images/I/513EX6NxTCL._AC_UL320_.jpg")</f>
        <v>#NAME?</v>
      </c>
      <c r="I5718" t="s">
        <v>3185</v>
      </c>
      <c r="J5718">
        <v>23.31</v>
      </c>
      <c r="K5718" s="4">
        <v>0.1105</v>
      </c>
      <c r="L5718">
        <v>4.5999999999999996</v>
      </c>
      <c r="M5718">
        <v>180</v>
      </c>
      <c r="O5718" t="s">
        <v>25</v>
      </c>
      <c r="P5718" t="s">
        <v>6758</v>
      </c>
      <c r="Q5718" t="s">
        <v>6759</v>
      </c>
    </row>
    <row r="5719" spans="1:17" ht="15.5" x14ac:dyDescent="0.35">
      <c r="A5719"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5719" s="3" t="str">
        <f>HYPERLINK("https://edmondsonsupply.com/products/klein-tools-mm400-digital-multimeter-auto-ranging-600v", "https://edmondsonsupply.com/products/klein-tools-mm400-digital-multimeter-auto-ranging-600v")</f>
        <v>https://edmondsonsupply.com/products/klein-tools-mm400-digital-multimeter-auto-ranging-600v</v>
      </c>
      <c r="C5719" t="s">
        <v>3356</v>
      </c>
      <c r="D5719" t="s">
        <v>4119</v>
      </c>
      <c r="E5719" s="3" t="str">
        <f>HYPERLINK("https://www.amazon.com/Klein-Tools-Multimeter-Auto-Ranging-Magnetic/dp/B095RFF319/ref=sr_1_2?keywords=Klein+Tools+MM400+Digital+Multimeter%2C+Auto-Ranging%2C+600V&amp;qid=1695173884&amp;sr=8-2", "https://www.amazon.com/Klein-Tools-Multimeter-Auto-Ranging-Magnetic/dp/B095RFF319/ref=sr_1_2?keywords=Klein+Tools+MM400+Digital+Multimeter%2C+Auto-Ranging%2C+600V&amp;qid=1695173884&amp;sr=8-2")</f>
        <v>https://www.amazon.com/Klein-Tools-Multimeter-Auto-Ranging-Magnetic/dp/B095RFF319/ref=sr_1_2?keywords=Klein+Tools+MM400+Digital+Multimeter%2C+Auto-Ranging%2C+600V&amp;qid=1695173884&amp;sr=8-2</v>
      </c>
      <c r="F5719" t="s">
        <v>4120</v>
      </c>
      <c r="G5719" t="e">
        <f ca="1">_xludf.IMAGE("https://edmondsonsupply.com/cdn/shop/products/mm400_alt1.jpg?v=1633030778")</f>
        <v>#NAME?</v>
      </c>
      <c r="H5719" t="e">
        <f ca="1">_xludf.IMAGE("https://m.media-amazon.com/images/I/51JeRgf8UeS._AC_UL320_.jpg")</f>
        <v>#NAME?</v>
      </c>
      <c r="I5719" t="s">
        <v>3359</v>
      </c>
      <c r="J5719">
        <v>60.89</v>
      </c>
      <c r="K5719" s="4">
        <v>0.1077</v>
      </c>
      <c r="L5719">
        <v>4.8</v>
      </c>
      <c r="M5719">
        <v>37</v>
      </c>
      <c r="O5719" t="s">
        <v>25</v>
      </c>
      <c r="P5719" t="s">
        <v>3360</v>
      </c>
      <c r="Q5719" t="s">
        <v>3361</v>
      </c>
    </row>
    <row r="5720" spans="1:17" ht="15.5" x14ac:dyDescent="0.35">
      <c r="A5720" s="3" t="str">
        <f>HYPERLINK("https://edmondsonsupply.com/collections/electricians-tools/products/klein-tools-mm420", "https://edmondsonsupply.com/collections/electricians-tools/products/klein-tools-mm420")</f>
        <v>https://edmondsonsupply.com/collections/electricians-tools/products/klein-tools-mm420</v>
      </c>
      <c r="B5720" s="3" t="str">
        <f>HYPERLINK("https://edmondsonsupply.com/products/klein-tools-mm420", "https://edmondsonsupply.com/products/klein-tools-mm420")</f>
        <v>https://edmondsonsupply.com/products/klein-tools-mm420</v>
      </c>
      <c r="C5720" t="s">
        <v>7602</v>
      </c>
      <c r="D5720" t="s">
        <v>4119</v>
      </c>
      <c r="E5720" s="3" t="str">
        <f>HYPERLINK("https://www.amazon.com/Klein-Tools-Multimeter-Auto-Ranging-Magnetic/dp/B095RFF319/ref=sr_1_4?keywords=Klein+Tools+MM420+Digital+Multimeter%2C+TRMS+Auto-Ranging%2C+600V%2C+Temp&amp;qid=1695174159&amp;sr=8-4", "https://www.amazon.com/Klein-Tools-Multimeter-Auto-Ranging-Magnetic/dp/B095RFF319/ref=sr_1_4?keywords=Klein+Tools+MM420+Digital+Multimeter%2C+TRMS+Auto-Ranging%2C+600V%2C+Temp&amp;qid=1695174159&amp;sr=8-4")</f>
        <v>https://www.amazon.com/Klein-Tools-Multimeter-Auto-Ranging-Magnetic/dp/B095RFF319/ref=sr_1_4?keywords=Klein+Tools+MM420+Digital+Multimeter%2C+TRMS+Auto-Ranging%2C+600V%2C+Temp&amp;qid=1695174159&amp;sr=8-4</v>
      </c>
      <c r="F5720" t="s">
        <v>4120</v>
      </c>
      <c r="G5720" t="e">
        <f ca="1">_xludf.IMAGE("https://edmondsonsupply.com/cdn/shop/products/mm420.jpg?v=1663610900")</f>
        <v>#NAME?</v>
      </c>
      <c r="H5720" t="e">
        <f ca="1">_xludf.IMAGE("https://m.media-amazon.com/images/I/51JeRgf8UeS._AC_UL320_.jpg")</f>
        <v>#NAME?</v>
      </c>
      <c r="I5720" t="s">
        <v>3359</v>
      </c>
      <c r="J5720">
        <v>60.89</v>
      </c>
      <c r="K5720" s="4">
        <v>0.1077</v>
      </c>
      <c r="L5720">
        <v>4.8</v>
      </c>
      <c r="M5720">
        <v>37</v>
      </c>
      <c r="O5720" t="s">
        <v>25</v>
      </c>
      <c r="P5720" t="s">
        <v>7603</v>
      </c>
      <c r="Q5720" t="s">
        <v>7604</v>
      </c>
    </row>
    <row r="5721" spans="1:17" ht="15.5" x14ac:dyDescent="0.35">
      <c r="A5721"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5721"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5721" t="s">
        <v>896</v>
      </c>
      <c r="D5721" t="s">
        <v>1022</v>
      </c>
      <c r="E5721" s="3" t="str">
        <f>HYPERLINK("https://www.amazon.com/Klein-Tools-60536-Professional-Protective/dp/B0BLQWVJDB/ref=sr_1_2?keywords=Klein+Tools+60537+Professional+Safety+Glasses%2C+Full-Frame%2C+Indoor%2FOutdoor+Lens&amp;qid=1695174097&amp;sr=8-2", "https://www.amazon.com/Klein-Tools-60536-Professional-Protective/dp/B0BLQWVJDB/ref=sr_1_2?keywords=Klein+Tools+60537+Professional+Safety+Glasses%2C+Full-Frame%2C+Indoor%2FOutdoor+Lens&amp;qid=1695174097&amp;sr=8-2")</f>
        <v>https://www.amazon.com/Klein-Tools-60536-Professional-Protective/dp/B0BLQWVJDB/ref=sr_1_2?keywords=Klein+Tools+60537+Professional+Safety+Glasses%2C+Full-Frame%2C+Indoor%2FOutdoor+Lens&amp;qid=1695174097&amp;sr=8-2</v>
      </c>
      <c r="F5721" t="s">
        <v>1023</v>
      </c>
      <c r="G5721" t="e">
        <f ca="1">_xludf.IMAGE("https://edmondsonsupply.com/cdn/shop/products/60537.jpg?v=1670947087")</f>
        <v>#NAME?</v>
      </c>
      <c r="H5721" t="e">
        <f ca="1">_xludf.IMAGE("https://m.media-amazon.com/images/I/41rAXCZifQL._AC_UL320_.jpg")</f>
        <v>#NAME?</v>
      </c>
      <c r="I5721" t="s">
        <v>276</v>
      </c>
      <c r="J5721">
        <v>16.600000000000001</v>
      </c>
      <c r="K5721" s="4">
        <v>0.1074</v>
      </c>
      <c r="L5721">
        <v>4.4000000000000004</v>
      </c>
      <c r="M5721">
        <v>374</v>
      </c>
      <c r="O5721" t="s">
        <v>25</v>
      </c>
      <c r="P5721" t="s">
        <v>277</v>
      </c>
      <c r="Q5721" t="s">
        <v>897</v>
      </c>
    </row>
    <row r="5722" spans="1:17" ht="15.5" x14ac:dyDescent="0.35">
      <c r="A5722"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5722"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5722" t="s">
        <v>6425</v>
      </c>
      <c r="D5722" t="s">
        <v>5283</v>
      </c>
      <c r="E5722" s="3" t="str">
        <f>HYPERLINK("https://www.amazon.com/Klein-Tools-NCVT1XTKIT-Non-Contact-Detector/dp/B0BNLRMNF2/ref=sr_1_3?keywords=Klein+Tools+ET45VP+AC%2FDC+Voltage+and+GFCI+Receptacle+Outlet+Test+Kit&amp;qid=1695174178&amp;sr=8-3", "https://www.amazon.com/Klein-Tools-NCVT1XTKIT-Non-Contact-Detector/dp/B0BNLRMNF2/ref=sr_1_3?keywords=Klein+Tools+ET45VP+AC%2FDC+Voltage+and+GFCI+Receptacle+Outlet+Test+Kit&amp;qid=1695174178&amp;sr=8-3")</f>
        <v>https://www.amazon.com/Klein-Tools-NCVT1XTKIT-Non-Contact-Detector/dp/B0BNLRMNF2/ref=sr_1_3?keywords=Klein+Tools+ET45VP+AC%2FDC+Voltage+and+GFCI+Receptacle+Outlet+Test+Kit&amp;qid=1695174178&amp;sr=8-3</v>
      </c>
      <c r="F5722" t="s">
        <v>5284</v>
      </c>
      <c r="G5722" t="e">
        <f ca="1">_xludf.IMAGE("https://edmondsonsupply.com/cdn/shop/products/et45vp.jpg?v=1660755922")</f>
        <v>#NAME?</v>
      </c>
      <c r="H5722" t="e">
        <f ca="1">_xludf.IMAGE("https://m.media-amazon.com/images/I/51enmFcuhEL._AC_UL320_.jpg")</f>
        <v>#NAME?</v>
      </c>
      <c r="I5722" t="s">
        <v>2586</v>
      </c>
      <c r="J5722">
        <v>19.88</v>
      </c>
      <c r="K5722" s="4">
        <v>0.10630000000000001</v>
      </c>
      <c r="L5722">
        <v>4.7</v>
      </c>
      <c r="M5722">
        <v>4231</v>
      </c>
      <c r="O5722" t="s">
        <v>25</v>
      </c>
      <c r="P5722" t="s">
        <v>6426</v>
      </c>
      <c r="Q5722" t="s">
        <v>6427</v>
      </c>
    </row>
    <row r="5723" spans="1:17" ht="15.5" x14ac:dyDescent="0.35">
      <c r="A5723"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5723"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5723" t="s">
        <v>2430</v>
      </c>
      <c r="D5723" t="s">
        <v>4123</v>
      </c>
      <c r="E5723" s="3" t="str">
        <f>HYPERLINK("https://www.amazon.com/Klein-Tools-670-6-Screwdriver-Rapi-Driv/dp/B000BO9T3Y/ref=sr_1_5?keywords=Klein+Tools+605-6+1%2F4-Inch+Cabinet+Tip+Screwdriver%2C+Heavy+Duty%2C+6-Inch&amp;qid=1695173888&amp;sr=8-5", "https://www.amazon.com/Klein-Tools-670-6-Screwdriver-Rapi-Driv/dp/B000BO9T3Y/ref=sr_1_5?keywords=Klein+Tools+605-6+1%2F4-Inch+Cabinet+Tip+Screwdriver%2C+Heavy+Duty%2C+6-Inch&amp;qid=1695173888&amp;sr=8-5")</f>
        <v>https://www.amazon.com/Klein-Tools-670-6-Screwdriver-Rapi-Driv/dp/B000BO9T3Y/ref=sr_1_5?keywords=Klein+Tools+605-6+1%2F4-Inch+Cabinet+Tip+Screwdriver%2C+Heavy+Duty%2C+6-Inch&amp;qid=1695173888&amp;sr=8-5</v>
      </c>
      <c r="F5723" t="s">
        <v>4124</v>
      </c>
      <c r="G5723" t="e">
        <f ca="1">_xludf.IMAGE("https://edmondsonsupply.com/cdn/shop/products/605-6.jpg?v=1587149759")</f>
        <v>#NAME?</v>
      </c>
      <c r="H5723" t="e">
        <f ca="1">_xludf.IMAGE("https://m.media-amazon.com/images/I/31+1RSUdZ+S._AC_UL320_.jpg")</f>
        <v>#NAME?</v>
      </c>
      <c r="I5723" t="s">
        <v>2433</v>
      </c>
      <c r="J5723">
        <v>10.49</v>
      </c>
      <c r="K5723" s="4">
        <v>0.10539999999999999</v>
      </c>
      <c r="L5723">
        <v>4.8</v>
      </c>
      <c r="M5723">
        <v>1607</v>
      </c>
      <c r="O5723" t="s">
        <v>25</v>
      </c>
      <c r="P5723" t="s">
        <v>2434</v>
      </c>
      <c r="Q5723" t="s">
        <v>2435</v>
      </c>
    </row>
    <row r="5724" spans="1:17" ht="15.5" x14ac:dyDescent="0.35">
      <c r="A5724" s="3" t="str">
        <f>HYPERLINK("https://edmondsonsupply.com/collections/electricians-tools/products/diablo-tools-d0724x-7-1-4-in-x-24-tooth-framing-saw-blade", "https://edmondsonsupply.com/collections/electricians-tools/products/diablo-tools-d0724x-7-1-4-in-x-24-tooth-framing-saw-blade")</f>
        <v>https://edmondsonsupply.com/collections/electricians-tools/products/diablo-tools-d0724x-7-1-4-in-x-24-tooth-framing-saw-blade</v>
      </c>
      <c r="B5724" s="3" t="str">
        <f>HYPERLINK("https://edmondsonsupply.com/products/diablo-tools-d0724x-7-1-4-in-x-24-tooth-framing-saw-blade", "https://edmondsonsupply.com/products/diablo-tools-d0724x-7-1-4-in-x-24-tooth-framing-saw-blade")</f>
        <v>https://edmondsonsupply.com/products/diablo-tools-d0724x-7-1-4-in-x-24-tooth-framing-saw-blade</v>
      </c>
      <c r="C5724" t="s">
        <v>6271</v>
      </c>
      <c r="D5724" t="s">
        <v>7605</v>
      </c>
      <c r="E5724" s="3" t="str">
        <f>HYPERLINK("https://www.amazon.com/D0724X-Diablo-Carbide-Framing-Knockout/dp/B00006407Q/ref=sr_1_1?keywords=Diablo+Tools+D0724X+7-1%2F4+in.+x+24+Tooth+Framing+Saw+Blade&amp;qid=1695174060&amp;sr=8-1", "https://www.amazon.com/D0724X-Diablo-Carbide-Framing-Knockout/dp/B00006407Q/ref=sr_1_1?keywords=Diablo+Tools+D0724X+7-1%2F4+in.+x+24+Tooth+Framing+Saw+Blade&amp;qid=1695174060&amp;sr=8-1")</f>
        <v>https://www.amazon.com/D0724X-Diablo-Carbide-Framing-Knockout/dp/B00006407Q/ref=sr_1_1?keywords=Diablo+Tools+D0724X+7-1%2F4+in.+x+24+Tooth+Framing+Saw+Blade&amp;qid=1695174060&amp;sr=8-1</v>
      </c>
      <c r="F5724" t="s">
        <v>7606</v>
      </c>
      <c r="G5724" t="e">
        <f ca="1">_xludf.IMAGE("https://edmondsonsupply.com/cdn/shop/products/D0724A_Main-Image20200218_ba34939c-8546-489a-9616-b05338ff91cc.png?v=1678971696")</f>
        <v>#NAME?</v>
      </c>
      <c r="H5724" t="e">
        <f ca="1">_xludf.IMAGE("https://m.media-amazon.com/images/I/817MeNjLv8L._AC_UL320_.jpg")</f>
        <v>#NAME?</v>
      </c>
      <c r="I5724" t="s">
        <v>1427</v>
      </c>
      <c r="J5724">
        <v>11</v>
      </c>
      <c r="K5724" s="4">
        <v>0.1033</v>
      </c>
      <c r="L5724">
        <v>4.8</v>
      </c>
      <c r="M5724">
        <v>1306</v>
      </c>
      <c r="O5724" t="s">
        <v>25</v>
      </c>
      <c r="P5724" t="s">
        <v>6274</v>
      </c>
      <c r="Q5724" t="s">
        <v>6275</v>
      </c>
    </row>
    <row r="5725" spans="1:17" ht="15.5" x14ac:dyDescent="0.35">
      <c r="A5725"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5725" s="3" t="str">
        <f>HYPERLINK("https://edmondsonsupply.com/products/fluke-c60-soft-carrying-case", "https://edmondsonsupply.com/products/fluke-c60-soft-carrying-case")</f>
        <v>https://edmondsonsupply.com/products/fluke-c60-soft-carrying-case</v>
      </c>
      <c r="C5725" t="s">
        <v>265</v>
      </c>
      <c r="D5725" t="s">
        <v>503</v>
      </c>
      <c r="E5725" s="3" t="str">
        <f>HYPERLINK("https://www.amazon.com/Fluke-C150-Zippered-Carrying-T5-1000/dp/B01C3ECK5S/ref=sr_1_7?keywords=Fluke+C60+Soft+Carrying+Case&amp;qid=1695174290&amp;sr=8-7", "https://www.amazon.com/Fluke-C150-Zippered-Carrying-T5-1000/dp/B01C3ECK5S/ref=sr_1_7?keywords=Fluke+C60+Soft+Carrying+Case&amp;qid=1695174290&amp;sr=8-7")</f>
        <v>https://www.amazon.com/Fluke-C150-Zippered-Carrying-T5-1000/dp/B01C3ECK5S/ref=sr_1_7?keywords=Fluke+C60+Soft+Carrying+Case&amp;qid=1695174290&amp;sr=8-7</v>
      </c>
      <c r="F5725" t="s">
        <v>504</v>
      </c>
      <c r="G5725" t="e">
        <f ca="1">_xludf.IMAGE("https://edmondsonsupply.com/cdn/shop/products/c60.png?v=1633030926")</f>
        <v>#NAME?</v>
      </c>
      <c r="H5725" t="e">
        <f ca="1">_xludf.IMAGE("https://m.media-amazon.com/images/I/61l4A5eTrxL._AC_UL320_.jpg")</f>
        <v>#NAME?</v>
      </c>
      <c r="I5725" t="s">
        <v>268</v>
      </c>
      <c r="J5725">
        <v>54.59</v>
      </c>
      <c r="K5725" s="4">
        <v>0.1031</v>
      </c>
      <c r="L5725">
        <v>4.5999999999999996</v>
      </c>
      <c r="M5725">
        <v>300</v>
      </c>
      <c r="O5725" t="s">
        <v>25</v>
      </c>
      <c r="P5725" t="s">
        <v>269</v>
      </c>
      <c r="Q5725" t="s">
        <v>270</v>
      </c>
    </row>
    <row r="5726" spans="1:17" ht="15.5" x14ac:dyDescent="0.35">
      <c r="A5726"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5726" s="3" t="str">
        <f>HYPERLINK("https://edmondsonsupply.com/products/milwaukee-2953-22-m18-fuel%e2%84%a2-1-4-hex-impact-driver-kit", "https://edmondsonsupply.com/products/milwaukee-2953-22-m18-fuel%e2%84%a2-1-4-hex-impact-driver-kit")</f>
        <v>https://edmondsonsupply.com/products/milwaukee-2953-22-m18-fuel%e2%84%a2-1-4-hex-impact-driver-kit</v>
      </c>
      <c r="C5726" t="s">
        <v>7565</v>
      </c>
      <c r="D5726" t="s">
        <v>7607</v>
      </c>
      <c r="E5726" s="3" t="str">
        <f>HYPERLINK("https://www.amazon.com/Milwaukee-MLW285322-Fuel-Impact-Driver/dp/B07CZSSFR5/ref=sr_1_2?keywords=Milwaukee+2953-22+M18+FUEL%E2%84%A2+1%2F4%22+Hex+Impact+Driver+Kit&amp;qid=1695174155&amp;sr=8-2", "https://www.amazon.com/Milwaukee-MLW285322-Fuel-Impact-Driver/dp/B07CZSSFR5/ref=sr_1_2?keywords=Milwaukee+2953-22+M18+FUEL%E2%84%A2+1%2F4%22+Hex+Impact+Driver+Kit&amp;qid=1695174155&amp;sr=8-2")</f>
        <v>https://www.amazon.com/Milwaukee-MLW285322-Fuel-Impact-Driver/dp/B07CZSSFR5/ref=sr_1_2?keywords=Milwaukee+2953-22+M18+FUEL%E2%84%A2+1%2F4%22+Hex+Impact+Driver+Kit&amp;qid=1695174155&amp;sr=8-2</v>
      </c>
      <c r="F5726" t="s">
        <v>7608</v>
      </c>
      <c r="G5726" t="e">
        <f ca="1">_xludf.IMAGE("https://edmondsonsupply.com/cdn/shop/products/29532022ImageReel2.webp?v=1663599746")</f>
        <v>#NAME?</v>
      </c>
      <c r="H5726" t="e">
        <f ca="1">_xludf.IMAGE("https://m.media-amazon.com/images/I/71wTNkovMkL._AC_UL320_.jpg")</f>
        <v>#NAME?</v>
      </c>
      <c r="I5726" t="s">
        <v>5012</v>
      </c>
      <c r="J5726">
        <v>329</v>
      </c>
      <c r="K5726" s="4">
        <v>0.1003</v>
      </c>
      <c r="L5726">
        <v>4.7</v>
      </c>
      <c r="M5726">
        <v>255</v>
      </c>
      <c r="O5726" t="s">
        <v>25</v>
      </c>
      <c r="P5726" t="s">
        <v>7566</v>
      </c>
      <c r="Q5726" t="s">
        <v>7567</v>
      </c>
    </row>
    <row r="5727" spans="1:17" ht="15.5" x14ac:dyDescent="0.35">
      <c r="A5727" s="3" t="str">
        <f>HYPERLINK("https://edmondsonsupply.com/collections/electricians-tools/products/channellock-431", "https://edmondsonsupply.com/collections/electricians-tools/products/channellock-431")</f>
        <v>https://edmondsonsupply.com/collections/electricians-tools/products/channellock-431</v>
      </c>
      <c r="B5727" s="3" t="str">
        <f>HYPERLINK("https://edmondsonsupply.com/products/channellock-431", "https://edmondsonsupply.com/products/channellock-431")</f>
        <v>https://edmondsonsupply.com/products/channellock-431</v>
      </c>
      <c r="C5727" t="s">
        <v>3341</v>
      </c>
      <c r="D5727" t="s">
        <v>3573</v>
      </c>
      <c r="E5727" s="3" t="str">
        <f>HYPERLINK("https://www.amazon.com/Channellock-440-12-Inch-Tongue-Groove/dp/B00004SBCU/ref=sr_1_7?keywords=Channellock+432+10-Inch+V-Jaw+Tongue&amp;qid=1695173959&amp;sr=8-7", "https://www.amazon.com/Channellock-440-12-Inch-Tongue-Groove/dp/B00004SBCU/ref=sr_1_7?keywords=Channellock+432+10-Inch+V-Jaw+Tongue&amp;qid=1695173959&amp;sr=8-7")</f>
        <v>https://www.amazon.com/Channellock-440-12-Inch-Tongue-Groove/dp/B00004SBCU/ref=sr_1_7?keywords=Channellock+432+10-Inch+V-Jaw+Tongue&amp;qid=1695173959&amp;sr=8-7</v>
      </c>
      <c r="F5727" t="s">
        <v>3574</v>
      </c>
      <c r="G5727" t="e">
        <f ca="1">_xludf.IMAGE("https://edmondsonsupply.com/cdn/shop/products/432-683x1024.jpg?v=1587147134")</f>
        <v>#NAME?</v>
      </c>
      <c r="H5727" t="e">
        <f ca="1">_xludf.IMAGE("https://m.media-amazon.com/images/I/71FM1bkavsL._AC_UL320_.jpg")</f>
        <v>#NAME?</v>
      </c>
      <c r="I5727" t="s">
        <v>488</v>
      </c>
      <c r="J5727">
        <v>21.95</v>
      </c>
      <c r="K5727" s="4">
        <v>0.1003</v>
      </c>
      <c r="L5727">
        <v>4.8</v>
      </c>
      <c r="M5727">
        <v>3565</v>
      </c>
      <c r="O5727" t="s">
        <v>25</v>
      </c>
      <c r="P5727" t="s">
        <v>3344</v>
      </c>
      <c r="Q5727" t="s">
        <v>3345</v>
      </c>
    </row>
    <row r="5728" spans="1:17" ht="15.5" x14ac:dyDescent="0.35">
      <c r="A5728" s="3" t="str">
        <f>HYPERLINK("https://edmondsonsupply.com/collections/electricians-tools/products/klein-tools-44131-folding-utility-knife", "https://edmondsonsupply.com/collections/electricians-tools/products/klein-tools-44131-folding-utility-knife")</f>
        <v>https://edmondsonsupply.com/collections/electricians-tools/products/klein-tools-44131-folding-utility-knife</v>
      </c>
      <c r="B5728" s="3" t="str">
        <f>HYPERLINK("https://edmondsonsupply.com/products/klein-tools-44131-folding-utility-knife", "https://edmondsonsupply.com/products/klein-tools-44131-folding-utility-knife")</f>
        <v>https://edmondsonsupply.com/products/klein-tools-44131-folding-utility-knife</v>
      </c>
      <c r="C5728" t="s">
        <v>4138</v>
      </c>
      <c r="D5728" t="s">
        <v>4139</v>
      </c>
      <c r="E5728" s="3" t="str">
        <f>HYPERLINK("https://www.amazon.com/Replaceable-Mechanism-Klein-Tools-44218/dp/B071YR1Q2L/ref=sr_1_3?keywords=Klein+Tools+44131+Folding+Utility+Knife&amp;qid=1695173893&amp;sr=8-3", "https://www.amazon.com/Replaceable-Mechanism-Klein-Tools-44218/dp/B071YR1Q2L/ref=sr_1_3?keywords=Klein+Tools+44131+Folding+Utility+Knife&amp;qid=1695173893&amp;sr=8-3")</f>
        <v>https://www.amazon.com/Replaceable-Mechanism-Klein-Tools-44218/dp/B071YR1Q2L/ref=sr_1_3?keywords=Klein+Tools+44131+Folding+Utility+Knife&amp;qid=1695173893&amp;sr=8-3</v>
      </c>
      <c r="F5728" t="s">
        <v>4140</v>
      </c>
      <c r="G5728" t="e">
        <f ca="1">_xludf.IMAGE("https://edmondsonsupply.com/cdn/shop/files/44131.jpg?v=1685458449")</f>
        <v>#NAME?</v>
      </c>
      <c r="H5728" t="e">
        <f ca="1">_xludf.IMAGE("https://m.media-amazon.com/images/I/41ToQfPYPnL._AC_UL320_.jpg")</f>
        <v>#NAME?</v>
      </c>
      <c r="I5728" t="s">
        <v>893</v>
      </c>
      <c r="J5728">
        <v>21.97</v>
      </c>
      <c r="K5728" s="4">
        <v>0.1002</v>
      </c>
      <c r="L5728">
        <v>4.8</v>
      </c>
      <c r="M5728">
        <v>3348</v>
      </c>
      <c r="O5728" t="s">
        <v>25</v>
      </c>
      <c r="P5728" t="s">
        <v>4141</v>
      </c>
      <c r="Q5728" t="s">
        <v>4142</v>
      </c>
    </row>
    <row r="5729" spans="1:17" ht="15.5" x14ac:dyDescent="0.35">
      <c r="A5729" s="3" t="str">
        <f>HYPERLINK("https://edmondsonsupply.com/collections/electricians-tools/products/klein-tools-13156-screwdriver-blades-insulated-single-end-2-pack", "https://edmondsonsupply.com/collections/electricians-tools/products/klein-tools-13156-screwdriver-blades-insulated-single-end-2-pack")</f>
        <v>https://edmondsonsupply.com/collections/electricians-tools/products/klein-tools-13156-screwdriver-blades-insulated-single-end-2-pack</v>
      </c>
      <c r="B5729" s="3" t="str">
        <f>HYPERLINK("https://edmondsonsupply.com/products/klein-tools-13156-screwdriver-blades-insulated-single-end-2-pack", "https://edmondsonsupply.com/products/klein-tools-13156-screwdriver-blades-insulated-single-end-2-pack")</f>
        <v>https://edmondsonsupply.com/products/klein-tools-13156-screwdriver-blades-insulated-single-end-2-pack</v>
      </c>
      <c r="C5729" t="s">
        <v>7281</v>
      </c>
      <c r="D5729" t="s">
        <v>7609</v>
      </c>
      <c r="E5729" s="3" t="str">
        <f>HYPERLINK("https://www.amazon.com/Klein-Tools-13156-Interchangeable-Screwdrivers/dp/B07XJZ4CJN/ref=sr_1_1?keywords=Klein+Tools+13156+Screwdriver+Blades%2C+Insulated+Single-End%2C+2-Pack&amp;qid=1695173950&amp;sr=8-1", "https://www.amazon.com/Klein-Tools-13156-Interchangeable-Screwdrivers/dp/B07XJZ4CJN/ref=sr_1_1?keywords=Klein+Tools+13156+Screwdriver+Blades%2C+Insulated+Single-End%2C+2-Pack&amp;qid=1695173950&amp;sr=8-1")</f>
        <v>https://www.amazon.com/Klein-Tools-13156-Interchangeable-Screwdrivers/dp/B07XJZ4CJN/ref=sr_1_1?keywords=Klein+Tools+13156+Screwdriver+Blades%2C+Insulated+Single-End%2C+2-Pack&amp;qid=1695173950&amp;sr=8-1</v>
      </c>
      <c r="F5729" t="s">
        <v>7610</v>
      </c>
      <c r="G5729" t="e">
        <f ca="1">_xludf.IMAGE("https://edmondsonsupply.com/cdn/shop/products/13156.jpg?v=1587146923")</f>
        <v>#NAME?</v>
      </c>
      <c r="H5729" t="e">
        <f ca="1">_xludf.IMAGE("https://m.media-amazon.com/images/I/41bES4KYVYL._AC_UL320_.jpg")</f>
        <v>#NAME?</v>
      </c>
      <c r="I5729" t="s">
        <v>276</v>
      </c>
      <c r="J5729">
        <v>16.489999999999998</v>
      </c>
      <c r="K5729" s="4">
        <v>0.10009999999999999</v>
      </c>
      <c r="L5729">
        <v>4.7</v>
      </c>
      <c r="M5729">
        <v>105</v>
      </c>
      <c r="O5729" t="s">
        <v>25</v>
      </c>
      <c r="P5729" t="s">
        <v>7284</v>
      </c>
      <c r="Q5729" t="s">
        <v>7285</v>
      </c>
    </row>
    <row r="5730" spans="1:17" ht="15.5" x14ac:dyDescent="0.35">
      <c r="A5730" s="3" t="str">
        <f>HYPERLINK("https://edmondsonsupply.com/collections/electricians-tools/products/klein-tools-935r-aluminum-torpedo-level-rare-earth-magnet", "https://edmondsonsupply.com/collections/electricians-tools/products/klein-tools-935r-aluminum-torpedo-level-rare-earth-magnet")</f>
        <v>https://edmondsonsupply.com/collections/electricians-tools/products/klein-tools-935r-aluminum-torpedo-level-rare-earth-magnet</v>
      </c>
      <c r="B5730" s="3" t="str">
        <f>HYPERLINK("https://edmondsonsupply.com/products/klein-tools-935r-aluminum-torpedo-level-rare-earth-magnet", "https://edmondsonsupply.com/products/klein-tools-935r-aluminum-torpedo-level-rare-earth-magnet")</f>
        <v>https://edmondsonsupply.com/products/klein-tools-935r-aluminum-torpedo-level-rare-earth-magnet</v>
      </c>
      <c r="C5730" t="s">
        <v>3123</v>
      </c>
      <c r="D5730" t="s">
        <v>4143</v>
      </c>
      <c r="E5730" s="3" t="str">
        <f>HYPERLINK("https://www.amazon.com/Magnetic-Aluminum-Klein-Tools-935R/dp/B01M7SWA5B/ref=sr_1_1?keywords=Klein+Tools+935R+Aluminum+Torpedo+Level+Rare+Earth+Magnet%2C+9-Inch&amp;qid=1695173905&amp;sr=8-1", "https://www.amazon.com/Magnetic-Aluminum-Klein-Tools-935R/dp/B01M7SWA5B/ref=sr_1_1?keywords=Klein+Tools+935R+Aluminum+Torpedo+Level+Rare+Earth+Magnet%2C+9-Inch&amp;qid=1695173905&amp;sr=8-1")</f>
        <v>https://www.amazon.com/Magnetic-Aluminum-Klein-Tools-935R/dp/B01M7SWA5B/ref=sr_1_1?keywords=Klein+Tools+935R+Aluminum+Torpedo+Level+Rare+Earth+Magnet%2C+9-Inch&amp;qid=1695173905&amp;sr=8-1</v>
      </c>
      <c r="F5730" t="s">
        <v>4144</v>
      </c>
      <c r="G5730" t="e">
        <f ca="1">_xludf.IMAGE("https://edmondsonsupply.com/cdn/shop/products/935r_b.jpg?v=1658103129")</f>
        <v>#NAME?</v>
      </c>
      <c r="H5730" t="e">
        <f ca="1">_xludf.IMAGE("https://m.media-amazon.com/images/I/51BvZgLyLHL._AC_UL320_.jpg")</f>
        <v>#NAME?</v>
      </c>
      <c r="I5730" t="s">
        <v>577</v>
      </c>
      <c r="J5730">
        <v>21.99</v>
      </c>
      <c r="K5730" s="4">
        <v>0.10009999999999999</v>
      </c>
      <c r="L5730">
        <v>4.5</v>
      </c>
      <c r="M5730">
        <v>766</v>
      </c>
      <c r="O5730" t="s">
        <v>25</v>
      </c>
      <c r="P5730" t="s">
        <v>466</v>
      </c>
      <c r="Q5730" t="s">
        <v>3126</v>
      </c>
    </row>
    <row r="5731" spans="1:17" ht="15.5" x14ac:dyDescent="0.35">
      <c r="A5731" s="3" t="str">
        <f>HYPERLINK("https://edmondsonsupply.com/collections/electricians-tools/products/john-boy-grass-face-guard", "https://edmondsonsupply.com/collections/electricians-tools/products/john-boy-grass-face-guard")</f>
        <v>https://edmondsonsupply.com/collections/electricians-tools/products/john-boy-grass-face-guard</v>
      </c>
      <c r="B5731" s="3" t="str">
        <f>HYPERLINK("https://edmondsonsupply.com/products/john-boy-grass-face-guard", "https://edmondsonsupply.com/products/john-boy-grass-face-guard")</f>
        <v>https://edmondsonsupply.com/products/john-boy-grass-face-guard</v>
      </c>
      <c r="C5731" t="s">
        <v>1065</v>
      </c>
      <c r="D5731" t="s">
        <v>1062</v>
      </c>
      <c r="E5731" s="3" t="str">
        <f>HYPERLINK("https://www.amazon.com/JOHN-BOY-Hunting-Face-Guard/dp/B0843N839C/ref=sr_1_1?keywords=John+Boy+GRASS+Face+Guard&amp;qid=1695174296&amp;sr=8-1", "https://www.amazon.com/JOHN-BOY-Hunting-Face-Guard/dp/B0843N839C/ref=sr_1_1?keywords=John+Boy+GRASS+Face+Guard&amp;qid=1695174296&amp;sr=8-1")</f>
        <v>https://www.amazon.com/JOHN-BOY-Hunting-Face-Guard/dp/B0843N839C/ref=sr_1_1?keywords=John+Boy+GRASS+Face+Guard&amp;qid=1695174296&amp;sr=8-1</v>
      </c>
      <c r="F5731" t="s">
        <v>1063</v>
      </c>
      <c r="G5731" t="e">
        <f ca="1">_xludf.IMAGE("https://edmondsonsupply.com/cdn/shop/products/grassMUcopy_900x_3dbec2e2-1ea2-46e7-b806-f05c0b3108b5.jpg?v=1633030897")</f>
        <v>#NAME?</v>
      </c>
      <c r="H5731" t="e">
        <f ca="1">_xludf.IMAGE("https://m.media-amazon.com/images/I/71WilqyMaZL._AC_UL320_.jpg")</f>
        <v>#NAME?</v>
      </c>
      <c r="I5731" t="s">
        <v>1039</v>
      </c>
      <c r="J5731">
        <v>11</v>
      </c>
      <c r="K5731" s="4">
        <v>0.1</v>
      </c>
      <c r="L5731">
        <v>4</v>
      </c>
      <c r="M5731">
        <v>8</v>
      </c>
      <c r="O5731" t="s">
        <v>25</v>
      </c>
      <c r="P5731" t="s">
        <v>138</v>
      </c>
      <c r="Q5731" t="s">
        <v>1066</v>
      </c>
    </row>
    <row r="5732" spans="1:17" ht="15.5" x14ac:dyDescent="0.35">
      <c r="A5732" s="3" t="str">
        <f>HYPERLINK("https://edmondsonsupply.com/collections/electricians-tools/products/john-boy-grass-face-guard", "https://edmondsonsupply.com/collections/electricians-tools/products/john-boy-grass-face-guard")</f>
        <v>https://edmondsonsupply.com/collections/electricians-tools/products/john-boy-grass-face-guard</v>
      </c>
      <c r="B5732" s="3" t="str">
        <f>HYPERLINK("https://edmondsonsupply.com/products/john-boy-grass-face-guard", "https://edmondsonsupply.com/products/john-boy-grass-face-guard")</f>
        <v>https://edmondsonsupply.com/products/john-boy-grass-face-guard</v>
      </c>
      <c r="C5732" t="s">
        <v>1065</v>
      </c>
      <c r="D5732" t="s">
        <v>1037</v>
      </c>
      <c r="E5732" s="3" t="str">
        <f>HYPERLINK("https://www.amazon.com/JOHN-Fishing-Face-Guard-Multi-Weather/dp/B0842ZW5XH/ref=sr_1_7?keywords=John+Boy+GRASS+Face+Guard&amp;qid=1695174296&amp;sr=8-7", "https://www.amazon.com/JOHN-Fishing-Face-Guard-Multi-Weather/dp/B0842ZW5XH/ref=sr_1_7?keywords=John+Boy+GRASS+Face+Guard&amp;qid=1695174296&amp;sr=8-7")</f>
        <v>https://www.amazon.com/JOHN-Fishing-Face-Guard-Multi-Weather/dp/B0842ZW5XH/ref=sr_1_7?keywords=John+Boy+GRASS+Face+Guard&amp;qid=1695174296&amp;sr=8-7</v>
      </c>
      <c r="F5732" t="s">
        <v>1059</v>
      </c>
      <c r="G5732" t="e">
        <f ca="1">_xludf.IMAGE("https://edmondsonsupply.com/cdn/shop/products/grassMUcopy_900x_3dbec2e2-1ea2-46e7-b806-f05c0b3108b5.jpg?v=1633030897")</f>
        <v>#NAME?</v>
      </c>
      <c r="H5732" t="e">
        <f ca="1">_xludf.IMAGE("https://m.media-amazon.com/images/I/71yhaPSba3L._AC_UL320_.jpg")</f>
        <v>#NAME?</v>
      </c>
      <c r="I5732" t="s">
        <v>1039</v>
      </c>
      <c r="J5732">
        <v>11</v>
      </c>
      <c r="K5732" s="4">
        <v>0.1</v>
      </c>
      <c r="L5732">
        <v>4</v>
      </c>
      <c r="M5732">
        <v>13</v>
      </c>
      <c r="O5732" t="s">
        <v>25</v>
      </c>
      <c r="P5732" t="s">
        <v>138</v>
      </c>
      <c r="Q5732" t="s">
        <v>1066</v>
      </c>
    </row>
    <row r="5733" spans="1:17" ht="15.5" x14ac:dyDescent="0.35">
      <c r="A5733" s="3" t="str">
        <f>HYPERLINK("https://edmondsonsupply.com/collections/electricians-tools/products/klein-tools-93pll-rechargeable-self-leveling-green-planar-laser-level", "https://edmondsonsupply.com/collections/electricians-tools/products/klein-tools-93pll-rechargeable-self-leveling-green-planar-laser-level")</f>
        <v>https://edmondsonsupply.com/collections/electricians-tools/products/klein-tools-93pll-rechargeable-self-leveling-green-planar-laser-level</v>
      </c>
      <c r="B5733" s="3" t="str">
        <f>HYPERLINK("https://edmondsonsupply.com/products/klein-tools-93pll-rechargeable-self-leveling-green-planar-laser-level", "https://edmondsonsupply.com/products/klein-tools-93pll-rechargeable-self-leveling-green-planar-laser-level")</f>
        <v>https://edmondsonsupply.com/products/klein-tools-93pll-rechargeable-self-leveling-green-planar-laser-level</v>
      </c>
      <c r="C5733" t="s">
        <v>7611</v>
      </c>
      <c r="D5733" t="s">
        <v>7612</v>
      </c>
      <c r="E5733" s="3" t="str">
        <f>HYPERLINK("https://www.amazon.com/Klein-Tools-Self-Leveling-510-530nm-Electronic/dp/B0BC86ZZ6Q/ref=sr_1_1?keywords=Klein+Tools+93PLL+Rechargeable+Self-Leveling+Green+Planar+Laser+Level&amp;qid=1695174147&amp;sr=8-1", "https://www.amazon.com/Klein-Tools-Self-Leveling-510-530nm-Electronic/dp/B0BC86ZZ6Q/ref=sr_1_1?keywords=Klein+Tools+93PLL+Rechargeable+Self-Leveling+Green+Planar+Laser+Level&amp;qid=1695174147&amp;sr=8-1")</f>
        <v>https://www.amazon.com/Klein-Tools-Self-Leveling-510-530nm-Electronic/dp/B0BC86ZZ6Q/ref=sr_1_1?keywords=Klein+Tools+93PLL+Rechargeable+Self-Leveling+Green+Planar+Laser+Level&amp;qid=1695174147&amp;sr=8-1</v>
      </c>
      <c r="F5733" t="s">
        <v>7613</v>
      </c>
      <c r="G5733" t="e">
        <f ca="1">_xludf.IMAGE("https://edmondsonsupply.com/cdn/shop/products/93pll_app8.jpg?v=1664476137")</f>
        <v>#NAME?</v>
      </c>
      <c r="H5733" t="e">
        <f ca="1">_xludf.IMAGE("https://m.media-amazon.com/images/I/5142-tLPqXL._AC_UL320_.jpg")</f>
        <v>#NAME?</v>
      </c>
      <c r="I5733" t="s">
        <v>533</v>
      </c>
      <c r="J5733">
        <v>329.96</v>
      </c>
      <c r="K5733" s="4">
        <v>9.9900000000000003E-2</v>
      </c>
      <c r="L5733">
        <v>5</v>
      </c>
      <c r="M5733">
        <v>2</v>
      </c>
      <c r="O5733" t="s">
        <v>25</v>
      </c>
      <c r="P5733" t="s">
        <v>7614</v>
      </c>
      <c r="Q5733" t="s">
        <v>7615</v>
      </c>
    </row>
    <row r="5734" spans="1:17" ht="15.5" x14ac:dyDescent="0.35">
      <c r="A5734" s="3" t="str">
        <f>HYPERLINK("https://edmondsonsupply.com/collections/electricians-tools/products/wiha-tools-76889-32-piece-gobox-terminatorblue-impact-bit-set-with-mini-ratchet", "https://edmondsonsupply.com/collections/electricians-tools/products/wiha-tools-76889-32-piece-gobox-terminatorblue-impact-bit-set-with-mini-ratchet")</f>
        <v>https://edmondsonsupply.com/collections/electricians-tools/products/wiha-tools-76889-32-piece-gobox-terminatorblue-impact-bit-set-with-mini-ratchet</v>
      </c>
      <c r="B5734" s="3" t="str">
        <f>HYPERLINK("https://edmondsonsupply.com/products/wiha-tools-76889-32-piece-gobox-terminatorblue-impact-bit-set-with-mini-ratchet", "https://edmondsonsupply.com/products/wiha-tools-76889-32-piece-gobox-terminatorblue-impact-bit-set-with-mini-ratchet")</f>
        <v>https://edmondsonsupply.com/products/wiha-tools-76889-32-piece-gobox-terminatorblue-impact-bit-set-with-mini-ratchet</v>
      </c>
      <c r="C5734" t="s">
        <v>4145</v>
      </c>
      <c r="D5734" t="s">
        <v>4146</v>
      </c>
      <c r="E5734" s="3" t="str">
        <f>HYPERLINK("https://www.amazon.com/Wiha-Impact-Ratchet-Compact-Storage/dp/B07MVNQ2KZ/ref=sr_1_1?keywords=Wiha+Tools+76889+32+Piece+GoBox+TerminatorBlue+Impact+Bit+Set+with+Mini+Ratchet&amp;qid=1695173979&amp;sr=8-1", "https://www.amazon.com/Wiha-Impact-Ratchet-Compact-Storage/dp/B07MVNQ2KZ/ref=sr_1_1?keywords=Wiha+Tools+76889+32+Piece+GoBox+TerminatorBlue+Impact+Bit+Set+with+Mini+Ratchet&amp;qid=1695173979&amp;sr=8-1")</f>
        <v>https://www.amazon.com/Wiha-Impact-Ratchet-Compact-Storage/dp/B07MVNQ2KZ/ref=sr_1_1?keywords=Wiha+Tools+76889+32+Piece+GoBox+TerminatorBlue+Impact+Bit+Set+with+Mini+Ratchet&amp;qid=1695173979&amp;sr=8-1</v>
      </c>
      <c r="F5734" t="s">
        <v>4147</v>
      </c>
      <c r="G5734" t="e">
        <f ca="1">_xludf.IMAGE("https://edmondsonsupply.com/cdn/shop/files/hfx5og2ykdq224nkquvr_1000x_fdfee816-5508-46f3-892d-f4d0e2f2859c.webp?v=1690908048")</f>
        <v>#NAME?</v>
      </c>
      <c r="H5734" t="e">
        <f ca="1">_xludf.IMAGE("https://m.media-amazon.com/images/I/71x8KBiz5-L._AC_UL320_.jpg")</f>
        <v>#NAME?</v>
      </c>
      <c r="I5734" t="s">
        <v>26</v>
      </c>
      <c r="J5734">
        <v>32.979999999999997</v>
      </c>
      <c r="K5734" s="4">
        <v>9.9699999999999997E-2</v>
      </c>
      <c r="L5734">
        <v>4.8</v>
      </c>
      <c r="M5734">
        <v>345</v>
      </c>
      <c r="O5734" t="s">
        <v>25</v>
      </c>
      <c r="P5734" t="s">
        <v>4148</v>
      </c>
      <c r="Q5734" t="s">
        <v>4149</v>
      </c>
    </row>
    <row r="5735" spans="1:17" ht="15.5" x14ac:dyDescent="0.35">
      <c r="A5735"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5735" s="3" t="str">
        <f>HYPERLINK("https://edmondsonsupply.com/products/diablo-tools-dag1130-1-in-x-7-1-2-in-auger-bit", "https://edmondsonsupply.com/products/diablo-tools-dag1130-1-in-x-7-1-2-in-auger-bit")</f>
        <v>https://edmondsonsupply.com/products/diablo-tools-dag1130-1-in-x-7-1-2-in-auger-bit</v>
      </c>
      <c r="C5735" t="s">
        <v>3530</v>
      </c>
      <c r="D5735" t="s">
        <v>3903</v>
      </c>
      <c r="E5735" s="3" t="str">
        <f>HYPERLINK("https://www.amazon.com/Diablo-Freud-DAG1110-7-1-Auger/dp/B089KWR9F4/ref=sr_1_9?keywords=Diablo+Tools+DAG1130+1+in.+x+7-1%2F2+in.+Auger+Bit&amp;qid=1695173913&amp;sr=8-9", "https://www.amazon.com/Diablo-Freud-DAG1110-7-1-Auger/dp/B089KWR9F4/ref=sr_1_9?keywords=Diablo+Tools+DAG1130+1+in.+x+7-1%2F2+in.+Auger+Bit&amp;qid=1695173913&amp;sr=8-9")</f>
        <v>https://www.amazon.com/Diablo-Freud-DAG1110-7-1-Auger/dp/B089KWR9F4/ref=sr_1_9?keywords=Diablo+Tools+DAG1130+1+in.+x+7-1%2F2+in.+Auger+Bit&amp;qid=1695173913&amp;sr=8-9</v>
      </c>
      <c r="F5735" t="s">
        <v>3904</v>
      </c>
      <c r="G5735" t="e">
        <f ca="1">_xludf.IMAGE("https://edmondsonsupply.com/cdn/shop/products/DAG1130_Main-Image20200712.png?v=1633031124")</f>
        <v>#NAME?</v>
      </c>
      <c r="H5735" t="e">
        <f ca="1">_xludf.IMAGE("https://m.media-amazon.com/images/I/61FgY3Jv5eL._AC_UL320_.jpg")</f>
        <v>#NAME?</v>
      </c>
      <c r="I5735" t="s">
        <v>3533</v>
      </c>
      <c r="J5735">
        <v>17.989999999999998</v>
      </c>
      <c r="K5735" s="4">
        <v>9.9000000000000005E-2</v>
      </c>
      <c r="L5735">
        <v>4.8</v>
      </c>
      <c r="M5735">
        <v>48</v>
      </c>
      <c r="O5735" t="s">
        <v>25</v>
      </c>
      <c r="P5735" t="s">
        <v>3534</v>
      </c>
      <c r="Q5735" t="s">
        <v>3535</v>
      </c>
    </row>
    <row r="5736" spans="1:17" ht="15.5" x14ac:dyDescent="0.35">
      <c r="A5736" s="3" t="str">
        <f>HYPERLINK("https://edmondsonsupply.com/collections/electricians-tools/products/milwaukee-48-03-3010-carbide-bit-spline-to-sds-max-adapter", "https://edmondsonsupply.com/collections/electricians-tools/products/milwaukee-48-03-3010-carbide-bit-spline-to-sds-max-adapter")</f>
        <v>https://edmondsonsupply.com/collections/electricians-tools/products/milwaukee-48-03-3010-carbide-bit-spline-to-sds-max-adapter</v>
      </c>
      <c r="B5736" s="3" t="str">
        <f>HYPERLINK("https://edmondsonsupply.com/products/milwaukee-48-03-3010-carbide-bit-spline-to-sds-max-adapter", "https://edmondsonsupply.com/products/milwaukee-48-03-3010-carbide-bit-spline-to-sds-max-adapter")</f>
        <v>https://edmondsonsupply.com/products/milwaukee-48-03-3010-carbide-bit-spline-to-sds-max-adapter</v>
      </c>
      <c r="C5736" t="s">
        <v>7616</v>
      </c>
      <c r="D5736" t="s">
        <v>6365</v>
      </c>
      <c r="E5736" s="3" t="str">
        <f>HYPERLINK("https://www.amazon.com/Milwaukee-48-03-3012-SDS-Max-Spline-Adapter/dp/B00I3PGEOA/ref=sr_1_1?keywords=Milwaukee+48-03-3010+Spline+to+SDS-MAX+Bit+Adapter&amp;qid=1695174101&amp;sr=8-1", "https://www.amazon.com/Milwaukee-48-03-3012-SDS-Max-Spline-Adapter/dp/B00I3PGEOA/ref=sr_1_1?keywords=Milwaukee+48-03-3010+Spline+to+SDS-MAX+Bit+Adapter&amp;qid=1695174101&amp;sr=8-1")</f>
        <v>https://www.amazon.com/Milwaukee-48-03-3012-SDS-Max-Spline-Adapter/dp/B00I3PGEOA/ref=sr_1_1?keywords=Milwaukee+48-03-3010+Spline+to+SDS-MAX+Bit+Adapter&amp;qid=1695174101&amp;sr=8-1</v>
      </c>
      <c r="F5736" t="s">
        <v>6366</v>
      </c>
      <c r="G5736" t="e">
        <f ca="1">_xludf.IMAGE("https://edmondsonsupply.com/cdn/shop/products/48-03-3010.webp?v=1674075943")</f>
        <v>#NAME?</v>
      </c>
      <c r="H5736" t="e">
        <f ca="1">_xludf.IMAGE("https://m.media-amazon.com/images/I/61QrQEYLIrL._AC_UL320_.jpg")</f>
        <v>#NAME?</v>
      </c>
      <c r="I5736" t="s">
        <v>7617</v>
      </c>
      <c r="J5736">
        <v>166.85</v>
      </c>
      <c r="K5736" s="4">
        <v>9.8500000000000004E-2</v>
      </c>
      <c r="L5736">
        <v>4.5999999999999996</v>
      </c>
      <c r="M5736">
        <v>2</v>
      </c>
      <c r="O5736" t="s">
        <v>25</v>
      </c>
      <c r="P5736" t="s">
        <v>7618</v>
      </c>
      <c r="Q5736" t="s">
        <v>7619</v>
      </c>
    </row>
    <row r="5737" spans="1:17" ht="15.5" x14ac:dyDescent="0.35">
      <c r="A5737" s="3" t="str">
        <f>HYPERLINK("https://edmondsonsupply.com/collections/electricians-tools/products/sensible-products-hrf-1-high-beam-rechargeable-flashlight-black", "https://edmondsonsupply.com/collections/electricians-tools/products/sensible-products-hrf-1-high-beam-rechargeable-flashlight-black")</f>
        <v>https://edmondsonsupply.com/collections/electricians-tools/products/sensible-products-hrf-1-high-beam-rechargeable-flashlight-black</v>
      </c>
      <c r="B5737" s="3" t="str">
        <f>HYPERLINK("https://edmondsonsupply.com/products/sensible-products-hrf-1-high-beam-rechargeable-flashlight-black", "https://edmondsonsupply.com/products/sensible-products-hrf-1-high-beam-rechargeable-flashlight-black")</f>
        <v>https://edmondsonsupply.com/products/sensible-products-hrf-1-high-beam-rechargeable-flashlight-black</v>
      </c>
      <c r="C5737" t="s">
        <v>3285</v>
      </c>
      <c r="D5737" t="s">
        <v>4152</v>
      </c>
      <c r="E5737" s="3" t="str">
        <f>HYPERLINK("https://www.amazon.com/Sold-Each-High-Beam-Rechargeable-Flashlight/dp/B07QV3HVKP/ref=sr_1_2?keywords=Sensible+Products+HRF-1+High-Beam+Rechargeable+Flashlight%2C+Black&amp;qid=1695173847&amp;sr=8-2", "https://www.amazon.com/Sold-Each-High-Beam-Rechargeable-Flashlight/dp/B07QV3HVKP/ref=sr_1_2?keywords=Sensible+Products+HRF-1+High-Beam+Rechargeable+Flashlight%2C+Black&amp;qid=1695173847&amp;sr=8-2")</f>
        <v>https://www.amazon.com/Sold-Each-High-Beam-Rechargeable-Flashlight/dp/B07QV3HVKP/ref=sr_1_2?keywords=Sensible+Products+HRF-1+High-Beam+Rechargeable+Flashlight%2C+Black&amp;qid=1695173847&amp;sr=8-2</v>
      </c>
      <c r="F5737" t="s">
        <v>4153</v>
      </c>
      <c r="G5737" t="e">
        <f ca="1">_xludf.IMAGE("https://edmondsonsupply.com/cdn/shop/products/HRF1BLACK-2.jpg?v=1587144533")</f>
        <v>#NAME?</v>
      </c>
      <c r="H5737" t="e">
        <f ca="1">_xludf.IMAGE("https://m.media-amazon.com/images/I/31tIPF-TUsL._AC_UL320_.jpg")</f>
        <v>#NAME?</v>
      </c>
      <c r="I5737" t="s">
        <v>3288</v>
      </c>
      <c r="J5737">
        <v>29.99</v>
      </c>
      <c r="K5737" s="4">
        <v>9.7299999999999998E-2</v>
      </c>
      <c r="L5737">
        <v>4</v>
      </c>
      <c r="M5737">
        <v>14</v>
      </c>
      <c r="O5737" t="s">
        <v>25</v>
      </c>
      <c r="P5737" t="s">
        <v>138</v>
      </c>
      <c r="Q5737" t="s">
        <v>3289</v>
      </c>
    </row>
    <row r="5738" spans="1:17" ht="15.5" x14ac:dyDescent="0.35">
      <c r="A5738" s="3" t="str">
        <f>HYPERLINK("https://edmondsonsupply.com/collections/electricians-tools/products/sensible-products-hrf-1-high-beam-rechargeable-flashlight-silver", "https://edmondsonsupply.com/collections/electricians-tools/products/sensible-products-hrf-1-high-beam-rechargeable-flashlight-silver")</f>
        <v>https://edmondsonsupply.com/collections/electricians-tools/products/sensible-products-hrf-1-high-beam-rechargeable-flashlight-silver</v>
      </c>
      <c r="B5738" s="3" t="str">
        <f>HYPERLINK("https://edmondsonsupply.com/products/sensible-products-hrf-1-high-beam-rechargeable-flashlight-silver", "https://edmondsonsupply.com/products/sensible-products-hrf-1-high-beam-rechargeable-flashlight-silver")</f>
        <v>https://edmondsonsupply.com/products/sensible-products-hrf-1-high-beam-rechargeable-flashlight-silver</v>
      </c>
      <c r="C5738" t="s">
        <v>3290</v>
      </c>
      <c r="D5738" t="s">
        <v>4152</v>
      </c>
      <c r="E5738" s="3" t="str">
        <f>HYPERLINK("https://www.amazon.com/Sold-Each-High-Beam-Rechargeable-Flashlight/dp/B07QV3HVKP/ref=sr_1_1?keywords=Sensible+Products+HRF-1+High-Beam+Rechargeable+Flashlight%2C+Silver&amp;qid=1695173859&amp;sr=8-1", "https://www.amazon.com/Sold-Each-High-Beam-Rechargeable-Flashlight/dp/B07QV3HVKP/ref=sr_1_1?keywords=Sensible+Products+HRF-1+High-Beam+Rechargeable+Flashlight%2C+Silver&amp;qid=1695173859&amp;sr=8-1")</f>
        <v>https://www.amazon.com/Sold-Each-High-Beam-Rechargeable-Flashlight/dp/B07QV3HVKP/ref=sr_1_1?keywords=Sensible+Products+HRF-1+High-Beam+Rechargeable+Flashlight%2C+Silver&amp;qid=1695173859&amp;sr=8-1</v>
      </c>
      <c r="F5738" t="s">
        <v>4153</v>
      </c>
      <c r="G5738" t="e">
        <f ca="1">_xludf.IMAGE("https://edmondsonsupply.com/cdn/shop/products/HRF1SILVER-2.jpg?v=1587142434")</f>
        <v>#NAME?</v>
      </c>
      <c r="H5738" t="e">
        <f ca="1">_xludf.IMAGE("https://m.media-amazon.com/images/I/31tIPF-TUsL._AC_UL320_.jpg")</f>
        <v>#NAME?</v>
      </c>
      <c r="I5738" t="s">
        <v>3288</v>
      </c>
      <c r="J5738">
        <v>29.99</v>
      </c>
      <c r="K5738" s="4">
        <v>9.7299999999999998E-2</v>
      </c>
      <c r="L5738">
        <v>4</v>
      </c>
      <c r="M5738">
        <v>14</v>
      </c>
      <c r="O5738" t="s">
        <v>25</v>
      </c>
      <c r="P5738" t="s">
        <v>138</v>
      </c>
      <c r="Q5738" t="s">
        <v>3291</v>
      </c>
    </row>
    <row r="5739" spans="1:17" ht="15.5" x14ac:dyDescent="0.35">
      <c r="A5739" s="3" t="str">
        <f>HYPERLINK("https://edmondsonsupply.com/collections/electricians-tools/products/john-boy-grass-face-guard", "https://edmondsonsupply.com/collections/electricians-tools/products/john-boy-grass-face-guard")</f>
        <v>https://edmondsonsupply.com/collections/electricians-tools/products/john-boy-grass-face-guard</v>
      </c>
      <c r="B5739" s="3" t="str">
        <f>HYPERLINK("https://edmondsonsupply.com/products/john-boy-grass-face-guard", "https://edmondsonsupply.com/products/john-boy-grass-face-guard")</f>
        <v>https://edmondsonsupply.com/products/john-boy-grass-face-guard</v>
      </c>
      <c r="C5739" t="s">
        <v>1065</v>
      </c>
      <c r="D5739" t="s">
        <v>1071</v>
      </c>
      <c r="E5739" s="3" t="str">
        <f>HYPERLINK("https://www.amazon.com/JOHN-BOY-Construction-Face-Guard/dp/B07TSPYCSZ/ref=sr_1_8?keywords=John+Boy+GRASS+Face+Guard&amp;qid=1695174296&amp;sr=8-8", "https://www.amazon.com/JOHN-BOY-Construction-Face-Guard/dp/B07TSPYCSZ/ref=sr_1_8?keywords=John+Boy+GRASS+Face+Guard&amp;qid=1695174296&amp;sr=8-8")</f>
        <v>https://www.amazon.com/JOHN-BOY-Construction-Face-Guard/dp/B07TSPYCSZ/ref=sr_1_8?keywords=John+Boy+GRASS+Face+Guard&amp;qid=1695174296&amp;sr=8-8</v>
      </c>
      <c r="F5739" t="s">
        <v>1084</v>
      </c>
      <c r="G5739" t="e">
        <f ca="1">_xludf.IMAGE("https://edmondsonsupply.com/cdn/shop/products/grassMUcopy_900x_3dbec2e2-1ea2-46e7-b806-f05c0b3108b5.jpg?v=1633030897")</f>
        <v>#NAME?</v>
      </c>
      <c r="H5739" t="e">
        <f ca="1">_xludf.IMAGE("https://m.media-amazon.com/images/I/71P8x8a2EsL._AC_UL320_.jpg")</f>
        <v>#NAME?</v>
      </c>
      <c r="I5739" t="s">
        <v>1039</v>
      </c>
      <c r="J5739">
        <v>10.95</v>
      </c>
      <c r="K5739" s="4">
        <v>9.5000000000000001E-2</v>
      </c>
      <c r="L5739">
        <v>4</v>
      </c>
      <c r="M5739">
        <v>4</v>
      </c>
      <c r="O5739" t="s">
        <v>25</v>
      </c>
      <c r="P5739" t="s">
        <v>138</v>
      </c>
      <c r="Q5739" t="s">
        <v>1066</v>
      </c>
    </row>
    <row r="5740" spans="1:17" ht="15.5" x14ac:dyDescent="0.35">
      <c r="A5740" s="3" t="str">
        <f>HYPERLINK("https://edmondsonsupply.com/collections/electricians-tools/products/john-boy-clown-face-guard", "https://edmondsonsupply.com/collections/electricians-tools/products/john-boy-clown-face-guard")</f>
        <v>https://edmondsonsupply.com/collections/electricians-tools/products/john-boy-clown-face-guard</v>
      </c>
      <c r="B5740" s="3" t="str">
        <f>HYPERLINK("https://edmondsonsupply.com/products/john-boy-clown-face-guard", "https://edmondsonsupply.com/products/john-boy-clown-face-guard")</f>
        <v>https://edmondsonsupply.com/products/john-boy-clown-face-guard</v>
      </c>
      <c r="C5740" t="s">
        <v>1067</v>
      </c>
      <c r="D5740" t="s">
        <v>1068</v>
      </c>
      <c r="E5740" s="3" t="str">
        <f>HYPERLINK("https://www.amazon.com/JOHN-BOY-Construction-Face-Guard/dp/B0842ZPQ65/ref=sr_1_fkmr0_2?keywords=John+Boy+CLOWN+Face+Guard&amp;qid=1695174285&amp;sr=8-2-fkmr0", "https://www.amazon.com/JOHN-BOY-Construction-Face-Guard/dp/B0842ZPQ65/ref=sr_1_fkmr0_2?keywords=John+Boy+CLOWN+Face+Guard&amp;qid=1695174285&amp;sr=8-2-fkmr0")</f>
        <v>https://www.amazon.com/JOHN-BOY-Construction-Face-Guard/dp/B0842ZPQ65/ref=sr_1_fkmr0_2?keywords=John+Boy+CLOWN+Face+Guard&amp;qid=1695174285&amp;sr=8-2-fkmr0</v>
      </c>
      <c r="F5740" t="s">
        <v>1069</v>
      </c>
      <c r="G5740" t="e">
        <f ca="1">_xludf.IMAGE("https://edmondsonsupply.com/cdn/shop/products/Clown-Mcopy_900x_f7b1e6b4-ce8b-4741-b718-1676b06d35ea.jpg?v=1633030901")</f>
        <v>#NAME?</v>
      </c>
      <c r="H5740" t="e">
        <f ca="1">_xludf.IMAGE("https://m.media-amazon.com/images/I/81msE1HdXVL._AC_UL320_.jpg")</f>
        <v>#NAME?</v>
      </c>
      <c r="I5740" t="s">
        <v>1039</v>
      </c>
      <c r="J5740">
        <v>10.95</v>
      </c>
      <c r="K5740" s="4">
        <v>9.5000000000000001E-2</v>
      </c>
      <c r="L5740">
        <v>3.5</v>
      </c>
      <c r="M5740">
        <v>14</v>
      </c>
      <c r="O5740" t="s">
        <v>25</v>
      </c>
      <c r="P5740" t="s">
        <v>138</v>
      </c>
      <c r="Q5740" t="s">
        <v>1070</v>
      </c>
    </row>
    <row r="5741" spans="1:17" ht="15.5" x14ac:dyDescent="0.35">
      <c r="A5741" s="3" t="str">
        <f>HYPERLINK("https://edmondsonsupply.com/collections/electricians-tools/products/john-boy-grass-face-guard", "https://edmondsonsupply.com/collections/electricians-tools/products/john-boy-grass-face-guard")</f>
        <v>https://edmondsonsupply.com/collections/electricians-tools/products/john-boy-grass-face-guard</v>
      </c>
      <c r="B5741" s="3" t="str">
        <f>HYPERLINK("https://edmondsonsupply.com/products/john-boy-grass-face-guard", "https://edmondsonsupply.com/products/john-boy-grass-face-guard")</f>
        <v>https://edmondsonsupply.com/products/john-boy-grass-face-guard</v>
      </c>
      <c r="C5741" t="s">
        <v>1065</v>
      </c>
      <c r="D5741" t="s">
        <v>1080</v>
      </c>
      <c r="E5741" s="3" t="str">
        <f>HYPERLINK("https://www.amazon.com/JOHN-Fitness-Face-Guard-Multi-Purpose/dp/B0842ZBT1T/ref=sr_1_5?keywords=John+Boy+GRASS+Face+Guard&amp;qid=1695174296&amp;sr=8-5", "https://www.amazon.com/JOHN-Fitness-Face-Guard-Multi-Purpose/dp/B0842ZBT1T/ref=sr_1_5?keywords=John+Boy+GRASS+Face+Guard&amp;qid=1695174296&amp;sr=8-5")</f>
        <v>https://www.amazon.com/JOHN-Fitness-Face-Guard-Multi-Purpose/dp/B0842ZBT1T/ref=sr_1_5?keywords=John+Boy+GRASS+Face+Guard&amp;qid=1695174296&amp;sr=8-5</v>
      </c>
      <c r="F5741" t="s">
        <v>1076</v>
      </c>
      <c r="G5741" t="e">
        <f ca="1">_xludf.IMAGE("https://edmondsonsupply.com/cdn/shop/products/grassMUcopy_900x_3dbec2e2-1ea2-46e7-b806-f05c0b3108b5.jpg?v=1633030897")</f>
        <v>#NAME?</v>
      </c>
      <c r="H5741" t="e">
        <f ca="1">_xludf.IMAGE("https://m.media-amazon.com/images/I/71xfqXGH9sL._AC_UL320_.jpg")</f>
        <v>#NAME?</v>
      </c>
      <c r="I5741" t="s">
        <v>1039</v>
      </c>
      <c r="J5741">
        <v>10.95</v>
      </c>
      <c r="K5741" s="4">
        <v>9.5000000000000001E-2</v>
      </c>
      <c r="L5741">
        <v>3.3</v>
      </c>
      <c r="M5741">
        <v>22</v>
      </c>
      <c r="O5741" t="s">
        <v>25</v>
      </c>
      <c r="P5741" t="s">
        <v>138</v>
      </c>
      <c r="Q5741" t="s">
        <v>1066</v>
      </c>
    </row>
    <row r="5742" spans="1:17" ht="15.5" x14ac:dyDescent="0.35">
      <c r="A5742" s="3" t="str">
        <f>HYPERLINK("https://edmondsonsupply.com/collections/electricians-tools/products/john-boy-grass-face-guard", "https://edmondsonsupply.com/collections/electricians-tools/products/john-boy-grass-face-guard")</f>
        <v>https://edmondsonsupply.com/collections/electricians-tools/products/john-boy-grass-face-guard</v>
      </c>
      <c r="B5742" s="3" t="str">
        <f>HYPERLINK("https://edmondsonsupply.com/products/john-boy-grass-face-guard", "https://edmondsonsupply.com/products/john-boy-grass-face-guard")</f>
        <v>https://edmondsonsupply.com/products/john-boy-grass-face-guard</v>
      </c>
      <c r="C5742" t="s">
        <v>1065</v>
      </c>
      <c r="D5742" t="s">
        <v>1071</v>
      </c>
      <c r="E5742" s="3" t="str">
        <f>HYPERLINK("https://www.amazon.com/JOHN-BOY-Construction-Face-Guard/dp/B08HSN8R2R/ref=sr_1_10?keywords=John+Boy+GRASS+Face+Guard&amp;qid=1695174296&amp;sr=8-10", "https://www.amazon.com/JOHN-BOY-Construction-Face-Guard/dp/B08HSN8R2R/ref=sr_1_10?keywords=John+Boy+GRASS+Face+Guard&amp;qid=1695174296&amp;sr=8-10")</f>
        <v>https://www.amazon.com/JOHN-BOY-Construction-Face-Guard/dp/B08HSN8R2R/ref=sr_1_10?keywords=John+Boy+GRASS+Face+Guard&amp;qid=1695174296&amp;sr=8-10</v>
      </c>
      <c r="F5742" t="s">
        <v>1072</v>
      </c>
      <c r="G5742" t="e">
        <f ca="1">_xludf.IMAGE("https://edmondsonsupply.com/cdn/shop/products/grassMUcopy_900x_3dbec2e2-1ea2-46e7-b806-f05c0b3108b5.jpg?v=1633030897")</f>
        <v>#NAME?</v>
      </c>
      <c r="H5742" t="e">
        <f ca="1">_xludf.IMAGE("https://m.media-amazon.com/images/I/71P3C66uWOL._AC_UL320_.jpg")</f>
        <v>#NAME?</v>
      </c>
      <c r="I5742" t="s">
        <v>1039</v>
      </c>
      <c r="J5742">
        <v>10.95</v>
      </c>
      <c r="K5742" s="4">
        <v>9.5000000000000001E-2</v>
      </c>
      <c r="L5742">
        <v>5</v>
      </c>
      <c r="M5742">
        <v>7</v>
      </c>
      <c r="O5742" t="s">
        <v>25</v>
      </c>
      <c r="P5742" t="s">
        <v>138</v>
      </c>
      <c r="Q5742" t="s">
        <v>1066</v>
      </c>
    </row>
    <row r="5743" spans="1:17" ht="15.5" x14ac:dyDescent="0.35">
      <c r="A5743" s="3" t="str">
        <f>HYPERLINK("https://edmondsonsupply.com/collections/electricians-tools/products/john-boy-clown-face-guard", "https://edmondsonsupply.com/collections/electricians-tools/products/john-boy-clown-face-guard")</f>
        <v>https://edmondsonsupply.com/collections/electricians-tools/products/john-boy-clown-face-guard</v>
      </c>
      <c r="B5743" s="3" t="str">
        <f>HYPERLINK("https://edmondsonsupply.com/products/john-boy-clown-face-guard", "https://edmondsonsupply.com/products/john-boy-clown-face-guard")</f>
        <v>https://edmondsonsupply.com/products/john-boy-clown-face-guard</v>
      </c>
      <c r="C5743" t="s">
        <v>1067</v>
      </c>
      <c r="D5743" t="s">
        <v>1077</v>
      </c>
      <c r="E5743" s="3" t="str">
        <f>HYPERLINK("https://www.amazon.com/JOHN-BOY-Construction-Face-Guard/dp/B0842ZF56G/ref=sr_1_1?keywords=John+Boy+CLOWN+Face+Guard&amp;qid=1695174285&amp;sr=8-1", "https://www.amazon.com/JOHN-BOY-Construction-Face-Guard/dp/B0842ZF56G/ref=sr_1_1?keywords=John+Boy+CLOWN+Face+Guard&amp;qid=1695174285&amp;sr=8-1")</f>
        <v>https://www.amazon.com/JOHN-BOY-Construction-Face-Guard/dp/B0842ZF56G/ref=sr_1_1?keywords=John+Boy+CLOWN+Face+Guard&amp;qid=1695174285&amp;sr=8-1</v>
      </c>
      <c r="F5743" t="s">
        <v>1088</v>
      </c>
      <c r="G5743" t="e">
        <f ca="1">_xludf.IMAGE("https://edmondsonsupply.com/cdn/shop/products/Clown-Mcopy_900x_f7b1e6b4-ce8b-4741-b718-1676b06d35ea.jpg?v=1633030901")</f>
        <v>#NAME?</v>
      </c>
      <c r="H5743" t="e">
        <f ca="1">_xludf.IMAGE("https://m.media-amazon.com/images/I/71D0wruMXOL._AC_UL320_.jpg")</f>
        <v>#NAME?</v>
      </c>
      <c r="I5743" t="s">
        <v>1039</v>
      </c>
      <c r="J5743">
        <v>10.95</v>
      </c>
      <c r="K5743" s="4">
        <v>9.5000000000000001E-2</v>
      </c>
      <c r="L5743">
        <v>3.5</v>
      </c>
      <c r="M5743">
        <v>7</v>
      </c>
      <c r="O5743" t="s">
        <v>25</v>
      </c>
      <c r="P5743" t="s">
        <v>138</v>
      </c>
      <c r="Q5743" t="s">
        <v>1070</v>
      </c>
    </row>
    <row r="5744" spans="1:17" ht="15.5" x14ac:dyDescent="0.35">
      <c r="A5744" s="3" t="str">
        <f>HYPERLINK("https://edmondsonsupply.com/collections/electricians-tools/products/john-boy-clown-face-guard", "https://edmondsonsupply.com/collections/electricians-tools/products/john-boy-clown-face-guard")</f>
        <v>https://edmondsonsupply.com/collections/electricians-tools/products/john-boy-clown-face-guard</v>
      </c>
      <c r="B5744" s="3" t="str">
        <f>HYPERLINK("https://edmondsonsupply.com/products/john-boy-clown-face-guard", "https://edmondsonsupply.com/products/john-boy-clown-face-guard")</f>
        <v>https://edmondsonsupply.com/products/john-boy-clown-face-guard</v>
      </c>
      <c r="C5744" t="s">
        <v>1067</v>
      </c>
      <c r="D5744" t="s">
        <v>1042</v>
      </c>
      <c r="E5744" s="3" t="str">
        <f>HYPERLINK("https://www.amazon.com/JOHN-Fishing-Face-Guard-Multi-Weather/dp/B0842ZNMJ6/ref=sr_1_3?keywords=John+Boy+CLOWN+Face+Guard&amp;qid=1695174285&amp;sr=8-3", "https://www.amazon.com/JOHN-Fishing-Face-Guard-Multi-Weather/dp/B0842ZNMJ6/ref=sr_1_3?keywords=John+Boy+CLOWN+Face+Guard&amp;qid=1695174285&amp;sr=8-3")</f>
        <v>https://www.amazon.com/JOHN-Fishing-Face-Guard-Multi-Weather/dp/B0842ZNMJ6/ref=sr_1_3?keywords=John+Boy+CLOWN+Face+Guard&amp;qid=1695174285&amp;sr=8-3</v>
      </c>
      <c r="F5744" t="s">
        <v>1089</v>
      </c>
      <c r="G5744" t="e">
        <f ca="1">_xludf.IMAGE("https://edmondsonsupply.com/cdn/shop/products/Clown-Mcopy_900x_f7b1e6b4-ce8b-4741-b718-1676b06d35ea.jpg?v=1633030901")</f>
        <v>#NAME?</v>
      </c>
      <c r="H5744" t="e">
        <f ca="1">_xludf.IMAGE("https://m.media-amazon.com/images/I/71N6E+BLd5L._AC_UL320_.jpg")</f>
        <v>#NAME?</v>
      </c>
      <c r="I5744" t="s">
        <v>1039</v>
      </c>
      <c r="J5744">
        <v>10.95</v>
      </c>
      <c r="K5744" s="4">
        <v>9.5000000000000001E-2</v>
      </c>
      <c r="L5744">
        <v>4</v>
      </c>
      <c r="M5744">
        <v>13</v>
      </c>
      <c r="O5744" t="s">
        <v>25</v>
      </c>
      <c r="P5744" t="s">
        <v>138</v>
      </c>
      <c r="Q5744" t="s">
        <v>1070</v>
      </c>
    </row>
    <row r="5745" spans="1:17" ht="15.5" x14ac:dyDescent="0.35">
      <c r="A5745" s="3" t="str">
        <f>HYPERLINK("https://edmondsonsupply.com/collections/electricians-tools/products/john-boy-clown-face-guard", "https://edmondsonsupply.com/collections/electricians-tools/products/john-boy-clown-face-guard")</f>
        <v>https://edmondsonsupply.com/collections/electricians-tools/products/john-boy-clown-face-guard</v>
      </c>
      <c r="B5745" s="3" t="str">
        <f>HYPERLINK("https://edmondsonsupply.com/products/john-boy-clown-face-guard", "https://edmondsonsupply.com/products/john-boy-clown-face-guard")</f>
        <v>https://edmondsonsupply.com/products/john-boy-clown-face-guard</v>
      </c>
      <c r="C5745" t="s">
        <v>1067</v>
      </c>
      <c r="D5745" t="s">
        <v>1077</v>
      </c>
      <c r="E5745" s="3" t="str">
        <f>HYPERLINK("https://www.amazon.com/JOHN-BOY-Construction-Face-Guard/dp/B08HSKXW6L/ref=sr_1_fkmr0_1?keywords=John+Boy+CLOWN+Face+Guard&amp;qid=1695174285&amp;sr=8-1-fkmr0", "https://www.amazon.com/JOHN-BOY-Construction-Face-Guard/dp/B08HSKXW6L/ref=sr_1_fkmr0_1?keywords=John+Boy+CLOWN+Face+Guard&amp;qid=1695174285&amp;sr=8-1-fkmr0")</f>
        <v>https://www.amazon.com/JOHN-BOY-Construction-Face-Guard/dp/B08HSKXW6L/ref=sr_1_fkmr0_1?keywords=John+Boy+CLOWN+Face+Guard&amp;qid=1695174285&amp;sr=8-1-fkmr0</v>
      </c>
      <c r="F5745" t="s">
        <v>1085</v>
      </c>
      <c r="G5745" t="e">
        <f ca="1">_xludf.IMAGE("https://edmondsonsupply.com/cdn/shop/products/Clown-Mcopy_900x_f7b1e6b4-ce8b-4741-b718-1676b06d35ea.jpg?v=1633030901")</f>
        <v>#NAME?</v>
      </c>
      <c r="H5745" t="e">
        <f ca="1">_xludf.IMAGE("https://m.media-amazon.com/images/I/71x8Q+NujjL._AC_UL320_.jpg")</f>
        <v>#NAME?</v>
      </c>
      <c r="I5745" t="s">
        <v>1039</v>
      </c>
      <c r="J5745">
        <v>10.95</v>
      </c>
      <c r="K5745" s="4">
        <v>9.5000000000000001E-2</v>
      </c>
      <c r="L5745">
        <v>5</v>
      </c>
      <c r="M5745">
        <v>7</v>
      </c>
      <c r="O5745" t="s">
        <v>25</v>
      </c>
      <c r="P5745" t="s">
        <v>138</v>
      </c>
      <c r="Q5745" t="s">
        <v>1070</v>
      </c>
    </row>
    <row r="5746" spans="1:17" ht="15.5" x14ac:dyDescent="0.35">
      <c r="A5746" s="3" t="str">
        <f>HYPERLINK("https://edmondsonsupply.com/collections/electricians-tools/products/john-boy-grass-face-guard", "https://edmondsonsupply.com/collections/electricians-tools/products/john-boy-grass-face-guard")</f>
        <v>https://edmondsonsupply.com/collections/electricians-tools/products/john-boy-grass-face-guard</v>
      </c>
      <c r="B5746" s="3" t="str">
        <f>HYPERLINK("https://edmondsonsupply.com/products/john-boy-grass-face-guard", "https://edmondsonsupply.com/products/john-boy-grass-face-guard")</f>
        <v>https://edmondsonsupply.com/products/john-boy-grass-face-guard</v>
      </c>
      <c r="C5746" t="s">
        <v>1065</v>
      </c>
      <c r="D5746" t="s">
        <v>1071</v>
      </c>
      <c r="E5746" s="3" t="str">
        <f>HYPERLINK("https://www.amazon.com/JOHN-BOY-Construction-Face-Guard/dp/B0843N88ML/ref=sr_1_6?keywords=John+Boy+GRASS+Face+Guard&amp;qid=1695174296&amp;sr=8-6", "https://www.amazon.com/JOHN-BOY-Construction-Face-Guard/dp/B0843N88ML/ref=sr_1_6?keywords=John+Boy+GRASS+Face+Guard&amp;qid=1695174296&amp;sr=8-6")</f>
        <v>https://www.amazon.com/JOHN-BOY-Construction-Face-Guard/dp/B0843N88ML/ref=sr_1_6?keywords=John+Boy+GRASS+Face+Guard&amp;qid=1695174296&amp;sr=8-6</v>
      </c>
      <c r="F5746" t="s">
        <v>1082</v>
      </c>
      <c r="G5746" t="e">
        <f ca="1">_xludf.IMAGE("https://edmondsonsupply.com/cdn/shop/products/grassMUcopy_900x_3dbec2e2-1ea2-46e7-b806-f05c0b3108b5.jpg?v=1633030897")</f>
        <v>#NAME?</v>
      </c>
      <c r="H5746" t="e">
        <f ca="1">_xludf.IMAGE("https://m.media-amazon.com/images/I/81tbpnaNPLL._AC_UL320_.jpg")</f>
        <v>#NAME?</v>
      </c>
      <c r="I5746" t="s">
        <v>1039</v>
      </c>
      <c r="J5746">
        <v>10.95</v>
      </c>
      <c r="K5746" s="4">
        <v>9.5000000000000001E-2</v>
      </c>
      <c r="L5746">
        <v>4.0999999999999996</v>
      </c>
      <c r="M5746">
        <v>15</v>
      </c>
      <c r="O5746" t="s">
        <v>25</v>
      </c>
      <c r="P5746" t="s">
        <v>138</v>
      </c>
      <c r="Q5746" t="s">
        <v>1066</v>
      </c>
    </row>
    <row r="5747" spans="1:17" ht="15.5" x14ac:dyDescent="0.35">
      <c r="A5747" s="3" t="str">
        <f>HYPERLINK("https://edmondsonsupply.com/collections/electricians-tools/products/john-boy-grass-face-guard", "https://edmondsonsupply.com/collections/electricians-tools/products/john-boy-grass-face-guard")</f>
        <v>https://edmondsonsupply.com/collections/electricians-tools/products/john-boy-grass-face-guard</v>
      </c>
      <c r="B5747" s="3" t="str">
        <f>HYPERLINK("https://edmondsonsupply.com/products/john-boy-grass-face-guard", "https://edmondsonsupply.com/products/john-boy-grass-face-guard")</f>
        <v>https://edmondsonsupply.com/products/john-boy-grass-face-guard</v>
      </c>
      <c r="C5747" t="s">
        <v>1065</v>
      </c>
      <c r="D5747" t="s">
        <v>1068</v>
      </c>
      <c r="E5747" s="3" t="str">
        <f>HYPERLINK("https://www.amazon.com/JOHN-BOY-Construction-Face-Guard/dp/B0842ZPQ65/ref=sr_1_2?keywords=John+Boy+GRASS+Face+Guard&amp;qid=1695174296&amp;sr=8-2", "https://www.amazon.com/JOHN-BOY-Construction-Face-Guard/dp/B0842ZPQ65/ref=sr_1_2?keywords=John+Boy+GRASS+Face+Guard&amp;qid=1695174296&amp;sr=8-2")</f>
        <v>https://www.amazon.com/JOHN-BOY-Construction-Face-Guard/dp/B0842ZPQ65/ref=sr_1_2?keywords=John+Boy+GRASS+Face+Guard&amp;qid=1695174296&amp;sr=8-2</v>
      </c>
      <c r="F5747" t="s">
        <v>1069</v>
      </c>
      <c r="G5747" t="e">
        <f ca="1">_xludf.IMAGE("https://edmondsonsupply.com/cdn/shop/products/grassMUcopy_900x_3dbec2e2-1ea2-46e7-b806-f05c0b3108b5.jpg?v=1633030897")</f>
        <v>#NAME?</v>
      </c>
      <c r="H5747" t="e">
        <f ca="1">_xludf.IMAGE("https://m.media-amazon.com/images/I/81msE1HdXVL._AC_UL320_.jpg")</f>
        <v>#NAME?</v>
      </c>
      <c r="I5747" t="s">
        <v>1039</v>
      </c>
      <c r="J5747">
        <v>10.95</v>
      </c>
      <c r="K5747" s="4">
        <v>9.5000000000000001E-2</v>
      </c>
      <c r="L5747">
        <v>3.5</v>
      </c>
      <c r="M5747">
        <v>14</v>
      </c>
      <c r="O5747" t="s">
        <v>25</v>
      </c>
      <c r="P5747" t="s">
        <v>138</v>
      </c>
      <c r="Q5747" t="s">
        <v>1066</v>
      </c>
    </row>
    <row r="5748" spans="1:17" ht="15.5" x14ac:dyDescent="0.35">
      <c r="A5748" s="3" t="str">
        <f>HYPERLINK("https://edmondsonsupply.com/collections/electricians-tools/products/john-boy-sticks-face-guard", "https://edmondsonsupply.com/collections/electricians-tools/products/john-boy-sticks-face-guard")</f>
        <v>https://edmondsonsupply.com/collections/electricians-tools/products/john-boy-sticks-face-guard</v>
      </c>
      <c r="B5748" s="3" t="str">
        <f>HYPERLINK("https://edmondsonsupply.com/products/john-boy-sticks-face-guard", "https://edmondsonsupply.com/products/john-boy-sticks-face-guard")</f>
        <v>https://edmondsonsupply.com/products/john-boy-sticks-face-guard</v>
      </c>
      <c r="C5748" t="s">
        <v>1093</v>
      </c>
      <c r="D5748" t="s">
        <v>1071</v>
      </c>
      <c r="E5748" s="3" t="str">
        <f>HYPERLINK("https://www.amazon.com/JOHN-BOY-Construction-Face-Guard/dp/B08HSKXW6L/ref=sr_1_fkmr0_1?keywords=John+Boy+STICKS+Face+Guard&amp;qid=1695174288&amp;sr=8-1-fkmr0", "https://www.amazon.com/JOHN-BOY-Construction-Face-Guard/dp/B08HSKXW6L/ref=sr_1_fkmr0_1?keywords=John+Boy+STICKS+Face+Guard&amp;qid=1695174288&amp;sr=8-1-fkmr0")</f>
        <v>https://www.amazon.com/JOHN-BOY-Construction-Face-Guard/dp/B08HSKXW6L/ref=sr_1_fkmr0_1?keywords=John+Boy+STICKS+Face+Guard&amp;qid=1695174288&amp;sr=8-1-fkmr0</v>
      </c>
      <c r="F5748" t="s">
        <v>1085</v>
      </c>
      <c r="G5748" t="e">
        <f ca="1">_xludf.IMAGE("https://edmondsonsupply.com/cdn/shop/products/sticks-mockup_900x_46f7ccf9-cada-4af2-ba6b-b5f06f1a624e.jpg?v=1633030899")</f>
        <v>#NAME?</v>
      </c>
      <c r="H5748" t="e">
        <f ca="1">_xludf.IMAGE("https://m.media-amazon.com/images/I/71x8Q+NujjL._AC_UL320_.jpg")</f>
        <v>#NAME?</v>
      </c>
      <c r="I5748" t="s">
        <v>1039</v>
      </c>
      <c r="J5748">
        <v>10.95</v>
      </c>
      <c r="K5748" s="4">
        <v>9.5000000000000001E-2</v>
      </c>
      <c r="L5748">
        <v>5</v>
      </c>
      <c r="M5748">
        <v>7</v>
      </c>
      <c r="O5748" t="s">
        <v>25</v>
      </c>
      <c r="P5748" t="s">
        <v>138</v>
      </c>
      <c r="Q5748" t="s">
        <v>1094</v>
      </c>
    </row>
    <row r="5749" spans="1:17" ht="15.5" x14ac:dyDescent="0.35">
      <c r="A5749" s="3" t="str">
        <f>HYPERLINK("https://edmondsonsupply.com/collections/electricians-tools/products/john-boy-grass-face-guard", "https://edmondsonsupply.com/collections/electricians-tools/products/john-boy-grass-face-guard")</f>
        <v>https://edmondsonsupply.com/collections/electricians-tools/products/john-boy-grass-face-guard</v>
      </c>
      <c r="B5749" s="3" t="str">
        <f>HYPERLINK("https://edmondsonsupply.com/products/john-boy-grass-face-guard", "https://edmondsonsupply.com/products/john-boy-grass-face-guard")</f>
        <v>https://edmondsonsupply.com/products/john-boy-grass-face-guard</v>
      </c>
      <c r="C5749" t="s">
        <v>1065</v>
      </c>
      <c r="D5749" t="s">
        <v>1071</v>
      </c>
      <c r="E5749" s="3" t="str">
        <f>HYPERLINK("https://www.amazon.com/JOHN-BOY-Construction-Face-Guard/dp/B0842ZF56G/ref=sr_1_9?keywords=John+Boy+GRASS+Face+Guard&amp;qid=1695174296&amp;sr=8-9", "https://www.amazon.com/JOHN-BOY-Construction-Face-Guard/dp/B0842ZF56G/ref=sr_1_9?keywords=John+Boy+GRASS+Face+Guard&amp;qid=1695174296&amp;sr=8-9")</f>
        <v>https://www.amazon.com/JOHN-BOY-Construction-Face-Guard/dp/B0842ZF56G/ref=sr_1_9?keywords=John+Boy+GRASS+Face+Guard&amp;qid=1695174296&amp;sr=8-9</v>
      </c>
      <c r="F5749" t="s">
        <v>1088</v>
      </c>
      <c r="G5749" t="e">
        <f ca="1">_xludf.IMAGE("https://edmondsonsupply.com/cdn/shop/products/grassMUcopy_900x_3dbec2e2-1ea2-46e7-b806-f05c0b3108b5.jpg?v=1633030897")</f>
        <v>#NAME?</v>
      </c>
      <c r="H5749" t="e">
        <f ca="1">_xludf.IMAGE("https://m.media-amazon.com/images/I/71D0wruMXOL._AC_UL320_.jpg")</f>
        <v>#NAME?</v>
      </c>
      <c r="I5749" t="s">
        <v>1039</v>
      </c>
      <c r="J5749">
        <v>10.95</v>
      </c>
      <c r="K5749" s="4">
        <v>9.5000000000000001E-2</v>
      </c>
      <c r="L5749">
        <v>3.5</v>
      </c>
      <c r="M5749">
        <v>7</v>
      </c>
      <c r="O5749" t="s">
        <v>25</v>
      </c>
      <c r="P5749" t="s">
        <v>138</v>
      </c>
      <c r="Q5749" t="s">
        <v>1066</v>
      </c>
    </row>
    <row r="5750" spans="1:17" ht="15.5" x14ac:dyDescent="0.35">
      <c r="A5750"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750" s="3" t="str">
        <f>HYPERLINK("https://edmondsonsupply.com/products/klein-tools-jth6m10-10-mm-hex-key-journeyman-t-handle-6-inch", "https://edmondsonsupply.com/products/klein-tools-jth6m10-10-mm-hex-key-journeyman-t-handle-6-inch")</f>
        <v>https://edmondsonsupply.com/products/klein-tools-jth6m10-10-mm-hex-key-journeyman-t-handle-6-inch</v>
      </c>
      <c r="C5750" t="s">
        <v>6945</v>
      </c>
      <c r="D5750" t="s">
        <v>2500</v>
      </c>
      <c r="E5750" s="3" t="str">
        <f>HYPERLINK("https://www.amazon.com/Journeyman-T-Handle-Klein-Tools-JTH9M6/dp/B005G3HJKU/ref=sr_1_10?keywords=Klein+Tools+JTH6M10+10+mm+Hex+Key+Journeyman+T-Handle+6-Inch&amp;qid=1695174255&amp;sr=8-10", "https://www.amazon.com/Journeyman-T-Handle-Klein-Tools-JTH9M6/dp/B005G3HJKU/ref=sr_1_10?keywords=Klein+Tools+JTH6M10+10+mm+Hex+Key+Journeyman+T-Handle+6-Inch&amp;qid=1695174255&amp;sr=8-10")</f>
        <v>https://www.amazon.com/Journeyman-T-Handle-Klein-Tools-JTH9M6/dp/B005G3HJKU/ref=sr_1_10?keywords=Klein+Tools+JTH6M10+10+mm+Hex+Key+Journeyman+T-Handle+6-Inch&amp;qid=1695174255&amp;sr=8-10</v>
      </c>
      <c r="F5750" t="s">
        <v>2501</v>
      </c>
      <c r="G5750" t="e">
        <f ca="1">_xludf.IMAGE("https://edmondsonsupply.com/cdn/shop/products/jth6m8_64c2c8d3-e13e-4b81-9b34-745be7fd837a.jpg?v=1627827117")</f>
        <v>#NAME?</v>
      </c>
      <c r="H5750" t="e">
        <f ca="1">_xludf.IMAGE("https://m.media-amazon.com/images/I/51+1x0vz9XL._AC_UL320_.jpg")</f>
        <v>#NAME?</v>
      </c>
      <c r="I5750" t="s">
        <v>924</v>
      </c>
      <c r="J5750">
        <v>9.84</v>
      </c>
      <c r="K5750" s="4">
        <v>9.4500000000000001E-2</v>
      </c>
      <c r="L5750">
        <v>4.7</v>
      </c>
      <c r="M5750">
        <v>123</v>
      </c>
      <c r="O5750" t="s">
        <v>25</v>
      </c>
      <c r="P5750" t="s">
        <v>6946</v>
      </c>
      <c r="Q5750" t="s">
        <v>6947</v>
      </c>
    </row>
    <row r="5751" spans="1:17" ht="15.5" x14ac:dyDescent="0.35">
      <c r="A5751" s="3" t="str">
        <f>HYPERLINK("https://edmondsonsupply.com/collections/electricians-tools/products/fluke-tl75-hard-point%E2%84%A2-test-lead-set", "https://edmondsonsupply.com/collections/electricians-tools/products/fluke-tl75-hard-point%E2%84%A2-test-lead-set")</f>
        <v>https://edmondsonsupply.com/collections/electricians-tools/products/fluke-tl75-hard-point%E2%84%A2-test-lead-set</v>
      </c>
      <c r="B5751" s="3" t="str">
        <f>HYPERLINK("https://edmondsonsupply.com/products/fluke-tl75-hard-point%e2%84%a2-test-lead-set", "https://edmondsonsupply.com/products/fluke-tl75-hard-point%e2%84%a2-test-lead-set")</f>
        <v>https://edmondsonsupply.com/products/fluke-tl75-hard-point%e2%84%a2-test-lead-set</v>
      </c>
      <c r="C5751" t="s">
        <v>7620</v>
      </c>
      <c r="D5751" t="s">
        <v>7621</v>
      </c>
      <c r="E5751" s="3" t="str">
        <f>HYPERLINK("https://www.amazon.com/Fluke-Corporation-FLUTL75-Hard-Point/dp/B0002SRIMS/ref=sr_1_1?keywords=Fluke+TL75+Hard+Point%E2%84%A2+Test+Lead+Set&amp;qid=1695174242&amp;sr=8-1", "https://www.amazon.com/Fluke-Corporation-FLUTL75-Hard-Point/dp/B0002SRIMS/ref=sr_1_1?keywords=Fluke+TL75+Hard+Point%E2%84%A2+Test+Lead+Set&amp;qid=1695174242&amp;sr=8-1")</f>
        <v>https://www.amazon.com/Fluke-Corporation-FLUTL75-Hard-Point/dp/B0002SRIMS/ref=sr_1_1?keywords=Fluke+TL75+Hard+Point%E2%84%A2+Test+Lead+Set&amp;qid=1695174242&amp;sr=8-1</v>
      </c>
      <c r="F5751" t="s">
        <v>7622</v>
      </c>
      <c r="G5751" t="e">
        <f ca="1">_xludf.IMAGE("https://edmondsonsupply.com/cdn/shop/products/TL75-1_72dpi_1280x1031px_E_NR-12001.jpg?v=1633031187")</f>
        <v>#NAME?</v>
      </c>
      <c r="H5751" t="e">
        <f ca="1">_xludf.IMAGE("https://m.media-amazon.com/images/I/517U+4DxqAL._AC_UY218_.jpg")</f>
        <v>#NAME?</v>
      </c>
      <c r="I5751" t="s">
        <v>3602</v>
      </c>
      <c r="J5751">
        <v>34.99</v>
      </c>
      <c r="K5751" s="4">
        <v>9.3799999999999994E-2</v>
      </c>
      <c r="L5751">
        <v>4.8</v>
      </c>
      <c r="M5751">
        <v>613</v>
      </c>
      <c r="O5751" t="s">
        <v>25</v>
      </c>
      <c r="P5751" t="s">
        <v>571</v>
      </c>
      <c r="Q5751" t="s">
        <v>7623</v>
      </c>
    </row>
    <row r="5752" spans="1:17" ht="15.5" x14ac:dyDescent="0.35">
      <c r="A5752" s="3" t="str">
        <f>HYPERLINK("https://edmondsonsupply.com/collections/electricians-tools/products/klein-tools-32537-10-fold-screwdriver-nut-driver-tamperproof-torx%C2%AE", "https://edmondsonsupply.com/collections/electricians-tools/products/klein-tools-32537-10-fold-screwdriver-nut-driver-tamperproof-torx%C2%AE")</f>
        <v>https://edmondsonsupply.com/collections/electricians-tools/products/klein-tools-32537-10-fold-screwdriver-nut-driver-tamperproof-torx%C2%AE</v>
      </c>
      <c r="B5752" s="3" t="str">
        <f>HYPERLINK("https://edmondsonsupply.com/products/klein-tools-32537-10-fold-screwdriver-nut-driver-tamperproof-torx%c2%ae", "https://edmondsonsupply.com/products/klein-tools-32537-10-fold-screwdriver-nut-driver-tamperproof-torx%c2%ae")</f>
        <v>https://edmondsonsupply.com/products/klein-tools-32537-10-fold-screwdriver-nut-driver-tamperproof-torx%c2%ae</v>
      </c>
      <c r="C5752" t="s">
        <v>7624</v>
      </c>
      <c r="D5752" t="s">
        <v>7625</v>
      </c>
      <c r="E5752" s="3" t="str">
        <f>HYPERLINK("https://www.amazon.com/Tamperproof-Screwdriver-Klein-Tools-32537/dp/B0031D0HKG/ref=sr_1_1?keywords=Klein+Tools+32537+10-Fold+Screwdriver%2FNut+Driver%2C+Tamperproof+Torx%C2%AE&amp;qid=1695174248&amp;sr=8-1", "https://www.amazon.com/Tamperproof-Screwdriver-Klein-Tools-32537/dp/B0031D0HKG/ref=sr_1_1?keywords=Klein+Tools+32537+10-Fold+Screwdriver%2FNut+Driver%2C+Tamperproof+Torx%C2%AE&amp;qid=1695174248&amp;sr=8-1")</f>
        <v>https://www.amazon.com/Tamperproof-Screwdriver-Klein-Tools-32537/dp/B0031D0HKG/ref=sr_1_1?keywords=Klein+Tools+32537+10-Fold+Screwdriver%2FNut+Driver%2C+Tamperproof+Torx%C2%AE&amp;qid=1695174248&amp;sr=8-1</v>
      </c>
      <c r="F5752" t="s">
        <v>7626</v>
      </c>
      <c r="G5752" t="e">
        <f ca="1">_xludf.IMAGE("https://edmondsonsupply.com/cdn/shop/products/32537.jpg?v=1638146043")</f>
        <v>#NAME?</v>
      </c>
      <c r="H5752" t="e">
        <f ca="1">_xludf.IMAGE("https://m.media-amazon.com/images/I/410Cn0KqPMS._AC_UL320_.jpg")</f>
        <v>#NAME?</v>
      </c>
      <c r="I5752" t="s">
        <v>26</v>
      </c>
      <c r="J5752">
        <v>32.79</v>
      </c>
      <c r="K5752" s="4">
        <v>9.3399999999999997E-2</v>
      </c>
      <c r="L5752">
        <v>4.5999999999999996</v>
      </c>
      <c r="M5752">
        <v>872</v>
      </c>
      <c r="O5752" t="s">
        <v>25</v>
      </c>
      <c r="P5752" t="s">
        <v>4371</v>
      </c>
      <c r="Q5752" t="s">
        <v>7627</v>
      </c>
    </row>
    <row r="5753" spans="1:17" ht="15.5" x14ac:dyDescent="0.35">
      <c r="A5753" s="3" t="str">
        <f>HYPERLINK("https://edmondsonsupply.com/collections/electricians-tools/products/reed-mfg-cv2-chain-vise-1-8-2-1-2", "https://edmondsonsupply.com/collections/electricians-tools/products/reed-mfg-cv2-chain-vise-1-8-2-1-2")</f>
        <v>https://edmondsonsupply.com/collections/electricians-tools/products/reed-mfg-cv2-chain-vise-1-8-2-1-2</v>
      </c>
      <c r="B5753" s="3" t="str">
        <f>HYPERLINK("https://edmondsonsupply.com/products/reed-mfg-cv2-chain-vise-1-8-2-1-2", "https://edmondsonsupply.com/products/reed-mfg-cv2-chain-vise-1-8-2-1-2")</f>
        <v>https://edmondsonsupply.com/products/reed-mfg-cv2-chain-vise-1-8-2-1-2</v>
      </c>
      <c r="C5753" t="s">
        <v>7628</v>
      </c>
      <c r="D5753" t="s">
        <v>7629</v>
      </c>
      <c r="E5753" s="3" t="str">
        <f>HYPERLINK("https://www.amazon.com/Reed-Tool-CV2-Top-Screw-Capacity/dp/B000ZJYFRA/ref=sr_1_1?keywords=Reed+Mfg+CV2+Chain+Vise%2C+1%2F8+-+2-1%2F2&amp;qid=1695174246&amp;sr=8-1", "https://www.amazon.com/Reed-Tool-CV2-Top-Screw-Capacity/dp/B000ZJYFRA/ref=sr_1_1?keywords=Reed+Mfg+CV2+Chain+Vise%2C+1%2F8+-+2-1%2F2&amp;qid=1695174246&amp;sr=8-1")</f>
        <v>https://www.amazon.com/Reed-Tool-CV2-Top-Screw-Capacity/dp/B000ZJYFRA/ref=sr_1_1?keywords=Reed+Mfg+CV2+Chain+Vise%2C+1%2F8+-+2-1%2F2&amp;qid=1695174246&amp;sr=8-1</v>
      </c>
      <c r="F5753" t="s">
        <v>7630</v>
      </c>
      <c r="G5753" t="e">
        <f ca="1">_xludf.IMAGE("https://edmondsonsupply.com/cdn/shop/products/CV4.jpg?v=1633031165")</f>
        <v>#NAME?</v>
      </c>
      <c r="H5753" t="e">
        <f ca="1">_xludf.IMAGE("https://m.media-amazon.com/images/I/71-9IwjolcL._AC_UL320_.jpg")</f>
        <v>#NAME?</v>
      </c>
      <c r="I5753" t="s">
        <v>7631</v>
      </c>
      <c r="J5753">
        <v>195.85</v>
      </c>
      <c r="K5753" s="4">
        <v>9.3100000000000002E-2</v>
      </c>
      <c r="L5753">
        <v>5</v>
      </c>
      <c r="M5753">
        <v>5</v>
      </c>
      <c r="O5753" t="s">
        <v>25</v>
      </c>
      <c r="P5753" t="s">
        <v>7632</v>
      </c>
      <c r="Q5753" t="s">
        <v>7633</v>
      </c>
    </row>
    <row r="5754" spans="1:17" ht="15.5" x14ac:dyDescent="0.35">
      <c r="A5754" s="3" t="str">
        <f>HYPERLINK("https://edmondsonsupply.com/collections/electricians-tools/products/tajima-gs-25bw-gs-lock%E2%84%A2-standard-scale-25-ft-x-1-in-steel-blade-tape-measure", "https://edmondsonsupply.com/collections/electricians-tools/products/tajima-gs-25bw-gs-lock%E2%84%A2-standard-scale-25-ft-x-1-in-steel-blade-tape-measure")</f>
        <v>https://edmondsonsupply.com/collections/electricians-tools/products/tajima-gs-25bw-gs-lock%E2%84%A2-standard-scale-25-ft-x-1-in-steel-blade-tape-measure</v>
      </c>
      <c r="B5754" s="3" t="str">
        <f>HYPERLINK("https://edmondsonsupply.com/products/tajima-gs-25bw-gs-lock%e2%84%a2-standard-scale-25-ft-x-1-in-steel-blade-tape-measure", "https://edmondsonsupply.com/products/tajima-gs-25bw-gs-lock%e2%84%a2-standard-scale-25-ft-x-1-in-steel-blade-tape-measure")</f>
        <v>https://edmondsonsupply.com/products/tajima-gs-25bw-gs-lock%e2%84%a2-standard-scale-25-ft-x-1-in-steel-blade-tape-measure</v>
      </c>
      <c r="C5754" t="s">
        <v>7634</v>
      </c>
      <c r="D5754" t="s">
        <v>7635</v>
      </c>
      <c r="E5754" s="3" t="str">
        <f>HYPERLINK("https://www.amazon.com/TAJIMA-GSSF-25BW-Measure-Standard-SAFETY/dp/B07KK5M5N6/ref=sr_1_5?keywords=Tajima+GS-25BW+GS+Lock%E2%84%A2+Standard+Scale%2C+25+ft+x+1-1%2F16+in.+Steel+Blade+Tape+Measure&amp;qid=1695174184&amp;sr=8-5", "https://www.amazon.com/TAJIMA-GSSF-25BW-Measure-Standard-SAFETY/dp/B07KK5M5N6/ref=sr_1_5?keywords=Tajima+GS-25BW+GS+Lock%E2%84%A2+Standard+Scale%2C+25+ft+x+1-1%2F16+in.+Steel+Blade+Tape+Measure&amp;qid=1695174184&amp;sr=8-5")</f>
        <v>https://www.amazon.com/TAJIMA-GSSF-25BW-Measure-Standard-SAFETY/dp/B07KK5M5N6/ref=sr_1_5?keywords=Tajima+GS-25BW+GS+Lock%E2%84%A2+Standard+Scale%2C+25+ft+x+1-1%2F16+in.+Steel+Blade+Tape+Measure&amp;qid=1695174184&amp;sr=8-5</v>
      </c>
      <c r="F5754" t="s">
        <v>7636</v>
      </c>
      <c r="G5754" t="e">
        <f ca="1">_xludf.IMAGE("https://edmondsonsupply.com/cdn/shop/products/GS25BW.jpg?v=1655828685")</f>
        <v>#NAME?</v>
      </c>
      <c r="H5754" t="e">
        <f ca="1">_xludf.IMAGE("https://m.media-amazon.com/images/I/510q5IdUd9S._AC_UL320_.jpg")</f>
        <v>#NAME?</v>
      </c>
      <c r="I5754" t="s">
        <v>7637</v>
      </c>
      <c r="J5754">
        <v>43.78</v>
      </c>
      <c r="K5754" s="4">
        <v>9.2299999999999993E-2</v>
      </c>
      <c r="L5754">
        <v>4.4000000000000004</v>
      </c>
      <c r="M5754">
        <v>276</v>
      </c>
      <c r="O5754" t="s">
        <v>25</v>
      </c>
      <c r="P5754" t="s">
        <v>7638</v>
      </c>
      <c r="Q5754" t="s">
        <v>7639</v>
      </c>
    </row>
    <row r="5755" spans="1:17" ht="15.5" x14ac:dyDescent="0.35">
      <c r="A5755"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755" s="3" t="str">
        <f>HYPERLINK("https://edmondsonsupply.com/products/klein-tools-11053-klein-kurve%c2%ae-wire-stripper-cutter", "https://edmondsonsupply.com/products/klein-tools-11053-klein-kurve%c2%ae-wire-stripper-cutter")</f>
        <v>https://edmondsonsupply.com/products/klein-tools-11053-klein-kurve%c2%ae-wire-stripper-cutter</v>
      </c>
      <c r="C5755" t="s">
        <v>2285</v>
      </c>
      <c r="D5755" t="s">
        <v>4166</v>
      </c>
      <c r="E5755" s="3" t="str">
        <f>HYPERLINK("https://www.amazon.com/Klein-Tools-1010-Crimper-Stripper/dp/B0000302WX/ref=sr_1_4?keywords=Klein+Tools+11053+Klein-Kurve%C2%AE+Wire+Stripper%2FCutter&amp;qid=1695173869&amp;sr=8-4", "https://www.amazon.com/Klein-Tools-1010-Crimper-Stripper/dp/B0000302WX/ref=sr_1_4?keywords=Klein+Tools+11053+Klein-Kurve%C2%AE+Wire+Stripper%2FCutter&amp;qid=1695173869&amp;sr=8-4")</f>
        <v>https://www.amazon.com/Klein-Tools-1010-Crimper-Stripper/dp/B0000302WX/ref=sr_1_4?keywords=Klein+Tools+11053+Klein-Kurve%C2%AE+Wire+Stripper%2FCutter&amp;qid=1695173869&amp;sr=8-4</v>
      </c>
      <c r="F5755" t="s">
        <v>4167</v>
      </c>
      <c r="G5755" t="e">
        <f ca="1">_xludf.IMAGE("https://edmondsonsupply.com/cdn/shop/products/11053.jpg?v=1633030511")</f>
        <v>#NAME?</v>
      </c>
      <c r="H5755" t="e">
        <f ca="1">_xludf.IMAGE("https://m.media-amazon.com/images/I/51hS7c2qzvL._AC_UL320_.jpg")</f>
        <v>#NAME?</v>
      </c>
      <c r="I5755" t="s">
        <v>2288</v>
      </c>
      <c r="J5755">
        <v>22.9</v>
      </c>
      <c r="K5755" s="4">
        <v>9.1999999999999998E-2</v>
      </c>
      <c r="L5755">
        <v>4.8</v>
      </c>
      <c r="M5755">
        <v>1507</v>
      </c>
      <c r="O5755" t="s">
        <v>25</v>
      </c>
      <c r="P5755" t="s">
        <v>2289</v>
      </c>
      <c r="Q5755" t="s">
        <v>2290</v>
      </c>
    </row>
    <row r="5756" spans="1:17" ht="15.5" x14ac:dyDescent="0.35">
      <c r="A5756" s="3" t="str">
        <f>HYPERLINK("https://edmondsonsupply.com/collections/electricians-tools/products/milwaukee-48-39-0572-18-tpi-standard-compact-portable-band-saw-blade-bulk-100", "https://edmondsonsupply.com/collections/electricians-tools/products/milwaukee-48-39-0572-18-tpi-standard-compact-portable-band-saw-blade-bulk-100")</f>
        <v>https://edmondsonsupply.com/collections/electricians-tools/products/milwaukee-48-39-0572-18-tpi-standard-compact-portable-band-saw-blade-bulk-100</v>
      </c>
      <c r="B5756" s="3" t="str">
        <f>HYPERLINK("https://edmondsonsupply.com/products/milwaukee-48-39-0572-18-tpi-standard-compact-portable-band-saw-blade-bulk-100", "https://edmondsonsupply.com/products/milwaukee-48-39-0572-18-tpi-standard-compact-portable-band-saw-blade-bulk-100")</f>
        <v>https://edmondsonsupply.com/products/milwaukee-48-39-0572-18-tpi-standard-compact-portable-band-saw-blade-bulk-100</v>
      </c>
      <c r="C5756" t="s">
        <v>6437</v>
      </c>
      <c r="D5756" t="s">
        <v>7640</v>
      </c>
      <c r="E5756" s="3" t="str">
        <f>HYPERLINK("https://www.amazon.com/FOXBC-Bandsaw-Milwaukee-48-39-0572-Portable/dp/B0BSFB7P8L/ref=sr_1_6?keywords=Milwaukee+48-39-0572+18+TPI+Standard+Compact+Portable+Band+Saw+Blade+BULK+100&amp;qid=1695174058&amp;sr=8-6", "https://www.amazon.com/FOXBC-Bandsaw-Milwaukee-48-39-0572-Portable/dp/B0BSFB7P8L/ref=sr_1_6?keywords=Milwaukee+48-39-0572+18+TPI+Standard+Compact+Portable+Band+Saw+Blade+BULK+100&amp;qid=1695174058&amp;sr=8-6")</f>
        <v>https://www.amazon.com/FOXBC-Bandsaw-Milwaukee-48-39-0572-Portable/dp/B0BSFB7P8L/ref=sr_1_6?keywords=Milwaukee+48-39-0572+18+TPI+Standard+Compact+Portable+Band+Saw+Blade+BULK+100&amp;qid=1695174058&amp;sr=8-6</v>
      </c>
      <c r="F5756" t="s">
        <v>7641</v>
      </c>
      <c r="G5756" t="e">
        <f ca="1">_xludf.IMAGE("https://edmondsonsupply.com/cdn/shop/products/21432_48-39-0510.jpg?v=1678901662")</f>
        <v>#NAME?</v>
      </c>
      <c r="H5756" t="e">
        <f ca="1">_xludf.IMAGE("https://m.media-amazon.com/images/I/61zPgRelNiL._AC_UL320_.jpg")</f>
        <v>#NAME?</v>
      </c>
      <c r="I5756" t="s">
        <v>2247</v>
      </c>
      <c r="J5756">
        <v>23.99</v>
      </c>
      <c r="K5756" s="4">
        <v>9.1899999999999996E-2</v>
      </c>
      <c r="L5756">
        <v>4.4000000000000004</v>
      </c>
      <c r="M5756">
        <v>73</v>
      </c>
      <c r="O5756" t="s">
        <v>25</v>
      </c>
      <c r="P5756" t="s">
        <v>6313</v>
      </c>
      <c r="Q5756" t="s">
        <v>6438</v>
      </c>
    </row>
    <row r="5757" spans="1:17" ht="15.5" x14ac:dyDescent="0.35">
      <c r="A5757"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5757" s="3" t="str">
        <f>HYPERLINK("https://edmondsonsupply.com/products/milwaukee-48-39-0521-18-tpi-band-saw-blade-deep-cut-3-pack", "https://edmondsonsupply.com/products/milwaukee-48-39-0521-18-tpi-band-saw-blade-deep-cut-3-pack")</f>
        <v>https://edmondsonsupply.com/products/milwaukee-48-39-0521-18-tpi-band-saw-blade-deep-cut-3-pack</v>
      </c>
      <c r="C5757" t="s">
        <v>5843</v>
      </c>
      <c r="D5757" t="s">
        <v>5898</v>
      </c>
      <c r="E5757" s="3" t="str">
        <f>HYPERLINK("https://www.amazon.com/FOXBC-Bandsaw-Milwaukee-48-39-0529-Portable/dp/B0C3C69BHQ/ref=sr_1_5?keywords=Milwaukee+48-39-0521+18+TPI+Band+Saw+Blade%2C+Deep+Cut-+3+Pack&amp;qid=1695174009&amp;sr=8-5", "https://www.amazon.com/FOXBC-Bandsaw-Milwaukee-48-39-0529-Portable/dp/B0C3C69BHQ/ref=sr_1_5?keywords=Milwaukee+48-39-0521+18+TPI+Band+Saw+Blade%2C+Deep+Cut-+3+Pack&amp;qid=1695174009&amp;sr=8-5")</f>
        <v>https://www.amazon.com/FOXBC-Bandsaw-Milwaukee-48-39-0529-Portable/dp/B0C3C69BHQ/ref=sr_1_5?keywords=Milwaukee+48-39-0521+18+TPI+Band+Saw+Blade%2C+Deep+Cut-+3+Pack&amp;qid=1695174009&amp;sr=8-5</v>
      </c>
      <c r="F5757" t="s">
        <v>5899</v>
      </c>
      <c r="G5757" t="e">
        <f ca="1">_xludf.IMAGE("https://edmondsonsupply.com/cdn/shop/files/21432_48-39-0510_1.jpg?v=1686932969")</f>
        <v>#NAME?</v>
      </c>
      <c r="H5757" t="e">
        <f ca="1">_xludf.IMAGE("https://m.media-amazon.com/images/I/612OX4NJuxL._AC_UL320_.jpg")</f>
        <v>#NAME?</v>
      </c>
      <c r="I5757" t="s">
        <v>2247</v>
      </c>
      <c r="J5757">
        <v>23.99</v>
      </c>
      <c r="K5757" s="4">
        <v>9.1899999999999996E-2</v>
      </c>
      <c r="L5757">
        <v>4.7</v>
      </c>
      <c r="M5757">
        <v>21</v>
      </c>
      <c r="O5757" t="s">
        <v>25</v>
      </c>
      <c r="P5757" t="s">
        <v>5846</v>
      </c>
      <c r="Q5757" t="s">
        <v>5847</v>
      </c>
    </row>
    <row r="5758" spans="1:17" ht="15.5" x14ac:dyDescent="0.35">
      <c r="A5758"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5758" s="3" t="str">
        <f>HYPERLINK("https://edmondsonsupply.com/products/klein-tools-630-3-8m-3-8-magnetic-tip-nut-driver-3-hollow-shank", "https://edmondsonsupply.com/products/klein-tools-630-3-8m-3-8-magnetic-tip-nut-driver-3-hollow-shank")</f>
        <v>https://edmondsonsupply.com/products/klein-tools-630-3-8m-3-8-magnetic-tip-nut-driver-3-hollow-shank</v>
      </c>
      <c r="C5758" t="s">
        <v>6055</v>
      </c>
      <c r="D5758" t="s">
        <v>7642</v>
      </c>
      <c r="E5758" s="3" t="str">
        <f>HYPERLINK("https://www.amazon.com/Magnetic-Klein-Tools-646-3-8M/dp/B000MKKD78/ref=sr_1_2?keywords=Klein+Tools+630-3%2F8M+3%2F8-Inch+Magnetic+Tip+Nut+Driver&amp;qid=1695174153&amp;sr=8-2", "https://www.amazon.com/Magnetic-Klein-Tools-646-3-8M/dp/B000MKKD78/ref=sr_1_2?keywords=Klein+Tools+630-3%2F8M+3%2F8-Inch+Magnetic+Tip+Nut+Driver&amp;qid=1695174153&amp;sr=8-2")</f>
        <v>https://www.amazon.com/Magnetic-Klein-Tools-646-3-8M/dp/B000MKKD78/ref=sr_1_2?keywords=Klein+Tools+630-3%2F8M+3%2F8-Inch+Magnetic+Tip+Nut+Driver&amp;qid=1695174153&amp;sr=8-2</v>
      </c>
      <c r="F5758" t="s">
        <v>7643</v>
      </c>
      <c r="G5758" t="e">
        <f ca="1">_xludf.IMAGE("https://edmondsonsupply.com/cdn/shop/products/630-3-8m.jpg?v=1587145139")</f>
        <v>#NAME?</v>
      </c>
      <c r="H5758" t="e">
        <f ca="1">_xludf.IMAGE("https://m.media-amazon.com/images/I/41xN-SH9qBL._AC_UL320_.jpg")</f>
        <v>#NAME?</v>
      </c>
      <c r="I5758" t="s">
        <v>6056</v>
      </c>
      <c r="J5758">
        <v>11.99</v>
      </c>
      <c r="K5758" s="4">
        <v>9.0999999999999998E-2</v>
      </c>
      <c r="L5758">
        <v>4.8</v>
      </c>
      <c r="M5758">
        <v>2497</v>
      </c>
      <c r="O5758" t="s">
        <v>25</v>
      </c>
      <c r="P5758" t="s">
        <v>6057</v>
      </c>
      <c r="Q5758" t="s">
        <v>6058</v>
      </c>
    </row>
    <row r="5759" spans="1:17" ht="15.5" x14ac:dyDescent="0.35">
      <c r="A5759"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5759"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5759" t="s">
        <v>7470</v>
      </c>
      <c r="D5759" t="s">
        <v>7644</v>
      </c>
      <c r="E5759" s="3" t="str">
        <f>HYPERLINK("https://www.amazon.com/Crescent-Lufkin-Command-Control-Measure/dp/B09PGYTGMG/ref=sr_1_5?keywords=Crescent+Lufkin+L1025C-02+1-3%2F16%22+x+25%27+Command+Control+Series%E2%84%A2+Yellow+Clad+Tape+Measure&amp;qid=1695174033&amp;sr=8-5", "https://www.amazon.com/Crescent-Lufkin-Command-Control-Measure/dp/B09PGYTGMG/ref=sr_1_5?keywords=Crescent+Lufkin+L1025C-02+1-3%2F16%22+x+25%27+Command+Control+Series%E2%84%A2+Yellow+Clad+Tape+Measure&amp;qid=1695174033&amp;sr=8-5")</f>
        <v>https://www.amazon.com/Crescent-Lufkin-Command-Control-Measure/dp/B09PGYTGMG/ref=sr_1_5?keywords=Crescent+Lufkin+L1025C-02+1-3%2F16%22+x+25%27+Command+Control+Series%E2%84%A2+Yellow+Clad+Tape+Measure&amp;qid=1695174033&amp;sr=8-5</v>
      </c>
      <c r="F5759" t="s">
        <v>7645</v>
      </c>
      <c r="G5759" t="e">
        <f ca="1">_xludf.IMAGE("https://edmondsonsupply.com/cdn/shop/products/LFK_L1025C_4-SIDES_IMG-MAIN1.jpg?v=1680013140")</f>
        <v>#NAME?</v>
      </c>
      <c r="H5759" t="e">
        <f ca="1">_xludf.IMAGE("https://m.media-amazon.com/images/I/71iCWipzYAL._AC_UL320_.jpg")</f>
        <v>#NAME?</v>
      </c>
      <c r="I5759" t="s">
        <v>7473</v>
      </c>
      <c r="J5759">
        <v>16.989999999999998</v>
      </c>
      <c r="K5759" s="4">
        <v>8.9800000000000005E-2</v>
      </c>
      <c r="L5759">
        <v>2.9</v>
      </c>
      <c r="M5759">
        <v>5</v>
      </c>
      <c r="O5759" t="s">
        <v>25</v>
      </c>
      <c r="P5759" t="s">
        <v>6822</v>
      </c>
      <c r="Q5759" t="s">
        <v>7474</v>
      </c>
    </row>
    <row r="5760" spans="1:17" ht="15.5" x14ac:dyDescent="0.35">
      <c r="A5760"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5760"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5760" t="s">
        <v>7470</v>
      </c>
      <c r="D5760" t="s">
        <v>7646</v>
      </c>
      <c r="E5760" s="3" t="str">
        <f>HYPERLINK("https://www.amazon.com/CRESCENT-LUFKIN-Crescent-Lufkin-Command/dp/B09PGYPKZZ/ref=sr_1_6?keywords=Crescent+Lufkin+L1025C-02+1-3%2F16%22+x+25%27+Command+Control+Series%E2%84%A2+Yellow+Clad+Tape+Measure&amp;qid=1695174033&amp;sr=8-6", "https://www.amazon.com/CRESCENT-LUFKIN-Crescent-Lufkin-Command/dp/B09PGYPKZZ/ref=sr_1_6?keywords=Crescent+Lufkin+L1025C-02+1-3%2F16%22+x+25%27+Command+Control+Series%E2%84%A2+Yellow+Clad+Tape+Measure&amp;qid=1695174033&amp;sr=8-6")</f>
        <v>https://www.amazon.com/CRESCENT-LUFKIN-Crescent-Lufkin-Command/dp/B09PGYPKZZ/ref=sr_1_6?keywords=Crescent+Lufkin+L1025C-02+1-3%2F16%22+x+25%27+Command+Control+Series%E2%84%A2+Yellow+Clad+Tape+Measure&amp;qid=1695174033&amp;sr=8-6</v>
      </c>
      <c r="F5760" t="s">
        <v>7647</v>
      </c>
      <c r="G5760" t="e">
        <f ca="1">_xludf.IMAGE("https://edmondsonsupply.com/cdn/shop/products/LFK_L1025C_4-SIDES_IMG-MAIN1.jpg?v=1680013140")</f>
        <v>#NAME?</v>
      </c>
      <c r="H5760" t="e">
        <f ca="1">_xludf.IMAGE("https://m.media-amazon.com/images/I/61bn8qQzbBL._AC_UL320_.jpg")</f>
        <v>#NAME?</v>
      </c>
      <c r="I5760" t="s">
        <v>7473</v>
      </c>
      <c r="J5760">
        <v>16.989999999999998</v>
      </c>
      <c r="K5760" s="4">
        <v>8.9800000000000005E-2</v>
      </c>
      <c r="L5760">
        <v>5</v>
      </c>
      <c r="M5760">
        <v>4</v>
      </c>
      <c r="O5760" t="s">
        <v>25</v>
      </c>
      <c r="P5760" t="s">
        <v>6822</v>
      </c>
      <c r="Q5760" t="s">
        <v>7474</v>
      </c>
    </row>
    <row r="5761" spans="1:17" ht="15.5" x14ac:dyDescent="0.35">
      <c r="A5761"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5761"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5761" t="s">
        <v>7470</v>
      </c>
      <c r="D5761" t="s">
        <v>7648</v>
      </c>
      <c r="E5761" s="3" t="str">
        <f>HYPERLINK("https://www.amazon.com/Crescent-Lufkin-Command-Control-Measure/dp/B07WP71GPH/ref=sr_1_3?keywords=Crescent+Lufkin+L1025C-02+1-3%2F16%22+x+25%27+Command+Control+Series%E2%84%A2+Yellow+Clad+Tape+Measure&amp;qid=1695174033&amp;sr=8-3", "https://www.amazon.com/Crescent-Lufkin-Command-Control-Measure/dp/B07WP71GPH/ref=sr_1_3?keywords=Crescent+Lufkin+L1025C-02+1-3%2F16%22+x+25%27+Command+Control+Series%E2%84%A2+Yellow+Clad+Tape+Measure&amp;qid=1695174033&amp;sr=8-3")</f>
        <v>https://www.amazon.com/Crescent-Lufkin-Command-Control-Measure/dp/B07WP71GPH/ref=sr_1_3?keywords=Crescent+Lufkin+L1025C-02+1-3%2F16%22+x+25%27+Command+Control+Series%E2%84%A2+Yellow+Clad+Tape+Measure&amp;qid=1695174033&amp;sr=8-3</v>
      </c>
      <c r="F5761" t="s">
        <v>7649</v>
      </c>
      <c r="G5761" t="e">
        <f ca="1">_xludf.IMAGE("https://edmondsonsupply.com/cdn/shop/products/LFK_L1025C_4-SIDES_IMG-MAIN1.jpg?v=1680013140")</f>
        <v>#NAME?</v>
      </c>
      <c r="H5761" t="e">
        <f ca="1">_xludf.IMAGE("https://m.media-amazon.com/images/I/61bn8qQzbBL._AC_UL320_.jpg")</f>
        <v>#NAME?</v>
      </c>
      <c r="I5761" t="s">
        <v>7473</v>
      </c>
      <c r="J5761">
        <v>16.989999999999998</v>
      </c>
      <c r="K5761" s="4">
        <v>8.9800000000000005E-2</v>
      </c>
      <c r="L5761">
        <v>4.2</v>
      </c>
      <c r="M5761">
        <v>2589</v>
      </c>
      <c r="O5761" t="s">
        <v>25</v>
      </c>
      <c r="P5761" t="s">
        <v>6822</v>
      </c>
      <c r="Q5761" t="s">
        <v>7474</v>
      </c>
    </row>
    <row r="5762" spans="1:17" ht="15.5" x14ac:dyDescent="0.35">
      <c r="A5762"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5762" s="3" t="str">
        <f>HYPERLINK("https://edmondsonsupply.com/products/diablo-tools-dag3090-7-8-in-x-17-1-2-in-auger-bit", "https://edmondsonsupply.com/products/diablo-tools-dag3090-7-8-in-x-17-1-2-in-auger-bit")</f>
        <v>https://edmondsonsupply.com/products/diablo-tools-dag3090-7-8-in-x-17-1-2-in-auger-bit</v>
      </c>
      <c r="C5762" t="s">
        <v>7269</v>
      </c>
      <c r="D5762" t="s">
        <v>7181</v>
      </c>
      <c r="E5762" s="3" t="str">
        <f>HYPERLINK("https://www.amazon.com/Diablo-17-1-Auger-Bit/dp/B089LHKRPP/ref=sr_1_4?keywords=Diablo+Tools+DAG3090+7%2F8+in.+x+17-1%2F2+in.+Auger+Bit&amp;qid=1695174065&amp;sr=8-4", "https://www.amazon.com/Diablo-17-1-Auger-Bit/dp/B089LHKRPP/ref=sr_1_4?keywords=Diablo+Tools+DAG3090+7%2F8+in.+x+17-1%2F2+in.+Auger+Bit&amp;qid=1695174065&amp;sr=8-4")</f>
        <v>https://www.amazon.com/Diablo-17-1-Auger-Bit/dp/B089LHKRPP/ref=sr_1_4?keywords=Diablo+Tools+DAG3090+7%2F8+in.+x+17-1%2F2+in.+Auger+Bit&amp;qid=1695174065&amp;sr=8-4</v>
      </c>
      <c r="F5762" t="s">
        <v>7182</v>
      </c>
      <c r="G5762" t="e">
        <f ca="1">_xludf.IMAGE("https://edmondsonsupply.com/cdn/shop/products/aorgtpkivjubhtbiiau0.webp?v=1677256849")</f>
        <v>#NAME?</v>
      </c>
      <c r="H5762" t="e">
        <f ca="1">_xludf.IMAGE("https://m.media-amazon.com/images/I/61aMNURt08L._AC_UL320_.jpg")</f>
        <v>#NAME?</v>
      </c>
      <c r="I5762" t="s">
        <v>1589</v>
      </c>
      <c r="J5762">
        <v>25</v>
      </c>
      <c r="K5762" s="4">
        <v>8.7400000000000005E-2</v>
      </c>
      <c r="L5762">
        <v>4.5999999999999996</v>
      </c>
      <c r="M5762">
        <v>61</v>
      </c>
      <c r="O5762" t="s">
        <v>25</v>
      </c>
      <c r="P5762" t="s">
        <v>7270</v>
      </c>
      <c r="Q5762" t="s">
        <v>7271</v>
      </c>
    </row>
    <row r="5763" spans="1:17" ht="15.5" x14ac:dyDescent="0.35">
      <c r="A5763" s="3" t="str">
        <f>HYPERLINK("https://edmondsonsupply.com/collections/electricians-tools/products/klein-tools-614-2-1-16-inch-slotted-electronics-screwdriver-2-inch", "https://edmondsonsupply.com/collections/electricians-tools/products/klein-tools-614-2-1-16-inch-slotted-electronics-screwdriver-2-inch")</f>
        <v>https://edmondsonsupply.com/collections/electricians-tools/products/klein-tools-614-2-1-16-inch-slotted-electronics-screwdriver-2-inch</v>
      </c>
      <c r="B5763" s="3" t="str">
        <f>HYPERLINK("https://edmondsonsupply.com/products/klein-tools-614-2-1-16-inch-slotted-electronics-screwdriver-2-inch", "https://edmondsonsupply.com/products/klein-tools-614-2-1-16-inch-slotted-electronics-screwdriver-2-inch")</f>
        <v>https://edmondsonsupply.com/products/klein-tools-614-2-1-16-inch-slotted-electronics-screwdriver-2-inch</v>
      </c>
      <c r="C5763" t="s">
        <v>6393</v>
      </c>
      <c r="D5763" t="s">
        <v>7650</v>
      </c>
      <c r="E5763" s="3" t="str">
        <f>HYPERLINK("https://www.amazon.com/Electronics-Screwdriver-Klein-Tools-614-2/dp/B00B9HIBYU/ref=sr_1_1?keywords=Klein+Tools+614-2+1%2F16-Inch+Slotted+Electronics+Screwdriver%2C+2-Inch&amp;qid=1695174229&amp;sr=8-1", "https://www.amazon.com/Electronics-Screwdriver-Klein-Tools-614-2/dp/B00B9HIBYU/ref=sr_1_1?keywords=Klein+Tools+614-2+1%2F16-Inch+Slotted+Electronics+Screwdriver%2C+2-Inch&amp;qid=1695174229&amp;sr=8-1")</f>
        <v>https://www.amazon.com/Electronics-Screwdriver-Klein-Tools-614-2/dp/B00B9HIBYU/ref=sr_1_1?keywords=Klein+Tools+614-2+1%2F16-Inch+Slotted+Electronics+Screwdriver%2C+2-Inch&amp;qid=1695174229&amp;sr=8-1</v>
      </c>
      <c r="F5763" t="s">
        <v>7651</v>
      </c>
      <c r="G5763" t="e">
        <f ca="1">_xludf.IMAGE("https://edmondsonsupply.com/cdn/shop/products/614-2.jpg?v=1637284311")</f>
        <v>#NAME?</v>
      </c>
      <c r="H5763" t="e">
        <f ca="1">_xludf.IMAGE("https://m.media-amazon.com/images/I/4122Rvtcf2L._AC_UL320_.jpg")</f>
        <v>#NAME?</v>
      </c>
      <c r="I5763" t="s">
        <v>6394</v>
      </c>
      <c r="J5763">
        <v>9.23</v>
      </c>
      <c r="K5763" s="4">
        <v>8.72E-2</v>
      </c>
      <c r="L5763">
        <v>4.7</v>
      </c>
      <c r="M5763">
        <v>332</v>
      </c>
      <c r="O5763" t="s">
        <v>25</v>
      </c>
      <c r="P5763" t="s">
        <v>6395</v>
      </c>
      <c r="Q5763" t="s">
        <v>6396</v>
      </c>
    </row>
    <row r="5764" spans="1:17" ht="15.5" x14ac:dyDescent="0.35">
      <c r="A5764" s="3" t="str">
        <f>HYPERLINK("https://edmondsonsupply.com/collections/electricians-tools/products/rack-a-tiers-72101-the-nut-blaster-xl-yellow", "https://edmondsonsupply.com/collections/electricians-tools/products/rack-a-tiers-72101-the-nut-blaster-xl-yellow")</f>
        <v>https://edmondsonsupply.com/collections/electricians-tools/products/rack-a-tiers-72101-the-nut-blaster-xl-yellow</v>
      </c>
      <c r="B5764" s="3" t="str">
        <f>HYPERLINK("https://edmondsonsupply.com/products/rack-a-tiers-72101-the-nut-blaster-xl-yellow", "https://edmondsonsupply.com/products/rack-a-tiers-72101-the-nut-blaster-xl-yellow")</f>
        <v>https://edmondsonsupply.com/products/rack-a-tiers-72101-the-nut-blaster-xl-yellow</v>
      </c>
      <c r="C5764" t="s">
        <v>7652</v>
      </c>
      <c r="D5764" t="s">
        <v>7653</v>
      </c>
      <c r="E5764" s="3" t="str">
        <f>HYPERLINK("https://www.amazon.com/Rack-Tiers-72101-Blaster-XL/dp/B0087TBPS2/ref=sr_1_1?keywords=Rack-A-Tiers+72101+The+Nut+Blaster+-+XL+Yellow&amp;qid=1695174070&amp;sr=8-1", "https://www.amazon.com/Rack-Tiers-72101-Blaster-XL/dp/B0087TBPS2/ref=sr_1_1?keywords=Rack-A-Tiers+72101+The+Nut+Blaster+-+XL+Yellow&amp;qid=1695174070&amp;sr=8-1")</f>
        <v>https://www.amazon.com/Rack-Tiers-72101-Blaster-XL/dp/B0087TBPS2/ref=sr_1_1?keywords=Rack-A-Tiers+72101+The+Nut+Blaster+-+XL+Yellow&amp;qid=1695174070&amp;sr=8-1</v>
      </c>
      <c r="F5764" t="s">
        <v>7654</v>
      </c>
      <c r="G5764" t="e">
        <f ca="1">_xludf.IMAGE("https://edmondsonsupply.com/cdn/shop/products/72101-72102-Nut-Blaster-XL-and-XXL-1.webp?v=1677011483")</f>
        <v>#NAME?</v>
      </c>
      <c r="H5764" t="e">
        <f ca="1">_xludf.IMAGE("https://m.media-amazon.com/images/I/41BlhdjFsAL._AC_UL320_.jpg")</f>
        <v>#NAME?</v>
      </c>
      <c r="I5764" t="s">
        <v>7019</v>
      </c>
      <c r="J5764">
        <v>12.49</v>
      </c>
      <c r="K5764" s="4">
        <v>8.6999999999999994E-2</v>
      </c>
      <c r="L5764">
        <v>4.5</v>
      </c>
      <c r="M5764">
        <v>1366</v>
      </c>
      <c r="O5764" t="s">
        <v>25</v>
      </c>
      <c r="P5764" t="s">
        <v>6632</v>
      </c>
      <c r="Q5764" t="s">
        <v>7655</v>
      </c>
    </row>
    <row r="5765" spans="1:17" ht="15.5" x14ac:dyDescent="0.35">
      <c r="A5765" s="3" t="str">
        <f>HYPERLINK("https://edmondsonsupply.com/collections/electricians-tools/products/rack-a-tiers-84100-chip-catcher", "https://edmondsonsupply.com/collections/electricians-tools/products/rack-a-tiers-84100-chip-catcher")</f>
        <v>https://edmondsonsupply.com/collections/electricians-tools/products/rack-a-tiers-84100-chip-catcher</v>
      </c>
      <c r="B5765" s="3" t="str">
        <f>HYPERLINK("https://edmondsonsupply.com/products/rack-a-tiers-84100-chip-catcher", "https://edmondsonsupply.com/products/rack-a-tiers-84100-chip-catcher")</f>
        <v>https://edmondsonsupply.com/products/rack-a-tiers-84100-chip-catcher</v>
      </c>
      <c r="C5765" t="s">
        <v>7656</v>
      </c>
      <c r="D5765" t="s">
        <v>7657</v>
      </c>
      <c r="E5765" s="3" t="str">
        <f>HYPERLINK("https://www.amazon.com/Rack-Tiers-Magnetic-shavings-84100/dp/B00TQZDAMK/ref=sr_1_1?keywords=Rack-A-Tiers+84100+Chip+Catcher&amp;qid=1695173853&amp;sr=8-1", "https://www.amazon.com/Rack-Tiers-Magnetic-shavings-84100/dp/B00TQZDAMK/ref=sr_1_1?keywords=Rack-A-Tiers+84100+Chip+Catcher&amp;qid=1695173853&amp;sr=8-1")</f>
        <v>https://www.amazon.com/Rack-Tiers-Magnetic-shavings-84100/dp/B00TQZDAMK/ref=sr_1_1?keywords=Rack-A-Tiers+84100+Chip+Catcher&amp;qid=1695173853&amp;sr=8-1</v>
      </c>
      <c r="F5765" t="s">
        <v>7658</v>
      </c>
      <c r="G5765" t="e">
        <f ca="1">_xludf.IMAGE("https://edmondsonsupply.com/cdn/shop/products/84100-Chip-Catcher-1.png?v=1587149538")</f>
        <v>#NAME?</v>
      </c>
      <c r="H5765" t="e">
        <f ca="1">_xludf.IMAGE("https://m.media-amazon.com/images/I/41jSoyfV2AL._AC_UL320_.jpg")</f>
        <v>#NAME?</v>
      </c>
      <c r="I5765" t="s">
        <v>1589</v>
      </c>
      <c r="J5765">
        <v>24.99</v>
      </c>
      <c r="K5765" s="4">
        <v>8.6999999999999994E-2</v>
      </c>
      <c r="L5765">
        <v>4.5</v>
      </c>
      <c r="M5765">
        <v>59</v>
      </c>
      <c r="O5765" t="s">
        <v>25</v>
      </c>
      <c r="P5765" t="s">
        <v>471</v>
      </c>
      <c r="Q5765" t="s">
        <v>7659</v>
      </c>
    </row>
    <row r="5766" spans="1:17" ht="15.5" x14ac:dyDescent="0.35">
      <c r="A5766" s="3" t="str">
        <f>HYPERLINK("https://edmondsonsupply.com/collections/electricians-tools/products/rack-a-tiers-80090-the-nut-snugger-kit-1-2-3-4-magnetic-locknut-holder", "https://edmondsonsupply.com/collections/electricians-tools/products/rack-a-tiers-80090-the-nut-snugger-kit-1-2-3-4-magnetic-locknut-holder")</f>
        <v>https://edmondsonsupply.com/collections/electricians-tools/products/rack-a-tiers-80090-the-nut-snugger-kit-1-2-3-4-magnetic-locknut-holder</v>
      </c>
      <c r="B5766" s="3" t="str">
        <f>HYPERLINK("https://edmondsonsupply.com/products/rack-a-tiers-80090-the-nut-snugger-kit-1-2-3-4-magnetic-locknut-holder", "https://edmondsonsupply.com/products/rack-a-tiers-80090-the-nut-snugger-kit-1-2-3-4-magnetic-locknut-holder")</f>
        <v>https://edmondsonsupply.com/products/rack-a-tiers-80090-the-nut-snugger-kit-1-2-3-4-magnetic-locknut-holder</v>
      </c>
      <c r="C5766" t="s">
        <v>7660</v>
      </c>
      <c r="D5766" t="s">
        <v>6677</v>
      </c>
      <c r="E5766" s="3" t="str">
        <f>HYPERLINK("https://www.amazon.com/Rack-Tiers-Nut-Snugger-Kit/dp/B0BX4MB59Q/ref=sr_1_1?keywords=Rack-A-Tiers+80090+The+Nut+Snugger+Kit+-+1%2F2&amp;qid=1695174128&amp;sr=8-1", "https://www.amazon.com/Rack-Tiers-Nut-Snugger-Kit/dp/B0BX4MB59Q/ref=sr_1_1?keywords=Rack-A-Tiers+80090+The+Nut+Snugger+Kit+-+1%2F2&amp;qid=1695174128&amp;sr=8-1")</f>
        <v>https://www.amazon.com/Rack-Tiers-Nut-Snugger-Kit/dp/B0BX4MB59Q/ref=sr_1_1?keywords=Rack-A-Tiers+80090+The+Nut+Snugger+Kit+-+1%2F2&amp;qid=1695174128&amp;sr=8-1</v>
      </c>
      <c r="F5766" t="s">
        <v>6678</v>
      </c>
      <c r="G5766" t="e">
        <f ca="1">_xludf.IMAGE("https://edmondsonsupply.com/cdn/shop/products/820XX-Nut-Snugger_c9aae897-213e-499d-a6ba-7f1e2d3c2249.png?v=1667153419")</f>
        <v>#NAME?</v>
      </c>
      <c r="H5766" t="e">
        <f ca="1">_xludf.IMAGE("https://m.media-amazon.com/images/I/31gF-2h5bgL._AC_UY218_.jpg")</f>
        <v>#NAME?</v>
      </c>
      <c r="I5766" t="s">
        <v>3699</v>
      </c>
      <c r="J5766">
        <v>68.989999999999995</v>
      </c>
      <c r="K5766" s="4">
        <v>8.6599999999999996E-2</v>
      </c>
      <c r="L5766">
        <v>5</v>
      </c>
      <c r="M5766">
        <v>2</v>
      </c>
      <c r="O5766" t="s">
        <v>25</v>
      </c>
      <c r="P5766" t="s">
        <v>1543</v>
      </c>
      <c r="Q5766" t="s">
        <v>7661</v>
      </c>
    </row>
    <row r="5767" spans="1:17" ht="15.5" x14ac:dyDescent="0.35">
      <c r="A5767"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5767" s="3" t="str">
        <f>HYPERLINK("https://edmondsonsupply.com/products/klein-tools-58888-12-pocket-tool-tote-with-shoulder-strap", "https://edmondsonsupply.com/products/klein-tools-58888-12-pocket-tool-tote-with-shoulder-strap")</f>
        <v>https://edmondsonsupply.com/products/klein-tools-58888-12-pocket-tool-tote-with-shoulder-strap</v>
      </c>
      <c r="C5767" t="s">
        <v>445</v>
      </c>
      <c r="D5767" t="s">
        <v>505</v>
      </c>
      <c r="E5767" s="3" t="str">
        <f>HYPERLINK("https://www.amazon.com/Shoulder-Interior-Klein-Tools-5541610-14/dp/B00MS16CU6/ref=sr_1_3?keywords=Klein+Tools+58888+12+Pocket+Tool+Tote+with+Shoulder+Strap&amp;qid=1695174176&amp;sr=8-3", "https://www.amazon.com/Shoulder-Interior-Klein-Tools-5541610-14/dp/B00MS16CU6/ref=sr_1_3?keywords=Klein+Tools+58888+12+Pocket+Tool+Tote+with+Shoulder+Strap&amp;qid=1695174176&amp;sr=8-3")</f>
        <v>https://www.amazon.com/Shoulder-Interior-Klein-Tools-5541610-14/dp/B00MS16CU6/ref=sr_1_3?keywords=Klein+Tools+58888+12+Pocket+Tool+Tote+with+Shoulder+Strap&amp;qid=1695174176&amp;sr=8-3</v>
      </c>
      <c r="F5767" t="s">
        <v>506</v>
      </c>
      <c r="G5767" t="e">
        <f ca="1">_xludf.IMAGE("https://edmondsonsupply.com/cdn/shop/products/58888.jpg?v=1660004615")</f>
        <v>#NAME?</v>
      </c>
      <c r="H5767" t="e">
        <f ca="1">_xludf.IMAGE("https://m.media-amazon.com/images/I/61ach47aWeL._AC_UL320_.jpg")</f>
        <v>#NAME?</v>
      </c>
      <c r="I5767" t="s">
        <v>448</v>
      </c>
      <c r="J5767">
        <v>90.15</v>
      </c>
      <c r="K5767" s="4">
        <v>8.6300000000000002E-2</v>
      </c>
      <c r="L5767">
        <v>4.8</v>
      </c>
      <c r="M5767">
        <v>2932</v>
      </c>
      <c r="O5767" t="s">
        <v>25</v>
      </c>
      <c r="P5767" t="s">
        <v>449</v>
      </c>
      <c r="Q5767" t="s">
        <v>450</v>
      </c>
    </row>
    <row r="5768" spans="1:17" ht="15.5" x14ac:dyDescent="0.35">
      <c r="A5768"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5768"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5768" t="s">
        <v>6932</v>
      </c>
      <c r="D5768" t="s">
        <v>7662</v>
      </c>
      <c r="E5768" s="3" t="str">
        <f>HYPERLINK("https://www.amazon.com/Diablo-Freud-DOU125BF3-Universal-Oscillating/dp/B089KTHL1Z/ref=sr_1_9?keywords=Diablo+Tools+DOU250JBW+2-1%2F2+in.+Universal+Fit+Bi-Metal+Oscillating+Blade+for+Clean+Wood&amp;qid=1695174020&amp;sr=8-9", "https://www.amazon.com/Diablo-Freud-DOU125BF3-Universal-Oscillating/dp/B089KTHL1Z/ref=sr_1_9?keywords=Diablo+Tools+DOU250JBW+2-1%2F2+in.+Universal+Fit+Bi-Metal+Oscillating+Blade+for+Clean+Wood&amp;qid=1695174020&amp;sr=8-9")</f>
        <v>https://www.amazon.com/Diablo-Freud-DOU125BF3-Universal-Oscillating/dp/B089KTHL1Z/ref=sr_1_9?keywords=Diablo+Tools+DOU250JBW+2-1%2F2+in.+Universal+Fit+Bi-Metal+Oscillating+Blade+for+Clean+Wood&amp;qid=1695174020&amp;sr=8-9</v>
      </c>
      <c r="F5768" t="s">
        <v>7663</v>
      </c>
      <c r="G5768" t="e">
        <f ca="1">_xludf.IMAGE("https://edmondsonsupply.com/cdn/shop/files/pycnap4eb1urn2hxvudq.webp?v=1685718789")</f>
        <v>#NAME?</v>
      </c>
      <c r="H5768" t="e">
        <f ca="1">_xludf.IMAGE("https://m.media-amazon.com/images/I/61mZfXlj-XL._AC_UL320_.jpg")</f>
        <v>#NAME?</v>
      </c>
      <c r="I5768" t="s">
        <v>6935</v>
      </c>
      <c r="J5768">
        <v>16.989999999999998</v>
      </c>
      <c r="K5768" s="4">
        <v>8.5599999999999996E-2</v>
      </c>
      <c r="L5768">
        <v>4.2</v>
      </c>
      <c r="M5768">
        <v>14</v>
      </c>
      <c r="O5768" t="s">
        <v>25</v>
      </c>
      <c r="P5768" t="s">
        <v>6936</v>
      </c>
      <c r="Q5768" t="s">
        <v>6937</v>
      </c>
    </row>
    <row r="5769" spans="1:17" ht="15.5" x14ac:dyDescent="0.35">
      <c r="A5769"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5769" s="3" t="str">
        <f>HYPERLINK("https://edmondsonsupply.com/products/diablo-tools-d0740x-7-1-4-in-x-40-tooth-finish-saw-blade", "https://edmondsonsupply.com/products/diablo-tools-d0740x-7-1-4-in-x-40-tooth-finish-saw-blade")</f>
        <v>https://edmondsonsupply.com/products/diablo-tools-d0740x-7-1-4-in-x-40-tooth-finish-saw-blade</v>
      </c>
      <c r="C5769" t="s">
        <v>6112</v>
      </c>
      <c r="D5769" t="s">
        <v>7664</v>
      </c>
      <c r="E5769" s="3" t="str">
        <f>HYPERLINK("https://www.amazon.com/Freud-D0740A-Finishing-Knockout-PermaShield/dp/B00008WQ2G/ref=sr_1_1?keywords=Diablo+Tools+D0740X+7-1%2F4+in.+x+40+Tooth+Finish+Saw+Blade&amp;qid=1695174073&amp;sr=8-1", "https://www.amazon.com/Freud-D0740A-Finishing-Knockout-PermaShield/dp/B00008WQ2G/ref=sr_1_1?keywords=Diablo+Tools+D0740X+7-1%2F4+in.+x+40+Tooth+Finish+Saw+Blade&amp;qid=1695174073&amp;sr=8-1")</f>
        <v>https://www.amazon.com/Freud-D0740A-Finishing-Knockout-PermaShield/dp/B00008WQ2G/ref=sr_1_1?keywords=Diablo+Tools+D0740X+7-1%2F4+in.+x+40+Tooth+Finish+Saw+Blade&amp;qid=1695174073&amp;sr=8-1</v>
      </c>
      <c r="F5769" t="s">
        <v>7665</v>
      </c>
      <c r="G5769" t="e">
        <f ca="1">_xludf.IMAGE("https://edmondsonsupply.com/cdn/shop/products/kdrkrhhsfpivsggxnkhy.webp?v=1678975834")</f>
        <v>#NAME?</v>
      </c>
      <c r="H5769" t="e">
        <f ca="1">_xludf.IMAGE("https://m.media-amazon.com/images/I/71P5utUYOqL._AC_UL320_.jpg")</f>
        <v>#NAME?</v>
      </c>
      <c r="I5769" t="s">
        <v>2784</v>
      </c>
      <c r="J5769">
        <v>16.239999999999998</v>
      </c>
      <c r="K5769" s="4">
        <v>8.48E-2</v>
      </c>
      <c r="L5769">
        <v>4.7</v>
      </c>
      <c r="M5769">
        <v>2849</v>
      </c>
      <c r="O5769" t="s">
        <v>25</v>
      </c>
      <c r="P5769" t="s">
        <v>6115</v>
      </c>
      <c r="Q5769" t="s">
        <v>6116</v>
      </c>
    </row>
    <row r="5770" spans="1:17" ht="15.5" x14ac:dyDescent="0.35">
      <c r="A5770"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5770" s="3" t="str">
        <f>HYPERLINK("https://edmondsonsupply.com/products/klein-tools-et600-insulation-resistance-tester", "https://edmondsonsupply.com/products/klein-tools-et600-insulation-resistance-tester")</f>
        <v>https://edmondsonsupply.com/products/klein-tools-et600-insulation-resistance-tester</v>
      </c>
      <c r="C5770" t="s">
        <v>6505</v>
      </c>
      <c r="D5770" t="s">
        <v>7666</v>
      </c>
      <c r="E5770" s="3" t="str">
        <f>HYPERLINK("https://www.amazon.com/Klein-Tools-Multimeter-MegohmmeterInsulation-Rare-Earth/dp/B09T6YCW54/ref=sr_1_2?keywords=Klein+Tools+ET600+Insulation+Resistance+Tester&amp;qid=1695173907&amp;sr=8-2", "https://www.amazon.com/Klein-Tools-Multimeter-MegohmmeterInsulation-Rare-Earth/dp/B09T6YCW54/ref=sr_1_2?keywords=Klein+Tools+ET600+Insulation+Resistance+Tester&amp;qid=1695173907&amp;sr=8-2")</f>
        <v>https://www.amazon.com/Klein-Tools-Multimeter-MegohmmeterInsulation-Rare-Earth/dp/B09T6YCW54/ref=sr_1_2?keywords=Klein+Tools+ET600+Insulation+Resistance+Tester&amp;qid=1695173907&amp;sr=8-2</v>
      </c>
      <c r="F5770" t="s">
        <v>7667</v>
      </c>
      <c r="G5770" t="e">
        <f ca="1">_xludf.IMAGE("https://edmondsonsupply.com/cdn/shop/products/et600_accessories_b.jpg?v=1677685603")</f>
        <v>#NAME?</v>
      </c>
      <c r="H5770" t="e">
        <f ca="1">_xludf.IMAGE("https://m.media-amazon.com/images/I/514bUmc4y+L._AC_UY218_.jpg")</f>
        <v>#NAME?</v>
      </c>
      <c r="I5770" t="s">
        <v>6506</v>
      </c>
      <c r="J5770">
        <v>178.98</v>
      </c>
      <c r="K5770" s="4">
        <v>8.48E-2</v>
      </c>
      <c r="L5770">
        <v>4.8</v>
      </c>
      <c r="M5770">
        <v>11</v>
      </c>
      <c r="O5770" t="s">
        <v>25</v>
      </c>
      <c r="P5770" t="s">
        <v>6507</v>
      </c>
      <c r="Q5770" t="s">
        <v>6508</v>
      </c>
    </row>
    <row r="5771" spans="1:17" ht="15.5" x14ac:dyDescent="0.35">
      <c r="A5771" s="3" t="str">
        <f>HYPERLINK("https://edmondsonsupply.com/collections/electricians-tools/products/rack-a-tiers-43095-electricians-grande-butt-pouch", "https://edmondsonsupply.com/collections/electricians-tools/products/rack-a-tiers-43095-electricians-grande-butt-pouch")</f>
        <v>https://edmondsonsupply.com/collections/electricians-tools/products/rack-a-tiers-43095-electricians-grande-butt-pouch</v>
      </c>
      <c r="B5771" s="3" t="str">
        <f>HYPERLINK("https://edmondsonsupply.com/products/rack-a-tiers-43095-electricians-grande-butt-pouch", "https://edmondsonsupply.com/products/rack-a-tiers-43095-electricians-grande-butt-pouch")</f>
        <v>https://edmondsonsupply.com/products/rack-a-tiers-43095-electricians-grande-butt-pouch</v>
      </c>
      <c r="C5771" t="s">
        <v>3598</v>
      </c>
      <c r="D5771" t="s">
        <v>4174</v>
      </c>
      <c r="E5771" s="3" t="str">
        <f>HYPERLINK("https://www.amazon.com/Rack-Tiers-43095-Pocket-Holder/dp/B079DWYQQF/ref=sr_1_2?keywords=Rack-A-Tiers+43095+Electrician%27s+Grande+Butt+Pouch&amp;qid=1695173924&amp;sr=8-2", "https://www.amazon.com/Rack-Tiers-43095-Pocket-Holder/dp/B079DWYQQF/ref=sr_1_2?keywords=Rack-A-Tiers+43095+Electrician%27s+Grande+Butt+Pouch&amp;qid=1695173924&amp;sr=8-2")</f>
        <v>https://www.amazon.com/Rack-Tiers-43095-Pocket-Holder/dp/B079DWYQQF/ref=sr_1_2?keywords=Rack-A-Tiers+43095+Electrician%27s+Grande+Butt+Pouch&amp;qid=1695173924&amp;sr=8-2</v>
      </c>
      <c r="F5771" t="s">
        <v>4175</v>
      </c>
      <c r="G5771" t="e">
        <f ca="1">_xludf.IMAGE("https://edmondsonsupply.com/cdn/shop/products/43095-Grande-Butt-Pouch-1-1-1-1-1-300x300.png?v=1633030598")</f>
        <v>#NAME?</v>
      </c>
      <c r="H5771" t="e">
        <f ca="1">_xludf.IMAGE("https://m.media-amazon.com/images/I/51y+Jt8bC5L._AC_UL320_.jpg")</f>
        <v>#NAME?</v>
      </c>
      <c r="I5771" t="s">
        <v>3601</v>
      </c>
      <c r="J5771">
        <v>31.99</v>
      </c>
      <c r="K5771" s="4">
        <v>8.48E-2</v>
      </c>
      <c r="L5771">
        <v>5</v>
      </c>
      <c r="M5771">
        <v>1</v>
      </c>
      <c r="O5771" t="s">
        <v>25</v>
      </c>
      <c r="P5771" t="s">
        <v>3602</v>
      </c>
      <c r="Q5771" t="s">
        <v>3603</v>
      </c>
    </row>
    <row r="5772" spans="1:17" ht="15.5" x14ac:dyDescent="0.35">
      <c r="A5772" s="3" t="str">
        <f>HYPERLINK("https://edmondsonsupply.com/collections/electricians-tools/products/reed-mfg-rwo10-10-heavy-duty-45-offset-pipe-wrench", "https://edmondsonsupply.com/collections/electricians-tools/products/reed-mfg-rwo10-10-heavy-duty-45-offset-pipe-wrench")</f>
        <v>https://edmondsonsupply.com/collections/electricians-tools/products/reed-mfg-rwo10-10-heavy-duty-45-offset-pipe-wrench</v>
      </c>
      <c r="B5772" s="3" t="str">
        <f>HYPERLINK("https://edmondsonsupply.com/products/reed-mfg-rwo10-10-heavy-duty-45-offset-pipe-wrench", "https://edmondsonsupply.com/products/reed-mfg-rwo10-10-heavy-duty-45-offset-pipe-wrench")</f>
        <v>https://edmondsonsupply.com/products/reed-mfg-rwo10-10-heavy-duty-45-offset-pipe-wrench</v>
      </c>
      <c r="C5772" t="s">
        <v>7668</v>
      </c>
      <c r="D5772" t="s">
        <v>7669</v>
      </c>
      <c r="E5772" s="3" t="str">
        <f>HYPERLINK("https://www.amazon.com/Reed-Tool-RWO10-Offset-10-Inch/dp/B001H4K3KK/ref=sr_1_1?keywords=Reed+Mfg+RWO10+10%22+Heavy-Duty+45%C2%B0+Offset+Pipe+Wrench&amp;qid=1695174270&amp;sr=8-1", "https://www.amazon.com/Reed-Tool-RWO10-Offset-10-Inch/dp/B001H4K3KK/ref=sr_1_1?keywords=Reed+Mfg+RWO10+10%22+Heavy-Duty+45%C2%B0+Offset+Pipe+Wrench&amp;qid=1695174270&amp;sr=8-1")</f>
        <v>https://www.amazon.com/Reed-Tool-RWO10-Offset-10-Inch/dp/B001H4K3KK/ref=sr_1_1?keywords=Reed+Mfg+RWO10+10%22+Heavy-Duty+45%C2%B0+Offset+Pipe+Wrench&amp;qid=1695174270&amp;sr=8-1</v>
      </c>
      <c r="F5772" t="s">
        <v>7670</v>
      </c>
      <c r="G5772" t="e">
        <f ca="1">_xludf.IMAGE("https://edmondsonsupply.com/cdn/shop/products/02220-RWO10-RGB.jpg?v=1633031011")</f>
        <v>#NAME?</v>
      </c>
      <c r="H5772" t="e">
        <f ca="1">_xludf.IMAGE("https://m.media-amazon.com/images/I/411qsxTmSzL._AC_UL320_.jpg")</f>
        <v>#NAME?</v>
      </c>
      <c r="I5772" t="s">
        <v>7671</v>
      </c>
      <c r="J5772">
        <v>36.9</v>
      </c>
      <c r="K5772" s="4">
        <v>8.43E-2</v>
      </c>
      <c r="L5772">
        <v>5</v>
      </c>
      <c r="M5772">
        <v>4</v>
      </c>
      <c r="O5772" t="s">
        <v>25</v>
      </c>
      <c r="P5772" t="s">
        <v>7672</v>
      </c>
      <c r="Q5772" t="s">
        <v>7673</v>
      </c>
    </row>
    <row r="5773" spans="1:17" ht="15.5" x14ac:dyDescent="0.35">
      <c r="A5773" s="3" t="str">
        <f>HYPERLINK("https://edmondsonsupply.com/collections/electricians-tools/products/clc-pb1133-molded-rubber-bottom-tool-backpack", "https://edmondsonsupply.com/collections/electricians-tools/products/clc-pb1133-molded-rubber-bottom-tool-backpack")</f>
        <v>https://edmondsonsupply.com/collections/electricians-tools/products/clc-pb1133-molded-rubber-bottom-tool-backpack</v>
      </c>
      <c r="B5773" s="3" t="str">
        <f>HYPERLINK("https://edmondsonsupply.com/products/clc-pb1133-molded-rubber-bottom-tool-backpack", "https://edmondsonsupply.com/products/clc-pb1133-molded-rubber-bottom-tool-backpack")</f>
        <v>https://edmondsonsupply.com/products/clc-pb1133-molded-rubber-bottom-tool-backpack</v>
      </c>
      <c r="C5773" t="s">
        <v>507</v>
      </c>
      <c r="D5773" t="s">
        <v>237</v>
      </c>
      <c r="E5773" s="3" t="str">
        <f>HYPERLINK("https://www.amazon.com/PB1133-Pocket-Backpack-Multi-Purpose-Zippered/dp/B09Z92LJFF/ref=sr_1_2?keywords=CLC+PB1133+Molded+Rubber+Bottom+Tool+Backpack&amp;qid=1695174264&amp;sr=8-2", "https://www.amazon.com/PB1133-Pocket-Backpack-Multi-Purpose-Zippered/dp/B09Z92LJFF/ref=sr_1_2?keywords=CLC+PB1133+Molded+Rubber+Bottom+Tool+Backpack&amp;qid=1695174264&amp;sr=8-2")</f>
        <v>https://www.amazon.com/PB1133-Pocket-Backpack-Multi-Purpose-Zippered/dp/B09Z92LJFF/ref=sr_1_2?keywords=CLC+PB1133+Molded+Rubber+Bottom+Tool+Backpack&amp;qid=1695174264&amp;sr=8-2</v>
      </c>
      <c r="F5773" t="s">
        <v>238</v>
      </c>
      <c r="G5773" t="e">
        <f ca="1">_xludf.IMAGE("https://edmondsonsupply.com/cdn/shop/products/PB1133.png?v=1633031051")</f>
        <v>#NAME?</v>
      </c>
      <c r="H5773" t="e">
        <f ca="1">_xludf.IMAGE("https://m.media-amazon.com/images/I/510j+91N6EL._AC_UL320_.jpg")</f>
        <v>#NAME?</v>
      </c>
      <c r="I5773" t="s">
        <v>369</v>
      </c>
      <c r="J5773">
        <v>128.97999999999999</v>
      </c>
      <c r="K5773" s="4">
        <v>8.3900000000000002E-2</v>
      </c>
      <c r="L5773">
        <v>4.2</v>
      </c>
      <c r="M5773">
        <v>4</v>
      </c>
      <c r="O5773" t="s">
        <v>25</v>
      </c>
      <c r="P5773" t="s">
        <v>282</v>
      </c>
      <c r="Q5773" t="s">
        <v>508</v>
      </c>
    </row>
    <row r="5774" spans="1:17" ht="15.5" x14ac:dyDescent="0.35">
      <c r="A5774"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5774"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5774" t="s">
        <v>5837</v>
      </c>
      <c r="D5774" t="s">
        <v>5900</v>
      </c>
      <c r="E5774" s="3" t="str">
        <f>HYPERLINK("https://www.amazon.com/Diablo-DMAMXCC5030-SDS-Max-Carbide-Tipped/dp/B089M8K3HG/ref=sr_1_1?keywords=Diablo+Tools+DMAMXCC5010+2+in.+x+7+in.+SDS-Max+Carbide+Tipped+Core+Bit&amp;qid=1695174008&amp;sr=8-1", "https://www.amazon.com/Diablo-DMAMXCC5030-SDS-Max-Carbide-Tipped/dp/B089M8K3HG/ref=sr_1_1?keywords=Diablo+Tools+DMAMXCC5010+2+in.+x+7+in.+SDS-Max+Carbide+Tipped+Core+Bit&amp;qid=1695174008&amp;sr=8-1")</f>
        <v>https://www.amazon.com/Diablo-DMAMXCC5030-SDS-Max-Carbide-Tipped/dp/B089M8K3HG/ref=sr_1_1?keywords=Diablo+Tools+DMAMXCC5010+2+in.+x+7+in.+SDS-Max+Carbide+Tipped+Core+Bit&amp;qid=1695174008&amp;sr=8-1</v>
      </c>
      <c r="F5774" t="s">
        <v>5901</v>
      </c>
      <c r="G5774" t="e">
        <f ca="1">_xludf.IMAGE("https://edmondsonsupply.com/cdn/shop/files/kbs61qpkymnshwvx13k1.webp?v=1686583113")</f>
        <v>#NAME?</v>
      </c>
      <c r="H5774" t="e">
        <f ca="1">_xludf.IMAGE("https://m.media-amazon.com/images/I/71U1Um--OXL._AC_UL320_.jpg")</f>
        <v>#NAME?</v>
      </c>
      <c r="I5774" t="s">
        <v>5840</v>
      </c>
      <c r="J5774">
        <v>110</v>
      </c>
      <c r="K5774" s="4">
        <v>8.3900000000000002E-2</v>
      </c>
      <c r="L5774">
        <v>5</v>
      </c>
      <c r="M5774">
        <v>3</v>
      </c>
      <c r="O5774" t="s">
        <v>25</v>
      </c>
      <c r="P5774" t="s">
        <v>5841</v>
      </c>
      <c r="Q5774" t="s">
        <v>5842</v>
      </c>
    </row>
    <row r="5775" spans="1:17" ht="15.5" x14ac:dyDescent="0.35">
      <c r="A5775"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5775"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5775" t="s">
        <v>6932</v>
      </c>
      <c r="D5775" t="s">
        <v>5960</v>
      </c>
      <c r="E5775" s="3" t="str">
        <f>HYPERLINK("https://www.amazon.com/Diablo-Freud-DOU250BW-Oscillating-Nail-Embedded/dp/B089KWP5Z2/ref=sr_1_3?keywords=Diablo+Tools+DOU250JBW+2-1%2F2+in.+Universal+Fit+Bi-Metal+Oscillating+Blade+for+Clean+Wood&amp;qid=1695174020&amp;sr=8-3", "https://www.amazon.com/Diablo-Freud-DOU250BW-Oscillating-Nail-Embedded/dp/B089KWP5Z2/ref=sr_1_3?keywords=Diablo+Tools+DOU250JBW+2-1%2F2+in.+Universal+Fit+Bi-Metal+Oscillating+Blade+for+Clean+Wood&amp;qid=1695174020&amp;sr=8-3")</f>
        <v>https://www.amazon.com/Diablo-Freud-DOU250BW-Oscillating-Nail-Embedded/dp/B089KWP5Z2/ref=sr_1_3?keywords=Diablo+Tools+DOU250JBW+2-1%2F2+in.+Universal+Fit+Bi-Metal+Oscillating+Blade+for+Clean+Wood&amp;qid=1695174020&amp;sr=8-3</v>
      </c>
      <c r="F5775" t="s">
        <v>5961</v>
      </c>
      <c r="G5775" t="e">
        <f ca="1">_xludf.IMAGE("https://edmondsonsupply.com/cdn/shop/files/pycnap4eb1urn2hxvudq.webp?v=1685718789")</f>
        <v>#NAME?</v>
      </c>
      <c r="H5775" t="e">
        <f ca="1">_xludf.IMAGE("https://m.media-amazon.com/images/I/71fhfiK3NaL._AC_UL320_.jpg")</f>
        <v>#NAME?</v>
      </c>
      <c r="I5775" t="s">
        <v>6935</v>
      </c>
      <c r="J5775">
        <v>16.96</v>
      </c>
      <c r="K5775" s="4">
        <v>8.3699999999999997E-2</v>
      </c>
      <c r="L5775">
        <v>4.5999999999999996</v>
      </c>
      <c r="M5775">
        <v>31</v>
      </c>
      <c r="O5775" t="s">
        <v>25</v>
      </c>
      <c r="P5775" t="s">
        <v>6936</v>
      </c>
      <c r="Q5775" t="s">
        <v>6937</v>
      </c>
    </row>
    <row r="5776" spans="1:17" ht="15.5" x14ac:dyDescent="0.35">
      <c r="A5776" s="3" t="str">
        <f>HYPERLINK("https://edmondsonsupply.com/collections/electricians-tools/products/rack-a-tiers-7wbk100-panel-buddy-knockout-kit", "https://edmondsonsupply.com/collections/electricians-tools/products/rack-a-tiers-7wbk100-panel-buddy-knockout-kit")</f>
        <v>https://edmondsonsupply.com/collections/electricians-tools/products/rack-a-tiers-7wbk100-panel-buddy-knockout-kit</v>
      </c>
      <c r="B5776" s="3" t="str">
        <f>HYPERLINK("https://edmondsonsupply.com/products/rack-a-tiers-7wbk100-panel-buddy-knockout-kit", "https://edmondsonsupply.com/products/rack-a-tiers-7wbk100-panel-buddy-knockout-kit")</f>
        <v>https://edmondsonsupply.com/products/rack-a-tiers-7wbk100-panel-buddy-knockout-kit</v>
      </c>
      <c r="C5776" t="s">
        <v>7674</v>
      </c>
      <c r="D5776" t="s">
        <v>7674</v>
      </c>
      <c r="E5776" s="3" t="str">
        <f>HYPERLINK("https://www.amazon.com/Panel-Knockout-Removal-Existing-Panels/dp/B0087TBHKS/ref=sr_1_1?keywords=Rack-A-Tiers+7WBK100+Panel+Buddy+Knockout+Kit&amp;qid=1695173905&amp;sr=8-1", "https://www.amazon.com/Panel-Knockout-Removal-Existing-Panels/dp/B0087TBHKS/ref=sr_1_1?keywords=Rack-A-Tiers+7WBK100+Panel+Buddy+Knockout+Kit&amp;qid=1695173905&amp;sr=8-1")</f>
        <v>https://www.amazon.com/Panel-Knockout-Removal-Existing-Panels/dp/B0087TBHKS/ref=sr_1_1?keywords=Rack-A-Tiers+7WBK100+Panel+Buddy+Knockout+Kit&amp;qid=1695173905&amp;sr=8-1</v>
      </c>
      <c r="F5776" t="s">
        <v>7675</v>
      </c>
      <c r="G5776" t="e">
        <f ca="1">_xludf.IMAGE("https://edmondsonsupply.com/cdn/shop/files/Panel-Buddy-Blue-Handle_600.webp?v=1683752773")</f>
        <v>#NAME?</v>
      </c>
      <c r="H5776" t="e">
        <f ca="1">_xludf.IMAGE("https://m.media-amazon.com/images/I/51x1XeeUaHL._AC_UL320_.jpg")</f>
        <v>#NAME?</v>
      </c>
      <c r="I5776" t="s">
        <v>261</v>
      </c>
      <c r="J5776">
        <v>38.99</v>
      </c>
      <c r="K5776" s="4">
        <v>8.3400000000000002E-2</v>
      </c>
      <c r="L5776">
        <v>4.5999999999999996</v>
      </c>
      <c r="M5776">
        <v>47</v>
      </c>
      <c r="O5776" t="s">
        <v>25</v>
      </c>
      <c r="P5776" t="s">
        <v>3930</v>
      </c>
      <c r="Q5776" t="s">
        <v>7676</v>
      </c>
    </row>
    <row r="5777" spans="1:17" ht="15.5" x14ac:dyDescent="0.35">
      <c r="A5777"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5777" s="3" t="str">
        <f>HYPERLINK("https://edmondsonsupply.com/products/klein-tools-et450-advanced-circuit-tracer-kit", "https://edmondsonsupply.com/products/klein-tools-et450-advanced-circuit-tracer-kit")</f>
        <v>https://edmondsonsupply.com/products/klein-tools-et450-advanced-circuit-tracer-kit</v>
      </c>
      <c r="C5777" t="s">
        <v>2849</v>
      </c>
      <c r="D5777" t="s">
        <v>4181</v>
      </c>
      <c r="E5777" s="3" t="str">
        <f>HYPERLINK("https://www.amazon.com/Klein-Tools-VDV500-820-Telephone-Communications/dp/B0BS36CVBC/ref=sr_1_3?keywords=Klein+Tools+ET450+Advanced+Circuit+Tracer+Kit&amp;qid=1695173869&amp;sr=8-3", "https://www.amazon.com/Klein-Tools-VDV500-820-Telephone-Communications/dp/B0BS36CVBC/ref=sr_1_3?keywords=Klein+Tools+ET450+Advanced+Circuit+Tracer+Kit&amp;qid=1695173869&amp;sr=8-3")</f>
        <v>https://www.amazon.com/Klein-Tools-VDV500-820-Telephone-Communications/dp/B0BS36CVBC/ref=sr_1_3?keywords=Klein+Tools+ET450+Advanced+Circuit+Tracer+Kit&amp;qid=1695173869&amp;sr=8-3</v>
      </c>
      <c r="F5777" t="s">
        <v>4182</v>
      </c>
      <c r="G5777" t="e">
        <f ca="1">_xludf.IMAGE("https://edmondsonsupply.com/cdn/shop/products/et450.jpg?v=1660165248")</f>
        <v>#NAME?</v>
      </c>
      <c r="H5777" t="e">
        <f ca="1">_xludf.IMAGE("https://m.media-amazon.com/images/I/616jkVkV61L._AC_UL320_.jpg")</f>
        <v>#NAME?</v>
      </c>
      <c r="I5777" t="s">
        <v>759</v>
      </c>
      <c r="J5777">
        <v>259.95999999999998</v>
      </c>
      <c r="K5777" s="4">
        <v>8.3199999999999996E-2</v>
      </c>
      <c r="L5777">
        <v>5</v>
      </c>
      <c r="M5777">
        <v>3</v>
      </c>
      <c r="O5777" t="s">
        <v>25</v>
      </c>
      <c r="P5777" t="s">
        <v>2852</v>
      </c>
      <c r="Q5777" t="s">
        <v>2853</v>
      </c>
    </row>
    <row r="5778" spans="1:17" ht="15.5" x14ac:dyDescent="0.35">
      <c r="A5778"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5778" s="3" t="str">
        <f>HYPERLINK("https://edmondsonsupply.com/products/diablo-tools-dag3040-9-16-in-x-17-1-2-in-auger-bit", "https://edmondsonsupply.com/products/diablo-tools-dag3040-9-16-in-x-17-1-2-in-auger-bit")</f>
        <v>https://edmondsonsupply.com/products/diablo-tools-dag3040-9-16-in-x-17-1-2-in-auger-bit</v>
      </c>
      <c r="C5778" t="s">
        <v>7382</v>
      </c>
      <c r="D5778" t="s">
        <v>7677</v>
      </c>
      <c r="E5778" s="3" t="str">
        <f>HYPERLINK("https://www.amazon.com/BOSCH-NKLT09-17-1-Daredevil-Auger/dp/B003BIFMUQ/ref=sr_1_10?keywords=Diablo+Tools+DAG3040+9%2F16+in.+x+17-1%2F2+in.+Auger+Bit&amp;qid=1695174106&amp;sr=8-10", "https://www.amazon.com/BOSCH-NKLT09-17-1-Daredevil-Auger/dp/B003BIFMUQ/ref=sr_1_10?keywords=Diablo+Tools+DAG3040+9%2F16+in.+x+17-1%2F2+in.+Auger+Bit&amp;qid=1695174106&amp;sr=8-10")</f>
        <v>https://www.amazon.com/BOSCH-NKLT09-17-1-Daredevil-Auger/dp/B003BIFMUQ/ref=sr_1_10?keywords=Diablo+Tools+DAG3040+9%2F16+in.+x+17-1%2F2+in.+Auger+Bit&amp;qid=1695174106&amp;sr=8-10</v>
      </c>
      <c r="F5778" t="s">
        <v>7678</v>
      </c>
      <c r="G5778" t="e">
        <f ca="1">_xludf.IMAGE("https://edmondsonsupply.com/cdn/shop/products/fmfcptadhtney3owwa7y.webp?v=1669993222")</f>
        <v>#NAME?</v>
      </c>
      <c r="H5778" t="e">
        <f ca="1">_xludf.IMAGE("https://m.media-amazon.com/images/I/61IQhakETzL._AC_UL320_.jpg")</f>
        <v>#NAME?</v>
      </c>
      <c r="I5778" t="s">
        <v>7383</v>
      </c>
      <c r="J5778">
        <v>19.3</v>
      </c>
      <c r="K5778" s="4">
        <v>8.2400000000000001E-2</v>
      </c>
      <c r="L5778">
        <v>4.4000000000000004</v>
      </c>
      <c r="M5778">
        <v>161</v>
      </c>
      <c r="O5778" t="s">
        <v>25</v>
      </c>
      <c r="P5778" t="s">
        <v>7384</v>
      </c>
      <c r="Q5778" t="s">
        <v>7385</v>
      </c>
    </row>
    <row r="5779" spans="1:17" ht="15.5" x14ac:dyDescent="0.35">
      <c r="A5779" s="3" t="str">
        <f>HYPERLINK("https://edmondsonsupply.com/collections/electricians-tools/products/tajima-gkb-g210-g-saw%E2%84%A2-replacement-blade", "https://edmondsonsupply.com/collections/electricians-tools/products/tajima-gkb-g210-g-saw%E2%84%A2-replacement-blade")</f>
        <v>https://edmondsonsupply.com/collections/electricians-tools/products/tajima-gkb-g210-g-saw%E2%84%A2-replacement-blade</v>
      </c>
      <c r="B5779" s="3" t="str">
        <f>HYPERLINK("https://edmondsonsupply.com/products/tajima-gkb-g210-g-saw%e2%84%a2-replacement-blade", "https://edmondsonsupply.com/products/tajima-gkb-g210-g-saw%e2%84%a2-replacement-blade")</f>
        <v>https://edmondsonsupply.com/products/tajima-gkb-g210-g-saw%e2%84%a2-replacement-blade</v>
      </c>
      <c r="C5779" t="s">
        <v>7363</v>
      </c>
      <c r="D5779" t="s">
        <v>7679</v>
      </c>
      <c r="E5779" s="3" t="str">
        <f>HYPERLINK("https://www.amazon.com/TAJIMA-Replacement-Pull-Blade-Premium-Grade/dp/B0008KLNPS/ref=sr_1_1?keywords=Tajima+GKB-G210+G-Saw%E2%84%A2+Replacement+Blade&amp;qid=1695174198&amp;sr=8-1", "https://www.amazon.com/TAJIMA-Replacement-Pull-Blade-Premium-Grade/dp/B0008KLNPS/ref=sr_1_1?keywords=Tajima+GKB-G210+G-Saw%E2%84%A2+Replacement+Blade&amp;qid=1695174198&amp;sr=8-1")</f>
        <v>https://www.amazon.com/TAJIMA-Replacement-Pull-Blade-Premium-Grade/dp/B0008KLNPS/ref=sr_1_1?keywords=Tajima+GKB-G210+G-Saw%E2%84%A2+Replacement+Blade&amp;qid=1695174198&amp;sr=8-1</v>
      </c>
      <c r="F5779" t="s">
        <v>7680</v>
      </c>
      <c r="G5779" t="e">
        <f ca="1">_xludf.IMAGE("https://edmondsonsupply.com/cdn/shop/products/GKB-210.jpg?v=1655298927")</f>
        <v>#NAME?</v>
      </c>
      <c r="H5779" t="e">
        <f ca="1">_xludf.IMAGE("https://m.media-amazon.com/images/I/51zGGeD6teL._AC_UL320_.jpg")</f>
        <v>#NAME?</v>
      </c>
      <c r="I5779" t="s">
        <v>7366</v>
      </c>
      <c r="J5779">
        <v>13.72</v>
      </c>
      <c r="K5779" s="4">
        <v>8.1199999999999994E-2</v>
      </c>
      <c r="L5779">
        <v>4.8</v>
      </c>
      <c r="M5779">
        <v>40</v>
      </c>
      <c r="O5779" t="s">
        <v>25</v>
      </c>
      <c r="P5779" t="s">
        <v>7366</v>
      </c>
      <c r="Q5779" t="s">
        <v>7367</v>
      </c>
    </row>
    <row r="5780" spans="1:17" ht="15.5" x14ac:dyDescent="0.35">
      <c r="A5780"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5780" s="3" t="str">
        <f>HYPERLINK("https://edmondsonsupply.com/products/klein-tools-56059-multi-groove-fiberglass-fish-tape-200-foot", "https://edmondsonsupply.com/products/klein-tools-56059-multi-groove-fiberglass-fish-tape-200-foot")</f>
        <v>https://edmondsonsupply.com/products/klein-tools-56059-multi-groove-fiberglass-fish-tape-200-foot</v>
      </c>
      <c r="C5780" t="s">
        <v>7681</v>
      </c>
      <c r="D5780" t="s">
        <v>3274</v>
      </c>
      <c r="E5780" s="3" t="str">
        <f>HYPERLINK("https://www.amazon.com/Multi-Groove-Fiberglass-200-Foot-Klein-Tools/dp/B00N6Y8RRA/ref=sr_1_4?keywords=Klein+Tools+56059+Multi-Groove+Fiberglass+Fish+Tape+200-Foot&amp;qid=1695174221&amp;sr=8-4", "https://www.amazon.com/Multi-Groove-Fiberglass-200-Foot-Klein-Tools/dp/B00N6Y8RRA/ref=sr_1_4?keywords=Klein+Tools+56059+Multi-Groove+Fiberglass+Fish+Tape+200-Foot&amp;qid=1695174221&amp;sr=8-4")</f>
        <v>https://www.amazon.com/Multi-Groove-Fiberglass-200-Foot-Klein-Tools/dp/B00N6Y8RRA/ref=sr_1_4?keywords=Klein+Tools+56059+Multi-Groove+Fiberglass+Fish+Tape+200-Foot&amp;qid=1695174221&amp;sr=8-4</v>
      </c>
      <c r="F5780" t="s">
        <v>3275</v>
      </c>
      <c r="G5780" t="e">
        <f ca="1">_xludf.IMAGE("https://edmondsonsupply.com/cdn/shop/products/56059.jpg?v=1648938340")</f>
        <v>#NAME?</v>
      </c>
      <c r="H5780" t="e">
        <f ca="1">_xludf.IMAGE("https://m.media-amazon.com/images/I/61-dcSdFpvL._AC_UL320_.jpg")</f>
        <v>#NAME?</v>
      </c>
      <c r="I5780" t="s">
        <v>7682</v>
      </c>
      <c r="J5780">
        <v>199.99</v>
      </c>
      <c r="K5780" s="4">
        <v>8.1100000000000005E-2</v>
      </c>
      <c r="L5780">
        <v>4.4000000000000004</v>
      </c>
      <c r="M5780">
        <v>86</v>
      </c>
      <c r="O5780" t="s">
        <v>25</v>
      </c>
      <c r="P5780" t="s">
        <v>7683</v>
      </c>
      <c r="Q5780" t="s">
        <v>7684</v>
      </c>
    </row>
    <row r="5781" spans="1:17" ht="15.5" x14ac:dyDescent="0.35">
      <c r="A5781"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5781" s="3" t="str">
        <f>HYPERLINK("https://edmondsonsupply.com/products/klein-tools-630-5-8-nut-driver-5-8-inch-4-inch-hollow-shaft", "https://edmondsonsupply.com/products/klein-tools-630-5-8-nut-driver-5-8-inch-4-inch-hollow-shaft")</f>
        <v>https://edmondsonsupply.com/products/klein-tools-630-5-8-nut-driver-5-8-inch-4-inch-hollow-shaft</v>
      </c>
      <c r="C5781" t="s">
        <v>6629</v>
      </c>
      <c r="D5781" t="s">
        <v>6938</v>
      </c>
      <c r="E5781" s="3" t="str">
        <f>HYPERLINK("https://www.amazon.com/Klein-Tools-646-5-Cushion-Grip-Hollow-Shank/dp/B000QJHJSG/ref=sr_1_5?keywords=Klein+Tools+630-5%2F8+Nut+Driver%2C+5%2F8-Inch%2C+4-Inch+Hollow+Shaft&amp;qid=1695174302&amp;sr=8-5", "https://www.amazon.com/Klein-Tools-646-5-Cushion-Grip-Hollow-Shank/dp/B000QJHJSG/ref=sr_1_5?keywords=Klein+Tools+630-5%2F8+Nut+Driver%2C+5%2F8-Inch%2C+4-Inch+Hollow+Shaft&amp;qid=1695174302&amp;sr=8-5")</f>
        <v>https://www.amazon.com/Klein-Tools-646-5-Cushion-Grip-Hollow-Shank/dp/B000QJHJSG/ref=sr_1_5?keywords=Klein+Tools+630-5%2F8+Nut+Driver%2C+5%2F8-Inch%2C+4-Inch+Hollow+Shaft&amp;qid=1695174302&amp;sr=8-5</v>
      </c>
      <c r="F5781" t="s">
        <v>6939</v>
      </c>
      <c r="G5781" t="e">
        <f ca="1">_xludf.IMAGE("https://edmondsonsupply.com/cdn/shop/products/630-1-2_df0ca74a-79e7-41f4-ad94-60312e01e692.jpg?v=1633031052")</f>
        <v>#NAME?</v>
      </c>
      <c r="H5781" t="e">
        <f ca="1">_xludf.IMAGE("https://m.media-amazon.com/images/I/41esdWE3JCL._AC_UL320_.jpg")</f>
        <v>#NAME?</v>
      </c>
      <c r="I5781" t="s">
        <v>6632</v>
      </c>
      <c r="J5781">
        <v>13.49</v>
      </c>
      <c r="K5781" s="4">
        <v>8.0100000000000005E-2</v>
      </c>
      <c r="L5781">
        <v>4.9000000000000004</v>
      </c>
      <c r="M5781">
        <v>45</v>
      </c>
      <c r="O5781" t="s">
        <v>25</v>
      </c>
      <c r="P5781" t="s">
        <v>2328</v>
      </c>
      <c r="Q5781" t="s">
        <v>6633</v>
      </c>
    </row>
    <row r="5782" spans="1:17" ht="15.5" x14ac:dyDescent="0.35">
      <c r="A5782"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5782"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5782" t="s">
        <v>6998</v>
      </c>
      <c r="D5782" t="s">
        <v>3732</v>
      </c>
      <c r="E5782" s="3" t="str">
        <f>HYPERLINK("https://www.amazon.com/Driver-6-Inch-Klein-Tools-65129/dp/B0716VDFTD/ref=sr_1_2?keywords=Klein+Tools+65131+2-in-1+Nut+Driver%2C+Hex+Head+Slide+Drive%E2%84%A2%2C+1-1%2F2-Inch&amp;qid=1695174203&amp;sr=8-2", "https://www.amazon.com/Driver-6-Inch-Klein-Tools-65129/dp/B0716VDFTD/ref=sr_1_2?keywords=Klein+Tools+65131+2-in-1+Nut+Driver%2C+Hex+Head+Slide+Drive%E2%84%A2%2C+1-1%2F2-Inch&amp;qid=1695174203&amp;sr=8-2")</f>
        <v>https://www.amazon.com/Driver-6-Inch-Klein-Tools-65129/dp/B0716VDFTD/ref=sr_1_2?keywords=Klein+Tools+65131+2-in-1+Nut+Driver%2C+Hex+Head+Slide+Drive%E2%84%A2%2C+1-1%2F2-Inch&amp;qid=1695174203&amp;sr=8-2</v>
      </c>
      <c r="F5782" t="s">
        <v>3733</v>
      </c>
      <c r="G5782" t="e">
        <f ca="1">_xludf.IMAGE("https://edmondsonsupply.com/cdn/shop/products/65131.jpg?v=1660742745")</f>
        <v>#NAME?</v>
      </c>
      <c r="H5782" t="e">
        <f ca="1">_xludf.IMAGE("https://m.media-amazon.com/images/I/31G5opAPxjL._AC_UL320_.jpg")</f>
        <v>#NAME?</v>
      </c>
      <c r="I5782" t="s">
        <v>2101</v>
      </c>
      <c r="J5782">
        <v>19.97</v>
      </c>
      <c r="K5782" s="4">
        <v>0.08</v>
      </c>
      <c r="L5782">
        <v>4.8</v>
      </c>
      <c r="M5782">
        <v>688</v>
      </c>
      <c r="O5782" t="s">
        <v>25</v>
      </c>
      <c r="P5782" t="s">
        <v>7001</v>
      </c>
      <c r="Q5782" t="s">
        <v>7002</v>
      </c>
    </row>
    <row r="5783" spans="1:17" ht="15.5" x14ac:dyDescent="0.35">
      <c r="A5783" s="3" t="str">
        <f>HYPERLINK("https://edmondsonsupply.com/collections/electricians-tools/products/klein-tools-56255-wire-markers-household-electric-panel-w-directory", "https://edmondsonsupply.com/collections/electricians-tools/products/klein-tools-56255-wire-markers-household-electric-panel-w-directory")</f>
        <v>https://edmondsonsupply.com/collections/electricians-tools/products/klein-tools-56255-wire-markers-household-electric-panel-w-directory</v>
      </c>
      <c r="B5783" s="3" t="str">
        <f>HYPERLINK("https://edmondsonsupply.com/products/klein-tools-56255-wire-markers-household-electric-panel-w-directory", "https://edmondsonsupply.com/products/klein-tools-56255-wire-markers-household-electric-panel-w-directory")</f>
        <v>https://edmondsonsupply.com/products/klein-tools-56255-wire-markers-household-electric-panel-w-directory</v>
      </c>
      <c r="C5783" t="s">
        <v>7685</v>
      </c>
      <c r="D5783" t="s">
        <v>7686</v>
      </c>
      <c r="E5783" s="3" t="str">
        <f>HYPERLINK("https://www.amazon.com/Book-Household-Electrical-Klein-Tools-56254/dp/B07222CNFX/ref=sr_1_2?keywords=Klein+Tools+56255+Wire+Markers%2C+Household+Electric+Panel+w%2FDirectory&amp;qid=1695174227&amp;sr=8-2", "https://www.amazon.com/Book-Household-Electrical-Klein-Tools-56254/dp/B07222CNFX/ref=sr_1_2?keywords=Klein+Tools+56255+Wire+Markers%2C+Household+Electric+Panel+w%2FDirectory&amp;qid=1695174227&amp;sr=8-2")</f>
        <v>https://www.amazon.com/Book-Household-Electrical-Klein-Tools-56254/dp/B07222CNFX/ref=sr_1_2?keywords=Klein+Tools+56255+Wire+Markers%2C+Household+Electric+Panel+w%2FDirectory&amp;qid=1695174227&amp;sr=8-2</v>
      </c>
      <c r="F5783" t="s">
        <v>7687</v>
      </c>
      <c r="G5783" t="e">
        <f ca="1">_xludf.IMAGE("https://edmondsonsupply.com/cdn/shop/products/56255_b.jpg?v=1641342700")</f>
        <v>#NAME?</v>
      </c>
      <c r="H5783" t="e">
        <f ca="1">_xludf.IMAGE("https://m.media-amazon.com/images/I/61GGjfOIRJL._AC_UL320_.jpg")</f>
        <v>#NAME?</v>
      </c>
      <c r="I5783" t="s">
        <v>1211</v>
      </c>
      <c r="J5783">
        <v>13.99</v>
      </c>
      <c r="K5783" s="4">
        <v>7.8600000000000003E-2</v>
      </c>
      <c r="L5783">
        <v>4.3</v>
      </c>
      <c r="M5783">
        <v>46</v>
      </c>
      <c r="O5783" t="s">
        <v>25</v>
      </c>
      <c r="P5783" t="s">
        <v>1549</v>
      </c>
      <c r="Q5783" t="s">
        <v>7688</v>
      </c>
    </row>
    <row r="5784" spans="1:17" ht="15.5" x14ac:dyDescent="0.35">
      <c r="A5784" s="3" t="str">
        <f>HYPERLINK("https://edmondsonsupply.com/collections/electricians-tools/products/fluke-tl75-hard-point%E2%84%A2-test-lead-set", "https://edmondsonsupply.com/collections/electricians-tools/products/fluke-tl75-hard-point%E2%84%A2-test-lead-set")</f>
        <v>https://edmondsonsupply.com/collections/electricians-tools/products/fluke-tl75-hard-point%E2%84%A2-test-lead-set</v>
      </c>
      <c r="B5784" s="3" t="str">
        <f>HYPERLINK("https://edmondsonsupply.com/products/fluke-tl75-hard-point%e2%84%a2-test-lead-set", "https://edmondsonsupply.com/products/fluke-tl75-hard-point%e2%84%a2-test-lead-set")</f>
        <v>https://edmondsonsupply.com/products/fluke-tl75-hard-point%e2%84%a2-test-lead-set</v>
      </c>
      <c r="C5784" t="s">
        <v>7620</v>
      </c>
      <c r="D5784" t="s">
        <v>7621</v>
      </c>
      <c r="E5784" s="3" t="str">
        <f>HYPERLINK("https://www.amazon.com/Fluke-TL75-Hard-Point-Test/dp/B000E2NFP6/ref=sr_1_2?keywords=Fluke+TL75+Hard+Point%E2%84%A2+Test+Lead+Set&amp;qid=1695174242&amp;sr=8-2", "https://www.amazon.com/Fluke-TL75-Hard-Point-Test/dp/B000E2NFP6/ref=sr_1_2?keywords=Fluke+TL75+Hard+Point%E2%84%A2+Test+Lead+Set&amp;qid=1695174242&amp;sr=8-2")</f>
        <v>https://www.amazon.com/Fluke-TL75-Hard-Point-Test/dp/B000E2NFP6/ref=sr_1_2?keywords=Fluke+TL75+Hard+Point%E2%84%A2+Test+Lead+Set&amp;qid=1695174242&amp;sr=8-2</v>
      </c>
      <c r="F5784" t="s">
        <v>7689</v>
      </c>
      <c r="G5784" t="e">
        <f ca="1">_xludf.IMAGE("https://edmondsonsupply.com/cdn/shop/products/TL75-1_72dpi_1280x1031px_E_NR-12001.jpg?v=1633031187")</f>
        <v>#NAME?</v>
      </c>
      <c r="H5784" t="e">
        <f ca="1">_xludf.IMAGE("https://m.media-amazon.com/images/I/61wghbxvLUL._AC_UY218_.jpg")</f>
        <v>#NAME?</v>
      </c>
      <c r="I5784" t="s">
        <v>3602</v>
      </c>
      <c r="J5784">
        <v>34.5</v>
      </c>
      <c r="K5784" s="4">
        <v>7.85E-2</v>
      </c>
      <c r="L5784">
        <v>4.7</v>
      </c>
      <c r="M5784">
        <v>414</v>
      </c>
      <c r="O5784" t="s">
        <v>25</v>
      </c>
      <c r="P5784" t="s">
        <v>571</v>
      </c>
      <c r="Q5784" t="s">
        <v>7623</v>
      </c>
    </row>
    <row r="5785" spans="1:17" ht="15.5" x14ac:dyDescent="0.35">
      <c r="A5785" s="3" t="str">
        <f>HYPERLINK("https://edmondsonsupply.com/collections/electricians-tools/products/milwaukee-2997-22-m18-fuel%E2%84%A2-2-tool-combo-kit-hammer-drill-impact", "https://edmondsonsupply.com/collections/electricians-tools/products/milwaukee-2997-22-m18-fuel%E2%84%A2-2-tool-combo-kit-hammer-drill-impact")</f>
        <v>https://edmondsonsupply.com/collections/electricians-tools/products/milwaukee-2997-22-m18-fuel%E2%84%A2-2-tool-combo-kit-hammer-drill-impact</v>
      </c>
      <c r="B5785" s="3" t="str">
        <f>HYPERLINK("https://edmondsonsupply.com/products/milwaukee-2997-22-m18-fuel%e2%84%a2-2-tool-combo-kit-hammer-drill-impact", "https://edmondsonsupply.com/products/milwaukee-2997-22-m18-fuel%e2%84%a2-2-tool-combo-kit-hammer-drill-impact")</f>
        <v>https://edmondsonsupply.com/products/milwaukee-2997-22-m18-fuel%e2%84%a2-2-tool-combo-kit-hammer-drill-impact</v>
      </c>
      <c r="C5785" t="s">
        <v>4205</v>
      </c>
      <c r="D5785" t="s">
        <v>4206</v>
      </c>
      <c r="E5785" s="3" t="str">
        <f>HYPERLINK("https://www.amazon.com/Milwaukee-2797-22-Lithium-2-Tool-Hammer/dp/B009OO84RY/ref=sr_1_2?keywords=Milwaukee+2997-22+M18+FUEL%E2%84%A2+2-Tool+Combo+Kit%3A+Hammer+Drill%2FImpact&amp;qid=1695173909&amp;sr=8-2", "https://www.amazon.com/Milwaukee-2797-22-Lithium-2-Tool-Hammer/dp/B009OO84RY/ref=sr_1_2?keywords=Milwaukee+2997-22+M18+FUEL%E2%84%A2+2-Tool+Combo+Kit%3A+Hammer+Drill%2FImpact&amp;qid=1695173909&amp;sr=8-2")</f>
        <v>https://www.amazon.com/Milwaukee-2797-22-Lithium-2-Tool-Hammer/dp/B009OO84RY/ref=sr_1_2?keywords=Milwaukee+2997-22+M18+FUEL%E2%84%A2+2-Tool+Combo+Kit%3A+Hammer+Drill%2FImpact&amp;qid=1695173909&amp;sr=8-2</v>
      </c>
      <c r="F5785" t="s">
        <v>4207</v>
      </c>
      <c r="G5785" t="e">
        <f ca="1">_xludf.IMAGE("https://edmondsonsupply.com/cdn/shop/products/2997-22-1.png?v=1657217833")</f>
        <v>#NAME?</v>
      </c>
      <c r="H5785" t="e">
        <f ca="1">_xludf.IMAGE("https://m.media-amazon.com/images/I/51XUQoGSTFL._AC_UL320_.jpg")</f>
        <v>#NAME?</v>
      </c>
      <c r="I5785" t="s">
        <v>4208</v>
      </c>
      <c r="J5785">
        <v>429.9</v>
      </c>
      <c r="K5785" s="4">
        <v>7.7399999999999997E-2</v>
      </c>
      <c r="L5785">
        <v>4.5</v>
      </c>
      <c r="M5785">
        <v>162</v>
      </c>
      <c r="O5785" t="s">
        <v>171</v>
      </c>
      <c r="P5785" t="s">
        <v>4209</v>
      </c>
      <c r="Q5785" t="s">
        <v>4210</v>
      </c>
    </row>
    <row r="5786" spans="1:17" ht="15.5" x14ac:dyDescent="0.35">
      <c r="A5786" s="3" t="str">
        <f>HYPERLINK("https://edmondsonsupply.com/collections/electricians-tools/products/rack-a-tiers-11655-the-x-dispenser", "https://edmondsonsupply.com/collections/electricians-tools/products/rack-a-tiers-11655-the-x-dispenser")</f>
        <v>https://edmondsonsupply.com/collections/electricians-tools/products/rack-a-tiers-11655-the-x-dispenser</v>
      </c>
      <c r="B5786" s="3" t="str">
        <f>HYPERLINK("https://edmondsonsupply.com/products/rack-a-tiers-11655-the-x-dispenser", "https://edmondsonsupply.com/products/rack-a-tiers-11655-the-x-dispenser")</f>
        <v>https://edmondsonsupply.com/products/rack-a-tiers-11655-the-x-dispenser</v>
      </c>
      <c r="C5786" t="s">
        <v>7690</v>
      </c>
      <c r="D5786" t="s">
        <v>7691</v>
      </c>
      <c r="E5786" s="3" t="str">
        <f>HYPERLINK("https://www.amazon.com/Rack-Tiers-55632-Big-Z/dp/B0179VK4DK/ref=sr_1_9?keywords=Rack-A-Tiers+11655+The+X-Dispenser&amp;qid=1695173851&amp;sr=8-9", "https://www.amazon.com/Rack-Tiers-55632-Big-Z/dp/B0179VK4DK/ref=sr_1_9?keywords=Rack-A-Tiers+11655+The+X-Dispenser&amp;qid=1695173851&amp;sr=8-9")</f>
        <v>https://www.amazon.com/Rack-Tiers-55632-Big-Z/dp/B0179VK4DK/ref=sr_1_9?keywords=Rack-A-Tiers+11655+The+X-Dispenser&amp;qid=1695173851&amp;sr=8-9</v>
      </c>
      <c r="F5786" t="s">
        <v>7692</v>
      </c>
      <c r="G5786" t="e">
        <f ca="1">_xludf.IMAGE("https://edmondsonsupply.com/cdn/shop/products/11655-X-Dispenser-5.png?v=1633031067")</f>
        <v>#NAME?</v>
      </c>
      <c r="H5786" t="e">
        <f ca="1">_xludf.IMAGE("https://m.media-amazon.com/images/I/51c16LYKqnL._AC_UL320_.jpg")</f>
        <v>#NAME?</v>
      </c>
      <c r="I5786" t="s">
        <v>7693</v>
      </c>
      <c r="J5786">
        <v>189.47</v>
      </c>
      <c r="K5786" s="4">
        <v>7.7200000000000005E-2</v>
      </c>
      <c r="L5786">
        <v>3.7</v>
      </c>
      <c r="M5786">
        <v>29</v>
      </c>
      <c r="O5786" t="s">
        <v>25</v>
      </c>
      <c r="P5786" t="s">
        <v>7694</v>
      </c>
      <c r="Q5786" t="s">
        <v>7695</v>
      </c>
    </row>
    <row r="5787" spans="1:17" ht="15.5" x14ac:dyDescent="0.35">
      <c r="A5787" s="3" t="str">
        <f>HYPERLINK("https://edmondsonsupply.com/collections/electricians-tools/products/rack-a-tiers-54100-clip-whacker-beam-clamp-tool", "https://edmondsonsupply.com/collections/electricians-tools/products/rack-a-tiers-54100-clip-whacker-beam-clamp-tool")</f>
        <v>https://edmondsonsupply.com/collections/electricians-tools/products/rack-a-tiers-54100-clip-whacker-beam-clamp-tool</v>
      </c>
      <c r="B5787" s="3" t="str">
        <f>HYPERLINK("https://edmondsonsupply.com/products/rack-a-tiers-54100-clip-whacker-beam-clamp-tool", "https://edmondsonsupply.com/products/rack-a-tiers-54100-clip-whacker-beam-clamp-tool")</f>
        <v>https://edmondsonsupply.com/products/rack-a-tiers-54100-clip-whacker-beam-clamp-tool</v>
      </c>
      <c r="C5787" t="s">
        <v>7696</v>
      </c>
      <c r="D5787" t="s">
        <v>7697</v>
      </c>
      <c r="E5787" s="3" t="str">
        <f>HYPERLINK("https://www.amazon.com/Rack-Tiers-Clip-Whacker-Clamp/dp/B0C75W9DPB/ref=sr_1_1?keywords=Rack-A-Tiers+54100+Clip+Whacker+%E2%80%93+Beam+Clamp+Tool&amp;qid=1695173850&amp;sr=8-1", "https://www.amazon.com/Rack-Tiers-Clip-Whacker-Clamp/dp/B0C75W9DPB/ref=sr_1_1?keywords=Rack-A-Tiers+54100+Clip+Whacker+%E2%80%93+Beam+Clamp+Tool&amp;qid=1695173850&amp;sr=8-1")</f>
        <v>https://www.amazon.com/Rack-Tiers-Clip-Whacker-Clamp/dp/B0C75W9DPB/ref=sr_1_1?keywords=Rack-A-Tiers+54100+Clip+Whacker+%E2%80%93+Beam+Clamp+Tool&amp;qid=1695173850&amp;sr=8-1</v>
      </c>
      <c r="F5787" t="s">
        <v>7698</v>
      </c>
      <c r="G5787" t="e">
        <f ca="1">_xludf.IMAGE("https://edmondsonsupply.com/cdn/shop/products/Clip-Whacker-with-Clip-1.png?v=1667150430")</f>
        <v>#NAME?</v>
      </c>
      <c r="H5787" t="e">
        <f ca="1">_xludf.IMAGE("https://m.media-amazon.com/images/I/51KfrFsJ-HL._AC_UL320_.jpg")</f>
        <v>#NAME?</v>
      </c>
      <c r="I5787" t="s">
        <v>7699</v>
      </c>
      <c r="J5787">
        <v>42.49</v>
      </c>
      <c r="K5787" s="4">
        <v>7.5999999999999998E-2</v>
      </c>
      <c r="L5787">
        <v>4</v>
      </c>
      <c r="M5787">
        <v>1</v>
      </c>
      <c r="O5787" t="s">
        <v>25</v>
      </c>
      <c r="P5787" t="s">
        <v>7700</v>
      </c>
      <c r="Q5787" t="s">
        <v>7701</v>
      </c>
    </row>
    <row r="5788" spans="1:17" ht="15.5" x14ac:dyDescent="0.35">
      <c r="A5788" s="3" t="str">
        <f>HYPERLINK("https://edmondsonsupply.com/collections/electricians-tools/products/rack-a-tiers-40001-apprentice-wire-vortex-wire-pulling-guide", "https://edmondsonsupply.com/collections/electricians-tools/products/rack-a-tiers-40001-apprentice-wire-vortex-wire-pulling-guide")</f>
        <v>https://edmondsonsupply.com/collections/electricians-tools/products/rack-a-tiers-40001-apprentice-wire-vortex-wire-pulling-guide</v>
      </c>
      <c r="B5788" s="3" t="str">
        <f>HYPERLINK("https://edmondsonsupply.com/products/rack-a-tiers-40001-apprentice-wire-vortex-wire-pulling-guide", "https://edmondsonsupply.com/products/rack-a-tiers-40001-apprentice-wire-vortex-wire-pulling-guide")</f>
        <v>https://edmondsonsupply.com/products/rack-a-tiers-40001-apprentice-wire-vortex-wire-pulling-guide</v>
      </c>
      <c r="C5788" t="s">
        <v>7702</v>
      </c>
      <c r="D5788" t="s">
        <v>7703</v>
      </c>
      <c r="E5788" s="3" t="str">
        <f>HYPERLINK("https://www.amazon.com/Rack-Tiers-40001-Wire-Vortex/dp/B0087TBRPS/ref=sr_1_1?keywords=Rack-A-Tiers+40001+Wire+Vortex+-+Wire+Pulling+Guide&amp;qid=1695173898&amp;sr=8-1", "https://www.amazon.com/Rack-Tiers-40001-Wire-Vortex/dp/B0087TBRPS/ref=sr_1_1?keywords=Rack-A-Tiers+40001+Wire+Vortex+-+Wire+Pulling+Guide&amp;qid=1695173898&amp;sr=8-1")</f>
        <v>https://www.amazon.com/Rack-Tiers-40001-Wire-Vortex/dp/B0087TBRPS/ref=sr_1_1?keywords=Rack-A-Tiers+40001+Wire+Vortex+-+Wire+Pulling+Guide&amp;qid=1695173898&amp;sr=8-1</v>
      </c>
      <c r="F5788" t="s">
        <v>7704</v>
      </c>
      <c r="G5788" t="e">
        <f ca="1">_xludf.IMAGE("https://edmondsonsupply.com/cdn/shop/products/40001-Wire-Vortex-1-1-1.png?v=1587149010")</f>
        <v>#NAME?</v>
      </c>
      <c r="H5788" t="e">
        <f ca="1">_xludf.IMAGE("https://m.media-amazon.com/images/I/61fqfZYjqVL._AC_UL320_.jpg")</f>
        <v>#NAME?</v>
      </c>
      <c r="I5788" t="s">
        <v>577</v>
      </c>
      <c r="J5788">
        <v>21.49</v>
      </c>
      <c r="K5788" s="4">
        <v>7.4999999999999997E-2</v>
      </c>
      <c r="L5788">
        <v>4.5</v>
      </c>
      <c r="M5788">
        <v>77</v>
      </c>
      <c r="O5788" t="s">
        <v>25</v>
      </c>
      <c r="P5788" t="s">
        <v>7705</v>
      </c>
      <c r="Q5788" t="s">
        <v>7706</v>
      </c>
    </row>
    <row r="5789" spans="1:17" ht="15.5" x14ac:dyDescent="0.35">
      <c r="A5789"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5789" s="3" t="str">
        <f>HYPERLINK("https://edmondsonsupply.com/products/fluke-393-solar-clamp-meter-cat-iii-1500-v", "https://edmondsonsupply.com/products/fluke-393-solar-clamp-meter-cat-iii-1500-v")</f>
        <v>https://edmondsonsupply.com/products/fluke-393-solar-clamp-meter-cat-iii-1500-v</v>
      </c>
      <c r="C5789" t="s">
        <v>6951</v>
      </c>
      <c r="D5789" t="s">
        <v>7707</v>
      </c>
      <c r="E5789" s="3" t="str">
        <f>HYPERLINK("https://www.amazon.com/Fluke-IP54-Rated-Measurements-Connect-Software/dp/B0B499Y3Y5/ref=sr_1_3?keywords=Fluke+393+FC+Solar+Clamp+Meter+CAT+III+1500+V&amp;qid=1695174164&amp;sr=8-3", "https://www.amazon.com/Fluke-IP54-Rated-Measurements-Connect-Software/dp/B0B499Y3Y5/ref=sr_1_3?keywords=Fluke+393+FC+Solar+Clamp+Meter+CAT+III+1500+V&amp;qid=1695174164&amp;sr=8-3")</f>
        <v>https://www.amazon.com/Fluke-IP54-Rated-Measurements-Connect-Software/dp/B0B499Y3Y5/ref=sr_1_3?keywords=Fluke+393+FC+Solar+Clamp+Meter+CAT+III+1500+V&amp;qid=1695174164&amp;sr=8-3</v>
      </c>
      <c r="F5789" t="s">
        <v>7708</v>
      </c>
      <c r="G5789" t="e">
        <f ca="1">_xludf.IMAGE("https://edmondsonsupply.com/cdn/shop/products/F-393fc_01a_w.webp?v=1662652371")</f>
        <v>#NAME?</v>
      </c>
      <c r="H5789" t="e">
        <f ca="1">_xludf.IMAGE("https://m.media-amazon.com/images/I/61rDUzMfRiL._AC_UY218_.jpg")</f>
        <v>#NAME?</v>
      </c>
      <c r="I5789" t="s">
        <v>6954</v>
      </c>
      <c r="J5789">
        <v>727.36</v>
      </c>
      <c r="K5789" s="4">
        <v>7.4700000000000003E-2</v>
      </c>
      <c r="L5789">
        <v>4.5999999999999996</v>
      </c>
      <c r="M5789">
        <v>3</v>
      </c>
      <c r="O5789" t="s">
        <v>25</v>
      </c>
      <c r="P5789" t="s">
        <v>6955</v>
      </c>
      <c r="Q5789" t="s">
        <v>6956</v>
      </c>
    </row>
    <row r="5790" spans="1:17" ht="15.5" x14ac:dyDescent="0.35">
      <c r="A5790" s="3" t="str">
        <f>HYPERLINK("https://edmondsonsupply.com/collections/electricians-tools/products/rack-a-tiers-18455-wire-tub-coil-dispenser", "https://edmondsonsupply.com/collections/electricians-tools/products/rack-a-tiers-18455-wire-tub-coil-dispenser")</f>
        <v>https://edmondsonsupply.com/collections/electricians-tools/products/rack-a-tiers-18455-wire-tub-coil-dispenser</v>
      </c>
      <c r="B5790" s="3" t="str">
        <f>HYPERLINK("https://edmondsonsupply.com/products/rack-a-tiers-18455-wire-tub-coil-dispenser", "https://edmondsonsupply.com/products/rack-a-tiers-18455-wire-tub-coil-dispenser")</f>
        <v>https://edmondsonsupply.com/products/rack-a-tiers-18455-wire-tub-coil-dispenser</v>
      </c>
      <c r="C5790" t="s">
        <v>7709</v>
      </c>
      <c r="D5790" t="s">
        <v>7526</v>
      </c>
      <c r="E5790" s="3" t="str">
        <f>HYPERLINK("https://www.amazon.com/Rack-Tiers-18455-Wire-Tub/dp/B0087TBRI0/ref=sr_1_1?keywords=Rack-A-Tiers+18455+Wire+Tub&amp;qid=1695173955&amp;sr=8-1", "https://www.amazon.com/Rack-Tiers-18455-Wire-Tub/dp/B0087TBRI0/ref=sr_1_1?keywords=Rack-A-Tiers+18455+Wire+Tub&amp;qid=1695173955&amp;sr=8-1")</f>
        <v>https://www.amazon.com/Rack-Tiers-18455-Wire-Tub/dp/B0087TBRI0/ref=sr_1_1?keywords=Rack-A-Tiers+18455+Wire+Tub&amp;qid=1695173955&amp;sr=8-1</v>
      </c>
      <c r="F5790" t="s">
        <v>7527</v>
      </c>
      <c r="G5790" t="e">
        <f ca="1">_xludf.IMAGE("https://edmondsonsupply.com/cdn/shop/products/18455-Wire-Tub-1-1-1.png?v=1587146060")</f>
        <v>#NAME?</v>
      </c>
      <c r="H5790" t="e">
        <f ca="1">_xludf.IMAGE("https://m.media-amazon.com/images/I/61aM91GUOYL._AC_UL320_.jpg")</f>
        <v>#NAME?</v>
      </c>
      <c r="I5790" t="s">
        <v>7710</v>
      </c>
      <c r="J5790">
        <v>123.99</v>
      </c>
      <c r="K5790" s="4">
        <v>7.4499999999999997E-2</v>
      </c>
      <c r="L5790">
        <v>4.5999999999999996</v>
      </c>
      <c r="M5790">
        <v>82</v>
      </c>
      <c r="O5790" t="s">
        <v>25</v>
      </c>
      <c r="P5790" t="s">
        <v>4197</v>
      </c>
      <c r="Q5790" t="s">
        <v>7711</v>
      </c>
    </row>
    <row r="5791" spans="1:17" ht="15.5" x14ac:dyDescent="0.35">
      <c r="A5791" s="3" t="str">
        <f>HYPERLINK("https://edmondsonsupply.com/collections/electricians-tools/products/rack-a-tiers-72102-the-nut-blaster-xxl-blue", "https://edmondsonsupply.com/collections/electricians-tools/products/rack-a-tiers-72102-the-nut-blaster-xxl-blue")</f>
        <v>https://edmondsonsupply.com/collections/electricians-tools/products/rack-a-tiers-72102-the-nut-blaster-xxl-blue</v>
      </c>
      <c r="B5791" s="3" t="str">
        <f>HYPERLINK("https://edmondsonsupply.com/products/rack-a-tiers-72102-the-nut-blaster-xxl-blue", "https://edmondsonsupply.com/products/rack-a-tiers-72102-the-nut-blaster-xxl-blue")</f>
        <v>https://edmondsonsupply.com/products/rack-a-tiers-72102-the-nut-blaster-xxl-blue</v>
      </c>
      <c r="C5791" t="s">
        <v>7712</v>
      </c>
      <c r="D5791" t="s">
        <v>7713</v>
      </c>
      <c r="E5791" s="3" t="str">
        <f>HYPERLINK("https://www.amazon.com/Rack-Tiers-72102-Blaster-XXL/dp/B0087TBQ5O/ref=sr_1_1?keywords=Rack-A-Tiers+72102+The+Nut+Blaster+-+XXL+Blue&amp;qid=1695174067&amp;sr=8-1", "https://www.amazon.com/Rack-Tiers-72102-Blaster-XXL/dp/B0087TBQ5O/ref=sr_1_1?keywords=Rack-A-Tiers+72102+The+Nut+Blaster+-+XXL+Blue&amp;qid=1695174067&amp;sr=8-1")</f>
        <v>https://www.amazon.com/Rack-Tiers-72102-Blaster-XXL/dp/B0087TBQ5O/ref=sr_1_1?keywords=Rack-A-Tiers+72102+The+Nut+Blaster+-+XXL+Blue&amp;qid=1695174067&amp;sr=8-1</v>
      </c>
      <c r="F5791" t="s">
        <v>7714</v>
      </c>
      <c r="G5791" t="e">
        <f ca="1">_xludf.IMAGE("https://edmondsonsupply.com/cdn/shop/products/72101-72102-Nut-Blaster-XL-and-XXL-1_eced9b8e-38c5-44f8-9fd1-ef6353ffc883.webp?v=1677012027")</f>
        <v>#NAME?</v>
      </c>
      <c r="H5791" t="e">
        <f ca="1">_xludf.IMAGE("https://m.media-amazon.com/images/I/31Al65h91dL._AC_UL320_.jpg")</f>
        <v>#NAME?</v>
      </c>
      <c r="I5791" t="s">
        <v>3454</v>
      </c>
      <c r="J5791">
        <v>14.49</v>
      </c>
      <c r="K5791" s="4">
        <v>7.4099999999999999E-2</v>
      </c>
      <c r="L5791">
        <v>4.5</v>
      </c>
      <c r="M5791">
        <v>1366</v>
      </c>
      <c r="O5791" t="s">
        <v>25</v>
      </c>
      <c r="P5791" t="s">
        <v>1883</v>
      </c>
      <c r="Q5791" t="s">
        <v>7715</v>
      </c>
    </row>
    <row r="5792" spans="1:17" ht="15.5" x14ac:dyDescent="0.35">
      <c r="A5792" s="3" t="str">
        <f>HYPERLINK("https://edmondsonsupply.com/collections/electricians-tools/products/tajima-jpr-265-japan-pull%E2%84%A2-265-16-tpi-blade", "https://edmondsonsupply.com/collections/electricians-tools/products/tajima-jpr-265-japan-pull%E2%84%A2-265-16-tpi-blade")</f>
        <v>https://edmondsonsupply.com/collections/electricians-tools/products/tajima-jpr-265-japan-pull%E2%84%A2-265-16-tpi-blade</v>
      </c>
      <c r="B5792" s="3" t="str">
        <f>HYPERLINK("https://edmondsonsupply.com/products/tajima-jpr-265-japan-pull%e2%84%a2-265-16-tpi-blade", "https://edmondsonsupply.com/products/tajima-jpr-265-japan-pull%e2%84%a2-265-16-tpi-blade")</f>
        <v>https://edmondsonsupply.com/products/tajima-jpr-265-japan-pull%e2%84%a2-265-16-tpi-blade</v>
      </c>
      <c r="C5792" t="s">
        <v>7348</v>
      </c>
      <c r="D5792" t="s">
        <v>7716</v>
      </c>
      <c r="E5792" s="3" t="str">
        <f>HYPERLINK("https://www.amazon.com/TAJIMA-Pull-Stroke-Saw-Quick-Release-Elastomer/dp/B00ID1PKD0/ref=sr_1_3?keywords=Tajima+JPR-265+Japan+Pull%E2%84%A2+265%2C+16+TPI+Blade&amp;qid=1695174192&amp;sr=8-3", "https://www.amazon.com/TAJIMA-Pull-Stroke-Saw-Quick-Release-Elastomer/dp/B00ID1PKD0/ref=sr_1_3?keywords=Tajima+JPR-265+Japan+Pull%E2%84%A2+265%2C+16+TPI+Blade&amp;qid=1695174192&amp;sr=8-3")</f>
        <v>https://www.amazon.com/TAJIMA-Pull-Stroke-Saw-Quick-Release-Elastomer/dp/B00ID1PKD0/ref=sr_1_3?keywords=Tajima+JPR-265+Japan+Pull%E2%84%A2+265%2C+16+TPI+Blade&amp;qid=1695174192&amp;sr=8-3</v>
      </c>
      <c r="F5792" t="s">
        <v>7717</v>
      </c>
      <c r="G5792" t="e">
        <f ca="1">_xludf.IMAGE("https://edmondsonsupply.com/cdn/shop/products/JPR-265.jpg?v=1655818417")</f>
        <v>#NAME?</v>
      </c>
      <c r="H5792" t="e">
        <f ca="1">_xludf.IMAGE("https://m.media-amazon.com/images/I/71cdoT0D2wL._AC_UL320_.jpg")</f>
        <v>#NAME?</v>
      </c>
      <c r="I5792" t="s">
        <v>7351</v>
      </c>
      <c r="J5792">
        <v>34.17</v>
      </c>
      <c r="K5792" s="4">
        <v>7.3899999999999993E-2</v>
      </c>
      <c r="L5792">
        <v>4.5</v>
      </c>
      <c r="M5792">
        <v>59</v>
      </c>
      <c r="O5792" t="s">
        <v>25</v>
      </c>
      <c r="P5792" t="s">
        <v>260</v>
      </c>
      <c r="Q5792" t="s">
        <v>7352</v>
      </c>
    </row>
    <row r="5793" spans="1:17" ht="15.5" x14ac:dyDescent="0.35">
      <c r="A5793" s="3" t="str">
        <f>HYPERLINK("https://edmondsonsupply.com/collections/electricians-tools/products/rack-a-tiers-48000-driller-s-dust-bowl", "https://edmondsonsupply.com/collections/electricians-tools/products/rack-a-tiers-48000-driller-s-dust-bowl")</f>
        <v>https://edmondsonsupply.com/collections/electricians-tools/products/rack-a-tiers-48000-driller-s-dust-bowl</v>
      </c>
      <c r="B5793" s="3" t="str">
        <f>HYPERLINK("https://edmondsonsupply.com/products/rack-a-tiers-48000-driller-s-dust-bowl", "https://edmondsonsupply.com/products/rack-a-tiers-48000-driller-s-dust-bowl")</f>
        <v>https://edmondsonsupply.com/products/rack-a-tiers-48000-driller-s-dust-bowl</v>
      </c>
      <c r="C5793" t="s">
        <v>7718</v>
      </c>
      <c r="D5793" t="s">
        <v>7719</v>
      </c>
      <c r="E5793" s="3" t="str">
        <f>HYPERLINK("https://www.amazon.com/Rack-Tiers-Drillers-Dust-Bowl/dp/B00QW29WR2/ref=sr_1_1?keywords=Rack-A-Tiers+48000+Driller%E2%80%99s+Dust+Bowl&amp;qid=1695174243&amp;sr=8-1", "https://www.amazon.com/Rack-Tiers-Drillers-Dust-Bowl/dp/B00QW29WR2/ref=sr_1_1?keywords=Rack-A-Tiers+48000+Driller%E2%80%99s+Dust+Bowl&amp;qid=1695174243&amp;sr=8-1")</f>
        <v>https://www.amazon.com/Rack-Tiers-Drillers-Dust-Bowl/dp/B00QW29WR2/ref=sr_1_1?keywords=Rack-A-Tiers+48000+Driller%E2%80%99s+Dust+Bowl&amp;qid=1695174243&amp;sr=8-1</v>
      </c>
      <c r="F5793" t="s">
        <v>7720</v>
      </c>
      <c r="G5793" t="e">
        <f ca="1">_xludf.IMAGE("https://edmondsonsupply.com/cdn/shop/products/48000-Drillers-Dust-Bowl-6.png?v=1640112431")</f>
        <v>#NAME?</v>
      </c>
      <c r="H5793" t="e">
        <f ca="1">_xludf.IMAGE("https://m.media-amazon.com/images/I/41juH+JG+LL._AC_UL320_.jpg")</f>
        <v>#NAME?</v>
      </c>
      <c r="I5793" t="s">
        <v>7721</v>
      </c>
      <c r="J5793">
        <v>29.49</v>
      </c>
      <c r="K5793" s="4">
        <v>7.2800000000000004E-2</v>
      </c>
      <c r="L5793">
        <v>4.5</v>
      </c>
      <c r="M5793">
        <v>299</v>
      </c>
      <c r="O5793" t="s">
        <v>25</v>
      </c>
      <c r="P5793" t="s">
        <v>3601</v>
      </c>
      <c r="Q5793" t="s">
        <v>7722</v>
      </c>
    </row>
    <row r="5794" spans="1:17" ht="15.5" x14ac:dyDescent="0.35">
      <c r="A5794" s="3" t="str">
        <f>HYPERLINK("https://edmondsonsupply.com/collections/electricians-tools/products/klein-tools-502-10-eins-insulated-pump-pliers-slim-handle-10-inch", "https://edmondsonsupply.com/collections/electricians-tools/products/klein-tools-502-10-eins-insulated-pump-pliers-slim-handle-10-inch")</f>
        <v>https://edmondsonsupply.com/collections/electricians-tools/products/klein-tools-502-10-eins-insulated-pump-pliers-slim-handle-10-inch</v>
      </c>
      <c r="B5794" s="3" t="str">
        <f>HYPERLINK("https://edmondsonsupply.com/products/klein-tools-502-10-eins-insulated-pump-pliers-slim-handle-10-inch", "https://edmondsonsupply.com/products/klein-tools-502-10-eins-insulated-pump-pliers-slim-handle-10-inch")</f>
        <v>https://edmondsonsupply.com/products/klein-tools-502-10-eins-insulated-pump-pliers-slim-handle-10-inch</v>
      </c>
      <c r="C5794" t="s">
        <v>4213</v>
      </c>
      <c r="D5794" t="s">
        <v>4214</v>
      </c>
      <c r="E5794" s="3" t="str">
        <f>HYPERLINK("https://www.amazon.com/Electricians-Insulated-Klein-Tools-502-10-EINS/dp/B00JGG5QE4/ref=sr_1_1?keywords=Klein+Tools+502-10-EINS+Insulated+Pump+Pliers%2C+Slim+Handle%2C+10-Inch&amp;qid=1695173917&amp;sr=8-1", "https://www.amazon.com/Electricians-Insulated-Klein-Tools-502-10-EINS/dp/B00JGG5QE4/ref=sr_1_1?keywords=Klein+Tools+502-10-EINS+Insulated+Pump+Pliers%2C+Slim+Handle%2C+10-Inch&amp;qid=1695173917&amp;sr=8-1")</f>
        <v>https://www.amazon.com/Electricians-Insulated-Klein-Tools-502-10-EINS/dp/B00JGG5QE4/ref=sr_1_1?keywords=Klein+Tools+502-10-EINS+Insulated+Pump+Pliers%2C+Slim+Handle%2C+10-Inch&amp;qid=1695173917&amp;sr=8-1</v>
      </c>
      <c r="F5794" t="s">
        <v>4215</v>
      </c>
      <c r="G5794" t="e">
        <f ca="1">_xludf.IMAGE("https://edmondsonsupply.com/cdn/shop/products/50210eins.jpg?v=1633030819")</f>
        <v>#NAME?</v>
      </c>
      <c r="H5794" t="e">
        <f ca="1">_xludf.IMAGE("https://m.media-amazon.com/images/I/51NdzPzCWBL._AC_UL320_.jpg")</f>
        <v>#NAME?</v>
      </c>
      <c r="I5794" t="s">
        <v>905</v>
      </c>
      <c r="J5794">
        <v>64.349999999999994</v>
      </c>
      <c r="K5794" s="4">
        <v>7.2700000000000001E-2</v>
      </c>
      <c r="L5794">
        <v>4.5999999999999996</v>
      </c>
      <c r="M5794">
        <v>77</v>
      </c>
      <c r="O5794" t="s">
        <v>25</v>
      </c>
      <c r="P5794" t="s">
        <v>4216</v>
      </c>
      <c r="Q5794" t="s">
        <v>4217</v>
      </c>
    </row>
    <row r="5795" spans="1:17" ht="15.5" x14ac:dyDescent="0.35">
      <c r="A5795"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5795" s="3" t="str">
        <f>HYPERLINK("https://edmondsonsupply.com/products/klein-tools-80028-electricians-tool-kit-28-piece", "https://edmondsonsupply.com/products/klein-tools-80028-electricians-tool-kit-28-piece")</f>
        <v>https://edmondsonsupply.com/products/klein-tools-80028-electricians-tool-kit-28-piece</v>
      </c>
      <c r="C5795" t="s">
        <v>4066</v>
      </c>
      <c r="D5795" t="s">
        <v>4218</v>
      </c>
      <c r="E5795" s="3" t="str">
        <f>HYPERLINK("https://www.amazon.com/Klein-Tools-28-Piece-32807MAG-Magnetic/dp/B09T6Z6BK9/ref=sr_1_2?keywords=Klein+Tools+80028+Electrician%27s+Tool+Kit%2C+28-Piece&amp;qid=1695173883&amp;sr=8-2", "https://www.amazon.com/Klein-Tools-28-Piece-32807MAG-Magnetic/dp/B09T6Z6BK9/ref=sr_1_2?keywords=Klein+Tools+80028+Electrician%27s+Tool+Kit%2C+28-Piece&amp;qid=1695173883&amp;sr=8-2")</f>
        <v>https://www.amazon.com/Klein-Tools-28-Piece-32807MAG-Magnetic/dp/B09T6Z6BK9/ref=sr_1_2?keywords=Klein+Tools+80028+Electrician%27s+Tool+Kit%2C+28-Piece&amp;qid=1695173883&amp;sr=8-2</v>
      </c>
      <c r="F5795" t="s">
        <v>4219</v>
      </c>
      <c r="G5795" t="e">
        <f ca="1">_xludf.IMAGE("https://edmondsonsupply.com/cdn/shop/files/80028_d.jpg?v=1686062794")</f>
        <v>#NAME?</v>
      </c>
      <c r="H5795" t="e">
        <f ca="1">_xludf.IMAGE("https://m.media-amazon.com/images/I/511xo9SQ+rL._AC_UL320_.jpg")</f>
        <v>#NAME?</v>
      </c>
      <c r="I5795" t="s">
        <v>4069</v>
      </c>
      <c r="J5795">
        <v>444.96</v>
      </c>
      <c r="K5795" s="4">
        <v>7.22E-2</v>
      </c>
      <c r="L5795">
        <v>5</v>
      </c>
      <c r="M5795">
        <v>1</v>
      </c>
      <c r="O5795" t="s">
        <v>25</v>
      </c>
      <c r="P5795" t="s">
        <v>4070</v>
      </c>
      <c r="Q5795" t="s">
        <v>4071</v>
      </c>
    </row>
    <row r="5796" spans="1:17" ht="15.5" x14ac:dyDescent="0.35">
      <c r="A5796" s="3" t="str">
        <f>HYPERLINK("https://edmondsonsupply.com/collections/electricians-tools/products/milwaukee-49-56-9280-7-pc-big-hawg%E2%84%A2-with-carbide-teeth-hole-saw-kit", "https://edmondsonsupply.com/collections/electricians-tools/products/milwaukee-49-56-9280-7-pc-big-hawg%E2%84%A2-with-carbide-teeth-hole-saw-kit")</f>
        <v>https://edmondsonsupply.com/collections/electricians-tools/products/milwaukee-49-56-9280-7-pc-big-hawg%E2%84%A2-with-carbide-teeth-hole-saw-kit</v>
      </c>
      <c r="B5796" s="3" t="str">
        <f>HYPERLINK("https://edmondsonsupply.com/products/milwaukee-49-56-9280-7-pc-big-hawg%e2%84%a2-with-carbide-teeth-hole-saw-kit", "https://edmondsonsupply.com/products/milwaukee-49-56-9280-7-pc-big-hawg%e2%84%a2-with-carbide-teeth-hole-saw-kit")</f>
        <v>https://edmondsonsupply.com/products/milwaukee-49-56-9280-7-pc-big-hawg%e2%84%a2-with-carbide-teeth-hole-saw-kit</v>
      </c>
      <c r="C5796" t="s">
        <v>7723</v>
      </c>
      <c r="D5796" t="s">
        <v>7724</v>
      </c>
      <c r="E5796" s="3" t="str">
        <f>HYPERLINK("https://www.amazon.com/Milwaukee-49-56-9285-Hawg-Carbide-Teeth/dp/B07HNDM4VB/ref=sr_1_1?keywords=Milwaukee+49-56-9280+7+PC+BIG+HAWG%E2%84%A2+with+Carbide+Teeth+Hole+Saw+Kit&amp;qid=1695174117&amp;sr=8-1", "https://www.amazon.com/Milwaukee-49-56-9285-Hawg-Carbide-Teeth/dp/B07HNDM4VB/ref=sr_1_1?keywords=Milwaukee+49-56-9280+7+PC+BIG+HAWG%E2%84%A2+with+Carbide+Teeth+Hole+Saw+Kit&amp;qid=1695174117&amp;sr=8-1")</f>
        <v>https://www.amazon.com/Milwaukee-49-56-9285-Hawg-Carbide-Teeth/dp/B07HNDM4VB/ref=sr_1_1?keywords=Milwaukee+49-56-9280+7+PC+BIG+HAWG%E2%84%A2+with+Carbide+Teeth+Hole+Saw+Kit&amp;qid=1695174117&amp;sr=8-1</v>
      </c>
      <c r="F5796" t="s">
        <v>7725</v>
      </c>
      <c r="G5796" t="e">
        <f ca="1">_xludf.IMAGE("https://edmondsonsupply.com/cdn/shop/products/49-56-9280_Kit.png?v=1668538393")</f>
        <v>#NAME?</v>
      </c>
      <c r="H5796" t="e">
        <f ca="1">_xludf.IMAGE("https://m.media-amazon.com/images/I/91MZfSE7dxL._AC_UL320_.jpg")</f>
        <v>#NAME?</v>
      </c>
      <c r="I5796" t="s">
        <v>7726</v>
      </c>
      <c r="J5796">
        <v>150</v>
      </c>
      <c r="K5796" s="4">
        <v>7.17E-2</v>
      </c>
      <c r="L5796">
        <v>4.8</v>
      </c>
      <c r="M5796">
        <v>99</v>
      </c>
      <c r="O5796" t="s">
        <v>25</v>
      </c>
      <c r="P5796" t="s">
        <v>7727</v>
      </c>
      <c r="Q5796" t="s">
        <v>7728</v>
      </c>
    </row>
    <row r="5797" spans="1:17" ht="15.5" x14ac:dyDescent="0.35">
      <c r="A5797" s="3" t="str">
        <f>HYPERLINK("https://edmondsonsupply.com/collections/electricians-tools/products/klein-tools-6944ins", "https://edmondsonsupply.com/collections/electricians-tools/products/klein-tools-6944ins")</f>
        <v>https://edmondsonsupply.com/collections/electricians-tools/products/klein-tools-6944ins</v>
      </c>
      <c r="B5797" s="3" t="str">
        <f>HYPERLINK("https://edmondsonsupply.com/products/klein-tools-6944ins", "https://edmondsonsupply.com/products/klein-tools-6944ins")</f>
        <v>https://edmondsonsupply.com/products/klein-tools-6944ins</v>
      </c>
      <c r="C5797" t="s">
        <v>7729</v>
      </c>
      <c r="D5797" t="s">
        <v>7098</v>
      </c>
      <c r="E5797" s="3" t="str">
        <f>HYPERLINK("https://www.amazon.com/Klein-Tools-6926INS-Screwdriver-Cushion-Grip/dp/B09GL1X5SZ/ref=sr_1_4?keywords=Klein+Tools+6944INS+Slim-Tip+1000V+Insulated+Screwdriver%2C&amp;qid=1695174144&amp;sr=8-4", "https://www.amazon.com/Klein-Tools-6926INS-Screwdriver-Cushion-Grip/dp/B09GL1X5SZ/ref=sr_1_4?keywords=Klein+Tools+6944INS+Slim-Tip+1000V+Insulated+Screwdriver%2C&amp;qid=1695174144&amp;sr=8-4")</f>
        <v>https://www.amazon.com/Klein-Tools-6926INS-Screwdriver-Cushion-Grip/dp/B09GL1X5SZ/ref=sr_1_4?keywords=Klein+Tools+6944INS+Slim-Tip+1000V+Insulated+Screwdriver%2C&amp;qid=1695174144&amp;sr=8-4</v>
      </c>
      <c r="F5797" t="s">
        <v>7099</v>
      </c>
      <c r="G5797" t="e">
        <f ca="1">_xludf.IMAGE("https://edmondsonsupply.com/cdn/shop/products/6944ins.jpg?v=1664804875")</f>
        <v>#NAME?</v>
      </c>
      <c r="H5797" t="e">
        <f ca="1">_xludf.IMAGE("https://m.media-amazon.com/images/I/41JbepP5oGL._AC_UL320_.jpg")</f>
        <v>#NAME?</v>
      </c>
      <c r="I5797" t="s">
        <v>288</v>
      </c>
      <c r="J5797">
        <v>14.99</v>
      </c>
      <c r="K5797" s="4">
        <v>7.1499999999999994E-2</v>
      </c>
      <c r="L5797">
        <v>4.8</v>
      </c>
      <c r="M5797">
        <v>85</v>
      </c>
      <c r="O5797" t="s">
        <v>25</v>
      </c>
      <c r="P5797" t="s">
        <v>7730</v>
      </c>
      <c r="Q5797" t="s">
        <v>7731</v>
      </c>
    </row>
    <row r="5798" spans="1:17" ht="15.5" x14ac:dyDescent="0.35">
      <c r="A5798"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5798"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5798" t="s">
        <v>7732</v>
      </c>
      <c r="D5798" t="s">
        <v>7098</v>
      </c>
      <c r="E5798" s="3" t="str">
        <f>HYPERLINK("https://www.amazon.com/Klein-Tools-6926INS-Screwdriver-Cushion-Grip/dp/B09GL1X5SZ/ref=sr_1_8?keywords=Klein+Tools+6984INS+Slim-Tip+1000V+Insulated+Screwdriver%2C+%231+Square%2C+4-Inch+Round+Shank&amp;qid=1695174144&amp;sr=8-8", "https://www.amazon.com/Klein-Tools-6926INS-Screwdriver-Cushion-Grip/dp/B09GL1X5SZ/ref=sr_1_8?keywords=Klein+Tools+6984INS+Slim-Tip+1000V+Insulated+Screwdriver%2C+%231+Square%2C+4-Inch+Round+Shank&amp;qid=1695174144&amp;sr=8-8")</f>
        <v>https://www.amazon.com/Klein-Tools-6926INS-Screwdriver-Cushion-Grip/dp/B09GL1X5SZ/ref=sr_1_8?keywords=Klein+Tools+6984INS+Slim-Tip+1000V+Insulated+Screwdriver%2C+%231+Square%2C+4-Inch+Round+Shank&amp;qid=1695174144&amp;sr=8-8</v>
      </c>
      <c r="F5798" t="s">
        <v>7099</v>
      </c>
      <c r="G5798" t="e">
        <f ca="1">_xludf.IMAGE("https://edmondsonsupply.com/cdn/shop/products/6984ins.jpg?v=1664806448")</f>
        <v>#NAME?</v>
      </c>
      <c r="H5798" t="e">
        <f ca="1">_xludf.IMAGE("https://m.media-amazon.com/images/I/41JbepP5oGL._AC_UL320_.jpg")</f>
        <v>#NAME?</v>
      </c>
      <c r="I5798" t="s">
        <v>288</v>
      </c>
      <c r="J5798">
        <v>14.99</v>
      </c>
      <c r="K5798" s="4">
        <v>7.1499999999999994E-2</v>
      </c>
      <c r="L5798">
        <v>4.8</v>
      </c>
      <c r="M5798">
        <v>85</v>
      </c>
      <c r="O5798" t="s">
        <v>25</v>
      </c>
      <c r="P5798" t="s">
        <v>7730</v>
      </c>
      <c r="Q5798" t="s">
        <v>7733</v>
      </c>
    </row>
    <row r="5799" spans="1:17" ht="15.5" x14ac:dyDescent="0.35">
      <c r="A5799"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5799"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5799" t="s">
        <v>7732</v>
      </c>
      <c r="D5799" t="s">
        <v>7095</v>
      </c>
      <c r="E5799" s="3" t="str">
        <f>HYPERLINK("https://www.amazon.com/Klein-Tools-6986INS-Screwdriver-Cushion-Grip/dp/B09GPYQ7DM/ref=sr_1_2?keywords=Klein+Tools+6984INS+Slim-Tip+1000V+Insulated+Screwdriver%2C+%231+Square%2C+4-Inch+Round+Shank&amp;qid=1695174144&amp;sr=8-2", "https://www.amazon.com/Klein-Tools-6986INS-Screwdriver-Cushion-Grip/dp/B09GPYQ7DM/ref=sr_1_2?keywords=Klein+Tools+6984INS+Slim-Tip+1000V+Insulated+Screwdriver%2C+%231+Square%2C+4-Inch+Round+Shank&amp;qid=1695174144&amp;sr=8-2")</f>
        <v>https://www.amazon.com/Klein-Tools-6986INS-Screwdriver-Cushion-Grip/dp/B09GPYQ7DM/ref=sr_1_2?keywords=Klein+Tools+6984INS+Slim-Tip+1000V+Insulated+Screwdriver%2C+%231+Square%2C+4-Inch+Round+Shank&amp;qid=1695174144&amp;sr=8-2</v>
      </c>
      <c r="F5799" t="s">
        <v>7096</v>
      </c>
      <c r="G5799" t="e">
        <f ca="1">_xludf.IMAGE("https://edmondsonsupply.com/cdn/shop/products/6984ins.jpg?v=1664806448")</f>
        <v>#NAME?</v>
      </c>
      <c r="H5799" t="e">
        <f ca="1">_xludf.IMAGE("https://m.media-amazon.com/images/I/41d5Ic37xZL._AC_UL320_.jpg")</f>
        <v>#NAME?</v>
      </c>
      <c r="I5799" t="s">
        <v>288</v>
      </c>
      <c r="J5799">
        <v>14.99</v>
      </c>
      <c r="K5799" s="4">
        <v>7.1499999999999994E-2</v>
      </c>
      <c r="L5799">
        <v>4.8</v>
      </c>
      <c r="M5799">
        <v>29</v>
      </c>
      <c r="O5799" t="s">
        <v>25</v>
      </c>
      <c r="P5799" t="s">
        <v>7730</v>
      </c>
      <c r="Q5799" t="s">
        <v>7733</v>
      </c>
    </row>
    <row r="5800" spans="1:17" ht="15.5" x14ac:dyDescent="0.35">
      <c r="A5800"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5800" s="3" t="str">
        <f>HYPERLINK("https://edmondsonsupply.com/products/klein-tools-31940-bi-metal-hole-saw-2-1-2-inch", "https://edmondsonsupply.com/products/klein-tools-31940-bi-metal-hole-saw-2-1-2-inch")</f>
        <v>https://edmondsonsupply.com/products/klein-tools-31940-bi-metal-hole-saw-2-1-2-inch</v>
      </c>
      <c r="C5800" t="s">
        <v>6842</v>
      </c>
      <c r="D5800" t="s">
        <v>6787</v>
      </c>
      <c r="E5800" s="3" t="str">
        <f>HYPERLINK("https://www.amazon.com/Klein-Tools-31534-Bi-Metal-8-Inch/dp/B0009OIJFA/ref=sr_1_10?keywords=Klein+Tools+31940+Bi-Metal+Hole+Saw%2C+2-1%2F2-Inch&amp;qid=1695174215&amp;sr=8-10", "https://www.amazon.com/Klein-Tools-31534-Bi-Metal-8-Inch/dp/B0009OIJFA/ref=sr_1_10?keywords=Klein+Tools+31940+Bi-Metal+Hole+Saw%2C+2-1%2F2-Inch&amp;qid=1695174215&amp;sr=8-10")</f>
        <v>https://www.amazon.com/Klein-Tools-31534-Bi-Metal-8-Inch/dp/B0009OIJFA/ref=sr_1_10?keywords=Klein+Tools+31940+Bi-Metal+Hole+Saw%2C+2-1%2F2-Inch&amp;qid=1695174215&amp;sr=8-10</v>
      </c>
      <c r="F5800" t="s">
        <v>6788</v>
      </c>
      <c r="G5800" t="e">
        <f ca="1">_xludf.IMAGE("https://edmondsonsupply.com/cdn/shop/products/31940.jpg?v=1649380086")</f>
        <v>#NAME?</v>
      </c>
      <c r="H5800" t="e">
        <f ca="1">_xludf.IMAGE("https://m.media-amazon.com/images/I/31Wk-f8wwaL._AC_UL320_.jpg")</f>
        <v>#NAME?</v>
      </c>
      <c r="I5800" t="s">
        <v>288</v>
      </c>
      <c r="J5800">
        <v>14.99</v>
      </c>
      <c r="K5800" s="4">
        <v>7.1499999999999994E-2</v>
      </c>
      <c r="L5800">
        <v>5</v>
      </c>
      <c r="M5800">
        <v>5</v>
      </c>
      <c r="O5800" t="s">
        <v>25</v>
      </c>
      <c r="P5800" t="s">
        <v>6845</v>
      </c>
      <c r="Q5800" t="s">
        <v>6846</v>
      </c>
    </row>
    <row r="5801" spans="1:17" ht="15.5" x14ac:dyDescent="0.35">
      <c r="A5801"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5801"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5801" t="s">
        <v>6443</v>
      </c>
      <c r="D5801" t="s">
        <v>7734</v>
      </c>
      <c r="E5801" s="3" t="str">
        <f>HYPERLINK("https://www.amazon.com/Journeyman-T-Handle-Klein-Tools-JTH9E06/dp/B004QV4A50/ref=sr_1_2?keywords=Klein+Tools+JTH4E06+3%2F32-Inch+Hex+Key%2C+Journeyman+T-Handle%2C+4-Inch&amp;qid=1695174228&amp;sr=8-2", "https://www.amazon.com/Journeyman-T-Handle-Klein-Tools-JTH9E06/dp/B004QV4A50/ref=sr_1_2?keywords=Klein+Tools+JTH4E06+3%2F32-Inch+Hex+Key%2C+Journeyman+T-Handle%2C+4-Inch&amp;qid=1695174228&amp;sr=8-2")</f>
        <v>https://www.amazon.com/Journeyman-T-Handle-Klein-Tools-JTH9E06/dp/B004QV4A50/ref=sr_1_2?keywords=Klein+Tools+JTH4E06+3%2F32-Inch+Hex+Key%2C+Journeyman+T-Handle%2C+4-Inch&amp;qid=1695174228&amp;sr=8-2</v>
      </c>
      <c r="F5801" t="s">
        <v>7735</v>
      </c>
      <c r="G5801" t="e">
        <f ca="1">_xludf.IMAGE("https://edmondsonsupply.com/cdn/shop/products/jth4e06.jpg?v=1635112029")</f>
        <v>#NAME?</v>
      </c>
      <c r="H5801" t="e">
        <f ca="1">_xludf.IMAGE("https://m.media-amazon.com/images/I/51Yb8h41vLL._AC_UL320_.jpg")</f>
        <v>#NAME?</v>
      </c>
      <c r="I5801" t="s">
        <v>6444</v>
      </c>
      <c r="J5801">
        <v>4.2699999999999996</v>
      </c>
      <c r="K5801" s="4">
        <v>7.0199999999999999E-2</v>
      </c>
      <c r="L5801">
        <v>4.5999999999999996</v>
      </c>
      <c r="M5801">
        <v>393</v>
      </c>
      <c r="O5801" t="s">
        <v>25</v>
      </c>
      <c r="P5801" t="s">
        <v>2044</v>
      </c>
      <c r="Q5801" t="s">
        <v>6445</v>
      </c>
    </row>
    <row r="5802" spans="1:17" ht="15.5" x14ac:dyDescent="0.35">
      <c r="A5802" s="3" t="str">
        <f>HYPERLINK("https://edmondsonsupply.com/collections/electricians-tools/products/klein-tools-jth6e07-7-64-inch-hex-key-journeyman%E2%84%A2-t-handle-6-inch", "https://edmondsonsupply.com/collections/electricians-tools/products/klein-tools-jth6e07-7-64-inch-hex-key-journeyman%E2%84%A2-t-handle-6-inch")</f>
        <v>https://edmondsonsupply.com/collections/electricians-tools/products/klein-tools-jth6e07-7-64-inch-hex-key-journeyman%E2%84%A2-t-handle-6-inch</v>
      </c>
      <c r="B5802" s="3" t="str">
        <f>HYPERLINK("https://edmondsonsupply.com/products/klein-tools-jth6e07-7-64-inch-hex-key-journeyman%e2%84%a2-t-handle-6-inch", "https://edmondsonsupply.com/products/klein-tools-jth6e07-7-64-inch-hex-key-journeyman%e2%84%a2-t-handle-6-inch")</f>
        <v>https://edmondsonsupply.com/products/klein-tools-jth6e07-7-64-inch-hex-key-journeyman%e2%84%a2-t-handle-6-inch</v>
      </c>
      <c r="C5802" t="s">
        <v>7736</v>
      </c>
      <c r="D5802" t="s">
        <v>7737</v>
      </c>
      <c r="E5802" s="3" t="str">
        <f>HYPERLINK("https://www.amazon.com/Journeyman-T-Handle-Klein-Tools-JTH9E07/dp/B004QV6Q9S/ref=sr_1_3?keywords=Klein+Tools+JTH6E07+7%2F64-Inch+Hex+Key%2C+Journeyman%E2%84%A2+T-Handle%2C+6-Inch&amp;qid=1695174136&amp;sr=8-3", "https://www.amazon.com/Journeyman-T-Handle-Klein-Tools-JTH9E07/dp/B004QV6Q9S/ref=sr_1_3?keywords=Klein+Tools+JTH6E07+7%2F64-Inch+Hex+Key%2C+Journeyman%E2%84%A2+T-Handle%2C+6-Inch&amp;qid=1695174136&amp;sr=8-3")</f>
        <v>https://www.amazon.com/Journeyman-T-Handle-Klein-Tools-JTH9E07/dp/B004QV6Q9S/ref=sr_1_3?keywords=Klein+Tools+JTH6E07+7%2F64-Inch+Hex+Key%2C+Journeyman%E2%84%A2+T-Handle%2C+6-Inch&amp;qid=1695174136&amp;sr=8-3</v>
      </c>
      <c r="F5802" t="s">
        <v>7738</v>
      </c>
      <c r="G5802" t="e">
        <f ca="1">_xludf.IMAGE("https://edmondsonsupply.com/cdn/shop/products/jth6e15_1.jpg?v=1666369631")</f>
        <v>#NAME?</v>
      </c>
      <c r="H5802" t="e">
        <f ca="1">_xludf.IMAGE("https://m.media-amazon.com/images/I/51Yb8h41vLL._AC_UL320_.jpg")</f>
        <v>#NAME?</v>
      </c>
      <c r="I5802" t="s">
        <v>6444</v>
      </c>
      <c r="J5802">
        <v>4.2699999999999996</v>
      </c>
      <c r="K5802" s="4">
        <v>7.0199999999999999E-2</v>
      </c>
      <c r="L5802">
        <v>4.5999999999999996</v>
      </c>
      <c r="M5802">
        <v>393</v>
      </c>
      <c r="O5802" t="s">
        <v>25</v>
      </c>
      <c r="P5802" t="s">
        <v>2044</v>
      </c>
      <c r="Q5802" t="s">
        <v>7739</v>
      </c>
    </row>
    <row r="5803" spans="1:17" ht="15.5" x14ac:dyDescent="0.35">
      <c r="A5803" s="3" t="str">
        <f>HYPERLINK("https://edmondsonsupply.com/collections/electricians-tools/products/rack-a-tiers-bb1520-bumper-balls-kit", "https://edmondsonsupply.com/collections/electricians-tools/products/rack-a-tiers-bb1520-bumper-balls-kit")</f>
        <v>https://edmondsonsupply.com/collections/electricians-tools/products/rack-a-tiers-bb1520-bumper-balls-kit</v>
      </c>
      <c r="B5803" s="3" t="str">
        <f>HYPERLINK("https://edmondsonsupply.com/products/rack-a-tiers-bb1520-bumper-balls-kit", "https://edmondsonsupply.com/products/rack-a-tiers-bb1520-bumper-balls-kit")</f>
        <v>https://edmondsonsupply.com/products/rack-a-tiers-bb1520-bumper-balls-kit</v>
      </c>
      <c r="C5803" t="s">
        <v>4226</v>
      </c>
      <c r="D5803" t="s">
        <v>4227</v>
      </c>
      <c r="E5803" s="3" t="str">
        <f>HYPERLINK("https://www.amazon.com/Rack-Tiers-Bumper-Balls-Alignment/dp/B09JTWFQHT/ref=sr_1_1?keywords=Rack-A-Tiers+BB1520+Bumper+Balls+Kit&amp;qid=1695173881&amp;sr=8-1", "https://www.amazon.com/Rack-Tiers-Bumper-Balls-Alignment/dp/B09JTWFQHT/ref=sr_1_1?keywords=Rack-A-Tiers+BB1520+Bumper+Balls+Kit&amp;qid=1695173881&amp;sr=8-1")</f>
        <v>https://www.amazon.com/Rack-Tiers-Bumper-Balls-Alignment/dp/B09JTWFQHT/ref=sr_1_1?keywords=Rack-A-Tiers+BB1520+Bumper+Balls+Kit&amp;qid=1695173881&amp;sr=8-1</v>
      </c>
      <c r="F5803" t="s">
        <v>4228</v>
      </c>
      <c r="G5803" t="e">
        <f ca="1">_xludf.IMAGE("https://edmondsonsupply.com/cdn/shop/products/BB1520-Bumper-Balls.png?v=1633031148")</f>
        <v>#NAME?</v>
      </c>
      <c r="H5803" t="e">
        <f ca="1">_xludf.IMAGE("https://m.media-amazon.com/images/I/41V-bJsX0DL._AC_UL320_.jpg")</f>
        <v>#NAME?</v>
      </c>
      <c r="I5803" t="s">
        <v>1883</v>
      </c>
      <c r="J5803">
        <v>15.49</v>
      </c>
      <c r="K5803" s="4">
        <v>6.9000000000000006E-2</v>
      </c>
      <c r="L5803">
        <v>4.2</v>
      </c>
      <c r="M5803">
        <v>25</v>
      </c>
      <c r="O5803" t="s">
        <v>25</v>
      </c>
      <c r="P5803" t="s">
        <v>4229</v>
      </c>
      <c r="Q5803" t="s">
        <v>4230</v>
      </c>
    </row>
    <row r="5804" spans="1:17" ht="15.5" x14ac:dyDescent="0.35">
      <c r="A5804" s="3" t="str">
        <f>HYPERLINK("https://edmondsonsupply.com/collections/electricians-tools/products/diablo-tools-d0424x-4-1-2-in-x-24-tooth-framing-trim-saw-blade", "https://edmondsonsupply.com/collections/electricians-tools/products/diablo-tools-d0424x-4-1-2-in-x-24-tooth-framing-trim-saw-blade")</f>
        <v>https://edmondsonsupply.com/collections/electricians-tools/products/diablo-tools-d0424x-4-1-2-in-x-24-tooth-framing-trim-saw-blade</v>
      </c>
      <c r="B5804" s="3" t="str">
        <f>HYPERLINK("https://edmondsonsupply.com/products/diablo-tools-d0424x-4-1-2-in-x-24-tooth-framing-trim-saw-blade", "https://edmondsonsupply.com/products/diablo-tools-d0424x-4-1-2-in-x-24-tooth-framing-trim-saw-blade")</f>
        <v>https://edmondsonsupply.com/products/diablo-tools-d0424x-4-1-2-in-x-24-tooth-framing-trim-saw-blade</v>
      </c>
      <c r="C5804" t="s">
        <v>7740</v>
      </c>
      <c r="D5804" t="s">
        <v>7741</v>
      </c>
      <c r="E5804" s="3" t="str">
        <f>HYPERLINK("https://www.amazon.com/Echo-Corner-General-Purpose-Ultra-Thin-Woodworking/dp/B0BQB4YHBQ/ref=sr_1_5?keywords=Diablo+Tools+D0424X+4-1%2F2+in.+x+24+Tooth+Framing+Trim+Saw+Blade&amp;qid=1695174057&amp;sr=8-5", "https://www.amazon.com/Echo-Corner-General-Purpose-Ultra-Thin-Woodworking/dp/B0BQB4YHBQ/ref=sr_1_5?keywords=Diablo+Tools+D0424X+4-1%2F2+in.+x+24+Tooth+Framing+Trim+Saw+Blade&amp;qid=1695174057&amp;sr=8-5")</f>
        <v>https://www.amazon.com/Echo-Corner-General-Purpose-Ultra-Thin-Woodworking/dp/B0BQB4YHBQ/ref=sr_1_5?keywords=Diablo+Tools+D0424X+4-1%2F2+in.+x+24+Tooth+Framing+Trim+Saw+Blade&amp;qid=1695174057&amp;sr=8-5</v>
      </c>
      <c r="F5804" t="s">
        <v>7742</v>
      </c>
      <c r="G5804" t="e">
        <f ca="1">_xludf.IMAGE("https://edmondsonsupply.com/cdn/shop/products/kscyqpb4khjcxmaeciqc.webp?v=1679327311")</f>
        <v>#NAME?</v>
      </c>
      <c r="H5804" t="e">
        <f ca="1">_xludf.IMAGE("https://m.media-amazon.com/images/I/716cG-klfkL._AC_UL320_.jpg")</f>
        <v>#NAME?</v>
      </c>
      <c r="I5804" t="s">
        <v>2784</v>
      </c>
      <c r="J5804">
        <v>16</v>
      </c>
      <c r="K5804" s="4">
        <v>6.88E-2</v>
      </c>
      <c r="L5804">
        <v>4.0999999999999996</v>
      </c>
      <c r="M5804">
        <v>42</v>
      </c>
      <c r="O5804" t="s">
        <v>25</v>
      </c>
      <c r="P5804" t="s">
        <v>7743</v>
      </c>
      <c r="Q5804" t="s">
        <v>7744</v>
      </c>
    </row>
    <row r="5805" spans="1:17" ht="15.5" x14ac:dyDescent="0.35">
      <c r="A5805"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5805" s="3" t="str">
        <f>HYPERLINK("https://edmondsonsupply.com/products/diablo-tools-d0740x-7-1-4-in-x-40-tooth-finish-saw-blade", "https://edmondsonsupply.com/products/diablo-tools-d0740x-7-1-4-in-x-40-tooth-finish-saw-blade")</f>
        <v>https://edmondsonsupply.com/products/diablo-tools-d0740x-7-1-4-in-x-40-tooth-finish-saw-blade</v>
      </c>
      <c r="C5805" t="s">
        <v>6112</v>
      </c>
      <c r="D5805" t="s">
        <v>7745</v>
      </c>
      <c r="E5805" s="3" t="str">
        <f>HYPERLINK("https://www.amazon.com/FOXBC-Circular-60-Tooth-Replacement-DWA171460/dp/B0C6L4CRY2/ref=sr_1_7?keywords=Diablo+Tools+D0740X+7-1%2F4+in.+x+40+Tooth+Finish+Saw+Blade&amp;qid=1695174073&amp;sr=8-7", "https://www.amazon.com/FOXBC-Circular-60-Tooth-Replacement-DWA171460/dp/B0C6L4CRY2/ref=sr_1_7?keywords=Diablo+Tools+D0740X+7-1%2F4+in.+x+40+Tooth+Finish+Saw+Blade&amp;qid=1695174073&amp;sr=8-7")</f>
        <v>https://www.amazon.com/FOXBC-Circular-60-Tooth-Replacement-DWA171460/dp/B0C6L4CRY2/ref=sr_1_7?keywords=Diablo+Tools+D0740X+7-1%2F4+in.+x+40+Tooth+Finish+Saw+Blade&amp;qid=1695174073&amp;sr=8-7</v>
      </c>
      <c r="F5805" t="s">
        <v>7746</v>
      </c>
      <c r="G5805" t="e">
        <f ca="1">_xludf.IMAGE("https://edmondsonsupply.com/cdn/shop/products/kdrkrhhsfpivsggxnkhy.webp?v=1678975834")</f>
        <v>#NAME?</v>
      </c>
      <c r="H5805" t="e">
        <f ca="1">_xludf.IMAGE("https://m.media-amazon.com/images/I/7198akWEx0L._AC_UL320_.jpg")</f>
        <v>#NAME?</v>
      </c>
      <c r="I5805" t="s">
        <v>2784</v>
      </c>
      <c r="J5805">
        <v>15.99</v>
      </c>
      <c r="K5805" s="4">
        <v>6.8099999999999994E-2</v>
      </c>
      <c r="L5805">
        <v>4.8</v>
      </c>
      <c r="M5805">
        <v>31</v>
      </c>
      <c r="O5805" t="s">
        <v>25</v>
      </c>
      <c r="P5805" t="s">
        <v>6115</v>
      </c>
      <c r="Q5805" t="s">
        <v>6116</v>
      </c>
    </row>
    <row r="5806" spans="1:17" ht="15.5" x14ac:dyDescent="0.35">
      <c r="A5806"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5806"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5806" t="s">
        <v>851</v>
      </c>
      <c r="D5806" t="s">
        <v>927</v>
      </c>
      <c r="E5806" s="3" t="str">
        <f>HYPERLINK("https://www.amazon.com/Klein-60470-Protection-Anti-Fog-Resistant/dp/B0B69KPRPF/ref=sr_1_2?keywords=Klein+Tools+60163+Professional+Safety+Glasses%2C+Full+Frame%2C+Clear+Lens&amp;qid=1695174311&amp;sr=8-2", "https://www.amazon.com/Klein-60470-Protection-Anti-Fog-Resistant/dp/B0B69KPRPF/ref=sr_1_2?keywords=Klein+Tools+60163+Professional+Safety+Glasses%2C+Full+Frame%2C+Clear+Lens&amp;qid=1695174311&amp;sr=8-2")</f>
        <v>https://www.amazon.com/Klein-60470-Protection-Anti-Fog-Resistant/dp/B0B69KPRPF/ref=sr_1_2?keywords=Klein+Tools+60163+Professional+Safety+Glasses%2C+Full+Frame%2C+Clear+Lens&amp;qid=1695174311&amp;sr=8-2</v>
      </c>
      <c r="F5806" t="s">
        <v>928</v>
      </c>
      <c r="G5806" t="e">
        <f ca="1">_xludf.IMAGE("https://edmondsonsupply.com/cdn/shop/products/60163.jpg?v=1633030848")</f>
        <v>#NAME?</v>
      </c>
      <c r="H5806" t="e">
        <f ca="1">_xludf.IMAGE("https://m.media-amazon.com/images/I/51TkfiRMYgL._AC_UL320_.jpg")</f>
        <v>#NAME?</v>
      </c>
      <c r="I5806" t="s">
        <v>276</v>
      </c>
      <c r="J5806">
        <v>15.99</v>
      </c>
      <c r="K5806" s="4">
        <v>6.6699999999999995E-2</v>
      </c>
      <c r="L5806">
        <v>4</v>
      </c>
      <c r="M5806">
        <v>29</v>
      </c>
      <c r="O5806" t="s">
        <v>25</v>
      </c>
      <c r="P5806" t="s">
        <v>277</v>
      </c>
      <c r="Q5806" t="s">
        <v>852</v>
      </c>
    </row>
    <row r="5807" spans="1:17" ht="15.5" x14ac:dyDescent="0.35">
      <c r="A5807"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5807"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5807" t="s">
        <v>1848</v>
      </c>
      <c r="D5807" t="s">
        <v>922</v>
      </c>
      <c r="E5807" s="3" t="str">
        <f>HYPERLINK("https://www.amazon.com/Klein-60161-Professional-Protective-Resistant/dp/B08B496F57/ref=sr_1_10?keywords=Klein+Tools+60164+Professional+Safety+Glasses%2C+Full+Frame%2C+Gray+Lens&amp;qid=1695173933&amp;sr=8-10", "https://www.amazon.com/Klein-60161-Professional-Protective-Resistant/dp/B08B496F57/ref=sr_1_10?keywords=Klein+Tools+60164+Professional+Safety+Glasses%2C+Full+Frame%2C+Gray+Lens&amp;qid=1695173933&amp;sr=8-10")</f>
        <v>https://www.amazon.com/Klein-60161-Professional-Protective-Resistant/dp/B08B496F57/ref=sr_1_10?keywords=Klein+Tools+60164+Professional+Safety+Glasses%2C+Full+Frame%2C+Gray+Lens&amp;qid=1695173933&amp;sr=8-10</v>
      </c>
      <c r="F5807" t="s">
        <v>923</v>
      </c>
      <c r="G5807" t="e">
        <f ca="1">_xludf.IMAGE("https://edmondsonsupply.com/cdn/shop/products/60164.jpg?v=1633030851")</f>
        <v>#NAME?</v>
      </c>
      <c r="H5807" t="e">
        <f ca="1">_xludf.IMAGE("https://m.media-amazon.com/images/I/515pVZPvJ0L._AC_UL320_.jpg")</f>
        <v>#NAME?</v>
      </c>
      <c r="I5807" t="s">
        <v>276</v>
      </c>
      <c r="J5807">
        <v>15.99</v>
      </c>
      <c r="K5807" s="4">
        <v>6.6699999999999995E-2</v>
      </c>
      <c r="L5807">
        <v>4.4000000000000004</v>
      </c>
      <c r="M5807">
        <v>374</v>
      </c>
      <c r="O5807" t="s">
        <v>25</v>
      </c>
      <c r="P5807" t="s">
        <v>277</v>
      </c>
      <c r="Q5807" t="s">
        <v>1849</v>
      </c>
    </row>
    <row r="5808" spans="1:17" ht="15.5" x14ac:dyDescent="0.35">
      <c r="A5808"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5808"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5808" t="s">
        <v>851</v>
      </c>
      <c r="D5808" t="s">
        <v>922</v>
      </c>
      <c r="E5808" s="3" t="str">
        <f>HYPERLINK("https://www.amazon.com/Klein-60161-Professional-Protective-Resistant/dp/B08B496F57/ref=sr_1_10?keywords=Klein+Tools+60163+Professional+Safety+Glasses%2C+Full+Frame%2C+Clear+Lens&amp;qid=1695174311&amp;sr=8-10", "https://www.amazon.com/Klein-60161-Professional-Protective-Resistant/dp/B08B496F57/ref=sr_1_10?keywords=Klein+Tools+60163+Professional+Safety+Glasses%2C+Full+Frame%2C+Clear+Lens&amp;qid=1695174311&amp;sr=8-10")</f>
        <v>https://www.amazon.com/Klein-60161-Professional-Protective-Resistant/dp/B08B496F57/ref=sr_1_10?keywords=Klein+Tools+60163+Professional+Safety+Glasses%2C+Full+Frame%2C+Clear+Lens&amp;qid=1695174311&amp;sr=8-10</v>
      </c>
      <c r="F5808" t="s">
        <v>923</v>
      </c>
      <c r="G5808" t="e">
        <f ca="1">_xludf.IMAGE("https://edmondsonsupply.com/cdn/shop/products/60163.jpg?v=1633030848")</f>
        <v>#NAME?</v>
      </c>
      <c r="H5808" t="e">
        <f ca="1">_xludf.IMAGE("https://m.media-amazon.com/images/I/515pVZPvJ0L._AC_UL320_.jpg")</f>
        <v>#NAME?</v>
      </c>
      <c r="I5808" t="s">
        <v>276</v>
      </c>
      <c r="J5808">
        <v>15.99</v>
      </c>
      <c r="K5808" s="4">
        <v>6.6699999999999995E-2</v>
      </c>
      <c r="L5808">
        <v>4.4000000000000004</v>
      </c>
      <c r="M5808">
        <v>374</v>
      </c>
      <c r="O5808" t="s">
        <v>25</v>
      </c>
      <c r="P5808" t="s">
        <v>277</v>
      </c>
      <c r="Q5808" t="s">
        <v>852</v>
      </c>
    </row>
    <row r="5809" spans="1:17" ht="15.5" x14ac:dyDescent="0.35">
      <c r="A5809"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5809"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5809" t="s">
        <v>1848</v>
      </c>
      <c r="D5809" t="s">
        <v>930</v>
      </c>
      <c r="E5809" s="3" t="str">
        <f>HYPERLINK("https://www.amazon.com/Klein-60471-Protection-Anti-Fog-Resistant/dp/B0B69LNT2Y/ref=sr_1_3?keywords=Klein+Tools+60164+Professional+Safety+Glasses%2C+Full+Frame%2C+Gray+Lens&amp;qid=1695173933&amp;sr=8-3", "https://www.amazon.com/Klein-60471-Protection-Anti-Fog-Resistant/dp/B0B69LNT2Y/ref=sr_1_3?keywords=Klein+Tools+60164+Professional+Safety+Glasses%2C+Full+Frame%2C+Gray+Lens&amp;qid=1695173933&amp;sr=8-3")</f>
        <v>https://www.amazon.com/Klein-60471-Protection-Anti-Fog-Resistant/dp/B0B69LNT2Y/ref=sr_1_3?keywords=Klein+Tools+60164+Professional+Safety+Glasses%2C+Full+Frame%2C+Gray+Lens&amp;qid=1695173933&amp;sr=8-3</v>
      </c>
      <c r="F5809" t="s">
        <v>931</v>
      </c>
      <c r="G5809" t="e">
        <f ca="1">_xludf.IMAGE("https://edmondsonsupply.com/cdn/shop/products/60164.jpg?v=1633030851")</f>
        <v>#NAME?</v>
      </c>
      <c r="H5809" t="e">
        <f ca="1">_xludf.IMAGE("https://m.media-amazon.com/images/I/51z-a2tdJlL._AC_UL320_.jpg")</f>
        <v>#NAME?</v>
      </c>
      <c r="I5809" t="s">
        <v>276</v>
      </c>
      <c r="J5809">
        <v>15.99</v>
      </c>
      <c r="K5809" s="4">
        <v>6.6699999999999995E-2</v>
      </c>
      <c r="L5809">
        <v>4.3</v>
      </c>
      <c r="M5809">
        <v>56</v>
      </c>
      <c r="O5809" t="s">
        <v>25</v>
      </c>
      <c r="P5809" t="s">
        <v>277</v>
      </c>
      <c r="Q5809" t="s">
        <v>1849</v>
      </c>
    </row>
    <row r="5810" spans="1:17" ht="15.5" x14ac:dyDescent="0.35">
      <c r="A5810" s="3" t="str">
        <f>HYPERLINK("https://edmondsonsupply.com/collections/electricians-tools/products/rack-a-tiers-47002-crocs-jr-needle-nose-wire-strippers", "https://edmondsonsupply.com/collections/electricians-tools/products/rack-a-tiers-47002-crocs-jr-needle-nose-wire-strippers")</f>
        <v>https://edmondsonsupply.com/collections/electricians-tools/products/rack-a-tiers-47002-crocs-jr-needle-nose-wire-strippers</v>
      </c>
      <c r="B5810" s="3" t="str">
        <f>HYPERLINK("https://edmondsonsupply.com/products/rack-a-tiers-47002-crocs-jr-needle-nose-wire-strippers", "https://edmondsonsupply.com/products/rack-a-tiers-47002-crocs-jr-needle-nose-wire-strippers")</f>
        <v>https://edmondsonsupply.com/products/rack-a-tiers-47002-crocs-jr-needle-nose-wire-strippers</v>
      </c>
      <c r="C5810" t="s">
        <v>3468</v>
      </c>
      <c r="D5810" t="s">
        <v>4231</v>
      </c>
      <c r="E5810" s="3" t="str">
        <f>HYPERLINK("https://www.amazon.com/Rack-A-Tiers-CECOMINOD033650-47002-Crocs-Jr/dp/B00ZV4JXU8/ref=sr_1_1?keywords=Rack-A-Tiers+47002+Croc%27s+Jr.+Needle+Nose+Wire+Strippers&amp;qid=1695173869&amp;sr=8-1", "https://www.amazon.com/Rack-A-Tiers-CECOMINOD033650-47002-Crocs-Jr/dp/B00ZV4JXU8/ref=sr_1_1?keywords=Rack-A-Tiers+47002+Croc%27s+Jr.+Needle+Nose+Wire+Strippers&amp;qid=1695173869&amp;sr=8-1")</f>
        <v>https://www.amazon.com/Rack-A-Tiers-CECOMINOD033650-47002-Crocs-Jr/dp/B00ZV4JXU8/ref=sr_1_1?keywords=Rack-A-Tiers+47002+Croc%27s+Jr.+Needle+Nose+Wire+Strippers&amp;qid=1695173869&amp;sr=8-1</v>
      </c>
      <c r="F5810" t="s">
        <v>4232</v>
      </c>
      <c r="G5810" t="e">
        <f ca="1">_xludf.IMAGE("https://edmondsonsupply.com/cdn/shop/products/47002-Crocs-Jr-2-1-1-1.png?v=1587142280")</f>
        <v>#NAME?</v>
      </c>
      <c r="H5810" t="e">
        <f ca="1">_xludf.IMAGE("https://m.media-amazon.com/images/I/41nJh9Nus8S._AC_UL320_.jpg")</f>
        <v>#NAME?</v>
      </c>
      <c r="I5810" t="s">
        <v>3471</v>
      </c>
      <c r="J5810">
        <v>23.99</v>
      </c>
      <c r="K5810" s="4">
        <v>6.6699999999999995E-2</v>
      </c>
      <c r="L5810">
        <v>4.5</v>
      </c>
      <c r="M5810">
        <v>252</v>
      </c>
      <c r="O5810" t="s">
        <v>25</v>
      </c>
      <c r="P5810" t="s">
        <v>3472</v>
      </c>
      <c r="Q5810" t="s">
        <v>3473</v>
      </c>
    </row>
    <row r="5811" spans="1:17" ht="15.5" x14ac:dyDescent="0.35">
      <c r="A5811"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5811" s="3" t="str">
        <f>HYPERLINK("https://edmondsonsupply.com/products/klein-tools-d2000-28glw-diagonal-cutting-pliers-hi-viz-8-inch", "https://edmondsonsupply.com/products/klein-tools-d2000-28glw-diagonal-cutting-pliers-hi-viz-8-inch")</f>
        <v>https://edmondsonsupply.com/products/klein-tools-d2000-28glw-diagonal-cutting-pliers-hi-viz-8-inch</v>
      </c>
      <c r="C5811" t="s">
        <v>4233</v>
      </c>
      <c r="D5811" t="s">
        <v>4234</v>
      </c>
      <c r="E5811" s="3" t="str">
        <f>HYPERLINK("https://www.amazon.com/Klein-Tools-J2000-48-Diagonal-Cutters/dp/B0006M6Y8O/ref=sr_1_6?keywords=Klein+Tools+D200028GLW+Diagonal+Cutting+Pliers%2C+High-Visibility%2C+8-Inch&amp;qid=1695173928&amp;sr=8-6", "https://www.amazon.com/Klein-Tools-J2000-48-Diagonal-Cutters/dp/B0006M6Y8O/ref=sr_1_6?keywords=Klein+Tools+D200028GLW+Diagonal+Cutting+Pliers%2C+High-Visibility%2C+8-Inch&amp;qid=1695173928&amp;sr=8-6")</f>
        <v>https://www.amazon.com/Klein-Tools-J2000-48-Diagonal-Cutters/dp/B0006M6Y8O/ref=sr_1_6?keywords=Klein+Tools+D200028GLW+Diagonal+Cutting+Pliers%2C+High-Visibility%2C+8-Inch&amp;qid=1695173928&amp;sr=8-6</v>
      </c>
      <c r="F5811" t="s">
        <v>4235</v>
      </c>
      <c r="G5811" t="e">
        <f ca="1">_xludf.IMAGE("https://edmondsonsupply.com/cdn/shop/products/d200028glw.jpg?v=1633030701")</f>
        <v>#NAME?</v>
      </c>
      <c r="H5811" t="e">
        <f ca="1">_xludf.IMAGE("https://m.media-amazon.com/images/I/41ZnJLE+YFL._AC_UL320_.jpg")</f>
        <v>#NAME?</v>
      </c>
      <c r="I5811" t="s">
        <v>67</v>
      </c>
      <c r="J5811">
        <v>39.99</v>
      </c>
      <c r="K5811" s="4">
        <v>6.6699999999999995E-2</v>
      </c>
      <c r="L5811">
        <v>4.8</v>
      </c>
      <c r="M5811">
        <v>1554</v>
      </c>
      <c r="O5811" t="s">
        <v>25</v>
      </c>
      <c r="P5811" t="s">
        <v>4236</v>
      </c>
      <c r="Q5811" t="s">
        <v>4237</v>
      </c>
    </row>
    <row r="5812" spans="1:17" ht="15.5" x14ac:dyDescent="0.35">
      <c r="A5812"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5812" s="3" t="str">
        <f>HYPERLINK("https://edmondsonsupply.com/products/klein-tools-d2000-28glw-diagonal-cutting-pliers-hi-viz-8-inch", "https://edmondsonsupply.com/products/klein-tools-d2000-28glw-diagonal-cutting-pliers-hi-viz-8-inch")</f>
        <v>https://edmondsonsupply.com/products/klein-tools-d2000-28glw-diagonal-cutting-pliers-hi-viz-8-inch</v>
      </c>
      <c r="C5812" t="s">
        <v>4233</v>
      </c>
      <c r="D5812" t="s">
        <v>4244</v>
      </c>
      <c r="E5812" s="3" t="str">
        <f>HYPERLINK("https://www.amazon.com/Klein-Tools-J248-8-Diagonal-Cutters-Angled/dp/B000CRY52A/ref=sr_1_5?keywords=Klein+Tools+D200028GLW+Diagonal+Cutting+Pliers%2C+High-Visibility%2C+8-Inch&amp;qid=1695173928&amp;sr=8-5", "https://www.amazon.com/Klein-Tools-J248-8-Diagonal-Cutters-Angled/dp/B000CRY52A/ref=sr_1_5?keywords=Klein+Tools+D200028GLW+Diagonal+Cutting+Pliers%2C+High-Visibility%2C+8-Inch&amp;qid=1695173928&amp;sr=8-5")</f>
        <v>https://www.amazon.com/Klein-Tools-J248-8-Diagonal-Cutters-Angled/dp/B000CRY52A/ref=sr_1_5?keywords=Klein+Tools+D200028GLW+Diagonal+Cutting+Pliers%2C+High-Visibility%2C+8-Inch&amp;qid=1695173928&amp;sr=8-5</v>
      </c>
      <c r="F5812" t="s">
        <v>4245</v>
      </c>
      <c r="G5812" t="e">
        <f ca="1">_xludf.IMAGE("https://edmondsonsupply.com/cdn/shop/products/d200028glw.jpg?v=1633030701")</f>
        <v>#NAME?</v>
      </c>
      <c r="H5812" t="e">
        <f ca="1">_xludf.IMAGE("https://m.media-amazon.com/images/I/51AWyzskD+L._AC_UL320_.jpg")</f>
        <v>#NAME?</v>
      </c>
      <c r="I5812" t="s">
        <v>67</v>
      </c>
      <c r="J5812">
        <v>39.97</v>
      </c>
      <c r="K5812" s="4">
        <v>6.6199999999999995E-2</v>
      </c>
      <c r="L5812">
        <v>4.9000000000000004</v>
      </c>
      <c r="M5812">
        <v>490</v>
      </c>
      <c r="O5812" t="s">
        <v>25</v>
      </c>
      <c r="P5812" t="s">
        <v>4236</v>
      </c>
      <c r="Q5812" t="s">
        <v>4237</v>
      </c>
    </row>
    <row r="5813" spans="1:17" ht="15.5" x14ac:dyDescent="0.35">
      <c r="A5813" s="3" t="str">
        <f>HYPERLINK("https://edmondsonsupply.com/collections/electricians-tools/products/klein-tools-56119-illuminated-fish-rod-tip", "https://edmondsonsupply.com/collections/electricians-tools/products/klein-tools-56119-illuminated-fish-rod-tip")</f>
        <v>https://edmondsonsupply.com/collections/electricians-tools/products/klein-tools-56119-illuminated-fish-rod-tip</v>
      </c>
      <c r="B5813" s="3" t="str">
        <f>HYPERLINK("https://edmondsonsupply.com/products/klein-tools-56119-illuminated-fish-rod-tip", "https://edmondsonsupply.com/products/klein-tools-56119-illuminated-fish-rod-tip")</f>
        <v>https://edmondsonsupply.com/products/klein-tools-56119-illuminated-fish-rod-tip</v>
      </c>
      <c r="C5813" t="s">
        <v>6104</v>
      </c>
      <c r="D5813" t="s">
        <v>7747</v>
      </c>
      <c r="E5813" s="3" t="str">
        <f>HYPERLINK("https://www.amazon.com/Pulling-Illuminated-Klein-Tools-56119/dp/B00ABSYVUQ/ref=sr_1_1?keywords=Klein+Tools+56119+Illuminated+Fish+Rod+Tip&amp;qid=1695174323&amp;sr=8-1", "https://www.amazon.com/Pulling-Illuminated-Klein-Tools-56119/dp/B00ABSYVUQ/ref=sr_1_1?keywords=Klein+Tools+56119+Illuminated+Fish+Rod+Tip&amp;qid=1695174323&amp;sr=8-1")</f>
        <v>https://www.amazon.com/Pulling-Illuminated-Klein-Tools-56119/dp/B00ABSYVUQ/ref=sr_1_1?keywords=Klein+Tools+56119+Illuminated+Fish+Rod+Tip&amp;qid=1695174323&amp;sr=8-1</v>
      </c>
      <c r="F5813" t="s">
        <v>7748</v>
      </c>
      <c r="G5813" t="e">
        <f ca="1">_xludf.IMAGE("https://edmondsonsupply.com/cdn/shop/products/56119.jpg?v=1633030794")</f>
        <v>#NAME?</v>
      </c>
      <c r="H5813" t="e">
        <f ca="1">_xludf.IMAGE("https://m.media-amazon.com/images/I/81Xcx0EWw3L._AC_UL320_.jpg")</f>
        <v>#NAME?</v>
      </c>
      <c r="I5813" t="s">
        <v>2577</v>
      </c>
      <c r="J5813">
        <v>10.64</v>
      </c>
      <c r="K5813" s="4">
        <v>6.5100000000000005E-2</v>
      </c>
      <c r="L5813">
        <v>4.3</v>
      </c>
      <c r="M5813">
        <v>713</v>
      </c>
      <c r="O5813" t="s">
        <v>25</v>
      </c>
      <c r="P5813" t="s">
        <v>6105</v>
      </c>
      <c r="Q5813" t="s">
        <v>6106</v>
      </c>
    </row>
    <row r="5814" spans="1:17" ht="15.5" x14ac:dyDescent="0.35">
      <c r="A5814"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5814" s="3" t="str">
        <f>HYPERLINK("https://edmondsonsupply.com/products/fluke-1587-fc-insulation-multimeter", "https://edmondsonsupply.com/products/fluke-1587-fc-insulation-multimeter")</f>
        <v>https://edmondsonsupply.com/products/fluke-1587-fc-insulation-multimeter</v>
      </c>
      <c r="C5814" t="s">
        <v>4074</v>
      </c>
      <c r="D5814" t="s">
        <v>4250</v>
      </c>
      <c r="E5814" s="3" t="str">
        <f>HYPERLINK("https://www.amazon.com/Fluke-Insulation-Multimeter-Telecommunications-Resistance/dp/B0012WTHIQ/ref=sr_1_8?keywords=Fluke+1587+FC+Insulation+Multimeter&amp;qid=1695173858&amp;sr=8-8", "https://www.amazon.com/Fluke-Insulation-Multimeter-Telecommunications-Resistance/dp/B0012WTHIQ/ref=sr_1_8?keywords=Fluke+1587+FC+Insulation+Multimeter&amp;qid=1695173858&amp;sr=8-8")</f>
        <v>https://www.amazon.com/Fluke-Insulation-Multimeter-Telecommunications-Resistance/dp/B0012WTHIQ/ref=sr_1_8?keywords=Fluke+1587+FC+Insulation+Multimeter&amp;qid=1695173858&amp;sr=8-8</v>
      </c>
      <c r="F5814" t="s">
        <v>4251</v>
      </c>
      <c r="G5814" t="e">
        <f ca="1">_xludf.IMAGE("https://edmondsonsupply.com/cdn/shop/products/Fluke_1587_FC_True-rms_Insulation_Multimeter__1280x1006px_E_NR-20298.jpg?v=1633031188")</f>
        <v>#NAME?</v>
      </c>
      <c r="H5814" t="e">
        <f ca="1">_xludf.IMAGE("https://m.media-amazon.com/images/I/91ygwKv9dWL._AC_UL320_.jpg")</f>
        <v>#NAME?</v>
      </c>
      <c r="I5814" t="s">
        <v>4077</v>
      </c>
      <c r="J5814">
        <v>989.99</v>
      </c>
      <c r="K5814" s="4">
        <v>6.4500000000000002E-2</v>
      </c>
      <c r="L5814">
        <v>5</v>
      </c>
      <c r="M5814">
        <v>1</v>
      </c>
      <c r="O5814" t="s">
        <v>25</v>
      </c>
      <c r="P5814" t="s">
        <v>4078</v>
      </c>
      <c r="Q5814" t="s">
        <v>4079</v>
      </c>
    </row>
    <row r="5815" spans="1:17" ht="15.5" x14ac:dyDescent="0.35">
      <c r="A5815"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5815"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5815" t="s">
        <v>2344</v>
      </c>
      <c r="D5815" t="s">
        <v>3163</v>
      </c>
      <c r="E5815" s="3" t="str">
        <f>HYPERLINK("https://www.amazon.com/Journeyman-T-Handle-Klein-Tools-JTH9E14/dp/B004QVAH4I/ref=sr_1_3?keywords=Klein+Tools+JTH6E14+5%2F16-Inch+Hex+Key+with+Journeyman+T-Handle%2C+6-Inch&amp;qid=1695173855&amp;sr=8-3", "https://www.amazon.com/Journeyman-T-Handle-Klein-Tools-JTH9E14/dp/B004QVAH4I/ref=sr_1_3?keywords=Klein+Tools+JTH6E14+5%2F16-Inch+Hex+Key+with+Journeyman+T-Handle%2C+6-Inch&amp;qid=1695173855&amp;sr=8-3")</f>
        <v>https://www.amazon.com/Journeyman-T-Handle-Klein-Tools-JTH9E14/dp/B004QVAH4I/ref=sr_1_3?keywords=Klein+Tools+JTH6E14+5%2F16-Inch+Hex+Key+with+Journeyman+T-Handle%2C+6-Inch&amp;qid=1695173855&amp;sr=8-3</v>
      </c>
      <c r="F5815" t="s">
        <v>3164</v>
      </c>
      <c r="G5815" t="e">
        <f ca="1">_xludf.IMAGE("https://edmondsonsupply.com/cdn/shop/products/jth6e15.jpg?v=1587148489")</f>
        <v>#NAME?</v>
      </c>
      <c r="H5815" t="e">
        <f ca="1">_xludf.IMAGE("https://m.media-amazon.com/images/I/51Yb8h41vLL._AC_UL320_.jpg")</f>
        <v>#NAME?</v>
      </c>
      <c r="I5815" t="s">
        <v>2347</v>
      </c>
      <c r="J5815">
        <v>7.44</v>
      </c>
      <c r="K5815" s="4">
        <v>6.4399999999999999E-2</v>
      </c>
      <c r="L5815">
        <v>4.8</v>
      </c>
      <c r="M5815">
        <v>114</v>
      </c>
      <c r="O5815" t="s">
        <v>25</v>
      </c>
      <c r="P5815" t="s">
        <v>1140</v>
      </c>
      <c r="Q5815" t="s">
        <v>2348</v>
      </c>
    </row>
    <row r="5816" spans="1:17" ht="15.5" x14ac:dyDescent="0.35">
      <c r="A5816" s="3" t="str">
        <f>HYPERLINK("https://edmondsonsupply.com/collections/electricians-tools/products/diablo-tools-dmamx1220", "https://edmondsonsupply.com/collections/electricians-tools/products/diablo-tools-dmamx1220")</f>
        <v>https://edmondsonsupply.com/collections/electricians-tools/products/diablo-tools-dmamx1220</v>
      </c>
      <c r="B5816" s="3" t="str">
        <f>HYPERLINK("https://edmondsonsupply.com/products/diablo-tools-dmamx1220", "https://edmondsonsupply.com/products/diablo-tools-dmamx1220")</f>
        <v>https://edmondsonsupply.com/products/diablo-tools-dmamx1220</v>
      </c>
      <c r="C5816" t="s">
        <v>7454</v>
      </c>
      <c r="D5816" t="s">
        <v>5388</v>
      </c>
      <c r="E5816" s="3" t="str">
        <f>HYPERLINK("https://www.amazon.com/Diablo-DMAPL4310-SDS-Plus-4-Cutter-Carbide/dp/B089KX2VKR/ref=sr_1_7?keywords=Diablo+Tools+DMAMX1220+1+in.+x+16+in.+x+21+in.+Rebar+Demon%E2%84%A2+SDS-Max+4-Cutter+Full+Carbide+Head+Hammer+Drill+Bit&amp;qid=1695174109&amp;sr=8-7", "https://www.amazon.com/Diablo-DMAPL4310-SDS-Plus-4-Cutter-Carbide/dp/B089KX2VKR/ref=sr_1_7?keywords=Diablo+Tools+DMAMX1220+1+in.+x+16+in.+x+21+in.+Rebar+Demon%E2%84%A2+SDS-Max+4-Cutter+Full+Carbide+Head+Hammer+Drill+Bit&amp;qid=1695174109&amp;sr=8-7")</f>
        <v>https://www.amazon.com/Diablo-DMAPL4310-SDS-Plus-4-Cutter-Carbide/dp/B089KX2VKR/ref=sr_1_7?keywords=Diablo+Tools+DMAMX1220+1+in.+x+16+in.+x+21+in.+Rebar+Demon%E2%84%A2+SDS-Max+4-Cutter+Full+Carbide+Head+Hammer+Drill+Bit&amp;qid=1695174109&amp;sr=8-7</v>
      </c>
      <c r="F5816" t="s">
        <v>5389</v>
      </c>
      <c r="G5816" t="e">
        <f ca="1">_xludf.IMAGE("https://edmondsonsupply.com/cdn/shop/products/immoyh7jjmbau4fzhuq6.webp?v=1670431066")</f>
        <v>#NAME?</v>
      </c>
      <c r="H5816" t="e">
        <f ca="1">_xludf.IMAGE("https://m.media-amazon.com/images/I/61iwxfqG2VL._AC_UL320_.jpg")</f>
        <v>#NAME?</v>
      </c>
      <c r="I5816" t="s">
        <v>7455</v>
      </c>
      <c r="J5816">
        <v>48.49</v>
      </c>
      <c r="K5816" s="4">
        <v>6.13E-2</v>
      </c>
      <c r="L5816">
        <v>4.5</v>
      </c>
      <c r="M5816">
        <v>32</v>
      </c>
      <c r="O5816" t="s">
        <v>25</v>
      </c>
      <c r="P5816" t="s">
        <v>7456</v>
      </c>
      <c r="Q5816" t="s">
        <v>7457</v>
      </c>
    </row>
    <row r="5817" spans="1:17" ht="15.5" x14ac:dyDescent="0.35">
      <c r="A5817" s="3" t="str">
        <f>HYPERLINK("https://edmondsonsupply.com/collections/electricians-tools/products/uniweld-70022", "https://edmondsonsupply.com/collections/electricians-tools/products/uniweld-70022")</f>
        <v>https://edmondsonsupply.com/collections/electricians-tools/products/uniweld-70022</v>
      </c>
      <c r="B5817" s="3" t="str">
        <f>HYPERLINK("https://edmondsonsupply.com/products/uniweld-70022", "https://edmondsonsupply.com/products/uniweld-70022")</f>
        <v>https://edmondsonsupply.com/products/uniweld-70022</v>
      </c>
      <c r="C5817" t="s">
        <v>3613</v>
      </c>
      <c r="D5817" t="s">
        <v>151</v>
      </c>
      <c r="E5817" s="3" t="str">
        <f>HYPERLINK("https://www.amazon.com/Uniweld-DHW316/dp/B00ECC6DR6/ref=sr_1_2?keywords=Uniweld+70022+Ratchet+Service+Wrench%2B&amp;qid=1695173884&amp;sr=8-2", "https://www.amazon.com/Uniweld-DHW316/dp/B00ECC6DR6/ref=sr_1_2?keywords=Uniweld+70022+Ratchet+Service+Wrench%2B&amp;qid=1695173884&amp;sr=8-2")</f>
        <v>https://www.amazon.com/Uniweld-DHW316/dp/B00ECC6DR6/ref=sr_1_2?keywords=Uniweld+70022+Ratchet+Service+Wrench%2B&amp;qid=1695173884&amp;sr=8-2</v>
      </c>
      <c r="F5817" t="s">
        <v>152</v>
      </c>
      <c r="G5817" t="e">
        <f ca="1">_xludf.IMAGE("https://edmondsonsupply.com/cdn/shop/products/70022_pkg.jpg?v=1656082349")</f>
        <v>#NAME?</v>
      </c>
      <c r="H5817" t="e">
        <f ca="1">_xludf.IMAGE("https://m.media-amazon.com/images/I/61AUWm45d4L._AC_UL320_.jpg")</f>
        <v>#NAME?</v>
      </c>
      <c r="I5817" t="s">
        <v>3616</v>
      </c>
      <c r="J5817">
        <v>14.19</v>
      </c>
      <c r="K5817" s="4">
        <v>5.9700000000000003E-2</v>
      </c>
      <c r="L5817">
        <v>3.9</v>
      </c>
      <c r="M5817">
        <v>26</v>
      </c>
      <c r="O5817" t="s">
        <v>25</v>
      </c>
      <c r="P5817" t="s">
        <v>3617</v>
      </c>
      <c r="Q5817" t="s">
        <v>3618</v>
      </c>
    </row>
    <row r="5818" spans="1:17" ht="15.5" x14ac:dyDescent="0.35">
      <c r="A5818" s="3" t="str">
        <f>HYPERLINK("https://edmondsonsupply.com/collections/electricians-tools/products/milwaukee-49-56-0505-1-4-diamond-max%E2%84%A2-hole-saw", "https://edmondsonsupply.com/collections/electricians-tools/products/milwaukee-49-56-0505-1-4-diamond-max%E2%84%A2-hole-saw")</f>
        <v>https://edmondsonsupply.com/collections/electricians-tools/products/milwaukee-49-56-0505-1-4-diamond-max%E2%84%A2-hole-saw</v>
      </c>
      <c r="B5818" s="3" t="str">
        <f>HYPERLINK("https://edmondsonsupply.com/products/milwaukee-49-56-0505-1-4-diamond-max%e2%84%a2-hole-saw", "https://edmondsonsupply.com/products/milwaukee-49-56-0505-1-4-diamond-max%e2%84%a2-hole-saw")</f>
        <v>https://edmondsonsupply.com/products/milwaukee-49-56-0505-1-4-diamond-max%e2%84%a2-hole-saw</v>
      </c>
      <c r="C5818" t="s">
        <v>6614</v>
      </c>
      <c r="D5818" t="s">
        <v>7749</v>
      </c>
      <c r="E5818" s="3" t="str">
        <f>HYPERLINK("https://www.amazon.com/Milwaukee-49-56-5620-1-1-Diamond-Hole/dp/B00KXURDC0/ref=sr_1_5?keywords=Milwaukee+49-56-0505+1%2F4%22+Diamond+MAX%E2%84%A2+Hole+Saw&amp;qid=1695174028&amp;sr=8-5", "https://www.amazon.com/Milwaukee-49-56-5620-1-1-Diamond-Hole/dp/B00KXURDC0/ref=sr_1_5?keywords=Milwaukee+49-56-0505+1%2F4%22+Diamond+MAX%E2%84%A2+Hole+Saw&amp;qid=1695174028&amp;sr=8-5")</f>
        <v>https://www.amazon.com/Milwaukee-49-56-5620-1-1-Diamond-Hole/dp/B00KXURDC0/ref=sr_1_5?keywords=Milwaukee+49-56-0505+1%2F4%22+Diamond+MAX%E2%84%A2+Hole+Saw&amp;qid=1695174028&amp;sr=8-5</v>
      </c>
      <c r="F5818" t="s">
        <v>7750</v>
      </c>
      <c r="G5818" t="e">
        <f ca="1">_xludf.IMAGE("https://edmondsonsupply.com/cdn/shop/products/49-56-0507_1.png?v=1680111300")</f>
        <v>#NAME?</v>
      </c>
      <c r="H5818" t="e">
        <f ca="1">_xludf.IMAGE("https://m.media-amazon.com/images/I/711w3u20qmL._AC_UL320_.jpg")</f>
        <v>#NAME?</v>
      </c>
      <c r="I5818" t="s">
        <v>577</v>
      </c>
      <c r="J5818">
        <v>21.18</v>
      </c>
      <c r="K5818" s="4">
        <v>5.9499999999999997E-2</v>
      </c>
      <c r="L5818">
        <v>4.5999999999999996</v>
      </c>
      <c r="M5818">
        <v>16</v>
      </c>
      <c r="O5818" t="s">
        <v>25</v>
      </c>
      <c r="P5818" t="s">
        <v>6617</v>
      </c>
      <c r="Q5818" t="s">
        <v>6618</v>
      </c>
    </row>
    <row r="5819" spans="1:17" ht="15.5" x14ac:dyDescent="0.35">
      <c r="A5819" s="3" t="str">
        <f>HYPERLINK("https://edmondsonsupply.com/collections/electricians-tools/products/diablo-tools-dsp2130-p2-1-in-x-6-in-spade-bit", "https://edmondsonsupply.com/collections/electricians-tools/products/diablo-tools-dsp2130-p2-1-in-x-6-in-spade-bit")</f>
        <v>https://edmondsonsupply.com/collections/electricians-tools/products/diablo-tools-dsp2130-p2-1-in-x-6-in-spade-bit</v>
      </c>
      <c r="B5819" s="3" t="str">
        <f>HYPERLINK("https://edmondsonsupply.com/products/diablo-tools-dsp2130-p2-1-in-x-6-in-spade-bit", "https://edmondsonsupply.com/products/diablo-tools-dsp2130-p2-1-in-x-6-in-spade-bit")</f>
        <v>https://edmondsonsupply.com/products/diablo-tools-dsp2130-p2-1-in-x-6-in-spade-bit</v>
      </c>
      <c r="C5819" t="s">
        <v>7211</v>
      </c>
      <c r="D5819" t="s">
        <v>7751</v>
      </c>
      <c r="E5819" s="3" t="str">
        <f>HYPERLINK("https://www.amazon.com/Diablo-1-1-SPEEDemon-Spade-Bit/dp/B089KWPYC8/ref=sr_1_3?keywords=Diablo+Tools+DSP2130-P2+1+in.+x+6+in.+Spade+Bit&amp;qid=1695174112&amp;sr=8-3", "https://www.amazon.com/Diablo-1-1-SPEEDemon-Spade-Bit/dp/B089KWPYC8/ref=sr_1_3?keywords=Diablo+Tools+DSP2130-P2+1+in.+x+6+in.+Spade+Bit&amp;qid=1695174112&amp;sr=8-3")</f>
        <v>https://www.amazon.com/Diablo-1-1-SPEEDemon-Spade-Bit/dp/B089KWPYC8/ref=sr_1_3?keywords=Diablo+Tools+DSP2130-P2+1+in.+x+6+in.+Spade+Bit&amp;qid=1695174112&amp;sr=8-3</v>
      </c>
      <c r="F5819" t="s">
        <v>7752</v>
      </c>
      <c r="G5819" t="e">
        <f ca="1">_xludf.IMAGE("https://edmondsonsupply.com/cdn/shop/products/peyjwqlntvnioikkr5be.webp?v=1670515689")</f>
        <v>#NAME?</v>
      </c>
      <c r="H5819" t="e">
        <f ca="1">_xludf.IMAGE("https://m.media-amazon.com/images/I/61mOtHPCpLL._AC_UL320_.jpg")</f>
        <v>#NAME?</v>
      </c>
      <c r="I5819" t="s">
        <v>7212</v>
      </c>
      <c r="J5819">
        <v>6.77</v>
      </c>
      <c r="K5819" s="4">
        <v>5.9499999999999997E-2</v>
      </c>
      <c r="L5819">
        <v>4.0999999999999996</v>
      </c>
      <c r="M5819">
        <v>12</v>
      </c>
      <c r="O5819" t="s">
        <v>25</v>
      </c>
      <c r="P5819" t="s">
        <v>138</v>
      </c>
      <c r="Q5819" t="s">
        <v>7213</v>
      </c>
    </row>
    <row r="5820" spans="1:17" ht="15.5" x14ac:dyDescent="0.35">
      <c r="A5820"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5820" s="3" t="str">
        <f>HYPERLINK("https://edmondsonsupply.com/products/diablo-tools-dag3090-7-8-in-x-17-1-2-in-auger-bit", "https://edmondsonsupply.com/products/diablo-tools-dag3090-7-8-in-x-17-1-2-in-auger-bit")</f>
        <v>https://edmondsonsupply.com/products/diablo-tools-dag3090-7-8-in-x-17-1-2-in-auger-bit</v>
      </c>
      <c r="C5820" t="s">
        <v>7269</v>
      </c>
      <c r="D5820" t="s">
        <v>7133</v>
      </c>
      <c r="E5820" s="3" t="str">
        <f>HYPERLINK("https://www.amazon.com/Diablo-Freud-DAG3050-17-1-Auger/dp/B089KWL81X/ref=sr_1_3?keywords=Diablo+Tools+DAG3090+7%2F8+in.+x+17-1%2F2+in.+Auger+Bit&amp;qid=1695174065&amp;sr=8-3", "https://www.amazon.com/Diablo-Freud-DAG3050-17-1-Auger/dp/B089KWL81X/ref=sr_1_3?keywords=Diablo+Tools+DAG3090+7%2F8+in.+x+17-1%2F2+in.+Auger+Bit&amp;qid=1695174065&amp;sr=8-3")</f>
        <v>https://www.amazon.com/Diablo-Freud-DAG3050-17-1-Auger/dp/B089KWL81X/ref=sr_1_3?keywords=Diablo+Tools+DAG3090+7%2F8+in.+x+17-1%2F2+in.+Auger+Bit&amp;qid=1695174065&amp;sr=8-3</v>
      </c>
      <c r="F5820" t="s">
        <v>7134</v>
      </c>
      <c r="G5820" t="e">
        <f ca="1">_xludf.IMAGE("https://edmondsonsupply.com/cdn/shop/products/aorgtpkivjubhtbiiau0.webp?v=1677256849")</f>
        <v>#NAME?</v>
      </c>
      <c r="H5820" t="e">
        <f ca="1">_xludf.IMAGE("https://m.media-amazon.com/images/I/61DWkFmOdeL._AC_UL320_.jpg")</f>
        <v>#NAME?</v>
      </c>
      <c r="I5820" t="s">
        <v>1589</v>
      </c>
      <c r="J5820">
        <v>24.35</v>
      </c>
      <c r="K5820" s="4">
        <v>5.9200000000000003E-2</v>
      </c>
      <c r="L5820">
        <v>4.3</v>
      </c>
      <c r="M5820">
        <v>20</v>
      </c>
      <c r="O5820" t="s">
        <v>25</v>
      </c>
      <c r="P5820" t="s">
        <v>7270</v>
      </c>
      <c r="Q5820" t="s">
        <v>7271</v>
      </c>
    </row>
    <row r="5821" spans="1:17" ht="15.5" x14ac:dyDescent="0.35">
      <c r="A5821" s="3" t="str">
        <f>HYPERLINK("https://edmondsonsupply.com/collections/electricians-tools/products/klein-tools-450-320-cable-and-wire-management-sleeves-1-25-inch-diameter-3-foot-long", "https://edmondsonsupply.com/collections/electricians-tools/products/klein-tools-450-320-cable-and-wire-management-sleeves-1-25-inch-diameter-3-foot-long")</f>
        <v>https://edmondsonsupply.com/collections/electricians-tools/products/klein-tools-450-320-cable-and-wire-management-sleeves-1-25-inch-diameter-3-foot-long</v>
      </c>
      <c r="B5821" s="3" t="str">
        <f>HYPERLINK("https://edmondsonsupply.com/products/klein-tools-450-320-cable-and-wire-management-sleeves-1-25-inch-diameter-3-foot-long", "https://edmondsonsupply.com/products/klein-tools-450-320-cable-and-wire-management-sleeves-1-25-inch-diameter-3-foot-long")</f>
        <v>https://edmondsonsupply.com/products/klein-tools-450-320-cable-and-wire-management-sleeves-1-25-inch-diameter-3-foot-long</v>
      </c>
      <c r="C5821" t="s">
        <v>7753</v>
      </c>
      <c r="D5821" t="s">
        <v>7754</v>
      </c>
      <c r="E5821" s="3" t="str">
        <f>HYPERLINK("https://www.amazon.com/Klein-Tools-450-320-Management-Diameter/dp/B092X37WSG/ref=sr_1_1?keywords=Klein+Tools+450-320+Cable+and+Wire+Management+Sleeves%2C1.25-Inch+Diameter%2C+3-Foot+Long&amp;qid=1695174153&amp;sr=8-1", "https://www.amazon.com/Klein-Tools-450-320-Management-Diameter/dp/B092X37WSG/ref=sr_1_1?keywords=Klein+Tools+450-320+Cable+and+Wire+Management+Sleeves%2C1.25-Inch+Diameter%2C+3-Foot+Long&amp;qid=1695174153&amp;sr=8-1")</f>
        <v>https://www.amazon.com/Klein-Tools-450-320-Management-Diameter/dp/B092X37WSG/ref=sr_1_1?keywords=Klein+Tools+450-320+Cable+and+Wire+Management+Sleeves%2C1.25-Inch+Diameter%2C+3-Foot+Long&amp;qid=1695174153&amp;sr=8-1</v>
      </c>
      <c r="F5821" t="s">
        <v>7755</v>
      </c>
      <c r="G5821" t="e">
        <f ca="1">_xludf.IMAGE("https://edmondsonsupply.com/cdn/shop/products/450320.jpg?v=1663947996")</f>
        <v>#NAME?</v>
      </c>
      <c r="H5821" t="e">
        <f ca="1">_xludf.IMAGE("https://m.media-amazon.com/images/I/51WO50-hkcL._AC_UY218_.jpg")</f>
        <v>#NAME?</v>
      </c>
      <c r="I5821" t="s">
        <v>834</v>
      </c>
      <c r="J5821">
        <v>13.74</v>
      </c>
      <c r="K5821" s="4">
        <v>5.7700000000000001E-2</v>
      </c>
      <c r="L5821">
        <v>5</v>
      </c>
      <c r="M5821">
        <v>1</v>
      </c>
      <c r="O5821" t="s">
        <v>25</v>
      </c>
      <c r="P5821" t="s">
        <v>878</v>
      </c>
      <c r="Q5821" t="s">
        <v>7756</v>
      </c>
    </row>
    <row r="5822" spans="1:17" ht="15.5" x14ac:dyDescent="0.35">
      <c r="A5822" s="3" t="str">
        <f>HYPERLINK("https://edmondsonsupply.com/collections/electricians-tools/products/uei-dl589-600a-trms-clamp-meter-w-dc-amps-inrush-magnet", "https://edmondsonsupply.com/collections/electricians-tools/products/uei-dl589-600a-trms-clamp-meter-w-dc-amps-inrush-magnet")</f>
        <v>https://edmondsonsupply.com/collections/electricians-tools/products/uei-dl589-600a-trms-clamp-meter-w-dc-amps-inrush-magnet</v>
      </c>
      <c r="B5822" s="3" t="str">
        <f>HYPERLINK("https://edmondsonsupply.com/products/uei-dl589-600a-trms-clamp-meter-w-dc-amps-inrush-magnet", "https://edmondsonsupply.com/products/uei-dl589-600a-trms-clamp-meter-w-dc-amps-inrush-magnet")</f>
        <v>https://edmondsonsupply.com/products/uei-dl589-600a-trms-clamp-meter-w-dc-amps-inrush-magnet</v>
      </c>
      <c r="C5822" t="s">
        <v>7757</v>
      </c>
      <c r="D5822" t="s">
        <v>7758</v>
      </c>
      <c r="E5822" s="3" t="str">
        <f>HYPERLINK("https://www.amazon.com/UEi-DL589-600A-Clamp-Inrush-Magnet/dp/B0BCVNJ8KW/ref=sr_1_2?keywords=UEi+DL589+600A+TRMS+Clamp+Meter+w%2F+DC+Amps%2C+Inrush%2C+Magnet&amp;qid=1695174207&amp;sr=8-2", "https://www.amazon.com/UEi-DL589-600A-Clamp-Inrush-Magnet/dp/B0BCVNJ8KW/ref=sr_1_2?keywords=UEi+DL589+600A+TRMS+Clamp+Meter+w%2F+DC+Amps%2C+Inrush%2C+Magnet&amp;qid=1695174207&amp;sr=8-2")</f>
        <v>https://www.amazon.com/UEi-DL589-600A-Clamp-Inrush-Magnet/dp/B0BCVNJ8KW/ref=sr_1_2?keywords=UEi+DL589+600A+TRMS+Clamp+Meter+w%2F+DC+Amps%2C+Inrush%2C+Magnet&amp;qid=1695174207&amp;sr=8-2</v>
      </c>
      <c r="F5822" t="s">
        <v>7759</v>
      </c>
      <c r="G5822" t="e">
        <f ca="1">_xludf.IMAGE("https://edmondsonsupply.com/cdn/shop/products/DL589_PP_A.png?v=1654035509")</f>
        <v>#NAME?</v>
      </c>
      <c r="H5822" t="e">
        <f ca="1">_xludf.IMAGE("https://m.media-amazon.com/images/I/41hAo1NFGGL._AC_UY218_.jpg")</f>
        <v>#NAME?</v>
      </c>
      <c r="I5822" t="s">
        <v>7760</v>
      </c>
      <c r="J5822">
        <v>215.33</v>
      </c>
      <c r="K5822" s="4">
        <v>5.57E-2</v>
      </c>
      <c r="L5822">
        <v>5</v>
      </c>
      <c r="M5822">
        <v>1</v>
      </c>
      <c r="O5822" t="s">
        <v>25</v>
      </c>
      <c r="P5822" t="s">
        <v>7761</v>
      </c>
      <c r="Q5822" t="s">
        <v>7762</v>
      </c>
    </row>
    <row r="5823" spans="1:17" ht="15.5" x14ac:dyDescent="0.35">
      <c r="A5823"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5823" s="3" t="str">
        <f>HYPERLINK("https://edmondsonsupply.com/products/klein-tools-s8m-1-4-inch-magnetic-nut-driver-3-inch-shank", "https://edmondsonsupply.com/products/klein-tools-s8m-1-4-inch-magnetic-nut-driver-3-inch-shank")</f>
        <v>https://edmondsonsupply.com/products/klein-tools-s8m-1-4-inch-magnetic-nut-driver-3-inch-shank</v>
      </c>
      <c r="C5823" t="s">
        <v>3809</v>
      </c>
      <c r="D5823" t="s">
        <v>3884</v>
      </c>
      <c r="E5823" s="3" t="str">
        <f>HYPERLINK("https://www.amazon.com/Magnetic-Cushion-Klein-610-1-4M/dp/B00093GE3A/ref=sr_1_6?keywords=Klein+Tools+S8M+1%2F4-Inch+Magnetic+Nut+Driver+3-Inch+Shank&amp;qid=1695174041&amp;sr=8-6", "https://www.amazon.com/Magnetic-Cushion-Klein-610-1-4M/dp/B00093GE3A/ref=sr_1_6?keywords=Klein+Tools+S8M+1%2F4-Inch+Magnetic+Nut+Driver+3-Inch+Shank&amp;qid=1695174041&amp;sr=8-6")</f>
        <v>https://www.amazon.com/Magnetic-Cushion-Klein-610-1-4M/dp/B00093GE3A/ref=sr_1_6?keywords=Klein+Tools+S8M+1%2F4-Inch+Magnetic+Nut+Driver+3-Inch+Shank&amp;qid=1695174041&amp;sr=8-6</v>
      </c>
      <c r="F5823" t="s">
        <v>3885</v>
      </c>
      <c r="G5823" t="e">
        <f ca="1">_xludf.IMAGE("https://edmondsonsupply.com/cdn/shop/products/s8m.jpg?v=1633030818")</f>
        <v>#NAME?</v>
      </c>
      <c r="H5823" t="e">
        <f ca="1">_xludf.IMAGE("https://m.media-amazon.com/images/I/41piyjqJVeL._AC_UL320_.jpg")</f>
        <v>#NAME?</v>
      </c>
      <c r="I5823" t="s">
        <v>924</v>
      </c>
      <c r="J5823">
        <v>9.49</v>
      </c>
      <c r="K5823" s="4">
        <v>5.5599999999999997E-2</v>
      </c>
      <c r="L5823">
        <v>4.8</v>
      </c>
      <c r="M5823">
        <v>260</v>
      </c>
      <c r="O5823" t="s">
        <v>25</v>
      </c>
      <c r="P5823" t="s">
        <v>3812</v>
      </c>
      <c r="Q5823" t="s">
        <v>3813</v>
      </c>
    </row>
    <row r="5824" spans="1:17" ht="15.5" x14ac:dyDescent="0.35">
      <c r="A5824"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5824" s="3" t="str">
        <f>HYPERLINK("https://edmondsonsupply.com/products/klein-tools-605-4-1-4-inch-cabinet-tip-screwdriver-4-inch-shank", "https://edmondsonsupply.com/products/klein-tools-605-4-1-4-inch-cabinet-tip-screwdriver-4-inch-shank")</f>
        <v>https://edmondsonsupply.com/products/klein-tools-605-4-1-4-inch-cabinet-tip-screwdriver-4-inch-shank</v>
      </c>
      <c r="C5824" t="s">
        <v>6418</v>
      </c>
      <c r="D5824" t="s">
        <v>5516</v>
      </c>
      <c r="E5824" s="3" t="str">
        <f>HYPERLINK("https://www.amazon.com/Keystone-Tip-Screwdriver-Round-Shank-Klein-602-4/dp/B0000302WD/ref=sr_1_3?keywords=Klein+Tools+605-4+1%2F4-Inch+Cabinet+Tip+Screwdriver+4-Inch+Shank&amp;qid=1695174135&amp;sr=8-3", "https://www.amazon.com/Keystone-Tip-Screwdriver-Round-Shank-Klein-602-4/dp/B0000302WD/ref=sr_1_3?keywords=Klein+Tools+605-4+1%2F4-Inch+Cabinet+Tip+Screwdriver+4-Inch+Shank&amp;qid=1695174135&amp;sr=8-3")</f>
        <v>https://www.amazon.com/Keystone-Tip-Screwdriver-Round-Shank-Klein-602-4/dp/B0000302WD/ref=sr_1_3?keywords=Klein+Tools+605-4+1%2F4-Inch+Cabinet+Tip+Screwdriver+4-Inch+Shank&amp;qid=1695174135&amp;sr=8-3</v>
      </c>
      <c r="F5824" t="s">
        <v>5517</v>
      </c>
      <c r="G5824" t="e">
        <f ca="1">_xludf.IMAGE("https://edmondsonsupply.com/cdn/shop/products/605-6_ac5e56ca-920d-4d55-842f-c7dc8361f892.jpg?v=1665688377")</f>
        <v>#NAME?</v>
      </c>
      <c r="H5824" t="e">
        <f ca="1">_xludf.IMAGE("https://m.media-amazon.com/images/I/51BHg1CmntL._AC_UL320_.jpg")</f>
        <v>#NAME?</v>
      </c>
      <c r="I5824" t="s">
        <v>924</v>
      </c>
      <c r="J5824">
        <v>9.49</v>
      </c>
      <c r="K5824" s="4">
        <v>5.5599999999999997E-2</v>
      </c>
      <c r="L5824">
        <v>4.8</v>
      </c>
      <c r="M5824">
        <v>879</v>
      </c>
      <c r="O5824" t="s">
        <v>25</v>
      </c>
      <c r="P5824" t="s">
        <v>6421</v>
      </c>
      <c r="Q5824" t="s">
        <v>6422</v>
      </c>
    </row>
    <row r="5825" spans="1:17" ht="15.5" x14ac:dyDescent="0.35">
      <c r="A5825"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5825"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5825" t="s">
        <v>6827</v>
      </c>
      <c r="D5825" t="s">
        <v>3170</v>
      </c>
      <c r="E5825" s="3" t="str">
        <f>HYPERLINK("https://www.amazon.com/Diablo-SDS-Max-4-Cutter-Carbide-Tipped-Hammer/dp/B089KXF4R5/ref=sr_1_1?keywords=Diablo+Tools+DMAMX1360+1-1%2F2+in.+x+16+in.+x+21+in.+Rebar+Demon%E2%84%A2+SDS-Max+4-Cutter+Carbide-Tipped+Hammer+Drill+Bit&amp;qid=1695174071&amp;sr=8-1", "https://www.amazon.com/Diablo-SDS-Max-4-Cutter-Carbide-Tipped-Hammer/dp/B089KXF4R5/ref=sr_1_1?keywords=Diablo+Tools+DMAMX1360+1-1%2F2+in.+x+16+in.+x+21+in.+Rebar+Demon%E2%84%A2+SDS-Max+4-Cutter+Carbide-Tipped+Hammer+Drill+Bit&amp;qid=1695174071&amp;sr=8-1")</f>
        <v>https://www.amazon.com/Diablo-SDS-Max-4-Cutter-Carbide-Tipped-Hammer/dp/B089KXF4R5/ref=sr_1_1?keywords=Diablo+Tools+DMAMX1360+1-1%2F2+in.+x+16+in.+x+21+in.+Rebar+Demon%E2%84%A2+SDS-Max+4-Cutter+Carbide-Tipped+Hammer+Drill+Bit&amp;qid=1695174071&amp;sr=8-1</v>
      </c>
      <c r="F5825" t="s">
        <v>3171</v>
      </c>
      <c r="G5825" t="e">
        <f ca="1">_xludf.IMAGE("https://edmondsonsupply.com/cdn/shop/products/z2umcsdaj3y4uvsfnxoh.webp?v=1677257156")</f>
        <v>#NAME?</v>
      </c>
      <c r="H5825" t="e">
        <f ca="1">_xludf.IMAGE("https://m.media-amazon.com/images/I/61MTkJ-cWaL._AC_UL320_.jpg")</f>
        <v>#NAME?</v>
      </c>
      <c r="I5825" t="s">
        <v>6830</v>
      </c>
      <c r="J5825">
        <v>98.99</v>
      </c>
      <c r="K5825" s="4">
        <v>5.45E-2</v>
      </c>
      <c r="L5825">
        <v>5</v>
      </c>
      <c r="M5825">
        <v>5</v>
      </c>
      <c r="O5825" t="s">
        <v>25</v>
      </c>
      <c r="P5825" t="s">
        <v>6831</v>
      </c>
      <c r="Q5825" t="s">
        <v>6832</v>
      </c>
    </row>
    <row r="5826" spans="1:17" ht="15.5" x14ac:dyDescent="0.35">
      <c r="A5826"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5826"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5826" t="s">
        <v>2903</v>
      </c>
      <c r="D5826" t="s">
        <v>4269</v>
      </c>
      <c r="E5826" s="3" t="str">
        <f>HYPERLINK("https://www.amazon.com/Diablo-Freud-DMAMX1300-4-Cutter-Carbide-Tipped/dp/B089KX2QSQ/ref=sr_1_2?keywords=Diablo+Tools+DMAMX1300+1-1%2F4+in.+x+16+in.+x+21+in.+Rebar+Demon%E2%84%A2+SDS-Max+4-Cutter+Full+Carbide+Head+Hammer+Drill+Bit&amp;qid=1695173871&amp;sr=8-2", "https://www.amazon.com/Diablo-Freud-DMAMX1300-4-Cutter-Carbide-Tipped/dp/B089KX2QSQ/ref=sr_1_2?keywords=Diablo+Tools+DMAMX1300+1-1%2F4+in.+x+16+in.+x+21+in.+Rebar+Demon%E2%84%A2+SDS-Max+4-Cutter+Full+Carbide+Head+Hammer+Drill+Bit&amp;qid=1695173871&amp;sr=8-2")</f>
        <v>https://www.amazon.com/Diablo-Freud-DMAMX1300-4-Cutter-Carbide-Tipped/dp/B089KX2QSQ/ref=sr_1_2?keywords=Diablo+Tools+DMAMX1300+1-1%2F4+in.+x+16+in.+x+21+in.+Rebar+Demon%E2%84%A2+SDS-Max+4-Cutter+Full+Carbide+Head+Hammer+Drill+Bit&amp;qid=1695173871&amp;sr=8-2</v>
      </c>
      <c r="F5826" t="s">
        <v>4270</v>
      </c>
      <c r="G5826" t="e">
        <f ca="1">_xludf.IMAGE("https://edmondsonsupply.com/cdn/shop/files/immoyh7jjmbau4fzhuq6_7dd7fd73-2865-4c12-9443-da45b48dbd51.webp?v=1685465465")</f>
        <v>#NAME?</v>
      </c>
      <c r="H5826" t="e">
        <f ca="1">_xludf.IMAGE("https://m.media-amazon.com/images/I/61pgqdG9SfL._AC_UL320_.jpg")</f>
        <v>#NAME?</v>
      </c>
      <c r="I5826" t="s">
        <v>2906</v>
      </c>
      <c r="J5826">
        <v>70</v>
      </c>
      <c r="K5826" s="4">
        <v>5.4199999999999998E-2</v>
      </c>
      <c r="L5826">
        <v>5</v>
      </c>
      <c r="M5826">
        <v>2</v>
      </c>
      <c r="O5826" t="s">
        <v>171</v>
      </c>
      <c r="P5826" t="s">
        <v>2907</v>
      </c>
      <c r="Q5826" t="s">
        <v>2908</v>
      </c>
    </row>
    <row r="5827" spans="1:17" ht="15.5" x14ac:dyDescent="0.35">
      <c r="A5827"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5827" s="3" t="str">
        <f>HYPERLINK("https://edmondsonsupply.com/products/klein-tools-jth4e08-1-8-inch-hex-key-journeyman-t-handle-4-inch", "https://edmondsonsupply.com/products/klein-tools-jth4e08-1-8-inch-hex-key-journeyman-t-handle-4-inch")</f>
        <v>https://edmondsonsupply.com/products/klein-tools-jth4e08-1-8-inch-hex-key-journeyman-t-handle-4-inch</v>
      </c>
      <c r="C5827" t="s">
        <v>6406</v>
      </c>
      <c r="D5827" t="s">
        <v>5678</v>
      </c>
      <c r="E5827" s="3" t="str">
        <f>HYPERLINK("https://www.amazon.com/Journeyman-T-Handle-Klein-Tools-JTH6M4/dp/B005G394YO/ref=sr_1_3?keywords=Klein+Tools+JTH4E08+1%2F8-Inch+Hex+Key%2C+Journeyman+T-Handle%2C+4-Inch&amp;qid=1695174216&amp;sr=8-3", "https://www.amazon.com/Journeyman-T-Handle-Klein-Tools-JTH6M4/dp/B005G394YO/ref=sr_1_3?keywords=Klein+Tools+JTH4E08+1%2F8-Inch+Hex+Key%2C+Journeyman+T-Handle%2C+4-Inch&amp;qid=1695174216&amp;sr=8-3")</f>
        <v>https://www.amazon.com/Journeyman-T-Handle-Klein-Tools-JTH6M4/dp/B005G394YO/ref=sr_1_3?keywords=Klein+Tools+JTH4E08+1%2F8-Inch+Hex+Key%2C+Journeyman+T-Handle%2C+4-Inch&amp;qid=1695174216&amp;sr=8-3</v>
      </c>
      <c r="F5827" t="s">
        <v>5679</v>
      </c>
      <c r="G5827" t="e">
        <f ca="1">_xludf.IMAGE("https://edmondsonsupply.com/cdn/shop/products/jth4e06_0950e3ec-22b0-4cdd-acd1-822980009e67.jpg?v=1645564818")</f>
        <v>#NAME?</v>
      </c>
      <c r="H5827" t="e">
        <f ca="1">_xludf.IMAGE("https://m.media-amazon.com/images/I/51+1x0vz9XL._AC_UL320_.jpg")</f>
        <v>#NAME?</v>
      </c>
      <c r="I5827" t="s">
        <v>6228</v>
      </c>
      <c r="J5827">
        <v>3.99</v>
      </c>
      <c r="K5827" s="4">
        <v>5.28E-2</v>
      </c>
      <c r="L5827">
        <v>4.8</v>
      </c>
      <c r="M5827">
        <v>1532</v>
      </c>
      <c r="O5827" t="s">
        <v>25</v>
      </c>
      <c r="P5827" t="s">
        <v>6407</v>
      </c>
      <c r="Q5827" t="s">
        <v>6408</v>
      </c>
    </row>
    <row r="5828" spans="1:17" ht="15.5" x14ac:dyDescent="0.35">
      <c r="A5828"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5828"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5828" t="s">
        <v>6225</v>
      </c>
      <c r="D5828" t="s">
        <v>5678</v>
      </c>
      <c r="E5828" s="3" t="str">
        <f>HYPERLINK("https://www.amazon.com/Journeyman-T-Handle-Klein-Tools-JTH6M4/dp/B005G394YO/ref=sr_1_5?keywords=Klein+Tools+JTH4E09+9%2F64-Inch+Hex+Key+Journeyman+T-Handle+4-Inch&amp;qid=1695174238&amp;sr=8-5", "https://www.amazon.com/Journeyman-T-Handle-Klein-Tools-JTH6M4/dp/B005G394YO/ref=sr_1_5?keywords=Klein+Tools+JTH4E09+9%2F64-Inch+Hex+Key+Journeyman+T-Handle+4-Inch&amp;qid=1695174238&amp;sr=8-5")</f>
        <v>https://www.amazon.com/Journeyman-T-Handle-Klein-Tools-JTH6M4/dp/B005G394YO/ref=sr_1_5?keywords=Klein+Tools+JTH4E09+9%2F64-Inch+Hex+Key+Journeyman+T-Handle+4-Inch&amp;qid=1695174238&amp;sr=8-5</v>
      </c>
      <c r="F5828" t="s">
        <v>5679</v>
      </c>
      <c r="G5828" t="e">
        <f ca="1">_xludf.IMAGE("https://edmondsonsupply.com/cdn/shop/products/jth4e06_be5118a6-2e9d-44f5-81ad-c027572dd2d3.jpg?v=1635981570")</f>
        <v>#NAME?</v>
      </c>
      <c r="H5828" t="e">
        <f ca="1">_xludf.IMAGE("https://m.media-amazon.com/images/I/51+1x0vz9XL._AC_UL320_.jpg")</f>
        <v>#NAME?</v>
      </c>
      <c r="I5828" t="s">
        <v>6228</v>
      </c>
      <c r="J5828">
        <v>3.99</v>
      </c>
      <c r="K5828" s="4">
        <v>5.28E-2</v>
      </c>
      <c r="L5828">
        <v>4.8</v>
      </c>
      <c r="M5828">
        <v>1532</v>
      </c>
      <c r="O5828" t="s">
        <v>25</v>
      </c>
      <c r="P5828" t="s">
        <v>6229</v>
      </c>
      <c r="Q5828" t="s">
        <v>6230</v>
      </c>
    </row>
    <row r="5829" spans="1:17" ht="15.5" x14ac:dyDescent="0.35">
      <c r="A5829" s="3" t="str">
        <f>HYPERLINK("https://edmondsonsupply.com/collections/electricians-tools/products/rack-a-tiers-47010-v-cutter", "https://edmondsonsupply.com/collections/electricians-tools/products/rack-a-tiers-47010-v-cutter")</f>
        <v>https://edmondsonsupply.com/collections/electricians-tools/products/rack-a-tiers-47010-v-cutter</v>
      </c>
      <c r="B5829" s="3" t="str">
        <f>HYPERLINK("https://edmondsonsupply.com/products/rack-a-tiers-47010-v-cutter", "https://edmondsonsupply.com/products/rack-a-tiers-47010-v-cutter")</f>
        <v>https://edmondsonsupply.com/products/rack-a-tiers-47010-v-cutter</v>
      </c>
      <c r="C5829" t="s">
        <v>7763</v>
      </c>
      <c r="D5829" t="s">
        <v>7764</v>
      </c>
      <c r="E5829" s="3" t="str">
        <f>HYPERLINK("https://www.amazon.com/V-Cutter-Attachable-Precision-Sheathing-Stripper/dp/B00AKPFOW4/ref=sr_1_1?keywords=Rack-A-Tiers+47010+V-Cutter&amp;qid=1695173958&amp;sr=8-1", "https://www.amazon.com/V-Cutter-Attachable-Precision-Sheathing-Stripper/dp/B00AKPFOW4/ref=sr_1_1?keywords=Rack-A-Tiers+47010+V-Cutter&amp;qid=1695173958&amp;sr=8-1")</f>
        <v>https://www.amazon.com/V-Cutter-Attachable-Precision-Sheathing-Stripper/dp/B00AKPFOW4/ref=sr_1_1?keywords=Rack-A-Tiers+47010+V-Cutter&amp;qid=1695173958&amp;sr=8-1</v>
      </c>
      <c r="F5829" t="s">
        <v>7765</v>
      </c>
      <c r="G5829" t="e">
        <f ca="1">_xludf.IMAGE("https://edmondsonsupply.com/cdn/shop/products/47010.jpg?v=1587146041")</f>
        <v>#NAME?</v>
      </c>
      <c r="H5829" t="e">
        <f ca="1">_xludf.IMAGE("https://m.media-amazon.com/images/I/51wvBHpYDDL._AC_UL320_.jpg")</f>
        <v>#NAME?</v>
      </c>
      <c r="I5829" t="s">
        <v>2433</v>
      </c>
      <c r="J5829">
        <v>9.99</v>
      </c>
      <c r="K5829" s="4">
        <v>5.2699999999999997E-2</v>
      </c>
      <c r="L5829">
        <v>4.0999999999999996</v>
      </c>
      <c r="M5829">
        <v>144</v>
      </c>
      <c r="O5829" t="s">
        <v>25</v>
      </c>
      <c r="P5829" t="s">
        <v>2577</v>
      </c>
      <c r="Q5829" t="s">
        <v>7766</v>
      </c>
    </row>
    <row r="5830" spans="1:17" ht="15.5" x14ac:dyDescent="0.35">
      <c r="A5830"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5830" s="3" t="str">
        <f>HYPERLINK("https://edmondsonsupply.com/products/klein-tools-80028-electricians-tool-kit-28-piece", "https://edmondsonsupply.com/products/klein-tools-80028-electricians-tool-kit-28-piece")</f>
        <v>https://edmondsonsupply.com/products/klein-tools-80028-electricians-tool-kit-28-piece</v>
      </c>
      <c r="C5830" t="s">
        <v>4066</v>
      </c>
      <c r="D5830" t="s">
        <v>4276</v>
      </c>
      <c r="E5830" s="3" t="str">
        <f>HYPERLINK("https://www.amazon.com/Klein-Tools-Screwdrivers-28-Piece-Lockback/dp/B0BXK9YSJS/ref=sr_1_3?keywords=Klein+Tools+80028+Electrician%27s+Tool+Kit%2C+28-Piece&amp;qid=1695173883&amp;sr=8-3", "https://www.amazon.com/Klein-Tools-Screwdrivers-28-Piece-Lockback/dp/B0BXK9YSJS/ref=sr_1_3?keywords=Klein+Tools+80028+Electrician%27s+Tool+Kit%2C+28-Piece&amp;qid=1695173883&amp;sr=8-3")</f>
        <v>https://www.amazon.com/Klein-Tools-Screwdrivers-28-Piece-Lockback/dp/B0BXK9YSJS/ref=sr_1_3?keywords=Klein+Tools+80028+Electrician%27s+Tool+Kit%2C+28-Piece&amp;qid=1695173883&amp;sr=8-3</v>
      </c>
      <c r="F5830" t="s">
        <v>4277</v>
      </c>
      <c r="G5830" t="e">
        <f ca="1">_xludf.IMAGE("https://edmondsonsupply.com/cdn/shop/files/80028_d.jpg?v=1686062794")</f>
        <v>#NAME?</v>
      </c>
      <c r="H5830" t="e">
        <f ca="1">_xludf.IMAGE("https://m.media-amazon.com/images/I/51rspFjanxL._AC_UL320_.jpg")</f>
        <v>#NAME?</v>
      </c>
      <c r="I5830" t="s">
        <v>4069</v>
      </c>
      <c r="J5830">
        <v>435.98</v>
      </c>
      <c r="K5830" s="4">
        <v>5.0599999999999999E-2</v>
      </c>
      <c r="L5830">
        <v>5</v>
      </c>
      <c r="M5830">
        <v>1</v>
      </c>
      <c r="O5830" t="s">
        <v>25</v>
      </c>
      <c r="P5830" t="s">
        <v>4070</v>
      </c>
      <c r="Q5830" t="s">
        <v>4071</v>
      </c>
    </row>
    <row r="5831" spans="1:17" ht="15.5" x14ac:dyDescent="0.35">
      <c r="A5831" s="3" t="str">
        <f>HYPERLINK("https://edmondsonsupply.com/collections/electricians-tools/products/klein-tools-5114dsc-canvas-bucket-with-drawstring-close-17-inch", "https://edmondsonsupply.com/collections/electricians-tools/products/klein-tools-5114dsc-canvas-bucket-with-drawstring-close-17-inch")</f>
        <v>https://edmondsonsupply.com/collections/electricians-tools/products/klein-tools-5114dsc-canvas-bucket-with-drawstring-close-17-inch</v>
      </c>
      <c r="B5831" s="3" t="str">
        <f>HYPERLINK("https://edmondsonsupply.com/products/klein-tools-5114dsc-canvas-bucket-with-drawstring-close-17-inch", "https://edmondsonsupply.com/products/klein-tools-5114dsc-canvas-bucket-with-drawstring-close-17-inch")</f>
        <v>https://edmondsonsupply.com/products/klein-tools-5114dsc-canvas-bucket-with-drawstring-close-17-inch</v>
      </c>
      <c r="C5831" t="s">
        <v>522</v>
      </c>
      <c r="D5831" t="s">
        <v>523</v>
      </c>
      <c r="E5831" s="3" t="str">
        <f>HYPERLINK("https://www.amazon.com/Klein-Tools-5114DSC-Drawstring-Reinforced/dp/B08BQ27XQB/ref=sr_1_1?keywords=Klein+Tools+5114DSC+Canvas+Bucket+with+Drawstring+Close%2C+17-Inch&amp;qid=1695174305&amp;sr=8-1", "https://www.amazon.com/Klein-Tools-5114DSC-Drawstring-Reinforced/dp/B08BQ27XQB/ref=sr_1_1?keywords=Klein+Tools+5114DSC+Canvas+Bucket+with+Drawstring+Close%2C+17-Inch&amp;qid=1695174305&amp;sr=8-1")</f>
        <v>https://www.amazon.com/Klein-Tools-5114DSC-Drawstring-Reinforced/dp/B08BQ27XQB/ref=sr_1_1?keywords=Klein+Tools+5114DSC+Canvas+Bucket+with+Drawstring+Close%2C+17-Inch&amp;qid=1695174305&amp;sr=8-1</v>
      </c>
      <c r="F5831" t="s">
        <v>524</v>
      </c>
      <c r="G5831" t="e">
        <f ca="1">_xludf.IMAGE("https://edmondsonsupply.com/cdn/shop/products/5114dsc.jpg?v=1633030814")</f>
        <v>#NAME?</v>
      </c>
      <c r="H5831" t="e">
        <f ca="1">_xludf.IMAGE("https://m.media-amazon.com/images/I/51v3kR-RRnL._AC_UL320_.jpg")</f>
        <v>#NAME?</v>
      </c>
      <c r="I5831" t="s">
        <v>525</v>
      </c>
      <c r="J5831">
        <v>113.45</v>
      </c>
      <c r="K5831" s="4">
        <v>5.0599999999999999E-2</v>
      </c>
      <c r="L5831">
        <v>4</v>
      </c>
      <c r="M5831">
        <v>5</v>
      </c>
      <c r="O5831" t="s">
        <v>25</v>
      </c>
      <c r="P5831" t="s">
        <v>526</v>
      </c>
      <c r="Q5831" t="s">
        <v>527</v>
      </c>
    </row>
    <row r="5832" spans="1:17" ht="15.5" x14ac:dyDescent="0.35">
      <c r="A5832" s="3" t="str">
        <f>HYPERLINK("https://edmondsonsupply.com/collections/electricians-tools/products/klein-tools-5416tbr-tool-pouch-bolt-retention-pouch-canvas-tunnel-connect-5x10x9-inch", "https://edmondsonsupply.com/collections/electricians-tools/products/klein-tools-5416tbr-tool-pouch-bolt-retention-pouch-canvas-tunnel-connect-5x10x9-inch")</f>
        <v>https://edmondsonsupply.com/collections/electricians-tools/products/klein-tools-5416tbr-tool-pouch-bolt-retention-pouch-canvas-tunnel-connect-5x10x9-inch</v>
      </c>
      <c r="B5832" s="3" t="str">
        <f>HYPERLINK("https://edmondsonsupply.com/products/klein-tools-5416tbr-tool-pouch-bolt-retention-pouch-canvas-tunnel-connect-5x10x9-inch", "https://edmondsonsupply.com/products/klein-tools-5416tbr-tool-pouch-bolt-retention-pouch-canvas-tunnel-connect-5x10x9-inch")</f>
        <v>https://edmondsonsupply.com/products/klein-tools-5416tbr-tool-pouch-bolt-retention-pouch-canvas-tunnel-connect-5x10x9-inch</v>
      </c>
      <c r="C5832" t="s">
        <v>7767</v>
      </c>
      <c r="D5832" t="s">
        <v>7768</v>
      </c>
      <c r="E5832" s="3" t="str">
        <f>HYPERLINK("https://www.amazon.com/Retention-10-Inch-Klein-Tools-5416TBR/dp/B06XYVMGZK/ref=sr_1_1?keywords=Klein+Tools+5416TBR+Tool+Pouch%2C+Bolt+Retention+Pouch%2C+Canvas%2C+Tunnel+Connect%2C+5x10x9-Inch&amp;qid=1695174132&amp;sr=8-1", "https://www.amazon.com/Retention-10-Inch-Klein-Tools-5416TBR/dp/B06XYVMGZK/ref=sr_1_1?keywords=Klein+Tools+5416TBR+Tool+Pouch%2C+Bolt+Retention+Pouch%2C+Canvas%2C+Tunnel+Connect%2C+5x10x9-Inch&amp;qid=1695174132&amp;sr=8-1")</f>
        <v>https://www.amazon.com/Retention-10-Inch-Klein-Tools-5416TBR/dp/B06XYVMGZK/ref=sr_1_1?keywords=Klein+Tools+5416TBR+Tool+Pouch%2C+Bolt+Retention+Pouch%2C+Canvas%2C+Tunnel+Connect%2C+5x10x9-Inch&amp;qid=1695174132&amp;sr=8-1</v>
      </c>
      <c r="F5832" t="s">
        <v>7769</v>
      </c>
      <c r="G5832" t="e">
        <f ca="1">_xludf.IMAGE("https://edmondsonsupply.com/cdn/shop/products/5416tbr.jpg?v=1666359521")</f>
        <v>#NAME?</v>
      </c>
      <c r="H5832" t="e">
        <f ca="1">_xludf.IMAGE("https://m.media-amazon.com/images/I/61X7uHtI2DL._AC_UL320_.jpg")</f>
        <v>#NAME?</v>
      </c>
      <c r="I5832" t="s">
        <v>840</v>
      </c>
      <c r="J5832">
        <v>39.29</v>
      </c>
      <c r="K5832" s="4">
        <v>5.0500000000000003E-2</v>
      </c>
      <c r="L5832">
        <v>4.2</v>
      </c>
      <c r="M5832">
        <v>21</v>
      </c>
      <c r="O5832" t="s">
        <v>25</v>
      </c>
      <c r="P5832" t="s">
        <v>7770</v>
      </c>
      <c r="Q5832" t="s">
        <v>7771</v>
      </c>
    </row>
    <row r="5833" spans="1:17" ht="15.5" x14ac:dyDescent="0.35">
      <c r="A5833"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5833"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5833" t="s">
        <v>3227</v>
      </c>
      <c r="D5833" t="s">
        <v>4278</v>
      </c>
      <c r="E5833" s="3" t="str">
        <f>HYPERLINK("https://www.amazon.com/Multimeter-Non-Contact-Klein-Tools-MM320KIT/dp/B08W1THSM8/ref=sr_1_1?keywords=Klein+Tools+MM320KIT+Digital+Multimeter+Electrical+Test+Kit&amp;qid=1695173860&amp;sr=8-1", "https://www.amazon.com/Multimeter-Non-Contact-Klein-Tools-MM320KIT/dp/B08W1THSM8/ref=sr_1_1?keywords=Klein+Tools+MM320KIT+Digital+Multimeter+Electrical+Test+Kit&amp;qid=1695173860&amp;sr=8-1")</f>
        <v>https://www.amazon.com/Multimeter-Non-Contact-Klein-Tools-MM320KIT/dp/B08W1THSM8/ref=sr_1_1?keywords=Klein+Tools+MM320KIT+Digital+Multimeter+Electrical+Test+Kit&amp;qid=1695173860&amp;sr=8-1</v>
      </c>
      <c r="F5833" t="s">
        <v>4279</v>
      </c>
      <c r="G5833" t="e">
        <f ca="1">_xludf.IMAGE("https://edmondsonsupply.com/cdn/shop/products/mm320kit_photo.jpg?v=1660756496")</f>
        <v>#NAME?</v>
      </c>
      <c r="H5833" t="e">
        <f ca="1">_xludf.IMAGE("https://m.media-amazon.com/images/I/61xZtUfGpuL._AC_UL320_.jpg")</f>
        <v>#NAME?</v>
      </c>
      <c r="I5833" t="s">
        <v>380</v>
      </c>
      <c r="J5833">
        <v>52.49</v>
      </c>
      <c r="K5833" s="4">
        <v>5.04E-2</v>
      </c>
      <c r="L5833">
        <v>4.8</v>
      </c>
      <c r="M5833">
        <v>1458</v>
      </c>
      <c r="O5833" t="s">
        <v>25</v>
      </c>
      <c r="P5833" t="s">
        <v>3230</v>
      </c>
      <c r="Q5833" t="s">
        <v>3231</v>
      </c>
    </row>
    <row r="5834" spans="1:17" ht="15.5" x14ac:dyDescent="0.35">
      <c r="A5834" s="3" t="str">
        <f>HYPERLINK("https://edmondsonsupply.com/collections/electricians-tools/products/klein-tools-j63050-journeyman%E2%84%A2-cable-cutter", "https://edmondsonsupply.com/collections/electricians-tools/products/klein-tools-j63050-journeyman%E2%84%A2-cable-cutter")</f>
        <v>https://edmondsonsupply.com/collections/electricians-tools/products/klein-tools-j63050-journeyman%E2%84%A2-cable-cutter</v>
      </c>
      <c r="B5834" s="3" t="str">
        <f>HYPERLINK("https://edmondsonsupply.com/products/klein-tools-j63050-journeyman%e2%84%a2-cable-cutter", "https://edmondsonsupply.com/products/klein-tools-j63050-journeyman%e2%84%a2-cable-cutter")</f>
        <v>https://edmondsonsupply.com/products/klein-tools-j63050-journeyman%e2%84%a2-cable-cutter</v>
      </c>
      <c r="C5834" t="s">
        <v>7772</v>
      </c>
      <c r="D5834" t="s">
        <v>7773</v>
      </c>
      <c r="E5834" s="3" t="str">
        <f>HYPERLINK("https://www.amazon.com/High-Leverage-Communications-Klein-Tools-J63225N/dp/B08R8SNQCL/ref=sr_1_1?keywords=Klein+Tools+J63050+Journeyman%E2%84%A2+High+Leverage+Cable+Cutter&amp;qid=1695174171&amp;sr=8-1", "https://www.amazon.com/High-Leverage-Communications-Klein-Tools-J63225N/dp/B08R8SNQCL/ref=sr_1_1?keywords=Klein+Tools+J63050+Journeyman%E2%84%A2+High+Leverage+Cable+Cutter&amp;qid=1695174171&amp;sr=8-1")</f>
        <v>https://www.amazon.com/High-Leverage-Communications-Klein-Tools-J63225N/dp/B08R8SNQCL/ref=sr_1_1?keywords=Klein+Tools+J63050+Journeyman%E2%84%A2+High+Leverage+Cable+Cutter&amp;qid=1695174171&amp;sr=8-1</v>
      </c>
      <c r="F5834" t="s">
        <v>7774</v>
      </c>
      <c r="G5834" t="e">
        <f ca="1">_xludf.IMAGE("https://edmondsonsupply.com/cdn/shop/products/j63050.jpg?v=1660349782")</f>
        <v>#NAME?</v>
      </c>
      <c r="H5834" t="e">
        <f ca="1">_xludf.IMAGE("https://m.media-amazon.com/images/I/61+P5wW4RkL._AC_UL320_.jpg")</f>
        <v>#NAME?</v>
      </c>
      <c r="I5834" t="s">
        <v>198</v>
      </c>
      <c r="J5834">
        <v>41.97</v>
      </c>
      <c r="K5834" s="4">
        <v>4.9500000000000002E-2</v>
      </c>
      <c r="L5834">
        <v>4.7</v>
      </c>
      <c r="M5834">
        <v>428</v>
      </c>
      <c r="O5834" t="s">
        <v>25</v>
      </c>
      <c r="P5834" t="s">
        <v>7775</v>
      </c>
      <c r="Q5834" t="s">
        <v>7776</v>
      </c>
    </row>
    <row r="5835" spans="1:17" ht="15.5" x14ac:dyDescent="0.35">
      <c r="A5835" s="3" t="str">
        <f>HYPERLINK("https://edmondsonsupply.com/collections/electricians-tools/products/diablo-tools-dsp2090-p2-3-4-in-x-6-in-spade-bit-2-pack", "https://edmondsonsupply.com/collections/electricians-tools/products/diablo-tools-dsp2090-p2-3-4-in-x-6-in-spade-bit-2-pack")</f>
        <v>https://edmondsonsupply.com/collections/electricians-tools/products/diablo-tools-dsp2090-p2-3-4-in-x-6-in-spade-bit-2-pack</v>
      </c>
      <c r="B5835" s="3" t="str">
        <f>HYPERLINK("https://edmondsonsupply.com/products/diablo-tools-dsp2090-p2-3-4-in-x-6-in-spade-bit-2-pack", "https://edmondsonsupply.com/products/diablo-tools-dsp2090-p2-3-4-in-x-6-in-spade-bit-2-pack")</f>
        <v>https://edmondsonsupply.com/products/diablo-tools-dsp2090-p2-3-4-in-x-6-in-spade-bit-2-pack</v>
      </c>
      <c r="C5835" t="s">
        <v>5902</v>
      </c>
      <c r="D5835" t="s">
        <v>5835</v>
      </c>
      <c r="E5835" s="3" t="str">
        <f>HYPERLINK("https://www.amazon.com/Diablo-SPEEDemon-Spade-Bit-2-Pack/dp/B089KV8K7W/ref=sr_1_1?keywords=Diablo+Tools+DSP2090-P2+3%2F4+in.+x+6+in.+Spade+Bit+%282+Pack%29&amp;qid=1695173999&amp;sr=8-1", "https://www.amazon.com/Diablo-SPEEDemon-Spade-Bit-2-Pack/dp/B089KV8K7W/ref=sr_1_1?keywords=Diablo+Tools+DSP2090-P2+3%2F4+in.+x+6+in.+Spade+Bit+%282+Pack%29&amp;qid=1695173999&amp;sr=8-1")</f>
        <v>https://www.amazon.com/Diablo-SPEEDemon-Spade-Bit-2-Pack/dp/B089KV8K7W/ref=sr_1_1?keywords=Diablo+Tools+DSP2090-P2+3%2F4+in.+x+6+in.+Spade+Bit+%282+Pack%29&amp;qid=1695173999&amp;sr=8-1</v>
      </c>
      <c r="F5835" t="s">
        <v>5836</v>
      </c>
      <c r="G5835" t="e">
        <f ca="1">_xludf.IMAGE("https://edmondsonsupply.com/cdn/shop/files/hg4rmyretai2aybkajqp_48ccaf8c-0943-4015-b125-9dac62e31e3c.webp?v=1686587544")</f>
        <v>#NAME?</v>
      </c>
      <c r="H5835" t="e">
        <f ca="1">_xludf.IMAGE("https://m.media-amazon.com/images/I/610FU8LQY+L._AC_UL320_.jpg")</f>
        <v>#NAME?</v>
      </c>
      <c r="I5835" t="s">
        <v>1003</v>
      </c>
      <c r="J5835">
        <v>8.3800000000000008</v>
      </c>
      <c r="K5835" s="4">
        <v>4.8800000000000003E-2</v>
      </c>
      <c r="L5835">
        <v>4.7</v>
      </c>
      <c r="M5835">
        <v>40</v>
      </c>
      <c r="O5835" t="s">
        <v>25</v>
      </c>
      <c r="P5835" t="s">
        <v>138</v>
      </c>
      <c r="Q5835" t="s">
        <v>5903</v>
      </c>
    </row>
    <row r="5836" spans="1:17" ht="15.5" x14ac:dyDescent="0.35">
      <c r="A5836"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5836" s="3" t="str">
        <f>HYPERLINK("https://edmondsonsupply.com/products/klein-tools-32500mag-11-in-1-magnetic-screwdriver-nut-driver", "https://edmondsonsupply.com/products/klein-tools-32500mag-11-in-1-magnetic-screwdriver-nut-driver")</f>
        <v>https://edmondsonsupply.com/products/klein-tools-32500mag-11-in-1-magnetic-screwdriver-nut-driver</v>
      </c>
      <c r="C5836" t="s">
        <v>6522</v>
      </c>
      <c r="D5836" t="s">
        <v>7777</v>
      </c>
      <c r="E5836" s="3" t="str">
        <f>HYPERLINK("https://www.amazon.com/Klein-Tools-32500HD-Multi-Bit-Screwdriver/dp/B0C9V6NYZ4/ref=sr_1_10?keywords=Klein+Tools+32500MAG+11-in-1+Magnetic+Screwdriver+%2F+Nut+Driver&amp;qid=1695174303&amp;sr=8-10", "https://www.amazon.com/Klein-Tools-32500HD-Multi-Bit-Screwdriver/dp/B0C9V6NYZ4/ref=sr_1_10?keywords=Klein+Tools+32500MAG+11-in-1+Magnetic+Screwdriver+%2F+Nut+Driver&amp;qid=1695174303&amp;sr=8-10")</f>
        <v>https://www.amazon.com/Klein-Tools-32500HD-Multi-Bit-Screwdriver/dp/B0C9V6NYZ4/ref=sr_1_10?keywords=Klein+Tools+32500MAG+11-in-1+Magnetic+Screwdriver+%2F+Nut+Driver&amp;qid=1695174303&amp;sr=8-10</v>
      </c>
      <c r="F5836" t="s">
        <v>7778</v>
      </c>
      <c r="G5836" t="e">
        <f ca="1">_xludf.IMAGE("https://edmondsonsupply.com/cdn/shop/products/32500mag.jpg?v=1633030832")</f>
        <v>#NAME?</v>
      </c>
      <c r="H5836" t="e">
        <f ca="1">_xludf.IMAGE("https://m.media-amazon.com/images/I/41OcyKmA3fL._AC_UL320_.jpg")</f>
        <v>#NAME?</v>
      </c>
      <c r="I5836" t="s">
        <v>2288</v>
      </c>
      <c r="J5836">
        <v>21.97</v>
      </c>
      <c r="K5836" s="4">
        <v>4.7699999999999999E-2</v>
      </c>
      <c r="L5836">
        <v>4.7</v>
      </c>
      <c r="M5836">
        <v>52</v>
      </c>
      <c r="O5836" t="s">
        <v>25</v>
      </c>
      <c r="P5836" t="s">
        <v>6525</v>
      </c>
      <c r="Q5836" t="s">
        <v>6526</v>
      </c>
    </row>
    <row r="5837" spans="1:17" ht="15.5" x14ac:dyDescent="0.35">
      <c r="A5837" s="3" t="str">
        <f>HYPERLINK("https://edmondsonsupply.com/collections/electricians-tools/products/milwaukee-48-22-1540-fastback%E2%84%A2-5-in-1-folding-knife", "https://edmondsonsupply.com/collections/electricians-tools/products/milwaukee-48-22-1540-fastback%E2%84%A2-5-in-1-folding-knife")</f>
        <v>https://edmondsonsupply.com/collections/electricians-tools/products/milwaukee-48-22-1540-fastback%E2%84%A2-5-in-1-folding-knife</v>
      </c>
      <c r="B5837" s="3" t="str">
        <f>HYPERLINK("https://edmondsonsupply.com/products/milwaukee-48-22-1540-fastback%e2%84%a2-5-in-1-folding-knife", "https://edmondsonsupply.com/products/milwaukee-48-22-1540-fastback%e2%84%a2-5-in-1-folding-knife")</f>
        <v>https://edmondsonsupply.com/products/milwaukee-48-22-1540-fastback%e2%84%a2-5-in-1-folding-knife</v>
      </c>
      <c r="C5837" t="s">
        <v>2507</v>
      </c>
      <c r="D5837" t="s">
        <v>4303</v>
      </c>
      <c r="E5837" s="3" t="str">
        <f>HYPERLINK("https://www.amazon.com/Milwaukee-48-22-1985-Fastback-Folding-Lanyard/dp/B00IQCDWIG/ref=sr_1_5?keywords=Milwaukee+48-22-1540+FASTBACK%E2%84%A2+5-in-1+Folding+Knife&amp;qid=1695173855&amp;sr=8-5", "https://www.amazon.com/Milwaukee-48-22-1985-Fastback-Folding-Lanyard/dp/B00IQCDWIG/ref=sr_1_5?keywords=Milwaukee+48-22-1540+FASTBACK%E2%84%A2+5-in-1+Folding+Knife&amp;qid=1695173855&amp;sr=8-5")</f>
        <v>https://www.amazon.com/Milwaukee-48-22-1985-Fastback-Folding-Lanyard/dp/B00IQCDWIG/ref=sr_1_5?keywords=Milwaukee+48-22-1540+FASTBACK%E2%84%A2+5-in-1+Folding+Knife&amp;qid=1695173855&amp;sr=8-5</v>
      </c>
      <c r="F5837" t="s">
        <v>4304</v>
      </c>
      <c r="G5837" t="e">
        <f ca="1">_xludf.IMAGE("https://edmondsonsupply.com/cdn/shop/products/48-22-1540_1.png?v=1587142762")</f>
        <v>#NAME?</v>
      </c>
      <c r="H5837" t="e">
        <f ca="1">_xludf.IMAGE("https://m.media-amazon.com/images/I/714SFoSX-4L._AC_UL320_.jpg")</f>
        <v>#NAME?</v>
      </c>
      <c r="I5837" t="s">
        <v>2510</v>
      </c>
      <c r="J5837">
        <v>25.05</v>
      </c>
      <c r="K5837" s="4">
        <v>4.5100000000000001E-2</v>
      </c>
      <c r="L5837">
        <v>4.5999999999999996</v>
      </c>
      <c r="M5837">
        <v>627</v>
      </c>
      <c r="O5837" t="s">
        <v>25</v>
      </c>
      <c r="P5837" t="s">
        <v>2511</v>
      </c>
      <c r="Q5837" t="s">
        <v>2512</v>
      </c>
    </row>
    <row r="5838" spans="1:17" ht="15.5" x14ac:dyDescent="0.35">
      <c r="A5838"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5838" s="3" t="str">
        <f>HYPERLINK("https://edmondsonsupply.com/products/klein-tools-vaco-s10m-5-16-magnetic-nut-driver-3-hollow-shaft", "https://edmondsonsupply.com/products/klein-tools-vaco-s10m-5-16-magnetic-nut-driver-3-hollow-shaft")</f>
        <v>https://edmondsonsupply.com/products/klein-tools-vaco-s10m-5-16-magnetic-nut-driver-3-hollow-shaft</v>
      </c>
      <c r="C5838" t="s">
        <v>6468</v>
      </c>
      <c r="D5838" t="s">
        <v>7779</v>
      </c>
      <c r="E5838" s="3" t="str">
        <f>HYPERLINK("https://www.amazon.com/Klein-Tools-646-5-16M-Magnetic/dp/B00093GECG/ref=sr_1_9?keywords=Klein+Tools+S10M+5%2F16-Inch+Magnetic+Nut+Driver+3-Inch+Shaft&amp;qid=1695174019&amp;sr=8-9", "https://www.amazon.com/Klein-Tools-646-5-16M-Magnetic/dp/B00093GECG/ref=sr_1_9?keywords=Klein+Tools+S10M+5%2F16-Inch+Magnetic+Nut+Driver+3-Inch+Shaft&amp;qid=1695174019&amp;sr=8-9")</f>
        <v>https://www.amazon.com/Klein-Tools-646-5-16M-Magnetic/dp/B00093GECG/ref=sr_1_9?keywords=Klein+Tools+S10M+5%2F16-Inch+Magnetic+Nut+Driver+3-Inch+Shaft&amp;qid=1695174019&amp;sr=8-9</v>
      </c>
      <c r="F5838" t="s">
        <v>7780</v>
      </c>
      <c r="G5838" t="e">
        <f ca="1">_xludf.IMAGE("https://edmondsonsupply.com/cdn/shop/products/s10m_alt2.jpg?v=1587143022")</f>
        <v>#NAME?</v>
      </c>
      <c r="H5838" t="e">
        <f ca="1">_xludf.IMAGE("https://m.media-amazon.com/images/I/41j5NAMWLQL._AC_UL320_.jpg")</f>
        <v>#NAME?</v>
      </c>
      <c r="I5838" t="s">
        <v>2577</v>
      </c>
      <c r="J5838">
        <v>10.44</v>
      </c>
      <c r="K5838" s="4">
        <v>4.4999999999999998E-2</v>
      </c>
      <c r="L5838">
        <v>4.8</v>
      </c>
      <c r="M5838">
        <v>2497</v>
      </c>
      <c r="O5838" t="s">
        <v>25</v>
      </c>
      <c r="P5838" t="s">
        <v>6469</v>
      </c>
      <c r="Q5838" t="s">
        <v>6470</v>
      </c>
    </row>
    <row r="5839" spans="1:17" ht="15.5" x14ac:dyDescent="0.35">
      <c r="A5839"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5839" s="3" t="str">
        <f>HYPERLINK("https://edmondsonsupply.com/products/diablo-tools-dmapl2290-7-16-in-x-10-in-x-12-in-sds-plus-2-cutter", "https://edmondsonsupply.com/products/diablo-tools-dmapl2290-7-16-in-x-10-in-x-12-in-sds-plus-2-cutter")</f>
        <v>https://edmondsonsupply.com/products/diablo-tools-dmapl2290-7-16-in-x-10-in-x-12-in-sds-plus-2-cutter</v>
      </c>
      <c r="C5839" t="s">
        <v>5860</v>
      </c>
      <c r="D5839" t="s">
        <v>5904</v>
      </c>
      <c r="E5839" s="3" t="str">
        <f>HYPERLINK("https://www.amazon.com/Diablo-10-12-SDS-Plus-2-Cutter/dp/B089KVWDFV/ref=sr_1_2?keywords=Diablo+Tools+DMAPL2290+7%2F16+in.+x+10+in.+x+12+in.+SDS-Plus+2-Cutter&amp;qid=1695174015&amp;sr=8-2", "https://www.amazon.com/Diablo-10-12-SDS-Plus-2-Cutter/dp/B089KVWDFV/ref=sr_1_2?keywords=Diablo+Tools+DMAPL2290+7%2F16+in.+x+10+in.+x+12+in.+SDS-Plus+2-Cutter&amp;qid=1695174015&amp;sr=8-2")</f>
        <v>https://www.amazon.com/Diablo-10-12-SDS-Plus-2-Cutter/dp/B089KVWDFV/ref=sr_1_2?keywords=Diablo+Tools+DMAPL2290+7%2F16+in.+x+10+in.+x+12+in.+SDS-Plus+2-Cutter&amp;qid=1695174015&amp;sr=8-2</v>
      </c>
      <c r="F5839" t="s">
        <v>5905</v>
      </c>
      <c r="G5839" t="e">
        <f ca="1">_xludf.IMAGE("https://edmondsonsupply.com/cdn/shop/files/lgvfccwvf9ikjakt8qfb.webp?v=1686146379")</f>
        <v>#NAME?</v>
      </c>
      <c r="H5839" t="e">
        <f ca="1">_xludf.IMAGE("https://m.media-amazon.com/images/I/61jSXDDK72L._AC_UL320_.jpg")</f>
        <v>#NAME?</v>
      </c>
      <c r="I5839" t="s">
        <v>1140</v>
      </c>
      <c r="J5839">
        <v>10.97</v>
      </c>
      <c r="K5839" s="4">
        <v>4.48E-2</v>
      </c>
      <c r="L5839">
        <v>5</v>
      </c>
      <c r="M5839">
        <v>1</v>
      </c>
      <c r="O5839" t="s">
        <v>25</v>
      </c>
      <c r="P5839" t="s">
        <v>5863</v>
      </c>
      <c r="Q5839" t="s">
        <v>5864</v>
      </c>
    </row>
    <row r="5840" spans="1:17" ht="15.5" x14ac:dyDescent="0.35">
      <c r="A5840"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5840"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5840" t="s">
        <v>7204</v>
      </c>
      <c r="D5840" t="s">
        <v>7781</v>
      </c>
      <c r="E5840" s="3" t="str">
        <f>HYPERLINK("https://www.amazon.com/16-Inch-Screwdriver-Klein-Tools-621-6/dp/B00093GE44/ref=sr_1_5?keywords=Klein+Tools+6816INS+Insulated+Screwdriver%2C+3%2F16-Inch+Cabinet+Tip%2C+6-Inch+Round+Shank&amp;qid=1695174141&amp;sr=8-5", "https://www.amazon.com/16-Inch-Screwdriver-Klein-Tools-621-6/dp/B00093GE44/ref=sr_1_5?keywords=Klein+Tools+6816INS+Insulated+Screwdriver%2C+3%2F16-Inch+Cabinet+Tip%2C+6-Inch+Round+Shank&amp;qid=1695174141&amp;sr=8-5")</f>
        <v>https://www.amazon.com/16-Inch-Screwdriver-Klein-Tools-621-6/dp/B00093GE44/ref=sr_1_5?keywords=Klein+Tools+6816INS+Insulated+Screwdriver%2C+3%2F16-Inch+Cabinet+Tip%2C+6-Inch+Round+Shank&amp;qid=1695174141&amp;sr=8-5</v>
      </c>
      <c r="F5840" t="s">
        <v>7782</v>
      </c>
      <c r="G5840" t="e">
        <f ca="1">_xludf.IMAGE("https://edmondsonsupply.com/cdn/shop/products/6816ins.jpg?v=1664812840")</f>
        <v>#NAME?</v>
      </c>
      <c r="H5840" t="e">
        <f ca="1">_xludf.IMAGE("https://m.media-amazon.com/images/I/51PRkgD+r3L._AC_UL320_.jpg")</f>
        <v>#NAME?</v>
      </c>
      <c r="I5840" t="s">
        <v>6073</v>
      </c>
      <c r="J5840">
        <v>12.49</v>
      </c>
      <c r="K5840" s="4">
        <v>4.3400000000000001E-2</v>
      </c>
      <c r="L5840">
        <v>4.4000000000000004</v>
      </c>
      <c r="M5840">
        <v>25</v>
      </c>
      <c r="O5840" t="s">
        <v>25</v>
      </c>
      <c r="P5840" t="s">
        <v>6728</v>
      </c>
      <c r="Q5840" t="s">
        <v>7205</v>
      </c>
    </row>
    <row r="5841" spans="1:17" ht="15.5" x14ac:dyDescent="0.35">
      <c r="A5841"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5841" s="3" t="str">
        <f>HYPERLINK("https://edmondsonsupply.com/products/diablo-tools-dag3070-3-4-in-x-17-1-2-in-auger-bit", "https://edmondsonsupply.com/products/diablo-tools-dag3070-3-4-in-x-17-1-2-in-auger-bit")</f>
        <v>https://edmondsonsupply.com/products/diablo-tools-dag3070-3-4-in-x-17-1-2-in-auger-bit</v>
      </c>
      <c r="C5841" t="s">
        <v>7783</v>
      </c>
      <c r="D5841" t="s">
        <v>7181</v>
      </c>
      <c r="E5841" s="3" t="str">
        <f>HYPERLINK("https://www.amazon.com/Diablo-17-1-Auger-Bit/dp/B089LHKRPP/ref=sr_1_1?keywords=Diablo+Tools+DAG3070+3%2F4+in.+x+17-1%2F2+in.+Auger+Bit&amp;qid=1695174104&amp;sr=8-1", "https://www.amazon.com/Diablo-17-1-Auger-Bit/dp/B089LHKRPP/ref=sr_1_1?keywords=Diablo+Tools+DAG3070+3%2F4+in.+x+17-1%2F2+in.+Auger+Bit&amp;qid=1695174104&amp;sr=8-1")</f>
        <v>https://www.amazon.com/Diablo-17-1-Auger-Bit/dp/B089LHKRPP/ref=sr_1_1?keywords=Diablo+Tools+DAG3070+3%2F4+in.+x+17-1%2F2+in.+Auger+Bit&amp;qid=1695174104&amp;sr=8-1</v>
      </c>
      <c r="F5841" t="s">
        <v>7182</v>
      </c>
      <c r="G5841" t="e">
        <f ca="1">_xludf.IMAGE("https://edmondsonsupply.com/cdn/shop/products/ljatbudptj8xmo1m7sg7.webp?v=1669994151")</f>
        <v>#NAME?</v>
      </c>
      <c r="H5841" t="e">
        <f ca="1">_xludf.IMAGE("https://m.media-amazon.com/images/I/61aMNURt08L._AC_UL320_.jpg")</f>
        <v>#NAME?</v>
      </c>
      <c r="I5841" t="s">
        <v>3472</v>
      </c>
      <c r="J5841">
        <v>25</v>
      </c>
      <c r="K5841" s="4">
        <v>4.2099999999999999E-2</v>
      </c>
      <c r="L5841">
        <v>4.5999999999999996</v>
      </c>
      <c r="M5841">
        <v>61</v>
      </c>
      <c r="O5841" t="s">
        <v>25</v>
      </c>
      <c r="P5841" t="s">
        <v>7784</v>
      </c>
      <c r="Q5841" t="s">
        <v>7785</v>
      </c>
    </row>
    <row r="5842" spans="1:17" ht="15.5" x14ac:dyDescent="0.35">
      <c r="A5842" s="3" t="str">
        <f>HYPERLINK("https://edmondsonsupply.com/collections/electricians-tools/products/milwaukee-48-22-1540-fastback%E2%84%A2-5-in-1-folding-knife", "https://edmondsonsupply.com/collections/electricians-tools/products/milwaukee-48-22-1540-fastback%E2%84%A2-5-in-1-folding-knife")</f>
        <v>https://edmondsonsupply.com/collections/electricians-tools/products/milwaukee-48-22-1540-fastback%E2%84%A2-5-in-1-folding-knife</v>
      </c>
      <c r="B5842" s="3" t="str">
        <f>HYPERLINK("https://edmondsonsupply.com/products/milwaukee-48-22-1540-fastback%e2%84%a2-5-in-1-folding-knife", "https://edmondsonsupply.com/products/milwaukee-48-22-1540-fastback%e2%84%a2-5-in-1-folding-knife")</f>
        <v>https://edmondsonsupply.com/products/milwaukee-48-22-1540-fastback%e2%84%a2-5-in-1-folding-knife</v>
      </c>
      <c r="C5842" t="s">
        <v>2507</v>
      </c>
      <c r="D5842" t="s">
        <v>4305</v>
      </c>
      <c r="E5842" s="3" t="str">
        <f>HYPERLINK("https://www.amazon.com/Milwaukee-48-22-1990-FASTBACK-Smooth-Folding/dp/B00IKVFCUO/ref=sr_1_2?keywords=Milwaukee+48-22-1540+FASTBACK%E2%84%A2+5-in-1+Folding+Knife&amp;qid=1695173855&amp;sr=8-2", "https://www.amazon.com/Milwaukee-48-22-1990-FASTBACK-Smooth-Folding/dp/B00IKVFCUO/ref=sr_1_2?keywords=Milwaukee+48-22-1540+FASTBACK%E2%84%A2+5-in-1+Folding+Knife&amp;qid=1695173855&amp;sr=8-2")</f>
        <v>https://www.amazon.com/Milwaukee-48-22-1990-FASTBACK-Smooth-Folding/dp/B00IKVFCUO/ref=sr_1_2?keywords=Milwaukee+48-22-1540+FASTBACK%E2%84%A2+5-in-1+Folding+Knife&amp;qid=1695173855&amp;sr=8-2</v>
      </c>
      <c r="F5842" t="s">
        <v>4306</v>
      </c>
      <c r="G5842" t="e">
        <f ca="1">_xludf.IMAGE("https://edmondsonsupply.com/cdn/shop/products/48-22-1540_1.png?v=1587142762")</f>
        <v>#NAME?</v>
      </c>
      <c r="H5842" t="e">
        <f ca="1">_xludf.IMAGE("https://m.media-amazon.com/images/I/81wFFG5g9vL._AC_UL320_.jpg")</f>
        <v>#NAME?</v>
      </c>
      <c r="I5842" t="s">
        <v>2510</v>
      </c>
      <c r="J5842">
        <v>24.97</v>
      </c>
      <c r="K5842" s="4">
        <v>4.1700000000000001E-2</v>
      </c>
      <c r="L5842">
        <v>4.5</v>
      </c>
      <c r="M5842">
        <v>982</v>
      </c>
      <c r="O5842" t="s">
        <v>25</v>
      </c>
      <c r="P5842" t="s">
        <v>2511</v>
      </c>
      <c r="Q5842" t="s">
        <v>2512</v>
      </c>
    </row>
    <row r="5843" spans="1:17" ht="15.5" x14ac:dyDescent="0.35">
      <c r="A5843" s="3" t="str">
        <f>HYPERLINK("https://edmondsonsupply.com/collections/electricians-tools/products/klein-tools-44001-blk-black-lightweight-lockback-knife-2-1-2-inch", "https://edmondsonsupply.com/collections/electricians-tools/products/klein-tools-44001-blk-black-lightweight-lockback-knife-2-1-2-inch")</f>
        <v>https://edmondsonsupply.com/collections/electricians-tools/products/klein-tools-44001-blk-black-lightweight-lockback-knife-2-1-2-inch</v>
      </c>
      <c r="B5843" s="3" t="str">
        <f>HYPERLINK("https://edmondsonsupply.com/products/klein-tools-44001-blk-black-lightweight-lockback-knife-2-1-2-inch", "https://edmondsonsupply.com/products/klein-tools-44001-blk-black-lightweight-lockback-knife-2-1-2-inch")</f>
        <v>https://edmondsonsupply.com/products/klein-tools-44001-blk-black-lightweight-lockback-knife-2-1-2-inch</v>
      </c>
      <c r="C5843" t="s">
        <v>7786</v>
      </c>
      <c r="D5843" t="s">
        <v>6970</v>
      </c>
      <c r="E5843" s="3" t="str">
        <f>HYPERLINK("https://www.amazon.com/Lightweight-Lockback-Klein-Tools-44007/dp/B001TJ1JVK/ref=sr_1_6?keywords=Klein+Tools+44001-BLK+Black+Lightweight+Lockback+Knife%2C+2-1%2F2-Inch&amp;qid=1695174306&amp;sr=8-6", "https://www.amazon.com/Lightweight-Lockback-Klein-Tools-44007/dp/B001TJ1JVK/ref=sr_1_6?keywords=Klein+Tools+44001-BLK+Black+Lightweight+Lockback+Knife%2C+2-1%2F2-Inch&amp;qid=1695174306&amp;sr=8-6")</f>
        <v>https://www.amazon.com/Lightweight-Lockback-Klein-Tools-44007/dp/B001TJ1JVK/ref=sr_1_6?keywords=Klein+Tools+44001-BLK+Black+Lightweight+Lockback+Knife%2C+2-1%2F2-Inch&amp;qid=1695174306&amp;sr=8-6</v>
      </c>
      <c r="F5843" t="s">
        <v>6971</v>
      </c>
      <c r="G5843" t="e">
        <f ca="1">_xludf.IMAGE("https://edmondsonsupply.com/cdn/shop/products/44001-blk.jpg?v=1633030819")</f>
        <v>#NAME?</v>
      </c>
      <c r="H5843" t="e">
        <f ca="1">_xludf.IMAGE("https://m.media-amazon.com/images/I/71-kYHzVBIL._AC_UL320_.jpg")</f>
        <v>#NAME?</v>
      </c>
      <c r="I5843" t="s">
        <v>3436</v>
      </c>
      <c r="J5843">
        <v>49.97</v>
      </c>
      <c r="K5843" s="4">
        <v>4.1300000000000003E-2</v>
      </c>
      <c r="L5843">
        <v>4.5999999999999996</v>
      </c>
      <c r="M5843">
        <v>60</v>
      </c>
      <c r="O5843" t="s">
        <v>25</v>
      </c>
      <c r="P5843" t="s">
        <v>7787</v>
      </c>
      <c r="Q5843" t="s">
        <v>7788</v>
      </c>
    </row>
    <row r="5844" spans="1:17" ht="15.5" x14ac:dyDescent="0.35">
      <c r="A5844" s="3" t="str">
        <f>HYPERLINK("https://edmondsonsupply.com/collections/electricians-tools/products/klein-tools-1010-long-nose-multi-purpose-tool", "https://edmondsonsupply.com/collections/electricians-tools/products/klein-tools-1010-long-nose-multi-purpose-tool")</f>
        <v>https://edmondsonsupply.com/collections/electricians-tools/products/klein-tools-1010-long-nose-multi-purpose-tool</v>
      </c>
      <c r="B5844" s="3" t="str">
        <f>HYPERLINK("https://edmondsonsupply.com/products/klein-tools-1010-long-nose-multi-purpose-tool", "https://edmondsonsupply.com/products/klein-tools-1010-long-nose-multi-purpose-tool")</f>
        <v>https://edmondsonsupply.com/products/klein-tools-1010-long-nose-multi-purpose-tool</v>
      </c>
      <c r="C5844" t="s">
        <v>5322</v>
      </c>
      <c r="D5844" t="s">
        <v>5323</v>
      </c>
      <c r="E5844" s="3" t="str">
        <f>HYPERLINK("https://www.amazon.com/Klein-Tools-1001-Multi-Purpose-Electricians/dp/B000EVLUR2/ref=sr_1_3?keywords=Klein+Tools+1010+Long+Nose+Multi+Tool+Wire+Stripper%2C+Wire+Cutters%2C+Crimping+Tool&amp;qid=1695173933&amp;sr=8-3", "https://www.amazon.com/Klein-Tools-1001-Multi-Purpose-Electricians/dp/B000EVLUR2/ref=sr_1_3?keywords=Klein+Tools+1010+Long+Nose+Multi+Tool+Wire+Stripper%2C+Wire+Cutters%2C+Crimping+Tool&amp;qid=1695173933&amp;sr=8-3")</f>
        <v>https://www.amazon.com/Klein-Tools-1001-Multi-Purpose-Electricians/dp/B000EVLUR2/ref=sr_1_3?keywords=Klein+Tools+1010+Long+Nose+Multi+Tool+Wire+Stripper%2C+Wire+Cutters%2C+Crimping+Tool&amp;qid=1695173933&amp;sr=8-3</v>
      </c>
      <c r="F5844" t="s">
        <v>5324</v>
      </c>
      <c r="G5844" t="e">
        <f ca="1">_xludf.IMAGE("https://edmondsonsupply.com/cdn/shop/products/1010.jpg?v=1587145604")</f>
        <v>#NAME?</v>
      </c>
      <c r="H5844" t="e">
        <f ca="1">_xludf.IMAGE("https://m.media-amazon.com/images/I/51Df2gzkHqL._AC_UL320_.jpg")</f>
        <v>#NAME?</v>
      </c>
      <c r="I5844" t="s">
        <v>859</v>
      </c>
      <c r="J5844">
        <v>25.99</v>
      </c>
      <c r="K5844" s="4">
        <v>4.0800000000000003E-2</v>
      </c>
      <c r="L5844">
        <v>4.5</v>
      </c>
      <c r="M5844">
        <v>476</v>
      </c>
      <c r="O5844" t="s">
        <v>25</v>
      </c>
      <c r="P5844" t="s">
        <v>5325</v>
      </c>
      <c r="Q5844" t="s">
        <v>5326</v>
      </c>
    </row>
    <row r="5845" spans="1:17" ht="15.5" x14ac:dyDescent="0.35">
      <c r="A5845"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5845"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5845" t="s">
        <v>6231</v>
      </c>
      <c r="D5845" t="s">
        <v>4313</v>
      </c>
      <c r="E5845" s="3" t="str">
        <f>HYPERLINK("https://www.amazon.com/Klein-Tools-80097-Beginner-3-Piece/dp/B0B7Z178B1/ref=sr_1_2?keywords=Klein+Tools+NCVT1PKIT+Non-Contact+Voltage+and+GFCI+Receptacle+Test+Kit&amp;qid=1695174067&amp;sr=8-2", "https://www.amazon.com/Klein-Tools-80097-Beginner-3-Piece/dp/B0B7Z178B1/ref=sr_1_2?keywords=Klein+Tools+NCVT1PKIT+Non-Contact+Voltage+and+GFCI+Receptacle+Test+Kit&amp;qid=1695174067&amp;sr=8-2")</f>
        <v>https://www.amazon.com/Klein-Tools-80097-Beginner-3-Piece/dp/B0B7Z178B1/ref=sr_1_2?keywords=Klein+Tools+NCVT1PKIT+Non-Contact+Voltage+and+GFCI+Receptacle+Test+Kit&amp;qid=1695174067&amp;sr=8-2</v>
      </c>
      <c r="F5845" t="s">
        <v>4314</v>
      </c>
      <c r="G5845" t="e">
        <f ca="1">_xludf.IMAGE("https://edmondsonsupply.com/cdn/shop/products/ncvt1pkit.jpg?v=1677682920")</f>
        <v>#NAME?</v>
      </c>
      <c r="H5845" t="e">
        <f ca="1">_xludf.IMAGE("https://m.media-amazon.com/images/I/51TWbZ0INyL._AC_UL320_.jpg")</f>
        <v>#NAME?</v>
      </c>
      <c r="I5845" t="s">
        <v>859</v>
      </c>
      <c r="J5845">
        <v>25.99</v>
      </c>
      <c r="K5845" s="4">
        <v>4.0800000000000003E-2</v>
      </c>
      <c r="L5845">
        <v>4.5999999999999996</v>
      </c>
      <c r="M5845">
        <v>121</v>
      </c>
      <c r="O5845" t="s">
        <v>25</v>
      </c>
      <c r="P5845" t="s">
        <v>6234</v>
      </c>
      <c r="Q5845" t="s">
        <v>6235</v>
      </c>
    </row>
    <row r="5846" spans="1:17" ht="15.5" x14ac:dyDescent="0.35">
      <c r="A5846"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5846"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5846" t="s">
        <v>2155</v>
      </c>
      <c r="D5846" t="s">
        <v>4313</v>
      </c>
      <c r="E5846" s="3" t="str">
        <f>HYPERLINK("https://www.amazon.com/Klein-Tools-80097-Beginner-3-Piece/dp/B0B7Z178B1/ref=sr_1_6?keywords=Klein+Tools+NCVT1XTKIT+Non-Contact+Voltage+and+GFCI+Receptacle+Premium+Test+Kit&amp;qid=1695173872&amp;sr=8-6", "https://www.amazon.com/Klein-Tools-80097-Beginner-3-Piece/dp/B0B7Z178B1/ref=sr_1_6?keywords=Klein+Tools+NCVT1XTKIT+Non-Contact+Voltage+and+GFCI+Receptacle+Premium+Test+Kit&amp;qid=1695173872&amp;sr=8-6")</f>
        <v>https://www.amazon.com/Klein-Tools-80097-Beginner-3-Piece/dp/B0B7Z178B1/ref=sr_1_6?keywords=Klein+Tools+NCVT1XTKIT+Non-Contact+Voltage+and+GFCI+Receptacle+Premium+Test+Kit&amp;qid=1695173872&amp;sr=8-6</v>
      </c>
      <c r="F5846" t="s">
        <v>4314</v>
      </c>
      <c r="G5846" t="e">
        <f ca="1">_xludf.IMAGE("https://edmondsonsupply.com/cdn/shop/products/ncvt1xtkit.jpg?v=1674497102")</f>
        <v>#NAME?</v>
      </c>
      <c r="H5846" t="e">
        <f ca="1">_xludf.IMAGE("https://m.media-amazon.com/images/I/51TWbZ0INyL._AC_UL320_.jpg")</f>
        <v>#NAME?</v>
      </c>
      <c r="I5846" t="s">
        <v>471</v>
      </c>
      <c r="J5846">
        <v>25.99</v>
      </c>
      <c r="K5846" s="4">
        <v>0.04</v>
      </c>
      <c r="L5846">
        <v>4.5999999999999996</v>
      </c>
      <c r="M5846">
        <v>121</v>
      </c>
      <c r="O5846" t="s">
        <v>25</v>
      </c>
      <c r="P5846" t="s">
        <v>2158</v>
      </c>
      <c r="Q5846" t="s">
        <v>2159</v>
      </c>
    </row>
    <row r="5847" spans="1:17" ht="15.5" x14ac:dyDescent="0.35">
      <c r="A5847"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5847"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5847" t="s">
        <v>5906</v>
      </c>
      <c r="D5847" t="s">
        <v>5881</v>
      </c>
      <c r="E5847" s="3" t="str">
        <f>HYPERLINK("https://www.amazon.com/Diablo-SDS-Max-Carbide-Tipped-Core/dp/B089M8ST7R/ref=sr_1_1?keywords=Diablo+Tools+DMAMXCC5050+4+in.+x+7+in.+SDS-Max+Carbide+Tipped+Core+Bit&amp;qid=1695174004&amp;sr=8-1", "https://www.amazon.com/Diablo-SDS-Max-Carbide-Tipped-Core/dp/B089M8ST7R/ref=sr_1_1?keywords=Diablo+Tools+DMAMXCC5050+4+in.+x+7+in.+SDS-Max+Carbide+Tipped+Core+Bit&amp;qid=1695174004&amp;sr=8-1")</f>
        <v>https://www.amazon.com/Diablo-SDS-Max-Carbide-Tipped-Core/dp/B089M8ST7R/ref=sr_1_1?keywords=Diablo+Tools+DMAMXCC5050+4+in.+x+7+in.+SDS-Max+Carbide+Tipped+Core+Bit&amp;qid=1695174004&amp;sr=8-1</v>
      </c>
      <c r="F5847" t="s">
        <v>5882</v>
      </c>
      <c r="G5847" t="e">
        <f ca="1">_xludf.IMAGE("https://edmondsonsupply.com/cdn/shop/files/yghx7uqdjxchri5fikny.webp?v=1686586834")</f>
        <v>#NAME?</v>
      </c>
      <c r="H5847" t="e">
        <f ca="1">_xludf.IMAGE("https://m.media-amazon.com/images/I/71bh3TRvqmL._AC_UL320_.jpg")</f>
        <v>#NAME?</v>
      </c>
      <c r="I5847" t="s">
        <v>5907</v>
      </c>
      <c r="J5847">
        <v>157.44</v>
      </c>
      <c r="K5847" s="4">
        <v>3.9899999999999998E-2</v>
      </c>
      <c r="L5847">
        <v>4.7</v>
      </c>
      <c r="M5847">
        <v>8</v>
      </c>
      <c r="O5847" t="s">
        <v>25</v>
      </c>
      <c r="P5847" t="s">
        <v>5908</v>
      </c>
      <c r="Q5847" t="s">
        <v>5909</v>
      </c>
    </row>
    <row r="5848" spans="1:17" ht="15.5" x14ac:dyDescent="0.35">
      <c r="A5848"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5848" s="3" t="str">
        <f>HYPERLINK("https://edmondsonsupply.com/products/diablo-tools-dag1130-1-in-x-7-1-2-in-auger-bit", "https://edmondsonsupply.com/products/diablo-tools-dag1130-1-in-x-7-1-2-in-auger-bit")</f>
        <v>https://edmondsonsupply.com/products/diablo-tools-dag1130-1-in-x-7-1-2-in-auger-bit</v>
      </c>
      <c r="C5848" t="s">
        <v>3530</v>
      </c>
      <c r="D5848" t="s">
        <v>4322</v>
      </c>
      <c r="E5848" s="3" t="str">
        <f>HYPERLINK("https://www.amazon.com/Diablo-7-1-Auger-Bit/dp/B089LHLLW4/ref=sr_1_1?keywords=Diablo+Tools+DAG1130+1+in.+x+7-1%2F2+in.+Auger+Bit&amp;qid=1695173913&amp;sr=8-1", "https://www.amazon.com/Diablo-7-1-Auger-Bit/dp/B089LHLLW4/ref=sr_1_1?keywords=Diablo+Tools+DAG1130+1+in.+x+7-1%2F2+in.+Auger+Bit&amp;qid=1695173913&amp;sr=8-1")</f>
        <v>https://www.amazon.com/Diablo-7-1-Auger-Bit/dp/B089LHLLW4/ref=sr_1_1?keywords=Diablo+Tools+DAG1130+1+in.+x+7-1%2F2+in.+Auger+Bit&amp;qid=1695173913&amp;sr=8-1</v>
      </c>
      <c r="F5848" t="s">
        <v>4323</v>
      </c>
      <c r="G5848" t="e">
        <f ca="1">_xludf.IMAGE("https://edmondsonsupply.com/cdn/shop/products/DAG1130_Main-Image20200712.png?v=1633031124")</f>
        <v>#NAME?</v>
      </c>
      <c r="H5848" t="e">
        <f ca="1">_xludf.IMAGE("https://m.media-amazon.com/images/I/61bFULmp4GL._AC_UL320_.jpg")</f>
        <v>#NAME?</v>
      </c>
      <c r="I5848" t="s">
        <v>3533</v>
      </c>
      <c r="J5848">
        <v>16.989999999999998</v>
      </c>
      <c r="K5848" s="4">
        <v>3.7900000000000003E-2</v>
      </c>
      <c r="L5848">
        <v>4.4000000000000004</v>
      </c>
      <c r="M5848">
        <v>38</v>
      </c>
      <c r="O5848" t="s">
        <v>25</v>
      </c>
      <c r="P5848" t="s">
        <v>3534</v>
      </c>
      <c r="Q5848" t="s">
        <v>3535</v>
      </c>
    </row>
    <row r="5849" spans="1:17" ht="15.5" x14ac:dyDescent="0.35">
      <c r="A5849" s="3" t="str">
        <f>HYPERLINK("https://edmondsonsupply.com/collections/electricians-tools/products/klein-tools-mm325-digital-multimeter-manual-ranging-600v", "https://edmondsonsupply.com/collections/electricians-tools/products/klein-tools-mm325-digital-multimeter-manual-ranging-600v")</f>
        <v>https://edmondsonsupply.com/collections/electricians-tools/products/klein-tools-mm325-digital-multimeter-manual-ranging-600v</v>
      </c>
      <c r="B5849" s="3" t="str">
        <f>HYPERLINK("https://edmondsonsupply.com/products/klein-tools-mm325-digital-multimeter-manual-ranging-600v", "https://edmondsonsupply.com/products/klein-tools-mm325-digital-multimeter-manual-ranging-600v")</f>
        <v>https://edmondsonsupply.com/products/klein-tools-mm325-digital-multimeter-manual-ranging-600v</v>
      </c>
      <c r="C5849" t="s">
        <v>7789</v>
      </c>
      <c r="D5849" t="s">
        <v>7790</v>
      </c>
      <c r="E5849" s="3" t="str">
        <f>HYPERLINK("https://www.amazon.com/Multimeter-Manual-Ranging-Klein-Tools-MM300/dp/B018O18VUW/ref=sr_1_5?keywords=Klein+Tools+MM325+Digital+Multimeter%2C+Manual-Ranging%2C+600V&amp;qid=1695174152&amp;sr=8-5", "https://www.amazon.com/Multimeter-Manual-Ranging-Klein-Tools-MM300/dp/B018O18VUW/ref=sr_1_5?keywords=Klein+Tools+MM325+Digital+Multimeter%2C+Manual-Ranging%2C+600V&amp;qid=1695174152&amp;sr=8-5")</f>
        <v>https://www.amazon.com/Multimeter-Manual-Ranging-Klein-Tools-MM300/dp/B018O18VUW/ref=sr_1_5?keywords=Klein+Tools+MM325+Digital+Multimeter%2C+Manual-Ranging%2C+600V&amp;qid=1695174152&amp;sr=8-5</v>
      </c>
      <c r="F5849" t="s">
        <v>7791</v>
      </c>
      <c r="G5849" t="e">
        <f ca="1">_xludf.IMAGE("https://edmondsonsupply.com/cdn/shop/products/mm325.jpg?v=1663612847")</f>
        <v>#NAME?</v>
      </c>
      <c r="H5849" t="e">
        <f ca="1">_xludf.IMAGE("https://m.media-amazon.com/images/I/51kA6WpFHwL._AC_UL320_.jpg")</f>
        <v>#NAME?</v>
      </c>
      <c r="I5849" t="s">
        <v>340</v>
      </c>
      <c r="J5849">
        <v>36.270000000000003</v>
      </c>
      <c r="K5849" s="4">
        <v>3.7199999999999997E-2</v>
      </c>
      <c r="L5849">
        <v>4.7</v>
      </c>
      <c r="M5849">
        <v>1556</v>
      </c>
      <c r="O5849" t="s">
        <v>25</v>
      </c>
      <c r="P5849" t="s">
        <v>7792</v>
      </c>
      <c r="Q5849" t="s">
        <v>7793</v>
      </c>
    </row>
    <row r="5850" spans="1:17" ht="15.5" x14ac:dyDescent="0.35">
      <c r="A5850"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5850"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5850" t="s">
        <v>5880</v>
      </c>
      <c r="D5850" t="s">
        <v>5869</v>
      </c>
      <c r="E5850" s="3" t="str">
        <f>HYPERLINK("https://www.amazon.com/Diablo-DMAMX1390-SDS-Max-4-Cutter-Carbide-Tipped/dp/B089KW6C8V/ref=sr_1_7?keywords=Diablo+Tools+DMAMXCC5030+3-1%2F4+in.+x+7+in.+SDS-Max+Carbide+Tipped+Core+Bit&amp;qid=1695174010&amp;sr=8-7", "https://www.amazon.com/Diablo-DMAMX1390-SDS-Max-4-Cutter-Carbide-Tipped/dp/B089KW6C8V/ref=sr_1_7?keywords=Diablo+Tools+DMAMXCC5030+3-1%2F4+in.+x+7+in.+SDS-Max+Carbide+Tipped+Core+Bit&amp;qid=1695174010&amp;sr=8-7")</f>
        <v>https://www.amazon.com/Diablo-DMAMX1390-SDS-Max-4-Cutter-Carbide-Tipped/dp/B089KW6C8V/ref=sr_1_7?keywords=Diablo+Tools+DMAMXCC5030+3-1%2F4+in.+x+7+in.+SDS-Max+Carbide+Tipped+Core+Bit&amp;qid=1695174010&amp;sr=8-7</v>
      </c>
      <c r="F5850" t="s">
        <v>5870</v>
      </c>
      <c r="G5850" t="e">
        <f ca="1">_xludf.IMAGE("https://edmondsonsupply.com/cdn/shop/files/gtygiwnduxetozty2qne.webp?v=1686585332")</f>
        <v>#NAME?</v>
      </c>
      <c r="H5850" t="e">
        <f ca="1">_xludf.IMAGE("https://m.media-amazon.com/images/I/61J-83UaGmL._AC_UL320_.jpg")</f>
        <v>#NAME?</v>
      </c>
      <c r="I5850" t="s">
        <v>5883</v>
      </c>
      <c r="J5850">
        <v>130.66999999999999</v>
      </c>
      <c r="K5850" s="4">
        <v>3.7100000000000001E-2</v>
      </c>
      <c r="L5850">
        <v>4.8</v>
      </c>
      <c r="M5850">
        <v>10</v>
      </c>
      <c r="O5850" t="s">
        <v>25</v>
      </c>
      <c r="P5850" t="s">
        <v>5884</v>
      </c>
      <c r="Q5850" t="s">
        <v>5885</v>
      </c>
    </row>
    <row r="5851" spans="1:17" ht="15.5" x14ac:dyDescent="0.35">
      <c r="A5851" s="3" t="str">
        <f>HYPERLINK("https://edmondsonsupply.com/collections/electricians-tools/products/klein-tools-70572-grip-it%C2%AE-ball-end-hex-set-5-key-metric-sizes", "https://edmondsonsupply.com/collections/electricians-tools/products/klein-tools-70572-grip-it%C2%AE-ball-end-hex-set-5-key-metric-sizes")</f>
        <v>https://edmondsonsupply.com/collections/electricians-tools/products/klein-tools-70572-grip-it%C2%AE-ball-end-hex-set-5-key-metric-sizes</v>
      </c>
      <c r="B5851" s="3" t="str">
        <f>HYPERLINK("https://edmondsonsupply.com/products/klein-tools-70572-grip-it%c2%ae-ball-end-hex-set-5-key-metric-sizes", "https://edmondsonsupply.com/products/klein-tools-70572-grip-it%c2%ae-ball-end-hex-set-5-key-metric-sizes")</f>
        <v>https://edmondsonsupply.com/products/klein-tools-70572-grip-it%c2%ae-ball-end-hex-set-5-key-metric-sizes</v>
      </c>
      <c r="C5851" t="s">
        <v>7794</v>
      </c>
      <c r="D5851" t="s">
        <v>7795</v>
      </c>
      <c r="E5851" s="3" t="str">
        <f>HYPERLINK("https://www.amazon.com/Klein-Tools-70571-Grip-Sizes/dp/B0002RI8P0/ref=sr_1_2?keywords=Klein+Tools+70572+Grip-It%C2%AE+Ball+End+Hex+Set%2C+5-Key%2C+Metric+Sizes&amp;qid=1695174191&amp;sr=8-2", "https://www.amazon.com/Klein-Tools-70571-Grip-Sizes/dp/B0002RI8P0/ref=sr_1_2?keywords=Klein+Tools+70572+Grip-It%C2%AE+Ball+End+Hex+Set%2C+5-Key%2C+Metric+Sizes&amp;qid=1695174191&amp;sr=8-2")</f>
        <v>https://www.amazon.com/Klein-Tools-70571-Grip-Sizes/dp/B0002RI8P0/ref=sr_1_2?keywords=Klein+Tools+70572+Grip-It%C2%AE+Ball+End+Hex+Set%2C+5-Key%2C+Metric+Sizes&amp;qid=1695174191&amp;sr=8-2</v>
      </c>
      <c r="F5851" t="s">
        <v>7796</v>
      </c>
      <c r="G5851" t="e">
        <f ca="1">_xludf.IMAGE("https://edmondsonsupply.com/cdn/shop/products/70572.jpg?v=1661198448")</f>
        <v>#NAME?</v>
      </c>
      <c r="H5851" t="e">
        <f ca="1">_xludf.IMAGE("https://m.media-amazon.com/images/I/51dn90ONbbL._AC_UL320_.jpg")</f>
        <v>#NAME?</v>
      </c>
      <c r="I5851" t="s">
        <v>3454</v>
      </c>
      <c r="J5851">
        <v>13.99</v>
      </c>
      <c r="K5851" s="4">
        <v>3.7100000000000001E-2</v>
      </c>
      <c r="L5851">
        <v>4.5999999999999996</v>
      </c>
      <c r="M5851">
        <v>159</v>
      </c>
      <c r="O5851" t="s">
        <v>25</v>
      </c>
      <c r="P5851" t="s">
        <v>7797</v>
      </c>
      <c r="Q5851" t="s">
        <v>7798</v>
      </c>
    </row>
    <row r="5852" spans="1:17" ht="15.5" x14ac:dyDescent="0.35">
      <c r="A5852"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5852"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5852" t="s">
        <v>6587</v>
      </c>
      <c r="D5852" t="s">
        <v>4912</v>
      </c>
      <c r="E5852" s="3" t="str">
        <f>HYPERLINK("https://www.amazon.com/Klein-Tools-NCVT2PKIT-Non-Contact-Application/dp/B08FPHS6HL/ref=sr_1_3?keywords=Klein+Tools+NCVT-2P+Dual+Range+Non-Contact+Voltage+Tester+12+-+1000V+AC&amp;qid=1695174301&amp;sr=8-3", "https://www.amazon.com/Klein-Tools-NCVT2PKIT-Non-Contact-Application/dp/B08FPHS6HL/ref=sr_1_3?keywords=Klein+Tools+NCVT-2P+Dual+Range+Non-Contact+Voltage+Tester+12+-+1000V+AC&amp;qid=1695174301&amp;sr=8-3")</f>
        <v>https://www.amazon.com/Klein-Tools-NCVT2PKIT-Non-Contact-Application/dp/B08FPHS6HL/ref=sr_1_3?keywords=Klein+Tools+NCVT-2P+Dual+Range+Non-Contact+Voltage+Tester+12+-+1000V+AC&amp;qid=1695174301&amp;sr=8-3</v>
      </c>
      <c r="F5852" t="s">
        <v>4913</v>
      </c>
      <c r="G5852" t="e">
        <f ca="1">_xludf.IMAGE("https://edmondsonsupply.com/cdn/shop/products/ncvt2p.jpg?v=1633030824")</f>
        <v>#NAME?</v>
      </c>
      <c r="H5852" t="e">
        <f ca="1">_xludf.IMAGE("https://m.media-amazon.com/images/I/511RscwJPxL._AC_UL320_.jpg")</f>
        <v>#NAME?</v>
      </c>
      <c r="I5852" t="s">
        <v>6588</v>
      </c>
      <c r="J5852">
        <v>28.99</v>
      </c>
      <c r="K5852" s="4">
        <v>3.6499999999999998E-2</v>
      </c>
      <c r="L5852">
        <v>4.8</v>
      </c>
      <c r="M5852">
        <v>3262</v>
      </c>
      <c r="O5852" t="s">
        <v>25</v>
      </c>
      <c r="P5852" t="s">
        <v>6589</v>
      </c>
      <c r="Q5852" t="s">
        <v>6590</v>
      </c>
    </row>
    <row r="5853" spans="1:17" ht="15.5" x14ac:dyDescent="0.35">
      <c r="A5853"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5853" s="3" t="str">
        <f>HYPERLINK("https://edmondsonsupply.com/products/klein-tools-31856-1-1-8-inch-carbide-hole-cutter", "https://edmondsonsupply.com/products/klein-tools-31856-1-1-8-inch-carbide-hole-cutter")</f>
        <v>https://edmondsonsupply.com/products/klein-tools-31856-1-1-8-inch-carbide-hole-cutter</v>
      </c>
      <c r="C5853" t="s">
        <v>6035</v>
      </c>
      <c r="D5853" t="s">
        <v>7799</v>
      </c>
      <c r="E5853" s="3" t="str">
        <f>HYPERLINK("https://www.amazon.com/36-303-8-Inch-Carbide-Tipped-Cutter/dp/B002BAZVTW/ref=sr_1_7?keywords=Klein+Tools+31856+1-1%2F8-Inch+Carbide+Hole+Cutter&amp;qid=1695174011&amp;sr=8-7", "https://www.amazon.com/36-303-8-Inch-Carbide-Tipped-Cutter/dp/B002BAZVTW/ref=sr_1_7?keywords=Klein+Tools+31856+1-1%2F8-Inch+Carbide+Hole+Cutter&amp;qid=1695174011&amp;sr=8-7")</f>
        <v>https://www.amazon.com/36-303-8-Inch-Carbide-Tipped-Cutter/dp/B002BAZVTW/ref=sr_1_7?keywords=Klein+Tools+31856+1-1%2F8-Inch+Carbide+Hole+Cutter&amp;qid=1695174011&amp;sr=8-7</v>
      </c>
      <c r="F5853" t="s">
        <v>7800</v>
      </c>
      <c r="G5853" t="e">
        <f ca="1">_xludf.IMAGE("https://edmondsonsupply.com/cdn/shop/files/31856.jpg?v=1685712345")</f>
        <v>#NAME?</v>
      </c>
      <c r="H5853" t="e">
        <f ca="1">_xludf.IMAGE("https://m.media-amazon.com/images/I/511IZF-o-tL._AC_UL320_.jpg")</f>
        <v>#NAME?</v>
      </c>
      <c r="I5853" t="s">
        <v>261</v>
      </c>
      <c r="J5853">
        <v>37.26</v>
      </c>
      <c r="K5853" s="4">
        <v>3.5299999999999998E-2</v>
      </c>
      <c r="L5853">
        <v>4.9000000000000004</v>
      </c>
      <c r="M5853">
        <v>32</v>
      </c>
      <c r="O5853" t="s">
        <v>25</v>
      </c>
      <c r="P5853" t="s">
        <v>6038</v>
      </c>
      <c r="Q5853" t="s">
        <v>6039</v>
      </c>
    </row>
    <row r="5854" spans="1:17" ht="15.5" x14ac:dyDescent="0.35">
      <c r="A5854"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5854"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5854" t="s">
        <v>6587</v>
      </c>
      <c r="D5854" t="s">
        <v>4914</v>
      </c>
      <c r="E5854" s="3" t="str">
        <f>HYPERLINK("https://www.amazon.com/Klein-Tools-NCVT-2-Standard-Protection/dp/B004FXJOQO/ref=sr_1_4?keywords=Klein+Tools+NCVT-2P+Dual+Range+Non-Contact+Voltage+Tester+12+-+1000V+AC&amp;qid=1695174301&amp;sr=8-4", "https://www.amazon.com/Klein-Tools-NCVT-2-Standard-Protection/dp/B004FXJOQO/ref=sr_1_4?keywords=Klein+Tools+NCVT-2P+Dual+Range+Non-Contact+Voltage+Tester+12+-+1000V+AC&amp;qid=1695174301&amp;sr=8-4")</f>
        <v>https://www.amazon.com/Klein-Tools-NCVT-2-Standard-Protection/dp/B004FXJOQO/ref=sr_1_4?keywords=Klein+Tools+NCVT-2P+Dual+Range+Non-Contact+Voltage+Tester+12+-+1000V+AC&amp;qid=1695174301&amp;sr=8-4</v>
      </c>
      <c r="F5854" t="s">
        <v>4915</v>
      </c>
      <c r="G5854" t="e">
        <f ca="1">_xludf.IMAGE("https://edmondsonsupply.com/cdn/shop/products/ncvt2p.jpg?v=1633030824")</f>
        <v>#NAME?</v>
      </c>
      <c r="H5854" t="e">
        <f ca="1">_xludf.IMAGE("https://m.media-amazon.com/images/I/514tywDAdHL._AC_UL320_.jpg")</f>
        <v>#NAME?</v>
      </c>
      <c r="I5854" t="s">
        <v>6588</v>
      </c>
      <c r="J5854">
        <v>28.95</v>
      </c>
      <c r="K5854" s="4">
        <v>3.5000000000000003E-2</v>
      </c>
      <c r="L5854">
        <v>4.5999999999999996</v>
      </c>
      <c r="M5854">
        <v>5762</v>
      </c>
      <c r="O5854" t="s">
        <v>25</v>
      </c>
      <c r="P5854" t="s">
        <v>6589</v>
      </c>
      <c r="Q5854" t="s">
        <v>6590</v>
      </c>
    </row>
    <row r="5855" spans="1:17" ht="15.5" x14ac:dyDescent="0.35">
      <c r="A5855" s="3" t="str">
        <f>HYPERLINK("https://edmondsonsupply.com/collections/electricians-tools/products/reed-mfg-dhr12-1-2npt-r12-drophead-1-2-npt", "https://edmondsonsupply.com/collections/electricians-tools/products/reed-mfg-dhr12-1-2npt-r12-drophead-1-2-npt")</f>
        <v>https://edmondsonsupply.com/collections/electricians-tools/products/reed-mfg-dhr12-1-2npt-r12-drophead-1-2-npt</v>
      </c>
      <c r="B5855" s="3" t="str">
        <f>HYPERLINK("https://edmondsonsupply.com/products/reed-mfg-dhr12-1-2npt-r12-drophead-1-2-npt", "https://edmondsonsupply.com/products/reed-mfg-dhr12-1-2npt-r12-drophead-1-2-npt")</f>
        <v>https://edmondsonsupply.com/products/reed-mfg-dhr12-1-2npt-r12-drophead-1-2-npt</v>
      </c>
      <c r="C5855" t="s">
        <v>7194</v>
      </c>
      <c r="D5855" t="s">
        <v>5250</v>
      </c>
      <c r="E5855" s="3" t="str">
        <f>HYPERLINK("https://www.amazon.com/Reed-Tool-DHR12-4NPT-Drophead/dp/B000ZH6R3M/ref=sr_1_fkmr1_1?keywords=Reed+Mfg+DHR12+1%2F2NPT+R12%2B+Drophead%2C+1%2F2%22+NPT&amp;qid=1695174269&amp;sr=8-1-fkmr1", "https://www.amazon.com/Reed-Tool-DHR12-4NPT-Drophead/dp/B000ZH6R3M/ref=sr_1_fkmr1_1?keywords=Reed+Mfg+DHR12+1%2F2NPT+R12%2B+Drophead%2C+1%2F2%22+NPT&amp;qid=1695174269&amp;sr=8-1-fkmr1")</f>
        <v>https://www.amazon.com/Reed-Tool-DHR12-4NPT-Drophead/dp/B000ZH6R3M/ref=sr_1_fkmr1_1?keywords=Reed+Mfg+DHR12+1%2F2NPT+R12%2B+Drophead%2C+1%2F2%22+NPT&amp;qid=1695174269&amp;sr=8-1-fkmr1</v>
      </c>
      <c r="F5855" t="s">
        <v>5251</v>
      </c>
      <c r="G5855" t="e">
        <f ca="1">_xludf.IMAGE("https://edmondsonsupply.com/cdn/shop/products/05626-DHR12-1-2NPT-RGB.jpg?v=1633031013")</f>
        <v>#NAME?</v>
      </c>
      <c r="H5855" t="e">
        <f ca="1">_xludf.IMAGE("https://m.media-amazon.com/images/I/51I4FIWUu7L._AC_UY218_.jpg")</f>
        <v>#NAME?</v>
      </c>
      <c r="I5855" t="s">
        <v>7197</v>
      </c>
      <c r="J5855">
        <v>125.3</v>
      </c>
      <c r="K5855" s="4">
        <v>3.4200000000000001E-2</v>
      </c>
      <c r="L5855">
        <v>1</v>
      </c>
      <c r="M5855">
        <v>1</v>
      </c>
      <c r="O5855" t="s">
        <v>25</v>
      </c>
      <c r="P5855" t="s">
        <v>7198</v>
      </c>
      <c r="Q5855" t="s">
        <v>7199</v>
      </c>
    </row>
    <row r="5856" spans="1:17" ht="15.5" x14ac:dyDescent="0.35">
      <c r="A5856" s="3" t="str">
        <f>HYPERLINK("https://edmondsonsupply.com/collections/electricians-tools/products/reed-mfg-dhr12-3-4npt-r12-drophead-3-4-npt", "https://edmondsonsupply.com/collections/electricians-tools/products/reed-mfg-dhr12-3-4npt-r12-drophead-3-4-npt")</f>
        <v>https://edmondsonsupply.com/collections/electricians-tools/products/reed-mfg-dhr12-3-4npt-r12-drophead-3-4-npt</v>
      </c>
      <c r="B5856" s="3" t="str">
        <f>HYPERLINK("https://edmondsonsupply.com/products/reed-mfg-dhr12-3-4npt-r12-drophead-3-4-npt", "https://edmondsonsupply.com/products/reed-mfg-dhr12-3-4npt-r12-drophead-3-4-npt")</f>
        <v>https://edmondsonsupply.com/products/reed-mfg-dhr12-3-4npt-r12-drophead-3-4-npt</v>
      </c>
      <c r="C5856" t="s">
        <v>7801</v>
      </c>
      <c r="D5856" t="s">
        <v>5250</v>
      </c>
      <c r="E5856" s="3" t="str">
        <f>HYPERLINK("https://www.amazon.com/Reed-Tool-DHR12-4NPT-Drophead/dp/B000ZH6R3M/ref=sr_1_1?keywords=Reed+Mfg+DHR12+3%2F4NPT+R12%2B+Drophead%2C+3%2F4%22+NPT&amp;qid=1695174268&amp;sr=8-1", "https://www.amazon.com/Reed-Tool-DHR12-4NPT-Drophead/dp/B000ZH6R3M/ref=sr_1_1?keywords=Reed+Mfg+DHR12+3%2F4NPT+R12%2B+Drophead%2C+3%2F4%22+NPT&amp;qid=1695174268&amp;sr=8-1")</f>
        <v>https://www.amazon.com/Reed-Tool-DHR12-4NPT-Drophead/dp/B000ZH6R3M/ref=sr_1_1?keywords=Reed+Mfg+DHR12+3%2F4NPT+R12%2B+Drophead%2C+3%2F4%22+NPT&amp;qid=1695174268&amp;sr=8-1</v>
      </c>
      <c r="F5856" t="s">
        <v>5251</v>
      </c>
      <c r="G5856" t="e">
        <f ca="1">_xludf.IMAGE("https://edmondsonsupply.com/cdn/shop/products/05628-DHR12-3-4NPT-RGB.jpg?v=1633031013")</f>
        <v>#NAME?</v>
      </c>
      <c r="H5856" t="e">
        <f ca="1">_xludf.IMAGE("https://m.media-amazon.com/images/I/51I4FIWUu7L._AC_UY218_.jpg")</f>
        <v>#NAME?</v>
      </c>
      <c r="I5856" t="s">
        <v>7197</v>
      </c>
      <c r="J5856">
        <v>125.3</v>
      </c>
      <c r="K5856" s="4">
        <v>3.4200000000000001E-2</v>
      </c>
      <c r="L5856">
        <v>1</v>
      </c>
      <c r="M5856">
        <v>1</v>
      </c>
      <c r="O5856" t="s">
        <v>25</v>
      </c>
      <c r="P5856" t="s">
        <v>7198</v>
      </c>
      <c r="Q5856" t="s">
        <v>7802</v>
      </c>
    </row>
    <row r="5857" spans="1:17" ht="15.5" x14ac:dyDescent="0.35">
      <c r="A5857" s="3" t="str">
        <f>HYPERLINK("https://edmondsonsupply.com/collections/electricians-tools/products/tajima-lc-650-rock-hard%C2%AE-utility-knife-dial-blade-lock-1x-rock-hard-blade", "https://edmondsonsupply.com/collections/electricians-tools/products/tajima-lc-650-rock-hard%C2%AE-utility-knife-dial-blade-lock-1x-rock-hard-blade")</f>
        <v>https://edmondsonsupply.com/collections/electricians-tools/products/tajima-lc-650-rock-hard%C2%AE-utility-knife-dial-blade-lock-1x-rock-hard-blade</v>
      </c>
      <c r="B5857" s="3" t="str">
        <f>HYPERLINK("https://edmondsonsupply.com/products/tajima-lc-650-rock-hard%c2%ae-utility-knife-dial-blade-lock-1x-rock-hard-blade", "https://edmondsonsupply.com/products/tajima-lc-650-rock-hard%c2%ae-utility-knife-dial-blade-lock-1x-rock-hard-blade")</f>
        <v>https://edmondsonsupply.com/products/tajima-lc-650-rock-hard%c2%ae-utility-knife-dial-blade-lock-1x-rock-hard-blade</v>
      </c>
      <c r="C5857" t="s">
        <v>7803</v>
      </c>
      <c r="D5857" t="s">
        <v>7804</v>
      </c>
      <c r="E5857" s="3" t="str">
        <f>HYPERLINK("https://www.amazon.com/Tajima-LC-650-Rock-Utility-Knife/dp/B0006HHWY4/ref=sr_1_1?keywords=Tajima+LC-650+Rock+Hard%C2%AE+Utility+Knife%2C+Dial+Blade+Lock%2C+1x+Rock+Hard+Blade&amp;qid=1695174258&amp;sr=8-1", "https://www.amazon.com/Tajima-LC-650-Rock-Utility-Knife/dp/B0006HHWY4/ref=sr_1_1?keywords=Tajima+LC-650+Rock+Hard%C2%AE+Utility+Knife%2C+Dial+Blade+Lock%2C+1x+Rock+Hard+Blade&amp;qid=1695174258&amp;sr=8-1")</f>
        <v>https://www.amazon.com/Tajima-LC-650-Rock-Utility-Knife/dp/B0006HHWY4/ref=sr_1_1?keywords=Tajima+LC-650+Rock+Hard%C2%AE+Utility+Knife%2C+Dial+Blade+Lock%2C+1x+Rock+Hard+Blade&amp;qid=1695174258&amp;sr=8-1</v>
      </c>
      <c r="F5857" t="s">
        <v>7805</v>
      </c>
      <c r="G5857" t="e">
        <f ca="1">_xludf.IMAGE("https://edmondsonsupply.com/cdn/shop/products/LC-650_s-2.jpg?v=1633031160")</f>
        <v>#NAME?</v>
      </c>
      <c r="H5857" t="e">
        <f ca="1">_xludf.IMAGE("https://m.media-amazon.com/images/I/61SMcIF7dlL._AC_UL320_.jpg")</f>
        <v>#NAME?</v>
      </c>
      <c r="I5857" t="s">
        <v>7806</v>
      </c>
      <c r="J5857">
        <v>12.5</v>
      </c>
      <c r="K5857" s="4">
        <v>3.39E-2</v>
      </c>
      <c r="L5857">
        <v>4.8</v>
      </c>
      <c r="M5857">
        <v>318</v>
      </c>
      <c r="O5857" t="s">
        <v>25</v>
      </c>
      <c r="P5857" t="s">
        <v>138</v>
      </c>
      <c r="Q5857" t="s">
        <v>7807</v>
      </c>
    </row>
    <row r="5858" spans="1:17" ht="15.5" x14ac:dyDescent="0.35">
      <c r="A5858"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5858" s="3" t="str">
        <f>HYPERLINK("https://edmondsonsupply.com/products/klein-tools-44005c-hawkbill-lockback-knife-with-clip", "https://edmondsonsupply.com/products/klein-tools-44005c-hawkbill-lockback-knife-with-clip")</f>
        <v>https://edmondsonsupply.com/products/klein-tools-44005c-hawkbill-lockback-knife-with-clip</v>
      </c>
      <c r="C5858" t="s">
        <v>7808</v>
      </c>
      <c r="D5858" t="s">
        <v>7809</v>
      </c>
      <c r="E5858" s="3" t="str">
        <f>HYPERLINK("https://www.amazon.com/Klein-Tools-Hawkbill-Lockback-Round/dp/B082PKQRKT/ref=sr_1_2?keywords=Klein+Tools+44005C+Hawkbill+Lockback+Knife+with+Clip&amp;qid=1695174149&amp;sr=8-2", "https://www.amazon.com/Klein-Tools-Hawkbill-Lockback-Round/dp/B082PKQRKT/ref=sr_1_2?keywords=Klein+Tools+44005C+Hawkbill+Lockback+Knife+with+Clip&amp;qid=1695174149&amp;sr=8-2")</f>
        <v>https://www.amazon.com/Klein-Tools-Hawkbill-Lockback-Round/dp/B082PKQRKT/ref=sr_1_2?keywords=Klein+Tools+44005C+Hawkbill+Lockback+Knife+with+Clip&amp;qid=1695174149&amp;sr=8-2</v>
      </c>
      <c r="F5858" t="s">
        <v>7810</v>
      </c>
      <c r="G5858" t="e">
        <f ca="1">_xludf.IMAGE("https://edmondsonsupply.com/cdn/shop/products/44005c.jpg?v=1664810854")</f>
        <v>#NAME?</v>
      </c>
      <c r="H5858" t="e">
        <f ca="1">_xludf.IMAGE("https://m.media-amazon.com/images/I/512+ClgLcNL._AC_UL320_.jpg")</f>
        <v>#NAME?</v>
      </c>
      <c r="I5858" t="s">
        <v>1931</v>
      </c>
      <c r="J5858">
        <v>51.64</v>
      </c>
      <c r="K5858" s="4">
        <v>3.3000000000000002E-2</v>
      </c>
      <c r="L5858">
        <v>5</v>
      </c>
      <c r="M5858">
        <v>1</v>
      </c>
      <c r="O5858" t="s">
        <v>25</v>
      </c>
      <c r="P5858" t="s">
        <v>7811</v>
      </c>
      <c r="Q5858" t="s">
        <v>7812</v>
      </c>
    </row>
    <row r="5859" spans="1:17" ht="15.5" x14ac:dyDescent="0.35">
      <c r="A5859" s="3" t="str">
        <f>HYPERLINK("https://edmondsonsupply.com/collections/electricians-tools/products/fluke-377-fc-non-contact-voltage-true-rms-ac-dc-clamp-meter-with-iflex", "https://edmondsonsupply.com/collections/electricians-tools/products/fluke-377-fc-non-contact-voltage-true-rms-ac-dc-clamp-meter-with-iflex")</f>
        <v>https://edmondsonsupply.com/collections/electricians-tools/products/fluke-377-fc-non-contact-voltage-true-rms-ac-dc-clamp-meter-with-iflex</v>
      </c>
      <c r="B5859" s="3" t="str">
        <f>HYPERLINK("https://edmondsonsupply.com/products/fluke-377-fc-non-contact-voltage-true-rms-ac-dc-clamp-meter-with-iflex", "https://edmondsonsupply.com/products/fluke-377-fc-non-contact-voltage-true-rms-ac-dc-clamp-meter-with-iflex")</f>
        <v>https://edmondsonsupply.com/products/fluke-377-fc-non-contact-voltage-true-rms-ac-dc-clamp-meter-with-iflex</v>
      </c>
      <c r="C5859" t="s">
        <v>7466</v>
      </c>
      <c r="D5859" t="s">
        <v>3767</v>
      </c>
      <c r="E5859" s="3" t="str">
        <f>HYPERLINK("https://www.amazon.com/Fluke-376-FC-NIST-Traceable-Calibration-Certificate/dp/B01CFXIMOU/ref=sr_1_5?keywords=Fluke+377+FC+Non-Contact+Voltage+True-RMS+AC%2FDC+Clamp+Meter+with+iFlex&amp;qid=1695174253&amp;sr=8-5", "https://www.amazon.com/Fluke-376-FC-NIST-Traceable-Calibration-Certificate/dp/B01CFXIMOU/ref=sr_1_5?keywords=Fluke+377+FC+Non-Contact+Voltage+True-RMS+AC%2FDC+Clamp+Meter+with+iFlex&amp;qid=1695174253&amp;sr=8-5")</f>
        <v>https://www.amazon.com/Fluke-376-FC-NIST-Traceable-Calibration-Certificate/dp/B01CFXIMOU/ref=sr_1_5?keywords=Fluke+377+FC+Non-Contact+Voltage+True-RMS+AC%2FDC+Clamp+Meter+with+iFlex&amp;qid=1695174253&amp;sr=8-5</v>
      </c>
      <c r="F5859" t="s">
        <v>3768</v>
      </c>
      <c r="G5859" t="e">
        <f ca="1">_xludf.IMAGE("https://edmondsonsupply.com/cdn/shop/products/377_FC_72dpi_499x1024px_E_NR-27677.jpg?v=1633031119")</f>
        <v>#NAME?</v>
      </c>
      <c r="H5859" t="e">
        <f ca="1">_xludf.IMAGE("https://m.media-amazon.com/images/I/81SZ2OCx2VL._AC_UL320_.jpg")</f>
        <v>#NAME?</v>
      </c>
      <c r="I5859" t="s">
        <v>7467</v>
      </c>
      <c r="J5859">
        <v>659.99</v>
      </c>
      <c r="K5859" s="4">
        <v>3.1399999999999997E-2</v>
      </c>
      <c r="L5859">
        <v>4.5999999999999996</v>
      </c>
      <c r="M5859">
        <v>21</v>
      </c>
      <c r="O5859" t="s">
        <v>171</v>
      </c>
      <c r="P5859" t="s">
        <v>7468</v>
      </c>
      <c r="Q5859" t="s">
        <v>7469</v>
      </c>
    </row>
    <row r="5860" spans="1:17" ht="15.5" x14ac:dyDescent="0.35">
      <c r="A5860" s="3" t="str">
        <f>HYPERLINK("https://edmondsonsupply.com/collections/electricians-tools/products/diablo-tools-d0424x-4-1-2-in-x-24-tooth-framing-trim-saw-blade", "https://edmondsonsupply.com/collections/electricians-tools/products/diablo-tools-d0424x-4-1-2-in-x-24-tooth-framing-trim-saw-blade")</f>
        <v>https://edmondsonsupply.com/collections/electricians-tools/products/diablo-tools-d0424x-4-1-2-in-x-24-tooth-framing-trim-saw-blade</v>
      </c>
      <c r="B5860" s="3" t="str">
        <f>HYPERLINK("https://edmondsonsupply.com/products/diablo-tools-d0424x-4-1-2-in-x-24-tooth-framing-trim-saw-blade", "https://edmondsonsupply.com/products/diablo-tools-d0424x-4-1-2-in-x-24-tooth-framing-trim-saw-blade")</f>
        <v>https://edmondsonsupply.com/products/diablo-tools-d0424x-4-1-2-in-x-24-tooth-framing-trim-saw-blade</v>
      </c>
      <c r="C5860" t="s">
        <v>7740</v>
      </c>
      <c r="D5860" t="s">
        <v>7813</v>
      </c>
      <c r="E5860" s="3" t="str">
        <f>HYPERLINK("https://www.amazon.com/Freud-D0436X-Cordless-20-Millimeter-Reducer/dp/B0002TUFAO/ref=sr_1_1?keywords=Diablo+Tools+D0424X+4-1%2F2+in.+x+24+Tooth+Framing+Trim+Saw+Blade&amp;qid=1695174057&amp;sr=8-1", "https://www.amazon.com/Freud-D0436X-Cordless-20-Millimeter-Reducer/dp/B0002TUFAO/ref=sr_1_1?keywords=Diablo+Tools+D0424X+4-1%2F2+in.+x+24+Tooth+Framing+Trim+Saw+Blade&amp;qid=1695174057&amp;sr=8-1")</f>
        <v>https://www.amazon.com/Freud-D0436X-Cordless-20-Millimeter-Reducer/dp/B0002TUFAO/ref=sr_1_1?keywords=Diablo+Tools+D0424X+4-1%2F2+in.+x+24+Tooth+Framing+Trim+Saw+Blade&amp;qid=1695174057&amp;sr=8-1</v>
      </c>
      <c r="F5860" t="s">
        <v>7814</v>
      </c>
      <c r="G5860" t="e">
        <f ca="1">_xludf.IMAGE("https://edmondsonsupply.com/cdn/shop/products/kscyqpb4khjcxmaeciqc.webp?v=1679327311")</f>
        <v>#NAME?</v>
      </c>
      <c r="H5860" t="e">
        <f ca="1">_xludf.IMAGE("https://m.media-amazon.com/images/I/81ODrvwzTbL._AC_UL320_.jpg")</f>
        <v>#NAME?</v>
      </c>
      <c r="I5860" t="s">
        <v>2784</v>
      </c>
      <c r="J5860">
        <v>15.43</v>
      </c>
      <c r="K5860" s="4">
        <v>3.0700000000000002E-2</v>
      </c>
      <c r="L5860">
        <v>4.7</v>
      </c>
      <c r="M5860">
        <v>1258</v>
      </c>
      <c r="O5860" t="s">
        <v>25</v>
      </c>
      <c r="P5860" t="s">
        <v>7743</v>
      </c>
      <c r="Q5860" t="s">
        <v>7744</v>
      </c>
    </row>
    <row r="5861" spans="1:17" ht="15.5" x14ac:dyDescent="0.35">
      <c r="A5861"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5861" s="3" t="str">
        <f>HYPERLINK("https://edmondsonsupply.com/products/diablo-tools-dag1110-7-8-in-x-7-1-2-in-auger-bit", "https://edmondsonsupply.com/products/diablo-tools-dag1110-7-8-in-x-7-1-2-in-auger-bit")</f>
        <v>https://edmondsonsupply.com/products/diablo-tools-dag1110-7-8-in-x-7-1-2-in-auger-bit</v>
      </c>
      <c r="C5861" t="s">
        <v>6839</v>
      </c>
      <c r="D5861" t="s">
        <v>4870</v>
      </c>
      <c r="E5861" s="3" t="str">
        <f>HYPERLINK("https://www.amazon.com/Diablo-Freud-DAG1090-7-1-Auger/dp/B089KW4S6Y/ref=sr_1_4?keywords=Diablo+Tools+DAG1110+7%2F8+in.+x+7-1%2F2+in.+Auger+Bit&amp;qid=1695174030&amp;sr=8-4", "https://www.amazon.com/Diablo-Freud-DAG1090-7-1-Auger/dp/B089KW4S6Y/ref=sr_1_4?keywords=Diablo+Tools+DAG1110+7%2F8+in.+x+7-1%2F2+in.+Auger+Bit&amp;qid=1695174030&amp;sr=8-4")</f>
        <v>https://www.amazon.com/Diablo-Freud-DAG1090-7-1-Auger/dp/B089KW4S6Y/ref=sr_1_4?keywords=Diablo+Tools+DAG1110+7%2F8+in.+x+7-1%2F2+in.+Auger+Bit&amp;qid=1695174030&amp;sr=8-4</v>
      </c>
      <c r="F5861" t="s">
        <v>4871</v>
      </c>
      <c r="G5861" t="e">
        <f ca="1">_xludf.IMAGE("https://edmondsonsupply.com/cdn/shop/products/yel7mbaiyy08ii0assd5.webp?v=1680187136")</f>
        <v>#NAME?</v>
      </c>
      <c r="H5861" t="e">
        <f ca="1">_xludf.IMAGE("https://m.media-amazon.com/images/I/61wiLPAG21L._AC_UL320_.jpg")</f>
        <v>#NAME?</v>
      </c>
      <c r="I5861" t="s">
        <v>4985</v>
      </c>
      <c r="J5861">
        <v>17.489999999999998</v>
      </c>
      <c r="K5861" s="4">
        <v>3.0599999999999999E-2</v>
      </c>
      <c r="L5861">
        <v>4.4000000000000004</v>
      </c>
      <c r="M5861">
        <v>35</v>
      </c>
      <c r="O5861" t="s">
        <v>25</v>
      </c>
      <c r="P5861" t="s">
        <v>6840</v>
      </c>
      <c r="Q5861" t="s">
        <v>6841</v>
      </c>
    </row>
    <row r="5862" spans="1:17" ht="15.5" x14ac:dyDescent="0.35">
      <c r="A5862"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5862"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5862" t="s">
        <v>6321</v>
      </c>
      <c r="D5862" t="s">
        <v>7815</v>
      </c>
      <c r="E5862" s="3" t="str">
        <f>HYPERLINK("https://www.amazon.com/2880-20-Milwaukee-Grinder-Paddle-No-Lock/dp/B0C1BWXP7W/ref=sr_1_2?keywords=Milwaukee+2880-20+M18+FUEL%E2%84%A2+4-1%2F2%22+%2F+5%22+Grinder+Paddle+Switch%2C+No-Lock&amp;qid=1695174165&amp;sr=8-2", "https://www.amazon.com/2880-20-Milwaukee-Grinder-Paddle-No-Lock/dp/B0C1BWXP7W/ref=sr_1_2?keywords=Milwaukee+2880-20+M18+FUEL%E2%84%A2+4-1%2F2%22+%2F+5%22+Grinder+Paddle+Switch%2C+No-Lock&amp;qid=1695174165&amp;sr=8-2")</f>
        <v>https://www.amazon.com/2880-20-Milwaukee-Grinder-Paddle-No-Lock/dp/B0C1BWXP7W/ref=sr_1_2?keywords=Milwaukee+2880-20+M18+FUEL%E2%84%A2+4-1%2F2%22+%2F+5%22+Grinder+Paddle+Switch%2C+No-Lock&amp;qid=1695174165&amp;sr=8-2</v>
      </c>
      <c r="F5862" t="s">
        <v>7816</v>
      </c>
      <c r="G5862" t="e">
        <f ca="1">_xludf.IMAGE("https://edmondsonsupply.com/cdn/shop/products/2880-20_1.webp?v=1661698933")</f>
        <v>#NAME?</v>
      </c>
      <c r="H5862" t="e">
        <f ca="1">_xludf.IMAGE("https://m.media-amazon.com/images/I/611hF2k6v8L._AC_UL320_.jpg")</f>
        <v>#NAME?</v>
      </c>
      <c r="I5862" t="s">
        <v>715</v>
      </c>
      <c r="J5862">
        <v>205</v>
      </c>
      <c r="K5862" s="4">
        <v>3.0200000000000001E-2</v>
      </c>
      <c r="L5862">
        <v>3</v>
      </c>
      <c r="M5862">
        <v>1</v>
      </c>
      <c r="O5862" t="s">
        <v>25</v>
      </c>
      <c r="P5862" t="s">
        <v>4885</v>
      </c>
      <c r="Q5862" t="s">
        <v>6324</v>
      </c>
    </row>
    <row r="5863" spans="1:17" ht="15.5" x14ac:dyDescent="0.35">
      <c r="A5863" s="3" t="str">
        <f>HYPERLINK("https://edmondsonsupply.com/collections/electricians-tools/products/klein-tools-50351-steel-fish-tape-swivel-eyelet", "https://edmondsonsupply.com/collections/electricians-tools/products/klein-tools-50351-steel-fish-tape-swivel-eyelet")</f>
        <v>https://edmondsonsupply.com/collections/electricians-tools/products/klein-tools-50351-steel-fish-tape-swivel-eyelet</v>
      </c>
      <c r="B5863" s="3" t="str">
        <f>HYPERLINK("https://edmondsonsupply.com/products/klein-tools-50351-steel-fish-tape-swivel-eyelet", "https://edmondsonsupply.com/products/klein-tools-50351-steel-fish-tape-swivel-eyelet")</f>
        <v>https://edmondsonsupply.com/products/klein-tools-50351-steel-fish-tape-swivel-eyelet</v>
      </c>
      <c r="C5863" t="s">
        <v>7817</v>
      </c>
      <c r="D5863" t="s">
        <v>7818</v>
      </c>
      <c r="E5863" s="3" t="str">
        <f>HYPERLINK("https://www.amazon.com/Swivel-Flat-Steel-Klein-Tools-50351/dp/B0002RI5QW/ref=sr_1_1?keywords=Klein+Tools+50351+Steel+Fish+Tape+Swivel+Eyelet&amp;qid=1695174226&amp;sr=8-1", "https://www.amazon.com/Swivel-Flat-Steel-Klein-Tools-50351/dp/B0002RI5QW/ref=sr_1_1?keywords=Klein+Tools+50351+Steel+Fish+Tape+Swivel+Eyelet&amp;qid=1695174226&amp;sr=8-1")</f>
        <v>https://www.amazon.com/Swivel-Flat-Steel-Klein-Tools-50351/dp/B0002RI5QW/ref=sr_1_1?keywords=Klein+Tools+50351+Steel+Fish+Tape+Swivel+Eyelet&amp;qid=1695174226&amp;sr=8-1</v>
      </c>
      <c r="F5863" t="s">
        <v>7819</v>
      </c>
      <c r="G5863" t="e">
        <f ca="1">_xludf.IMAGE("https://edmondsonsupply.com/cdn/shop/products/50351.jpg?v=1641776718")</f>
        <v>#NAME?</v>
      </c>
      <c r="H5863" t="e">
        <f ca="1">_xludf.IMAGE("https://m.media-amazon.com/images/I/51gRwx9DMzL._AC_UL320_.jpg")</f>
        <v>#NAME?</v>
      </c>
      <c r="I5863" t="s">
        <v>276</v>
      </c>
      <c r="J5863">
        <v>15.43</v>
      </c>
      <c r="K5863" s="4">
        <v>2.9399999999999999E-2</v>
      </c>
      <c r="L5863">
        <v>4.4000000000000004</v>
      </c>
      <c r="M5863">
        <v>31</v>
      </c>
      <c r="O5863" t="s">
        <v>171</v>
      </c>
      <c r="P5863" t="s">
        <v>7820</v>
      </c>
      <c r="Q5863" t="s">
        <v>7821</v>
      </c>
    </row>
    <row r="5864" spans="1:17" ht="15.5" x14ac:dyDescent="0.35">
      <c r="A5864" s="3" t="str">
        <f>HYPERLINK("https://edmondsonsupply.com/collections/electricians-tools/products/klein-tools-jth6m6be-6-mm-ball-end-hex-key-journeyman%E2%84%A2-t-handle-6-inch", "https://edmondsonsupply.com/collections/electricians-tools/products/klein-tools-jth6m6be-6-mm-ball-end-hex-key-journeyman%E2%84%A2-t-handle-6-inch")</f>
        <v>https://edmondsonsupply.com/collections/electricians-tools/products/klein-tools-jth6m6be-6-mm-ball-end-hex-key-journeyman%E2%84%A2-t-handle-6-inch</v>
      </c>
      <c r="B5864" s="3" t="str">
        <f>HYPERLINK("https://edmondsonsupply.com/products/klein-tools-jth6m6be-6-mm-ball-end-hex-key-journeyman%e2%84%a2-t-handle-6-inch", "https://edmondsonsupply.com/products/klein-tools-jth6m6be-6-mm-ball-end-hex-key-journeyman%e2%84%a2-t-handle-6-inch")</f>
        <v>https://edmondsonsupply.com/products/klein-tools-jth6m6be-6-mm-ball-end-hex-key-journeyman%e2%84%a2-t-handle-6-inch</v>
      </c>
      <c r="C5864" t="s">
        <v>6463</v>
      </c>
      <c r="D5864" t="s">
        <v>7444</v>
      </c>
      <c r="E5864" s="3" t="str">
        <f>HYPERLINK("https://www.amazon.com/Journeyman-T-Handle-Klein-Tools-JTH6E12BE/dp/B004QW74L6/ref=sr_1_4?keywords=Klein+Tools+JTH6M6BE+6+mm+Ball-End+Hex+Key%2C+Journeyman%E2%84%A2+T-Handle%2C+6-Inch&amp;qid=1695174142&amp;sr=8-4", "https://www.amazon.com/Journeyman-T-Handle-Klein-Tools-JTH6E12BE/dp/B004QW74L6/ref=sr_1_4?keywords=Klein+Tools+JTH6M6BE+6+mm+Ball-End+Hex+Key%2C+Journeyman%E2%84%A2+T-Handle%2C+6-Inch&amp;qid=1695174142&amp;sr=8-4")</f>
        <v>https://www.amazon.com/Journeyman-T-Handle-Klein-Tools-JTH6E12BE/dp/B004QW74L6/ref=sr_1_4?keywords=Klein+Tools+JTH6M6BE+6+mm+Ball-End+Hex+Key%2C+Journeyman%E2%84%A2+T-Handle%2C+6-Inch&amp;qid=1695174142&amp;sr=8-4</v>
      </c>
      <c r="F5864" t="s">
        <v>7445</v>
      </c>
      <c r="G5864" t="e">
        <f ca="1">_xludf.IMAGE("https://edmondsonsupply.com/cdn/shop/products/jth6m8be_8608088e-2ec0-429e-80d7-5bd927a3a1b6.jpg?v=1666111557")</f>
        <v>#NAME?</v>
      </c>
      <c r="H5864" t="e">
        <f ca="1">_xludf.IMAGE("https://m.media-amazon.com/images/I/51f9vBFVXgL._AC_UL320_.jpg")</f>
        <v>#NAME?</v>
      </c>
      <c r="I5864" t="s">
        <v>2639</v>
      </c>
      <c r="J5864">
        <v>6.15</v>
      </c>
      <c r="K5864" s="4">
        <v>2.6700000000000002E-2</v>
      </c>
      <c r="L5864">
        <v>4.5</v>
      </c>
      <c r="M5864">
        <v>9</v>
      </c>
      <c r="O5864" t="s">
        <v>25</v>
      </c>
      <c r="P5864" t="s">
        <v>6464</v>
      </c>
      <c r="Q5864" t="s">
        <v>6465</v>
      </c>
    </row>
    <row r="5865" spans="1:17" ht="15.5" x14ac:dyDescent="0.35">
      <c r="A5865"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5865"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5865" t="s">
        <v>6587</v>
      </c>
      <c r="D5865" t="s">
        <v>7822</v>
      </c>
      <c r="E5865" s="3" t="str">
        <f>HYPERLINK("https://www.amazon.com/Klein-Tools-NCVT3P-Flashlight-Protection/dp/B08DQMX7YF/ref=sr_1_2?keywords=Klein+Tools+NCVT-2P+Dual+Range+Non-Contact+Voltage+Tester+12+-+1000V+AC&amp;qid=1695174301&amp;sr=8-2", "https://www.amazon.com/Klein-Tools-NCVT3P-Flashlight-Protection/dp/B08DQMX7YF/ref=sr_1_2?keywords=Klein+Tools+NCVT-2P+Dual+Range+Non-Contact+Voltage+Tester+12+-+1000V+AC&amp;qid=1695174301&amp;sr=8-2")</f>
        <v>https://www.amazon.com/Klein-Tools-NCVT3P-Flashlight-Protection/dp/B08DQMX7YF/ref=sr_1_2?keywords=Klein+Tools+NCVT-2P+Dual+Range+Non-Contact+Voltage+Tester+12+-+1000V+AC&amp;qid=1695174301&amp;sr=8-2</v>
      </c>
      <c r="F5865" t="s">
        <v>7823</v>
      </c>
      <c r="G5865" t="e">
        <f ca="1">_xludf.IMAGE("https://edmondsonsupply.com/cdn/shop/products/ncvt2p.jpg?v=1633030824")</f>
        <v>#NAME?</v>
      </c>
      <c r="H5865" t="e">
        <f ca="1">_xludf.IMAGE("https://m.media-amazon.com/images/I/516VUtyWXRL._AC_UL320_.jpg")</f>
        <v>#NAME?</v>
      </c>
      <c r="I5865" t="s">
        <v>6588</v>
      </c>
      <c r="J5865">
        <v>28.71</v>
      </c>
      <c r="K5865" s="4">
        <v>2.6499999999999999E-2</v>
      </c>
      <c r="L5865">
        <v>4.7</v>
      </c>
      <c r="M5865">
        <v>4231</v>
      </c>
      <c r="O5865" t="s">
        <v>25</v>
      </c>
      <c r="P5865" t="s">
        <v>6589</v>
      </c>
      <c r="Q5865" t="s">
        <v>6590</v>
      </c>
    </row>
    <row r="5866" spans="1:17" ht="15.5" x14ac:dyDescent="0.35">
      <c r="A5866"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5866" s="3" t="str">
        <f>HYPERLINK("https://edmondsonsupply.com/products/klein-tools-32535-10-in-1-10-fold-screwdriver-nut-driver", "https://edmondsonsupply.com/products/klein-tools-32535-10-in-1-10-fold-screwdriver-nut-driver")</f>
        <v>https://edmondsonsupply.com/products/klein-tools-32535-10-in-1-10-fold-screwdriver-nut-driver</v>
      </c>
      <c r="C5866" t="s">
        <v>4368</v>
      </c>
      <c r="D5866" t="s">
        <v>4369</v>
      </c>
      <c r="E5866" s="3" t="str">
        <f>HYPERLINK("https://www.amazon.com/Klein-Tools-10-Fold-Screwdriver-Schrader/dp/B007OX62QM/ref=sr_1_8?keywords=Klein+Tools+32535+10-in-1+10+Fold+Screwdriver+%2F+Nut+Driver&amp;qid=1695173914&amp;sr=8-8", "https://www.amazon.com/Klein-Tools-10-Fold-Screwdriver-Schrader/dp/B007OX62QM/ref=sr_1_8?keywords=Klein+Tools+32535+10-in-1+10+Fold+Screwdriver+%2F+Nut+Driver&amp;qid=1695173914&amp;sr=8-8")</f>
        <v>https://www.amazon.com/Klein-Tools-10-Fold-Screwdriver-Schrader/dp/B007OX62QM/ref=sr_1_8?keywords=Klein+Tools+32535+10-in-1+10+Fold+Screwdriver+%2F+Nut+Driver&amp;qid=1695173914&amp;sr=8-8</v>
      </c>
      <c r="F5866" t="s">
        <v>4370</v>
      </c>
      <c r="G5866" t="e">
        <f ca="1">_xludf.IMAGE("https://edmondsonsupply.com/cdn/shop/products/32535.jpg?v=1633030894")</f>
        <v>#NAME?</v>
      </c>
      <c r="H5866" t="e">
        <f ca="1">_xludf.IMAGE("https://m.media-amazon.com/images/I/51VSZEBhlgL._AC_UL320_.jpg")</f>
        <v>#NAME?</v>
      </c>
      <c r="I5866" t="s">
        <v>26</v>
      </c>
      <c r="J5866">
        <v>30.78</v>
      </c>
      <c r="K5866" s="4">
        <v>2.63E-2</v>
      </c>
      <c r="L5866">
        <v>4.5999999999999996</v>
      </c>
      <c r="M5866">
        <v>153</v>
      </c>
      <c r="O5866" t="s">
        <v>25</v>
      </c>
      <c r="P5866" t="s">
        <v>4371</v>
      </c>
      <c r="Q5866" t="s">
        <v>4372</v>
      </c>
    </row>
    <row r="5867" spans="1:17" ht="15.5" x14ac:dyDescent="0.35">
      <c r="A5867"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5867"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5867" t="s">
        <v>7824</v>
      </c>
      <c r="D5867" t="s">
        <v>4234</v>
      </c>
      <c r="E5867" s="3" t="str">
        <f>HYPERLINK("https://www.amazon.com/Klein-Tools-J2000-48-Diagonal-Cutters/dp/B0006M6Y8O/ref=sr_1_4?keywords=Klein+Tools+D2000-49+Diagonal+Cutting+Pliers%2C+Angled+Head%2C+9-Inch&amp;qid=1695174302&amp;sr=8-4", "https://www.amazon.com/Klein-Tools-J2000-48-Diagonal-Cutters/dp/B0006M6Y8O/ref=sr_1_4?keywords=Klein+Tools+D2000-49+Diagonal+Cutting+Pliers%2C+Angled+Head%2C+9-Inch&amp;qid=1695174302&amp;sr=8-4")</f>
        <v>https://www.amazon.com/Klein-Tools-J2000-48-Diagonal-Cutters/dp/B0006M6Y8O/ref=sr_1_4?keywords=Klein+Tools+D2000-49+Diagonal+Cutting+Pliers%2C+Angled+Head%2C+9-Inch&amp;qid=1695174302&amp;sr=8-4</v>
      </c>
      <c r="F5867" t="s">
        <v>4235</v>
      </c>
      <c r="G5867" t="e">
        <f ca="1">_xludf.IMAGE("https://edmondsonsupply.com/cdn/shop/products/d2000-49.jpg?v=1633030811")</f>
        <v>#NAME?</v>
      </c>
      <c r="H5867" t="e">
        <f ca="1">_xludf.IMAGE("https://m.media-amazon.com/images/I/41ZnJLE+YFL._AC_UL320_.jpg")</f>
        <v>#NAME?</v>
      </c>
      <c r="I5867" t="s">
        <v>3930</v>
      </c>
      <c r="J5867">
        <v>39.99</v>
      </c>
      <c r="K5867" s="4">
        <v>2.5600000000000001E-2</v>
      </c>
      <c r="L5867">
        <v>4.8</v>
      </c>
      <c r="M5867">
        <v>1554</v>
      </c>
      <c r="O5867" t="s">
        <v>25</v>
      </c>
      <c r="P5867" t="s">
        <v>7825</v>
      </c>
      <c r="Q5867" t="s">
        <v>7826</v>
      </c>
    </row>
    <row r="5868" spans="1:17" ht="15.5" x14ac:dyDescent="0.35">
      <c r="A5868" s="3" t="str">
        <f>HYPERLINK("https://edmondsonsupply.com/collections/electricians-tools/products/klein-tools-66078-flip-impact-socket-adapter-large-1-2-to-1-2-inch", "https://edmondsonsupply.com/collections/electricians-tools/products/klein-tools-66078-flip-impact-socket-adapter-large-1-2-to-1-2-inch")</f>
        <v>https://edmondsonsupply.com/collections/electricians-tools/products/klein-tools-66078-flip-impact-socket-adapter-large-1-2-to-1-2-inch</v>
      </c>
      <c r="B5868" s="3" t="str">
        <f>HYPERLINK("https://edmondsonsupply.com/products/klein-tools-66078-flip-impact-socket-adapter-large-1-2-to-1-2-inch", "https://edmondsonsupply.com/products/klein-tools-66078-flip-impact-socket-adapter-large-1-2-to-1-2-inch")</f>
        <v>https://edmondsonsupply.com/products/klein-tools-66078-flip-impact-socket-adapter-large-1-2-to-1-2-inch</v>
      </c>
      <c r="C5868" t="s">
        <v>6125</v>
      </c>
      <c r="D5868" t="s">
        <v>7234</v>
      </c>
      <c r="E5868" s="3" t="str">
        <f>HYPERLINK("https://www.amazon.com/Klein-Tools-66079-Impact-Adapter/dp/B0B33WGYX5/ref=sr_1_2?keywords=Klein+Tools+66078+Flip+Impact+Socket+Adapter%2C+Large%2C+1%2F2+to+1%2F2-Inch&amp;qid=1695174159&amp;sr=8-2", "https://www.amazon.com/Klein-Tools-66079-Impact-Adapter/dp/B0B33WGYX5/ref=sr_1_2?keywords=Klein+Tools+66078+Flip+Impact+Socket+Adapter%2C+Large%2C+1%2F2+to+1%2F2-Inch&amp;qid=1695174159&amp;sr=8-2")</f>
        <v>https://www.amazon.com/Klein-Tools-66079-Impact-Adapter/dp/B0B33WGYX5/ref=sr_1_2?keywords=Klein+Tools+66078+Flip+Impact+Socket+Adapter%2C+Large%2C+1%2F2+to+1%2F2-Inch&amp;qid=1695174159&amp;sr=8-2</v>
      </c>
      <c r="F5868" t="s">
        <v>7235</v>
      </c>
      <c r="G5868" t="e">
        <f ca="1">_xludf.IMAGE("https://edmondsonsupply.com/cdn/shop/products/66078.jpg?v=1674145294")</f>
        <v>#NAME?</v>
      </c>
      <c r="H5868" t="e">
        <f ca="1">_xludf.IMAGE("https://m.media-amazon.com/images/I/41eZRUf3qGL._AC_UL320_.jpg")</f>
        <v>#NAME?</v>
      </c>
      <c r="I5868" t="s">
        <v>6128</v>
      </c>
      <c r="J5868">
        <v>9.6</v>
      </c>
      <c r="K5868" s="4">
        <v>2.5600000000000001E-2</v>
      </c>
      <c r="L5868">
        <v>3.8</v>
      </c>
      <c r="M5868">
        <v>5</v>
      </c>
      <c r="O5868" t="s">
        <v>25</v>
      </c>
      <c r="P5868" t="s">
        <v>6129</v>
      </c>
      <c r="Q5868" t="s">
        <v>6130</v>
      </c>
    </row>
    <row r="5869" spans="1:17" ht="15.5" x14ac:dyDescent="0.35">
      <c r="A5869" s="3" t="str">
        <f>HYPERLINK("https://edmondsonsupply.com/collections/electricians-tools/products/greenlee-gsb01-1-2-step-bit-1", "https://edmondsonsupply.com/collections/electricians-tools/products/greenlee-gsb01-1-2-step-bit-1")</f>
        <v>https://edmondsonsupply.com/collections/electricians-tools/products/greenlee-gsb01-1-2-step-bit-1</v>
      </c>
      <c r="B5869" s="3" t="str">
        <f>HYPERLINK("https://edmondsonsupply.com/products/greenlee-gsb01-1-2-step-bit-1", "https://edmondsonsupply.com/products/greenlee-gsb01-1-2-step-bit-1")</f>
        <v>https://edmondsonsupply.com/products/greenlee-gsb01-1-2-step-bit-1</v>
      </c>
      <c r="C5869" t="s">
        <v>2319</v>
      </c>
      <c r="D5869" t="s">
        <v>4378</v>
      </c>
      <c r="E5869" s="3" t="str">
        <f>HYPERLINK("https://www.amazon.com/Greenlee-GSB04-Step-Bit/dp/B08TVF22W4/ref=sr_1_1?keywords=Greenlee+GSB01+1%2F2%22+Step+Bit+%28%231%29&amp;qid=1695173990&amp;sr=8-1", "https://www.amazon.com/Greenlee-GSB04-Step-Bit/dp/B08TVF22W4/ref=sr_1_1?keywords=Greenlee+GSB01+1%2F2%22+Step+Bit+%28%231%29&amp;qid=1695173990&amp;sr=8-1")</f>
        <v>https://www.amazon.com/Greenlee-GSB04-Step-Bit/dp/B08TVF22W4/ref=sr_1_1?keywords=Greenlee+GSB01+1%2F2%22+Step+Bit+%28%231%29&amp;qid=1695173990&amp;sr=8-1</v>
      </c>
      <c r="F5869" t="s">
        <v>4379</v>
      </c>
      <c r="G5869" t="e">
        <f ca="1">_xludf.IMAGE("https://edmondsonsupply.com/cdn/shop/files/GSB01_CAT1_72dpi_1.jpg?v=1687790366")</f>
        <v>#NAME?</v>
      </c>
      <c r="H5869" t="e">
        <f ca="1">_xludf.IMAGE("https://m.media-amazon.com/images/I/41FX4czhS0L._AC_UY218_.jpg")</f>
        <v>#NAME?</v>
      </c>
      <c r="I5869" t="s">
        <v>2322</v>
      </c>
      <c r="J5869">
        <v>32</v>
      </c>
      <c r="K5869" s="4">
        <v>2.5000000000000001E-2</v>
      </c>
      <c r="L5869">
        <v>5</v>
      </c>
      <c r="M5869">
        <v>7</v>
      </c>
      <c r="O5869" t="s">
        <v>25</v>
      </c>
      <c r="P5869" t="s">
        <v>138</v>
      </c>
      <c r="Q5869" t="s">
        <v>2323</v>
      </c>
    </row>
    <row r="5870" spans="1:17" ht="15.5" x14ac:dyDescent="0.35">
      <c r="A5870"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5870" s="3" t="str">
        <f>HYPERLINK("https://edmondsonsupply.com/products/klein-tools-51608-1-2-inch-iron-conduit-bender-head", "https://edmondsonsupply.com/products/klein-tools-51608-1-2-inch-iron-conduit-bender-head")</f>
        <v>https://edmondsonsupply.com/products/klein-tools-51608-1-2-inch-iron-conduit-bender-head</v>
      </c>
      <c r="C5870" t="s">
        <v>6789</v>
      </c>
      <c r="D5870" t="s">
        <v>6204</v>
      </c>
      <c r="E5870" s="3" t="str">
        <f>HYPERLINK("https://www.amazon.com/Conduit-Compatible-Klein-Tools-51608/dp/B08VYJMT3R/ref=sr_1_1?keywords=Klein+Tools+51608+1%2F2-inch+Iron+Conduit+Bender+Head&amp;qid=1695174222&amp;sr=8-1", "https://www.amazon.com/Conduit-Compatible-Klein-Tools-51608/dp/B08VYJMT3R/ref=sr_1_1?keywords=Klein+Tools+51608+1%2F2-inch+Iron+Conduit+Bender+Head&amp;qid=1695174222&amp;sr=8-1")</f>
        <v>https://www.amazon.com/Conduit-Compatible-Klein-Tools-51608/dp/B08VYJMT3R/ref=sr_1_1?keywords=Klein+Tools+51608+1%2F2-inch+Iron+Conduit+Bender+Head&amp;qid=1695174222&amp;sr=8-1</v>
      </c>
      <c r="F5870" t="s">
        <v>6205</v>
      </c>
      <c r="G5870" t="e">
        <f ca="1">_xludf.IMAGE("https://edmondsonsupply.com/cdn/shop/products/51608.jpg?v=1643679335")</f>
        <v>#NAME?</v>
      </c>
      <c r="H5870" t="e">
        <f ca="1">_xludf.IMAGE("https://m.media-amazon.com/images/I/61mnVTiX18L._AC_UL320_.jpg")</f>
        <v>#NAME?</v>
      </c>
      <c r="I5870" t="s">
        <v>198</v>
      </c>
      <c r="J5870">
        <v>40.909999999999997</v>
      </c>
      <c r="K5870" s="4">
        <v>2.3E-2</v>
      </c>
      <c r="L5870">
        <v>4.3</v>
      </c>
      <c r="M5870">
        <v>17</v>
      </c>
      <c r="O5870" t="s">
        <v>25</v>
      </c>
      <c r="P5870" t="s">
        <v>6790</v>
      </c>
      <c r="Q5870" t="s">
        <v>6791</v>
      </c>
    </row>
    <row r="5871" spans="1:17" ht="15.5" x14ac:dyDescent="0.35">
      <c r="A5871" s="3" t="str">
        <f>HYPERLINK("https://edmondsonsupply.com/collections/electricians-tools/products/klein-tools-jth4e08-1-8-inch-hex-key-journeyman-t-handle-4-inch", "https://edmondsonsupply.com/collections/electricians-tools/products/klein-tools-jth4e08-1-8-inch-hex-key-journeyman-t-handle-4-inch")</f>
        <v>https://edmondsonsupply.com/collections/electricians-tools/products/klein-tools-jth4e08-1-8-inch-hex-key-journeyman-t-handle-4-inch</v>
      </c>
      <c r="B5871" s="3" t="str">
        <f>HYPERLINK("https://edmondsonsupply.com/products/klein-tools-jth4e08-1-8-inch-hex-key-journeyman-t-handle-4-inch", "https://edmondsonsupply.com/products/klein-tools-jth4e08-1-8-inch-hex-key-journeyman-t-handle-4-inch")</f>
        <v>https://edmondsonsupply.com/products/klein-tools-jth4e08-1-8-inch-hex-key-journeyman-t-handle-4-inch</v>
      </c>
      <c r="C5871" t="s">
        <v>6406</v>
      </c>
      <c r="D5871" t="s">
        <v>7827</v>
      </c>
      <c r="E5871" s="3" t="str">
        <f>HYPERLINK("https://www.amazon.com/Klein-Tools-JTH4E08-Journeyman-T-Handle/dp/B004ITRDJ0/ref=sr_1_1?keywords=Klein+Tools+JTH4E08+1%2F8-Inch+Hex+Key%2C+Journeyman+T-Handle%2C+4-Inch&amp;qid=1695174216&amp;sr=8-1", "https://www.amazon.com/Klein-Tools-JTH4E08-Journeyman-T-Handle/dp/B004ITRDJ0/ref=sr_1_1?keywords=Klein+Tools+JTH4E08+1%2F8-Inch+Hex+Key%2C+Journeyman+T-Handle%2C+4-Inch&amp;qid=1695174216&amp;sr=8-1")</f>
        <v>https://www.amazon.com/Klein-Tools-JTH4E08-Journeyman-T-Handle/dp/B004ITRDJ0/ref=sr_1_1?keywords=Klein+Tools+JTH4E08+1%2F8-Inch+Hex+Key%2C+Journeyman+T-Handle%2C+4-Inch&amp;qid=1695174216&amp;sr=8-1</v>
      </c>
      <c r="F5871" t="s">
        <v>7828</v>
      </c>
      <c r="G5871" t="e">
        <f ca="1">_xludf.IMAGE("https://edmondsonsupply.com/cdn/shop/products/jth4e06_0950e3ec-22b0-4cdd-acd1-822980009e67.jpg?v=1645564818")</f>
        <v>#NAME?</v>
      </c>
      <c r="H5871" t="e">
        <f ca="1">_xludf.IMAGE("https://m.media-amazon.com/images/I/41qPlbWa2FL._AC_UL320_.jpg")</f>
        <v>#NAME?</v>
      </c>
      <c r="I5871" t="s">
        <v>6228</v>
      </c>
      <c r="J5871">
        <v>3.87</v>
      </c>
      <c r="K5871" s="4">
        <v>2.1100000000000001E-2</v>
      </c>
      <c r="L5871">
        <v>4.8</v>
      </c>
      <c r="M5871">
        <v>2479</v>
      </c>
      <c r="O5871" t="s">
        <v>25</v>
      </c>
      <c r="P5871" t="s">
        <v>6407</v>
      </c>
      <c r="Q5871" t="s">
        <v>6408</v>
      </c>
    </row>
    <row r="5872" spans="1:17" ht="15.5" x14ac:dyDescent="0.35">
      <c r="A5872"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5872" s="3" t="str">
        <f>HYPERLINK("https://edmondsonsupply.com/products/klein-tools-56341-stainless-steel-fish-tape-1-8-inch-x-240-foot", "https://edmondsonsupply.com/products/klein-tools-56341-stainless-steel-fish-tape-1-8-inch-x-240-foot")</f>
        <v>https://edmondsonsupply.com/products/klein-tools-56341-stainless-steel-fish-tape-1-8-inch-x-240-foot</v>
      </c>
      <c r="C5872" t="s">
        <v>7829</v>
      </c>
      <c r="D5872" t="s">
        <v>7830</v>
      </c>
      <c r="E5872" s="3" t="str">
        <f>HYPERLINK("https://www.amazon.com/240-Foot-Measuring-Klein-Tools-56004/dp/B0026TDB5Y/ref=sr_1_3?keywords=Klein+Tools+56341+Stainless+Steel+Fish+Tape%2C+1%2F8-Inch+x+240-Foot&amp;qid=1695174134&amp;sr=8-3", "https://www.amazon.com/240-Foot-Measuring-Klein-Tools-56004/dp/B0026TDB5Y/ref=sr_1_3?keywords=Klein+Tools+56341+Stainless+Steel+Fish+Tape%2C+1%2F8-Inch+x+240-Foot&amp;qid=1695174134&amp;sr=8-3")</f>
        <v>https://www.amazon.com/240-Foot-Measuring-Klein-Tools-56004/dp/B0026TDB5Y/ref=sr_1_3?keywords=Klein+Tools+56341+Stainless+Steel+Fish+Tape%2C+1%2F8-Inch+x+240-Foot&amp;qid=1695174134&amp;sr=8-3</v>
      </c>
      <c r="F5872" t="s">
        <v>7831</v>
      </c>
      <c r="G5872" t="e">
        <f ca="1">_xludf.IMAGE("https://edmondsonsupply.com/cdn/shop/products/56341.jpg?v=1666901345")</f>
        <v>#NAME?</v>
      </c>
      <c r="H5872" t="e">
        <f ca="1">_xludf.IMAGE("https://m.media-amazon.com/images/I/61YlVKsUkcL._AC_UL320_.jpg")</f>
        <v>#NAME?</v>
      </c>
      <c r="I5872" t="s">
        <v>7832</v>
      </c>
      <c r="J5872">
        <v>117.34</v>
      </c>
      <c r="K5872" s="4">
        <v>2.0400000000000001E-2</v>
      </c>
      <c r="L5872">
        <v>4.0999999999999996</v>
      </c>
      <c r="M5872">
        <v>81</v>
      </c>
      <c r="O5872" t="s">
        <v>25</v>
      </c>
      <c r="P5872" t="s">
        <v>7833</v>
      </c>
      <c r="Q5872" t="s">
        <v>7834</v>
      </c>
    </row>
    <row r="5873" spans="1:17" ht="15.5" x14ac:dyDescent="0.35">
      <c r="A5873"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5873" s="3" t="str">
        <f>HYPERLINK("https://edmondsonsupply.com/products/diablo-tools-dag3090-7-8-in-x-17-1-2-in-auger-bit", "https://edmondsonsupply.com/products/diablo-tools-dag3090-7-8-in-x-17-1-2-in-auger-bit")</f>
        <v>https://edmondsonsupply.com/products/diablo-tools-dag3090-7-8-in-x-17-1-2-in-auger-bit</v>
      </c>
      <c r="C5873" t="s">
        <v>7269</v>
      </c>
      <c r="D5873" t="s">
        <v>7835</v>
      </c>
      <c r="E5873" s="3" t="str">
        <f>HYPERLINK("https://www.amazon.com/Diablo-Freud-DAG3030-17-1-Auger/dp/B089KVBK8P/ref=sr_1_6?keywords=Diablo+Tools+DAG3090+7%2F8+in.+x+17-1%2F2+in.+Auger+Bit&amp;qid=1695174065&amp;sr=8-6", "https://www.amazon.com/Diablo-Freud-DAG3030-17-1-Auger/dp/B089KVBK8P/ref=sr_1_6?keywords=Diablo+Tools+DAG3090+7%2F8+in.+x+17-1%2F2+in.+Auger+Bit&amp;qid=1695174065&amp;sr=8-6")</f>
        <v>https://www.amazon.com/Diablo-Freud-DAG3030-17-1-Auger/dp/B089KVBK8P/ref=sr_1_6?keywords=Diablo+Tools+DAG3090+7%2F8+in.+x+17-1%2F2+in.+Auger+Bit&amp;qid=1695174065&amp;sr=8-6</v>
      </c>
      <c r="F5873" t="s">
        <v>7836</v>
      </c>
      <c r="G5873" t="e">
        <f ca="1">_xludf.IMAGE("https://edmondsonsupply.com/cdn/shop/products/aorgtpkivjubhtbiiau0.webp?v=1677256849")</f>
        <v>#NAME?</v>
      </c>
      <c r="H5873" t="e">
        <f ca="1">_xludf.IMAGE("https://m.media-amazon.com/images/I/61gYTsV7rCL._AC_UL320_.jpg")</f>
        <v>#NAME?</v>
      </c>
      <c r="I5873" t="s">
        <v>1589</v>
      </c>
      <c r="J5873">
        <v>23.45</v>
      </c>
      <c r="K5873" s="4">
        <v>0.02</v>
      </c>
      <c r="L5873">
        <v>4.4000000000000004</v>
      </c>
      <c r="M5873">
        <v>12</v>
      </c>
      <c r="O5873" t="s">
        <v>25</v>
      </c>
      <c r="P5873" t="s">
        <v>7270</v>
      </c>
      <c r="Q5873" t="s">
        <v>7271</v>
      </c>
    </row>
    <row r="5874" spans="1:17" ht="15.5" x14ac:dyDescent="0.35">
      <c r="A5874" s="3" t="str">
        <f>HYPERLINK("https://edmondsonsupply.com/collections/electricians-tools/products/reed-mfg-dhr12-1npt-r12-drophead-1-npt", "https://edmondsonsupply.com/collections/electricians-tools/products/reed-mfg-dhr12-1npt-r12-drophead-1-npt")</f>
        <v>https://edmondsonsupply.com/collections/electricians-tools/products/reed-mfg-dhr12-1npt-r12-drophead-1-npt</v>
      </c>
      <c r="B5874" s="3" t="str">
        <f>HYPERLINK("https://edmondsonsupply.com/products/reed-mfg-dhr12-1npt-r12-drophead-1-npt", "https://edmondsonsupply.com/products/reed-mfg-dhr12-1npt-r12-drophead-1-npt")</f>
        <v>https://edmondsonsupply.com/products/reed-mfg-dhr12-1npt-r12-drophead-1-npt</v>
      </c>
      <c r="C5874" t="s">
        <v>7837</v>
      </c>
      <c r="D5874" t="s">
        <v>4385</v>
      </c>
      <c r="E5874" s="3" t="str">
        <f>HYPERLINK("https://www.amazon.com/Reed-Tool-DHR12-1NPT-Drophead/dp/B000ZGZ0PY/ref=sr_1_1?keywords=Reed+Mfg+DHR12+1NPT+R12%2B+Drophead%2C+1%22+NPT&amp;qid=1695174275&amp;sr=8-1", "https://www.amazon.com/Reed-Tool-DHR12-1NPT-Drophead/dp/B000ZGZ0PY/ref=sr_1_1?keywords=Reed+Mfg+DHR12+1NPT+R12%2B+Drophead%2C+1%22+NPT&amp;qid=1695174275&amp;sr=8-1")</f>
        <v>https://www.amazon.com/Reed-Tool-DHR12-1NPT-Drophead/dp/B000ZGZ0PY/ref=sr_1_1?keywords=Reed+Mfg+DHR12+1NPT+R12%2B+Drophead%2C+1%22+NPT&amp;qid=1695174275&amp;sr=8-1</v>
      </c>
      <c r="F5874" t="s">
        <v>4386</v>
      </c>
      <c r="G5874" t="e">
        <f ca="1">_xludf.IMAGE("https://edmondsonsupply.com/cdn/shop/products/05630-DHR12-1NPT-RGB.jpg?v=1633031013")</f>
        <v>#NAME?</v>
      </c>
      <c r="H5874" t="e">
        <f ca="1">_xludf.IMAGE("https://m.media-amazon.com/images/I/61ePWvUMWkL._AC_UY218_.jpg")</f>
        <v>#NAME?</v>
      </c>
      <c r="I5874" t="s">
        <v>4387</v>
      </c>
      <c r="J5874">
        <v>157.93</v>
      </c>
      <c r="K5874" s="4">
        <v>1.9800000000000002E-2</v>
      </c>
      <c r="L5874">
        <v>1</v>
      </c>
      <c r="M5874">
        <v>1</v>
      </c>
      <c r="O5874" t="s">
        <v>25</v>
      </c>
      <c r="P5874" t="s">
        <v>4388</v>
      </c>
      <c r="Q5874" t="s">
        <v>7838</v>
      </c>
    </row>
    <row r="5875" spans="1:17" ht="15.5" x14ac:dyDescent="0.35">
      <c r="A5875" s="3" t="str">
        <f>HYPERLINK("https://edmondsonsupply.com/collections/electricians-tools/products/reed-mfg-dhr12-1-1-4npt-r12-drophead-1-1-4-npt", "https://edmondsonsupply.com/collections/electricians-tools/products/reed-mfg-dhr12-1-1-4npt-r12-drophead-1-1-4-npt")</f>
        <v>https://edmondsonsupply.com/collections/electricians-tools/products/reed-mfg-dhr12-1-1-4npt-r12-drophead-1-1-4-npt</v>
      </c>
      <c r="B5875" s="3" t="str">
        <f>HYPERLINK("https://edmondsonsupply.com/products/reed-mfg-dhr12-1-1-4npt-r12-drophead-1-1-4-npt", "https://edmondsonsupply.com/products/reed-mfg-dhr12-1-1-4npt-r12-drophead-1-1-4-npt")</f>
        <v>https://edmondsonsupply.com/products/reed-mfg-dhr12-1-1-4npt-r12-drophead-1-1-4-npt</v>
      </c>
      <c r="C5875" t="s">
        <v>4384</v>
      </c>
      <c r="D5875" t="s">
        <v>4385</v>
      </c>
      <c r="E5875" s="3" t="str">
        <f>HYPERLINK("https://www.amazon.com/Reed-Tool-DHR12-1NPT-Drophead/dp/B000ZGZ0PY/ref=sr_1_fkmr0_2?keywords=Reed+Mfg+DHR12+1+1%2F4NPT+R12%2B+Drophead%2C+1-1%2F4%22+NPT&amp;qid=1695173914&amp;sr=8-2-fkmr0", "https://www.amazon.com/Reed-Tool-DHR12-1NPT-Drophead/dp/B000ZGZ0PY/ref=sr_1_fkmr0_2?keywords=Reed+Mfg+DHR12+1+1%2F4NPT+R12%2B+Drophead%2C+1-1%2F4%22+NPT&amp;qid=1695173914&amp;sr=8-2-fkmr0")</f>
        <v>https://www.amazon.com/Reed-Tool-DHR12-1NPT-Drophead/dp/B000ZGZ0PY/ref=sr_1_fkmr0_2?keywords=Reed+Mfg+DHR12+1+1%2F4NPT+R12%2B+Drophead%2C+1-1%2F4%22+NPT&amp;qid=1695173914&amp;sr=8-2-fkmr0</v>
      </c>
      <c r="F5875" t="s">
        <v>4386</v>
      </c>
      <c r="G5875" t="e">
        <f ca="1">_xludf.IMAGE("https://edmondsonsupply.com/cdn/shop/products/05632-DHR121-1-4NPT-RGB.jpg?v=1633031013")</f>
        <v>#NAME?</v>
      </c>
      <c r="H5875" t="e">
        <f ca="1">_xludf.IMAGE("https://m.media-amazon.com/images/I/61ePWvUMWkL._AC_UY218_.jpg")</f>
        <v>#NAME?</v>
      </c>
      <c r="I5875" t="s">
        <v>4387</v>
      </c>
      <c r="J5875">
        <v>157.93</v>
      </c>
      <c r="K5875" s="4">
        <v>1.9800000000000002E-2</v>
      </c>
      <c r="L5875">
        <v>1</v>
      </c>
      <c r="M5875">
        <v>1</v>
      </c>
      <c r="O5875" t="s">
        <v>25</v>
      </c>
      <c r="P5875" t="s">
        <v>4388</v>
      </c>
      <c r="Q5875" t="s">
        <v>4389</v>
      </c>
    </row>
    <row r="5876" spans="1:17" ht="15.5" x14ac:dyDescent="0.35">
      <c r="A5876" s="3" t="str">
        <f>HYPERLINK("https://edmondsonsupply.com/collections/electricians-tools/products/klein-tools-29026-li-ion-battery", "https://edmondsonsupply.com/collections/electricians-tools/products/klein-tools-29026-li-ion-battery")</f>
        <v>https://edmondsonsupply.com/collections/electricians-tools/products/klein-tools-29026-li-ion-battery</v>
      </c>
      <c r="B5876" s="3" t="str">
        <f>HYPERLINK("https://edmondsonsupply.com/products/klein-tools-29026-li-ion-battery", "https://edmondsonsupply.com/products/klein-tools-29026-li-ion-battery")</f>
        <v>https://edmondsonsupply.com/products/klein-tools-29026-li-ion-battery</v>
      </c>
      <c r="C5876" t="s">
        <v>7839</v>
      </c>
      <c r="D5876" t="s">
        <v>7840</v>
      </c>
      <c r="E5876" s="3" t="str">
        <f>HYPERLINK("https://www.amazon.com/Klein-Tools-29026-Rechargeable-Self-Leveling/dp/B09C6SDHXS/ref=sr_1_1?keywords=Klein+Tools+29026+Li-Ion+Battery&amp;qid=1695174150&amp;sr=8-1", "https://www.amazon.com/Klein-Tools-29026-Rechargeable-Self-Leveling/dp/B09C6SDHXS/ref=sr_1_1?keywords=Klein+Tools+29026+Li-Ion+Battery&amp;qid=1695174150&amp;sr=8-1")</f>
        <v>https://www.amazon.com/Klein-Tools-29026-Rechargeable-Self-Leveling/dp/B09C6SDHXS/ref=sr_1_1?keywords=Klein+Tools+29026+Li-Ion+Battery&amp;qid=1695174150&amp;sr=8-1</v>
      </c>
      <c r="F5876" t="s">
        <v>7841</v>
      </c>
      <c r="G5876" t="e">
        <f ca="1">_xludf.IMAGE("https://edmondsonsupply.com/cdn/shop/products/29026.jpg?v=1664476716")</f>
        <v>#NAME?</v>
      </c>
      <c r="H5876" t="e">
        <f ca="1">_xludf.IMAGE("https://m.media-amazon.com/images/I/41nEzSxwfXL._AC_UL320_.jpg")</f>
        <v>#NAME?</v>
      </c>
      <c r="I5876" t="s">
        <v>4030</v>
      </c>
      <c r="J5876">
        <v>52.99</v>
      </c>
      <c r="K5876" s="4">
        <v>1.9199999999999998E-2</v>
      </c>
      <c r="L5876">
        <v>5</v>
      </c>
      <c r="M5876">
        <v>6</v>
      </c>
      <c r="O5876" t="s">
        <v>25</v>
      </c>
      <c r="P5876" t="s">
        <v>4349</v>
      </c>
      <c r="Q5876" t="s">
        <v>7842</v>
      </c>
    </row>
    <row r="5877" spans="1:17" ht="15.5" x14ac:dyDescent="0.35">
      <c r="A5877" s="3" t="str">
        <f>HYPERLINK("https://edmondsonsupply.com/collections/electricians-tools/products/diablo-tools-dmamxcc5020-2-5-8-in-x-7-in-sds-max-carbide-tipped-core-bit", "https://edmondsonsupply.com/collections/electricians-tools/products/diablo-tools-dmamxcc5020-2-5-8-in-x-7-in-sds-max-carbide-tipped-core-bit")</f>
        <v>https://edmondsonsupply.com/collections/electricians-tools/products/diablo-tools-dmamxcc5020-2-5-8-in-x-7-in-sds-max-carbide-tipped-core-bit</v>
      </c>
      <c r="B5877" s="3" t="str">
        <f>HYPERLINK("https://edmondsonsupply.com/products/diablo-tools-dmamxcc5020-2-5-8-in-x-7-in-sds-max-carbide-tipped-core-bit", "https://edmondsonsupply.com/products/diablo-tools-dmamxcc5020-2-5-8-in-x-7-in-sds-max-carbide-tipped-core-bit")</f>
        <v>https://edmondsonsupply.com/products/diablo-tools-dmamxcc5020-2-5-8-in-x-7-in-sds-max-carbide-tipped-core-bit</v>
      </c>
      <c r="C5877" t="s">
        <v>5895</v>
      </c>
      <c r="D5877" t="s">
        <v>5900</v>
      </c>
      <c r="E5877" s="3" t="str">
        <f>HYPERLINK("https://www.amazon.com/Diablo-DMAMXCC5030-SDS-Max-Carbide-Tipped/dp/B089M8K3HG/ref=sr_1_2?keywords=Diablo+Tools+DMAMXCC5020+2-5%2F8+in.+x+7+in.+SDS-Max+Carbide+Tipped+Core+Bit&amp;qid=1695174025&amp;sr=8-2", "https://www.amazon.com/Diablo-DMAMXCC5030-SDS-Max-Carbide-Tipped/dp/B089M8K3HG/ref=sr_1_2?keywords=Diablo+Tools+DMAMXCC5020+2-5%2F8+in.+x+7+in.+SDS-Max+Carbide+Tipped+Core+Bit&amp;qid=1695174025&amp;sr=8-2")</f>
        <v>https://www.amazon.com/Diablo-DMAMXCC5030-SDS-Max-Carbide-Tipped/dp/B089M8K3HG/ref=sr_1_2?keywords=Diablo+Tools+DMAMXCC5020+2-5%2F8+in.+x+7+in.+SDS-Max+Carbide+Tipped+Core+Bit&amp;qid=1695174025&amp;sr=8-2</v>
      </c>
      <c r="F5877" t="s">
        <v>5901</v>
      </c>
      <c r="G5877" t="e">
        <f ca="1">_xludf.IMAGE("https://edmondsonsupply.com/cdn/shop/files/vashcrdlazsqjug8tmyc.webp?v=1686584484")</f>
        <v>#NAME?</v>
      </c>
      <c r="H5877" t="e">
        <f ca="1">_xludf.IMAGE("https://m.media-amazon.com/images/I/71U1Um--OXL._AC_UL320_.jpg")</f>
        <v>#NAME?</v>
      </c>
      <c r="I5877" t="s">
        <v>525</v>
      </c>
      <c r="J5877">
        <v>110</v>
      </c>
      <c r="K5877" s="4">
        <v>1.8599999999999998E-2</v>
      </c>
      <c r="L5877">
        <v>5</v>
      </c>
      <c r="M5877">
        <v>3</v>
      </c>
      <c r="O5877" t="s">
        <v>25</v>
      </c>
      <c r="P5877" t="s">
        <v>5896</v>
      </c>
      <c r="Q5877" t="s">
        <v>5897</v>
      </c>
    </row>
    <row r="5878" spans="1:17" ht="15.5" x14ac:dyDescent="0.35">
      <c r="A5878"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5878"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5878" t="s">
        <v>4395</v>
      </c>
      <c r="D5878" t="s">
        <v>4396</v>
      </c>
      <c r="E5878" s="3" t="str">
        <f>HYPERLINK("https://www.amazon.com/Wiha-66991-MagicRing-Holder-Piece/dp/B000WTAK2C/ref=sr_1_7?keywords=Wiha+Tools+66990+9+Piece+MagicRing+Ball+End+Long+Arm+Hex+L-Key+Set+-+Metric&amp;qid=1695173977&amp;sr=8-7", "https://www.amazon.com/Wiha-66991-MagicRing-Holder-Piece/dp/B000WTAK2C/ref=sr_1_7?keywords=Wiha+Tools+66990+9+Piece+MagicRing+Ball+End+Long+Arm+Hex+L-Key+Set+-+Metric&amp;qid=1695173977&amp;sr=8-7")</f>
        <v>https://www.amazon.com/Wiha-66991-MagicRing-Holder-Piece/dp/B000WTAK2C/ref=sr_1_7?keywords=Wiha+Tools+66990+9+Piece+MagicRing+Ball+End+Long+Arm+Hex+L-Key+Set+-+Metric&amp;qid=1695173977&amp;sr=8-7</v>
      </c>
      <c r="F5878" t="s">
        <v>4397</v>
      </c>
      <c r="G5878" t="e">
        <f ca="1">_xludf.IMAGE("https://edmondsonsupply.com/cdn/shop/files/13e958aad91c16597a10bc35346fe94965ff7cc5_1000x_585c36ae-bd90-4c7e-95df-eb1519527f63.webp?v=1690841217")</f>
        <v>#NAME?</v>
      </c>
      <c r="H5878" t="e">
        <f ca="1">_xludf.IMAGE("https://m.media-amazon.com/images/I/61jqxmDwZLL._AC_UL320_.jpg")</f>
        <v>#NAME?</v>
      </c>
      <c r="I5878" t="s">
        <v>4398</v>
      </c>
      <c r="J5878">
        <v>39.99</v>
      </c>
      <c r="K5878" s="4">
        <v>1.8599999999999998E-2</v>
      </c>
      <c r="L5878">
        <v>4.8</v>
      </c>
      <c r="M5878">
        <v>17</v>
      </c>
      <c r="O5878" t="s">
        <v>25</v>
      </c>
      <c r="P5878" t="s">
        <v>4399</v>
      </c>
      <c r="Q5878" t="s">
        <v>4400</v>
      </c>
    </row>
    <row r="5879" spans="1:17" ht="15.5" x14ac:dyDescent="0.35">
      <c r="A5879" s="3" t="str">
        <f>HYPERLINK("https://edmondsonsupply.com/collections/electricians-tools/products/milwaukee-2962p-22-m18-fuel%E2%84%A2-1-2-mid-torque-impact-wrench-w-pin-detent-kit", "https://edmondsonsupply.com/collections/electricians-tools/products/milwaukee-2962p-22-m18-fuel%E2%84%A2-1-2-mid-torque-impact-wrench-w-pin-detent-kit")</f>
        <v>https://edmondsonsupply.com/collections/electricians-tools/products/milwaukee-2962p-22-m18-fuel%E2%84%A2-1-2-mid-torque-impact-wrench-w-pin-detent-kit</v>
      </c>
      <c r="B5879" s="3" t="str">
        <f>HYPERLINK("https://edmondsonsupply.com/products/milwaukee-2962p-22-m18-fuel%e2%84%a2-1-2-mid-torque-impact-wrench-w-pin-detent-kit", "https://edmondsonsupply.com/products/milwaukee-2962p-22-m18-fuel%e2%84%a2-1-2-mid-torque-impact-wrench-w-pin-detent-kit")</f>
        <v>https://edmondsonsupply.com/products/milwaukee-2962p-22-m18-fuel%e2%84%a2-1-2-mid-torque-impact-wrench-w-pin-detent-kit</v>
      </c>
      <c r="C5879" t="s">
        <v>4401</v>
      </c>
      <c r="D5879" t="s">
        <v>4402</v>
      </c>
      <c r="E5879" s="3" t="str">
        <f>HYPERLINK("https://www.amazon.com/Milwaukee-276622-Torque-Impact-Wrench/dp/B076S2DV48/ref=sr_1_2?keywords=Milwaukee+2962P-22+M18+FUEL%E2%84%A2+1%2F2+%22+Mid-Torque+Impact+Wrench+w%2F+Pin+Detent+Kit&amp;qid=1695173981&amp;sr=8-2", "https://www.amazon.com/Milwaukee-276622-Torque-Impact-Wrench/dp/B076S2DV48/ref=sr_1_2?keywords=Milwaukee+2962P-22+M18+FUEL%E2%84%A2+1%2F2+%22+Mid-Torque+Impact+Wrench+w%2F+Pin+Detent+Kit&amp;qid=1695173981&amp;sr=8-2")</f>
        <v>https://www.amazon.com/Milwaukee-276622-Torque-Impact-Wrench/dp/B076S2DV48/ref=sr_1_2?keywords=Milwaukee+2962P-22+M18+FUEL%E2%84%A2+1%2F2+%22+Mid-Torque+Impact+Wrench+w%2F+Pin+Detent+Kit&amp;qid=1695173981&amp;sr=8-2</v>
      </c>
      <c r="F5879" t="s">
        <v>4403</v>
      </c>
      <c r="G5879" t="e">
        <f ca="1">_xludf.IMAGE("https://edmondsonsupply.com/cdn/shop/files/2962P-22_Kit_1.png?v=1690295413")</f>
        <v>#NAME?</v>
      </c>
      <c r="H5879" t="e">
        <f ca="1">_xludf.IMAGE("https://m.media-amazon.com/images/I/51nVC273wLL._AC_UL320_.jpg")</f>
        <v>#NAME?</v>
      </c>
      <c r="I5879" t="s">
        <v>4404</v>
      </c>
      <c r="J5879">
        <v>466.88</v>
      </c>
      <c r="K5879" s="4">
        <v>1.72E-2</v>
      </c>
      <c r="L5879">
        <v>4.5</v>
      </c>
      <c r="M5879">
        <v>51</v>
      </c>
      <c r="O5879" t="s">
        <v>25</v>
      </c>
      <c r="P5879" t="s">
        <v>4405</v>
      </c>
      <c r="Q5879" t="s">
        <v>4406</v>
      </c>
    </row>
    <row r="5880" spans="1:17" ht="15.5" x14ac:dyDescent="0.35">
      <c r="A5880" s="3" t="str">
        <f>HYPERLINK("https://edmondsonsupply.com/collections/electricians-tools/products/channellock-8wcb", "https://edmondsonsupply.com/collections/electricians-tools/products/channellock-8wcb")</f>
        <v>https://edmondsonsupply.com/collections/electricians-tools/products/channellock-8wcb</v>
      </c>
      <c r="B5880" s="3" t="str">
        <f>HYPERLINK("https://edmondsonsupply.com/products/channellock-8wcb", "https://edmondsonsupply.com/products/channellock-8wcb")</f>
        <v>https://edmondsonsupply.com/products/channellock-8wcb</v>
      </c>
      <c r="C5880" t="s">
        <v>3038</v>
      </c>
      <c r="D5880" t="s">
        <v>2555</v>
      </c>
      <c r="E5880" s="3" t="str">
        <f>HYPERLINK("https://www.amazon.com/Channellock-808WCB-8-Inch-Chrome-Adjustable/dp/B00LFIEQ3S/ref=sr_1_3?keywords=Channellock+8WCB+8%22+Code+Blue+WIDEAZZ+Adjustable+Wrench&amp;qid=1695173930&amp;sr=8-3", "https://www.amazon.com/Channellock-808WCB-8-Inch-Chrome-Adjustable/dp/B00LFIEQ3S/ref=sr_1_3?keywords=Channellock+8WCB+8%22+Code+Blue+WIDEAZZ+Adjustable+Wrench&amp;qid=1695173930&amp;sr=8-3")</f>
        <v>https://www.amazon.com/Channellock-808WCB-8-Inch-Chrome-Adjustable/dp/B00LFIEQ3S/ref=sr_1_3?keywords=Channellock+8WCB+8%22+Code+Blue+WIDEAZZ+Adjustable+Wrench&amp;qid=1695173930&amp;sr=8-3</v>
      </c>
      <c r="F5880" t="s">
        <v>2556</v>
      </c>
      <c r="G5880" t="e">
        <f ca="1">_xludf.IMAGE("https://edmondsonsupply.com/cdn/shop/products/8WCB-683x1024.jpg?v=1633030324")</f>
        <v>#NAME?</v>
      </c>
      <c r="H5880" t="e">
        <f ca="1">_xludf.IMAGE("https://m.media-amazon.com/images/I/717njKwq-cL._AC_UL320_.jpg")</f>
        <v>#NAME?</v>
      </c>
      <c r="I5880" t="s">
        <v>3041</v>
      </c>
      <c r="J5880">
        <v>32.450000000000003</v>
      </c>
      <c r="K5880" s="4">
        <v>1.5599999999999999E-2</v>
      </c>
      <c r="L5880">
        <v>4.5999999999999996</v>
      </c>
      <c r="M5880">
        <v>89</v>
      </c>
      <c r="O5880" t="s">
        <v>25</v>
      </c>
      <c r="P5880" t="s">
        <v>3042</v>
      </c>
      <c r="Q5880" t="s">
        <v>3043</v>
      </c>
    </row>
    <row r="5881" spans="1:17" ht="15.5" x14ac:dyDescent="0.35">
      <c r="A5881" s="3" t="str">
        <f>HYPERLINK("https://edmondsonsupply.com/collections/electricians-tools/products/klein-tools-70574-grip-it-nine-key-hex-set-with-2-positions-sae", "https://edmondsonsupply.com/collections/electricians-tools/products/klein-tools-70574-grip-it-nine-key-hex-set-with-2-positions-sae")</f>
        <v>https://edmondsonsupply.com/collections/electricians-tools/products/klein-tools-70574-grip-it-nine-key-hex-set-with-2-positions-sae</v>
      </c>
      <c r="B5881" s="3" t="str">
        <f>HYPERLINK("https://edmondsonsupply.com/products/klein-tools-70574-grip-it-nine-key-hex-set-with-2-positions-sae", "https://edmondsonsupply.com/products/klein-tools-70574-grip-it-nine-key-hex-set-with-2-positions-sae")</f>
        <v>https://edmondsonsupply.com/products/klein-tools-70574-grip-it-nine-key-hex-set-with-2-positions-sae</v>
      </c>
      <c r="C5881" t="s">
        <v>7843</v>
      </c>
      <c r="D5881" t="s">
        <v>7844</v>
      </c>
      <c r="E5881" s="3" t="str">
        <f>HYPERLINK("https://www.amazon.com/Grip-Square-Klein-Tools-70575/dp/B0002RI8PK/ref=sr_1_2?keywords=Klein+Tools+70574+Grip-It%C2%AE+Hex+Key+Set%2C+9-Key%2C+4-1%2F2-Inch+Handle%2C+SAE+Sizes&amp;qid=1695174288&amp;sr=8-2", "https://www.amazon.com/Grip-Square-Klein-Tools-70575/dp/B0002RI8PK/ref=sr_1_2?keywords=Klein+Tools+70574+Grip-It%C2%AE+Hex+Key+Set%2C+9-Key%2C+4-1%2F2-Inch+Handle%2C+SAE+Sizes&amp;qid=1695174288&amp;sr=8-2")</f>
        <v>https://www.amazon.com/Grip-Square-Klein-Tools-70575/dp/B0002RI8PK/ref=sr_1_2?keywords=Klein+Tools+70574+Grip-It%C2%AE+Hex+Key+Set%2C+9-Key%2C+4-1%2F2-Inch+Handle%2C+SAE+Sizes&amp;qid=1695174288&amp;sr=8-2</v>
      </c>
      <c r="F5881" t="s">
        <v>7845</v>
      </c>
      <c r="G5881" t="e">
        <f ca="1">_xludf.IMAGE("https://edmondsonsupply.com/cdn/shop/products/70574.jpg?v=1633030924")</f>
        <v>#NAME?</v>
      </c>
      <c r="H5881" t="e">
        <f ca="1">_xludf.IMAGE("https://m.media-amazon.com/images/I/51C7aw6OxTL._AC_UL320_.jpg")</f>
        <v>#NAME?</v>
      </c>
      <c r="I5881" t="s">
        <v>6479</v>
      </c>
      <c r="J5881">
        <v>10.74</v>
      </c>
      <c r="K5881" s="4">
        <v>1.5100000000000001E-2</v>
      </c>
      <c r="L5881">
        <v>4.4000000000000004</v>
      </c>
      <c r="M5881">
        <v>65</v>
      </c>
      <c r="O5881" t="s">
        <v>25</v>
      </c>
      <c r="P5881" t="s">
        <v>138</v>
      </c>
      <c r="Q5881" t="s">
        <v>7846</v>
      </c>
    </row>
    <row r="5882" spans="1:17" ht="15.5" x14ac:dyDescent="0.35">
      <c r="A5882" s="3" t="str">
        <f>HYPERLINK("https://edmondsonsupply.com/collections/electricians-tools/products/testo-0590-7552-755-2-current-voltage-meter-with-200-a-ac-1000-v-ac-dc-continuity-and-phase-rotation-tester", "https://edmondsonsupply.com/collections/electricians-tools/products/testo-0590-7552-755-2-current-voltage-meter-with-200-a-ac-1000-v-ac-dc-continuity-and-phase-rotation-tester")</f>
        <v>https://edmondsonsupply.com/collections/electricians-tools/products/testo-0590-7552-755-2-current-voltage-meter-with-200-a-ac-1000-v-ac-dc-continuity-and-phase-rotation-tester</v>
      </c>
      <c r="B5882" s="3" t="str">
        <f>HYPERLINK("https://edmondsonsupply.com/products/testo-0590-7552-755-2-current-voltage-meter-with-200-a-ac-1000-v-ac-dc-continuity-and-phase-rotation-tester", "https://edmondsonsupply.com/products/testo-0590-7552-755-2-current-voltage-meter-with-200-a-ac-1000-v-ac-dc-continuity-and-phase-rotation-tester")</f>
        <v>https://edmondsonsupply.com/products/testo-0590-7552-755-2-current-voltage-meter-with-200-a-ac-1000-v-ac-dc-continuity-and-phase-rotation-tester</v>
      </c>
      <c r="C5882" t="s">
        <v>4409</v>
      </c>
      <c r="D5882" t="s">
        <v>3817</v>
      </c>
      <c r="E5882" s="3" t="str">
        <f>HYPERLINK("https://www.amazon.com/Testo-755-2-Current-Continuity-Rotation/dp/B01F3MPHQG/ref=sr_1_1?keywords=Testo+0590+7552+755-2+-+Current+%2F+Voltage+Meter+with+200+A+AC%2C+1000+V+AC%2FDC%2C+Continuity%2C+and+Phase+Rotation+Tester&amp;qid=1695174018&amp;sr=8-1", "https://www.amazon.com/Testo-755-2-Current-Continuity-Rotation/dp/B01F3MPHQG/ref=sr_1_1?keywords=Testo+0590+7552+755-2+-+Current+%2F+Voltage+Meter+with+200+A+AC%2C+1000+V+AC%2FDC%2C+Continuity%2C+and+Phase+Rotation+Tester&amp;qid=1695174018&amp;sr=8-1")</f>
        <v>https://www.amazon.com/Testo-755-2-Current-Continuity-Rotation/dp/B01F3MPHQG/ref=sr_1_1?keywords=Testo+0590+7552+755-2+-+Current+%2F+Voltage+Meter+with+200+A+AC%2C+1000+V+AC%2FDC%2C+Continuity%2C+and+Phase+Rotation+Tester&amp;qid=1695174018&amp;sr=8-1</v>
      </c>
      <c r="F5882" t="s">
        <v>3818</v>
      </c>
      <c r="G5882" t="e">
        <f ca="1">_xludf.IMAGE("https://edmondsonsupply.com/cdn/shop/files/testo-755-2_front_master.jpg?v=1688227541")</f>
        <v>#NAME?</v>
      </c>
      <c r="H5882" t="e">
        <f ca="1">_xludf.IMAGE("https://m.media-amazon.com/images/I/617sSpgpYbL._AC_UY218_.jpg")</f>
        <v>#NAME?</v>
      </c>
      <c r="I5882" t="s">
        <v>4410</v>
      </c>
      <c r="J5882">
        <v>216.53</v>
      </c>
      <c r="K5882" s="4">
        <v>1.49E-2</v>
      </c>
      <c r="L5882">
        <v>4.2</v>
      </c>
      <c r="M5882">
        <v>7</v>
      </c>
      <c r="O5882" t="s">
        <v>25</v>
      </c>
      <c r="P5882" t="s">
        <v>4411</v>
      </c>
      <c r="Q5882" t="s">
        <v>4412</v>
      </c>
    </row>
    <row r="5883" spans="1:17" ht="15.5" x14ac:dyDescent="0.35">
      <c r="A5883"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5883" s="3" t="str">
        <f>HYPERLINK("https://edmondsonsupply.com/products/fluke-373-true-rms-ac-clamp-meter", "https://edmondsonsupply.com/products/fluke-373-true-rms-ac-clamp-meter")</f>
        <v>https://edmondsonsupply.com/products/fluke-373-true-rms-ac-clamp-meter</v>
      </c>
      <c r="C5883" t="s">
        <v>5826</v>
      </c>
      <c r="D5883" t="s">
        <v>5910</v>
      </c>
      <c r="E5883" s="3" t="str">
        <f>HYPERLINK("https://www.amazon.com/Fluke-True-RMS-Clamp-Meter-600A/dp/B004E248XA/ref=sr_1_3?keywords=Fluke+373+True-RMS+AC+Clamp+Meter&amp;qid=1695173996&amp;sr=8-3", "https://www.amazon.com/Fluke-True-RMS-Clamp-Meter-600A/dp/B004E248XA/ref=sr_1_3?keywords=Fluke+373+True-RMS+AC+Clamp+Meter&amp;qid=1695173996&amp;sr=8-3")</f>
        <v>https://www.amazon.com/Fluke-True-RMS-Clamp-Meter-600A/dp/B004E248XA/ref=sr_1_3?keywords=Fluke+373+True-RMS+AC+Clamp+Meter&amp;qid=1695173996&amp;sr=8-3</v>
      </c>
      <c r="F5883" t="s">
        <v>5911</v>
      </c>
      <c r="G5883" t="e">
        <f ca="1">_xludf.IMAGE("https://edmondsonsupply.com/cdn/shop/files/f-373-01d-1500x1000.webp?v=1689369435")</f>
        <v>#NAME?</v>
      </c>
      <c r="H5883" t="e">
        <f ca="1">_xludf.IMAGE("https://m.media-amazon.com/images/I/51dRRtycxZL._AC_UY218_.jpg")</f>
        <v>#NAME?</v>
      </c>
      <c r="I5883" t="s">
        <v>5829</v>
      </c>
      <c r="J5883">
        <v>294</v>
      </c>
      <c r="K5883" s="4">
        <v>1.3599999999999999E-2</v>
      </c>
      <c r="L5883">
        <v>4</v>
      </c>
      <c r="M5883">
        <v>64</v>
      </c>
      <c r="O5883" t="s">
        <v>25</v>
      </c>
      <c r="P5883" t="s">
        <v>138</v>
      </c>
      <c r="Q5883" t="s">
        <v>5830</v>
      </c>
    </row>
    <row r="5884" spans="1:17" ht="15.5" x14ac:dyDescent="0.35">
      <c r="A5884" s="3" t="str">
        <f>HYPERLINK("https://edmondsonsupply.com/collections/electricians-tools/products/reed-mfg-dhr12-1-1-2npt-r12-drophead-1-1-2-npt", "https://edmondsonsupply.com/collections/electricians-tools/products/reed-mfg-dhr12-1-1-2npt-r12-drophead-1-1-2-npt")</f>
        <v>https://edmondsonsupply.com/collections/electricians-tools/products/reed-mfg-dhr12-1-1-2npt-r12-drophead-1-1-2-npt</v>
      </c>
      <c r="B5884" s="3" t="str">
        <f>HYPERLINK("https://edmondsonsupply.com/products/reed-mfg-dhr12-1-1-2npt-r12-drophead-1-1-2-npt", "https://edmondsonsupply.com/products/reed-mfg-dhr12-1-1-2npt-r12-drophead-1-1-2-npt")</f>
        <v>https://edmondsonsupply.com/products/reed-mfg-dhr12-1-1-2npt-r12-drophead-1-1-2-npt</v>
      </c>
      <c r="C5884" t="s">
        <v>7847</v>
      </c>
      <c r="D5884" t="s">
        <v>7195</v>
      </c>
      <c r="E5884" s="3" t="str">
        <f>HYPERLINK("https://www.amazon.com/Reed-Tool-DHR12-2NPT-Drophead/dp/B000ZGXUMY/ref=sr_1_1?keywords=Reed+Mfg+DHR12+1+1%2F2NPT+R12%2B+Drophead%2C+1-1%2F2%22+NPT&amp;qid=1695174267&amp;sr=8-1", "https://www.amazon.com/Reed-Tool-DHR12-2NPT-Drophead/dp/B000ZGXUMY/ref=sr_1_1?keywords=Reed+Mfg+DHR12+1+1%2F2NPT+R12%2B+Drophead%2C+1-1%2F2%22+NPT&amp;qid=1695174267&amp;sr=8-1")</f>
        <v>https://www.amazon.com/Reed-Tool-DHR12-2NPT-Drophead/dp/B000ZGXUMY/ref=sr_1_1?keywords=Reed+Mfg+DHR12+1+1%2F2NPT+R12%2B+Drophead%2C+1-1%2F2%22+NPT&amp;qid=1695174267&amp;sr=8-1</v>
      </c>
      <c r="F5884" t="s">
        <v>7196</v>
      </c>
      <c r="G5884" t="e">
        <f ca="1">_xludf.IMAGE("https://edmondsonsupply.com/cdn/shop/products/57_1_43919434-23d1-4a38-ae34-862e7aaca453.jpg?v=1633031013")</f>
        <v>#NAME?</v>
      </c>
      <c r="H5884" t="e">
        <f ca="1">_xludf.IMAGE("https://m.media-amazon.com/images/I/61Y5u+qPi2L._AC_UY218_.jpg")</f>
        <v>#NAME?</v>
      </c>
      <c r="I5884" t="s">
        <v>7848</v>
      </c>
      <c r="J5884">
        <v>172.93</v>
      </c>
      <c r="K5884" s="4">
        <v>1.3100000000000001E-2</v>
      </c>
      <c r="L5884">
        <v>1</v>
      </c>
      <c r="M5884">
        <v>1</v>
      </c>
      <c r="O5884" t="s">
        <v>25</v>
      </c>
      <c r="P5884" t="s">
        <v>7849</v>
      </c>
      <c r="Q5884" t="s">
        <v>7850</v>
      </c>
    </row>
    <row r="5885" spans="1:17" ht="15.5" x14ac:dyDescent="0.35">
      <c r="A5885" s="3" t="str">
        <f>HYPERLINK("https://edmondsonsupply.com/collections/electricians-tools/products/diablo-tools-dmapl9920-s7-7pc-rebar-demon%E2%84%A2-sds-plus-4-cutter-full-carbide-head-hammer-bit-set", "https://edmondsonsupply.com/collections/electricians-tools/products/diablo-tools-dmapl9920-s7-7pc-rebar-demon%E2%84%A2-sds-plus-4-cutter-full-carbide-head-hammer-bit-set")</f>
        <v>https://edmondsonsupply.com/collections/electricians-tools/products/diablo-tools-dmapl9920-s7-7pc-rebar-demon%E2%84%A2-sds-plus-4-cutter-full-carbide-head-hammer-bit-set</v>
      </c>
      <c r="B5885" s="3" t="str">
        <f>HYPERLINK("https://edmondsonsupply.com/products/diablo-tools-dmapl9920-s7-7pc-rebar-demon%e2%84%a2-sds-plus-4-cutter-full-carbide-head-hammer-bit-set", "https://edmondsonsupply.com/products/diablo-tools-dmapl9920-s7-7pc-rebar-demon%e2%84%a2-sds-plus-4-cutter-full-carbide-head-hammer-bit-set")</f>
        <v>https://edmondsonsupply.com/products/diablo-tools-dmapl9920-s7-7pc-rebar-demon%e2%84%a2-sds-plus-4-cutter-full-carbide-head-hammer-bit-set</v>
      </c>
      <c r="C5885" t="s">
        <v>7851</v>
      </c>
      <c r="D5885" t="s">
        <v>7852</v>
      </c>
      <c r="E5885" s="3" t="str">
        <f>HYPERLINK("https://www.amazon.com/Diablo-Freud-DMAPL9920-S7-SDS-Plus-4-Cutter/dp/B089LJJ6KJ/ref=sr_1_1?keywords=Diablo+Tools+DMAPL9920-S7+7pc+Rebar+Demon%E2%84%A2+SDS-Plus+4-Cutter+Full+Carbide+Head+Hammer+Bit+Set&amp;qid=1695174050&amp;sr=8-1", "https://www.amazon.com/Diablo-Freud-DMAPL9920-S7-SDS-Plus-4-Cutter/dp/B089LJJ6KJ/ref=sr_1_1?keywords=Diablo+Tools+DMAPL9920-S7+7pc+Rebar+Demon%E2%84%A2+SDS-Plus+4-Cutter+Full+Carbide+Head+Hammer+Bit+Set&amp;qid=1695174050&amp;sr=8-1")</f>
        <v>https://www.amazon.com/Diablo-Freud-DMAPL9920-S7-SDS-Plus-4-Cutter/dp/B089LJJ6KJ/ref=sr_1_1?keywords=Diablo+Tools+DMAPL9920-S7+7pc+Rebar+Demon%E2%84%A2+SDS-Plus+4-Cutter+Full+Carbide+Head+Hammer+Bit+Set&amp;qid=1695174050&amp;sr=8-1</v>
      </c>
      <c r="F5885" t="s">
        <v>7853</v>
      </c>
      <c r="G5885" t="e">
        <f ca="1">_xludf.IMAGE("https://edmondsonsupply.com/cdn/shop/products/vgtm2xrrra4yfevsszgf.webp?v=1679328619")</f>
        <v>#NAME?</v>
      </c>
      <c r="H5885" t="e">
        <f ca="1">_xludf.IMAGE("https://m.media-amazon.com/images/I/61zvSTnM+LL._AC_UL320_.jpg")</f>
        <v>#NAME?</v>
      </c>
      <c r="I5885" t="s">
        <v>7854</v>
      </c>
      <c r="J5885">
        <v>38.380000000000003</v>
      </c>
      <c r="K5885" s="4">
        <v>1.0800000000000001E-2</v>
      </c>
      <c r="L5885">
        <v>4.3</v>
      </c>
      <c r="M5885">
        <v>22</v>
      </c>
      <c r="O5885" t="s">
        <v>25</v>
      </c>
      <c r="P5885" t="s">
        <v>7855</v>
      </c>
      <c r="Q5885" t="s">
        <v>7856</v>
      </c>
    </row>
    <row r="5886" spans="1:17" ht="15.5" x14ac:dyDescent="0.35">
      <c r="A5886"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5886" s="3" t="str">
        <f>HYPERLINK("https://edmondsonsupply.com/products/klein-tools-jth6m10-10-mm-hex-key-journeyman-t-handle-6-inch", "https://edmondsonsupply.com/products/klein-tools-jth6m10-10-mm-hex-key-journeyman-t-handle-6-inch")</f>
        <v>https://edmondsonsupply.com/products/klein-tools-jth6m10-10-mm-hex-key-journeyman-t-handle-6-inch</v>
      </c>
      <c r="C5886" t="s">
        <v>6945</v>
      </c>
      <c r="D5886" t="s">
        <v>7857</v>
      </c>
      <c r="E5886" s="3" t="str">
        <f>HYPERLINK("https://www.amazon.com/Journeyman-T-Handle-Klein-Tools-JTH6T10/dp/B005G3B3TI/ref=sr_1_4?keywords=Klein+Tools+JTH6M10+10+mm+Hex+Key+Journeyman+T-Handle+6-Inch&amp;qid=1695174255&amp;sr=8-4", "https://www.amazon.com/Journeyman-T-Handle-Klein-Tools-JTH6T10/dp/B005G3B3TI/ref=sr_1_4?keywords=Klein+Tools+JTH6M10+10+mm+Hex+Key+Journeyman+T-Handle+6-Inch&amp;qid=1695174255&amp;sr=8-4")</f>
        <v>https://www.amazon.com/Journeyman-T-Handle-Klein-Tools-JTH6T10/dp/B005G3B3TI/ref=sr_1_4?keywords=Klein+Tools+JTH6M10+10+mm+Hex+Key+Journeyman+T-Handle+6-Inch&amp;qid=1695174255&amp;sr=8-4</v>
      </c>
      <c r="F5886" t="s">
        <v>7858</v>
      </c>
      <c r="G5886" t="e">
        <f ca="1">_xludf.IMAGE("https://edmondsonsupply.com/cdn/shop/products/jth6m8_64c2c8d3-e13e-4b81-9b34-745be7fd837a.jpg?v=1627827117")</f>
        <v>#NAME?</v>
      </c>
      <c r="H5886" t="e">
        <f ca="1">_xludf.IMAGE("https://m.media-amazon.com/images/I/51Xj0Vsb-EL._AC_UL320_.jpg")</f>
        <v>#NAME?</v>
      </c>
      <c r="I5886" t="s">
        <v>924</v>
      </c>
      <c r="J5886">
        <v>9.08</v>
      </c>
      <c r="K5886" s="4">
        <v>0.01</v>
      </c>
      <c r="L5886">
        <v>4.8</v>
      </c>
      <c r="M5886">
        <v>1544</v>
      </c>
      <c r="O5886" t="s">
        <v>25</v>
      </c>
      <c r="P5886" t="s">
        <v>6946</v>
      </c>
      <c r="Q5886" t="s">
        <v>6947</v>
      </c>
    </row>
    <row r="5887" spans="1:17" ht="15.5" x14ac:dyDescent="0.35">
      <c r="A5887"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5887" s="3" t="str">
        <f>HYPERLINK("https://edmondsonsupply.com/products/amprobe-thwd-3-relative-humidity-temperature-meter", "https://edmondsonsupply.com/products/amprobe-thwd-3-relative-humidity-temperature-meter")</f>
        <v>https://edmondsonsupply.com/products/amprobe-thwd-3-relative-humidity-temperature-meter</v>
      </c>
      <c r="C5887" t="s">
        <v>7258</v>
      </c>
      <c r="D5887" t="s">
        <v>7258</v>
      </c>
      <c r="E5887" s="3" t="str">
        <f>HYPERLINK("https://www.amazon.com/Amprobe-THWD-3-Temperature-Relative-Humidity/dp/B002ICF5AI/ref=sr_1_1?keywords=Amprobe+THWD-3+Relative+Humidity+Temperature+Meter&amp;qid=1695174239&amp;sr=8-1", "https://www.amazon.com/Amprobe-THWD-3-Temperature-Relative-Humidity/dp/B002ICF5AI/ref=sr_1_1?keywords=Amprobe+THWD-3+Relative+Humidity+Temperature+Meter&amp;qid=1695174239&amp;sr=8-1")</f>
        <v>https://www.amazon.com/Amprobe-THWD-3-Temperature-Relative-Humidity/dp/B002ICF5AI/ref=sr_1_1?keywords=Amprobe+THWD-3+Relative+Humidity+Temperature+Meter&amp;qid=1695174239&amp;sr=8-1</v>
      </c>
      <c r="F5887" t="s">
        <v>7859</v>
      </c>
      <c r="G5887" t="e">
        <f ca="1">_xludf.IMAGE("https://edmondsonsupply.com/cdn/shop/products/THWD-3.png?v=1633526329")</f>
        <v>#NAME?</v>
      </c>
      <c r="H5887" t="e">
        <f ca="1">_xludf.IMAGE("https://m.media-amazon.com/images/I/51VeR6DpHLL._AC_UY218_.jpg")</f>
        <v>#NAME?</v>
      </c>
      <c r="I5887" t="s">
        <v>7261</v>
      </c>
      <c r="J5887">
        <v>177.95</v>
      </c>
      <c r="K5887" s="4">
        <v>8.9999999999999993E-3</v>
      </c>
      <c r="L5887">
        <v>4.7</v>
      </c>
      <c r="M5887">
        <v>156</v>
      </c>
      <c r="O5887" t="s">
        <v>25</v>
      </c>
      <c r="P5887" t="s">
        <v>4452</v>
      </c>
      <c r="Q5887" t="s">
        <v>7262</v>
      </c>
    </row>
    <row r="5888" spans="1:17" ht="15.5" x14ac:dyDescent="0.35">
      <c r="A5888"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5888" s="3" t="str">
        <f>HYPERLINK("https://edmondsonsupply.com/products/klein-tools-56341-stainless-steel-fish-tape-1-8-inch-x-240-foot", "https://edmondsonsupply.com/products/klein-tools-56341-stainless-steel-fish-tape-1-8-inch-x-240-foot")</f>
        <v>https://edmondsonsupply.com/products/klein-tools-56341-stainless-steel-fish-tape-1-8-inch-x-240-foot</v>
      </c>
      <c r="C5888" t="s">
        <v>7829</v>
      </c>
      <c r="D5888" t="s">
        <v>7860</v>
      </c>
      <c r="E5888" s="3" t="str">
        <f>HYPERLINK("https://www.amazon.com/Stainless-240-Foot-Klein-Tools-56008/dp/B002PDVHXO/ref=sr_1_2?keywords=Klein+Tools+56341+Stainless+Steel+Fish+Tape%2C+1%2F8-Inch+x+240-Foot&amp;qid=1695174134&amp;sr=8-2", "https://www.amazon.com/Stainless-240-Foot-Klein-Tools-56008/dp/B002PDVHXO/ref=sr_1_2?keywords=Klein+Tools+56341+Stainless+Steel+Fish+Tape%2C+1%2F8-Inch+x+240-Foot&amp;qid=1695174134&amp;sr=8-2")</f>
        <v>https://www.amazon.com/Stainless-240-Foot-Klein-Tools-56008/dp/B002PDVHXO/ref=sr_1_2?keywords=Klein+Tools+56341+Stainless+Steel+Fish+Tape%2C+1%2F8-Inch+x+240-Foot&amp;qid=1695174134&amp;sr=8-2</v>
      </c>
      <c r="F5888" t="s">
        <v>7861</v>
      </c>
      <c r="G5888" t="e">
        <f ca="1">_xludf.IMAGE("https://edmondsonsupply.com/cdn/shop/products/56341.jpg?v=1666901345")</f>
        <v>#NAME?</v>
      </c>
      <c r="H5888" t="e">
        <f ca="1">_xludf.IMAGE("https://m.media-amazon.com/images/I/61xbap4AX1L._AC_UL320_.jpg")</f>
        <v>#NAME?</v>
      </c>
      <c r="I5888" t="s">
        <v>7832</v>
      </c>
      <c r="J5888">
        <v>115.99</v>
      </c>
      <c r="K5888" s="4">
        <v>8.6999999999999994E-3</v>
      </c>
      <c r="L5888">
        <v>4.0999999999999996</v>
      </c>
      <c r="M5888">
        <v>25</v>
      </c>
      <c r="O5888" t="s">
        <v>25</v>
      </c>
      <c r="P5888" t="s">
        <v>7833</v>
      </c>
      <c r="Q5888" t="s">
        <v>7834</v>
      </c>
    </row>
    <row r="5889" spans="1:17" ht="15.5" x14ac:dyDescent="0.35">
      <c r="A5889"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5889" s="3" t="str">
        <f>HYPERLINK("https://edmondsonsupply.com/products/klein-tools-s8m-1-4-inch-magnetic-nut-driver-3-inch-shank", "https://edmondsonsupply.com/products/klein-tools-s8m-1-4-inch-magnetic-nut-driver-3-inch-shank")</f>
        <v>https://edmondsonsupply.com/products/klein-tools-s8m-1-4-inch-magnetic-nut-driver-3-inch-shank</v>
      </c>
      <c r="C5889" t="s">
        <v>3809</v>
      </c>
      <c r="D5889" t="s">
        <v>4434</v>
      </c>
      <c r="E5889" s="3" t="str">
        <f>HYPERLINK("https://www.amazon.com/Magnetic-Comfordome-Klein-Tools-S10M/dp/B000936PCU/ref=sr_1_9?keywords=Klein+Tools+S8M+1%2F4-Inch+Magnetic+Nut+Driver+3-Inch+Shank&amp;qid=1695174041&amp;sr=8-9", "https://www.amazon.com/Magnetic-Comfordome-Klein-Tools-S10M/dp/B000936PCU/ref=sr_1_9?keywords=Klein+Tools+S8M+1%2F4-Inch+Magnetic+Nut+Driver+3-Inch+Shank&amp;qid=1695174041&amp;sr=8-9")</f>
        <v>https://www.amazon.com/Magnetic-Comfordome-Klein-Tools-S10M/dp/B000936PCU/ref=sr_1_9?keywords=Klein+Tools+S8M+1%2F4-Inch+Magnetic+Nut+Driver+3-Inch+Shank&amp;qid=1695174041&amp;sr=8-9</v>
      </c>
      <c r="F5889" t="s">
        <v>4435</v>
      </c>
      <c r="G5889" t="e">
        <f ca="1">_xludf.IMAGE("https://edmondsonsupply.com/cdn/shop/products/s8m.jpg?v=1633030818")</f>
        <v>#NAME?</v>
      </c>
      <c r="H5889" t="e">
        <f ca="1">_xludf.IMAGE("https://m.media-amazon.com/images/I/51wT5Rnu5GL._AC_UL320_.jpg")</f>
        <v>#NAME?</v>
      </c>
      <c r="I5889" t="s">
        <v>924</v>
      </c>
      <c r="J5889">
        <v>9.0500000000000007</v>
      </c>
      <c r="K5889" s="4">
        <v>6.7000000000000002E-3</v>
      </c>
      <c r="L5889">
        <v>4.5999999999999996</v>
      </c>
      <c r="M5889">
        <v>231</v>
      </c>
      <c r="O5889" t="s">
        <v>25</v>
      </c>
      <c r="P5889" t="s">
        <v>3812</v>
      </c>
      <c r="Q5889" t="s">
        <v>3813</v>
      </c>
    </row>
    <row r="5890" spans="1:17" ht="15.5" x14ac:dyDescent="0.35">
      <c r="A5890" s="3" t="str">
        <f>HYPERLINK("https://edmondsonsupply.com/collections/electricians-tools/products/fluke-378-fc-non-contact-voltage-true-rms-ac-dc-clamp-meter-with-iflex", "https://edmondsonsupply.com/collections/electricians-tools/products/fluke-378-fc-non-contact-voltage-true-rms-ac-dc-clamp-meter-with-iflex")</f>
        <v>https://edmondsonsupply.com/collections/electricians-tools/products/fluke-378-fc-non-contact-voltage-true-rms-ac-dc-clamp-meter-with-iflex</v>
      </c>
      <c r="B5890" s="3" t="str">
        <f>HYPERLINK("https://edmondsonsupply.com/products/fluke-378-fc-non-contact-voltage-true-rms-ac-dc-clamp-meter-with-iflex", "https://edmondsonsupply.com/products/fluke-378-fc-non-contact-voltage-true-rms-ac-dc-clamp-meter-with-iflex")</f>
        <v>https://edmondsonsupply.com/products/fluke-378-fc-non-contact-voltage-true-rms-ac-dc-clamp-meter-with-iflex</v>
      </c>
      <c r="C5890" t="s">
        <v>4438</v>
      </c>
      <c r="D5890" t="s">
        <v>4439</v>
      </c>
      <c r="E5890" s="3" t="str">
        <f>HYPERLINK("https://www.amazon.com/Fluke-Non-Contact-Voltage-Wireless-Indicator/dp/B0916K6JZF/ref=sr_1_1?keywords=Fluke+378+FC+Non-Contact+Voltage+True-RMS+AC%2FDC+Clamp+Meter+with+iFlex&amp;qid=1695173847&amp;sr=8-1", "https://www.amazon.com/Fluke-Non-Contact-Voltage-Wireless-Indicator/dp/B0916K6JZF/ref=sr_1_1?keywords=Fluke+378+FC+Non-Contact+Voltage+True-RMS+AC%2FDC+Clamp+Meter+with+iFlex&amp;qid=1695173847&amp;sr=8-1")</f>
        <v>https://www.amazon.com/Fluke-Non-Contact-Voltage-Wireless-Indicator/dp/B0916K6JZF/ref=sr_1_1?keywords=Fluke+378+FC+Non-Contact+Voltage+True-RMS+AC%2FDC+Clamp+Meter+with+iFlex&amp;qid=1695173847&amp;sr=8-1</v>
      </c>
      <c r="F5890" t="s">
        <v>4440</v>
      </c>
      <c r="G5890" t="e">
        <f ca="1">_xludf.IMAGE("https://edmondsonsupply.com/cdn/shop/products/378_FC_72dpi_499x1024px_E_NR-27689.jpg?v=1633031120")</f>
        <v>#NAME?</v>
      </c>
      <c r="H5890" t="e">
        <f ca="1">_xludf.IMAGE("https://m.media-amazon.com/images/I/813NB9dMeUL._AC_UY218_.jpg")</f>
        <v>#NAME?</v>
      </c>
      <c r="I5890" t="s">
        <v>4441</v>
      </c>
      <c r="J5890">
        <v>779.89</v>
      </c>
      <c r="K5890" s="4">
        <v>4.1000000000000003E-3</v>
      </c>
      <c r="L5890">
        <v>4.5999999999999996</v>
      </c>
      <c r="M5890">
        <v>97</v>
      </c>
      <c r="O5890" t="s">
        <v>171</v>
      </c>
      <c r="P5890" t="s">
        <v>4442</v>
      </c>
      <c r="Q5890" t="s">
        <v>4443</v>
      </c>
    </row>
    <row r="5891" spans="1:17" ht="15.5" x14ac:dyDescent="0.35">
      <c r="A5891"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5891"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5891" t="s">
        <v>5906</v>
      </c>
      <c r="D5891" t="s">
        <v>5838</v>
      </c>
      <c r="E5891" s="3" t="str">
        <f>HYPERLINK("https://www.amazon.com/Diablo-SDS-Max-4-Cutter-Carbide-Tipped-Hammer/dp/B089LHKFQ2/ref=sr_1_9?keywords=Diablo+Tools+DMAMXCC5050+4+in.+x+7+in.+SDS-Max+Carbide+Tipped+Core+Bit&amp;qid=1695174004&amp;sr=8-9", "https://www.amazon.com/Diablo-SDS-Max-4-Cutter-Carbide-Tipped-Hammer/dp/B089LHKFQ2/ref=sr_1_9?keywords=Diablo+Tools+DMAMXCC5050+4+in.+x+7+in.+SDS-Max+Carbide+Tipped+Core+Bit&amp;qid=1695174004&amp;sr=8-9")</f>
        <v>https://www.amazon.com/Diablo-SDS-Max-4-Cutter-Carbide-Tipped-Hammer/dp/B089LHKFQ2/ref=sr_1_9?keywords=Diablo+Tools+DMAMXCC5050+4+in.+x+7+in.+SDS-Max+Carbide+Tipped+Core+Bit&amp;qid=1695174004&amp;sr=8-9</v>
      </c>
      <c r="F5891" t="s">
        <v>5839</v>
      </c>
      <c r="G5891" t="e">
        <f ca="1">_xludf.IMAGE("https://edmondsonsupply.com/cdn/shop/files/yghx7uqdjxchri5fikny.webp?v=1686586834")</f>
        <v>#NAME?</v>
      </c>
      <c r="H5891" t="e">
        <f ca="1">_xludf.IMAGE("https://m.media-amazon.com/images/I/61p4Q032qYL._AC_UL320_.jpg")</f>
        <v>#NAME?</v>
      </c>
      <c r="I5891" t="s">
        <v>5907</v>
      </c>
      <c r="J5891">
        <v>151.99</v>
      </c>
      <c r="K5891" s="4">
        <v>3.8999999999999998E-3</v>
      </c>
      <c r="L5891">
        <v>4.4000000000000004</v>
      </c>
      <c r="M5891">
        <v>4</v>
      </c>
      <c r="O5891" t="s">
        <v>25</v>
      </c>
      <c r="P5891" t="s">
        <v>5908</v>
      </c>
      <c r="Q5891" t="s">
        <v>5909</v>
      </c>
    </row>
    <row r="5892" spans="1:17" ht="15.5" x14ac:dyDescent="0.35">
      <c r="A5892"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5892" s="3" t="str">
        <f>HYPERLINK("https://edmondsonsupply.com/products/diablo-tools-dmapl2290-7-16-in-x-10-in-x-12-in-sds-plus-2-cutter", "https://edmondsonsupply.com/products/diablo-tools-dmapl2290-7-16-in-x-10-in-x-12-in-sds-plus-2-cutter")</f>
        <v>https://edmondsonsupply.com/products/diablo-tools-dmapl2290-7-16-in-x-10-in-x-12-in-sds-plus-2-cutter</v>
      </c>
      <c r="C5892" t="s">
        <v>5860</v>
      </c>
      <c r="D5892" t="s">
        <v>5912</v>
      </c>
      <c r="E5892" s="3" t="str">
        <f>HYPERLINK("https://www.amazon.com/Diablo-DMAPL2290-16-SDS-Plus-2-Cutter/dp/B089KVPSVG/ref=sr_1_1?keywords=Diablo+Tools+DMAPL2290+7%2F16+in.+x+10+in.+x+12+in.+SDS-Plus+2-Cutter&amp;qid=1695174015&amp;sr=8-1", "https://www.amazon.com/Diablo-DMAPL2290-16-SDS-Plus-2-Cutter/dp/B089KVPSVG/ref=sr_1_1?keywords=Diablo+Tools+DMAPL2290+7%2F16+in.+x+10+in.+x+12+in.+SDS-Plus+2-Cutter&amp;qid=1695174015&amp;sr=8-1")</f>
        <v>https://www.amazon.com/Diablo-DMAPL2290-16-SDS-Plus-2-Cutter/dp/B089KVPSVG/ref=sr_1_1?keywords=Diablo+Tools+DMAPL2290+7%2F16+in.+x+10+in.+x+12+in.+SDS-Plus+2-Cutter&amp;qid=1695174015&amp;sr=8-1</v>
      </c>
      <c r="F5892" t="s">
        <v>5913</v>
      </c>
      <c r="G5892" t="e">
        <f ca="1">_xludf.IMAGE("https://edmondsonsupply.com/cdn/shop/files/lgvfccwvf9ikjakt8qfb.webp?v=1686146379")</f>
        <v>#NAME?</v>
      </c>
      <c r="H5892" t="e">
        <f ca="1">_xludf.IMAGE("https://m.media-amazon.com/images/I/61fcva10QfL._AC_UL320_.jpg")</f>
        <v>#NAME?</v>
      </c>
      <c r="I5892" t="s">
        <v>1140</v>
      </c>
      <c r="J5892">
        <v>10.54</v>
      </c>
      <c r="K5892" s="4">
        <v>3.8E-3</v>
      </c>
      <c r="L5892">
        <v>4.7</v>
      </c>
      <c r="M5892">
        <v>6</v>
      </c>
      <c r="O5892" t="s">
        <v>25</v>
      </c>
      <c r="P5892" t="s">
        <v>5863</v>
      </c>
      <c r="Q5892" t="s">
        <v>5864</v>
      </c>
    </row>
    <row r="5893" spans="1:17" ht="15.5" x14ac:dyDescent="0.35">
      <c r="A5893"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5893"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5893" t="s">
        <v>6812</v>
      </c>
      <c r="D5893" t="s">
        <v>7862</v>
      </c>
      <c r="E5893" s="3" t="str">
        <f>HYPERLINK("https://www.amazon.com/Klein-Tools-6834INS-Screwdriver-Cushion-Grip/dp/B0BF7LCHQ9/ref=sr_1_10?keywords=Klein+Tools+6824INS+Insulated+Screwdriver%2C+1%2F4-Inch+Cabinet+Tip%2C+4-Inch+Round+Shank&amp;qid=1695174148&amp;sr=8-10", "https://www.amazon.com/Klein-Tools-6834INS-Screwdriver-Cushion-Grip/dp/B0BF7LCHQ9/ref=sr_1_10?keywords=Klein+Tools+6824INS+Insulated+Screwdriver%2C+1%2F4-Inch+Cabinet+Tip%2C+4-Inch+Round+Shank&amp;qid=1695174148&amp;sr=8-10")</f>
        <v>https://www.amazon.com/Klein-Tools-6834INS-Screwdriver-Cushion-Grip/dp/B0BF7LCHQ9/ref=sr_1_10?keywords=Klein+Tools+6824INS+Insulated+Screwdriver%2C+1%2F4-Inch+Cabinet+Tip%2C+4-Inch+Round+Shank&amp;qid=1695174148&amp;sr=8-10</v>
      </c>
      <c r="F5893" t="s">
        <v>7863</v>
      </c>
      <c r="G5893" t="e">
        <f ca="1">_xludf.IMAGE("https://edmondsonsupply.com/cdn/shop/products/6824ins.jpg?v=1664813487")</f>
        <v>#NAME?</v>
      </c>
      <c r="H5893" t="e">
        <f ca="1">_xludf.IMAGE("https://m.media-amazon.com/images/I/41syzbetq2L._AC_UL320_.jpg")</f>
        <v>#NAME?</v>
      </c>
      <c r="I5893" t="s">
        <v>1427</v>
      </c>
      <c r="J5893">
        <v>9.99</v>
      </c>
      <c r="K5893" s="4">
        <v>2E-3</v>
      </c>
      <c r="L5893">
        <v>5</v>
      </c>
      <c r="M5893">
        <v>6</v>
      </c>
      <c r="O5893" t="s">
        <v>25</v>
      </c>
      <c r="P5893" t="s">
        <v>6813</v>
      </c>
      <c r="Q5893" t="s">
        <v>6814</v>
      </c>
    </row>
    <row r="5894" spans="1:17" ht="15.5" x14ac:dyDescent="0.35">
      <c r="A5894" s="3" t="str">
        <f>HYPERLINK("https://edmondsonsupply.com/collections/electricians-tools/products/klein-tools-6844ins-insulated-screwdriver-2-square-tip-4-inch-round-shank", "https://edmondsonsupply.com/collections/electricians-tools/products/klein-tools-6844ins-insulated-screwdriver-2-square-tip-4-inch-round-shank")</f>
        <v>https://edmondsonsupply.com/collections/electricians-tools/products/klein-tools-6844ins-insulated-screwdriver-2-square-tip-4-inch-round-shank</v>
      </c>
      <c r="B5894" s="3" t="str">
        <f>HYPERLINK("https://edmondsonsupply.com/products/klein-tools-6844ins-insulated-screwdriver-2-square-tip-4-inch-round-shank", "https://edmondsonsupply.com/products/klein-tools-6844ins-insulated-screwdriver-2-square-tip-4-inch-round-shank")</f>
        <v>https://edmondsonsupply.com/products/klein-tools-6844ins-insulated-screwdriver-2-square-tip-4-inch-round-shank</v>
      </c>
      <c r="C5894" t="s">
        <v>7214</v>
      </c>
      <c r="D5894" t="s">
        <v>7864</v>
      </c>
      <c r="E5894" s="3" t="str">
        <f>HYPERLINK("https://www.amazon.com/Klein-Tools-6844INS-Screwdriver-Cushion-Grip/dp/B0BF7L6BZ6/ref=sr_1_1?keywords=Klein+Tools+6844INS+Insulated+Screwdriver%2C+%232+Square+Tip%2C+4-Inch+Round+Shank&amp;qid=1695174147&amp;sr=8-1", "https://www.amazon.com/Klein-Tools-6844INS-Screwdriver-Cushion-Grip/dp/B0BF7L6BZ6/ref=sr_1_1?keywords=Klein+Tools+6844INS+Insulated+Screwdriver%2C+%232+Square+Tip%2C+4-Inch+Round+Shank&amp;qid=1695174147&amp;sr=8-1")</f>
        <v>https://www.amazon.com/Klein-Tools-6844INS-Screwdriver-Cushion-Grip/dp/B0BF7L6BZ6/ref=sr_1_1?keywords=Klein+Tools+6844INS+Insulated+Screwdriver%2C+%232+Square+Tip%2C+4-Inch+Round+Shank&amp;qid=1695174147&amp;sr=8-1</v>
      </c>
      <c r="F5894" t="s">
        <v>7865</v>
      </c>
      <c r="G5894" t="e">
        <f ca="1">_xludf.IMAGE("https://edmondsonsupply.com/cdn/shop/products/6844ins.jpg?v=1664817203")</f>
        <v>#NAME?</v>
      </c>
      <c r="H5894" t="e">
        <f ca="1">_xludf.IMAGE("https://m.media-amazon.com/images/I/41RKewAXjvL._AC_UL320_.jpg")</f>
        <v>#NAME?</v>
      </c>
      <c r="I5894" t="s">
        <v>1427</v>
      </c>
      <c r="J5894">
        <v>9.99</v>
      </c>
      <c r="K5894" s="4">
        <v>2E-3</v>
      </c>
      <c r="L5894">
        <v>4.9000000000000004</v>
      </c>
      <c r="M5894">
        <v>205</v>
      </c>
      <c r="O5894" t="s">
        <v>25</v>
      </c>
      <c r="P5894" t="s">
        <v>7217</v>
      </c>
      <c r="Q5894" t="s">
        <v>7218</v>
      </c>
    </row>
    <row r="5895" spans="1:17" ht="15.5" x14ac:dyDescent="0.35">
      <c r="A5895"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5895"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5895" t="s">
        <v>6812</v>
      </c>
      <c r="D5895" t="s">
        <v>7866</v>
      </c>
      <c r="E5895" s="3" t="str">
        <f>HYPERLINK("https://www.amazon.com/Klein-Tools-6824INS-Screwdriver-Cushion-Grip/dp/B0BF78XBPX/ref=sr_1_3?keywords=Klein+Tools+6824INS+Insulated+Screwdriver%2C+1%2F4-Inch+Cabinet+Tip%2C+4-Inch+Round+Shank&amp;qid=1695174148&amp;sr=8-3", "https://www.amazon.com/Klein-Tools-6824INS-Screwdriver-Cushion-Grip/dp/B0BF78XBPX/ref=sr_1_3?keywords=Klein+Tools+6824INS+Insulated+Screwdriver%2C+1%2F4-Inch+Cabinet+Tip%2C+4-Inch+Round+Shank&amp;qid=1695174148&amp;sr=8-3")</f>
        <v>https://www.amazon.com/Klein-Tools-6824INS-Screwdriver-Cushion-Grip/dp/B0BF78XBPX/ref=sr_1_3?keywords=Klein+Tools+6824INS+Insulated+Screwdriver%2C+1%2F4-Inch+Cabinet+Tip%2C+4-Inch+Round+Shank&amp;qid=1695174148&amp;sr=8-3</v>
      </c>
      <c r="F5895" t="s">
        <v>7867</v>
      </c>
      <c r="G5895" t="e">
        <f ca="1">_xludf.IMAGE("https://edmondsonsupply.com/cdn/shop/products/6824ins.jpg?v=1664813487")</f>
        <v>#NAME?</v>
      </c>
      <c r="H5895" t="e">
        <f ca="1">_xludf.IMAGE("https://m.media-amazon.com/images/I/410Gu3snLdL._AC_UL320_.jpg")</f>
        <v>#NAME?</v>
      </c>
      <c r="I5895" t="s">
        <v>1427</v>
      </c>
      <c r="J5895">
        <v>9.99</v>
      </c>
      <c r="K5895" s="4">
        <v>2E-3</v>
      </c>
      <c r="L5895">
        <v>4.9000000000000004</v>
      </c>
      <c r="M5895">
        <v>205</v>
      </c>
      <c r="O5895" t="s">
        <v>25</v>
      </c>
      <c r="P5895" t="s">
        <v>6813</v>
      </c>
      <c r="Q5895" t="s">
        <v>6814</v>
      </c>
    </row>
    <row r="5896" spans="1:17" ht="15.5" x14ac:dyDescent="0.35">
      <c r="A5896" s="3" t="str">
        <f>HYPERLINK("https://edmondsonsupply.com/collections/electricians-tools/products/channellock-431", "https://edmondsonsupply.com/collections/electricians-tools/products/channellock-431")</f>
        <v>https://edmondsonsupply.com/collections/electricians-tools/products/channellock-431</v>
      </c>
      <c r="B5896" s="3" t="str">
        <f>HYPERLINK("https://edmondsonsupply.com/products/channellock-431", "https://edmondsonsupply.com/products/channellock-431")</f>
        <v>https://edmondsonsupply.com/products/channellock-431</v>
      </c>
      <c r="C5896" t="s">
        <v>3341</v>
      </c>
      <c r="D5896" t="s">
        <v>4447</v>
      </c>
      <c r="E5896" s="3" t="str">
        <f>HYPERLINK("https://www.amazon.com/MAXPOWER-Groove-Pliers-Adjustable-Serrtated/dp/B0BBMQZ28N/ref=sr_1_8?keywords=Channellock+432+10-Inch+V-Jaw+Tongue&amp;qid=1695173959&amp;sr=8-8", "https://www.amazon.com/MAXPOWER-Groove-Pliers-Adjustable-Serrtated/dp/B0BBMQZ28N/ref=sr_1_8?keywords=Channellock+432+10-Inch+V-Jaw+Tongue&amp;qid=1695173959&amp;sr=8-8")</f>
        <v>https://www.amazon.com/MAXPOWER-Groove-Pliers-Adjustable-Serrtated/dp/B0BBMQZ28N/ref=sr_1_8?keywords=Channellock+432+10-Inch+V-Jaw+Tongue&amp;qid=1695173959&amp;sr=8-8</v>
      </c>
      <c r="F5896" t="s">
        <v>4448</v>
      </c>
      <c r="G5896" t="e">
        <f ca="1">_xludf.IMAGE("https://edmondsonsupply.com/cdn/shop/products/432-683x1024.jpg?v=1587147134")</f>
        <v>#NAME?</v>
      </c>
      <c r="H5896" t="e">
        <f ca="1">_xludf.IMAGE("https://m.media-amazon.com/images/I/6184vDVNMFL._AC_UL320_.jpg")</f>
        <v>#NAME?</v>
      </c>
      <c r="I5896" t="s">
        <v>488</v>
      </c>
      <c r="J5896">
        <v>19.989999999999998</v>
      </c>
      <c r="K5896" s="4">
        <v>2E-3</v>
      </c>
      <c r="L5896">
        <v>4.5</v>
      </c>
      <c r="M5896">
        <v>19</v>
      </c>
      <c r="O5896" t="s">
        <v>25</v>
      </c>
      <c r="P5896" t="s">
        <v>3344</v>
      </c>
      <c r="Q5896" t="s">
        <v>3345</v>
      </c>
    </row>
    <row r="5897" spans="1:17" ht="15.5" x14ac:dyDescent="0.35">
      <c r="A5897" s="3" t="str">
        <f>HYPERLINK("https://edmondsonsupply.com/collections/electricians-tools/products/klein-tools-jth6t25-t25-torx%C2%AE-hex-key-with-journeyman-t-handle-6-inch", "https://edmondsonsupply.com/collections/electricians-tools/products/klein-tools-jth6t25-t25-torx%C2%AE-hex-key-with-journeyman-t-handle-6-inch")</f>
        <v>https://edmondsonsupply.com/collections/electricians-tools/products/klein-tools-jth6t25-t25-torx%C2%AE-hex-key-with-journeyman-t-handle-6-inch</v>
      </c>
      <c r="B5897" s="3" t="str">
        <f>HYPERLINK("https://edmondsonsupply.com/products/klein-tools-jth6t25-t25-torx%c2%ae-hex-key-with-journeyman-t-handle-6-inch", "https://edmondsonsupply.com/products/klein-tools-jth6t25-t25-torx%c2%ae-hex-key-with-journeyman-t-handle-6-inch")</f>
        <v>https://edmondsonsupply.com/products/klein-tools-jth6t25-t25-torx%c2%ae-hex-key-with-journeyman-t-handle-6-inch</v>
      </c>
      <c r="C5897" t="s">
        <v>3078</v>
      </c>
      <c r="D5897" t="s">
        <v>3079</v>
      </c>
      <c r="E5897" s="3" t="str">
        <f>HYPERLINK("https://www.amazon.com/Journeyman-T-Handle-Klein-Tools-JTH6T25/dp/B005G3B4HE/ref=sr_1_1?keywords=Klein+Tools+JTH6T25+T25+Torx%C2%AE+Hex+Key+with+Journeyman+T-Handle%2C+6-Inch&amp;qid=1695173879&amp;sr=8-1", "https://www.amazon.com/Journeyman-T-Handle-Klein-Tools-JTH6T25/dp/B005G3B4HE/ref=sr_1_1?keywords=Klein+Tools+JTH6T25+T25+Torx%C2%AE+Hex+Key+with+Journeyman+T-Handle%2C+6-Inch&amp;qid=1695173879&amp;sr=8-1")</f>
        <v>https://www.amazon.com/Journeyman-T-Handle-Klein-Tools-JTH6T25/dp/B005G3B4HE/ref=sr_1_1?keywords=Klein+Tools+JTH6T25+T25+Torx%C2%AE+Hex+Key+with+Journeyman+T-Handle%2C+6-Inch&amp;qid=1695173879&amp;sr=8-1</v>
      </c>
      <c r="F5897" t="s">
        <v>3080</v>
      </c>
      <c r="G5897" t="e">
        <f ca="1">_xludf.IMAGE("https://edmondsonsupply.com/cdn/shop/products/jth6t40_f27d4256-4343-44f4-afb3-5989c8c8fc7b.jpg?v=1613168190")</f>
        <v>#NAME?</v>
      </c>
      <c r="H5897" t="e">
        <f ca="1">_xludf.IMAGE("https://m.media-amazon.com/images/I/51Xj0Vsb-EL._AC_UL320_.jpg")</f>
        <v>#NAME?</v>
      </c>
      <c r="I5897" t="s">
        <v>3081</v>
      </c>
      <c r="J5897">
        <v>12.16</v>
      </c>
      <c r="K5897" s="4">
        <v>1.6000000000000001E-3</v>
      </c>
      <c r="L5897">
        <v>4.8</v>
      </c>
      <c r="M5897">
        <v>1544</v>
      </c>
      <c r="O5897" t="s">
        <v>25</v>
      </c>
      <c r="P5897" t="s">
        <v>138</v>
      </c>
      <c r="Q5897" t="s">
        <v>3082</v>
      </c>
    </row>
    <row r="5898" spans="1:17" ht="15.5" x14ac:dyDescent="0.35">
      <c r="A5898"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5898" s="3" t="str">
        <f>HYPERLINK("https://edmondsonsupply.com/products/diablo-tools-d0740x-7-1-4-in-x-40-tooth-finish-saw-blade", "https://edmondsonsupply.com/products/diablo-tools-d0740x-7-1-4-in-x-40-tooth-finish-saw-blade")</f>
        <v>https://edmondsonsupply.com/products/diablo-tools-d0740x-7-1-4-in-x-40-tooth-finish-saw-blade</v>
      </c>
      <c r="C5898" t="s">
        <v>6112</v>
      </c>
      <c r="D5898" t="s">
        <v>7868</v>
      </c>
      <c r="E5898" s="3" t="str">
        <f>HYPERLINK("https://www.amazon.com/FOXBC-Circular-Replacement-D0740A-Finishing/dp/B0C6L5RLM8/ref=sr_1_6?keywords=Diablo+Tools+D0740X+7-1%2F4+in.+x+40+Tooth+Finish+Saw+Blade&amp;qid=1695174073&amp;sr=8-6", "https://www.amazon.com/FOXBC-Circular-Replacement-D0740A-Finishing/dp/B0C6L5RLM8/ref=sr_1_6?keywords=Diablo+Tools+D0740X+7-1%2F4+in.+x+40+Tooth+Finish+Saw+Blade&amp;qid=1695174073&amp;sr=8-6")</f>
        <v>https://www.amazon.com/FOXBC-Circular-Replacement-D0740A-Finishing/dp/B0C6L5RLM8/ref=sr_1_6?keywords=Diablo+Tools+D0740X+7-1%2F4+in.+x+40+Tooth+Finish+Saw+Blade&amp;qid=1695174073&amp;sr=8-6</v>
      </c>
      <c r="F5898" t="s">
        <v>7869</v>
      </c>
      <c r="G5898" t="e">
        <f ca="1">_xludf.IMAGE("https://edmondsonsupply.com/cdn/shop/products/kdrkrhhsfpivsggxnkhy.webp?v=1678975834")</f>
        <v>#NAME?</v>
      </c>
      <c r="H5898" t="e">
        <f ca="1">_xludf.IMAGE("https://m.media-amazon.com/images/I/71ar9CaHLGL._AC_UL320_.jpg")</f>
        <v>#NAME?</v>
      </c>
      <c r="I5898" t="s">
        <v>2784</v>
      </c>
      <c r="J5898">
        <v>14.99</v>
      </c>
      <c r="K5898" s="4">
        <v>1.2999999999999999E-3</v>
      </c>
      <c r="L5898">
        <v>4.5</v>
      </c>
      <c r="M5898">
        <v>27</v>
      </c>
      <c r="O5898" t="s">
        <v>25</v>
      </c>
      <c r="P5898" t="s">
        <v>6115</v>
      </c>
      <c r="Q5898" t="s">
        <v>6116</v>
      </c>
    </row>
    <row r="5899" spans="1:17" ht="15.5" x14ac:dyDescent="0.35">
      <c r="A5899"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5899" s="3" t="str">
        <f>HYPERLINK("https://edmondsonsupply.com/products/diablo-tools-dag1110-7-8-in-x-7-1-2-in-auger-bit", "https://edmondsonsupply.com/products/diablo-tools-dag1110-7-8-in-x-7-1-2-in-auger-bit")</f>
        <v>https://edmondsonsupply.com/products/diablo-tools-dag1110-7-8-in-x-7-1-2-in-auger-bit</v>
      </c>
      <c r="C5899" t="s">
        <v>6839</v>
      </c>
      <c r="D5899" t="s">
        <v>4322</v>
      </c>
      <c r="E5899" s="3" t="str">
        <f>HYPERLINK("https://www.amazon.com/Diablo-7-1-Auger-Bit/dp/B089LHLLW4/ref=sr_1_9?keywords=Diablo+Tools+DAG1110+7%2F8+in.+x+7-1%2F2+in.+Auger+Bit&amp;qid=1695174030&amp;sr=8-9", "https://www.amazon.com/Diablo-7-1-Auger-Bit/dp/B089LHLLW4/ref=sr_1_9?keywords=Diablo+Tools+DAG1110+7%2F8+in.+x+7-1%2F2+in.+Auger+Bit&amp;qid=1695174030&amp;sr=8-9")</f>
        <v>https://www.amazon.com/Diablo-7-1-Auger-Bit/dp/B089LHLLW4/ref=sr_1_9?keywords=Diablo+Tools+DAG1110+7%2F8+in.+x+7-1%2F2+in.+Auger+Bit&amp;qid=1695174030&amp;sr=8-9</v>
      </c>
      <c r="F5899" t="s">
        <v>4323</v>
      </c>
      <c r="G5899" t="e">
        <f ca="1">_xludf.IMAGE("https://edmondsonsupply.com/cdn/shop/products/yel7mbaiyy08ii0assd5.webp?v=1680187136")</f>
        <v>#NAME?</v>
      </c>
      <c r="H5899" t="e">
        <f ca="1">_xludf.IMAGE("https://m.media-amazon.com/images/I/61bFULmp4GL._AC_UL320_.jpg")</f>
        <v>#NAME?</v>
      </c>
      <c r="I5899" t="s">
        <v>4985</v>
      </c>
      <c r="J5899">
        <v>16.989999999999998</v>
      </c>
      <c r="K5899" s="4">
        <v>1.1999999999999999E-3</v>
      </c>
      <c r="L5899">
        <v>4.4000000000000004</v>
      </c>
      <c r="M5899">
        <v>38</v>
      </c>
      <c r="O5899" t="s">
        <v>25</v>
      </c>
      <c r="P5899" t="s">
        <v>6840</v>
      </c>
      <c r="Q5899" t="s">
        <v>6841</v>
      </c>
    </row>
    <row r="5900" spans="1:17" ht="15.5" x14ac:dyDescent="0.35">
      <c r="A5900" s="3" t="str">
        <f>HYPERLINK("https://edmondsonsupply.com/collections/electricians-tools/products/milwaukee-48-39-0521-18-tpi-band-saw-blade-deep-cut-3-pack", "https://edmondsonsupply.com/collections/electricians-tools/products/milwaukee-48-39-0521-18-tpi-band-saw-blade-deep-cut-3-pack")</f>
        <v>https://edmondsonsupply.com/collections/electricians-tools/products/milwaukee-48-39-0521-18-tpi-band-saw-blade-deep-cut-3-pack</v>
      </c>
      <c r="B5900" s="3" t="str">
        <f>HYPERLINK("https://edmondsonsupply.com/products/milwaukee-48-39-0521-18-tpi-band-saw-blade-deep-cut-3-pack", "https://edmondsonsupply.com/products/milwaukee-48-39-0521-18-tpi-band-saw-blade-deep-cut-3-pack")</f>
        <v>https://edmondsonsupply.com/products/milwaukee-48-39-0521-18-tpi-band-saw-blade-deep-cut-3-pack</v>
      </c>
      <c r="C5900" t="s">
        <v>5843</v>
      </c>
      <c r="D5900" t="s">
        <v>5916</v>
      </c>
      <c r="E5900" s="3" t="str">
        <f>HYPERLINK("https://www.amazon.com/FOXBC-Replacement-Milwaukee-48-39-0521-Portable/dp/B0C3C8Q6K1/ref=sr_1_2?keywords=Milwaukee+48-39-0521+18+TPI+Band+Saw+Blade%2C+Deep+Cut-+3+Pack&amp;qid=1695174009&amp;sr=8-2", "https://www.amazon.com/FOXBC-Replacement-Milwaukee-48-39-0521-Portable/dp/B0C3C8Q6K1/ref=sr_1_2?keywords=Milwaukee+48-39-0521+18+TPI+Band+Saw+Blade%2C+Deep+Cut-+3+Pack&amp;qid=1695174009&amp;sr=8-2")</f>
        <v>https://www.amazon.com/FOXBC-Replacement-Milwaukee-48-39-0521-Portable/dp/B0C3C8Q6K1/ref=sr_1_2?keywords=Milwaukee+48-39-0521+18+TPI+Band+Saw+Blade%2C+Deep+Cut-+3+Pack&amp;qid=1695174009&amp;sr=8-2</v>
      </c>
      <c r="F5900" t="s">
        <v>5917</v>
      </c>
      <c r="G5900" t="e">
        <f ca="1">_xludf.IMAGE("https://edmondsonsupply.com/cdn/shop/files/21432_48-39-0510_1.jpg?v=1686932969")</f>
        <v>#NAME?</v>
      </c>
      <c r="H5900" t="e">
        <f ca="1">_xludf.IMAGE("https://m.media-amazon.com/images/I/61VscaX1XdL._AC_UL320_.jpg")</f>
        <v>#NAME?</v>
      </c>
      <c r="I5900" t="s">
        <v>2247</v>
      </c>
      <c r="J5900">
        <v>21.99</v>
      </c>
      <c r="K5900" s="4">
        <v>8.9999999999999998E-4</v>
      </c>
      <c r="L5900">
        <v>4.4000000000000004</v>
      </c>
      <c r="M5900">
        <v>43</v>
      </c>
      <c r="O5900" t="s">
        <v>25</v>
      </c>
      <c r="P5900" t="s">
        <v>5846</v>
      </c>
      <c r="Q5900" t="s">
        <v>5847</v>
      </c>
    </row>
    <row r="5901" spans="1:17" ht="15.5" x14ac:dyDescent="0.35">
      <c r="A5901"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5901" s="3" t="str">
        <f>HYPERLINK("https://edmondsonsupply.com/products/klein-tools-56028-flashlight-with-worklight-led-flashlight", "https://edmondsonsupply.com/products/klein-tools-56028-flashlight-with-worklight-led-flashlight")</f>
        <v>https://edmondsonsupply.com/products/klein-tools-56028-flashlight-with-worklight-led-flashlight</v>
      </c>
      <c r="C5901" t="s">
        <v>7140</v>
      </c>
      <c r="D5901" t="s">
        <v>7870</v>
      </c>
      <c r="E5901" s="3" t="str">
        <f>HYPERLINK("https://www.amazon.com/Blackfire-Rechargeable-Waterproof-BBM6411-Dual-Direction/dp/B0973SR954/ref=sr_1_10?keywords=Klein+Tools+56028+LED+Flashlight+with+Work+Light&amp;qid=1695174266&amp;sr=8-10", "https://www.amazon.com/Blackfire-Rechargeable-Waterproof-BBM6411-Dual-Direction/dp/B0973SR954/ref=sr_1_10?keywords=Klein+Tools+56028+LED+Flashlight+with+Work+Light&amp;qid=1695174266&amp;sr=8-10")</f>
        <v>https://www.amazon.com/Blackfire-Rechargeable-Waterproof-BBM6411-Dual-Direction/dp/B0973SR954/ref=sr_1_10?keywords=Klein+Tools+56028+LED+Flashlight+with+Work+Light&amp;qid=1695174266&amp;sr=8-10</v>
      </c>
      <c r="F5901" t="s">
        <v>7871</v>
      </c>
      <c r="G5901" t="e">
        <f ca="1">_xludf.IMAGE("https://edmondsonsupply.com/cdn/shop/products/56028.jpg?v=1587148656")</f>
        <v>#NAME?</v>
      </c>
      <c r="H5901" t="e">
        <f ca="1">_xludf.IMAGE("https://m.media-amazon.com/images/I/61lqPHvKTUL._AC_UL320_.jpg")</f>
        <v>#NAME?</v>
      </c>
      <c r="I5901" t="s">
        <v>936</v>
      </c>
      <c r="J5901">
        <v>26.99</v>
      </c>
      <c r="K5901" s="4">
        <v>6.9999999999999999E-4</v>
      </c>
      <c r="L5901">
        <v>4.3</v>
      </c>
      <c r="M5901">
        <v>26</v>
      </c>
      <c r="O5901" t="s">
        <v>25</v>
      </c>
      <c r="P5901" t="s">
        <v>7141</v>
      </c>
      <c r="Q5901" t="s">
        <v>7142</v>
      </c>
    </row>
    <row r="5902" spans="1:17" ht="15.5" x14ac:dyDescent="0.35">
      <c r="A5902"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5902" s="3" t="str">
        <f>HYPERLINK("https://edmondsonsupply.com/products/milwaukee-49-90-1900-hepa-filter", "https://edmondsonsupply.com/products/milwaukee-49-90-1900-hepa-filter")</f>
        <v>https://edmondsonsupply.com/products/milwaukee-49-90-1900-hepa-filter</v>
      </c>
      <c r="C5902" t="s">
        <v>5831</v>
      </c>
      <c r="D5902" t="s">
        <v>5918</v>
      </c>
      <c r="E5902" s="3" t="str">
        <f>HYPERLINK("https://www.amazon.com/SpaceTent-49-90-1900-Filters-Milwaukee-0880-20/dp/B0C8HF1NGW/ref=sr_1_5?keywords=Milwaukee+49-90-1900+HEPA+Filter&amp;qid=1695174010&amp;sr=8-5", "https://www.amazon.com/SpaceTent-49-90-1900-Filters-Milwaukee-0880-20/dp/B0C8HF1NGW/ref=sr_1_5?keywords=Milwaukee+49-90-1900+HEPA+Filter&amp;qid=1695174010&amp;sr=8-5")</f>
        <v>https://www.amazon.com/SpaceTent-49-90-1900-Filters-Milwaukee-0880-20/dp/B0C8HF1NGW/ref=sr_1_5?keywords=Milwaukee+49-90-1900+HEPA+Filter&amp;qid=1695174010&amp;sr=8-5</v>
      </c>
      <c r="F5902" t="s">
        <v>5919</v>
      </c>
      <c r="G5902" t="e">
        <f ca="1">_xludf.IMAGE("https://edmondsonsupply.com/cdn/shop/files/49-90-1900_1.png?v=1686234774")</f>
        <v>#NAME?</v>
      </c>
      <c r="H5902" t="e">
        <f ca="1">_xludf.IMAGE("https://m.media-amazon.com/images/I/61cxD0+NfyL._AC_UL320_.jpg")</f>
        <v>#NAME?</v>
      </c>
      <c r="I5902" t="s">
        <v>2170</v>
      </c>
      <c r="J5902">
        <v>24.99</v>
      </c>
      <c r="K5902" s="4">
        <v>4.0000000000000002E-4</v>
      </c>
      <c r="L5902">
        <v>4.7</v>
      </c>
      <c r="M5902">
        <v>11</v>
      </c>
      <c r="O5902" t="s">
        <v>25</v>
      </c>
      <c r="P5902" t="s">
        <v>2470</v>
      </c>
      <c r="Q5902" t="s">
        <v>5834</v>
      </c>
    </row>
    <row r="5903" spans="1:17" ht="15.5" x14ac:dyDescent="0.35">
      <c r="A5903"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5903"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5903" t="s">
        <v>7872</v>
      </c>
      <c r="D5903" t="s">
        <v>6126</v>
      </c>
      <c r="E5903" s="3" t="str">
        <f>HYPERLINK("https://www.amazon.com/Klein-Tools-66031-Slotted-12-Point/dp/B08R6FL5P8/ref=sr_1_3?keywords=Klein+Tools+66030+2-in-1+Coated+Impact+Socket%2C+12-Point%2C+3%2F4+and+9%2F16-Inch&amp;qid=1695174140&amp;sr=8-3", "https://www.amazon.com/Klein-Tools-66031-Slotted-12-Point/dp/B08R6FL5P8/ref=sr_1_3?keywords=Klein+Tools+66030+2-in-1+Coated+Impact+Socket%2C+12-Point%2C+3%2F4+and+9%2F16-Inch&amp;qid=1695174140&amp;sr=8-3")</f>
        <v>https://www.amazon.com/Klein-Tools-66031-Slotted-12-Point/dp/B08R6FL5P8/ref=sr_1_3?keywords=Klein+Tools+66030+2-in-1+Coated+Impact+Socket%2C+12-Point%2C+3%2F4+and+9%2F16-Inch&amp;qid=1695174140&amp;sr=8-3</v>
      </c>
      <c r="F5903" t="s">
        <v>6127</v>
      </c>
      <c r="G5903" t="e">
        <f ca="1">_xludf.IMAGE("https://edmondsonsupply.com/cdn/shop/products/66030.jpg?v=1666027133")</f>
        <v>#NAME?</v>
      </c>
      <c r="H5903" t="e">
        <f ca="1">_xludf.IMAGE("https://m.media-amazon.com/images/I/51mIf57QKuL._AC_UL320_.jpg")</f>
        <v>#NAME?</v>
      </c>
      <c r="I5903" t="s">
        <v>7792</v>
      </c>
      <c r="J5903">
        <v>49.99</v>
      </c>
      <c r="K5903" s="4">
        <v>2.0000000000000001E-4</v>
      </c>
      <c r="L5903">
        <v>4.8</v>
      </c>
      <c r="M5903">
        <v>662</v>
      </c>
      <c r="O5903" t="s">
        <v>25</v>
      </c>
      <c r="P5903" t="s">
        <v>7873</v>
      </c>
      <c r="Q5903" t="s">
        <v>7874</v>
      </c>
    </row>
    <row r="5904" spans="1:17" ht="15.5" x14ac:dyDescent="0.35">
      <c r="A5904"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5904"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5904" t="s">
        <v>6725</v>
      </c>
      <c r="D5904" t="s">
        <v>7875</v>
      </c>
      <c r="E5904" s="3" t="str">
        <f>HYPERLINK("https://www.amazon.com/Klein-Tools-6826INS-Screwdriver-Cushion-Grip/dp/B0BF79W49J/ref=sr_1_1?keywords=Klein+Tools+6826INS+Insulated+Screwdriver%2C+1%2F4-Inch+Cabinet+Tip%2C+6-Inch+Shank&amp;qid=1695174154&amp;sr=8-1", "https://www.amazon.com/Klein-Tools-6826INS-Screwdriver-Cushion-Grip/dp/B0BF79W49J/ref=sr_1_1?keywords=Klein+Tools+6826INS+Insulated+Screwdriver%2C+1%2F4-Inch+Cabinet+Tip%2C+6-Inch+Shank&amp;qid=1695174154&amp;sr=8-1")</f>
        <v>https://www.amazon.com/Klein-Tools-6826INS-Screwdriver-Cushion-Grip/dp/B0BF79W49J/ref=sr_1_1?keywords=Klein+Tools+6826INS+Insulated+Screwdriver%2C+1%2F4-Inch+Cabinet+Tip%2C+6-Inch+Shank&amp;qid=1695174154&amp;sr=8-1</v>
      </c>
      <c r="F5904" t="s">
        <v>7876</v>
      </c>
      <c r="G5904" t="e">
        <f ca="1">_xludf.IMAGE("https://edmondsonsupply.com/cdn/shop/products/6826ins.jpg?v=1664814069")</f>
        <v>#NAME?</v>
      </c>
      <c r="H5904" t="e">
        <f ca="1">_xludf.IMAGE("https://m.media-amazon.com/images/I/41dJ6lRyHyL._AC_UL320_.jpg")</f>
        <v>#NAME?</v>
      </c>
      <c r="I5904" t="s">
        <v>6073</v>
      </c>
      <c r="J5904">
        <v>11.97</v>
      </c>
      <c r="K5904" s="4">
        <v>0</v>
      </c>
      <c r="L5904">
        <v>4.9000000000000004</v>
      </c>
      <c r="M5904">
        <v>9</v>
      </c>
      <c r="O5904" t="s">
        <v>25</v>
      </c>
      <c r="P5904" t="s">
        <v>6728</v>
      </c>
      <c r="Q5904" t="s">
        <v>6729</v>
      </c>
    </row>
    <row r="5905" spans="1:17" ht="15.5" x14ac:dyDescent="0.35">
      <c r="A5905" s="3" t="str">
        <f>HYPERLINK("https://edmondsonsupply.com/collections/electricians-tools/products/klein-tools-635-6-nut-driver-set-magnetic-nut-drivers-heavy-duty-6-piece", "https://edmondsonsupply.com/collections/electricians-tools/products/klein-tools-635-6-nut-driver-set-magnetic-nut-drivers-heavy-duty-6-piece")</f>
        <v>https://edmondsonsupply.com/collections/electricians-tools/products/klein-tools-635-6-nut-driver-set-magnetic-nut-drivers-heavy-duty-6-piece</v>
      </c>
      <c r="B5905" s="3" t="str">
        <f>HYPERLINK("https://edmondsonsupply.com/products/klein-tools-635-6-nut-driver-set-magnetic-nut-drivers-heavy-duty-6-piece", "https://edmondsonsupply.com/products/klein-tools-635-6-nut-driver-set-magnetic-nut-drivers-heavy-duty-6-piece")</f>
        <v>https://edmondsonsupply.com/products/klein-tools-635-6-nut-driver-set-magnetic-nut-drivers-heavy-duty-6-piece</v>
      </c>
      <c r="C5905" t="s">
        <v>7877</v>
      </c>
      <c r="D5905" t="s">
        <v>1691</v>
      </c>
      <c r="E5905" s="3" t="str">
        <f>HYPERLINK("https://www.amazon.com/Klein-Tools-647M-Magnetic-7-Piece/dp/B000MKIUYQ/ref=sr_1_7?keywords=Klein+Tools+635-6+Nut+Driver+Set%2C+Magnetic+Nut+Drivers%2C+Heavy+Duty%2C+6-Piece&amp;qid=1695174277&amp;sr=8-7", "https://www.amazon.com/Klein-Tools-647M-Magnetic-7-Piece/dp/B000MKIUYQ/ref=sr_1_7?keywords=Klein+Tools+635-6+Nut+Driver+Set%2C+Magnetic+Nut+Drivers%2C+Heavy+Duty%2C+6-Piece&amp;qid=1695174277&amp;sr=8-7")</f>
        <v>https://www.amazon.com/Klein-Tools-647M-Magnetic-7-Piece/dp/B000MKIUYQ/ref=sr_1_7?keywords=Klein+Tools+635-6+Nut+Driver+Set%2C+Magnetic+Nut+Drivers%2C+Heavy+Duty%2C+6-Piece&amp;qid=1695174277&amp;sr=8-7</v>
      </c>
      <c r="F5905" t="s">
        <v>1692</v>
      </c>
      <c r="G5905" t="e">
        <f ca="1">_xludf.IMAGE("https://edmondsonsupply.com/cdn/shop/products/635-6.jpg?v=1633031003")</f>
        <v>#NAME?</v>
      </c>
      <c r="H5905" t="e">
        <f ca="1">_xludf.IMAGE("https://m.media-amazon.com/images/I/61PNUE211uL._AC_UL320_.jpg")</f>
        <v>#NAME?</v>
      </c>
      <c r="I5905" t="s">
        <v>300</v>
      </c>
      <c r="J5905">
        <v>79.989999999999995</v>
      </c>
      <c r="K5905" s="4">
        <v>0</v>
      </c>
      <c r="L5905">
        <v>4.8</v>
      </c>
      <c r="M5905">
        <v>985</v>
      </c>
      <c r="O5905" t="s">
        <v>25</v>
      </c>
      <c r="P5905" t="s">
        <v>6296</v>
      </c>
      <c r="Q5905" t="s">
        <v>7878</v>
      </c>
    </row>
    <row r="5906" spans="1:17" ht="15.5" x14ac:dyDescent="0.35">
      <c r="A5906"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5906"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5906" t="s">
        <v>6725</v>
      </c>
      <c r="D5906" t="s">
        <v>7499</v>
      </c>
      <c r="E5906" s="3" t="str">
        <f>HYPERLINK("https://www.amazon.com/Klein-Tools-6846INS-Screwdriver-Cushion-Grip/dp/B0BF7X96QK/ref=sr_1_6?keywords=Klein+Tools+6826INS+Insulated+Screwdriver%2C+1%2F4-Inch+Cabinet+Tip%2C+6-Inch+Shank&amp;qid=1695174154&amp;sr=8-6", "https://www.amazon.com/Klein-Tools-6846INS-Screwdriver-Cushion-Grip/dp/B0BF7X96QK/ref=sr_1_6?keywords=Klein+Tools+6826INS+Insulated+Screwdriver%2C+1%2F4-Inch+Cabinet+Tip%2C+6-Inch+Shank&amp;qid=1695174154&amp;sr=8-6")</f>
        <v>https://www.amazon.com/Klein-Tools-6846INS-Screwdriver-Cushion-Grip/dp/B0BF7X96QK/ref=sr_1_6?keywords=Klein+Tools+6826INS+Insulated+Screwdriver%2C+1%2F4-Inch+Cabinet+Tip%2C+6-Inch+Shank&amp;qid=1695174154&amp;sr=8-6</v>
      </c>
      <c r="F5906" t="s">
        <v>7500</v>
      </c>
      <c r="G5906" t="e">
        <f ca="1">_xludf.IMAGE("https://edmondsonsupply.com/cdn/shop/products/6826ins.jpg?v=1664814069")</f>
        <v>#NAME?</v>
      </c>
      <c r="H5906" t="e">
        <f ca="1">_xludf.IMAGE("https://m.media-amazon.com/images/I/31EOUkZ6n3L._AC_UL320_.jpg")</f>
        <v>#NAME?</v>
      </c>
      <c r="I5906" t="s">
        <v>6073</v>
      </c>
      <c r="J5906">
        <v>11.97</v>
      </c>
      <c r="K5906" s="4">
        <v>0</v>
      </c>
      <c r="L5906">
        <v>4.8</v>
      </c>
      <c r="M5906">
        <v>207</v>
      </c>
      <c r="O5906" t="s">
        <v>25</v>
      </c>
      <c r="P5906" t="s">
        <v>6728</v>
      </c>
      <c r="Q5906" t="s">
        <v>6729</v>
      </c>
    </row>
    <row r="5907" spans="1:17" ht="15.5" x14ac:dyDescent="0.35">
      <c r="A5907" s="3" t="str">
        <f>HYPERLINK("https://edmondsonsupply.com/collections/electricians-tools/products/klein-tools-93lcls-laser-level-self-leveling-red-cross-line-level-and-red-plumb-spot", "https://edmondsonsupply.com/collections/electricians-tools/products/klein-tools-93lcls-laser-level-self-leveling-red-cross-line-level-and-red-plumb-spot")</f>
        <v>https://edmondsonsupply.com/collections/electricians-tools/products/klein-tools-93lcls-laser-level-self-leveling-red-cross-line-level-and-red-plumb-spot</v>
      </c>
      <c r="B5907" s="3" t="str">
        <f>HYPERLINK("https://edmondsonsupply.com/products/klein-tools-93lcls-laser-level-self-leveling-red-cross-line-level-and-red-plumb-spot", "https://edmondsonsupply.com/products/klein-tools-93lcls-laser-level-self-leveling-red-cross-line-level-and-red-plumb-spot")</f>
        <v>https://edmondsonsupply.com/products/klein-tools-93lcls-laser-level-self-leveling-red-cross-line-level-and-red-plumb-spot</v>
      </c>
      <c r="C5907" t="s">
        <v>7290</v>
      </c>
      <c r="D5907" t="s">
        <v>7879</v>
      </c>
      <c r="E5907" s="3" t="str">
        <f>HYPERLINK("https://www.amazon.com/Self-Leveling-Magnetic-Klein-Tools-93LCLS/dp/B0753K7XQF/ref=sr_1_1?keywords=Klein+Tools+93LCLS+Laser+Level%2C+Self-Leveling+Red+Cross-Line+Level+and+Red+Plumb+Spot&amp;qid=1695174282&amp;sr=8-1", "https://www.amazon.com/Self-Leveling-Magnetic-Klein-Tools-93LCLS/dp/B0753K7XQF/ref=sr_1_1?keywords=Klein+Tools+93LCLS+Laser+Level%2C+Self-Leveling+Red+Cross-Line+Level+and+Red+Plumb+Spot&amp;qid=1695174282&amp;sr=8-1")</f>
        <v>https://www.amazon.com/Self-Leveling-Magnetic-Klein-Tools-93LCLS/dp/B0753K7XQF/ref=sr_1_1?keywords=Klein+Tools+93LCLS+Laser+Level%2C+Self-Leveling+Red+Cross-Line+Level+and+Red+Plumb+Spot&amp;qid=1695174282&amp;sr=8-1</v>
      </c>
      <c r="F5907" t="s">
        <v>7880</v>
      </c>
      <c r="G5907" t="e">
        <f ca="1">_xludf.IMAGE("https://edmondsonsupply.com/cdn/shop/files/93lcls_b.jpg?v=1685714711")</f>
        <v>#NAME?</v>
      </c>
      <c r="H5907" t="e">
        <f ca="1">_xludf.IMAGE("https://m.media-amazon.com/images/I/61AqaTcHiwL._AC_UL320_.jpg")</f>
        <v>#NAME?</v>
      </c>
      <c r="I5907" t="s">
        <v>7293</v>
      </c>
      <c r="J5907">
        <v>149.97</v>
      </c>
      <c r="K5907" s="4">
        <v>0</v>
      </c>
      <c r="L5907">
        <v>4.5</v>
      </c>
      <c r="M5907">
        <v>2214</v>
      </c>
      <c r="O5907" t="s">
        <v>25</v>
      </c>
      <c r="P5907" t="s">
        <v>7294</v>
      </c>
      <c r="Q5907" t="s">
        <v>7295</v>
      </c>
    </row>
    <row r="5908" spans="1:17" ht="15.5" x14ac:dyDescent="0.35">
      <c r="A5908" s="3" t="str">
        <f>HYPERLINK("https://edmondsonsupply.com/collections/electricians-tools/products/klein-tools-66050e-2-in-1-metric-impact-socket-set-12-point-5-piece", "https://edmondsonsupply.com/collections/electricians-tools/products/klein-tools-66050e-2-in-1-metric-impact-socket-set-12-point-5-piece")</f>
        <v>https://edmondsonsupply.com/collections/electricians-tools/products/klein-tools-66050e-2-in-1-metric-impact-socket-set-12-point-5-piece</v>
      </c>
      <c r="B5908" s="3" t="str">
        <f>HYPERLINK("https://edmondsonsupply.com/products/klein-tools-66050e-2-in-1-metric-impact-socket-set-12-point-5-piece", "https://edmondsonsupply.com/products/klein-tools-66050e-2-in-1-metric-impact-socket-set-12-point-5-piece")</f>
        <v>https://edmondsonsupply.com/products/klein-tools-66050e-2-in-1-metric-impact-socket-set-12-point-5-piece</v>
      </c>
      <c r="C5908" t="s">
        <v>7273</v>
      </c>
      <c r="D5908" t="s">
        <v>7522</v>
      </c>
      <c r="E5908" s="3" t="str">
        <f>HYPERLINK("https://www.amazon.com/Klein-Tools-66050E-12-Point-Carrying/dp/B08R138PF6/ref=sr_1_1?keywords=Klein+Tools+66050E+2-in-1+Metric+Impact+Socket+Set%2C+12-Point%2C+5-Piece&amp;qid=1695174176&amp;sr=8-1", "https://www.amazon.com/Klein-Tools-66050E-12-Point-Carrying/dp/B08R138PF6/ref=sr_1_1?keywords=Klein+Tools+66050E+2-in-1+Metric+Impact+Socket+Set%2C+12-Point%2C+5-Piece&amp;qid=1695174176&amp;sr=8-1")</f>
        <v>https://www.amazon.com/Klein-Tools-66050E-12-Point-Carrying/dp/B08R138PF6/ref=sr_1_1?keywords=Klein+Tools+66050E+2-in-1+Metric+Impact+Socket+Set%2C+12-Point%2C+5-Piece&amp;qid=1695174176&amp;sr=8-1</v>
      </c>
      <c r="F5908" t="s">
        <v>7523</v>
      </c>
      <c r="G5908" t="e">
        <f ca="1">_xludf.IMAGE("https://edmondsonsupply.com/cdn/shop/products/66050e.jpg?v=1659120052")</f>
        <v>#NAME?</v>
      </c>
      <c r="H5908" t="e">
        <f ca="1">_xludf.IMAGE("https://m.media-amazon.com/images/I/61HXSd9dQWL._AC_UL320_.jpg")</f>
        <v>#NAME?</v>
      </c>
      <c r="I5908" t="s">
        <v>7274</v>
      </c>
      <c r="J5908">
        <v>149.54</v>
      </c>
      <c r="K5908" s="4">
        <v>0</v>
      </c>
      <c r="L5908">
        <v>4.3</v>
      </c>
      <c r="M5908">
        <v>6</v>
      </c>
      <c r="O5908" t="s">
        <v>25</v>
      </c>
      <c r="P5908" t="s">
        <v>7275</v>
      </c>
      <c r="Q5908" t="s">
        <v>7276</v>
      </c>
    </row>
    <row r="5909" spans="1:17" ht="15.5" x14ac:dyDescent="0.35">
      <c r="A5909" s="3" t="str">
        <f>HYPERLINK("https://edmondsonsupply.com/collections/electricians-tools/products/klein-tools-51606", "https://edmondsonsupply.com/collections/electricians-tools/products/klein-tools-51606")</f>
        <v>https://edmondsonsupply.com/collections/electricians-tools/products/klein-tools-51606</v>
      </c>
      <c r="B5909" s="3" t="str">
        <f>HYPERLINK("https://edmondsonsupply.com/products/klein-tools-51606", "https://edmondsonsupply.com/products/klein-tools-51606")</f>
        <v>https://edmondsonsupply.com/products/klein-tools-51606</v>
      </c>
      <c r="C5909" t="s">
        <v>6785</v>
      </c>
      <c r="D5909" t="s">
        <v>6208</v>
      </c>
      <c r="E5909" s="3" t="str">
        <f>HYPERLINK("https://www.amazon.com/Aluminum-Benchmark-Technology-Klein-Tools/dp/B08L41DC9N/ref=sr_1_1?keywords=Klein+Tools+51606+Aluminum+Conduit+Bender+Full+Assembly%2C+1%2F2-Inch+EMT+with+Angle+Setter%E2%84%A2&amp;qid=1695174158&amp;sr=8-1", "https://www.amazon.com/Aluminum-Benchmark-Technology-Klein-Tools/dp/B08L41DC9N/ref=sr_1_1?keywords=Klein+Tools+51606+Aluminum+Conduit+Bender+Full+Assembly%2C+1%2F2-Inch+EMT+with+Angle+Setter%E2%84%A2&amp;qid=1695174158&amp;sr=8-1")</f>
        <v>https://www.amazon.com/Aluminum-Benchmark-Technology-Klein-Tools/dp/B08L41DC9N/ref=sr_1_1?keywords=Klein+Tools+51606+Aluminum+Conduit+Bender+Full+Assembly%2C+1%2F2-Inch+EMT+with+Angle+Setter%E2%84%A2&amp;qid=1695174158&amp;sr=8-1</v>
      </c>
      <c r="F5909" t="s">
        <v>6209</v>
      </c>
      <c r="G5909" t="e">
        <f ca="1">_xludf.IMAGE("https://edmondsonsupply.com/cdn/shop/products/51606.jpg?v=1663942126")</f>
        <v>#NAME?</v>
      </c>
      <c r="H5909" t="e">
        <f ca="1">_xludf.IMAGE("https://m.media-amazon.com/images/I/41JBDxEE8NL._AC_UL320_.jpg")</f>
        <v>#NAME?</v>
      </c>
      <c r="I5909" t="s">
        <v>246</v>
      </c>
      <c r="J5909">
        <v>39.97</v>
      </c>
      <c r="K5909" s="4">
        <v>0</v>
      </c>
      <c r="L5909">
        <v>4.8</v>
      </c>
      <c r="M5909">
        <v>258</v>
      </c>
      <c r="O5909" t="s">
        <v>25</v>
      </c>
      <c r="P5909" t="s">
        <v>1027</v>
      </c>
      <c r="Q5909" t="s">
        <v>6786</v>
      </c>
    </row>
    <row r="5910" spans="1:17" ht="15.5" x14ac:dyDescent="0.35">
      <c r="A5910"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5910"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910" t="s">
        <v>853</v>
      </c>
      <c r="D5910" t="s">
        <v>927</v>
      </c>
      <c r="E5910" s="3" t="str">
        <f>HYPERLINK("https://www.amazon.com/Klein-60470-Protection-Anti-Fog-Resistant/dp/B0B69KPRPF/ref=sr_1_4?keywords=Klein+Tools+60471+Professional+Full-Frame+Gasket+Safety+Glasses%2C+Gray+Lens&amp;qid=1695174157&amp;sr=8-4", "https://www.amazon.com/Klein-60470-Protection-Anti-Fog-Resistant/dp/B0B69KPRPF/ref=sr_1_4?keywords=Klein+Tools+60471+Professional+Full-Frame+Gasket+Safety+Glasses%2C+Gray+Lens&amp;qid=1695174157&amp;sr=8-4")</f>
        <v>https://www.amazon.com/Klein-60470-Protection-Anti-Fog-Resistant/dp/B0B69KPRPF/ref=sr_1_4?keywords=Klein+Tools+60471+Professional+Full-Frame+Gasket+Safety+Glasses%2C+Gray+Lens&amp;qid=1695174157&amp;sr=8-4</v>
      </c>
      <c r="F5910" t="s">
        <v>928</v>
      </c>
      <c r="G5910" t="e">
        <f ca="1">_xludf.IMAGE("https://edmondsonsupply.com/cdn/shop/products/60471.jpg?v=1663257501")</f>
        <v>#NAME?</v>
      </c>
      <c r="H5910" t="e">
        <f ca="1">_xludf.IMAGE("https://m.media-amazon.com/images/I/51TkfiRMYgL._AC_UL320_.jpg")</f>
        <v>#NAME?</v>
      </c>
      <c r="I5910" t="s">
        <v>252</v>
      </c>
      <c r="J5910">
        <v>15.99</v>
      </c>
      <c r="K5910" s="4">
        <v>0</v>
      </c>
      <c r="L5910">
        <v>4</v>
      </c>
      <c r="M5910">
        <v>29</v>
      </c>
      <c r="O5910" t="s">
        <v>25</v>
      </c>
      <c r="P5910" t="s">
        <v>854</v>
      </c>
      <c r="Q5910" t="s">
        <v>855</v>
      </c>
    </row>
    <row r="5911" spans="1:17" ht="15.5" x14ac:dyDescent="0.35">
      <c r="A5911"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5911"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5911" t="s">
        <v>853</v>
      </c>
      <c r="D5911" t="s">
        <v>930</v>
      </c>
      <c r="E5911" s="3" t="str">
        <f>HYPERLINK("https://www.amazon.com/Klein-60471-Protection-Anti-Fog-Resistant/dp/B0B69LNT2Y/ref=sr_1_1?keywords=Klein+Tools+60471+Professional+Full-Frame+Gasket+Safety+Glasses%2C+Gray+Lens&amp;qid=1695174157&amp;sr=8-1", "https://www.amazon.com/Klein-60471-Protection-Anti-Fog-Resistant/dp/B0B69LNT2Y/ref=sr_1_1?keywords=Klein+Tools+60471+Professional+Full-Frame+Gasket+Safety+Glasses%2C+Gray+Lens&amp;qid=1695174157&amp;sr=8-1")</f>
        <v>https://www.amazon.com/Klein-60471-Protection-Anti-Fog-Resistant/dp/B0B69LNT2Y/ref=sr_1_1?keywords=Klein+Tools+60471+Professional+Full-Frame+Gasket+Safety+Glasses%2C+Gray+Lens&amp;qid=1695174157&amp;sr=8-1</v>
      </c>
      <c r="F5911" t="s">
        <v>931</v>
      </c>
      <c r="G5911" t="e">
        <f ca="1">_xludf.IMAGE("https://edmondsonsupply.com/cdn/shop/products/60471.jpg?v=1663257501")</f>
        <v>#NAME?</v>
      </c>
      <c r="H5911" t="e">
        <f ca="1">_xludf.IMAGE("https://m.media-amazon.com/images/I/51z-a2tdJlL._AC_UL320_.jpg")</f>
        <v>#NAME?</v>
      </c>
      <c r="I5911" t="s">
        <v>252</v>
      </c>
      <c r="J5911">
        <v>15.99</v>
      </c>
      <c r="K5911" s="4">
        <v>0</v>
      </c>
      <c r="L5911">
        <v>4.3</v>
      </c>
      <c r="M5911">
        <v>56</v>
      </c>
      <c r="O5911" t="s">
        <v>25</v>
      </c>
      <c r="P5911" t="s">
        <v>854</v>
      </c>
      <c r="Q5911" t="s">
        <v>855</v>
      </c>
    </row>
    <row r="5912" spans="1:17" ht="15.5" x14ac:dyDescent="0.35">
      <c r="A5912" s="3" t="str">
        <f>HYPERLINK("https://edmondsonsupply.com/collections/electricians-tools/products/klein-tools-60487-cooling-headband-blue-2-pack", "https://edmondsonsupply.com/collections/electricians-tools/products/klein-tools-60487-cooling-headband-blue-2-pack")</f>
        <v>https://edmondsonsupply.com/collections/electricians-tools/products/klein-tools-60487-cooling-headband-blue-2-pack</v>
      </c>
      <c r="B5912" s="3" t="str">
        <f>HYPERLINK("https://edmondsonsupply.com/products/klein-tools-60487-cooling-headband-blue-2-pack", "https://edmondsonsupply.com/products/klein-tools-60487-cooling-headband-blue-2-pack")</f>
        <v>https://edmondsonsupply.com/products/klein-tools-60487-cooling-headband-blue-2-pack</v>
      </c>
      <c r="C5912" t="s">
        <v>7881</v>
      </c>
      <c r="D5912" t="s">
        <v>7882</v>
      </c>
      <c r="E5912" s="3" t="str">
        <f>HYPERLINK("https://www.amazon.com/Klein-Tools-Evaporative-Lightweight-60487/dp/B092XCFFKH/ref=sr_1_1?keywords=Klein+Tools+60487+Cooling+Headband%2C+Blue%2C+2-Pack&amp;qid=1695174151&amp;sr=8-1", "https://www.amazon.com/Klein-Tools-Evaporative-Lightweight-60487/dp/B092XCFFKH/ref=sr_1_1?keywords=Klein+Tools+60487+Cooling+Headband%2C+Blue%2C+2-Pack&amp;qid=1695174151&amp;sr=8-1")</f>
        <v>https://www.amazon.com/Klein-Tools-Evaporative-Lightweight-60487/dp/B092XCFFKH/ref=sr_1_1?keywords=Klein+Tools+60487+Cooling+Headband%2C+Blue%2C+2-Pack&amp;qid=1695174151&amp;sr=8-1</v>
      </c>
      <c r="F5912" t="s">
        <v>7883</v>
      </c>
      <c r="G5912" t="e">
        <f ca="1">_xludf.IMAGE("https://edmondsonsupply.com/cdn/shop/products/60487.jpg?v=1663691363")</f>
        <v>#NAME?</v>
      </c>
      <c r="H5912" t="e">
        <f ca="1">_xludf.IMAGE("https://m.media-amazon.com/images/I/71+kqo8iJYS._AC_UL320_.jpg")</f>
        <v>#NAME?</v>
      </c>
      <c r="I5912" t="s">
        <v>2577</v>
      </c>
      <c r="J5912">
        <v>9.99</v>
      </c>
      <c r="K5912" s="4">
        <v>0</v>
      </c>
      <c r="L5912">
        <v>4.5</v>
      </c>
      <c r="M5912">
        <v>207</v>
      </c>
      <c r="O5912" t="s">
        <v>25</v>
      </c>
      <c r="P5912" t="s">
        <v>7884</v>
      </c>
      <c r="Q5912" t="s">
        <v>7885</v>
      </c>
    </row>
    <row r="5913" spans="1:17" ht="15.5" x14ac:dyDescent="0.35">
      <c r="A5913" s="3" t="str">
        <f>HYPERLINK("https://edmondsonsupply.com/collections/electricians-tools/products/klein-tools-50611-magnetic-wire-puller", "https://edmondsonsupply.com/collections/electricians-tools/products/klein-tools-50611-magnetic-wire-puller")</f>
        <v>https://edmondsonsupply.com/collections/electricians-tools/products/klein-tools-50611-magnetic-wire-puller</v>
      </c>
      <c r="B5913" s="3" t="str">
        <f>HYPERLINK("https://edmondsonsupply.com/products/klein-tools-50611-magnetic-wire-puller", "https://edmondsonsupply.com/products/klein-tools-50611-magnetic-wire-puller")</f>
        <v>https://edmondsonsupply.com/products/klein-tools-50611-magnetic-wire-puller</v>
      </c>
      <c r="C5913" t="s">
        <v>7886</v>
      </c>
      <c r="D5913" t="s">
        <v>6398</v>
      </c>
      <c r="E5913" s="3" t="str">
        <f>HYPERLINK("https://www.amazon.com/Magnetic-Puller-Stainless-Steel-Klein-Tools/dp/B093J6Z5QT/ref=sr_1_1?keywords=Klein+Tools+50611+Magnetic+Wire+Puller&amp;qid=1695174156&amp;sr=8-1", "https://www.amazon.com/Magnetic-Puller-Stainless-Steel-Klein-Tools/dp/B093J6Z5QT/ref=sr_1_1?keywords=Klein+Tools+50611+Magnetic+Wire+Puller&amp;qid=1695174156&amp;sr=8-1")</f>
        <v>https://www.amazon.com/Magnetic-Puller-Stainless-Steel-Klein-Tools/dp/B093J6Z5QT/ref=sr_1_1?keywords=Klein+Tools+50611+Magnetic+Wire+Puller&amp;qid=1695174156&amp;sr=8-1</v>
      </c>
      <c r="F5913" t="s">
        <v>6399</v>
      </c>
      <c r="G5913" t="e">
        <f ca="1">_xludf.IMAGE("https://edmondsonsupply.com/cdn/shop/products/50611.jpg?v=1663951524")</f>
        <v>#NAME?</v>
      </c>
      <c r="H5913" t="e">
        <f ca="1">_xludf.IMAGE("https://m.media-amazon.com/images/I/5165nncGD9S._AC_UL320_.jpg")</f>
        <v>#NAME?</v>
      </c>
      <c r="I5913" t="s">
        <v>356</v>
      </c>
      <c r="J5913">
        <v>69.97</v>
      </c>
      <c r="K5913" s="4">
        <v>0</v>
      </c>
      <c r="L5913">
        <v>4.5999999999999996</v>
      </c>
      <c r="M5913">
        <v>500</v>
      </c>
      <c r="O5913" t="s">
        <v>25</v>
      </c>
      <c r="P5913" t="s">
        <v>5007</v>
      </c>
      <c r="Q5913" t="s">
        <v>7887</v>
      </c>
    </row>
    <row r="5914" spans="1:17" ht="15.5" x14ac:dyDescent="0.35">
      <c r="A5914" s="3" t="str">
        <f>HYPERLINK("https://edmondsonsupply.com/collections/electricians-tools/products/klein-tools-k1412-klein-kurve%C2%AE-dual-nm-cable-stripper-cutter", "https://edmondsonsupply.com/collections/electricians-tools/products/klein-tools-k1412-klein-kurve%C2%AE-dual-nm-cable-stripper-cutter")</f>
        <v>https://edmondsonsupply.com/collections/electricians-tools/products/klein-tools-k1412-klein-kurve%C2%AE-dual-nm-cable-stripper-cutter</v>
      </c>
      <c r="B5914" s="3" t="str">
        <f>HYPERLINK("https://edmondsonsupply.com/products/klein-tools-k1412-klein-kurve%c2%ae-dual-nm-cable-stripper-cutter", "https://edmondsonsupply.com/products/klein-tools-k1412-klein-kurve%c2%ae-dual-nm-cable-stripper-cutter")</f>
        <v>https://edmondsonsupply.com/products/klein-tools-k1412-klein-kurve%c2%ae-dual-nm-cable-stripper-cutter</v>
      </c>
      <c r="C5914" t="s">
        <v>6899</v>
      </c>
      <c r="D5914" t="s">
        <v>3269</v>
      </c>
      <c r="E5914" s="3" t="str">
        <f>HYPERLINK("https://www.amazon.com/Cutter-Stripper-Klein-Tools-K1412/dp/B000F9HIEC/ref=sr_1_1?keywords=Klein+Tools+K1412+Klein-Kurve%C2%AE+Dual+NM+Cable+Stripper%2FCutter&amp;qid=1695174281&amp;sr=8-1", "https://www.amazon.com/Cutter-Stripper-Klein-Tools-K1412/dp/B000F9HIEC/ref=sr_1_1?keywords=Klein+Tools+K1412+Klein-Kurve%C2%AE+Dual+NM+Cable+Stripper%2FCutter&amp;qid=1695174281&amp;sr=8-1")</f>
        <v>https://www.amazon.com/Cutter-Stripper-Klein-Tools-K1412/dp/B000F9HIEC/ref=sr_1_1?keywords=Klein+Tools+K1412+Klein-Kurve%C2%AE+Dual+NM+Cable+Stripper%2FCutter&amp;qid=1695174281&amp;sr=8-1</v>
      </c>
      <c r="F5914" t="s">
        <v>3270</v>
      </c>
      <c r="G5914" t="e">
        <f ca="1">_xludf.IMAGE("https://edmondsonsupply.com/cdn/shop/products/k1412_b.jpg?v=1646350543")</f>
        <v>#NAME?</v>
      </c>
      <c r="H5914" t="e">
        <f ca="1">_xludf.IMAGE("https://m.media-amazon.com/images/I/41sdPMsHXcL._AC_UL320_.jpg")</f>
        <v>#NAME?</v>
      </c>
      <c r="I5914" t="s">
        <v>824</v>
      </c>
      <c r="J5914">
        <v>29.97</v>
      </c>
      <c r="K5914" s="4">
        <v>0</v>
      </c>
      <c r="L5914">
        <v>4.8</v>
      </c>
      <c r="M5914">
        <v>1850</v>
      </c>
      <c r="O5914" t="s">
        <v>25</v>
      </c>
      <c r="P5914" t="s">
        <v>6902</v>
      </c>
      <c r="Q5914" t="s">
        <v>6903</v>
      </c>
    </row>
    <row r="5915" spans="1:17" ht="15.5" x14ac:dyDescent="0.35">
      <c r="A5915" s="3" t="str">
        <f>HYPERLINK("https://edmondsonsupply.com/collections/electricians-tools/products/klein-tools-85091-power-conduit-reamer", "https://edmondsonsupply.com/collections/electricians-tools/products/klein-tools-85091-power-conduit-reamer")</f>
        <v>https://edmondsonsupply.com/collections/electricians-tools/products/klein-tools-85091-power-conduit-reamer</v>
      </c>
      <c r="B5915" s="3" t="str">
        <f>HYPERLINK("https://edmondsonsupply.com/products/klein-tools-85091-power-conduit-reamer", "https://edmondsonsupply.com/products/klein-tools-85091-power-conduit-reamer")</f>
        <v>https://edmondsonsupply.com/products/klein-tools-85091-power-conduit-reamer</v>
      </c>
      <c r="C5915" t="s">
        <v>6570</v>
      </c>
      <c r="D5915" t="s">
        <v>7888</v>
      </c>
      <c r="E5915" s="3" t="str">
        <f>HYPERLINK("https://www.amazon.com/Power-Conduit-Reamer-Klein-Tools/dp/B00B9HICKI/ref=sr_1_1?keywords=Klein+Tools+85091+Power+Conduit+Reamer&amp;qid=1695174290&amp;sr=8-1", "https://www.amazon.com/Power-Conduit-Reamer-Klein-Tools/dp/B00B9HICKI/ref=sr_1_1?keywords=Klein+Tools+85091+Power+Conduit+Reamer&amp;qid=1695174290&amp;sr=8-1")</f>
        <v>https://www.amazon.com/Power-Conduit-Reamer-Klein-Tools/dp/B00B9HICKI/ref=sr_1_1?keywords=Klein+Tools+85091+Power+Conduit+Reamer&amp;qid=1695174290&amp;sr=8-1</v>
      </c>
      <c r="F5915" t="s">
        <v>7889</v>
      </c>
      <c r="G5915" t="e">
        <f ca="1">_xludf.IMAGE("https://edmondsonsupply.com/cdn/shop/products/85091.jpg?v=1633030889")</f>
        <v>#NAME?</v>
      </c>
      <c r="H5915" t="e">
        <f ca="1">_xludf.IMAGE("https://m.media-amazon.com/images/I/41eR1PHplSL._AC_UL320_.jpg")</f>
        <v>#NAME?</v>
      </c>
      <c r="I5915" t="s">
        <v>859</v>
      </c>
      <c r="J5915">
        <v>24.97</v>
      </c>
      <c r="K5915" s="4">
        <v>0</v>
      </c>
      <c r="L5915">
        <v>4.4000000000000004</v>
      </c>
      <c r="M5915">
        <v>1418</v>
      </c>
      <c r="O5915" t="s">
        <v>25</v>
      </c>
      <c r="P5915" t="s">
        <v>6573</v>
      </c>
      <c r="Q5915" t="s">
        <v>6574</v>
      </c>
    </row>
    <row r="5916" spans="1:17" ht="15.5" x14ac:dyDescent="0.35">
      <c r="A5916" s="3" t="str">
        <f>HYPERLINK("https://edmondsonsupply.com/collections/electricians-tools/products/klein-tools-vdv327-103-wire-pick", "https://edmondsonsupply.com/collections/electricians-tools/products/klein-tools-vdv327-103-wire-pick")</f>
        <v>https://edmondsonsupply.com/collections/electricians-tools/products/klein-tools-vdv327-103-wire-pick</v>
      </c>
      <c r="B5916" s="3" t="str">
        <f>HYPERLINK("https://edmondsonsupply.com/products/klein-tools-vdv327-103-wire-pick", "https://edmondsonsupply.com/products/klein-tools-vdv327-103-wire-pick")</f>
        <v>https://edmondsonsupply.com/products/klein-tools-vdv327-103-wire-pick</v>
      </c>
      <c r="C5916" t="s">
        <v>7890</v>
      </c>
      <c r="D5916" t="s">
        <v>7890</v>
      </c>
      <c r="E5916" s="3" t="str">
        <f>HYPERLINK("https://www.amazon.com/Wire-Pick-Klein-Tools-VDV327-103/dp/B00ITG4PNK/ref=sr_1_1?keywords=Klein+Tools+VDV327-103+Wire+Pick&amp;qid=1695174289&amp;sr=8-1", "https://www.amazon.com/Wire-Pick-Klein-Tools-VDV327-103/dp/B00ITG4PNK/ref=sr_1_1?keywords=Klein+Tools+VDV327-103+Wire+Pick&amp;qid=1695174289&amp;sr=8-1")</f>
        <v>https://www.amazon.com/Wire-Pick-Klein-Tools-VDV327-103/dp/B00ITG4PNK/ref=sr_1_1?keywords=Klein+Tools+VDV327-103+Wire+Pick&amp;qid=1695174289&amp;sr=8-1</v>
      </c>
      <c r="F5916" t="s">
        <v>7891</v>
      </c>
      <c r="G5916" t="e">
        <f ca="1">_xludf.IMAGE("https://edmondsonsupply.com/cdn/shop/products/vdv327-103.jpg?v=1633030929")</f>
        <v>#NAME?</v>
      </c>
      <c r="H5916" t="e">
        <f ca="1">_xludf.IMAGE("https://m.media-amazon.com/images/I/41pI4Nn4DFL._AC_UL320_.jpg")</f>
        <v>#NAME?</v>
      </c>
      <c r="I5916" t="s">
        <v>288</v>
      </c>
      <c r="J5916">
        <v>13.99</v>
      </c>
      <c r="K5916" s="4">
        <v>0</v>
      </c>
      <c r="L5916">
        <v>4.7</v>
      </c>
      <c r="M5916">
        <v>218</v>
      </c>
      <c r="O5916" t="s">
        <v>25</v>
      </c>
      <c r="P5916" t="s">
        <v>2328</v>
      </c>
      <c r="Q5916" t="s">
        <v>7892</v>
      </c>
    </row>
    <row r="5917" spans="1:17" ht="15.5" x14ac:dyDescent="0.35">
      <c r="A5917" s="3" t="str">
        <f>HYPERLINK("https://edmondsonsupply.com/collections/electricians-tools/products/klein-tools-ti222-thermal-imager-for-ios-devices", "https://edmondsonsupply.com/collections/electricians-tools/products/klein-tools-ti222-thermal-imager-for-ios-devices")</f>
        <v>https://edmondsonsupply.com/collections/electricians-tools/products/klein-tools-ti222-thermal-imager-for-ios-devices</v>
      </c>
      <c r="B5917" s="3" t="str">
        <f>HYPERLINK("https://edmondsonsupply.com/products/klein-tools-ti222-thermal-imager-for-ios-devices", "https://edmondsonsupply.com/products/klein-tools-ti222-thermal-imager-for-ios-devices")</f>
        <v>https://edmondsonsupply.com/products/klein-tools-ti222-thermal-imager-for-ios-devices</v>
      </c>
      <c r="C5917" t="s">
        <v>7893</v>
      </c>
      <c r="D5917" t="s">
        <v>7894</v>
      </c>
      <c r="E5917" s="3" t="str">
        <f>HYPERLINK("https://www.amazon.com/Klein-Tools-TI222-Thermal-Imager-Temperatures/dp/B0B4PXYRS1/ref=sr_1_1?keywords=Klein+Tools+TI222+Thermal+Imager+for+iOS+Devices&amp;qid=1695174156&amp;sr=8-1", "https://www.amazon.com/Klein-Tools-TI222-Thermal-Imager-Temperatures/dp/B0B4PXYRS1/ref=sr_1_1?keywords=Klein+Tools+TI222+Thermal+Imager+for+iOS+Devices&amp;qid=1695174156&amp;sr=8-1")</f>
        <v>https://www.amazon.com/Klein-Tools-TI222-Thermal-Imager-Temperatures/dp/B0B4PXYRS1/ref=sr_1_1?keywords=Klein+Tools+TI222+Thermal+Imager+for+iOS+Devices&amp;qid=1695174156&amp;sr=8-1</v>
      </c>
      <c r="F5917" t="s">
        <v>7895</v>
      </c>
      <c r="G5917" t="e">
        <f ca="1">_xludf.IMAGE("https://edmondsonsupply.com/cdn/shop/products/ti222.jpg?v=1663593119")</f>
        <v>#NAME?</v>
      </c>
      <c r="H5917" t="e">
        <f ca="1">_xludf.IMAGE("https://m.media-amazon.com/images/I/5136eVKO+tL._AC_UY218_.jpg")</f>
        <v>#NAME?</v>
      </c>
      <c r="I5917" t="s">
        <v>4625</v>
      </c>
      <c r="J5917">
        <v>249.99</v>
      </c>
      <c r="K5917" s="4">
        <v>0</v>
      </c>
      <c r="L5917">
        <v>4.5</v>
      </c>
      <c r="M5917">
        <v>91</v>
      </c>
      <c r="O5917" t="s">
        <v>25</v>
      </c>
      <c r="P5917" t="s">
        <v>4626</v>
      </c>
      <c r="Q5917" t="s">
        <v>7896</v>
      </c>
    </row>
    <row r="5918" spans="1:17" ht="15.5" x14ac:dyDescent="0.35">
      <c r="A5918"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5918" s="3" t="str">
        <f>HYPERLINK("https://edmondsonsupply.com/products/klein-tools-31932-bi-metal-hole-saw-2-inch", "https://edmondsonsupply.com/products/klein-tools-31932-bi-metal-hole-saw-2-inch")</f>
        <v>https://edmondsonsupply.com/products/klein-tools-31932-bi-metal-hole-saw-2-inch</v>
      </c>
      <c r="C5918" t="s">
        <v>6244</v>
      </c>
      <c r="D5918" t="s">
        <v>7897</v>
      </c>
      <c r="E5918" s="3" t="str">
        <f>HYPERLINK("https://www.amazon.com/Bi-Metal-2-Inch-Klein-Tools-31932/dp/B019874WBS/ref=sr_1_1?keywords=Klein+Tools+31932+Bi-Metal+Hole+Saw%2C+2-Inch&amp;qid=1695174279&amp;sr=8-1", "https://www.amazon.com/Bi-Metal-2-Inch-Klein-Tools-31932/dp/B019874WBS/ref=sr_1_1?keywords=Klein+Tools+31932+Bi-Metal+Hole+Saw%2C+2-Inch&amp;qid=1695174279&amp;sr=8-1")</f>
        <v>https://www.amazon.com/Bi-Metal-2-Inch-Klein-Tools-31932/dp/B019874WBS/ref=sr_1_1?keywords=Klein+Tools+31932+Bi-Metal+Hole+Saw%2C+2-Inch&amp;qid=1695174279&amp;sr=8-1</v>
      </c>
      <c r="F5918" t="s">
        <v>7898</v>
      </c>
      <c r="G5918" t="e">
        <f ca="1">_xludf.IMAGE("https://edmondsonsupply.com/cdn/shop/products/31932.jpg?v=1633030939")</f>
        <v>#NAME?</v>
      </c>
      <c r="H5918" t="e">
        <f ca="1">_xludf.IMAGE("https://m.media-amazon.com/images/I/514gOtu-YJL._AC_UL320_.jpg")</f>
        <v>#NAME?</v>
      </c>
      <c r="I5918" t="s">
        <v>6056</v>
      </c>
      <c r="J5918">
        <v>10.99</v>
      </c>
      <c r="K5918" s="4">
        <v>0</v>
      </c>
      <c r="L5918">
        <v>4.5999999999999996</v>
      </c>
      <c r="M5918">
        <v>406</v>
      </c>
      <c r="O5918" t="s">
        <v>25</v>
      </c>
      <c r="P5918" t="s">
        <v>1620</v>
      </c>
      <c r="Q5918" t="s">
        <v>6247</v>
      </c>
    </row>
    <row r="5919" spans="1:17" ht="15.5" x14ac:dyDescent="0.35">
      <c r="A5919"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5919" s="3" t="str">
        <f>HYPERLINK("https://edmondsonsupply.com/products/klein-tools-31870-carbide-hole-cutter-2-1-2-inch", "https://edmondsonsupply.com/products/klein-tools-31870-carbide-hole-cutter-2-1-2-inch")</f>
        <v>https://edmondsonsupply.com/products/klein-tools-31870-carbide-hole-cutter-2-1-2-inch</v>
      </c>
      <c r="C5919" t="s">
        <v>6295</v>
      </c>
      <c r="D5919" t="s">
        <v>7899</v>
      </c>
      <c r="E5919" s="3" t="str">
        <f>HYPERLINK("https://www.amazon.com/Carbide-Cutter-Klein-Tools-31870/dp/B00776T3C6/ref=sr_1_1?keywords=Klein+Tools+31870+Carbide+Hole+Cutter%2C+2-1%2F2-Inch&amp;qid=1695174279&amp;sr=8-1", "https://www.amazon.com/Carbide-Cutter-Klein-Tools-31870/dp/B00776T3C6/ref=sr_1_1?keywords=Klein+Tools+31870+Carbide+Hole+Cutter%2C+2-1%2F2-Inch&amp;qid=1695174279&amp;sr=8-1")</f>
        <v>https://www.amazon.com/Carbide-Cutter-Klein-Tools-31870/dp/B00776T3C6/ref=sr_1_1?keywords=Klein+Tools+31870+Carbide+Hole+Cutter%2C+2-1%2F2-Inch&amp;qid=1695174279&amp;sr=8-1</v>
      </c>
      <c r="F5919" t="s">
        <v>7900</v>
      </c>
      <c r="G5919" t="e">
        <f ca="1">_xludf.IMAGE("https://edmondsonsupply.com/cdn/shop/products/31870_alt1.jpg?v=1633030999")</f>
        <v>#NAME?</v>
      </c>
      <c r="H5919" t="e">
        <f ca="1">_xludf.IMAGE("https://m.media-amazon.com/images/I/41YZKcK6nOL._AC_UL320_.jpg")</f>
        <v>#NAME?</v>
      </c>
      <c r="I5919" t="s">
        <v>300</v>
      </c>
      <c r="J5919">
        <v>79.989999999999995</v>
      </c>
      <c r="K5919" s="4">
        <v>0</v>
      </c>
      <c r="L5919">
        <v>4.5</v>
      </c>
      <c r="M5919">
        <v>473</v>
      </c>
      <c r="O5919" t="s">
        <v>25</v>
      </c>
      <c r="P5919" t="s">
        <v>6296</v>
      </c>
      <c r="Q5919" t="s">
        <v>6297</v>
      </c>
    </row>
    <row r="5920" spans="1:17" ht="15.5" x14ac:dyDescent="0.35">
      <c r="A5920" s="3" t="str">
        <f>HYPERLINK("https://edmondsonsupply.com/collections/electricians-tools/products/klein-tools-635-6-nut-driver-set-magnetic-nut-drivers-heavy-duty-6-piece", "https://edmondsonsupply.com/collections/electricians-tools/products/klein-tools-635-6-nut-driver-set-magnetic-nut-drivers-heavy-duty-6-piece")</f>
        <v>https://edmondsonsupply.com/collections/electricians-tools/products/klein-tools-635-6-nut-driver-set-magnetic-nut-drivers-heavy-duty-6-piece</v>
      </c>
      <c r="B5920" s="3" t="str">
        <f>HYPERLINK("https://edmondsonsupply.com/products/klein-tools-635-6-nut-driver-set-magnetic-nut-drivers-heavy-duty-6-piece", "https://edmondsonsupply.com/products/klein-tools-635-6-nut-driver-set-magnetic-nut-drivers-heavy-duty-6-piece")</f>
        <v>https://edmondsonsupply.com/products/klein-tools-635-6-nut-driver-set-magnetic-nut-drivers-heavy-duty-6-piece</v>
      </c>
      <c r="C5920" t="s">
        <v>7877</v>
      </c>
      <c r="D5920" t="s">
        <v>1685</v>
      </c>
      <c r="E5920" s="3" t="str">
        <f>HYPERLINK("https://www.amazon.com/Heavy-Duty-Driver-6-Piece-Klein-Tools/dp/B01DKNDHGM/ref=sr_1_1?keywords=Klein+Tools+635-6+Nut+Driver+Set%2C+Magnetic+Nut+Drivers%2C+Heavy+Duty%2C+6-Piece&amp;qid=1695174277&amp;sr=8-1", "https://www.amazon.com/Heavy-Duty-Driver-6-Piece-Klein-Tools/dp/B01DKNDHGM/ref=sr_1_1?keywords=Klein+Tools+635-6+Nut+Driver+Set%2C+Magnetic+Nut+Drivers%2C+Heavy+Duty%2C+6-Piece&amp;qid=1695174277&amp;sr=8-1")</f>
        <v>https://www.amazon.com/Heavy-Duty-Driver-6-Piece-Klein-Tools/dp/B01DKNDHGM/ref=sr_1_1?keywords=Klein+Tools+635-6+Nut+Driver+Set%2C+Magnetic+Nut+Drivers%2C+Heavy+Duty%2C+6-Piece&amp;qid=1695174277&amp;sr=8-1</v>
      </c>
      <c r="F5920" t="s">
        <v>1686</v>
      </c>
      <c r="G5920" t="e">
        <f ca="1">_xludf.IMAGE("https://edmondsonsupply.com/cdn/shop/products/635-6.jpg?v=1633031003")</f>
        <v>#NAME?</v>
      </c>
      <c r="H5920" t="e">
        <f ca="1">_xludf.IMAGE("https://m.media-amazon.com/images/I/61eypCy1RLL._AC_UL320_.jpg")</f>
        <v>#NAME?</v>
      </c>
      <c r="I5920" t="s">
        <v>300</v>
      </c>
      <c r="J5920">
        <v>79.989999999999995</v>
      </c>
      <c r="K5920" s="4">
        <v>0</v>
      </c>
      <c r="L5920">
        <v>4.7</v>
      </c>
      <c r="M5920">
        <v>943</v>
      </c>
      <c r="O5920" t="s">
        <v>25</v>
      </c>
      <c r="P5920" t="s">
        <v>6296</v>
      </c>
      <c r="Q5920" t="s">
        <v>7878</v>
      </c>
    </row>
    <row r="5921" spans="1:17" ht="15.5" x14ac:dyDescent="0.35">
      <c r="A5921"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5921"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5921" t="s">
        <v>3174</v>
      </c>
      <c r="D5921" t="s">
        <v>4580</v>
      </c>
      <c r="E5921" s="3" t="str">
        <f>HYPERLINK("https://www.amazon.com/Heavy-Stripper-Cutter-Crimper-Multi/dp/B08BX9RTPX/ref=sr_1_2?keywords=Klein+Tools+K12065CR+Klein-Kurve%C2%AE+Heavy-Duty+Wire+Stripper+%2F+Cutter+%2F+Crimper+Multi+Tool%2C+8-20+AWG&amp;qid=1695173857&amp;sr=8-2", "https://www.amazon.com/Heavy-Stripper-Cutter-Crimper-Multi/dp/B08BX9RTPX/ref=sr_1_2?keywords=Klein+Tools+K12065CR+Klein-Kurve%C2%AE+Heavy-Duty+Wire+Stripper+%2F+Cutter+%2F+Crimper+Multi+Tool%2C+8-20+AWG&amp;qid=1695173857&amp;sr=8-2")</f>
        <v>https://www.amazon.com/Heavy-Stripper-Cutter-Crimper-Multi/dp/B08BX9RTPX/ref=sr_1_2?keywords=Klein+Tools+K12065CR+Klein-Kurve%C2%AE+Heavy-Duty+Wire+Stripper+%2F+Cutter+%2F+Crimper+Multi+Tool%2C+8-20+AWG&amp;qid=1695173857&amp;sr=8-2</v>
      </c>
      <c r="F5921" t="s">
        <v>4581</v>
      </c>
      <c r="G5921" t="e">
        <f ca="1">_xludf.IMAGE("https://edmondsonsupply.com/cdn/shop/products/k12065cr_b.jpg?v=1650066835")</f>
        <v>#NAME?</v>
      </c>
      <c r="H5921" t="e">
        <f ca="1">_xludf.IMAGE("https://m.media-amazon.com/images/I/51Oylu1vHoL._AC_UL320_.jpg")</f>
        <v>#NAME?</v>
      </c>
      <c r="I5921" t="s">
        <v>246</v>
      </c>
      <c r="J5921">
        <v>39.97</v>
      </c>
      <c r="K5921" s="4">
        <v>0</v>
      </c>
      <c r="L5921">
        <v>4.7</v>
      </c>
      <c r="M5921">
        <v>726</v>
      </c>
      <c r="O5921" t="s">
        <v>25</v>
      </c>
      <c r="P5921" t="s">
        <v>3177</v>
      </c>
      <c r="Q5921" t="s">
        <v>3178</v>
      </c>
    </row>
    <row r="5922" spans="1:17" ht="15.5" x14ac:dyDescent="0.35">
      <c r="A5922" s="3" t="str">
        <f>HYPERLINK("https://edmondsonsupply.com/collections/electricians-tools/products/klein-tools-32538-10-fold-screwdriver-nut-driver-fractional-hex", "https://edmondsonsupply.com/collections/electricians-tools/products/klein-tools-32538-10-fold-screwdriver-nut-driver-fractional-hex")</f>
        <v>https://edmondsonsupply.com/collections/electricians-tools/products/klein-tools-32538-10-fold-screwdriver-nut-driver-fractional-hex</v>
      </c>
      <c r="B5922" s="3" t="str">
        <f>HYPERLINK("https://edmondsonsupply.com/products/klein-tools-32538-10-fold-screwdriver-nut-driver-fractional-hex", "https://edmondsonsupply.com/products/klein-tools-32538-10-fold-screwdriver-nut-driver-fractional-hex")</f>
        <v>https://edmondsonsupply.com/products/klein-tools-32538-10-fold-screwdriver-nut-driver-fractional-hex</v>
      </c>
      <c r="C5922" t="s">
        <v>7901</v>
      </c>
      <c r="D5922" t="s">
        <v>7901</v>
      </c>
      <c r="E5922" s="3" t="str">
        <f>HYPERLINK("https://www.amazon.com/Fractional-Screwdriver-Klein-Tools-32538/dp/B0031D9NSS/ref=sr_1_1?keywords=Klein+Tools+32538+10-Fold+Screwdriver+%2F+Nut+Driver%2C+Fractional+Hex&amp;qid=1695174255&amp;sr=8-1", "https://www.amazon.com/Fractional-Screwdriver-Klein-Tools-32538/dp/B0031D9NSS/ref=sr_1_1?keywords=Klein+Tools+32538+10-Fold+Screwdriver+%2F+Nut+Driver%2C+Fractional+Hex&amp;qid=1695174255&amp;sr=8-1")</f>
        <v>https://www.amazon.com/Fractional-Screwdriver-Klein-Tools-32538/dp/B0031D9NSS/ref=sr_1_1?keywords=Klein+Tools+32538+10-Fold+Screwdriver+%2F+Nut+Driver%2C+Fractional+Hex&amp;qid=1695174255&amp;sr=8-1</v>
      </c>
      <c r="F5922" t="s">
        <v>7902</v>
      </c>
      <c r="G5922" t="e">
        <f ca="1">_xludf.IMAGE("https://edmondsonsupply.com/cdn/shop/products/32538.jpg?v=1642959018")</f>
        <v>#NAME?</v>
      </c>
      <c r="H5922" t="e">
        <f ca="1">_xludf.IMAGE("https://m.media-amazon.com/images/I/51oV4zAuP7L._AC_UL320_.jpg")</f>
        <v>#NAME?</v>
      </c>
      <c r="I5922" t="s">
        <v>26</v>
      </c>
      <c r="J5922">
        <v>29.99</v>
      </c>
      <c r="K5922" s="4">
        <v>0</v>
      </c>
      <c r="L5922">
        <v>4.5999999999999996</v>
      </c>
      <c r="M5922">
        <v>872</v>
      </c>
      <c r="O5922" t="s">
        <v>25</v>
      </c>
      <c r="P5922" t="s">
        <v>4371</v>
      </c>
      <c r="Q5922" t="s">
        <v>7903</v>
      </c>
    </row>
    <row r="5923" spans="1:17" ht="15.5" x14ac:dyDescent="0.35">
      <c r="A5923" s="3" t="str">
        <f>HYPERLINK("https://edmondsonsupply.com/collections/electricians-tools/products/klein-tools-725-jab-saw", "https://edmondsonsupply.com/collections/electricians-tools/products/klein-tools-725-jab-saw")</f>
        <v>https://edmondsonsupply.com/collections/electricians-tools/products/klein-tools-725-jab-saw</v>
      </c>
      <c r="B5923" s="3" t="str">
        <f>HYPERLINK("https://edmondsonsupply.com/products/klein-tools-725-jab-saw", "https://edmondsonsupply.com/products/klein-tools-725-jab-saw")</f>
        <v>https://edmondsonsupply.com/products/klein-tools-725-jab-saw</v>
      </c>
      <c r="C5923" t="s">
        <v>3337</v>
      </c>
      <c r="D5923" t="s">
        <v>4774</v>
      </c>
      <c r="E5923" s="3" t="str">
        <f>HYPERLINK("https://www.amazon.com/Wallboard-Applications-Klein-Tools-725/dp/B0014KQGHG/ref=sr_1_1?keywords=Klein+Tools+725+Jab+Saw&amp;qid=1695173921&amp;sr=8-1", "https://www.amazon.com/Wallboard-Applications-Klein-Tools-725/dp/B0014KQGHG/ref=sr_1_1?keywords=Klein+Tools+725+Jab+Saw&amp;qid=1695173921&amp;sr=8-1")</f>
        <v>https://www.amazon.com/Wallboard-Applications-Klein-Tools-725/dp/B0014KQGHG/ref=sr_1_1?keywords=Klein+Tools+725+Jab+Saw&amp;qid=1695173921&amp;sr=8-1</v>
      </c>
      <c r="F5923" t="s">
        <v>4775</v>
      </c>
      <c r="G5923" t="e">
        <f ca="1">_xludf.IMAGE("https://edmondsonsupply.com/cdn/shop/products/725.jpg?v=1633030531")</f>
        <v>#NAME?</v>
      </c>
      <c r="H5923" t="e">
        <f ca="1">_xludf.IMAGE("https://m.media-amazon.com/images/I/5146hv5ZO3L._AC_UL320_.jpg")</f>
        <v>#NAME?</v>
      </c>
      <c r="I5923" t="s">
        <v>2784</v>
      </c>
      <c r="J5923">
        <v>14.97</v>
      </c>
      <c r="K5923" s="4">
        <v>0</v>
      </c>
      <c r="L5923">
        <v>4.8</v>
      </c>
      <c r="M5923">
        <v>465</v>
      </c>
      <c r="O5923" t="s">
        <v>25</v>
      </c>
      <c r="P5923" t="s">
        <v>332</v>
      </c>
      <c r="Q5923" t="s">
        <v>3340</v>
      </c>
    </row>
    <row r="5924" spans="1:17" ht="15.5" x14ac:dyDescent="0.35">
      <c r="A5924"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5924"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5924" t="s">
        <v>6304</v>
      </c>
      <c r="D5924" t="s">
        <v>7904</v>
      </c>
      <c r="E5924" s="3" t="str">
        <f>HYPERLINK("https://www.amazon.com/Klein-Tools-2036EINS-Insulated-Cutters/dp/B00JGG5OB4/ref=sr_1_1?keywords=Klein+Tools+2036EINS+Long+Nose+Side+Cutter+Pliers+6-Inch+Slim+Insulated&amp;qid=1695174256&amp;sr=8-1", "https://www.amazon.com/Klein-Tools-2036EINS-Insulated-Cutters/dp/B00JGG5OB4/ref=sr_1_1?keywords=Klein+Tools+2036EINS+Long+Nose+Side+Cutter+Pliers+6-Inch+Slim+Insulated&amp;qid=1695174256&amp;sr=8-1")</f>
        <v>https://www.amazon.com/Klein-Tools-2036EINS-Insulated-Cutters/dp/B00JGG5OB4/ref=sr_1_1?keywords=Klein+Tools+2036EINS+Long+Nose+Side+Cutter+Pliers+6-Inch+Slim+Insulated&amp;qid=1695174256&amp;sr=8-1</v>
      </c>
      <c r="F5924" t="s">
        <v>7905</v>
      </c>
      <c r="G5924" t="e">
        <f ca="1">_xludf.IMAGE("https://edmondsonsupply.com/cdn/shop/products/2036eins.jpg?v=1633031077")</f>
        <v>#NAME?</v>
      </c>
      <c r="H5924" t="e">
        <f ca="1">_xludf.IMAGE("https://m.media-amazon.com/images/I/51myk0Mm3RL._AC_UL320_.jpg")</f>
        <v>#NAME?</v>
      </c>
      <c r="I5924" t="s">
        <v>6307</v>
      </c>
      <c r="J5924">
        <v>46.99</v>
      </c>
      <c r="K5924" s="4">
        <v>0</v>
      </c>
      <c r="L5924">
        <v>4.9000000000000004</v>
      </c>
      <c r="M5924">
        <v>348</v>
      </c>
      <c r="O5924" t="s">
        <v>25</v>
      </c>
      <c r="P5924" t="s">
        <v>6308</v>
      </c>
      <c r="Q5924" t="s">
        <v>6309</v>
      </c>
    </row>
    <row r="5925" spans="1:17" ht="15.5" x14ac:dyDescent="0.35">
      <c r="A5925"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5925" s="3" t="str">
        <f>HYPERLINK("https://edmondsonsupply.com/products/klein-tools-69190-magnetic-hanger", "https://edmondsonsupply.com/products/klein-tools-69190-magnetic-hanger")</f>
        <v>https://edmondsonsupply.com/products/klein-tools-69190-magnetic-hanger</v>
      </c>
      <c r="C5925" t="s">
        <v>7906</v>
      </c>
      <c r="D5925" t="s">
        <v>7907</v>
      </c>
      <c r="E5925" s="3" t="str">
        <f>HYPERLINK("https://www.amazon.com/Magnetic-Multimeters-Klein-Tools-69190/dp/B003USDOD4/ref=sr_1_2?keywords=Klein+Tools+69190+Magnetic+Hanger&amp;qid=1695174256&amp;sr=8-2", "https://www.amazon.com/Magnetic-Multimeters-Klein-Tools-69190/dp/B003USDOD4/ref=sr_1_2?keywords=Klein+Tools+69190+Magnetic+Hanger&amp;qid=1695174256&amp;sr=8-2")</f>
        <v>https://www.amazon.com/Magnetic-Multimeters-Klein-Tools-69190/dp/B003USDOD4/ref=sr_1_2?keywords=Klein+Tools+69190+Magnetic+Hanger&amp;qid=1695174256&amp;sr=8-2</v>
      </c>
      <c r="F5925" t="s">
        <v>7908</v>
      </c>
      <c r="G5925" t="e">
        <f ca="1">_xludf.IMAGE("https://edmondsonsupply.com/cdn/shop/products/69190.jpg?v=1633031095")</f>
        <v>#NAME?</v>
      </c>
      <c r="H5925" t="e">
        <f ca="1">_xludf.IMAGE("https://m.media-amazon.com/images/I/61tQe8u+O1L._AC_UL320_.jpg")</f>
        <v>#NAME?</v>
      </c>
      <c r="I5925" t="s">
        <v>3185</v>
      </c>
      <c r="J5925">
        <v>20.99</v>
      </c>
      <c r="K5925" s="4">
        <v>0</v>
      </c>
      <c r="L5925">
        <v>4.0999999999999996</v>
      </c>
      <c r="M5925">
        <v>99</v>
      </c>
      <c r="O5925" t="s">
        <v>25</v>
      </c>
      <c r="P5925" t="s">
        <v>7909</v>
      </c>
      <c r="Q5925" t="s">
        <v>7910</v>
      </c>
    </row>
    <row r="5926" spans="1:17" ht="15.5" x14ac:dyDescent="0.35">
      <c r="A5926" s="3" t="str">
        <f>HYPERLINK("https://edmondsonsupply.com/collections/electricians-tools/products/clc-pb1531-molded-plastic-bottom-electrical-hvac-tool-carrier", "https://edmondsonsupply.com/collections/electricians-tools/products/clc-pb1531-molded-plastic-bottom-electrical-hvac-tool-carrier")</f>
        <v>https://edmondsonsupply.com/collections/electricians-tools/products/clc-pb1531-molded-plastic-bottom-electrical-hvac-tool-carrier</v>
      </c>
      <c r="B5926" s="3" t="str">
        <f>HYPERLINK("https://edmondsonsupply.com/products/clc-pb1531-molded-plastic-bottom-electrical-hvac-tool-carrier", "https://edmondsonsupply.com/products/clc-pb1531-molded-plastic-bottom-electrical-hvac-tool-carrier")</f>
        <v>https://edmondsonsupply.com/products/clc-pb1531-molded-plastic-bottom-electrical-hvac-tool-carrier</v>
      </c>
      <c r="C5926" t="s">
        <v>553</v>
      </c>
      <c r="D5926" t="s">
        <v>554</v>
      </c>
      <c r="E5926" s="3" t="str">
        <f>HYPERLINK("https://www.amazon.com/Work-PB1531-Molded-Electrical-Carrier/dp/B099JPPB5S/ref=sr_1_1?keywords=CLC+PB1531+Molded+Plastic+Bottom+Electrical%2FHVAC+Tool+Carrier&amp;qid=1695174259&amp;sr=8-1", "https://www.amazon.com/Work-PB1531-Molded-Electrical-Carrier/dp/B099JPPB5S/ref=sr_1_1?keywords=CLC+PB1531+Molded+Plastic+Bottom+Electrical%2FHVAC+Tool+Carrier&amp;qid=1695174259&amp;sr=8-1")</f>
        <v>https://www.amazon.com/Work-PB1531-Molded-Electrical-Carrier/dp/B099JPPB5S/ref=sr_1_1?keywords=CLC+PB1531+Molded+Plastic+Bottom+Electrical%2FHVAC+Tool+Carrier&amp;qid=1695174259&amp;sr=8-1</v>
      </c>
      <c r="F5926" t="s">
        <v>555</v>
      </c>
      <c r="G5926" t="e">
        <f ca="1">_xludf.IMAGE("https://edmondsonsupply.com/cdn/shop/products/PB1531.png?v=1633031052")</f>
        <v>#NAME?</v>
      </c>
      <c r="H5926" t="e">
        <f ca="1">_xludf.IMAGE("https://m.media-amazon.com/images/I/81bFPHq3MXS._AC_UL320_.jpg")</f>
        <v>#NAME?</v>
      </c>
      <c r="I5926" t="s">
        <v>368</v>
      </c>
      <c r="J5926">
        <v>89.95</v>
      </c>
      <c r="K5926" s="4">
        <v>0</v>
      </c>
      <c r="L5926">
        <v>4.4000000000000004</v>
      </c>
      <c r="M5926">
        <v>18</v>
      </c>
      <c r="O5926" t="s">
        <v>25</v>
      </c>
      <c r="P5926" t="s">
        <v>369</v>
      </c>
      <c r="Q5926" t="s">
        <v>556</v>
      </c>
    </row>
    <row r="5927" spans="1:17" ht="15.5" x14ac:dyDescent="0.35">
      <c r="A5927" s="3" t="str">
        <f>HYPERLINK("https://edmondsonsupply.com/collections/electricians-tools/products/klein-tools-56412-rechargeable-led-flashlight-with-worklight", "https://edmondsonsupply.com/collections/electricians-tools/products/klein-tools-56412-rechargeable-led-flashlight-with-worklight")</f>
        <v>https://edmondsonsupply.com/collections/electricians-tools/products/klein-tools-56412-rechargeable-led-flashlight-with-worklight</v>
      </c>
      <c r="B5927" s="3" t="str">
        <f>HYPERLINK("https://edmondsonsupply.com/products/klein-tools-56412-rechargeable-led-flashlight-with-worklight", "https://edmondsonsupply.com/products/klein-tools-56412-rechargeable-led-flashlight-with-worklight")</f>
        <v>https://edmondsonsupply.com/products/klein-tools-56412-rechargeable-led-flashlight-with-worklight</v>
      </c>
      <c r="C5927" t="s">
        <v>7109</v>
      </c>
      <c r="D5927" t="s">
        <v>5270</v>
      </c>
      <c r="E5927" s="3" t="str">
        <f>HYPERLINK("https://www.amazon.com/Klein-Tools-56403-Rechargeable-Illumination/dp/B07V4FTX6C/ref=sr_1_2?keywords=Klein+Tools+56412+Rechargeable+LED+Flashlight+with+Worklight&amp;qid=1695174153&amp;sr=8-2", "https://www.amazon.com/Klein-Tools-56403-Rechargeable-Illumination/dp/B07V4FTX6C/ref=sr_1_2?keywords=Klein+Tools+56412+Rechargeable+LED+Flashlight+with+Worklight&amp;qid=1695174153&amp;sr=8-2")</f>
        <v>https://www.amazon.com/Klein-Tools-56403-Rechargeable-Illumination/dp/B07V4FTX6C/ref=sr_1_2?keywords=Klein+Tools+56412+Rechargeable+LED+Flashlight+with+Worklight&amp;qid=1695174153&amp;sr=8-2</v>
      </c>
      <c r="F5927" t="s">
        <v>5271</v>
      </c>
      <c r="G5927" t="e">
        <f ca="1">_xludf.IMAGE("https://edmondsonsupply.com/cdn/shop/products/56412.jpg?v=1663953549")</f>
        <v>#NAME?</v>
      </c>
      <c r="H5927" t="e">
        <f ca="1">_xludf.IMAGE("https://m.media-amazon.com/images/I/61Gs90A8wDL._AC_UL320_.jpg")</f>
        <v>#NAME?</v>
      </c>
      <c r="I5927" t="s">
        <v>246</v>
      </c>
      <c r="J5927">
        <v>39.97</v>
      </c>
      <c r="K5927" s="4">
        <v>0</v>
      </c>
      <c r="L5927">
        <v>4.8</v>
      </c>
      <c r="M5927">
        <v>2756</v>
      </c>
      <c r="O5927" t="s">
        <v>25</v>
      </c>
      <c r="P5927" t="s">
        <v>7110</v>
      </c>
      <c r="Q5927" t="s">
        <v>7111</v>
      </c>
    </row>
    <row r="5928" spans="1:17" ht="15.5" x14ac:dyDescent="0.35">
      <c r="A5928" s="3" t="str">
        <f>HYPERLINK("https://edmondsonsupply.com/collections/electricians-tools/products/klein-tools-56412-rechargeable-led-flashlight-with-worklight", "https://edmondsonsupply.com/collections/electricians-tools/products/klein-tools-56412-rechargeable-led-flashlight-with-worklight")</f>
        <v>https://edmondsonsupply.com/collections/electricians-tools/products/klein-tools-56412-rechargeable-led-flashlight-with-worklight</v>
      </c>
      <c r="B5928" s="3" t="str">
        <f>HYPERLINK("https://edmondsonsupply.com/products/klein-tools-56412-rechargeable-led-flashlight-with-worklight", "https://edmondsonsupply.com/products/klein-tools-56412-rechargeable-led-flashlight-with-worklight")</f>
        <v>https://edmondsonsupply.com/products/klein-tools-56412-rechargeable-led-flashlight-with-worklight</v>
      </c>
      <c r="C5928" t="s">
        <v>7109</v>
      </c>
      <c r="D5928" t="s">
        <v>6708</v>
      </c>
      <c r="E5928" s="3" t="str">
        <f>HYPERLINK("https://www.amazon.com/Rechargeable-Flashlight-Worklight-Klein-Tools/dp/B0947YMH51/ref=sr_1_1?keywords=Klein+Tools+56412+Rechargeable+LED+Flashlight+with+Worklight&amp;qid=1695174153&amp;sr=8-1", "https://www.amazon.com/Rechargeable-Flashlight-Worklight-Klein-Tools/dp/B0947YMH51/ref=sr_1_1?keywords=Klein+Tools+56412+Rechargeable+LED+Flashlight+with+Worklight&amp;qid=1695174153&amp;sr=8-1")</f>
        <v>https://www.amazon.com/Rechargeable-Flashlight-Worklight-Klein-Tools/dp/B0947YMH51/ref=sr_1_1?keywords=Klein+Tools+56412+Rechargeable+LED+Flashlight+with+Worklight&amp;qid=1695174153&amp;sr=8-1</v>
      </c>
      <c r="F5928" t="s">
        <v>6709</v>
      </c>
      <c r="G5928" t="e">
        <f ca="1">_xludf.IMAGE("https://edmondsonsupply.com/cdn/shop/products/56412.jpg?v=1663953549")</f>
        <v>#NAME?</v>
      </c>
      <c r="H5928" t="e">
        <f ca="1">_xludf.IMAGE("https://m.media-amazon.com/images/I/51Of8ojN4aS._AC_UL320_.jpg")</f>
        <v>#NAME?</v>
      </c>
      <c r="I5928" t="s">
        <v>246</v>
      </c>
      <c r="J5928">
        <v>39.97</v>
      </c>
      <c r="K5928" s="4">
        <v>0</v>
      </c>
      <c r="L5928">
        <v>4.5999999999999996</v>
      </c>
      <c r="M5928">
        <v>424</v>
      </c>
      <c r="O5928" t="s">
        <v>25</v>
      </c>
      <c r="P5928" t="s">
        <v>7110</v>
      </c>
      <c r="Q5928" t="s">
        <v>7111</v>
      </c>
    </row>
    <row r="5929" spans="1:17" ht="15.5" x14ac:dyDescent="0.35">
      <c r="A5929"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5929"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5929" t="s">
        <v>7911</v>
      </c>
      <c r="D5929" t="s">
        <v>6602</v>
      </c>
      <c r="E5929" s="3" t="str">
        <f>HYPERLINK("https://www.amazon.com/Conduit-Technology-Benchmark-Klein-Tools/dp/B08L3ZQCT1/ref=sr_1_1?keywords=Klein+Tools+51605+Iron+Conduit+Bender+Full+Assembly%2C+1-Inch+EMT+with+Angle+Setter%E2%84%A2&amp;qid=1695174157&amp;sr=8-1", "https://www.amazon.com/Conduit-Technology-Benchmark-Klein-Tools/dp/B08L3ZQCT1/ref=sr_1_1?keywords=Klein+Tools+51605+Iron+Conduit+Bender+Full+Assembly%2C+1-Inch+EMT+with+Angle+Setter%E2%84%A2&amp;qid=1695174157&amp;sr=8-1")</f>
        <v>https://www.amazon.com/Conduit-Technology-Benchmark-Klein-Tools/dp/B08L3ZQCT1/ref=sr_1_1?keywords=Klein+Tools+51605+Iron+Conduit+Bender+Full+Assembly%2C+1-Inch+EMT+with+Angle+Setter%E2%84%A2&amp;qid=1695174157&amp;sr=8-1</v>
      </c>
      <c r="F5929" t="s">
        <v>6603</v>
      </c>
      <c r="G5929" t="e">
        <f ca="1">_xludf.IMAGE("https://edmondsonsupply.com/cdn/shop/products/51605.jpg?v=1663938749")</f>
        <v>#NAME?</v>
      </c>
      <c r="H5929" t="e">
        <f ca="1">_xludf.IMAGE("https://m.media-amazon.com/images/I/41stj4NcdUL._AC_UL320_.jpg")</f>
        <v>#NAME?</v>
      </c>
      <c r="I5929" t="s">
        <v>545</v>
      </c>
      <c r="J5929">
        <v>99.97</v>
      </c>
      <c r="K5929" s="4">
        <v>0</v>
      </c>
      <c r="L5929">
        <v>4.7</v>
      </c>
      <c r="M5929">
        <v>60</v>
      </c>
      <c r="O5929" t="s">
        <v>25</v>
      </c>
      <c r="P5929" t="s">
        <v>2225</v>
      </c>
      <c r="Q5929" t="s">
        <v>7912</v>
      </c>
    </row>
    <row r="5930" spans="1:17" ht="15.5" x14ac:dyDescent="0.35">
      <c r="A5930"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5930" s="3" t="str">
        <f>HYPERLINK("https://edmondsonsupply.com/products/klein-tools-et450-advanced-circuit-tracer-kit", "https://edmondsonsupply.com/products/klein-tools-et450-advanced-circuit-tracer-kit")</f>
        <v>https://edmondsonsupply.com/products/klein-tools-et450-advanced-circuit-tracer-kit</v>
      </c>
      <c r="C5930" t="s">
        <v>2849</v>
      </c>
      <c r="D5930" t="s">
        <v>4541</v>
      </c>
      <c r="E5930" s="3" t="str">
        <f>HYPERLINK("https://www.amazon.com/Klein-Tools-ET450-Energized-Non-Energized/dp/B09XG38XLP/ref=sr_1_1?keywords=Klein+Tools+ET450+Advanced+Circuit+Tracer+Kit&amp;qid=1695173869&amp;sr=8-1", "https://www.amazon.com/Klein-Tools-ET450-Energized-Non-Energized/dp/B09XG38XLP/ref=sr_1_1?keywords=Klein+Tools+ET450+Advanced+Circuit+Tracer+Kit&amp;qid=1695173869&amp;sr=8-1")</f>
        <v>https://www.amazon.com/Klein-Tools-ET450-Energized-Non-Energized/dp/B09XG38XLP/ref=sr_1_1?keywords=Klein+Tools+ET450+Advanced+Circuit+Tracer+Kit&amp;qid=1695173869&amp;sr=8-1</v>
      </c>
      <c r="F5930" t="s">
        <v>4542</v>
      </c>
      <c r="G5930" t="e">
        <f ca="1">_xludf.IMAGE("https://edmondsonsupply.com/cdn/shop/products/et450.jpg?v=1660165248")</f>
        <v>#NAME?</v>
      </c>
      <c r="H5930" t="e">
        <f ca="1">_xludf.IMAGE("https://m.media-amazon.com/images/I/71DaXgIbaFL._AC_UL320_.jpg")</f>
        <v>#NAME?</v>
      </c>
      <c r="I5930" t="s">
        <v>759</v>
      </c>
      <c r="J5930">
        <v>239.99</v>
      </c>
      <c r="K5930" s="4">
        <v>0</v>
      </c>
      <c r="L5930">
        <v>4.7</v>
      </c>
      <c r="M5930">
        <v>484</v>
      </c>
      <c r="O5930" t="s">
        <v>25</v>
      </c>
      <c r="P5930" t="s">
        <v>2852</v>
      </c>
      <c r="Q5930" t="s">
        <v>2853</v>
      </c>
    </row>
    <row r="5931" spans="1:17" ht="15.5" x14ac:dyDescent="0.35">
      <c r="A5931"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931" s="3" t="str">
        <f>HYPERLINK("https://edmondsonsupply.com/products/klein-tools-11053-klein-kurve%c2%ae-wire-stripper-cutter", "https://edmondsonsupply.com/products/klein-tools-11053-klein-kurve%c2%ae-wire-stripper-cutter")</f>
        <v>https://edmondsonsupply.com/products/klein-tools-11053-klein-kurve%c2%ae-wire-stripper-cutter</v>
      </c>
      <c r="C5931" t="s">
        <v>2285</v>
      </c>
      <c r="D5931" t="s">
        <v>4572</v>
      </c>
      <c r="E5931" s="3" t="str">
        <f>HYPERLINK("https://www.amazon.com/Klein-Tools-1019-Connectors-Terminals/dp/B07GFYBW4V/ref=sr_1_8?keywords=Klein+Tools+11053+Klein-Kurve%C2%AE+Wire+Stripper%2FCutter&amp;qid=1695173869&amp;sr=8-8", "https://www.amazon.com/Klein-Tools-1019-Connectors-Terminals/dp/B07GFYBW4V/ref=sr_1_8?keywords=Klein+Tools+11053+Klein-Kurve%C2%AE+Wire+Stripper%2FCutter&amp;qid=1695173869&amp;sr=8-8")</f>
        <v>https://www.amazon.com/Klein-Tools-1019-Connectors-Terminals/dp/B07GFYBW4V/ref=sr_1_8?keywords=Klein+Tools+11053+Klein-Kurve%C2%AE+Wire+Stripper%2FCutter&amp;qid=1695173869&amp;sr=8-8</v>
      </c>
      <c r="F5931" t="s">
        <v>4573</v>
      </c>
      <c r="G5931" t="e">
        <f ca="1">_xludf.IMAGE("https://edmondsonsupply.com/cdn/shop/products/11053.jpg?v=1633030511")</f>
        <v>#NAME?</v>
      </c>
      <c r="H5931" t="e">
        <f ca="1">_xludf.IMAGE("https://m.media-amazon.com/images/I/41CdFsk2lFL._AC_UL320_.jpg")</f>
        <v>#NAME?</v>
      </c>
      <c r="I5931" t="s">
        <v>2288</v>
      </c>
      <c r="J5931">
        <v>20.97</v>
      </c>
      <c r="K5931" s="4">
        <v>0</v>
      </c>
      <c r="L5931">
        <v>4.7</v>
      </c>
      <c r="M5931">
        <v>1802</v>
      </c>
      <c r="O5931" t="s">
        <v>25</v>
      </c>
      <c r="P5931" t="s">
        <v>2289</v>
      </c>
      <c r="Q5931" t="s">
        <v>2290</v>
      </c>
    </row>
    <row r="5932" spans="1:17" ht="15.5" x14ac:dyDescent="0.35">
      <c r="A5932"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5932" s="3" t="str">
        <f>HYPERLINK("https://edmondsonsupply.com/products/klein-tools-11053-klein-kurve%c2%ae-wire-stripper-cutter", "https://edmondsonsupply.com/products/klein-tools-11053-klein-kurve%c2%ae-wire-stripper-cutter")</f>
        <v>https://edmondsonsupply.com/products/klein-tools-11053-klein-kurve%c2%ae-wire-stripper-cutter</v>
      </c>
      <c r="C5932" t="s">
        <v>2285</v>
      </c>
      <c r="D5932" t="s">
        <v>4576</v>
      </c>
      <c r="E5932" s="3" t="str">
        <f>HYPERLINK("https://www.amazon.com/Klein-Kurve-Stripper-Klein-Tools-11053/dp/B000MKH0YC/ref=sr_1_1?keywords=Klein+Tools+11053+Klein-Kurve%C2%AE+Wire+Stripper%2FCutter&amp;qid=1695173869&amp;sr=8-1", "https://www.amazon.com/Klein-Kurve-Stripper-Klein-Tools-11053/dp/B000MKH0YC/ref=sr_1_1?keywords=Klein+Tools+11053+Klein-Kurve%C2%AE+Wire+Stripper%2FCutter&amp;qid=1695173869&amp;sr=8-1")</f>
        <v>https://www.amazon.com/Klein-Kurve-Stripper-Klein-Tools-11053/dp/B000MKH0YC/ref=sr_1_1?keywords=Klein+Tools+11053+Klein-Kurve%C2%AE+Wire+Stripper%2FCutter&amp;qid=1695173869&amp;sr=8-1</v>
      </c>
      <c r="F5932" t="s">
        <v>4577</v>
      </c>
      <c r="G5932" t="e">
        <f ca="1">_xludf.IMAGE("https://edmondsonsupply.com/cdn/shop/products/11053.jpg?v=1633030511")</f>
        <v>#NAME?</v>
      </c>
      <c r="H5932" t="e">
        <f ca="1">_xludf.IMAGE("https://m.media-amazon.com/images/I/51eHDSucYhL._AC_UL320_.jpg")</f>
        <v>#NAME?</v>
      </c>
      <c r="I5932" t="s">
        <v>2288</v>
      </c>
      <c r="J5932">
        <v>20.97</v>
      </c>
      <c r="K5932" s="4">
        <v>0</v>
      </c>
      <c r="L5932">
        <v>4.8</v>
      </c>
      <c r="M5932">
        <v>2989</v>
      </c>
      <c r="O5932" t="s">
        <v>25</v>
      </c>
      <c r="P5932" t="s">
        <v>2289</v>
      </c>
      <c r="Q5932" t="s">
        <v>2290</v>
      </c>
    </row>
    <row r="5933" spans="1:17" ht="15.5" x14ac:dyDescent="0.35">
      <c r="A5933" s="3" t="str">
        <f>HYPERLINK("https://edmondsonsupply.com/collections/electricians-tools/products/klein-tools-32288-8-in-1-insulated-interchangeable-screwdriver-set", "https://edmondsonsupply.com/collections/electricians-tools/products/klein-tools-32288-8-in-1-insulated-interchangeable-screwdriver-set")</f>
        <v>https://edmondsonsupply.com/collections/electricians-tools/products/klein-tools-32288-8-in-1-insulated-interchangeable-screwdriver-set</v>
      </c>
      <c r="B5933" s="3" t="str">
        <f>HYPERLINK("https://edmondsonsupply.com/products/klein-tools-32288-8-in-1-insulated-interchangeable-screwdriver-set", "https://edmondsonsupply.com/products/klein-tools-32288-8-in-1-insulated-interchangeable-screwdriver-set")</f>
        <v>https://edmondsonsupply.com/products/klein-tools-32288-8-in-1-insulated-interchangeable-screwdriver-set</v>
      </c>
      <c r="C5933" t="s">
        <v>6146</v>
      </c>
      <c r="D5933" t="s">
        <v>7913</v>
      </c>
      <c r="E5933" s="3" t="str">
        <f>HYPERLINK("https://www.amazon.com/Klein-Tools-32288-Screwdriver-Interchangeable/dp/B07WTRTVFS/ref=sr_1_1?keywords=Klein+Tools+32288+8-in-1+Insulated+Interchangeable+Screwdriver+Set&amp;qid=1695173864&amp;sr=8-1", "https://www.amazon.com/Klein-Tools-32288-Screwdriver-Interchangeable/dp/B07WTRTVFS/ref=sr_1_1?keywords=Klein+Tools+32288+8-in-1+Insulated+Interchangeable+Screwdriver+Set&amp;qid=1695173864&amp;sr=8-1")</f>
        <v>https://www.amazon.com/Klein-Tools-32288-Screwdriver-Interchangeable/dp/B07WTRTVFS/ref=sr_1_1?keywords=Klein+Tools+32288+8-in-1+Insulated+Interchangeable+Screwdriver+Set&amp;qid=1695173864&amp;sr=8-1</v>
      </c>
      <c r="F5933" t="s">
        <v>7914</v>
      </c>
      <c r="G5933" t="e">
        <f ca="1">_xludf.IMAGE("https://edmondsonsupply.com/cdn/shop/products/32288.jpg?v=1587146849")</f>
        <v>#NAME?</v>
      </c>
      <c r="H5933" t="e">
        <f ca="1">_xludf.IMAGE("https://m.media-amazon.com/images/I/61+siNL-a8L._AC_UL320_.jpg")</f>
        <v>#NAME?</v>
      </c>
      <c r="I5933" t="s">
        <v>1931</v>
      </c>
      <c r="J5933">
        <v>49.99</v>
      </c>
      <c r="K5933" s="4">
        <v>0</v>
      </c>
      <c r="L5933">
        <v>4.8</v>
      </c>
      <c r="M5933">
        <v>4266</v>
      </c>
      <c r="O5933" t="s">
        <v>25</v>
      </c>
      <c r="P5933" t="s">
        <v>1114</v>
      </c>
      <c r="Q5933" t="s">
        <v>6149</v>
      </c>
    </row>
    <row r="5934" spans="1:17" ht="15.5" x14ac:dyDescent="0.35">
      <c r="A5934" s="3" t="str">
        <f>HYPERLINK("https://edmondsonsupply.com/collections/electricians-tools/products/klein-tools-85077-screwdriver-set-multi-application-7-piece", "https://edmondsonsupply.com/collections/electricians-tools/products/klein-tools-85077-screwdriver-set-multi-application-7-piece")</f>
        <v>https://edmondsonsupply.com/collections/electricians-tools/products/klein-tools-85077-screwdriver-set-multi-application-7-piece</v>
      </c>
      <c r="B5934" s="3" t="str">
        <f>HYPERLINK("https://edmondsonsupply.com/products/klein-tools-85077-screwdriver-set-multi-application-7-piece", "https://edmondsonsupply.com/products/klein-tools-85077-screwdriver-set-multi-application-7-piece")</f>
        <v>https://edmondsonsupply.com/products/klein-tools-85077-screwdriver-set-multi-application-7-piece</v>
      </c>
      <c r="C5934" t="s">
        <v>7915</v>
      </c>
      <c r="D5934" t="s">
        <v>7916</v>
      </c>
      <c r="E5934" s="3" t="str">
        <f>HYPERLINK("https://www.amazon.com/Application-Screwdriver-Klein-Tools-85077/dp/B0002DOL78/ref=sr_1_1?keywords=Klein+Tools+85077+Screwdriver+Set%2C+Multi-Application%2C+7-Piece&amp;qid=1695174266&amp;sr=8-1", "https://www.amazon.com/Application-Screwdriver-Klein-Tools-85077/dp/B0002DOL78/ref=sr_1_1?keywords=Klein+Tools+85077+Screwdriver+Set%2C+Multi-Application%2C+7-Piece&amp;qid=1695174266&amp;sr=8-1")</f>
        <v>https://www.amazon.com/Application-Screwdriver-Klein-Tools-85077/dp/B0002DOL78/ref=sr_1_1?keywords=Klein+Tools+85077+Screwdriver+Set%2C+Multi-Application%2C+7-Piece&amp;qid=1695174266&amp;sr=8-1</v>
      </c>
      <c r="F5934" t="s">
        <v>7917</v>
      </c>
      <c r="G5934" t="e">
        <f ca="1">_xludf.IMAGE("https://edmondsonsupply.com/cdn/shop/products/85077.jpg?v=1633031193")</f>
        <v>#NAME?</v>
      </c>
      <c r="H5934" t="e">
        <f ca="1">_xludf.IMAGE("https://m.media-amazon.com/images/I/617g3He2GNL._AC_UL320_.jpg")</f>
        <v>#NAME?</v>
      </c>
      <c r="I5934" t="s">
        <v>7918</v>
      </c>
      <c r="J5934">
        <v>64.989999999999995</v>
      </c>
      <c r="K5934" s="4">
        <v>0</v>
      </c>
      <c r="L5934">
        <v>4.9000000000000004</v>
      </c>
      <c r="M5934">
        <v>30</v>
      </c>
      <c r="O5934" t="s">
        <v>25</v>
      </c>
      <c r="P5934" t="s">
        <v>7919</v>
      </c>
      <c r="Q5934" t="s">
        <v>7920</v>
      </c>
    </row>
    <row r="5935" spans="1:17" ht="15.5" x14ac:dyDescent="0.35">
      <c r="A5935" s="3" t="str">
        <f>HYPERLINK("https://edmondsonsupply.com/collections/electricians-tools/products/fieldpiece-sc640", "https://edmondsonsupply.com/collections/electricians-tools/products/fieldpiece-sc640")</f>
        <v>https://edmondsonsupply.com/collections/electricians-tools/products/fieldpiece-sc640</v>
      </c>
      <c r="B5935" s="3" t="str">
        <f>HYPERLINK("https://edmondsonsupply.com/products/fieldpiece-sc640", "https://edmondsonsupply.com/products/fieldpiece-sc640")</f>
        <v>https://edmondsonsupply.com/products/fieldpiece-sc640</v>
      </c>
      <c r="C5935" t="s">
        <v>4608</v>
      </c>
      <c r="D5935" t="s">
        <v>4609</v>
      </c>
      <c r="E5935" s="3" t="str">
        <f>HYPERLINK("https://www.amazon.com/Fieldpiece-SC640-Loaded-Multimeter-Flashlight/dp/B00KLYJGJQ/ref=sr_1_1?keywords=Fieldpiece+SC640+Loaded+Clamp+Meter&amp;qid=1695173866&amp;sr=8-1", "https://www.amazon.com/Fieldpiece-SC640-Loaded-Multimeter-Flashlight/dp/B00KLYJGJQ/ref=sr_1_1?keywords=Fieldpiece+SC640+Loaded+Clamp+Meter&amp;qid=1695173866&amp;sr=8-1")</f>
        <v>https://www.amazon.com/Fieldpiece-SC640-Loaded-Multimeter-Flashlight/dp/B00KLYJGJQ/ref=sr_1_1?keywords=Fieldpiece+SC640+Loaded+Clamp+Meter&amp;qid=1695173866&amp;sr=8-1</v>
      </c>
      <c r="F5935" t="s">
        <v>4610</v>
      </c>
      <c r="G5935" t="e">
        <f ca="1">_xludf.IMAGE("https://edmondsonsupply.com/cdn/shop/products/SC640-SRC-product.jpg?v=1633030198")</f>
        <v>#NAME?</v>
      </c>
      <c r="H5935" t="e">
        <f ca="1">_xludf.IMAGE("https://m.media-amazon.com/images/I/61RFJYVGaCL._AC_UY218_.jpg")</f>
        <v>#NAME?</v>
      </c>
      <c r="I5935" t="s">
        <v>4611</v>
      </c>
      <c r="J5935">
        <v>249.9</v>
      </c>
      <c r="K5935" s="4">
        <v>0</v>
      </c>
      <c r="L5935">
        <v>4.8</v>
      </c>
      <c r="M5935">
        <v>244</v>
      </c>
      <c r="O5935" t="s">
        <v>25</v>
      </c>
      <c r="P5935" t="s">
        <v>4612</v>
      </c>
      <c r="Q5935" t="s">
        <v>4613</v>
      </c>
    </row>
    <row r="5936" spans="1:17" ht="15.5" x14ac:dyDescent="0.35">
      <c r="A5936" s="3" t="str">
        <f>HYPERLINK("https://edmondsonsupply.com/collections/electricians-tools/products/klein-tools-rt110-receptacle-tester", "https://edmondsonsupply.com/collections/electricians-tools/products/klein-tools-rt110-receptacle-tester")</f>
        <v>https://edmondsonsupply.com/collections/electricians-tools/products/klein-tools-rt110-receptacle-tester</v>
      </c>
      <c r="B5936" s="3" t="str">
        <f>HYPERLINK("https://edmondsonsupply.com/products/klein-tools-rt110-receptacle-tester", "https://edmondsonsupply.com/products/klein-tools-rt110-receptacle-tester")</f>
        <v>https://edmondsonsupply.com/products/klein-tools-rt110-receptacle-tester</v>
      </c>
      <c r="C5936" t="s">
        <v>6021</v>
      </c>
      <c r="D5936" t="s">
        <v>7921</v>
      </c>
      <c r="E5936" s="3" t="str">
        <f>HYPERLINK("https://www.amazon.com/Receptacle-Tester-Klein-Tools-RT110/dp/B01AKX3AYE/ref=sr_1_1?keywords=Klein+Tools+RT110+Receptacle+Tester&amp;qid=1695174267&amp;sr=8-1", "https://www.amazon.com/Receptacle-Tester-Klein-Tools-RT110/dp/B01AKX3AYE/ref=sr_1_1?keywords=Klein+Tools+RT110+Receptacle+Tester&amp;qid=1695174267&amp;sr=8-1")</f>
        <v>https://www.amazon.com/Receptacle-Tester-Klein-Tools-RT110/dp/B01AKX3AYE/ref=sr_1_1?keywords=Klein+Tools+RT110+Receptacle+Tester&amp;qid=1695174267&amp;sr=8-1</v>
      </c>
      <c r="F5936" t="s">
        <v>7922</v>
      </c>
      <c r="G5936" t="e">
        <f ca="1">_xludf.IMAGE("https://edmondsonsupply.com/cdn/shop/products/rt110.jpg?v=1633031036")</f>
        <v>#NAME?</v>
      </c>
      <c r="H5936" t="e">
        <f ca="1">_xludf.IMAGE("https://m.media-amazon.com/images/I/51+w2FODeGL._AC_UL320_.jpg")</f>
        <v>#NAME?</v>
      </c>
      <c r="I5936" t="s">
        <v>1427</v>
      </c>
      <c r="J5936">
        <v>9.9700000000000006</v>
      </c>
      <c r="K5936" s="4">
        <v>0</v>
      </c>
      <c r="L5936">
        <v>4.8</v>
      </c>
      <c r="M5936">
        <v>2442</v>
      </c>
      <c r="O5936" t="s">
        <v>25</v>
      </c>
      <c r="P5936" t="s">
        <v>6024</v>
      </c>
      <c r="Q5936" t="s">
        <v>6025</v>
      </c>
    </row>
    <row r="5937" spans="1:17" ht="15.5" x14ac:dyDescent="0.35">
      <c r="A5937" s="3" t="str">
        <f>HYPERLINK("https://edmondsonsupply.com/collections/electricians-tools/products/klein-tools-44218-cable-skinning-utility-knife-w-replaceable-blade", "https://edmondsonsupply.com/collections/electricians-tools/products/klein-tools-44218-cable-skinning-utility-knife-w-replaceable-blade")</f>
        <v>https://edmondsonsupply.com/collections/electricians-tools/products/klein-tools-44218-cable-skinning-utility-knife-w-replaceable-blade</v>
      </c>
      <c r="B5937" s="3" t="str">
        <f>HYPERLINK("https://edmondsonsupply.com/products/klein-tools-44218-cable-skinning-utility-knife-w-replaceable-blade", "https://edmondsonsupply.com/products/klein-tools-44218-cable-skinning-utility-knife-w-replaceable-blade")</f>
        <v>https://edmondsonsupply.com/products/klein-tools-44218-cable-skinning-utility-knife-w-replaceable-blade</v>
      </c>
      <c r="C5937" t="s">
        <v>4543</v>
      </c>
      <c r="D5937" t="s">
        <v>4139</v>
      </c>
      <c r="E5937" s="3" t="str">
        <f>HYPERLINK("https://www.amazon.com/Replaceable-Mechanism-Klein-Tools-44218/dp/B071YR1Q2L/ref=sr_1_1?keywords=Klein+Tools+44218+Cable+Skinning+Utility+Knife+w%2FReplaceable+Blade&amp;qid=1695173865&amp;sr=8-1", "https://www.amazon.com/Replaceable-Mechanism-Klein-Tools-44218/dp/B071YR1Q2L/ref=sr_1_1?keywords=Klein+Tools+44218+Cable+Skinning+Utility+Knife+w%2FReplaceable+Blade&amp;qid=1695173865&amp;sr=8-1")</f>
        <v>https://www.amazon.com/Replaceable-Mechanism-Klein-Tools-44218/dp/B071YR1Q2L/ref=sr_1_1?keywords=Klein+Tools+44218+Cable+Skinning+Utility+Knife+w%2FReplaceable+Blade&amp;qid=1695173865&amp;sr=8-1</v>
      </c>
      <c r="F5937" t="s">
        <v>4140</v>
      </c>
      <c r="G5937" t="e">
        <f ca="1">_xludf.IMAGE("https://edmondsonsupply.com/cdn/shop/products/44218.jpg?v=1587145352")</f>
        <v>#NAME?</v>
      </c>
      <c r="H5937" t="e">
        <f ca="1">_xludf.IMAGE("https://m.media-amazon.com/images/I/41ToQfPYPnL._AC_UL320_.jpg")</f>
        <v>#NAME?</v>
      </c>
      <c r="I5937" t="s">
        <v>2247</v>
      </c>
      <c r="J5937">
        <v>21.97</v>
      </c>
      <c r="K5937" s="4">
        <v>0</v>
      </c>
      <c r="L5937">
        <v>4.8</v>
      </c>
      <c r="M5937">
        <v>3348</v>
      </c>
      <c r="O5937" t="s">
        <v>25</v>
      </c>
      <c r="P5937" t="s">
        <v>4544</v>
      </c>
      <c r="Q5937" t="s">
        <v>4545</v>
      </c>
    </row>
    <row r="5938" spans="1:17" ht="15.5" x14ac:dyDescent="0.35">
      <c r="A5938" s="3" t="str">
        <f>HYPERLINK("https://edmondsonsupply.com/collections/electricians-tools/products/klein-tools-13231-replacement-bit-1-8-slotted-and-schrader%C2%AE", "https://edmondsonsupply.com/collections/electricians-tools/products/klein-tools-13231-replacement-bit-1-8-slotted-and-schrader%C2%AE")</f>
        <v>https://edmondsonsupply.com/collections/electricians-tools/products/klein-tools-13231-replacement-bit-1-8-slotted-and-schrader%C2%AE</v>
      </c>
      <c r="B5938" s="3" t="str">
        <f>HYPERLINK("https://edmondsonsupply.com/products/klein-tools-13231-replacement-bit-1-8-slotted-and-schrader%c2%ae", "https://edmondsonsupply.com/products/klein-tools-13231-replacement-bit-1-8-slotted-and-schrader%c2%ae")</f>
        <v>https://edmondsonsupply.com/products/klein-tools-13231-replacement-bit-1-8-slotted-and-schrader%c2%ae</v>
      </c>
      <c r="C5938" t="s">
        <v>4614</v>
      </c>
      <c r="D5938" t="s">
        <v>4615</v>
      </c>
      <c r="E5938" s="3" t="str">
        <f>HYPERLINK("https://www.amazon.com/Replacement-Schrader-Klein-Tools-13231/dp/B0791D1VPP/ref=sr_1_1?keywords=Klein+Tools+13231+Replacement+Bits%2C+1%2F8-Inch+Slotted+and+Schrader%C2%AE&amp;qid=1695173866&amp;sr=8-1", "https://www.amazon.com/Replacement-Schrader-Klein-Tools-13231/dp/B0791D1VPP/ref=sr_1_1?keywords=Klein+Tools+13231+Replacement+Bits%2C+1%2F8-Inch+Slotted+and+Schrader%C2%AE&amp;qid=1695173866&amp;sr=8-1")</f>
        <v>https://www.amazon.com/Replacement-Schrader-Klein-Tools-13231/dp/B0791D1VPP/ref=sr_1_1?keywords=Klein+Tools+13231+Replacement+Bits%2C+1%2F8-Inch+Slotted+and+Schrader%C2%AE&amp;qid=1695173866&amp;sr=8-1</v>
      </c>
      <c r="F5938" t="s">
        <v>4616</v>
      </c>
      <c r="G5938" t="e">
        <f ca="1">_xludf.IMAGE("https://edmondsonsupply.com/cdn/shop/products/13231.jpg?v=1587143809")</f>
        <v>#NAME?</v>
      </c>
      <c r="H5938" t="e">
        <f ca="1">_xludf.IMAGE("https://m.media-amazon.com/images/I/51Ap07mXRLL._AC_UL320_.jpg")</f>
        <v>#NAME?</v>
      </c>
      <c r="I5938" t="s">
        <v>4617</v>
      </c>
      <c r="J5938">
        <v>6.49</v>
      </c>
      <c r="K5938" s="4">
        <v>0</v>
      </c>
      <c r="L5938">
        <v>4.7</v>
      </c>
      <c r="M5938">
        <v>448</v>
      </c>
      <c r="O5938" t="s">
        <v>25</v>
      </c>
      <c r="P5938" t="s">
        <v>4618</v>
      </c>
      <c r="Q5938" t="s">
        <v>4619</v>
      </c>
    </row>
    <row r="5939" spans="1:17" ht="15.5" x14ac:dyDescent="0.35">
      <c r="A5939"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5939" s="3" t="str">
        <f>HYPERLINK("https://edmondsonsupply.com/products/klein-tools-630-3-8-3-8-inch-nut-driver-with-3-inch-hollow-shaft", "https://edmondsonsupply.com/products/klein-tools-630-3-8-3-8-inch-nut-driver-with-3-inch-hollow-shaft")</f>
        <v>https://edmondsonsupply.com/products/klein-tools-630-3-8-3-8-inch-nut-driver-with-3-inch-hollow-shaft</v>
      </c>
      <c r="C5939" t="s">
        <v>6150</v>
      </c>
      <c r="D5939" t="s">
        <v>7923</v>
      </c>
      <c r="E5939" s="3" t="str">
        <f>HYPERLINK("https://www.amazon.com/Capri-Tools-Kontour-8-Inch-Driver/dp/B079G82XNX/ref=sr_1_6?keywords=Klein+Tools+630-3%2F8+3%2F8-Inch+Nut+Driver+with+3-Inch+Hollow+Shaft&amp;qid=1695174289&amp;sr=8-6", "https://www.amazon.com/Capri-Tools-Kontour-8-Inch-Driver/dp/B079G82XNX/ref=sr_1_6?keywords=Klein+Tools+630-3%2F8+3%2F8-Inch+Nut+Driver+with+3-Inch+Hollow+Shaft&amp;qid=1695174289&amp;sr=8-6")</f>
        <v>https://www.amazon.com/Capri-Tools-Kontour-8-Inch-Driver/dp/B079G82XNX/ref=sr_1_6?keywords=Klein+Tools+630-3%2F8+3%2F8-Inch+Nut+Driver+with+3-Inch+Hollow+Shaft&amp;qid=1695174289&amp;sr=8-6</v>
      </c>
      <c r="F5939" t="s">
        <v>7924</v>
      </c>
      <c r="G5939" t="e">
        <f ca="1">_xludf.IMAGE("https://edmondsonsupply.com/cdn/shop/products/630-1-2_e23f9fbd-a282-44d7-b743-2cfe0f84edfa.jpg?v=1633030906")</f>
        <v>#NAME?</v>
      </c>
      <c r="H5939" t="e">
        <f ca="1">_xludf.IMAGE("https://m.media-amazon.com/images/I/61d32Cf79OL._AC_UL320_.jpg")</f>
        <v>#NAME?</v>
      </c>
      <c r="I5939" t="s">
        <v>924</v>
      </c>
      <c r="J5939">
        <v>8.99</v>
      </c>
      <c r="K5939" s="4">
        <v>0</v>
      </c>
      <c r="L5939">
        <v>4.5</v>
      </c>
      <c r="M5939">
        <v>62</v>
      </c>
      <c r="O5939" t="s">
        <v>25</v>
      </c>
      <c r="P5939" t="s">
        <v>6153</v>
      </c>
      <c r="Q5939" t="s">
        <v>6154</v>
      </c>
    </row>
    <row r="5940" spans="1:17" ht="15.5" x14ac:dyDescent="0.35">
      <c r="A5940"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5940"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5940" t="s">
        <v>6824</v>
      </c>
      <c r="D5940" t="s">
        <v>7925</v>
      </c>
      <c r="E5940" s="3" t="str">
        <f>HYPERLINK("https://www.amazon.com/Klein-Tools-ET310-Circuit-Integrated/dp/B07QNMCVWP/ref=sr_1_2?keywords=Klein+Tools+ET310+Digital+Circuit+Breaker+Finder+with+GFCI+Outlet+Tester&amp;qid=1695173862&amp;sr=8-2", "https://www.amazon.com/Klein-Tools-ET310-Circuit-Integrated/dp/B07QNMCVWP/ref=sr_1_2?keywords=Klein+Tools+ET310+Digital+Circuit+Breaker+Finder+with+GFCI+Outlet+Tester&amp;qid=1695173862&amp;sr=8-2")</f>
        <v>https://www.amazon.com/Klein-Tools-ET310-Circuit-Integrated/dp/B07QNMCVWP/ref=sr_1_2?keywords=Klein+Tools+ET310+Digital+Circuit+Breaker+Finder+with+GFCI+Outlet+Tester&amp;qid=1695173862&amp;sr=8-2</v>
      </c>
      <c r="F5940" t="s">
        <v>7926</v>
      </c>
      <c r="G5940" t="e">
        <f ca="1">_xludf.IMAGE("https://edmondsonsupply.com/cdn/shop/products/et310_c.jpg?v=1646963918")</f>
        <v>#NAME?</v>
      </c>
      <c r="H5940" t="e">
        <f ca="1">_xludf.IMAGE("https://m.media-amazon.com/images/I/61pw8oA02AL._AC_UL320_.jpg")</f>
        <v>#NAME?</v>
      </c>
      <c r="I5940" t="s">
        <v>380</v>
      </c>
      <c r="J5940">
        <v>49.97</v>
      </c>
      <c r="K5940" s="4">
        <v>0</v>
      </c>
      <c r="L5940">
        <v>4.7</v>
      </c>
      <c r="M5940">
        <v>19569</v>
      </c>
      <c r="O5940" t="s">
        <v>25</v>
      </c>
      <c r="P5940" t="s">
        <v>6825</v>
      </c>
      <c r="Q5940" t="s">
        <v>6826</v>
      </c>
    </row>
    <row r="5941" spans="1:17" ht="15.5" x14ac:dyDescent="0.35">
      <c r="A5941"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5941"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5941" t="s">
        <v>919</v>
      </c>
      <c r="D5941" t="s">
        <v>927</v>
      </c>
      <c r="E5941" s="3" t="str">
        <f>HYPERLINK("https://www.amazon.com/Klein-60470-Protection-Anti-Fog-Resistant/dp/B0B69KPRPF/ref=sr_1_1?keywords=Klein+Tools+60470+Professional+Full-Frame+Gasket+Safety+Glasses%2C+Clear+Lens&amp;qid=1695174156&amp;sr=8-1", "https://www.amazon.com/Klein-60470-Protection-Anti-Fog-Resistant/dp/B0B69KPRPF/ref=sr_1_1?keywords=Klein+Tools+60470+Professional+Full-Frame+Gasket+Safety+Glasses%2C+Clear+Lens&amp;qid=1695174156&amp;sr=8-1")</f>
        <v>https://www.amazon.com/Klein-60470-Protection-Anti-Fog-Resistant/dp/B0B69KPRPF/ref=sr_1_1?keywords=Klein+Tools+60470+Professional+Full-Frame+Gasket+Safety+Glasses%2C+Clear+Lens&amp;qid=1695174156&amp;sr=8-1</v>
      </c>
      <c r="F5941" t="s">
        <v>928</v>
      </c>
      <c r="G5941" t="e">
        <f ca="1">_xludf.IMAGE("https://edmondsonsupply.com/cdn/shop/products/60470.jpg?v=1663260659")</f>
        <v>#NAME?</v>
      </c>
      <c r="H5941" t="e">
        <f ca="1">_xludf.IMAGE("https://m.media-amazon.com/images/I/51TkfiRMYgL._AC_UL320_.jpg")</f>
        <v>#NAME?</v>
      </c>
      <c r="I5941" t="s">
        <v>252</v>
      </c>
      <c r="J5941">
        <v>15.99</v>
      </c>
      <c r="K5941" s="4">
        <v>0</v>
      </c>
      <c r="L5941">
        <v>4</v>
      </c>
      <c r="M5941">
        <v>29</v>
      </c>
      <c r="O5941" t="s">
        <v>25</v>
      </c>
      <c r="P5941" t="s">
        <v>854</v>
      </c>
      <c r="Q5941" t="s">
        <v>920</v>
      </c>
    </row>
    <row r="5942" spans="1:17" ht="15.5" x14ac:dyDescent="0.35">
      <c r="A5942"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5942" s="3" t="str">
        <f>HYPERLINK("https://edmondsonsupply.com/products/klein-tools-vdv526-200-lan-scout-%c2%ae-jr-2-cable-tester", "https://edmondsonsupply.com/products/klein-tools-vdv526-200-lan-scout-%c2%ae-jr-2-cable-tester")</f>
        <v>https://edmondsonsupply.com/products/klein-tools-vdv526-200-lan-scout-%c2%ae-jr-2-cable-tester</v>
      </c>
      <c r="C5942" t="s">
        <v>6500</v>
      </c>
      <c r="D5942" t="s">
        <v>7927</v>
      </c>
      <c r="E5942" s="3" t="str">
        <f>HYPERLINK("https://www.amazon.com/Ethernet-Connections-Klein-Tools-VDV526-200/dp/B0925826M2/ref=sr_1_1?keywords=Klein+Tools+VDV526-200+LAN+Scout+%C2%AE+Jr.+2+Cable+Tester&amp;qid=1695174153&amp;sr=8-1", "https://www.amazon.com/Ethernet-Connections-Klein-Tools-VDV526-200/dp/B0925826M2/ref=sr_1_1?keywords=Klein+Tools+VDV526-200+LAN+Scout+%C2%AE+Jr.+2+Cable+Tester&amp;qid=1695174153&amp;sr=8-1")</f>
        <v>https://www.amazon.com/Ethernet-Connections-Klein-Tools-VDV526-200/dp/B0925826M2/ref=sr_1_1?keywords=Klein+Tools+VDV526-200+LAN+Scout+%C2%AE+Jr.+2+Cable+Tester&amp;qid=1695174153&amp;sr=8-1</v>
      </c>
      <c r="F5942" t="s">
        <v>7928</v>
      </c>
      <c r="G5942" t="e">
        <f ca="1">_xludf.IMAGE("https://edmondsonsupply.com/cdn/shop/products/vdv526200.jpg?v=1663689949")</f>
        <v>#NAME?</v>
      </c>
      <c r="H5942" t="e">
        <f ca="1">_xludf.IMAGE("https://m.media-amazon.com/images/I/519D2efRZyL._AC_UY218_.jpg")</f>
        <v>#NAME?</v>
      </c>
      <c r="I5942" t="s">
        <v>3359</v>
      </c>
      <c r="J5942">
        <v>54.97</v>
      </c>
      <c r="K5942" s="4">
        <v>0</v>
      </c>
      <c r="L5942">
        <v>4.8</v>
      </c>
      <c r="M5942">
        <v>889</v>
      </c>
      <c r="O5942" t="s">
        <v>25</v>
      </c>
      <c r="P5942" t="s">
        <v>6503</v>
      </c>
      <c r="Q5942" t="s">
        <v>6504</v>
      </c>
    </row>
    <row r="5943" spans="1:17" ht="15.5" x14ac:dyDescent="0.35">
      <c r="A5943"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5943" s="3" t="str">
        <f>HYPERLINK("https://edmondsonsupply.com/products/klein-tools-d2000-9ne-linemans-pliers-9-inch", "https://edmondsonsupply.com/products/klein-tools-d2000-9ne-linemans-pliers-9-inch")</f>
        <v>https://edmondsonsupply.com/products/klein-tools-d2000-9ne-linemans-pliers-9-inch</v>
      </c>
      <c r="C5943" t="s">
        <v>6770</v>
      </c>
      <c r="D5943" t="s">
        <v>7929</v>
      </c>
      <c r="E5943" s="3" t="str">
        <f>HYPERLINK("https://www.amazon.com/Klein-Tools-D2000-9NE-Linemans-Electrical/dp/B0031ERRNU/ref=sr_1_1?keywords=Klein+Tools+D2000-9NE+Linemans+Pliers%2C+9-Inch&amp;qid=1695174298&amp;sr=8-1", "https://www.amazon.com/Klein-Tools-D2000-9NE-Linemans-Electrical/dp/B0031ERRNU/ref=sr_1_1?keywords=Klein+Tools+D2000-9NE+Linemans+Pliers%2C+9-Inch&amp;qid=1695174298&amp;sr=8-1")</f>
        <v>https://www.amazon.com/Klein-Tools-D2000-9NE-Linemans-Electrical/dp/B0031ERRNU/ref=sr_1_1?keywords=Klein+Tools+D2000-9NE+Linemans+Pliers%2C+9-Inch&amp;qid=1695174298&amp;sr=8-1</v>
      </c>
      <c r="F5943" t="s">
        <v>7930</v>
      </c>
      <c r="G5943" t="e">
        <f ca="1">_xludf.IMAGE("https://edmondsonsupply.com/cdn/shop/products/d20009ne.jpg?v=1633030816")</f>
        <v>#NAME?</v>
      </c>
      <c r="H5943" t="e">
        <f ca="1">_xludf.IMAGE("https://m.media-amazon.com/images/I/319FPD8uLZL._AC_UL320_.jpg")</f>
        <v>#NAME?</v>
      </c>
      <c r="I5943" t="s">
        <v>198</v>
      </c>
      <c r="J5943">
        <v>39.99</v>
      </c>
      <c r="K5943" s="4">
        <v>0</v>
      </c>
      <c r="L5943">
        <v>4.8</v>
      </c>
      <c r="M5943">
        <v>1734</v>
      </c>
      <c r="O5943" t="s">
        <v>25</v>
      </c>
      <c r="P5943" t="s">
        <v>6773</v>
      </c>
      <c r="Q5943" t="s">
        <v>6774</v>
      </c>
    </row>
    <row r="5944" spans="1:17" ht="15.5" x14ac:dyDescent="0.35">
      <c r="A5944"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5944" s="3" t="str">
        <f>HYPERLINK("https://edmondsonsupply.com/products/klein-tools-d2000-9ne-linemans-pliers-9-inch", "https://edmondsonsupply.com/products/klein-tools-d2000-9ne-linemans-pliers-9-inch")</f>
        <v>https://edmondsonsupply.com/products/klein-tools-d2000-9ne-linemans-pliers-9-inch</v>
      </c>
      <c r="C5944" t="s">
        <v>6770</v>
      </c>
      <c r="D5944" t="s">
        <v>5136</v>
      </c>
      <c r="E5944" s="3" t="str">
        <f>HYPERLINK("https://www.amazon.com/Linemans-Streamlined-Klein-Tools-J213-9NE/dp/B001TKF1BS/ref=sr_1_4?keywords=Klein+Tools+D2000-9NE+Linemans+Pliers%2C+9-Inch&amp;qid=1695174298&amp;sr=8-4", "https://www.amazon.com/Linemans-Streamlined-Klein-Tools-J213-9NE/dp/B001TKF1BS/ref=sr_1_4?keywords=Klein+Tools+D2000-9NE+Linemans+Pliers%2C+9-Inch&amp;qid=1695174298&amp;sr=8-4")</f>
        <v>https://www.amazon.com/Linemans-Streamlined-Klein-Tools-J213-9NE/dp/B001TKF1BS/ref=sr_1_4?keywords=Klein+Tools+D2000-9NE+Linemans+Pliers%2C+9-Inch&amp;qid=1695174298&amp;sr=8-4</v>
      </c>
      <c r="F5944" t="s">
        <v>5137</v>
      </c>
      <c r="G5944" t="e">
        <f ca="1">_xludf.IMAGE("https://edmondsonsupply.com/cdn/shop/products/d20009ne.jpg?v=1633030816")</f>
        <v>#NAME?</v>
      </c>
      <c r="H5944" t="e">
        <f ca="1">_xludf.IMAGE("https://m.media-amazon.com/images/I/41zk0Z6-1BL._AC_UL320_.jpg")</f>
        <v>#NAME?</v>
      </c>
      <c r="I5944" t="s">
        <v>198</v>
      </c>
      <c r="J5944">
        <v>39.99</v>
      </c>
      <c r="K5944" s="4">
        <v>0</v>
      </c>
      <c r="L5944">
        <v>4.8</v>
      </c>
      <c r="M5944">
        <v>746</v>
      </c>
      <c r="O5944" t="s">
        <v>25</v>
      </c>
      <c r="P5944" t="s">
        <v>6773</v>
      </c>
      <c r="Q5944" t="s">
        <v>6774</v>
      </c>
    </row>
    <row r="5945" spans="1:17" ht="15.5" x14ac:dyDescent="0.35">
      <c r="A5945"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5945"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5945" t="s">
        <v>6861</v>
      </c>
      <c r="D5945" t="s">
        <v>7931</v>
      </c>
      <c r="E5945" s="3" t="str">
        <f>HYPERLINK("https://www.amazon.com/Klein-Tools-CL220-Auto-Ranging-Temperature/dp/B08CFWMYYY/ref=sr_1_1?keywords=Klein+Tools+CL220+Digital+Clamp+Meter%2C+AC+Auto-Ranging+400+Amp+with+Temp&amp;qid=1695174305&amp;sr=8-1", "https://www.amazon.com/Klein-Tools-CL220-Auto-Ranging-Temperature/dp/B08CFWMYYY/ref=sr_1_1?keywords=Klein+Tools+CL220+Digital+Clamp+Meter%2C+AC+Auto-Ranging+400+Amp+with+Temp&amp;qid=1695174305&amp;sr=8-1")</f>
        <v>https://www.amazon.com/Klein-Tools-CL220-Auto-Ranging-Temperature/dp/B08CFWMYYY/ref=sr_1_1?keywords=Klein+Tools+CL220+Digital+Clamp+Meter%2C+AC+Auto-Ranging+400+Amp+with+Temp&amp;qid=1695174305&amp;sr=8-1</v>
      </c>
      <c r="F5945" t="s">
        <v>7932</v>
      </c>
      <c r="G5945" t="e">
        <f ca="1">_xludf.IMAGE("https://edmondsonsupply.com/cdn/shop/products/cl220.jpg?v=1633030821")</f>
        <v>#NAME?</v>
      </c>
      <c r="H5945" t="e">
        <f ca="1">_xludf.IMAGE("https://m.media-amazon.com/images/I/61PTwVjeWtL._AC_UY218_.jpg")</f>
        <v>#NAME?</v>
      </c>
      <c r="I5945" t="s">
        <v>356</v>
      </c>
      <c r="J5945">
        <v>69.97</v>
      </c>
      <c r="K5945" s="4">
        <v>0</v>
      </c>
      <c r="L5945">
        <v>4.7</v>
      </c>
      <c r="M5945">
        <v>811</v>
      </c>
      <c r="O5945" t="s">
        <v>25</v>
      </c>
      <c r="P5945" t="s">
        <v>6864</v>
      </c>
      <c r="Q5945" t="s">
        <v>6865</v>
      </c>
    </row>
    <row r="5946" spans="1:17" ht="15.5" x14ac:dyDescent="0.35">
      <c r="A5946" s="3" t="str">
        <f>HYPERLINK("https://edmondsonsupply.com/collections/electricians-tools/products/klein-tools-60344-hinged-gel-knee-pads", "https://edmondsonsupply.com/collections/electricians-tools/products/klein-tools-60344-hinged-gel-knee-pads")</f>
        <v>https://edmondsonsupply.com/collections/electricians-tools/products/klein-tools-60344-hinged-gel-knee-pads</v>
      </c>
      <c r="B5946" s="3" t="str">
        <f>HYPERLINK("https://edmondsonsupply.com/products/klein-tools-60344-hinged-gel-knee-pads", "https://edmondsonsupply.com/products/klein-tools-60344-hinged-gel-knee-pads")</f>
        <v>https://edmondsonsupply.com/products/klein-tools-60344-hinged-gel-knee-pads</v>
      </c>
      <c r="C5946" t="s">
        <v>1125</v>
      </c>
      <c r="D5946" t="s">
        <v>1126</v>
      </c>
      <c r="E5946" s="3" t="str">
        <f>HYPERLINK("https://www.amazon.com/Quick-Release-Adjustable-Klein-Tools-60344/dp/B099HB24TD/ref=sr_1_1?keywords=Klein+Tools+60344+Hinged+Gel+Knee+Pads&amp;qid=1695174150&amp;sr=8-1", "https://www.amazon.com/Quick-Release-Adjustable-Klein-Tools-60344/dp/B099HB24TD/ref=sr_1_1?keywords=Klein+Tools+60344+Hinged+Gel+Knee+Pads&amp;qid=1695174150&amp;sr=8-1")</f>
        <v>https://www.amazon.com/Quick-Release-Adjustable-Klein-Tools-60344/dp/B099HB24TD/ref=sr_1_1?keywords=Klein+Tools+60344+Hinged+Gel+Knee+Pads&amp;qid=1695174150&amp;sr=8-1</v>
      </c>
      <c r="F5946" t="s">
        <v>1127</v>
      </c>
      <c r="G5946" t="e">
        <f ca="1">_xludf.IMAGE("https://edmondsonsupply.com/cdn/shop/products/60344.jpg?v=1664386765")</f>
        <v>#NAME?</v>
      </c>
      <c r="H5946" t="e">
        <f ca="1">_xludf.IMAGE("https://m.media-amazon.com/images/I/61a1YyyaXNS._AC_UL320_.jpg")</f>
        <v>#NAME?</v>
      </c>
      <c r="I5946" t="s">
        <v>261</v>
      </c>
      <c r="J5946">
        <v>35.99</v>
      </c>
      <c r="K5946" s="4">
        <v>0</v>
      </c>
      <c r="L5946">
        <v>4.4000000000000004</v>
      </c>
      <c r="M5946">
        <v>289</v>
      </c>
      <c r="O5946" t="s">
        <v>25</v>
      </c>
      <c r="P5946" t="s">
        <v>1128</v>
      </c>
      <c r="Q5946" t="s">
        <v>1129</v>
      </c>
    </row>
    <row r="5947" spans="1:17" ht="15.5" x14ac:dyDescent="0.35">
      <c r="A5947" s="3" t="str">
        <f>HYPERLINK("https://edmondsonsupply.com/collections/electricians-tools/products/klein-tools-d504-7-classic-klaw%E2%84%A2-pump-pliers-7-inch", "https://edmondsonsupply.com/collections/electricians-tools/products/klein-tools-d504-7-classic-klaw%E2%84%A2-pump-pliers-7-inch")</f>
        <v>https://edmondsonsupply.com/collections/electricians-tools/products/klein-tools-d504-7-classic-klaw%E2%84%A2-pump-pliers-7-inch</v>
      </c>
      <c r="B5947" s="3" t="str">
        <f>HYPERLINK("https://edmondsonsupply.com/products/klein-tools-d504-7-classic-klaw%e2%84%a2-pump-pliers-7-inch", "https://edmondsonsupply.com/products/klein-tools-d504-7-classic-klaw%e2%84%a2-pump-pliers-7-inch")</f>
        <v>https://edmondsonsupply.com/products/klein-tools-d504-7-classic-klaw%e2%84%a2-pump-pliers-7-inch</v>
      </c>
      <c r="C5947" t="s">
        <v>4489</v>
      </c>
      <c r="D5947" t="s">
        <v>4490</v>
      </c>
      <c r="E5947" s="3" t="str">
        <f>HYPERLINK("https://www.amazon.com/Classic-Pliers-Klein-Tools-D504-7/dp/B00BJ4OSTA/ref=sr_1_1?keywords=Klein+Tools+D504-7+Classic+Klaw%E2%84%A2+Pump+Pliers%2C+7-Inch&amp;qid=1695173926&amp;sr=8-1", "https://www.amazon.com/Classic-Pliers-Klein-Tools-D504-7/dp/B00BJ4OSTA/ref=sr_1_1?keywords=Klein+Tools+D504-7+Classic+Klaw%E2%84%A2+Pump+Pliers%2C+7-Inch&amp;qid=1695173926&amp;sr=8-1")</f>
        <v>https://www.amazon.com/Classic-Pliers-Klein-Tools-D504-7/dp/B00BJ4OSTA/ref=sr_1_1?keywords=Klein+Tools+D504-7+Classic+Klaw%E2%84%A2+Pump+Pliers%2C+7-Inch&amp;qid=1695173926&amp;sr=8-1</v>
      </c>
      <c r="F5947" t="s">
        <v>4491</v>
      </c>
      <c r="G5947" t="e">
        <f ca="1">_xludf.IMAGE("https://edmondsonsupply.com/cdn/shop/products/d504-7.jpg?v=1633030267")</f>
        <v>#NAME?</v>
      </c>
      <c r="H5947" t="e">
        <f ca="1">_xludf.IMAGE("https://m.media-amazon.com/images/I/51kiGD+1-6L._AC_UL320_.jpg")</f>
        <v>#NAME?</v>
      </c>
      <c r="I5947" t="s">
        <v>26</v>
      </c>
      <c r="J5947">
        <v>29.99</v>
      </c>
      <c r="K5947" s="4">
        <v>0</v>
      </c>
      <c r="L5947">
        <v>4.5999999999999996</v>
      </c>
      <c r="M5947">
        <v>391</v>
      </c>
      <c r="O5947" t="s">
        <v>25</v>
      </c>
      <c r="P5947" t="s">
        <v>4492</v>
      </c>
      <c r="Q5947" t="s">
        <v>4493</v>
      </c>
    </row>
    <row r="5948" spans="1:17" ht="15.5" x14ac:dyDescent="0.35">
      <c r="A5948" s="3" t="str">
        <f>HYPERLINK("https://edmondsonsupply.com/collections/electricians-tools/products/fieldpiece-sc680", "https://edmondsonsupply.com/collections/electricians-tools/products/fieldpiece-sc680")</f>
        <v>https://edmondsonsupply.com/collections/electricians-tools/products/fieldpiece-sc680</v>
      </c>
      <c r="B5948" s="3" t="str">
        <f>HYPERLINK("https://edmondsonsupply.com/products/fieldpiece-sc680", "https://edmondsonsupply.com/products/fieldpiece-sc680")</f>
        <v>https://edmondsonsupply.com/products/fieldpiece-sc680</v>
      </c>
      <c r="C5948" t="s">
        <v>4702</v>
      </c>
      <c r="D5948" t="s">
        <v>4703</v>
      </c>
      <c r="E5948" s="3" t="str">
        <f>HYPERLINK("https://www.amazon.com/Fieldpiece-SC680-Wireless-Power-Clamp/dp/B0839M1W9X/ref=sr_1_1?keywords=Fieldpiece+SC680+Wireless+Power+Clamp+Meter&amp;qid=1695173853&amp;sr=8-1", "https://www.amazon.com/Fieldpiece-SC680-Wireless-Power-Clamp/dp/B0839M1W9X/ref=sr_1_1?keywords=Fieldpiece+SC680+Wireless+Power+Clamp+Meter&amp;qid=1695173853&amp;sr=8-1")</f>
        <v>https://www.amazon.com/Fieldpiece-SC680-Wireless-Power-Clamp/dp/B0839M1W9X/ref=sr_1_1?keywords=Fieldpiece+SC680+Wireless+Power+Clamp+Meter&amp;qid=1695173853&amp;sr=8-1</v>
      </c>
      <c r="F5948" t="s">
        <v>4704</v>
      </c>
      <c r="G5948" t="e">
        <f ca="1">_xludf.IMAGE("https://edmondsonsupply.com/cdn/shop/products/SC680-SRC-Product.jpg?v=1633030204")</f>
        <v>#NAME?</v>
      </c>
      <c r="H5948" t="e">
        <f ca="1">_xludf.IMAGE("https://m.media-amazon.com/images/I/41OLjC+UioL._AC_UY218_.jpg")</f>
        <v>#NAME?</v>
      </c>
      <c r="I5948" t="s">
        <v>4705</v>
      </c>
      <c r="J5948">
        <v>385.9</v>
      </c>
      <c r="K5948" s="4">
        <v>0</v>
      </c>
      <c r="L5948">
        <v>4.7</v>
      </c>
      <c r="M5948">
        <v>202</v>
      </c>
      <c r="O5948" t="s">
        <v>25</v>
      </c>
      <c r="P5948" t="s">
        <v>4706</v>
      </c>
      <c r="Q5948" t="s">
        <v>4707</v>
      </c>
    </row>
    <row r="5949" spans="1:17" ht="15.5" x14ac:dyDescent="0.35">
      <c r="A5949" s="3" t="str">
        <f>HYPERLINK("https://edmondsonsupply.com/collections/electricians-tools/products/klein-tools-31905-hole-saw-arbor-with-adapter-3-8-inch", "https://edmondsonsupply.com/collections/electricians-tools/products/klein-tools-31905-hole-saw-arbor-with-adapter-3-8-inch")</f>
        <v>https://edmondsonsupply.com/collections/electricians-tools/products/klein-tools-31905-hole-saw-arbor-with-adapter-3-8-inch</v>
      </c>
      <c r="B5949" s="3" t="str">
        <f>HYPERLINK("https://edmondsonsupply.com/products/klein-tools-31905-hole-saw-arbor-with-adapter-3-8-inch", "https://edmondsonsupply.com/products/klein-tools-31905-hole-saw-arbor-with-adapter-3-8-inch")</f>
        <v>https://edmondsonsupply.com/products/klein-tools-31905-hole-saw-arbor-with-adapter-3-8-inch</v>
      </c>
      <c r="C5949" t="s">
        <v>6866</v>
      </c>
      <c r="D5949" t="s">
        <v>6866</v>
      </c>
      <c r="E5949" s="3" t="str">
        <f>HYPERLINK("https://www.amazon.com/Adapter-8-Inch-Klein-Tools-31905/dp/B019874KZ6/ref=sr_1_1?keywords=Klein+Tools+31905+Hole+Saw+Arbor+with+Adapter%2C+3%2F8-Inch&amp;qid=1695174150&amp;sr=8-1", "https://www.amazon.com/Adapter-8-Inch-Klein-Tools-31905/dp/B019874KZ6/ref=sr_1_1?keywords=Klein+Tools+31905+Hole+Saw+Arbor+with+Adapter%2C+3%2F8-Inch&amp;qid=1695174150&amp;sr=8-1")</f>
        <v>https://www.amazon.com/Adapter-8-Inch-Klein-Tools-31905/dp/B019874KZ6/ref=sr_1_1?keywords=Klein+Tools+31905+Hole+Saw+Arbor+with+Adapter%2C+3%2F8-Inch&amp;qid=1695174150&amp;sr=8-1</v>
      </c>
      <c r="F5949" t="s">
        <v>7933</v>
      </c>
      <c r="G5949" t="e">
        <f ca="1">_xludf.IMAGE("https://edmondsonsupply.com/cdn/shop/products/31905.jpg?v=1665602746")</f>
        <v>#NAME?</v>
      </c>
      <c r="H5949" t="e">
        <f ca="1">_xludf.IMAGE("https://m.media-amazon.com/images/I/41tjgdmtGhL._AC_UL320_.jpg")</f>
        <v>#NAME?</v>
      </c>
      <c r="I5949" t="s">
        <v>924</v>
      </c>
      <c r="J5949">
        <v>8.99</v>
      </c>
      <c r="K5949" s="4">
        <v>0</v>
      </c>
      <c r="L5949">
        <v>4.7</v>
      </c>
      <c r="M5949">
        <v>39</v>
      </c>
      <c r="O5949" t="s">
        <v>25</v>
      </c>
      <c r="P5949" t="s">
        <v>6868</v>
      </c>
      <c r="Q5949" t="s">
        <v>6869</v>
      </c>
    </row>
    <row r="5950" spans="1:17" ht="15.5" x14ac:dyDescent="0.35">
      <c r="A5950" s="3" t="str">
        <f>HYPERLINK("https://edmondsonsupply.com/collections/electricians-tools/products/klein-tools-60172-pro-safety-glasses-wide-lens-2-pack", "https://edmondsonsupply.com/collections/electricians-tools/products/klein-tools-60172-pro-safety-glasses-wide-lens-2-pack")</f>
        <v>https://edmondsonsupply.com/collections/electricians-tools/products/klein-tools-60172-pro-safety-glasses-wide-lens-2-pack</v>
      </c>
      <c r="B5950" s="3" t="str">
        <f>HYPERLINK("https://edmondsonsupply.com/products/klein-tools-60172-pro-safety-glasses-wide-lens-2-pack", "https://edmondsonsupply.com/products/klein-tools-60172-pro-safety-glasses-wide-lens-2-pack")</f>
        <v>https://edmondsonsupply.com/products/klein-tools-60172-pro-safety-glasses-wide-lens-2-pack</v>
      </c>
      <c r="C5950" t="s">
        <v>1194</v>
      </c>
      <c r="D5950" t="s">
        <v>1195</v>
      </c>
      <c r="E5950" s="3" t="str">
        <f>HYPERLINK("https://www.amazon.com/Klein-Tools-60172-Professional-Protective/dp/B08B6ZZY8D/ref=sr_1_2?keywords=Klein+Tools+60172+PRO+Safety+Glasses%2C+Wide+Lens%2C+2-Pack&amp;qid=1695174299&amp;sr=8-2", "https://www.amazon.com/Klein-Tools-60172-Professional-Protective/dp/B08B6ZZY8D/ref=sr_1_2?keywords=Klein+Tools+60172+PRO+Safety+Glasses%2C+Wide+Lens%2C+2-Pack&amp;qid=1695174299&amp;sr=8-2")</f>
        <v>https://www.amazon.com/Klein-Tools-60172-Professional-Protective/dp/B08B6ZZY8D/ref=sr_1_2?keywords=Klein+Tools+60172+PRO+Safety+Glasses%2C+Wide+Lens%2C+2-Pack&amp;qid=1695174299&amp;sr=8-2</v>
      </c>
      <c r="F5950" t="s">
        <v>1196</v>
      </c>
      <c r="G5950" t="e">
        <f ca="1">_xludf.IMAGE("https://edmondsonsupply.com/cdn/shop/products/60172.jpg?v=1633030853")</f>
        <v>#NAME?</v>
      </c>
      <c r="H5950" t="e">
        <f ca="1">_xludf.IMAGE("https://m.media-amazon.com/images/I/51NTbRtYx8L._AC_UL320_.jpg")</f>
        <v>#NAME?</v>
      </c>
      <c r="I5950" t="s">
        <v>1158</v>
      </c>
      <c r="J5950">
        <v>21.99</v>
      </c>
      <c r="K5950" s="4">
        <v>0</v>
      </c>
      <c r="L5950">
        <v>4.4000000000000004</v>
      </c>
      <c r="M5950">
        <v>374</v>
      </c>
      <c r="O5950" t="s">
        <v>25</v>
      </c>
      <c r="P5950" t="s">
        <v>1159</v>
      </c>
      <c r="Q5950" t="s">
        <v>1197</v>
      </c>
    </row>
    <row r="5951" spans="1:17" ht="15.5" x14ac:dyDescent="0.35">
      <c r="A5951" s="3" t="str">
        <f>HYPERLINK("https://edmondsonsupply.com/collections/electricians-tools/products/klein-tools-mag2-magnetizer-demagnetizer", "https://edmondsonsupply.com/collections/electricians-tools/products/klein-tools-mag2-magnetizer-demagnetizer")</f>
        <v>https://edmondsonsupply.com/collections/electricians-tools/products/klein-tools-mag2-magnetizer-demagnetizer</v>
      </c>
      <c r="B5951" s="3" t="str">
        <f>HYPERLINK("https://edmondsonsupply.com/products/klein-tools-mag2-magnetizer-demagnetizer", "https://edmondsonsupply.com/products/klein-tools-mag2-magnetizer-demagnetizer")</f>
        <v>https://edmondsonsupply.com/products/klein-tools-mag2-magnetizer-demagnetizer</v>
      </c>
      <c r="C5951" t="s">
        <v>1520</v>
      </c>
      <c r="D5951" t="s">
        <v>4595</v>
      </c>
      <c r="E5951" s="3" t="str">
        <f>HYPERLINK("https://www.amazon.com/Demagnetizer-Screwdriver-Klein-Tools-MAG2/dp/B074RMH9VL/ref=sr_1_1?keywords=Klein+Tools+MAG2+Magnetizer+%2F+Demagnetizer&amp;qid=1695173850&amp;sr=8-1", "https://www.amazon.com/Demagnetizer-Screwdriver-Klein-Tools-MAG2/dp/B074RMH9VL/ref=sr_1_1?keywords=Klein+Tools+MAG2+Magnetizer+%2F+Demagnetizer&amp;qid=1695173850&amp;sr=8-1")</f>
        <v>https://www.amazon.com/Demagnetizer-Screwdriver-Klein-Tools-MAG2/dp/B074RMH9VL/ref=sr_1_1?keywords=Klein+Tools+MAG2+Magnetizer+%2F+Demagnetizer&amp;qid=1695173850&amp;sr=8-1</v>
      </c>
      <c r="F5951" t="s">
        <v>4596</v>
      </c>
      <c r="G5951" t="e">
        <f ca="1">_xludf.IMAGE("https://edmondsonsupply.com/cdn/shop/products/mag2.jpg?v=1587145008")</f>
        <v>#NAME?</v>
      </c>
      <c r="H5951" t="e">
        <f ca="1">_xludf.IMAGE("https://m.media-amazon.com/images/I/51CaSCI4PCL._AC_UL320_.jpg")</f>
        <v>#NAME?</v>
      </c>
      <c r="I5951" t="s">
        <v>1427</v>
      </c>
      <c r="J5951">
        <v>9.9700000000000006</v>
      </c>
      <c r="K5951" s="4">
        <v>0</v>
      </c>
      <c r="L5951">
        <v>4.7</v>
      </c>
      <c r="M5951">
        <v>7454</v>
      </c>
      <c r="O5951" t="s">
        <v>25</v>
      </c>
      <c r="P5951" t="s">
        <v>1523</v>
      </c>
      <c r="Q5951" t="s">
        <v>1524</v>
      </c>
    </row>
    <row r="5952" spans="1:17" ht="15.5" x14ac:dyDescent="0.35">
      <c r="A5952" s="3" t="str">
        <f>HYPERLINK("https://edmondsonsupply.com/collections/electricians-tools/products/klein-tools-et40-electronic-ac-dc-voltage-tester-12-to-240v-ac-1-5-to-24v-dc", "https://edmondsonsupply.com/collections/electricians-tools/products/klein-tools-et40-electronic-ac-dc-voltage-tester-12-to-240v-ac-1-5-to-24v-dc")</f>
        <v>https://edmondsonsupply.com/collections/electricians-tools/products/klein-tools-et40-electronic-ac-dc-voltage-tester-12-to-240v-ac-1-5-to-24v-dc</v>
      </c>
      <c r="B5952" s="3" t="str">
        <f>HYPERLINK("https://edmondsonsupply.com/products/klein-tools-et40-electronic-ac-dc-voltage-tester-12-to-240v-ac-1-5-to-24v-dc", "https://edmondsonsupply.com/products/klein-tools-et40-electronic-ac-dc-voltage-tester-12-to-240v-ac-1-5-to-24v-dc")</f>
        <v>https://edmondsonsupply.com/products/klein-tools-et40-electronic-ac-dc-voltage-tester-12-to-240v-ac-1-5-to-24v-dc</v>
      </c>
      <c r="C5952" t="s">
        <v>7934</v>
      </c>
      <c r="D5952" t="s">
        <v>7935</v>
      </c>
      <c r="E5952" s="3" t="str">
        <f>HYPERLINK("https://www.amazon.com/Klein-Tools-ET40-Polarity-Batteries/dp/B07P45RB8S/ref=sr_1_1?keywords=Klein+Tools+ET40+Electronic+AC%2FDC+Voltage+Tester+12+to+240V+AC%2C+1.5+to+24V+DC&amp;qid=1695174298&amp;sr=8-1", "https://www.amazon.com/Klein-Tools-ET40-Polarity-Batteries/dp/B07P45RB8S/ref=sr_1_1?keywords=Klein+Tools+ET40+Electronic+AC%2FDC+Voltage+Tester+12+to+240V+AC%2C+1.5+to+24V+DC&amp;qid=1695174298&amp;sr=8-1")</f>
        <v>https://www.amazon.com/Klein-Tools-ET40-Polarity-Batteries/dp/B07P45RB8S/ref=sr_1_1?keywords=Klein+Tools+ET40+Electronic+AC%2FDC+Voltage+Tester+12+to+240V+AC%2C+1.5+to+24V+DC&amp;qid=1695174298&amp;sr=8-1</v>
      </c>
      <c r="F5952" t="s">
        <v>7936</v>
      </c>
      <c r="G5952" t="e">
        <f ca="1">_xludf.IMAGE("https://edmondsonsupply.com/cdn/shop/products/et40.jpg?v=1633030910")</f>
        <v>#NAME?</v>
      </c>
      <c r="H5952" t="e">
        <f ca="1">_xludf.IMAGE("https://m.media-amazon.com/images/I/519RV+CHdeL._AC_UL320_.jpg")</f>
        <v>#NAME?</v>
      </c>
      <c r="I5952" t="s">
        <v>2586</v>
      </c>
      <c r="J5952">
        <v>17.97</v>
      </c>
      <c r="K5952" s="4">
        <v>0</v>
      </c>
      <c r="L5952">
        <v>4.5</v>
      </c>
      <c r="M5952">
        <v>1284</v>
      </c>
      <c r="O5952" t="s">
        <v>25</v>
      </c>
      <c r="P5952" t="s">
        <v>2096</v>
      </c>
      <c r="Q5952" t="s">
        <v>7937</v>
      </c>
    </row>
    <row r="5953" spans="1:17" ht="15.5" x14ac:dyDescent="0.35">
      <c r="A5953"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5953"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5953" t="s">
        <v>6852</v>
      </c>
      <c r="D5953" t="s">
        <v>7938</v>
      </c>
      <c r="E5953" s="3" t="str">
        <f>HYPERLINK("https://www.amazon.com/Rechargeable-Flashlight-Klein-Tools-56413/dp/B094JV7LNF/ref=sr_1_2?keywords=Klein+Tools+56413+Rechargeable+2-Color+LED+Flashlight+with+Holster&amp;qid=1695174149&amp;sr=8-2", "https://www.amazon.com/Rechargeable-Flashlight-Klein-Tools-56413/dp/B094JV7LNF/ref=sr_1_2?keywords=Klein+Tools+56413+Rechargeable+2-Color+LED+Flashlight+with+Holster&amp;qid=1695174149&amp;sr=8-2")</f>
        <v>https://www.amazon.com/Rechargeable-Flashlight-Klein-Tools-56413/dp/B094JV7LNF/ref=sr_1_2?keywords=Klein+Tools+56413+Rechargeable+2-Color+LED+Flashlight+with+Holster&amp;qid=1695174149&amp;sr=8-2</v>
      </c>
      <c r="F5953" t="s">
        <v>7939</v>
      </c>
      <c r="G5953" t="e">
        <f ca="1">_xludf.IMAGE("https://edmondsonsupply.com/cdn/shop/products/56413.jpg?v=1663954210")</f>
        <v>#NAME?</v>
      </c>
      <c r="H5953" t="e">
        <f ca="1">_xludf.IMAGE("https://m.media-amazon.com/images/I/61F2y6UWWJS._AC_UL320_.jpg")</f>
        <v>#NAME?</v>
      </c>
      <c r="I5953" t="s">
        <v>380</v>
      </c>
      <c r="J5953">
        <v>49.97</v>
      </c>
      <c r="K5953" s="4">
        <v>0</v>
      </c>
      <c r="L5953">
        <v>4.3</v>
      </c>
      <c r="M5953">
        <v>289</v>
      </c>
      <c r="O5953" t="s">
        <v>25</v>
      </c>
      <c r="P5953" t="s">
        <v>6855</v>
      </c>
      <c r="Q5953" t="s">
        <v>6856</v>
      </c>
    </row>
    <row r="5954" spans="1:17" ht="15.5" x14ac:dyDescent="0.35">
      <c r="A5954"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5954"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5954" t="s">
        <v>851</v>
      </c>
      <c r="D5954" t="s">
        <v>956</v>
      </c>
      <c r="E5954" s="3" t="str">
        <f>HYPERLINK("https://www.amazon.com/Klein-60163-Professional-Protective-Resistant/dp/B08B48CZ5V/ref=sr_1_1?keywords=Klein+Tools+60163+Professional+Safety+Glasses%2C+Full+Frame%2C+Clear+Lens&amp;qid=1695174311&amp;sr=8-1", "https://www.amazon.com/Klein-60163-Professional-Protective-Resistant/dp/B08B48CZ5V/ref=sr_1_1?keywords=Klein+Tools+60163+Professional+Safety+Glasses%2C+Full+Frame%2C+Clear+Lens&amp;qid=1695174311&amp;sr=8-1")</f>
        <v>https://www.amazon.com/Klein-60163-Professional-Protective-Resistant/dp/B08B48CZ5V/ref=sr_1_1?keywords=Klein+Tools+60163+Professional+Safety+Glasses%2C+Full+Frame%2C+Clear+Lens&amp;qid=1695174311&amp;sr=8-1</v>
      </c>
      <c r="F5954" t="s">
        <v>957</v>
      </c>
      <c r="G5954" t="e">
        <f ca="1">_xludf.IMAGE("https://edmondsonsupply.com/cdn/shop/products/60163.jpg?v=1633030848")</f>
        <v>#NAME?</v>
      </c>
      <c r="H5954" t="e">
        <f ca="1">_xludf.IMAGE("https://m.media-amazon.com/images/I/41IY8K6EFLL._AC_UL320_.jpg")</f>
        <v>#NAME?</v>
      </c>
      <c r="I5954" t="s">
        <v>276</v>
      </c>
      <c r="J5954">
        <v>14.99</v>
      </c>
      <c r="K5954" s="4">
        <v>0</v>
      </c>
      <c r="L5954">
        <v>4.4000000000000004</v>
      </c>
      <c r="M5954">
        <v>198</v>
      </c>
      <c r="O5954" t="s">
        <v>25</v>
      </c>
      <c r="P5954" t="s">
        <v>277</v>
      </c>
      <c r="Q5954" t="s">
        <v>852</v>
      </c>
    </row>
    <row r="5955" spans="1:17" ht="15.5" x14ac:dyDescent="0.35">
      <c r="A5955" s="3" t="str">
        <f>HYPERLINK("https://edmondsonsupply.com/collections/electricians-tools/products/klein-tools-60163-professional-safety-glasses-full-frame-clear-lens", "https://edmondsonsupply.com/collections/electricians-tools/products/klein-tools-60163-professional-safety-glasses-full-frame-clear-lens")</f>
        <v>https://edmondsonsupply.com/collections/electricians-tools/products/klein-tools-60163-professional-safety-glasses-full-frame-clear-lens</v>
      </c>
      <c r="B5955" s="3" t="str">
        <f>HYPERLINK("https://edmondsonsupply.com/products/klein-tools-60163-professional-safety-glasses-full-frame-clear-lens", "https://edmondsonsupply.com/products/klein-tools-60163-professional-safety-glasses-full-frame-clear-lens")</f>
        <v>https://edmondsonsupply.com/products/klein-tools-60163-professional-safety-glasses-full-frame-clear-lens</v>
      </c>
      <c r="C5955" t="s">
        <v>851</v>
      </c>
      <c r="D5955" t="s">
        <v>958</v>
      </c>
      <c r="E5955" s="3" t="str">
        <f>HYPERLINK("https://www.amazon.com/Klein-60164-Professional-Protective-Resistant/dp/B08B4BNSHM/ref=sr_1_8?keywords=Klein+Tools+60163+Professional+Safety+Glasses%2C+Full+Frame%2C+Clear+Lens&amp;qid=1695174311&amp;sr=8-8", "https://www.amazon.com/Klein-60164-Professional-Protective-Resistant/dp/B08B4BNSHM/ref=sr_1_8?keywords=Klein+Tools+60163+Professional+Safety+Glasses%2C+Full+Frame%2C+Clear+Lens&amp;qid=1695174311&amp;sr=8-8")</f>
        <v>https://www.amazon.com/Klein-60164-Professional-Protective-Resistant/dp/B08B4BNSHM/ref=sr_1_8?keywords=Klein+Tools+60163+Professional+Safety+Glasses%2C+Full+Frame%2C+Clear+Lens&amp;qid=1695174311&amp;sr=8-8</v>
      </c>
      <c r="F5955" t="s">
        <v>959</v>
      </c>
      <c r="G5955" t="e">
        <f ca="1">_xludf.IMAGE("https://edmondsonsupply.com/cdn/shop/products/60163.jpg?v=1633030848")</f>
        <v>#NAME?</v>
      </c>
      <c r="H5955" t="e">
        <f ca="1">_xludf.IMAGE("https://m.media-amazon.com/images/I/41bNrH9NnFL._AC_UL320_.jpg")</f>
        <v>#NAME?</v>
      </c>
      <c r="I5955" t="s">
        <v>276</v>
      </c>
      <c r="J5955">
        <v>14.99</v>
      </c>
      <c r="K5955" s="4">
        <v>0</v>
      </c>
      <c r="L5955">
        <v>4.4000000000000004</v>
      </c>
      <c r="M5955">
        <v>463</v>
      </c>
      <c r="O5955" t="s">
        <v>25</v>
      </c>
      <c r="P5955" t="s">
        <v>277</v>
      </c>
      <c r="Q5955" t="s">
        <v>852</v>
      </c>
    </row>
    <row r="5956" spans="1:17" ht="15.5" x14ac:dyDescent="0.35">
      <c r="A5956" s="3" t="str">
        <f>HYPERLINK("https://edmondsonsupply.com/collections/electricians-tools/products/rack-a-tiers-11455-wire-dispenser", "https://edmondsonsupply.com/collections/electricians-tools/products/rack-a-tiers-11455-wire-dispenser")</f>
        <v>https://edmondsonsupply.com/collections/electricians-tools/products/rack-a-tiers-11455-wire-dispenser</v>
      </c>
      <c r="B5956" s="3" t="str">
        <f>HYPERLINK("https://edmondsonsupply.com/products/rack-a-tiers-11455-wire-dispenser", "https://edmondsonsupply.com/products/rack-a-tiers-11455-wire-dispenser")</f>
        <v>https://edmondsonsupply.com/products/rack-a-tiers-11455-wire-dispenser</v>
      </c>
      <c r="C5956" t="s">
        <v>7319</v>
      </c>
      <c r="D5956" t="s">
        <v>7940</v>
      </c>
      <c r="E5956" s="3" t="str">
        <f>HYPERLINK("https://www.amazon.com/RACK-TIERS-11455-PURPOSE-DISPENSER/dp/B0039UVLZG/ref=sr_1_5?keywords=Rack-A-Tiers+11455+Wire+Dispenser&amp;qid=1695173848&amp;sr=8-5", "https://www.amazon.com/RACK-TIERS-11455-PURPOSE-DISPENSER/dp/B0039UVLZG/ref=sr_1_5?keywords=Rack-A-Tiers+11455+Wire+Dispenser&amp;qid=1695173848&amp;sr=8-5")</f>
        <v>https://www.amazon.com/RACK-TIERS-11455-PURPOSE-DISPENSER/dp/B0039UVLZG/ref=sr_1_5?keywords=Rack-A-Tiers+11455+Wire+Dispenser&amp;qid=1695173848&amp;sr=8-5</v>
      </c>
      <c r="F5956" t="s">
        <v>7941</v>
      </c>
      <c r="G5956" t="e">
        <f ca="1">_xludf.IMAGE("https://edmondsonsupply.com/cdn/shop/products/11455.png?v=1587150070")</f>
        <v>#NAME?</v>
      </c>
      <c r="H5956" t="e">
        <f ca="1">_xludf.IMAGE("https://m.media-amazon.com/images/I/71cBlqwCtjL._AC_UL320_.jpg")</f>
        <v>#NAME?</v>
      </c>
      <c r="I5956" t="s">
        <v>7322</v>
      </c>
      <c r="J5956">
        <v>105.39</v>
      </c>
      <c r="K5956" s="4">
        <v>0</v>
      </c>
      <c r="L5956">
        <v>4.8</v>
      </c>
      <c r="M5956">
        <v>597</v>
      </c>
      <c r="O5956" t="s">
        <v>25</v>
      </c>
      <c r="P5956" t="s">
        <v>4016</v>
      </c>
      <c r="Q5956" t="s">
        <v>7323</v>
      </c>
    </row>
    <row r="5957" spans="1:17" ht="15.5" x14ac:dyDescent="0.35">
      <c r="A5957"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5957"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5957" t="s">
        <v>6948</v>
      </c>
      <c r="D5957" t="s">
        <v>5516</v>
      </c>
      <c r="E5957" s="3" t="str">
        <f>HYPERLINK("https://www.amazon.com/Keystone-Tip-Screwdriver-Round-Shank-Klein-602-4/dp/B0000302WD/ref=sr_1_1?keywords=Klein+Tools+602-4+1%2F4-Inch+Keystone+Screwdriver%2C+4-Inch+Round+Shank&amp;qid=1695174315&amp;sr=8-1", "https://www.amazon.com/Keystone-Tip-Screwdriver-Round-Shank-Klein-602-4/dp/B0000302WD/ref=sr_1_1?keywords=Klein+Tools+602-4+1%2F4-Inch+Keystone+Screwdriver%2C+4-Inch+Round+Shank&amp;qid=1695174315&amp;sr=8-1")</f>
        <v>https://www.amazon.com/Keystone-Tip-Screwdriver-Round-Shank-Klein-602-4/dp/B0000302WD/ref=sr_1_1?keywords=Klein+Tools+602-4+1%2F4-Inch+Keystone+Screwdriver%2C+4-Inch+Round+Shank&amp;qid=1695174315&amp;sr=8-1</v>
      </c>
      <c r="F5957" t="s">
        <v>5517</v>
      </c>
      <c r="G5957" t="e">
        <f ca="1">_xludf.IMAGE("https://edmondsonsupply.com/cdn/shop/products/602-6.jpg?v=1633030821")</f>
        <v>#NAME?</v>
      </c>
      <c r="H5957" t="e">
        <f ca="1">_xludf.IMAGE("https://m.media-amazon.com/images/I/51BHg1CmntL._AC_UL320_.jpg")</f>
        <v>#NAME?</v>
      </c>
      <c r="I5957" t="s">
        <v>2433</v>
      </c>
      <c r="J5957">
        <v>9.49</v>
      </c>
      <c r="K5957" s="4">
        <v>0</v>
      </c>
      <c r="L5957">
        <v>4.8</v>
      </c>
      <c r="M5957">
        <v>879</v>
      </c>
      <c r="O5957" t="s">
        <v>25</v>
      </c>
      <c r="P5957" t="s">
        <v>6949</v>
      </c>
      <c r="Q5957" t="s">
        <v>6950</v>
      </c>
    </row>
    <row r="5958" spans="1:17" ht="15.5" x14ac:dyDescent="0.35">
      <c r="A5958" s="3" t="str">
        <f>HYPERLINK("https://edmondsonsupply.com/collections/electricians-tools/products/klein-tools-llk12-l-style-hex-key-caddy-set-12-piece-inch", "https://edmondsonsupply.com/collections/electricians-tools/products/klein-tools-llk12-l-style-hex-key-caddy-set-12-piece-inch")</f>
        <v>https://edmondsonsupply.com/collections/electricians-tools/products/klein-tools-llk12-l-style-hex-key-caddy-set-12-piece-inch</v>
      </c>
      <c r="B5958" s="3" t="str">
        <f>HYPERLINK("https://edmondsonsupply.com/products/klein-tools-llk12-l-style-hex-key-caddy-set-12-piece-inch", "https://edmondsonsupply.com/products/klein-tools-llk12-l-style-hex-key-caddy-set-12-piece-inch")</f>
        <v>https://edmondsonsupply.com/products/klein-tools-llk12-l-style-hex-key-caddy-set-12-piece-inch</v>
      </c>
      <c r="C5958" t="s">
        <v>4528</v>
      </c>
      <c r="D5958" t="s">
        <v>4529</v>
      </c>
      <c r="E5958" s="3" t="str">
        <f>HYPERLINK("https://www.amazon.com/L-Style-12-Piece-Klein-Tools-LLK12/dp/B0002RIA0I/ref=sr_1_1?keywords=Klein+Tools+LLK12+L-Style+Hex+Key+Caddy+Set+12-Piece%2C+Inch&amp;qid=1695173923&amp;sr=8-1", "https://www.amazon.com/L-Style-12-Piece-Klein-Tools-LLK12/dp/B0002RIA0I/ref=sr_1_1?keywords=Klein+Tools+LLK12+L-Style+Hex+Key+Caddy+Set+12-Piece%2C+Inch&amp;qid=1695173923&amp;sr=8-1")</f>
        <v>https://www.amazon.com/L-Style-12-Piece-Klein-Tools-LLK12/dp/B0002RIA0I/ref=sr_1_1?keywords=Klein+Tools+LLK12+L-Style+Hex+Key+Caddy+Set+12-Piece%2C+Inch&amp;qid=1695173923&amp;sr=8-1</v>
      </c>
      <c r="F5958" t="s">
        <v>4530</v>
      </c>
      <c r="G5958" t="e">
        <f ca="1">_xludf.IMAGE("https://edmondsonsupply.com/cdn/shop/products/llk12.jpg?v=1633030476")</f>
        <v>#NAME?</v>
      </c>
      <c r="H5958" t="e">
        <f ca="1">_xludf.IMAGE("https://m.media-amazon.com/images/I/612CxDeGVTL._AC_UL320_.jpg")</f>
        <v>#NAME?</v>
      </c>
      <c r="I5958" t="s">
        <v>2337</v>
      </c>
      <c r="J5958">
        <v>11.99</v>
      </c>
      <c r="K5958" s="4">
        <v>0</v>
      </c>
      <c r="L5958">
        <v>4.8</v>
      </c>
      <c r="M5958">
        <v>601</v>
      </c>
      <c r="O5958" t="s">
        <v>25</v>
      </c>
      <c r="P5958" t="s">
        <v>4531</v>
      </c>
      <c r="Q5958" t="s">
        <v>4532</v>
      </c>
    </row>
    <row r="5959" spans="1:17" ht="15.5" x14ac:dyDescent="0.35">
      <c r="A5959" s="3" t="str">
        <f>HYPERLINK("https://edmondsonsupply.com/collections/electricians-tools/products/klein-tools-650-cushion-grip-scratch-awl", "https://edmondsonsupply.com/collections/electricians-tools/products/klein-tools-650-cushion-grip-scratch-awl")</f>
        <v>https://edmondsonsupply.com/collections/electricians-tools/products/klein-tools-650-cushion-grip-scratch-awl</v>
      </c>
      <c r="B5959" s="3" t="str">
        <f>HYPERLINK("https://edmondsonsupply.com/products/klein-tools-650-cushion-grip-scratch-awl", "https://edmondsonsupply.com/products/klein-tools-650-cushion-grip-scratch-awl")</f>
        <v>https://edmondsonsupply.com/products/klein-tools-650-cushion-grip-scratch-awl</v>
      </c>
      <c r="C5959" t="s">
        <v>7177</v>
      </c>
      <c r="D5959" t="s">
        <v>7942</v>
      </c>
      <c r="E5959" s="3" t="str">
        <f>HYPERLINK("https://www.amazon.com/Scratch-Cushion-Klein-Tools-650/dp/B0000302W2/ref=sr_1_1?keywords=Klein+Tools+650+Cushion-Grip+Scratch+Awl&amp;qid=1695174325&amp;sr=8-1", "https://www.amazon.com/Scratch-Cushion-Klein-Tools-650/dp/B0000302W2/ref=sr_1_1?keywords=Klein+Tools+650+Cushion-Grip+Scratch+Awl&amp;qid=1695174325&amp;sr=8-1")</f>
        <v>https://www.amazon.com/Scratch-Cushion-Klein-Tools-650/dp/B0000302W2/ref=sr_1_1?keywords=Klein+Tools+650+Cushion-Grip+Scratch+Awl&amp;qid=1695174325&amp;sr=8-1</v>
      </c>
      <c r="F5959" t="s">
        <v>7943</v>
      </c>
      <c r="G5959" t="e">
        <f ca="1">_xludf.IMAGE("https://edmondsonsupply.com/cdn/shop/products/650.jpg?v=1633030813")</f>
        <v>#NAME?</v>
      </c>
      <c r="H5959" t="e">
        <f ca="1">_xludf.IMAGE("https://m.media-amazon.com/images/I/51y0stAoHwL._AC_UL320_.jpg")</f>
        <v>#NAME?</v>
      </c>
      <c r="I5959" t="s">
        <v>6632</v>
      </c>
      <c r="J5959">
        <v>12.49</v>
      </c>
      <c r="K5959" s="4">
        <v>0</v>
      </c>
      <c r="L5959">
        <v>4.8</v>
      </c>
      <c r="M5959">
        <v>1392</v>
      </c>
      <c r="O5959" t="s">
        <v>25</v>
      </c>
      <c r="P5959" t="s">
        <v>2328</v>
      </c>
      <c r="Q5959" t="s">
        <v>7178</v>
      </c>
    </row>
    <row r="5960" spans="1:17" ht="15.5" x14ac:dyDescent="0.35">
      <c r="A5960" s="3" t="str">
        <f>HYPERLINK("https://edmondsonsupply.com/collections/electricians-tools/products/klein-tools-93pll-rechargeable-self-leveling-green-planar-laser-level", "https://edmondsonsupply.com/collections/electricians-tools/products/klein-tools-93pll-rechargeable-self-leveling-green-planar-laser-level")</f>
        <v>https://edmondsonsupply.com/collections/electricians-tools/products/klein-tools-93pll-rechargeable-self-leveling-green-planar-laser-level</v>
      </c>
      <c r="B5960" s="3" t="str">
        <f>HYPERLINK("https://edmondsonsupply.com/products/klein-tools-93pll-rechargeable-self-leveling-green-planar-laser-level", "https://edmondsonsupply.com/products/klein-tools-93pll-rechargeable-self-leveling-green-planar-laser-level")</f>
        <v>https://edmondsonsupply.com/products/klein-tools-93pll-rechargeable-self-leveling-green-planar-laser-level</v>
      </c>
      <c r="C5960" t="s">
        <v>7611</v>
      </c>
      <c r="D5960" t="s">
        <v>7944</v>
      </c>
      <c r="E5960" s="3" t="str">
        <f>HYPERLINK("https://www.amazon.com/Klein-Tools-93PLL-Self-Leveling-Rechargeable/dp/B09C7F4H9T/ref=sr_1_2?keywords=Klein+Tools+93PLL+Rechargeable+Self-Leveling+Green+Planar+Laser+Level&amp;qid=1695174147&amp;sr=8-2", "https://www.amazon.com/Klein-Tools-93PLL-Self-Leveling-Rechargeable/dp/B09C7F4H9T/ref=sr_1_2?keywords=Klein+Tools+93PLL+Rechargeable+Self-Leveling+Green+Planar+Laser+Level&amp;qid=1695174147&amp;sr=8-2")</f>
        <v>https://www.amazon.com/Klein-Tools-93PLL-Self-Leveling-Rechargeable/dp/B09C7F4H9T/ref=sr_1_2?keywords=Klein+Tools+93PLL+Rechargeable+Self-Leveling+Green+Planar+Laser+Level&amp;qid=1695174147&amp;sr=8-2</v>
      </c>
      <c r="F5960" t="s">
        <v>7945</v>
      </c>
      <c r="G5960" t="e">
        <f ca="1">_xludf.IMAGE("https://edmondsonsupply.com/cdn/shop/products/93pll_app8.jpg?v=1664476137")</f>
        <v>#NAME?</v>
      </c>
      <c r="H5960" t="e">
        <f ca="1">_xludf.IMAGE("https://m.media-amazon.com/images/I/51jR1c6Z+cL._AC_UL320_.jpg")</f>
        <v>#NAME?</v>
      </c>
      <c r="I5960" t="s">
        <v>533</v>
      </c>
      <c r="J5960">
        <v>299.99</v>
      </c>
      <c r="K5960" s="4">
        <v>0</v>
      </c>
      <c r="L5960">
        <v>4.7</v>
      </c>
      <c r="M5960">
        <v>272</v>
      </c>
      <c r="O5960" t="s">
        <v>25</v>
      </c>
      <c r="P5960" t="s">
        <v>7614</v>
      </c>
      <c r="Q5960" t="s">
        <v>7615</v>
      </c>
    </row>
    <row r="5961" spans="1:17" ht="15.5" x14ac:dyDescent="0.35">
      <c r="A5961"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5961"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5961" t="s">
        <v>7824</v>
      </c>
      <c r="D5961" t="s">
        <v>7946</v>
      </c>
      <c r="E5961" s="3" t="str">
        <f>HYPERLINK("https://www.amazon.com/Klein-Tools-D2000-49-Pliers-Diagonal-Cutters/dp/B01KKCNNWY/ref=sr_1_1?keywords=Klein+Tools+D2000-49+Diagonal+Cutting+Pliers%2C+Angled+Head%2C+9-Inch&amp;qid=1695174302&amp;sr=8-1", "https://www.amazon.com/Klein-Tools-D2000-49-Pliers-Diagonal-Cutters/dp/B01KKCNNWY/ref=sr_1_1?keywords=Klein+Tools+D2000-49+Diagonal+Cutting+Pliers%2C+Angled+Head%2C+9-Inch&amp;qid=1695174302&amp;sr=8-1")</f>
        <v>https://www.amazon.com/Klein-Tools-D2000-49-Pliers-Diagonal-Cutters/dp/B01KKCNNWY/ref=sr_1_1?keywords=Klein+Tools+D2000-49+Diagonal+Cutting+Pliers%2C+Angled+Head%2C+9-Inch&amp;qid=1695174302&amp;sr=8-1</v>
      </c>
      <c r="F5961" t="s">
        <v>7947</v>
      </c>
      <c r="G5961" t="e">
        <f ca="1">_xludf.IMAGE("https://edmondsonsupply.com/cdn/shop/products/d2000-49.jpg?v=1633030811")</f>
        <v>#NAME?</v>
      </c>
      <c r="H5961" t="e">
        <f ca="1">_xludf.IMAGE("https://m.media-amazon.com/images/I/41YARuDNT4L._AC_UL320_.jpg")</f>
        <v>#NAME?</v>
      </c>
      <c r="I5961" t="s">
        <v>3930</v>
      </c>
      <c r="J5961">
        <v>38.99</v>
      </c>
      <c r="K5961" s="4">
        <v>0</v>
      </c>
      <c r="L5961">
        <v>4.7</v>
      </c>
      <c r="M5961">
        <v>415</v>
      </c>
      <c r="O5961" t="s">
        <v>25</v>
      </c>
      <c r="P5961" t="s">
        <v>7825</v>
      </c>
      <c r="Q5961" t="s">
        <v>7826</v>
      </c>
    </row>
    <row r="5962" spans="1:17" ht="15.5" x14ac:dyDescent="0.35">
      <c r="A5962"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5962"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5962" t="s">
        <v>6995</v>
      </c>
      <c r="D5962" t="s">
        <v>5272</v>
      </c>
      <c r="E5962" s="3" t="str">
        <f>HYPERLINK("https://www.amazon.com/Klein-Tools-69149P-Multimeter-Noncontact/dp/B09C6MGD7J/ref=sr_1_1?keywords=Klein+Tools+69149P+Test+Kit+with+Multimeter%2C+Non-Contact+Volt+Tester%2C+Receptacle+Tester&amp;qid=1695174288&amp;sr=8-1", "https://www.amazon.com/Klein-Tools-69149P-Multimeter-Noncontact/dp/B09C6MGD7J/ref=sr_1_1?keywords=Klein+Tools+69149P+Test+Kit+with+Multimeter%2C+Non-Contact+Volt+Tester%2C+Receptacle+Tester&amp;qid=1695174288&amp;sr=8-1")</f>
        <v>https://www.amazon.com/Klein-Tools-69149P-Multimeter-Noncontact/dp/B09C6MGD7J/ref=sr_1_1?keywords=Klein+Tools+69149P+Test+Kit+with+Multimeter%2C+Non-Contact+Volt+Tester%2C+Receptacle+Tester&amp;qid=1695174288&amp;sr=8-1</v>
      </c>
      <c r="F5962" t="s">
        <v>5273</v>
      </c>
      <c r="G5962" t="e">
        <f ca="1">_xludf.IMAGE("https://edmondsonsupply.com/cdn/shop/products/69149p.jpg?v=1664479017")</f>
        <v>#NAME?</v>
      </c>
      <c r="H5962" t="e">
        <f ca="1">_xludf.IMAGE("https://m.media-amazon.com/images/I/61+WhEXhVkL._AC_UL320_.jpg")</f>
        <v>#NAME?</v>
      </c>
      <c r="I5962" t="s">
        <v>246</v>
      </c>
      <c r="J5962">
        <v>39.97</v>
      </c>
      <c r="K5962" s="4">
        <v>0</v>
      </c>
      <c r="L5962">
        <v>4.7</v>
      </c>
      <c r="M5962">
        <v>1358</v>
      </c>
      <c r="O5962" t="s">
        <v>25</v>
      </c>
      <c r="P5962" t="s">
        <v>6996</v>
      </c>
      <c r="Q5962" t="s">
        <v>6997</v>
      </c>
    </row>
    <row r="5963" spans="1:17" ht="15.5" x14ac:dyDescent="0.35">
      <c r="A5963" s="3" t="str">
        <f>HYPERLINK("https://edmondsonsupply.com/collections/electricians-tools/products/klein-tools-22002-large-broad-blade-utility-shear", "https://edmondsonsupply.com/collections/electricians-tools/products/klein-tools-22002-large-broad-blade-utility-shear")</f>
        <v>https://edmondsonsupply.com/collections/electricians-tools/products/klein-tools-22002-large-broad-blade-utility-shear</v>
      </c>
      <c r="B5963" s="3" t="str">
        <f>HYPERLINK("https://edmondsonsupply.com/products/klein-tools-22002-large-broad-blade-utility-shear", "https://edmondsonsupply.com/products/klein-tools-22002-large-broad-blade-utility-shear")</f>
        <v>https://edmondsonsupply.com/products/klein-tools-22002-large-broad-blade-utility-shear</v>
      </c>
      <c r="C5963" t="s">
        <v>7948</v>
      </c>
      <c r="D5963" t="s">
        <v>7949</v>
      </c>
      <c r="E5963" s="3" t="str">
        <f>HYPERLINK("https://www.amazon.com/Klein-Tools-22002-Scissors-Anything/dp/B001UBYWJS/ref=sr_1_1?keywords=Klein+Tools+22002+Large+Broad+Blade+Utility+Shear&amp;qid=1695174304&amp;sr=8-1", "https://www.amazon.com/Klein-Tools-22002-Scissors-Anything/dp/B001UBYWJS/ref=sr_1_1?keywords=Klein+Tools+22002+Large+Broad+Blade+Utility+Shear&amp;qid=1695174304&amp;sr=8-1")</f>
        <v>https://www.amazon.com/Klein-Tools-22002-Scissors-Anything/dp/B001UBYWJS/ref=sr_1_1?keywords=Klein+Tools+22002+Large+Broad+Blade+Utility+Shear&amp;qid=1695174304&amp;sr=8-1</v>
      </c>
      <c r="F5963" t="s">
        <v>7950</v>
      </c>
      <c r="G5963" t="e">
        <f ca="1">_xludf.IMAGE("https://edmondsonsupply.com/cdn/shop/products/22002.jpg?v=1633030813")</f>
        <v>#NAME?</v>
      </c>
      <c r="H5963" t="e">
        <f ca="1">_xludf.IMAGE("https://m.media-amazon.com/images/I/51d6CIMZeML._AC_UL320_.jpg")</f>
        <v>#NAME?</v>
      </c>
      <c r="I5963" t="s">
        <v>261</v>
      </c>
      <c r="J5963">
        <v>35.99</v>
      </c>
      <c r="K5963" s="4">
        <v>0</v>
      </c>
      <c r="L5963">
        <v>4.7</v>
      </c>
      <c r="M5963">
        <v>73</v>
      </c>
      <c r="O5963" t="s">
        <v>25</v>
      </c>
      <c r="P5963" t="s">
        <v>2679</v>
      </c>
      <c r="Q5963" t="s">
        <v>7951</v>
      </c>
    </row>
    <row r="5964" spans="1:17" ht="15.5" x14ac:dyDescent="0.35">
      <c r="A5964" s="3" t="str">
        <f>HYPERLINK("https://edmondsonsupply.com/collections/electricians-tools/products/klein-tools-63060-ratcheting-cable-cutter", "https://edmondsonsupply.com/collections/electricians-tools/products/klein-tools-63060-ratcheting-cable-cutter")</f>
        <v>https://edmondsonsupply.com/collections/electricians-tools/products/klein-tools-63060-ratcheting-cable-cutter</v>
      </c>
      <c r="B5964" s="3" t="str">
        <f>HYPERLINK("https://edmondsonsupply.com/products/klein-tools-63060-ratcheting-cable-cutter", "https://edmondsonsupply.com/products/klein-tools-63060-ratcheting-cable-cutter")</f>
        <v>https://edmondsonsupply.com/products/klein-tools-63060-ratcheting-cable-cutter</v>
      </c>
      <c r="C5964" t="s">
        <v>7427</v>
      </c>
      <c r="D5964" t="s">
        <v>7952</v>
      </c>
      <c r="E5964" s="3" t="str">
        <f>HYPERLINK("https://www.amazon.com/Ratcheting-Preparation-Klein-Tools-63060/dp/B001BPYJO6/ref=sr_1_1?keywords=Klein+Tools+63060+Ratcheting+Cable+Cutter&amp;qid=1695174295&amp;sr=8-1", "https://www.amazon.com/Ratcheting-Preparation-Klein-Tools-63060/dp/B001BPYJO6/ref=sr_1_1?keywords=Klein+Tools+63060+Ratcheting+Cable+Cutter&amp;qid=1695174295&amp;sr=8-1")</f>
        <v>https://www.amazon.com/Ratcheting-Preparation-Klein-Tools-63060/dp/B001BPYJO6/ref=sr_1_1?keywords=Klein+Tools+63060+Ratcheting+Cable+Cutter&amp;qid=1695174295&amp;sr=8-1</v>
      </c>
      <c r="F5964" t="s">
        <v>7953</v>
      </c>
      <c r="G5964" t="e">
        <f ca="1">_xludf.IMAGE("https://edmondsonsupply.com/cdn/shop/products/63060.jpg?v=1633030887")</f>
        <v>#NAME?</v>
      </c>
      <c r="H5964" t="e">
        <f ca="1">_xludf.IMAGE("https://m.media-amazon.com/images/I/416+PgFPpyL._AC_UL320_.jpg")</f>
        <v>#NAME?</v>
      </c>
      <c r="I5964" t="s">
        <v>400</v>
      </c>
      <c r="J5964">
        <v>199.99</v>
      </c>
      <c r="K5964" s="4">
        <v>0</v>
      </c>
      <c r="L5964">
        <v>4.7</v>
      </c>
      <c r="M5964">
        <v>344</v>
      </c>
      <c r="O5964" t="s">
        <v>25</v>
      </c>
      <c r="P5964" t="s">
        <v>7430</v>
      </c>
      <c r="Q5964" t="s">
        <v>7431</v>
      </c>
    </row>
    <row r="5965" spans="1:17" ht="15.5" x14ac:dyDescent="0.35">
      <c r="A5965" s="3" t="str">
        <f>HYPERLINK("https://edmondsonsupply.com/collections/electricians-tools/products/dewalt-dgl573-41-pocket-lighted-technician-s-tool-bag", "https://edmondsonsupply.com/collections/electricians-tools/products/dewalt-dgl573-41-pocket-lighted-technician-s-tool-bag")</f>
        <v>https://edmondsonsupply.com/collections/electricians-tools/products/dewalt-dgl573-41-pocket-lighted-technician-s-tool-bag</v>
      </c>
      <c r="B5965" s="3" t="str">
        <f>HYPERLINK("https://edmondsonsupply.com/products/dewalt-dgl573-41-pocket-lighted-technician-s-tool-bag", "https://edmondsonsupply.com/products/dewalt-dgl573-41-pocket-lighted-technician-s-tool-bag")</f>
        <v>https://edmondsonsupply.com/products/dewalt-dgl573-41-pocket-lighted-technician-s-tool-bag</v>
      </c>
      <c r="C5965" t="s">
        <v>548</v>
      </c>
      <c r="D5965" t="s">
        <v>549</v>
      </c>
      <c r="E5965" s="3" t="str">
        <f>HYPERLINK("https://www.amazon.com/DEWALT-DGL573-Lighted-Technicians-Tool/dp/B00QNTVV6Y/ref=sr_1_1?keywords=CLC+DeWALT+DGL573+41-Pocket+Lighted+Technician%E2%80%99s+Tool+Bag&amp;qid=1695173920&amp;sr=8-1", "https://www.amazon.com/DEWALT-DGL573-Lighted-Technicians-Tool/dp/B00QNTVV6Y/ref=sr_1_1?keywords=CLC+DeWALT+DGL573+41-Pocket+Lighted+Technician%E2%80%99s+Tool+Bag&amp;qid=1695173920&amp;sr=8-1")</f>
        <v>https://www.amazon.com/DEWALT-DGL573-Lighted-Technicians-Tool/dp/B00QNTVV6Y/ref=sr_1_1?keywords=CLC+DeWALT+DGL573+41-Pocket+Lighted+Technician%E2%80%99s+Tool+Bag&amp;qid=1695173920&amp;sr=8-1</v>
      </c>
      <c r="F5965" t="s">
        <v>550</v>
      </c>
      <c r="G5965" t="e">
        <f ca="1">_xludf.IMAGE("https://edmondsonsupply.com/cdn/shop/products/DGL573-1.png?v=1609787804")</f>
        <v>#NAME?</v>
      </c>
      <c r="H5965" t="e">
        <f ca="1">_xludf.IMAGE("https://m.media-amazon.com/images/I/A1ffPzA9uNL._AC_UL320_.jpg")</f>
        <v>#NAME?</v>
      </c>
      <c r="I5965" t="s">
        <v>551</v>
      </c>
      <c r="J5965">
        <v>84.95</v>
      </c>
      <c r="K5965" s="4">
        <v>0</v>
      </c>
      <c r="L5965">
        <v>4.7</v>
      </c>
      <c r="M5965">
        <v>2827</v>
      </c>
      <c r="O5965" t="s">
        <v>25</v>
      </c>
      <c r="P5965" t="s">
        <v>369</v>
      </c>
      <c r="Q5965" t="s">
        <v>552</v>
      </c>
    </row>
    <row r="5966" spans="1:17" ht="15.5" x14ac:dyDescent="0.35">
      <c r="A5966" s="3" t="str">
        <f>HYPERLINK("https://edmondsonsupply.com/collections/electricians-tools/products/klein-tools-60176-safety-glasses-hard-case", "https://edmondsonsupply.com/collections/electricians-tools/products/klein-tools-60176-safety-glasses-hard-case")</f>
        <v>https://edmondsonsupply.com/collections/electricians-tools/products/klein-tools-60176-safety-glasses-hard-case</v>
      </c>
      <c r="B5966" s="3" t="str">
        <f>HYPERLINK("https://edmondsonsupply.com/products/klein-tools-60176-safety-glasses-hard-case", "https://edmondsonsupply.com/products/klein-tools-60176-safety-glasses-hard-case")</f>
        <v>https://edmondsonsupply.com/products/klein-tools-60176-safety-glasses-hard-case</v>
      </c>
      <c r="C5966" t="s">
        <v>1137</v>
      </c>
      <c r="D5966" t="s">
        <v>1138</v>
      </c>
      <c r="E5966" s="3" t="str">
        <f>HYPERLINK("https://www.amazon.com/Klein-Tools-60176-Glasses-Protection/dp/B08B7B7SH3/ref=sr_1_1?keywords=Klein+Tools+60176+Safety+Glasses+Hard+Case&amp;qid=1695174295&amp;sr=8-1", "https://www.amazon.com/Klein-Tools-60176-Glasses-Protection/dp/B08B7B7SH3/ref=sr_1_1?keywords=Klein+Tools+60176+Safety+Glasses+Hard+Case&amp;qid=1695174295&amp;sr=8-1")</f>
        <v>https://www.amazon.com/Klein-Tools-60176-Glasses-Protection/dp/B08B7B7SH3/ref=sr_1_1?keywords=Klein+Tools+60176+Safety+Glasses+Hard+Case&amp;qid=1695174295&amp;sr=8-1</v>
      </c>
      <c r="F5966" t="s">
        <v>1139</v>
      </c>
      <c r="G5966" t="e">
        <f ca="1">_xludf.IMAGE("https://edmondsonsupply.com/cdn/shop/products/60176.jpg?v=1633030856")</f>
        <v>#NAME?</v>
      </c>
      <c r="H5966" t="e">
        <f ca="1">_xludf.IMAGE("https://m.media-amazon.com/images/I/71OJpcZ0B3L._AC_UL320_.jpg")</f>
        <v>#NAME?</v>
      </c>
      <c r="I5966" t="s">
        <v>1003</v>
      </c>
      <c r="J5966">
        <v>7.99</v>
      </c>
      <c r="K5966" s="4">
        <v>0</v>
      </c>
      <c r="L5966">
        <v>4.5999999999999996</v>
      </c>
      <c r="M5966">
        <v>77</v>
      </c>
      <c r="O5966" t="s">
        <v>25</v>
      </c>
      <c r="P5966" t="s">
        <v>1140</v>
      </c>
      <c r="Q5966" t="s">
        <v>1141</v>
      </c>
    </row>
    <row r="5967" spans="1:17" ht="15.5" x14ac:dyDescent="0.35">
      <c r="A5967"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5967"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5967" t="s">
        <v>6693</v>
      </c>
      <c r="D5967" t="s">
        <v>7954</v>
      </c>
      <c r="E5967" s="3" t="str">
        <f>HYPERLINK("https://www.amazon.com/Klein-Tools-56411-Rechargeable-Dual-Direction/dp/B0948329XF/ref=sr_1_1?keywords=Klein+Tools+56411+Rechargeable+Waterproof+LED+Pocket+Light+with+Lanyard&amp;qid=1695174156&amp;sr=8-1", "https://www.amazon.com/Klein-Tools-56411-Rechargeable-Dual-Direction/dp/B0948329XF/ref=sr_1_1?keywords=Klein+Tools+56411+Rechargeable+Waterproof+LED+Pocket+Light+with+Lanyard&amp;qid=1695174156&amp;sr=8-1")</f>
        <v>https://www.amazon.com/Klein-Tools-56411-Rechargeable-Dual-Direction/dp/B0948329XF/ref=sr_1_1?keywords=Klein+Tools+56411+Rechargeable+Waterproof+LED+Pocket+Light+with+Lanyard&amp;qid=1695174156&amp;sr=8-1</v>
      </c>
      <c r="F5967" t="s">
        <v>7955</v>
      </c>
      <c r="G5967" t="e">
        <f ca="1">_xludf.IMAGE("https://edmondsonsupply.com/cdn/shop/products/56411.jpg?v=1663952448")</f>
        <v>#NAME?</v>
      </c>
      <c r="H5967" t="e">
        <f ca="1">_xludf.IMAGE("https://m.media-amazon.com/images/I/51tftSPlJHS._AC_UL320_.jpg")</f>
        <v>#NAME?</v>
      </c>
      <c r="I5967" t="s">
        <v>824</v>
      </c>
      <c r="J5967">
        <v>29.97</v>
      </c>
      <c r="K5967" s="4">
        <v>0</v>
      </c>
      <c r="L5967">
        <v>4.3</v>
      </c>
      <c r="M5967">
        <v>94</v>
      </c>
      <c r="O5967" t="s">
        <v>25</v>
      </c>
      <c r="P5967" t="s">
        <v>825</v>
      </c>
      <c r="Q5967" t="s">
        <v>6696</v>
      </c>
    </row>
    <row r="5968" spans="1:17" ht="15.5" x14ac:dyDescent="0.35">
      <c r="A5968" s="3" t="str">
        <f>HYPERLINK("https://edmondsonsupply.com/collections/electricians-tools/products/klein-tools-450-003-staples-11-32-inch-x-19-32-inch-insulated", "https://edmondsonsupply.com/collections/electricians-tools/products/klein-tools-450-003-staples-11-32-inch-x-19-32-inch-insulated")</f>
        <v>https://edmondsonsupply.com/collections/electricians-tools/products/klein-tools-450-003-staples-11-32-inch-x-19-32-inch-insulated</v>
      </c>
      <c r="B5968" s="3" t="str">
        <f>HYPERLINK("https://edmondsonsupply.com/products/klein-tools-450-003-staples-11-32-inch-x-19-32-inch-insulated", "https://edmondsonsupply.com/products/klein-tools-450-003-staples-11-32-inch-x-19-32-inch-insulated")</f>
        <v>https://edmondsonsupply.com/products/klein-tools-450-003-staples-11-32-inch-x-19-32-inch-insulated</v>
      </c>
      <c r="C5968" t="s">
        <v>7956</v>
      </c>
      <c r="D5968" t="s">
        <v>7957</v>
      </c>
      <c r="E5968" s="3" t="str">
        <f>HYPERLINK("https://www.amazon.com/Klein-Tools-Staples-Insulated-Stapler/dp/B085T26XB8/ref=sr_1_1?keywords=Klein+Tools+450-003+Staples%2C+11%2F32-Inch+x+19%2F32-Inch+Insulated&amp;qid=1695173920&amp;sr=8-1", "https://www.amazon.com/Klein-Tools-Staples-Insulated-Stapler/dp/B085T26XB8/ref=sr_1_1?keywords=Klein+Tools+450-003+Staples%2C+11%2F32-Inch+x+19%2F32-Inch+Insulated&amp;qid=1695173920&amp;sr=8-1")</f>
        <v>https://www.amazon.com/Klein-Tools-Staples-Insulated-Stapler/dp/B085T26XB8/ref=sr_1_1?keywords=Klein+Tools+450-003+Staples%2C+11%2F32-Inch+x+19%2F32-Inch+Insulated&amp;qid=1695173920&amp;sr=8-1</v>
      </c>
      <c r="F5968" t="s">
        <v>7958</v>
      </c>
      <c r="G5968" t="e">
        <f ca="1">_xludf.IMAGE("https://edmondsonsupply.com/cdn/shop/products/450003.jpg?v=1633030473")</f>
        <v>#NAME?</v>
      </c>
      <c r="H5968" t="e">
        <f ca="1">_xludf.IMAGE("https://m.media-amazon.com/images/I/61G6HQn1wZL._AC_UL320_.jpg")</f>
        <v>#NAME?</v>
      </c>
      <c r="I5968" t="s">
        <v>2577</v>
      </c>
      <c r="J5968">
        <v>9.99</v>
      </c>
      <c r="K5968" s="4">
        <v>0</v>
      </c>
      <c r="L5968">
        <v>4.0999999999999996</v>
      </c>
      <c r="M5968">
        <v>652</v>
      </c>
      <c r="O5968" t="s">
        <v>25</v>
      </c>
      <c r="P5968" t="s">
        <v>2434</v>
      </c>
      <c r="Q5968" t="s">
        <v>7959</v>
      </c>
    </row>
    <row r="5969" spans="1:17" ht="15.5" x14ac:dyDescent="0.35">
      <c r="A5969"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5969" s="3" t="str">
        <f>HYPERLINK("https://edmondsonsupply.com/products/klein-tools-s10-5-16-inch-nut-driver-3-inch-hollow-shaft", "https://edmondsonsupply.com/products/klein-tools-s10-5-16-inch-nut-driver-3-inch-hollow-shaft")</f>
        <v>https://edmondsonsupply.com/products/klein-tools-s10-5-16-inch-nut-driver-3-inch-hollow-shaft</v>
      </c>
      <c r="C5969" t="s">
        <v>7432</v>
      </c>
      <c r="D5969" t="s">
        <v>4676</v>
      </c>
      <c r="E5969" s="3" t="str">
        <f>HYPERLINK("https://www.amazon.com/16-Inch-Driver-Cushion-Klein-Tools/dp/B000LEZVWM/ref=sr_1_4?keywords=Klein+Tools+S10+5%2F16-Inch+Nut+Driver+3-Inch+Hollow+Shaft&amp;qid=1695174298&amp;sr=8-4", "https://www.amazon.com/16-Inch-Driver-Cushion-Klein-Tools/dp/B000LEZVWM/ref=sr_1_4?keywords=Klein+Tools+S10+5%2F16-Inch+Nut+Driver+3-Inch+Hollow+Shaft&amp;qid=1695174298&amp;sr=8-4")</f>
        <v>https://www.amazon.com/16-Inch-Driver-Cushion-Klein-Tools/dp/B000LEZVWM/ref=sr_1_4?keywords=Klein+Tools+S10+5%2F16-Inch+Nut+Driver+3-Inch+Hollow+Shaft&amp;qid=1695174298&amp;sr=8-4</v>
      </c>
      <c r="F5969" t="s">
        <v>4677</v>
      </c>
      <c r="G5969" t="e">
        <f ca="1">_xludf.IMAGE("https://edmondsonsupply.com/cdn/shop/products/s10_38acacb8-6c8e-49ef-8ed3-7160ab53875a.jpg?v=1633030893")</f>
        <v>#NAME?</v>
      </c>
      <c r="H5969" t="e">
        <f ca="1">_xludf.IMAGE("https://m.media-amazon.com/images/I/31sSFYGqdfL._AC_UL320_.jpg")</f>
        <v>#NAME?</v>
      </c>
      <c r="I5969" t="s">
        <v>1003</v>
      </c>
      <c r="J5969">
        <v>7.99</v>
      </c>
      <c r="K5969" s="4">
        <v>0</v>
      </c>
      <c r="L5969">
        <v>4.8</v>
      </c>
      <c r="M5969">
        <v>2497</v>
      </c>
      <c r="O5969" t="s">
        <v>25</v>
      </c>
      <c r="P5969" t="s">
        <v>7433</v>
      </c>
      <c r="Q5969" t="s">
        <v>7434</v>
      </c>
    </row>
    <row r="5970" spans="1:17" ht="15.5" x14ac:dyDescent="0.35">
      <c r="A5970"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5970" s="3" t="str">
        <f>HYPERLINK("https://edmondsonsupply.com/products/klein-tools-s10-5-16-inch-nut-driver-3-inch-hollow-shaft", "https://edmondsonsupply.com/products/klein-tools-s10-5-16-inch-nut-driver-3-inch-hollow-shaft")</f>
        <v>https://edmondsonsupply.com/products/klein-tools-s10-5-16-inch-nut-driver-3-inch-hollow-shaft</v>
      </c>
      <c r="C5970" t="s">
        <v>7432</v>
      </c>
      <c r="D5970" t="s">
        <v>4684</v>
      </c>
      <c r="E5970" s="3" t="str">
        <f>HYPERLINK("https://www.amazon.com/Klein-Tools-S106-16-Inch-Driver/dp/B000936PDO/ref=sr_1_7?keywords=Klein+Tools+S10+5%2F16-Inch+Nut+Driver+3-Inch+Hollow+Shaft&amp;qid=1695174298&amp;sr=8-7", "https://www.amazon.com/Klein-Tools-S106-16-Inch-Driver/dp/B000936PDO/ref=sr_1_7?keywords=Klein+Tools+S10+5%2F16-Inch+Nut+Driver+3-Inch+Hollow+Shaft&amp;qid=1695174298&amp;sr=8-7")</f>
        <v>https://www.amazon.com/Klein-Tools-S106-16-Inch-Driver/dp/B000936PDO/ref=sr_1_7?keywords=Klein+Tools+S10+5%2F16-Inch+Nut+Driver+3-Inch+Hollow+Shaft&amp;qid=1695174298&amp;sr=8-7</v>
      </c>
      <c r="F5970" t="s">
        <v>4685</v>
      </c>
      <c r="G5970" t="e">
        <f ca="1">_xludf.IMAGE("https://edmondsonsupply.com/cdn/shop/products/s10_38acacb8-6c8e-49ef-8ed3-7160ab53875a.jpg?v=1633030893")</f>
        <v>#NAME?</v>
      </c>
      <c r="H5970" t="e">
        <f ca="1">_xludf.IMAGE("https://m.media-amazon.com/images/I/41MR57vMQTL._AC_UL320_.jpg")</f>
        <v>#NAME?</v>
      </c>
      <c r="I5970" t="s">
        <v>1003</v>
      </c>
      <c r="J5970">
        <v>7.99</v>
      </c>
      <c r="K5970" s="4">
        <v>0</v>
      </c>
      <c r="L5970">
        <v>4.5</v>
      </c>
      <c r="M5970">
        <v>151</v>
      </c>
      <c r="O5970" t="s">
        <v>25</v>
      </c>
      <c r="P5970" t="s">
        <v>7433</v>
      </c>
      <c r="Q5970" t="s">
        <v>7434</v>
      </c>
    </row>
    <row r="5971" spans="1:17" ht="15.5" x14ac:dyDescent="0.35">
      <c r="A5971" s="3" t="str">
        <f>HYPERLINK("https://edmondsonsupply.com/collections/electricians-tools/products/klein-tools-et310trans-replacement-transmitter-for-et310", "https://edmondsonsupply.com/collections/electricians-tools/products/klein-tools-et310trans-replacement-transmitter-for-et310")</f>
        <v>https://edmondsonsupply.com/collections/electricians-tools/products/klein-tools-et310trans-replacement-transmitter-for-et310</v>
      </c>
      <c r="B5971" s="3" t="str">
        <f>HYPERLINK("https://edmondsonsupply.com/products/klein-tools-et310trans-replacement-transmitter-for-et310", "https://edmondsonsupply.com/products/klein-tools-et310trans-replacement-transmitter-for-et310")</f>
        <v>https://edmondsonsupply.com/products/klein-tools-et310trans-replacement-transmitter-for-et310</v>
      </c>
      <c r="C5971" t="s">
        <v>7960</v>
      </c>
      <c r="D5971" t="s">
        <v>7961</v>
      </c>
      <c r="E5971" s="3" t="str">
        <f>HYPERLINK("https://www.amazon.com/Klein-Tools-ET310TRANS-Replacement-Transmitter/dp/B0B6PZ31KW/ref=sr_1_1?keywords=Klein+Tools+ET310TRANS+Replacement+Transmitter+for+ET310&amp;qid=1695174153&amp;sr=8-1", "https://www.amazon.com/Klein-Tools-ET310TRANS-Replacement-Transmitter/dp/B0B6PZ31KW/ref=sr_1_1?keywords=Klein+Tools+ET310TRANS+Replacement+Transmitter+for+ET310&amp;qid=1695174153&amp;sr=8-1")</f>
        <v>https://www.amazon.com/Klein-Tools-ET310TRANS-Replacement-Transmitter/dp/B0B6PZ31KW/ref=sr_1_1?keywords=Klein+Tools+ET310TRANS+Replacement+Transmitter+for+ET310&amp;qid=1695174153&amp;sr=8-1</v>
      </c>
      <c r="F5971" t="s">
        <v>7962</v>
      </c>
      <c r="G5971" t="e">
        <f ca="1">_xludf.IMAGE("https://edmondsonsupply.com/cdn/shop/products/et310trans.jpg?v=1663678062")</f>
        <v>#NAME?</v>
      </c>
      <c r="H5971" t="e">
        <f ca="1">_xludf.IMAGE("https://m.media-amazon.com/images/I/41ZLBVj0ZYL._AC_UL320_.jpg")</f>
        <v>#NAME?</v>
      </c>
      <c r="I5971" t="s">
        <v>834</v>
      </c>
      <c r="J5971">
        <v>12.99</v>
      </c>
      <c r="K5971" s="4">
        <v>0</v>
      </c>
      <c r="L5971">
        <v>4.8</v>
      </c>
      <c r="M5971">
        <v>30</v>
      </c>
      <c r="O5971" t="s">
        <v>25</v>
      </c>
      <c r="P5971" t="s">
        <v>7963</v>
      </c>
      <c r="Q5971" t="s">
        <v>7964</v>
      </c>
    </row>
    <row r="5972" spans="1:17" ht="15.5" x14ac:dyDescent="0.35">
      <c r="A5972" s="3" t="str">
        <f>HYPERLINK("https://edmondsonsupply.com/collections/electricians-tools/products/klein-tools-ti250-rechargeable-thermal-imager", "https://edmondsonsupply.com/collections/electricians-tools/products/klein-tools-ti250-rechargeable-thermal-imager")</f>
        <v>https://edmondsonsupply.com/collections/electricians-tools/products/klein-tools-ti250-rechargeable-thermal-imager</v>
      </c>
      <c r="B5972" s="3" t="str">
        <f>HYPERLINK("https://edmondsonsupply.com/products/klein-tools-ti250-rechargeable-thermal-imager", "https://edmondsonsupply.com/products/klein-tools-ti250-rechargeable-thermal-imager")</f>
        <v>https://edmondsonsupply.com/products/klein-tools-ti250-rechargeable-thermal-imager</v>
      </c>
      <c r="C5972" t="s">
        <v>7965</v>
      </c>
      <c r="D5972" t="s">
        <v>7966</v>
      </c>
      <c r="E5972" s="3" t="str">
        <f>HYPERLINK("https://www.amazon.com/Klein-Tools-TI250-Rechargeable-Temperature/dp/B089QW8R9S/ref=sr_1_1?keywords=Klein+Tools+TI250+Rechargeable+Thermal+Imager&amp;qid=1695174297&amp;sr=8-1", "https://www.amazon.com/Klein-Tools-TI250-Rechargeable-Temperature/dp/B089QW8R9S/ref=sr_1_1?keywords=Klein+Tools+TI250+Rechargeable+Thermal+Imager&amp;qid=1695174297&amp;sr=8-1")</f>
        <v>https://www.amazon.com/Klein-Tools-TI250-Rechargeable-Temperature/dp/B089QW8R9S/ref=sr_1_1?keywords=Klein+Tools+TI250+Rechargeable+Thermal+Imager&amp;qid=1695174297&amp;sr=8-1</v>
      </c>
      <c r="F5972" t="s">
        <v>7967</v>
      </c>
      <c r="G5972" t="e">
        <f ca="1">_xludf.IMAGE("https://edmondsonsupply.com/cdn/shop/products/ti250_b.jpg?v=1633030829")</f>
        <v>#NAME?</v>
      </c>
      <c r="H5972" t="e">
        <f ca="1">_xludf.IMAGE("https://m.media-amazon.com/images/I/61p-y0mTosL._AC_UY218_.jpg")</f>
        <v>#NAME?</v>
      </c>
      <c r="I5972" t="s">
        <v>533</v>
      </c>
      <c r="J5972">
        <v>299.99</v>
      </c>
      <c r="K5972" s="4">
        <v>0</v>
      </c>
      <c r="L5972">
        <v>4.5</v>
      </c>
      <c r="M5972">
        <v>778</v>
      </c>
      <c r="O5972" t="s">
        <v>25</v>
      </c>
      <c r="P5972" t="s">
        <v>7968</v>
      </c>
      <c r="Q5972" t="s">
        <v>7969</v>
      </c>
    </row>
    <row r="5973" spans="1:17" ht="15.5" x14ac:dyDescent="0.35">
      <c r="A5973"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5973"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5973" t="s">
        <v>6957</v>
      </c>
      <c r="D5973" t="s">
        <v>3678</v>
      </c>
      <c r="E5973" s="3" t="str">
        <f>HYPERLINK("https://www.amazon.com/Keystone-Screwdriver-Klein-Tools-602-6/dp/B0000302WW/ref=sr_1_1?keywords=Klein+Tools+602-6+5%2F16-Inch+Keystone+Tip+Screwdriver%2C+Cushion+Grip%2C+6-Inch&amp;qid=1695174298&amp;sr=8-1", "https://www.amazon.com/Keystone-Screwdriver-Klein-Tools-602-6/dp/B0000302WW/ref=sr_1_1?keywords=Klein+Tools+602-6+5%2F16-Inch+Keystone+Tip+Screwdriver%2C+Cushion+Grip%2C+6-Inch&amp;qid=1695174298&amp;sr=8-1")</f>
        <v>https://www.amazon.com/Keystone-Screwdriver-Klein-Tools-602-6/dp/B0000302WW/ref=sr_1_1?keywords=Klein+Tools+602-6+5%2F16-Inch+Keystone+Tip+Screwdriver%2C+Cushion+Grip%2C+6-Inch&amp;qid=1695174298&amp;sr=8-1</v>
      </c>
      <c r="F5973" t="s">
        <v>3679</v>
      </c>
      <c r="G5973" t="e">
        <f ca="1">_xludf.IMAGE("https://edmondsonsupply.com/cdn/shop/products/602-6_162e3283-acea-47de-aecf-2a25f009fdcb.jpg?v=1633030880")</f>
        <v>#NAME?</v>
      </c>
      <c r="H5973" t="e">
        <f ca="1">_xludf.IMAGE("https://m.media-amazon.com/images/I/51yw04G5ZvL._AC_UL320_.jpg")</f>
        <v>#NAME?</v>
      </c>
      <c r="I5973" t="s">
        <v>2337</v>
      </c>
      <c r="J5973">
        <v>11.99</v>
      </c>
      <c r="K5973" s="4">
        <v>0</v>
      </c>
      <c r="L5973">
        <v>4.8</v>
      </c>
      <c r="M5973">
        <v>879</v>
      </c>
      <c r="O5973" t="s">
        <v>25</v>
      </c>
      <c r="P5973" t="s">
        <v>1212</v>
      </c>
      <c r="Q5973" t="s">
        <v>6958</v>
      </c>
    </row>
    <row r="5974" spans="1:17" ht="15.5" x14ac:dyDescent="0.35">
      <c r="A5974" s="3" t="str">
        <f>HYPERLINK("https://edmondsonsupply.com/collections/electricians-tools/products/klein-tools-et45-ac-dc-voltage-tester", "https://edmondsonsupply.com/collections/electricians-tools/products/klein-tools-et45-ac-dc-voltage-tester")</f>
        <v>https://edmondsonsupply.com/collections/electricians-tools/products/klein-tools-et45-ac-dc-voltage-tester</v>
      </c>
      <c r="B5974" s="3" t="str">
        <f>HYPERLINK("https://edmondsonsupply.com/products/klein-tools-et45-ac-dc-voltage-tester", "https://edmondsonsupply.com/products/klein-tools-et45-ac-dc-voltage-tester")</f>
        <v>https://edmondsonsupply.com/products/klein-tools-et45-ac-dc-voltage-tester</v>
      </c>
      <c r="C5974" t="s">
        <v>6080</v>
      </c>
      <c r="D5974" t="s">
        <v>7970</v>
      </c>
      <c r="E5974" s="3" t="str">
        <f>HYPERLINK("https://www.amazon.com/Klein-Tools-ET45-Voltage-Batteries/dp/B07NZS6DGS/ref=sr_1_1?keywords=Klein+Tools+ET45+AC%2FDC+Voltage+Tester&amp;qid=1695174290&amp;sr=8-1", "https://www.amazon.com/Klein-Tools-ET45-Voltage-Batteries/dp/B07NZS6DGS/ref=sr_1_1?keywords=Klein+Tools+ET45+AC%2FDC+Voltage+Tester&amp;qid=1695174290&amp;sr=8-1")</f>
        <v>https://www.amazon.com/Klein-Tools-ET45-Voltage-Batteries/dp/B07NZS6DGS/ref=sr_1_1?keywords=Klein+Tools+ET45+AC%2FDC+Voltage+Tester&amp;qid=1695174290&amp;sr=8-1</v>
      </c>
      <c r="F5974" t="s">
        <v>7971</v>
      </c>
      <c r="G5974" t="e">
        <f ca="1">_xludf.IMAGE("https://edmondsonsupply.com/cdn/shop/products/et45.jpg?v=1647786270")</f>
        <v>#NAME?</v>
      </c>
      <c r="H5974" t="e">
        <f ca="1">_xludf.IMAGE("https://m.media-amazon.com/images/I/41msIkks06L._AC_UL320_.jpg")</f>
        <v>#NAME?</v>
      </c>
      <c r="I5974" t="s">
        <v>2337</v>
      </c>
      <c r="J5974">
        <v>11.99</v>
      </c>
      <c r="K5974" s="4">
        <v>0</v>
      </c>
      <c r="L5974">
        <v>4.5</v>
      </c>
      <c r="M5974">
        <v>1284</v>
      </c>
      <c r="O5974" t="s">
        <v>25</v>
      </c>
      <c r="P5974" t="s">
        <v>6083</v>
      </c>
      <c r="Q5974" t="s">
        <v>6084</v>
      </c>
    </row>
    <row r="5975" spans="1:17" ht="15.5" x14ac:dyDescent="0.35">
      <c r="A5975" s="3" t="str">
        <f>HYPERLINK("https://edmondsonsupply.com/collections/electricians-tools/products/klein-tools-630-5-8-nut-driver-5-8-inch-4-inch-hollow-shaft", "https://edmondsonsupply.com/collections/electricians-tools/products/klein-tools-630-5-8-nut-driver-5-8-inch-4-inch-hollow-shaft")</f>
        <v>https://edmondsonsupply.com/collections/electricians-tools/products/klein-tools-630-5-8-nut-driver-5-8-inch-4-inch-hollow-shaft</v>
      </c>
      <c r="B5975" s="3" t="str">
        <f>HYPERLINK("https://edmondsonsupply.com/products/klein-tools-630-5-8-nut-driver-5-8-inch-4-inch-hollow-shaft", "https://edmondsonsupply.com/products/klein-tools-630-5-8-nut-driver-5-8-inch-4-inch-hollow-shaft")</f>
        <v>https://edmondsonsupply.com/products/klein-tools-630-5-8-nut-driver-5-8-inch-4-inch-hollow-shaft</v>
      </c>
      <c r="C5975" t="s">
        <v>6629</v>
      </c>
      <c r="D5975" t="s">
        <v>7972</v>
      </c>
      <c r="E5975" s="3" t="str">
        <f>HYPERLINK("https://www.amazon.com/Driver-Cushion-Klein-Tools-630-5/dp/B000219OBI/ref=sr_1_1?keywords=Klein+Tools+630-5%2F8+Nut+Driver%2C+5%2F8-Inch%2C+4-Inch+Hollow+Shaft&amp;qid=1695174302&amp;sr=8-1", "https://www.amazon.com/Driver-Cushion-Klein-Tools-630-5/dp/B000219OBI/ref=sr_1_1?keywords=Klein+Tools+630-5%2F8+Nut+Driver%2C+5%2F8-Inch%2C+4-Inch+Hollow+Shaft&amp;qid=1695174302&amp;sr=8-1")</f>
        <v>https://www.amazon.com/Driver-Cushion-Klein-Tools-630-5/dp/B000219OBI/ref=sr_1_1?keywords=Klein+Tools+630-5%2F8+Nut+Driver%2C+5%2F8-Inch%2C+4-Inch+Hollow+Shaft&amp;qid=1695174302&amp;sr=8-1</v>
      </c>
      <c r="F5975" t="s">
        <v>7973</v>
      </c>
      <c r="G5975" t="e">
        <f ca="1">_xludf.IMAGE("https://edmondsonsupply.com/cdn/shop/products/630-1-2_df0ca74a-79e7-41f4-ad94-60312e01e692.jpg?v=1633031052")</f>
        <v>#NAME?</v>
      </c>
      <c r="H5975" t="e">
        <f ca="1">_xludf.IMAGE("https://m.media-amazon.com/images/I/41Cj8-Y8KnL._AC_UL320_.jpg")</f>
        <v>#NAME?</v>
      </c>
      <c r="I5975" t="s">
        <v>6632</v>
      </c>
      <c r="J5975">
        <v>12.49</v>
      </c>
      <c r="K5975" s="4">
        <v>0</v>
      </c>
      <c r="L5975">
        <v>4.8</v>
      </c>
      <c r="M5975">
        <v>2075</v>
      </c>
      <c r="O5975" t="s">
        <v>25</v>
      </c>
      <c r="P5975" t="s">
        <v>2328</v>
      </c>
      <c r="Q5975" t="s">
        <v>6633</v>
      </c>
    </row>
    <row r="5976" spans="1:17" ht="15.5" x14ac:dyDescent="0.35">
      <c r="A5976" s="3" t="str">
        <f>HYPERLINK("https://edmondsonsupply.com/collections/electricians-tools/products/klein-tools-60173-pro-safety-glasses-semi-frame-combo-pack", "https://edmondsonsupply.com/collections/electricians-tools/products/klein-tools-60173-pro-safety-glasses-semi-frame-combo-pack")</f>
        <v>https://edmondsonsupply.com/collections/electricians-tools/products/klein-tools-60173-pro-safety-glasses-semi-frame-combo-pack</v>
      </c>
      <c r="B5976" s="3" t="str">
        <f>HYPERLINK("https://edmondsonsupply.com/products/klein-tools-60173-pro-safety-glasses-semi-frame-combo-pack", "https://edmondsonsupply.com/products/klein-tools-60173-pro-safety-glasses-semi-frame-combo-pack")</f>
        <v>https://edmondsonsupply.com/products/klein-tools-60173-pro-safety-glasses-semi-frame-combo-pack</v>
      </c>
      <c r="C5976" t="s">
        <v>1155</v>
      </c>
      <c r="D5976" t="s">
        <v>1156</v>
      </c>
      <c r="E5976" s="3" t="str">
        <f>HYPERLINK("https://www.amazon.com/Klein-Tools-60173-Protective-Resistant/dp/B08B7BCQSX/ref=sr_1_1?keywords=Klein+Tools+60173+PRO+Safety+Glasses+Semi-Frame%2C+Combo+Pack&amp;qid=1695174302&amp;sr=8-1", "https://www.amazon.com/Klein-Tools-60173-Protective-Resistant/dp/B08B7BCQSX/ref=sr_1_1?keywords=Klein+Tools+60173+PRO+Safety+Glasses+Semi-Frame%2C+Combo+Pack&amp;qid=1695174302&amp;sr=8-1")</f>
        <v>https://www.amazon.com/Klein-Tools-60173-Protective-Resistant/dp/B08B7BCQSX/ref=sr_1_1?keywords=Klein+Tools+60173+PRO+Safety+Glasses+Semi-Frame%2C+Combo+Pack&amp;qid=1695174302&amp;sr=8-1</v>
      </c>
      <c r="F5976" t="s">
        <v>1157</v>
      </c>
      <c r="G5976" t="e">
        <f ca="1">_xludf.IMAGE("https://edmondsonsupply.com/cdn/shop/products/60173.jpg?v=1633030855")</f>
        <v>#NAME?</v>
      </c>
      <c r="H5976" t="e">
        <f ca="1">_xludf.IMAGE("https://m.media-amazon.com/images/I/51A3qkx5B2L._AC_UL320_.jpg")</f>
        <v>#NAME?</v>
      </c>
      <c r="I5976" t="s">
        <v>1158</v>
      </c>
      <c r="J5976">
        <v>21.99</v>
      </c>
      <c r="K5976" s="4">
        <v>0</v>
      </c>
      <c r="L5976">
        <v>4.4000000000000004</v>
      </c>
      <c r="M5976">
        <v>374</v>
      </c>
      <c r="O5976" t="s">
        <v>25</v>
      </c>
      <c r="P5976" t="s">
        <v>1159</v>
      </c>
      <c r="Q5976" t="s">
        <v>1160</v>
      </c>
    </row>
    <row r="5977" spans="1:17" ht="15.5" x14ac:dyDescent="0.35">
      <c r="A5977" s="3" t="str">
        <f>HYPERLINK("https://edmondsonsupply.com/collections/electricians-tools/products/klein-tools-66040-2-in-1-impact-socket-set-12-point-5-piece", "https://edmondsonsupply.com/collections/electricians-tools/products/klein-tools-66040-2-in-1-impact-socket-set-12-point-5-piece")</f>
        <v>https://edmondsonsupply.com/collections/electricians-tools/products/klein-tools-66040-2-in-1-impact-socket-set-12-point-5-piece</v>
      </c>
      <c r="B5977" s="3" t="str">
        <f>HYPERLINK("https://edmondsonsupply.com/products/klein-tools-66040-2-in-1-impact-socket-set-12-point-5-piece", "https://edmondsonsupply.com/products/klein-tools-66040-2-in-1-impact-socket-set-12-point-5-piece")</f>
        <v>https://edmondsonsupply.com/products/klein-tools-66040-2-in-1-impact-socket-set-12-point-5-piece</v>
      </c>
      <c r="C5977" t="s">
        <v>7021</v>
      </c>
      <c r="D5977" t="s">
        <v>7974</v>
      </c>
      <c r="E5977" s="3" t="str">
        <f>HYPERLINK("https://www.amazon.com/Klein-Tools-5-Piece-6-Point-Sockets/dp/B08363H71P/ref=sr_1_1?keywords=Klein+Tools+66040+2-in-1+Impact+Socket+Set%2C+12-Point%2C+5-Piece&amp;qid=1695173922&amp;sr=8-1", "https://www.amazon.com/Klein-Tools-5-Piece-6-Point-Sockets/dp/B08363H71P/ref=sr_1_1?keywords=Klein+Tools+66040+2-in-1+Impact+Socket+Set%2C+12-Point%2C+5-Piece&amp;qid=1695173922&amp;sr=8-1")</f>
        <v>https://www.amazon.com/Klein-Tools-5-Piece-6-Point-Sockets/dp/B08363H71P/ref=sr_1_1?keywords=Klein+Tools+66040+2-in-1+Impact+Socket+Set%2C+12-Point%2C+5-Piece&amp;qid=1695173922&amp;sr=8-1</v>
      </c>
      <c r="F5977" t="s">
        <v>7975</v>
      </c>
      <c r="G5977" t="e">
        <f ca="1">_xludf.IMAGE("https://edmondsonsupply.com/cdn/shop/products/66040.jpg?v=1659120255")</f>
        <v>#NAME?</v>
      </c>
      <c r="H5977" t="e">
        <f ca="1">_xludf.IMAGE("https://m.media-amazon.com/images/I/618QcMhYqSL._AC_UL320_.jpg")</f>
        <v>#NAME?</v>
      </c>
      <c r="I5977" t="s">
        <v>7024</v>
      </c>
      <c r="J5977">
        <v>124.79</v>
      </c>
      <c r="K5977" s="4">
        <v>0</v>
      </c>
      <c r="L5977">
        <v>4.8</v>
      </c>
      <c r="M5977">
        <v>1158</v>
      </c>
      <c r="O5977" t="s">
        <v>25</v>
      </c>
      <c r="P5977" t="s">
        <v>7025</v>
      </c>
      <c r="Q5977" t="s">
        <v>7026</v>
      </c>
    </row>
    <row r="5978" spans="1:17" ht="15.5" x14ac:dyDescent="0.35">
      <c r="A5978" s="3" t="str">
        <f>HYPERLINK("https://edmondsonsupply.com/collections/electricians-tools/products/klein-tools-32500mag-11-in-1-magnetic-screwdriver-nut-driver", "https://edmondsonsupply.com/collections/electricians-tools/products/klein-tools-32500mag-11-in-1-magnetic-screwdriver-nut-driver")</f>
        <v>https://edmondsonsupply.com/collections/electricians-tools/products/klein-tools-32500mag-11-in-1-magnetic-screwdriver-nut-driver</v>
      </c>
      <c r="B5978" s="3" t="str">
        <f>HYPERLINK("https://edmondsonsupply.com/products/klein-tools-32500mag-11-in-1-magnetic-screwdriver-nut-driver", "https://edmondsonsupply.com/products/klein-tools-32500mag-11-in-1-magnetic-screwdriver-nut-driver")</f>
        <v>https://edmondsonsupply.com/products/klein-tools-32500mag-11-in-1-magnetic-screwdriver-nut-driver</v>
      </c>
      <c r="C5978" t="s">
        <v>6522</v>
      </c>
      <c r="D5978" t="s">
        <v>7976</v>
      </c>
      <c r="E5978" s="3" t="str">
        <f>HYPERLINK("https://www.amazon.com/Klein-Tools-32500MAG-Multi-Bit-Screwdriver/dp/B089LTTZWT/ref=sr_1_1?keywords=Klein+Tools+32500MAG+11-in-1+Magnetic+Screwdriver+%2F+Nut+Driver&amp;qid=1695174303&amp;sr=8-1", "https://www.amazon.com/Klein-Tools-32500MAG-Multi-Bit-Screwdriver/dp/B089LTTZWT/ref=sr_1_1?keywords=Klein+Tools+32500MAG+11-in-1+Magnetic+Screwdriver+%2F+Nut+Driver&amp;qid=1695174303&amp;sr=8-1")</f>
        <v>https://www.amazon.com/Klein-Tools-32500MAG-Multi-Bit-Screwdriver/dp/B089LTTZWT/ref=sr_1_1?keywords=Klein+Tools+32500MAG+11-in-1+Magnetic+Screwdriver+%2F+Nut+Driver&amp;qid=1695174303&amp;sr=8-1</v>
      </c>
      <c r="F5978" t="s">
        <v>7977</v>
      </c>
      <c r="G5978" t="e">
        <f ca="1">_xludf.IMAGE("https://edmondsonsupply.com/cdn/shop/products/32500mag.jpg?v=1633030832")</f>
        <v>#NAME?</v>
      </c>
      <c r="H5978" t="e">
        <f ca="1">_xludf.IMAGE("https://m.media-amazon.com/images/I/61WjOoy7J0L._AC_UL320_.jpg")</f>
        <v>#NAME?</v>
      </c>
      <c r="I5978" t="s">
        <v>2288</v>
      </c>
      <c r="J5978">
        <v>20.97</v>
      </c>
      <c r="K5978" s="4">
        <v>0</v>
      </c>
      <c r="L5978">
        <v>4.8</v>
      </c>
      <c r="M5978">
        <v>3923</v>
      </c>
      <c r="O5978" t="s">
        <v>25</v>
      </c>
      <c r="P5978" t="s">
        <v>6525</v>
      </c>
      <c r="Q5978" t="s">
        <v>6526</v>
      </c>
    </row>
    <row r="5979" spans="1:17" ht="15.5" x14ac:dyDescent="0.35">
      <c r="A5979" s="3" t="str">
        <f>HYPERLINK("https://edmondsonsupply.com/collections/electricians-tools/products/klein-tools-60162-professional-safety-glasses-gray-lens", "https://edmondsonsupply.com/collections/electricians-tools/products/klein-tools-60162-professional-safety-glasses-gray-lens")</f>
        <v>https://edmondsonsupply.com/collections/electricians-tools/products/klein-tools-60162-professional-safety-glasses-gray-lens</v>
      </c>
      <c r="B5979" s="3" t="str">
        <f>HYPERLINK("https://edmondsonsupply.com/products/klein-tools-60162-professional-safety-glasses-gray-lens", "https://edmondsonsupply.com/products/klein-tools-60162-professional-safety-glasses-gray-lens")</f>
        <v>https://edmondsonsupply.com/products/klein-tools-60162-professional-safety-glasses-gray-lens</v>
      </c>
      <c r="C5979" t="s">
        <v>833</v>
      </c>
      <c r="D5979" t="s">
        <v>1204</v>
      </c>
      <c r="E5979" s="3" t="str">
        <f>HYPERLINK("https://www.amazon.com/Klein-60162-Professional-Protective-Resistant/dp/B08B47MGR6/ref=sr_1_1?keywords=Klein+Tools+60162+Professional+Safety+Glasses%2C+Gray+Lens&amp;qid=1695174302&amp;sr=8-1", "https://www.amazon.com/Klein-60162-Professional-Protective-Resistant/dp/B08B47MGR6/ref=sr_1_1?keywords=Klein+Tools+60162+Professional+Safety+Glasses%2C+Gray+Lens&amp;qid=1695174302&amp;sr=8-1")</f>
        <v>https://www.amazon.com/Klein-60162-Professional-Protective-Resistant/dp/B08B47MGR6/ref=sr_1_1?keywords=Klein+Tools+60162+Professional+Safety+Glasses%2C+Gray+Lens&amp;qid=1695174302&amp;sr=8-1</v>
      </c>
      <c r="F5979" t="s">
        <v>1205</v>
      </c>
      <c r="G5979" t="e">
        <f ca="1">_xludf.IMAGE("https://edmondsonsupply.com/cdn/shop/products/60162.jpg?v=1633030847")</f>
        <v>#NAME?</v>
      </c>
      <c r="H5979" t="e">
        <f ca="1">_xludf.IMAGE("https://m.media-amazon.com/images/I/51MQyUmXnZL._AC_UL320_.jpg")</f>
        <v>#NAME?</v>
      </c>
      <c r="I5979" t="s">
        <v>834</v>
      </c>
      <c r="J5979">
        <v>12.99</v>
      </c>
      <c r="K5979" s="4">
        <v>0</v>
      </c>
      <c r="L5979">
        <v>4.4000000000000004</v>
      </c>
      <c r="M5979">
        <v>374</v>
      </c>
      <c r="O5979" t="s">
        <v>25</v>
      </c>
      <c r="P5979" t="s">
        <v>835</v>
      </c>
      <c r="Q5979" t="s">
        <v>836</v>
      </c>
    </row>
    <row r="5980" spans="1:17" ht="15.5" x14ac:dyDescent="0.35">
      <c r="A5980" s="3" t="str">
        <f>HYPERLINK("https://edmondsonsupply.com/collections/electricians-tools/products/klein-tools-mm325-digital-multimeter-manual-ranging-600v", "https://edmondsonsupply.com/collections/electricians-tools/products/klein-tools-mm325-digital-multimeter-manual-ranging-600v")</f>
        <v>https://edmondsonsupply.com/collections/electricians-tools/products/klein-tools-mm325-digital-multimeter-manual-ranging-600v</v>
      </c>
      <c r="B5980" s="3" t="str">
        <f>HYPERLINK("https://edmondsonsupply.com/products/klein-tools-mm325-digital-multimeter-manual-ranging-600v", "https://edmondsonsupply.com/products/klein-tools-mm325-digital-multimeter-manual-ranging-600v")</f>
        <v>https://edmondsonsupply.com/products/klein-tools-mm325-digital-multimeter-manual-ranging-600v</v>
      </c>
      <c r="C5980" t="s">
        <v>7789</v>
      </c>
      <c r="D5980" t="s">
        <v>7978</v>
      </c>
      <c r="E5980" s="3" t="str">
        <f>HYPERLINK("https://www.amazon.com/Klein-Tools-MM325-Multimeter-Manual-Ranging/dp/B0B57L9FNL/ref=sr_1_1?keywords=Klein+Tools+MM325+Digital+Multimeter%2C+Manual-Ranging%2C+600V&amp;qid=1695174152&amp;sr=8-1", "https://www.amazon.com/Klein-Tools-MM325-Multimeter-Manual-Ranging/dp/B0B57L9FNL/ref=sr_1_1?keywords=Klein+Tools+MM325+Digital+Multimeter%2C+Manual-Ranging%2C+600V&amp;qid=1695174152&amp;sr=8-1")</f>
        <v>https://www.amazon.com/Klein-Tools-MM325-Multimeter-Manual-Ranging/dp/B0B57L9FNL/ref=sr_1_1?keywords=Klein+Tools+MM325+Digital+Multimeter%2C+Manual-Ranging%2C+600V&amp;qid=1695174152&amp;sr=8-1</v>
      </c>
      <c r="F5980" t="s">
        <v>7979</v>
      </c>
      <c r="G5980" t="e">
        <f ca="1">_xludf.IMAGE("https://edmondsonsupply.com/cdn/shop/products/mm325.jpg?v=1663612847")</f>
        <v>#NAME?</v>
      </c>
      <c r="H5980" t="e">
        <f ca="1">_xludf.IMAGE("https://m.media-amazon.com/images/I/51ZJJXbc34L._AC_UL320_.jpg")</f>
        <v>#NAME?</v>
      </c>
      <c r="I5980" t="s">
        <v>340</v>
      </c>
      <c r="J5980">
        <v>34.97</v>
      </c>
      <c r="K5980" s="4">
        <v>0</v>
      </c>
      <c r="L5980">
        <v>4.7</v>
      </c>
      <c r="M5980">
        <v>104</v>
      </c>
      <c r="O5980" t="s">
        <v>25</v>
      </c>
      <c r="P5980" t="s">
        <v>7792</v>
      </c>
      <c r="Q5980" t="s">
        <v>7793</v>
      </c>
    </row>
    <row r="5981" spans="1:17" ht="15.5" x14ac:dyDescent="0.35">
      <c r="A5981" s="3" t="str">
        <f>HYPERLINK("https://edmondsonsupply.com/collections/electricians-tools/products/diablo-tools-dou200rbd-2-universal-fit-bi-metal-oscillating-blade-for-drywall", "https://edmondsonsupply.com/collections/electricians-tools/products/diablo-tools-dou200rbd-2-universal-fit-bi-metal-oscillating-blade-for-drywall")</f>
        <v>https://edmondsonsupply.com/collections/electricians-tools/products/diablo-tools-dou200rbd-2-universal-fit-bi-metal-oscillating-blade-for-drywall</v>
      </c>
      <c r="B5981" s="3" t="str">
        <f>HYPERLINK("https://edmondsonsupply.com/products/diablo-tools-dou200rbd-2-universal-fit-bi-metal-oscillating-blade-for-drywall", "https://edmondsonsupply.com/products/diablo-tools-dou200rbd-2-universal-fit-bi-metal-oscillating-blade-for-drywall")</f>
        <v>https://edmondsonsupply.com/products/diablo-tools-dou200rbd-2-universal-fit-bi-metal-oscillating-blade-for-drywall</v>
      </c>
      <c r="C5981" t="s">
        <v>7980</v>
      </c>
      <c r="D5981" t="s">
        <v>7981</v>
      </c>
      <c r="E5981" s="3" t="str">
        <f>HYPERLINK("https://www.amazon.com/Diablo-Freud-DOU200RBD-Universal-Oscillating/dp/B089KXBGLH/ref=sr_1_1?keywords=Diablo+Tools+DOU200RBD+2%22+Universal+Fit+Bi-Metal+Oscillating+Blade+for+Drywall&amp;qid=1695174252&amp;sr=8-1", "https://www.amazon.com/Diablo-Freud-DOU200RBD-Universal-Oscillating/dp/B089KXBGLH/ref=sr_1_1?keywords=Diablo+Tools+DOU200RBD+2%22+Universal+Fit+Bi-Metal+Oscillating+Blade+for+Drywall&amp;qid=1695174252&amp;sr=8-1")</f>
        <v>https://www.amazon.com/Diablo-Freud-DOU200RBD-Universal-Oscillating/dp/B089KXBGLH/ref=sr_1_1?keywords=Diablo+Tools+DOU200RBD+2%22+Universal+Fit+Bi-Metal+Oscillating+Blade+for+Drywall&amp;qid=1695174252&amp;sr=8-1</v>
      </c>
      <c r="F5981" t="s">
        <v>7982</v>
      </c>
      <c r="G5981" t="e">
        <f ca="1">_xludf.IMAGE("https://edmondsonsupply.com/cdn/shop/files/h7z7383jucpsecoclphm.webp?v=1686149036")</f>
        <v>#NAME?</v>
      </c>
      <c r="H5981" t="e">
        <f ca="1">_xludf.IMAGE("https://m.media-amazon.com/images/I/71qOVIpQSCL._AC_UL320_.jpg")</f>
        <v>#NAME?</v>
      </c>
      <c r="I5981" t="s">
        <v>6164</v>
      </c>
      <c r="J5981">
        <v>18.97</v>
      </c>
      <c r="K5981" s="4">
        <v>0</v>
      </c>
      <c r="L5981">
        <v>4.5</v>
      </c>
      <c r="M5981">
        <v>53</v>
      </c>
      <c r="O5981" t="s">
        <v>25</v>
      </c>
      <c r="P5981" t="s">
        <v>7983</v>
      </c>
      <c r="Q5981" t="s">
        <v>7984</v>
      </c>
    </row>
    <row r="5982" spans="1:17" ht="15.5" x14ac:dyDescent="0.35">
      <c r="A5982"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5982"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5982" t="s">
        <v>919</v>
      </c>
      <c r="D5982" t="s">
        <v>930</v>
      </c>
      <c r="E5982" s="3" t="str">
        <f>HYPERLINK("https://www.amazon.com/Klein-60471-Protection-Anti-Fog-Resistant/dp/B0B69LNT2Y/ref=sr_1_3?keywords=Klein+Tools+60470+Professional+Full-Frame+Gasket+Safety+Glasses%2C+Clear+Lens&amp;qid=1695174156&amp;sr=8-3", "https://www.amazon.com/Klein-60471-Protection-Anti-Fog-Resistant/dp/B0B69LNT2Y/ref=sr_1_3?keywords=Klein+Tools+60470+Professional+Full-Frame+Gasket+Safety+Glasses%2C+Clear+Lens&amp;qid=1695174156&amp;sr=8-3")</f>
        <v>https://www.amazon.com/Klein-60471-Protection-Anti-Fog-Resistant/dp/B0B69LNT2Y/ref=sr_1_3?keywords=Klein+Tools+60470+Professional+Full-Frame+Gasket+Safety+Glasses%2C+Clear+Lens&amp;qid=1695174156&amp;sr=8-3</v>
      </c>
      <c r="F5982" t="s">
        <v>931</v>
      </c>
      <c r="G5982" t="e">
        <f ca="1">_xludf.IMAGE("https://edmondsonsupply.com/cdn/shop/products/60470.jpg?v=1663260659")</f>
        <v>#NAME?</v>
      </c>
      <c r="H5982" t="e">
        <f ca="1">_xludf.IMAGE("https://m.media-amazon.com/images/I/51z-a2tdJlL._AC_UL320_.jpg")</f>
        <v>#NAME?</v>
      </c>
      <c r="I5982" t="s">
        <v>252</v>
      </c>
      <c r="J5982">
        <v>15.99</v>
      </c>
      <c r="K5982" s="4">
        <v>0</v>
      </c>
      <c r="L5982">
        <v>4.3</v>
      </c>
      <c r="M5982">
        <v>56</v>
      </c>
      <c r="O5982" t="s">
        <v>25</v>
      </c>
      <c r="P5982" t="s">
        <v>854</v>
      </c>
      <c r="Q5982" t="s">
        <v>920</v>
      </c>
    </row>
    <row r="5983" spans="1:17" ht="15.5" x14ac:dyDescent="0.35">
      <c r="A5983" s="3" t="str">
        <f>HYPERLINK("https://edmondsonsupply.com/collections/electricians-tools/products/klein-tools-rt390", "https://edmondsonsupply.com/collections/electricians-tools/products/klein-tools-rt390")</f>
        <v>https://edmondsonsupply.com/collections/electricians-tools/products/klein-tools-rt390</v>
      </c>
      <c r="B5983" s="3" t="str">
        <f>HYPERLINK("https://edmondsonsupply.com/products/klein-tools-rt390", "https://edmondsonsupply.com/products/klein-tools-rt390")</f>
        <v>https://edmondsonsupply.com/products/klein-tools-rt390</v>
      </c>
      <c r="C5983" t="s">
        <v>6454</v>
      </c>
      <c r="D5983" t="s">
        <v>7985</v>
      </c>
      <c r="E5983" s="3" t="str">
        <f>HYPERLINK("https://www.amazon.com/Klein-Tools-RT390-Analyzer-Identifies/dp/B0BT87LJRL/ref=sr_1_1?keywords=Klein+Tools+RT390+Circuit+Analyzer&amp;qid=1695173904&amp;sr=8-1", "https://www.amazon.com/Klein-Tools-RT390-Analyzer-Identifies/dp/B0BT87LJRL/ref=sr_1_1?keywords=Klein+Tools+RT390+Circuit+Analyzer&amp;qid=1695173904&amp;sr=8-1")</f>
        <v>https://www.amazon.com/Klein-Tools-RT390-Analyzer-Identifies/dp/B0BT87LJRL/ref=sr_1_1?keywords=Klein+Tools+RT390+Circuit+Analyzer&amp;qid=1695173904&amp;sr=8-1</v>
      </c>
      <c r="F5983" t="s">
        <v>7986</v>
      </c>
      <c r="G5983" t="e">
        <f ca="1">_xludf.IMAGE("https://edmondsonsupply.com/cdn/shop/products/rt390.jpg?v=1677683463")</f>
        <v>#NAME?</v>
      </c>
      <c r="H5983" t="e">
        <f ca="1">_xludf.IMAGE("https://m.media-amazon.com/images/I/71FxkqNd7pL._AC_UL320_.jpg")</f>
        <v>#NAME?</v>
      </c>
      <c r="I5983" t="s">
        <v>4155</v>
      </c>
      <c r="J5983">
        <v>149.99</v>
      </c>
      <c r="K5983" s="4">
        <v>0</v>
      </c>
      <c r="L5983">
        <v>4.7</v>
      </c>
      <c r="M5983">
        <v>1607</v>
      </c>
      <c r="O5983" t="s">
        <v>25</v>
      </c>
      <c r="P5983" t="s">
        <v>6457</v>
      </c>
      <c r="Q5983" t="s">
        <v>6458</v>
      </c>
    </row>
    <row r="5984" spans="1:17" ht="15.5" x14ac:dyDescent="0.35">
      <c r="A5984"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5984" s="3" t="str">
        <f>HYPERLINK("https://edmondsonsupply.com/products/klein-tools-51609-3-4-inch-iron-conduit-bender-head", "https://edmondsonsupply.com/products/klein-tools-51609-3-4-inch-iron-conduit-bender-head")</f>
        <v>https://edmondsonsupply.com/products/klein-tools-51609-3-4-inch-iron-conduit-bender-head</v>
      </c>
      <c r="C5984" t="s">
        <v>6966</v>
      </c>
      <c r="D5984" t="s">
        <v>6101</v>
      </c>
      <c r="E5984" s="3" t="str">
        <f>HYPERLINK("https://www.amazon.com/Klein-Tools-51603-Conduit-Features/dp/B08W6GJTHW/ref=sr_1_9?keywords=Klein+Tools+51609+3%2F4-Inch+Iron+Conduit+Bender+Head&amp;qid=1695174173&amp;sr=8-9", "https://www.amazon.com/Klein-Tools-51603-Conduit-Features/dp/B08W6GJTHW/ref=sr_1_9?keywords=Klein+Tools+51609+3%2F4-Inch+Iron+Conduit+Bender+Head&amp;qid=1695174173&amp;sr=8-9")</f>
        <v>https://www.amazon.com/Klein-Tools-51603-Conduit-Features/dp/B08W6GJTHW/ref=sr_1_9?keywords=Klein+Tools+51609+3%2F4-Inch+Iron+Conduit+Bender+Head&amp;qid=1695174173&amp;sr=8-9</v>
      </c>
      <c r="F5984" t="s">
        <v>6102</v>
      </c>
      <c r="G5984" t="e">
        <f ca="1">_xludf.IMAGE("https://edmondsonsupply.com/cdn/shop/products/51609.jpg?v=1661867147")</f>
        <v>#NAME?</v>
      </c>
      <c r="H5984" t="e">
        <f ca="1">_xludf.IMAGE("https://m.media-amazon.com/images/I/31lf3y-9bSL._AC_UL320_.jpg")</f>
        <v>#NAME?</v>
      </c>
      <c r="I5984" t="s">
        <v>905</v>
      </c>
      <c r="J5984">
        <v>59.99</v>
      </c>
      <c r="K5984" s="4">
        <v>0</v>
      </c>
      <c r="L5984">
        <v>4.9000000000000004</v>
      </c>
      <c r="M5984">
        <v>31</v>
      </c>
      <c r="O5984" t="s">
        <v>25</v>
      </c>
      <c r="P5984" t="s">
        <v>6967</v>
      </c>
      <c r="Q5984" t="s">
        <v>6968</v>
      </c>
    </row>
    <row r="5985" spans="1:17" ht="15.5" x14ac:dyDescent="0.35">
      <c r="A5985"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5985" s="3" t="str">
        <f>HYPERLINK("https://edmondsonsupply.com/products/klein-tools-51611-1-2-inch-angle-setter%e2%84%a2", "https://edmondsonsupply.com/products/klein-tools-51611-1-2-inch-angle-setter%e2%84%a2")</f>
        <v>https://edmondsonsupply.com/products/klein-tools-51611-1-2-inch-angle-setter%e2%84%a2</v>
      </c>
      <c r="C5985" t="s">
        <v>6100</v>
      </c>
      <c r="D5985" t="s">
        <v>7987</v>
      </c>
      <c r="E5985" s="3" t="str">
        <f>HYPERLINK("https://www.amazon.com/Klein-Tools-51611-Conduit-Benders/dp/B08L5J5TRQ/ref=sr_1_1?keywords=Klein+Tools+51611+1%2F2-Inch+Angle+Setter%E2%84%A2&amp;qid=1695174192&amp;sr=8-1", "https://www.amazon.com/Klein-Tools-51611-Conduit-Benders/dp/B08L5J5TRQ/ref=sr_1_1?keywords=Klein+Tools+51611+1%2F2-Inch+Angle+Setter%E2%84%A2&amp;qid=1695174192&amp;sr=8-1")</f>
        <v>https://www.amazon.com/Klein-Tools-51611-Conduit-Benders/dp/B08L5J5TRQ/ref=sr_1_1?keywords=Klein+Tools+51611+1%2F2-Inch+Angle+Setter%E2%84%A2&amp;qid=1695174192&amp;sr=8-1</v>
      </c>
      <c r="F5985" t="s">
        <v>7988</v>
      </c>
      <c r="G5985" t="e">
        <f ca="1">_xludf.IMAGE("https://edmondsonsupply.com/cdn/shop/products/51611.jpg?v=1661976456")</f>
        <v>#NAME?</v>
      </c>
      <c r="H5985" t="e">
        <f ca="1">_xludf.IMAGE("https://m.media-amazon.com/images/I/51VnnTm4FKL._AC_UL320_.jpg")</f>
        <v>#NAME?</v>
      </c>
      <c r="I5985" t="s">
        <v>1427</v>
      </c>
      <c r="J5985">
        <v>9.9700000000000006</v>
      </c>
      <c r="K5985" s="4">
        <v>0</v>
      </c>
      <c r="L5985">
        <v>4.4000000000000004</v>
      </c>
      <c r="M5985">
        <v>68</v>
      </c>
      <c r="O5985" t="s">
        <v>25</v>
      </c>
      <c r="P5985" t="s">
        <v>6045</v>
      </c>
      <c r="Q5985" t="s">
        <v>6103</v>
      </c>
    </row>
    <row r="5986" spans="1:17" ht="15.5" x14ac:dyDescent="0.35">
      <c r="A5986" s="3" t="str">
        <f>HYPERLINK("https://edmondsonsupply.com/collections/electricians-tools/products/klein-tools-jth6e11-3-16-inch-hex-key-journeyman-t-handle-6-inch", "https://edmondsonsupply.com/collections/electricians-tools/products/klein-tools-jth6e11-3-16-inch-hex-key-journeyman-t-handle-6-inch")</f>
        <v>https://edmondsonsupply.com/collections/electricians-tools/products/klein-tools-jth6e11-3-16-inch-hex-key-journeyman-t-handle-6-inch</v>
      </c>
      <c r="B5986" s="3" t="str">
        <f>HYPERLINK("https://edmondsonsupply.com/products/klein-tools-jth6e11-3-16-inch-hex-key-journeyman-t-handle-6-inch", "https://edmondsonsupply.com/products/klein-tools-jth6e11-3-16-inch-hex-key-journeyman-t-handle-6-inch")</f>
        <v>https://edmondsonsupply.com/products/klein-tools-jth6e11-3-16-inch-hex-key-journeyman-t-handle-6-inch</v>
      </c>
      <c r="C5986" t="s">
        <v>2391</v>
      </c>
      <c r="D5986" t="s">
        <v>4554</v>
      </c>
      <c r="E5986" s="3" t="str">
        <f>HYPERLINK("https://www.amazon.com/Journeyman-T-Handle-Klein-Tools-JTH6E11/dp/B004N5WF56/ref=sr_1_1?keywords=Klein+Tools+JTH6E11+3%2F16-Inch+Hex+Key%2C+Journeyman+T-Handle%2C+6-Inch&amp;qid=1695173898&amp;sr=8-1", "https://www.amazon.com/Journeyman-T-Handle-Klein-Tools-JTH6E11/dp/B004N5WF56/ref=sr_1_1?keywords=Klein+Tools+JTH6E11+3%2F16-Inch+Hex+Key%2C+Journeyman+T-Handle%2C+6-Inch&amp;qid=1695173898&amp;sr=8-1")</f>
        <v>https://www.amazon.com/Journeyman-T-Handle-Klein-Tools-JTH6E11/dp/B004N5WF56/ref=sr_1_1?keywords=Klein+Tools+JTH6E11+3%2F16-Inch+Hex+Key%2C+Journeyman+T-Handle%2C+6-Inch&amp;qid=1695173898&amp;sr=8-1</v>
      </c>
      <c r="F5986" t="s">
        <v>4555</v>
      </c>
      <c r="G5986" t="e">
        <f ca="1">_xludf.IMAGE("https://edmondsonsupply.com/cdn/shop/products/jth6e15_0266106d-0a3b-44ba-997b-66db7749d83f.jpg?v=1587144829")</f>
        <v>#NAME?</v>
      </c>
      <c r="H5986" t="e">
        <f ca="1">_xludf.IMAGE("https://m.media-amazon.com/images/I/51Yb8h41vLL._AC_UL320_.jpg")</f>
        <v>#NAME?</v>
      </c>
      <c r="I5986" t="s">
        <v>2388</v>
      </c>
      <c r="J5986">
        <v>4.99</v>
      </c>
      <c r="K5986" s="4">
        <v>0</v>
      </c>
      <c r="L5986">
        <v>4.8</v>
      </c>
      <c r="M5986">
        <v>2479</v>
      </c>
      <c r="O5986" t="s">
        <v>25</v>
      </c>
      <c r="P5986" t="s">
        <v>2392</v>
      </c>
      <c r="Q5986" t="s">
        <v>2393</v>
      </c>
    </row>
    <row r="5987" spans="1:17" ht="15.5" x14ac:dyDescent="0.35">
      <c r="A5987" s="3" t="str">
        <f>HYPERLINK("https://edmondsonsupply.com/collections/electricians-tools/products/rack-a-tiers-40001-apprentice-wire-vortex-wire-pulling-guide", "https://edmondsonsupply.com/collections/electricians-tools/products/rack-a-tiers-40001-apprentice-wire-vortex-wire-pulling-guide")</f>
        <v>https://edmondsonsupply.com/collections/electricians-tools/products/rack-a-tiers-40001-apprentice-wire-vortex-wire-pulling-guide</v>
      </c>
      <c r="B5987" s="3" t="str">
        <f>HYPERLINK("https://edmondsonsupply.com/products/rack-a-tiers-40001-apprentice-wire-vortex-wire-pulling-guide", "https://edmondsonsupply.com/products/rack-a-tiers-40001-apprentice-wire-vortex-wire-pulling-guide")</f>
        <v>https://edmondsonsupply.com/products/rack-a-tiers-40001-apprentice-wire-vortex-wire-pulling-guide</v>
      </c>
      <c r="C5987" t="s">
        <v>7702</v>
      </c>
      <c r="D5987" t="s">
        <v>7989</v>
      </c>
      <c r="E5987" s="3" t="str">
        <f>HYPERLINK("https://www.amazon.com/Rack-Tiers-42000-Multi-Pack-Buddy/dp/B0087TBOWY/ref=sr_1_2?keywords=Rack-A-Tiers+40001+Wire+Vortex+-+Wire+Pulling+Guide&amp;qid=1695173898&amp;sr=8-2", "https://www.amazon.com/Rack-Tiers-42000-Multi-Pack-Buddy/dp/B0087TBOWY/ref=sr_1_2?keywords=Rack-A-Tiers+40001+Wire+Vortex+-+Wire+Pulling+Guide&amp;qid=1695173898&amp;sr=8-2")</f>
        <v>https://www.amazon.com/Rack-Tiers-42000-Multi-Pack-Buddy/dp/B0087TBOWY/ref=sr_1_2?keywords=Rack-A-Tiers+40001+Wire+Vortex+-+Wire+Pulling+Guide&amp;qid=1695173898&amp;sr=8-2</v>
      </c>
      <c r="F5987" t="s">
        <v>7990</v>
      </c>
      <c r="G5987" t="e">
        <f ca="1">_xludf.IMAGE("https://edmondsonsupply.com/cdn/shop/products/40001-Wire-Vortex-1-1-1.png?v=1587149010")</f>
        <v>#NAME?</v>
      </c>
      <c r="H5987" t="e">
        <f ca="1">_xludf.IMAGE("https://m.media-amazon.com/images/I/41f9XtBUJRL._AC_UL320_.jpg")</f>
        <v>#NAME?</v>
      </c>
      <c r="I5987" t="s">
        <v>577</v>
      </c>
      <c r="J5987">
        <v>19.989999999999998</v>
      </c>
      <c r="K5987" s="4">
        <v>0</v>
      </c>
      <c r="L5987">
        <v>4.5</v>
      </c>
      <c r="M5987">
        <v>143</v>
      </c>
      <c r="O5987" t="s">
        <v>25</v>
      </c>
      <c r="P5987" t="s">
        <v>7705</v>
      </c>
      <c r="Q5987" t="s">
        <v>7706</v>
      </c>
    </row>
    <row r="5988" spans="1:17" ht="15.5" x14ac:dyDescent="0.35">
      <c r="A5988" s="3" t="str">
        <f>HYPERLINK("https://edmondsonsupply.com/collections/electricians-tools/products/tajima-cnv-100lt-convoy%C2%AE-lite-ultra-lightweight-caulk-gun", "https://edmondsonsupply.com/collections/electricians-tools/products/tajima-cnv-100lt-convoy%C2%AE-lite-ultra-lightweight-caulk-gun")</f>
        <v>https://edmondsonsupply.com/collections/electricians-tools/products/tajima-cnv-100lt-convoy%C2%AE-lite-ultra-lightweight-caulk-gun</v>
      </c>
      <c r="B5988" s="3" t="str">
        <f>HYPERLINK("https://edmondsonsupply.com/products/tajima-cnv-100lt-convoy%c2%ae-lite-ultra-lightweight-caulk-gun", "https://edmondsonsupply.com/products/tajima-cnv-100lt-convoy%c2%ae-lite-ultra-lightweight-caulk-gun")</f>
        <v>https://edmondsonsupply.com/products/tajima-cnv-100lt-convoy%c2%ae-lite-ultra-lightweight-caulk-gun</v>
      </c>
      <c r="C5988" t="s">
        <v>7991</v>
      </c>
      <c r="D5988" t="s">
        <v>7992</v>
      </c>
      <c r="E5988" s="3" t="str">
        <f>HYPERLINK("https://www.amazon.com/TAJIMA-Caulk-Gun-Lightweight-Construction/dp/B001S2QO18/ref=sr_1_1?keywords=Tajima+CNV-100LT+Convoy%C2%AE+Lite%2C+Ultra-lightweight+Caulk+Gun&amp;qid=1695174191&amp;sr=8-1", "https://www.amazon.com/TAJIMA-Caulk-Gun-Lightweight-Construction/dp/B001S2QO18/ref=sr_1_1?keywords=Tajima+CNV-100LT+Convoy%C2%AE+Lite%2C+Ultra-lightweight+Caulk+Gun&amp;qid=1695174191&amp;sr=8-1")</f>
        <v>https://www.amazon.com/TAJIMA-Caulk-Gun-Lightweight-Construction/dp/B001S2QO18/ref=sr_1_1?keywords=Tajima+CNV-100LT+Convoy%C2%AE+Lite%2C+Ultra-lightweight+Caulk+Gun&amp;qid=1695174191&amp;sr=8-1</v>
      </c>
      <c r="F5988" t="s">
        <v>7993</v>
      </c>
      <c r="G5988" t="e">
        <f ca="1">_xludf.IMAGE("https://edmondsonsupply.com/cdn/shop/products/CNV-100LT_s-e1512090930712.jpg?v=1655301110")</f>
        <v>#NAME?</v>
      </c>
      <c r="H5988" t="e">
        <f ca="1">_xludf.IMAGE("https://m.media-amazon.com/images/I/61bzaT9pDwL._AC_UL320_.jpg")</f>
        <v>#NAME?</v>
      </c>
      <c r="I5988" t="s">
        <v>7043</v>
      </c>
      <c r="J5988">
        <v>20.8</v>
      </c>
      <c r="K5988" s="4">
        <v>0</v>
      </c>
      <c r="L5988">
        <v>4.4000000000000004</v>
      </c>
      <c r="M5988">
        <v>149</v>
      </c>
      <c r="O5988" t="s">
        <v>25</v>
      </c>
      <c r="P5988" t="s">
        <v>7994</v>
      </c>
      <c r="Q5988" t="s">
        <v>7995</v>
      </c>
    </row>
    <row r="5989" spans="1:17" ht="15.5" x14ac:dyDescent="0.35">
      <c r="A5989" s="3" t="str">
        <f>HYPERLINK("https://edmondsonsupply.com/collections/electricians-tools/products/klein-tools-70572-grip-it%C2%AE-ball-end-hex-set-5-key-metric-sizes", "https://edmondsonsupply.com/collections/electricians-tools/products/klein-tools-70572-grip-it%C2%AE-ball-end-hex-set-5-key-metric-sizes")</f>
        <v>https://edmondsonsupply.com/collections/electricians-tools/products/klein-tools-70572-grip-it%C2%AE-ball-end-hex-set-5-key-metric-sizes</v>
      </c>
      <c r="B5989" s="3" t="str">
        <f>HYPERLINK("https://edmondsonsupply.com/products/klein-tools-70572-grip-it%c2%ae-ball-end-hex-set-5-key-metric-sizes", "https://edmondsonsupply.com/products/klein-tools-70572-grip-it%c2%ae-ball-end-hex-set-5-key-metric-sizes")</f>
        <v>https://edmondsonsupply.com/products/klein-tools-70572-grip-it%c2%ae-ball-end-hex-set-5-key-metric-sizes</v>
      </c>
      <c r="C5989" t="s">
        <v>7794</v>
      </c>
      <c r="D5989" t="s">
        <v>7996</v>
      </c>
      <c r="E5989" s="3" t="str">
        <f>HYPERLINK("https://www.amazon.com/Grip-Five-Key-Ball-Hex/dp/B000936R78/ref=sr_1_1?keywords=Klein+Tools+70572+Grip-It%C2%AE+Ball+End+Hex+Set%2C+5-Key%2C+Metric+Sizes&amp;qid=1695174191&amp;sr=8-1", "https://www.amazon.com/Grip-Five-Key-Ball-Hex/dp/B000936R78/ref=sr_1_1?keywords=Klein+Tools+70572+Grip-It%C2%AE+Ball+End+Hex+Set%2C+5-Key%2C+Metric+Sizes&amp;qid=1695174191&amp;sr=8-1")</f>
        <v>https://www.amazon.com/Grip-Five-Key-Ball-Hex/dp/B000936R78/ref=sr_1_1?keywords=Klein+Tools+70572+Grip-It%C2%AE+Ball+End+Hex+Set%2C+5-Key%2C+Metric+Sizes&amp;qid=1695174191&amp;sr=8-1</v>
      </c>
      <c r="F5989" t="s">
        <v>7997</v>
      </c>
      <c r="G5989" t="e">
        <f ca="1">_xludf.IMAGE("https://edmondsonsupply.com/cdn/shop/products/70572.jpg?v=1661198448")</f>
        <v>#NAME?</v>
      </c>
      <c r="H5989" t="e">
        <f ca="1">_xludf.IMAGE("https://m.media-amazon.com/images/I/51dn84Vs5NL._AC_UL320_.jpg")</f>
        <v>#NAME?</v>
      </c>
      <c r="I5989" t="s">
        <v>3454</v>
      </c>
      <c r="J5989">
        <v>13.49</v>
      </c>
      <c r="K5989" s="4">
        <v>0</v>
      </c>
      <c r="L5989">
        <v>4.9000000000000004</v>
      </c>
      <c r="M5989">
        <v>15</v>
      </c>
      <c r="O5989" t="s">
        <v>25</v>
      </c>
      <c r="P5989" t="s">
        <v>7797</v>
      </c>
      <c r="Q5989" t="s">
        <v>7798</v>
      </c>
    </row>
    <row r="5990" spans="1:17" ht="15.5" x14ac:dyDescent="0.35">
      <c r="A5990" s="3" t="str">
        <f>HYPERLINK("https://edmondsonsupply.com/collections/electricians-tools/products/tajima-gp-30bw-g-plus%E2%84%A2-standard-scale-30-ft-x-1-in-steel-blade-tape-measure", "https://edmondsonsupply.com/collections/electricians-tools/products/tajima-gp-30bw-g-plus%E2%84%A2-standard-scale-30-ft-x-1-in-steel-blade-tape-measure")</f>
        <v>https://edmondsonsupply.com/collections/electricians-tools/products/tajima-gp-30bw-g-plus%E2%84%A2-standard-scale-30-ft-x-1-in-steel-blade-tape-measure</v>
      </c>
      <c r="B5990" s="3" t="str">
        <f>HYPERLINK("https://edmondsonsupply.com/products/tajima-gp-30bw-g-plus%e2%84%a2-standard-scale-30-ft-x-1-in-steel-blade-tape-measure", "https://edmondsonsupply.com/products/tajima-gp-30bw-g-plus%e2%84%a2-standard-scale-30-ft-x-1-in-steel-blade-tape-measure")</f>
        <v>https://edmondsonsupply.com/products/tajima-gp-30bw-g-plus%e2%84%a2-standard-scale-30-ft-x-1-in-steel-blade-tape-measure</v>
      </c>
      <c r="C5990" t="s">
        <v>7998</v>
      </c>
      <c r="D5990" t="s">
        <v>7999</v>
      </c>
      <c r="E5990" s="3" t="str">
        <f>HYPERLINK("https://www.amazon.com/TAJIMA-Tape-Measure-Measuring-Armored/dp/B001S2QNOQ/ref=sr_1_1?keywords=Tajima+GP-30BW+G-PLUS%E2%84%A2+Standard+Scale%2C+30+ft+x+1+in.+Steel+Blade+Tape+Measure&amp;qid=1695174189&amp;sr=8-1", "https://www.amazon.com/TAJIMA-Tape-Measure-Measuring-Armored/dp/B001S2QNOQ/ref=sr_1_1?keywords=Tajima+GP-30BW+G-PLUS%E2%84%A2+Standard+Scale%2C+30+ft+x+1+in.+Steel+Blade+Tape+Measure&amp;qid=1695174189&amp;sr=8-1")</f>
        <v>https://www.amazon.com/TAJIMA-Tape-Measure-Measuring-Armored/dp/B001S2QNOQ/ref=sr_1_1?keywords=Tajima+GP-30BW+G-PLUS%E2%84%A2+Standard+Scale%2C+30+ft+x+1+in.+Steel+Blade+Tape+Measure&amp;qid=1695174189&amp;sr=8-1</v>
      </c>
      <c r="F5990" t="s">
        <v>8000</v>
      </c>
      <c r="G5990" t="e">
        <f ca="1">_xludf.IMAGE("https://edmondsonsupply.com/cdn/shop/products/GP-30BW.jpg?v=1655821822")</f>
        <v>#NAME?</v>
      </c>
      <c r="H5990" t="e">
        <f ca="1">_xludf.IMAGE("https://m.media-amazon.com/images/I/61NWT8g7txL._AC_UL320_.jpg")</f>
        <v>#NAME?</v>
      </c>
      <c r="I5990" t="s">
        <v>8001</v>
      </c>
      <c r="J5990">
        <v>38.93</v>
      </c>
      <c r="K5990" s="4">
        <v>0</v>
      </c>
      <c r="L5990">
        <v>4.0999999999999996</v>
      </c>
      <c r="M5990">
        <v>112</v>
      </c>
      <c r="O5990" t="s">
        <v>25</v>
      </c>
      <c r="P5990" t="s">
        <v>8002</v>
      </c>
      <c r="Q5990" t="s">
        <v>8003</v>
      </c>
    </row>
    <row r="5991" spans="1:17" ht="15.5" x14ac:dyDescent="0.35">
      <c r="A5991" s="3" t="str">
        <f>HYPERLINK("https://edmondsonsupply.com/collections/electricians-tools/products/tajima-vr-102b-one-piece-retractable-utility-knife", "https://edmondsonsupply.com/collections/electricians-tools/products/tajima-vr-102b-one-piece-retractable-utility-knife")</f>
        <v>https://edmondsonsupply.com/collections/electricians-tools/products/tajima-vr-102b-one-piece-retractable-utility-knife</v>
      </c>
      <c r="B5991" s="3" t="str">
        <f>HYPERLINK("https://edmondsonsupply.com/products/tajima-vr-102b-one-piece-retractable-utility-knife", "https://edmondsonsupply.com/products/tajima-vr-102b-one-piece-retractable-utility-knife")</f>
        <v>https://edmondsonsupply.com/products/tajima-vr-102b-one-piece-retractable-utility-knife</v>
      </c>
      <c r="C5991" t="s">
        <v>8004</v>
      </c>
      <c r="D5991" t="s">
        <v>8005</v>
      </c>
      <c r="E5991" s="3" t="str">
        <f>HYPERLINK("https://www.amazon.com/Tajima-VR102-Retractable-Premium-Utility/dp/B003O684PU/ref=sr_1_1?keywords=Tajima+VR-102B+One-Piece+Retractable+Utility+Knife&amp;qid=1695174192&amp;sr=8-1", "https://www.amazon.com/Tajima-VR102-Retractable-Premium-Utility/dp/B003O684PU/ref=sr_1_1?keywords=Tajima+VR-102B+One-Piece+Retractable+Utility+Knife&amp;qid=1695174192&amp;sr=8-1")</f>
        <v>https://www.amazon.com/Tajima-VR102-Retractable-Premium-Utility/dp/B003O684PU/ref=sr_1_1?keywords=Tajima+VR-102B+One-Piece+Retractable+Utility+Knife&amp;qid=1695174192&amp;sr=8-1</v>
      </c>
      <c r="F5991" t="s">
        <v>8006</v>
      </c>
      <c r="G5991" t="e">
        <f ca="1">_xludf.IMAGE("https://edmondsonsupply.com/cdn/shop/products/VR-102B.jpg?v=1657746954")</f>
        <v>#NAME?</v>
      </c>
      <c r="H5991" t="e">
        <f ca="1">_xludf.IMAGE("https://m.media-amazon.com/images/I/71HCO5YquHL._AC_UL320_.jpg")</f>
        <v>#NAME?</v>
      </c>
      <c r="I5991" t="s">
        <v>8007</v>
      </c>
      <c r="J5991">
        <v>25.27</v>
      </c>
      <c r="K5991" s="4">
        <v>0</v>
      </c>
      <c r="L5991">
        <v>3.9</v>
      </c>
      <c r="M5991">
        <v>207</v>
      </c>
      <c r="O5991" t="s">
        <v>25</v>
      </c>
      <c r="P5991" t="s">
        <v>8008</v>
      </c>
      <c r="Q5991" t="s">
        <v>8009</v>
      </c>
    </row>
    <row r="5992" spans="1:17" ht="15.5" x14ac:dyDescent="0.35">
      <c r="A5992"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5992"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5992" t="s">
        <v>6076</v>
      </c>
      <c r="D5992" t="s">
        <v>7098</v>
      </c>
      <c r="E5992" s="3" t="str">
        <f>HYPERLINK("https://www.amazon.com/Klein-Tools-6926INS-Screwdriver-Cushion-Grip/dp/B09GL1X5SZ/ref=sr_1_1?keywords=Klein+Tools+6926INS+Slim-Tip+1000V+Insulated+Screwdriver%2C+1%2F4-Inch+Cabinet%2C+6-Inch&amp;qid=1695174185&amp;sr=8-1", "https://www.amazon.com/Klein-Tools-6926INS-Screwdriver-Cushion-Grip/dp/B09GL1X5SZ/ref=sr_1_1?keywords=Klein+Tools+6926INS+Slim-Tip+1000V+Insulated+Screwdriver%2C+1%2F4-Inch+Cabinet%2C+6-Inch&amp;qid=1695174185&amp;sr=8-1")</f>
        <v>https://www.amazon.com/Klein-Tools-6926INS-Screwdriver-Cushion-Grip/dp/B09GL1X5SZ/ref=sr_1_1?keywords=Klein+Tools+6926INS+Slim-Tip+1000V+Insulated+Screwdriver%2C+1%2F4-Inch+Cabinet%2C+6-Inch&amp;qid=1695174185&amp;sr=8-1</v>
      </c>
      <c r="F5992" t="s">
        <v>7099</v>
      </c>
      <c r="G5992" t="e">
        <f ca="1">_xludf.IMAGE("https://edmondsonsupply.com/cdn/shop/products/6926ins.jpg?v=1664803626")</f>
        <v>#NAME?</v>
      </c>
      <c r="H5992" t="e">
        <f ca="1">_xludf.IMAGE("https://m.media-amazon.com/images/I/41JbepP5oGL._AC_UL320_.jpg")</f>
        <v>#NAME?</v>
      </c>
      <c r="I5992" t="s">
        <v>276</v>
      </c>
      <c r="J5992">
        <v>14.99</v>
      </c>
      <c r="K5992" s="4">
        <v>0</v>
      </c>
      <c r="L5992">
        <v>4.8</v>
      </c>
      <c r="M5992">
        <v>85</v>
      </c>
      <c r="O5992" t="s">
        <v>25</v>
      </c>
      <c r="P5992" t="s">
        <v>277</v>
      </c>
      <c r="Q5992" t="s">
        <v>6079</v>
      </c>
    </row>
    <row r="5993" spans="1:17" ht="15.5" x14ac:dyDescent="0.35">
      <c r="A5993"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5993"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5993" t="s">
        <v>6076</v>
      </c>
      <c r="D5993" t="s">
        <v>7418</v>
      </c>
      <c r="E5993" s="3" t="str">
        <f>HYPERLINK("https://www.amazon.com/Klein-Tools-6936INS-Screwdriver-Cushion-Grip/dp/B09GPZMQ1R/ref=sr_1_4?keywords=Klein+Tools+6926INS+Slim-Tip+1000V+Insulated+Screwdriver%2C+1%2F4-Inch+Cabinet%2C+6-Inch&amp;qid=1695174185&amp;sr=8-4", "https://www.amazon.com/Klein-Tools-6936INS-Screwdriver-Cushion-Grip/dp/B09GPZMQ1R/ref=sr_1_4?keywords=Klein+Tools+6926INS+Slim-Tip+1000V+Insulated+Screwdriver%2C+1%2F4-Inch+Cabinet%2C+6-Inch&amp;qid=1695174185&amp;sr=8-4")</f>
        <v>https://www.amazon.com/Klein-Tools-6936INS-Screwdriver-Cushion-Grip/dp/B09GPZMQ1R/ref=sr_1_4?keywords=Klein+Tools+6926INS+Slim-Tip+1000V+Insulated+Screwdriver%2C+1%2F4-Inch+Cabinet%2C+6-Inch&amp;qid=1695174185&amp;sr=8-4</v>
      </c>
      <c r="F5993" t="s">
        <v>7419</v>
      </c>
      <c r="G5993" t="e">
        <f ca="1">_xludf.IMAGE("https://edmondsonsupply.com/cdn/shop/products/6926ins.jpg?v=1664803626")</f>
        <v>#NAME?</v>
      </c>
      <c r="H5993" t="e">
        <f ca="1">_xludf.IMAGE("https://m.media-amazon.com/images/I/414OB6kFvkL._AC_UL320_.jpg")</f>
        <v>#NAME?</v>
      </c>
      <c r="I5993" t="s">
        <v>276</v>
      </c>
      <c r="J5993">
        <v>14.99</v>
      </c>
      <c r="K5993" s="4">
        <v>0</v>
      </c>
      <c r="L5993">
        <v>4.9000000000000004</v>
      </c>
      <c r="M5993">
        <v>71</v>
      </c>
      <c r="O5993" t="s">
        <v>25</v>
      </c>
      <c r="P5993" t="s">
        <v>277</v>
      </c>
      <c r="Q5993" t="s">
        <v>6079</v>
      </c>
    </row>
    <row r="5994" spans="1:17" ht="15.5" x14ac:dyDescent="0.35">
      <c r="A5994"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5994"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5994" t="s">
        <v>6797</v>
      </c>
      <c r="D5994" t="s">
        <v>5015</v>
      </c>
      <c r="E5994" s="3" t="str">
        <f>HYPERLINK("https://www.amazon.com/Diagonal-Linemans-Klein-Tools-D2000-48/dp/B0000302WZ/ref=sr_1_1?keywords=Klein+Tools+D2000-48+Diagonal+Cutting+Pliers%2C+Angled+Head%2C+8-Inch&amp;qid=1695174171&amp;sr=8-1", "https://www.amazon.com/Diagonal-Linemans-Klein-Tools-D2000-48/dp/B0000302WZ/ref=sr_1_1?keywords=Klein+Tools+D2000-48+Diagonal+Cutting+Pliers%2C+Angled+Head%2C+8-Inch&amp;qid=1695174171&amp;sr=8-1")</f>
        <v>https://www.amazon.com/Diagonal-Linemans-Klein-Tools-D2000-48/dp/B0000302WZ/ref=sr_1_1?keywords=Klein+Tools+D2000-48+Diagonal+Cutting+Pliers%2C+Angled+Head%2C+8-Inch&amp;qid=1695174171&amp;sr=8-1</v>
      </c>
      <c r="F5994" t="s">
        <v>5016</v>
      </c>
      <c r="G5994" t="e">
        <f ca="1">_xludf.IMAGE("https://edmondsonsupply.com/cdn/shop/products/d200048.jpg?v=1660920588")</f>
        <v>#NAME?</v>
      </c>
      <c r="H5994" t="e">
        <f ca="1">_xludf.IMAGE("https://m.media-amazon.com/images/I/41Y+q+BsIsL._AC_UL320_.jpg")</f>
        <v>#NAME?</v>
      </c>
      <c r="I5994" t="s">
        <v>340</v>
      </c>
      <c r="J5994">
        <v>34.97</v>
      </c>
      <c r="K5994" s="4">
        <v>0</v>
      </c>
      <c r="L5994">
        <v>4.7</v>
      </c>
      <c r="M5994">
        <v>530</v>
      </c>
      <c r="O5994" t="s">
        <v>25</v>
      </c>
      <c r="P5994" t="s">
        <v>6800</v>
      </c>
      <c r="Q5994" t="s">
        <v>6801</v>
      </c>
    </row>
    <row r="5995" spans="1:17" ht="15.5" x14ac:dyDescent="0.35">
      <c r="A5995"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5995"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5995" t="s">
        <v>6076</v>
      </c>
      <c r="D5995" t="s">
        <v>7095</v>
      </c>
      <c r="E5995" s="3" t="str">
        <f>HYPERLINK("https://www.amazon.com/Klein-Tools-6986INS-Screwdriver-Cushion-Grip/dp/B09GPYQ7DM/ref=sr_1_5?keywords=Klein+Tools+6926INS+Slim-Tip+1000V+Insulated+Screwdriver%2C+1%2F4-Inch+Cabinet%2C+6-Inch&amp;qid=1695174185&amp;sr=8-5", "https://www.amazon.com/Klein-Tools-6986INS-Screwdriver-Cushion-Grip/dp/B09GPYQ7DM/ref=sr_1_5?keywords=Klein+Tools+6926INS+Slim-Tip+1000V+Insulated+Screwdriver%2C+1%2F4-Inch+Cabinet%2C+6-Inch&amp;qid=1695174185&amp;sr=8-5")</f>
        <v>https://www.amazon.com/Klein-Tools-6986INS-Screwdriver-Cushion-Grip/dp/B09GPYQ7DM/ref=sr_1_5?keywords=Klein+Tools+6926INS+Slim-Tip+1000V+Insulated+Screwdriver%2C+1%2F4-Inch+Cabinet%2C+6-Inch&amp;qid=1695174185&amp;sr=8-5</v>
      </c>
      <c r="F5995" t="s">
        <v>7096</v>
      </c>
      <c r="G5995" t="e">
        <f ca="1">_xludf.IMAGE("https://edmondsonsupply.com/cdn/shop/products/6926ins.jpg?v=1664803626")</f>
        <v>#NAME?</v>
      </c>
      <c r="H5995" t="e">
        <f ca="1">_xludf.IMAGE("https://m.media-amazon.com/images/I/41d5Ic37xZL._AC_UL320_.jpg")</f>
        <v>#NAME?</v>
      </c>
      <c r="I5995" t="s">
        <v>276</v>
      </c>
      <c r="J5995">
        <v>14.99</v>
      </c>
      <c r="K5995" s="4">
        <v>0</v>
      </c>
      <c r="L5995">
        <v>4.8</v>
      </c>
      <c r="M5995">
        <v>29</v>
      </c>
      <c r="O5995" t="s">
        <v>25</v>
      </c>
      <c r="P5995" t="s">
        <v>277</v>
      </c>
      <c r="Q5995" t="s">
        <v>6079</v>
      </c>
    </row>
    <row r="5996" spans="1:17" ht="15.5" x14ac:dyDescent="0.35">
      <c r="A5996"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5996"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5996" t="s">
        <v>6076</v>
      </c>
      <c r="D5996" t="s">
        <v>8010</v>
      </c>
      <c r="E5996" s="3" t="str">
        <f>HYPERLINK("https://www.amazon.com/Klein-Tools-6956INS-Screwdriver-Cushion-Grip/dp/B09H9GV5CP/ref=sr_1_9?keywords=Klein+Tools+6926INS+Slim-Tip+1000V+Insulated+Screwdriver%2C+1%2F4-Inch+Cabinet%2C+6-Inch&amp;qid=1695174185&amp;sr=8-9", "https://www.amazon.com/Klein-Tools-6956INS-Screwdriver-Cushion-Grip/dp/B09H9GV5CP/ref=sr_1_9?keywords=Klein+Tools+6926INS+Slim-Tip+1000V+Insulated+Screwdriver%2C+1%2F4-Inch+Cabinet%2C+6-Inch&amp;qid=1695174185&amp;sr=8-9")</f>
        <v>https://www.amazon.com/Klein-Tools-6956INS-Screwdriver-Cushion-Grip/dp/B09H9GV5CP/ref=sr_1_9?keywords=Klein+Tools+6926INS+Slim-Tip+1000V+Insulated+Screwdriver%2C+1%2F4-Inch+Cabinet%2C+6-Inch&amp;qid=1695174185&amp;sr=8-9</v>
      </c>
      <c r="F5996" t="s">
        <v>8011</v>
      </c>
      <c r="G5996" t="e">
        <f ca="1">_xludf.IMAGE("https://edmondsonsupply.com/cdn/shop/products/6926ins.jpg?v=1664803626")</f>
        <v>#NAME?</v>
      </c>
      <c r="H5996" t="e">
        <f ca="1">_xludf.IMAGE("https://m.media-amazon.com/images/I/41XYb1ZhlVL._AC_UL320_.jpg")</f>
        <v>#NAME?</v>
      </c>
      <c r="I5996" t="s">
        <v>276</v>
      </c>
      <c r="J5996">
        <v>14.99</v>
      </c>
      <c r="K5996" s="4">
        <v>0</v>
      </c>
      <c r="L5996">
        <v>4.5999999999999996</v>
      </c>
      <c r="M5996">
        <v>11</v>
      </c>
      <c r="O5996" t="s">
        <v>25</v>
      </c>
      <c r="P5996" t="s">
        <v>277</v>
      </c>
      <c r="Q5996" t="s">
        <v>6079</v>
      </c>
    </row>
    <row r="5997" spans="1:17" ht="15.5" x14ac:dyDescent="0.35">
      <c r="A5997" s="3" t="str">
        <f>HYPERLINK("https://edmondsonsupply.com/collections/electricians-tools/products/tajima-gs-16-5mbw-gs-lock%E2%84%A2-standard-metric-scale-16-ft-5-m-x-1-in-25mm-steel-blade-tape-measure", "https://edmondsonsupply.com/collections/electricians-tools/products/tajima-gs-16-5mbw-gs-lock%E2%84%A2-standard-metric-scale-16-ft-5-m-x-1-in-25mm-steel-blade-tape-measure")</f>
        <v>https://edmondsonsupply.com/collections/electricians-tools/products/tajima-gs-16-5mbw-gs-lock%E2%84%A2-standard-metric-scale-16-ft-5-m-x-1-in-25mm-steel-blade-tape-measure</v>
      </c>
      <c r="B5997" s="3" t="str">
        <f>HYPERLINK("https://edmondsonsupply.com/products/tajima-gs-16-5mbw-gs-lock%e2%84%a2-standard-metric-scale-16-ft-5-m-x-1-in-25mm-steel-blade-tape-measure", "https://edmondsonsupply.com/products/tajima-gs-16-5mbw-gs-lock%e2%84%a2-standard-metric-scale-16-ft-5-m-x-1-in-25mm-steel-blade-tape-measure")</f>
        <v>https://edmondsonsupply.com/products/tajima-gs-16-5mbw-gs-lock%e2%84%a2-standard-metric-scale-16-ft-5-m-x-1-in-25mm-steel-blade-tape-measure</v>
      </c>
      <c r="C5997" t="s">
        <v>8012</v>
      </c>
      <c r="D5997" t="s">
        <v>8013</v>
      </c>
      <c r="E5997" s="3" t="str">
        <f>HYPERLINK("https://www.amazon.com/TAJIMA-GS-16-5MBW-Standard-Metric/dp/B07KK4HWTX/ref=sr_1_2?keywords=Tajima+GS-16%2F5MBW+GS+Lock%E2%84%A2+Standard+%26+Metric+Scale%2C+16+ft%2F+5+m+x+1+in.%2F25mm+Steel+Blade+Tape+Measure&amp;qid=1695174194&amp;sr=8-2", "https://www.amazon.com/TAJIMA-GS-16-5MBW-Standard-Metric/dp/B07KK4HWTX/ref=sr_1_2?keywords=Tajima+GS-16%2F5MBW+GS+Lock%E2%84%A2+Standard+%26+Metric+Scale%2C+16+ft%2F+5+m+x+1+in.%2F25mm+Steel+Blade+Tape+Measure&amp;qid=1695174194&amp;sr=8-2")</f>
        <v>https://www.amazon.com/TAJIMA-GS-16-5MBW-Standard-Metric/dp/B07KK4HWTX/ref=sr_1_2?keywords=Tajima+GS-16%2F5MBW+GS+Lock%E2%84%A2+Standard+%26+Metric+Scale%2C+16+ft%2F+5+m+x+1+in.%2F25mm+Steel+Blade+Tape+Measure&amp;qid=1695174194&amp;sr=8-2</v>
      </c>
      <c r="F5997" t="s">
        <v>8014</v>
      </c>
      <c r="G5997" t="e">
        <f ca="1">_xludf.IMAGE("https://edmondsonsupply.com/cdn/shop/products/GS16-5MBW.jpg?v=1655829307")</f>
        <v>#NAME?</v>
      </c>
      <c r="H5997" t="e">
        <f ca="1">_xludf.IMAGE("https://m.media-amazon.com/images/I/51vAY18AaEL._AC_UL320_.jpg")</f>
        <v>#NAME?</v>
      </c>
      <c r="I5997" t="s">
        <v>8015</v>
      </c>
      <c r="J5997">
        <v>27.92</v>
      </c>
      <c r="K5997" s="4">
        <v>0</v>
      </c>
      <c r="L5997">
        <v>4</v>
      </c>
      <c r="M5997">
        <v>46</v>
      </c>
      <c r="O5997" t="s">
        <v>25</v>
      </c>
      <c r="P5997" t="s">
        <v>8016</v>
      </c>
      <c r="Q5997" t="s">
        <v>8017</v>
      </c>
    </row>
    <row r="5998" spans="1:17" ht="15.5" x14ac:dyDescent="0.35">
      <c r="A5998" s="3" t="str">
        <f>HYPERLINK("https://edmondsonsupply.com/collections/electricians-tools/products/klein-tools-j63225n-journeyman%E2%84%A2-high-leverage-cable-cutter-with-stripping", "https://edmondsonsupply.com/collections/electricians-tools/products/klein-tools-j63225n-journeyman%E2%84%A2-high-leverage-cable-cutter-with-stripping")</f>
        <v>https://edmondsonsupply.com/collections/electricians-tools/products/klein-tools-j63225n-journeyman%E2%84%A2-high-leverage-cable-cutter-with-stripping</v>
      </c>
      <c r="B5998" s="3" t="str">
        <f>HYPERLINK("https://edmondsonsupply.com/products/klein-tools-j63225n-journeyman%e2%84%a2-high-leverage-cable-cutter-with-stripping", "https://edmondsonsupply.com/products/klein-tools-j63225n-journeyman%e2%84%a2-high-leverage-cable-cutter-with-stripping")</f>
        <v>https://edmondsonsupply.com/products/klein-tools-j63225n-journeyman%e2%84%a2-high-leverage-cable-cutter-with-stripping</v>
      </c>
      <c r="C5998" t="s">
        <v>8018</v>
      </c>
      <c r="D5998" t="s">
        <v>7773</v>
      </c>
      <c r="E5998" s="3" t="str">
        <f>HYPERLINK("https://www.amazon.com/High-Leverage-Communications-Klein-Tools-J63225N/dp/B08R8SNQCL/ref=sr_1_1?keywords=Klein+Tools+J63225N+Journeyman%E2%84%A2+High+Leverage+Cable+Cutter+with+Stripping&amp;qid=1695174207&amp;sr=8-1", "https://www.amazon.com/High-Leverage-Communications-Klein-Tools-J63225N/dp/B08R8SNQCL/ref=sr_1_1?keywords=Klein+Tools+J63225N+Journeyman%E2%84%A2+High+Leverage+Cable+Cutter+with+Stripping&amp;qid=1695174207&amp;sr=8-1")</f>
        <v>https://www.amazon.com/High-Leverage-Communications-Klein-Tools-J63225N/dp/B08R8SNQCL/ref=sr_1_1?keywords=Klein+Tools+J63225N+Journeyman%E2%84%A2+High+Leverage+Cable+Cutter+with+Stripping&amp;qid=1695174207&amp;sr=8-1</v>
      </c>
      <c r="F5998" t="s">
        <v>7774</v>
      </c>
      <c r="G5998" t="e">
        <f ca="1">_xludf.IMAGE("https://edmondsonsupply.com/cdn/shop/products/j63225n_b.jpg?v=1659387149")</f>
        <v>#NAME?</v>
      </c>
      <c r="H5998" t="e">
        <f ca="1">_xludf.IMAGE("https://m.media-amazon.com/images/I/61+P5wW4RkL._AC_UL320_.jpg")</f>
        <v>#NAME?</v>
      </c>
      <c r="I5998" t="s">
        <v>8019</v>
      </c>
      <c r="J5998">
        <v>41.97</v>
      </c>
      <c r="K5998" s="4">
        <v>0</v>
      </c>
      <c r="L5998">
        <v>4.7</v>
      </c>
      <c r="M5998">
        <v>428</v>
      </c>
      <c r="O5998" t="s">
        <v>25</v>
      </c>
      <c r="P5998" t="s">
        <v>8020</v>
      </c>
      <c r="Q5998" t="s">
        <v>8021</v>
      </c>
    </row>
    <row r="5999" spans="1:17" ht="15.5" x14ac:dyDescent="0.35">
      <c r="A5999"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5999" s="3" t="str">
        <f>HYPERLINK("https://edmondsonsupply.com/products/klein-tools-32535-10-in-1-10-fold-screwdriver-nut-driver", "https://edmondsonsupply.com/products/klein-tools-32535-10-in-1-10-fold-screwdriver-nut-driver")</f>
        <v>https://edmondsonsupply.com/products/klein-tools-32535-10-in-1-10-fold-screwdriver-nut-driver</v>
      </c>
      <c r="C5999" t="s">
        <v>4368</v>
      </c>
      <c r="D5999" t="s">
        <v>4368</v>
      </c>
      <c r="E5999" s="3" t="str">
        <f>HYPERLINK("https://www.amazon.com/Klein-Tools-32535-10-Fold-Screwdriver/dp/B0031BX54I/ref=sr_1_1?keywords=Klein+Tools+32535+10-in-1+10+Fold+Screwdriver+%2F+Nut+Driver&amp;qid=1695173914&amp;sr=8-1", "https://www.amazon.com/Klein-Tools-32535-10-Fold-Screwdriver/dp/B0031BX54I/ref=sr_1_1?keywords=Klein+Tools+32535+10-in-1+10+Fold+Screwdriver+%2F+Nut+Driver&amp;qid=1695173914&amp;sr=8-1")</f>
        <v>https://www.amazon.com/Klein-Tools-32535-10-Fold-Screwdriver/dp/B0031BX54I/ref=sr_1_1?keywords=Klein+Tools+32535+10-in-1+10+Fold+Screwdriver+%2F+Nut+Driver&amp;qid=1695173914&amp;sr=8-1</v>
      </c>
      <c r="F5999" t="s">
        <v>4780</v>
      </c>
      <c r="G5999" t="e">
        <f ca="1">_xludf.IMAGE("https://edmondsonsupply.com/cdn/shop/products/32535.jpg?v=1633030894")</f>
        <v>#NAME?</v>
      </c>
      <c r="H5999" t="e">
        <f ca="1">_xludf.IMAGE("https://m.media-amazon.com/images/I/51e7QvMcFLL._AC_UL320_.jpg")</f>
        <v>#NAME?</v>
      </c>
      <c r="I5999" t="s">
        <v>26</v>
      </c>
      <c r="J5999">
        <v>29.99</v>
      </c>
      <c r="K5999" s="4">
        <v>0</v>
      </c>
      <c r="L5999">
        <v>4.5999999999999996</v>
      </c>
      <c r="M5999">
        <v>872</v>
      </c>
      <c r="O5999" t="s">
        <v>25</v>
      </c>
      <c r="P5999" t="s">
        <v>4371</v>
      </c>
      <c r="Q5999" t="s">
        <v>4372</v>
      </c>
    </row>
    <row r="6000" spans="1:17" ht="15.5" x14ac:dyDescent="0.35">
      <c r="A6000"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6000"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6000" t="s">
        <v>8022</v>
      </c>
      <c r="D6000" t="s">
        <v>8023</v>
      </c>
      <c r="E6000" s="3" t="str">
        <f>HYPERLINK("https://www.amazon.com/Klein-Tools-32510-Screwdriver-Tamperproof/dp/B0018BS7GY/ref=sr_1_1?keywords=Klein+Tools+32510+Magnetic+Screwdriver+with+32+Tamperproof+Bits&amp;qid=1695174211&amp;sr=8-1", "https://www.amazon.com/Klein-Tools-32510-Screwdriver-Tamperproof/dp/B0018BS7GY/ref=sr_1_1?keywords=Klein+Tools+32510+Magnetic+Screwdriver+with+32+Tamperproof+Bits&amp;qid=1695174211&amp;sr=8-1")</f>
        <v>https://www.amazon.com/Klein-Tools-32510-Screwdriver-Tamperproof/dp/B0018BS7GY/ref=sr_1_1?keywords=Klein+Tools+32510+Magnetic+Screwdriver+with+32+Tamperproof+Bits&amp;qid=1695174211&amp;sr=8-1</v>
      </c>
      <c r="F6000" t="s">
        <v>8024</v>
      </c>
      <c r="G6000" t="e">
        <f ca="1">_xludf.IMAGE("https://edmondsonsupply.com/cdn/shop/products/32510_alt2.jpg?v=1653267434")</f>
        <v>#NAME?</v>
      </c>
      <c r="H6000" t="e">
        <f ca="1">_xludf.IMAGE("https://m.media-amazon.com/images/I/51bvmlQNvEL._AC_UL320_.jpg")</f>
        <v>#NAME?</v>
      </c>
      <c r="I6000" t="s">
        <v>824</v>
      </c>
      <c r="J6000">
        <v>29.97</v>
      </c>
      <c r="K6000" s="4">
        <v>0</v>
      </c>
      <c r="L6000">
        <v>4.8</v>
      </c>
      <c r="M6000">
        <v>1333</v>
      </c>
      <c r="O6000" t="s">
        <v>25</v>
      </c>
      <c r="P6000" t="s">
        <v>8025</v>
      </c>
      <c r="Q6000" t="s">
        <v>8026</v>
      </c>
    </row>
    <row r="6001" spans="1:17" ht="15.5" x14ac:dyDescent="0.35">
      <c r="A6001" s="3" t="str">
        <f>HYPERLINK("https://edmondsonsupply.com/collections/electricians-tools/products/klein-tools-50550-glow-in-the-dark-fish-tape-20-foot", "https://edmondsonsupply.com/collections/electricians-tools/products/klein-tools-50550-glow-in-the-dark-fish-tape-20-foot")</f>
        <v>https://edmondsonsupply.com/collections/electricians-tools/products/klein-tools-50550-glow-in-the-dark-fish-tape-20-foot</v>
      </c>
      <c r="B6001" s="3" t="str">
        <f>HYPERLINK("https://edmondsonsupply.com/products/klein-tools-50550-glow-in-the-dark-fish-tape-20-foot", "https://edmondsonsupply.com/products/klein-tools-50550-glow-in-the-dark-fish-tape-20-foot")</f>
        <v>https://edmondsonsupply.com/products/klein-tools-50550-glow-in-the-dark-fish-tape-20-foot</v>
      </c>
      <c r="C6001" t="s">
        <v>7183</v>
      </c>
      <c r="D6001" t="s">
        <v>8027</v>
      </c>
      <c r="E6001" s="3" t="str">
        <f>HYPERLINK("https://www.amazon.com/Klein-Tools-5055020-Foot-Stainless-Steel-50550/dp/B08N5FML65/ref=sr_1_1?keywords=Klein+Tools+50550+Glow+in+the+Dark+Fish+Tape%2C+20-Foot&amp;qid=1695174211&amp;sr=8-1", "https://www.amazon.com/Klein-Tools-5055020-Foot-Stainless-Steel-50550/dp/B08N5FML65/ref=sr_1_1?keywords=Klein+Tools+50550+Glow+in+the+Dark+Fish+Tape%2C+20-Foot&amp;qid=1695174211&amp;sr=8-1")</f>
        <v>https://www.amazon.com/Klein-Tools-5055020-Foot-Stainless-Steel-50550/dp/B08N5FML65/ref=sr_1_1?keywords=Klein+Tools+50550+Glow+in+the+Dark+Fish+Tape%2C+20-Foot&amp;qid=1695174211&amp;sr=8-1</v>
      </c>
      <c r="F6001" t="s">
        <v>8028</v>
      </c>
      <c r="G6001" t="e">
        <f ca="1">_xludf.IMAGE("https://edmondsonsupply.com/cdn/shop/products/50550_c.jpg?v=1650066147")</f>
        <v>#NAME?</v>
      </c>
      <c r="H6001" t="e">
        <f ca="1">_xludf.IMAGE("https://m.media-amazon.com/images/I/51r5uoGNk9L._AC_UL320_.jpg")</f>
        <v>#NAME?</v>
      </c>
      <c r="I6001" t="s">
        <v>340</v>
      </c>
      <c r="J6001">
        <v>34.97</v>
      </c>
      <c r="K6001" s="4">
        <v>0</v>
      </c>
      <c r="L6001">
        <v>4.5</v>
      </c>
      <c r="M6001">
        <v>445</v>
      </c>
      <c r="O6001" t="s">
        <v>25</v>
      </c>
      <c r="P6001" t="s">
        <v>7184</v>
      </c>
      <c r="Q6001" t="s">
        <v>7185</v>
      </c>
    </row>
    <row r="6002" spans="1:17" ht="15.5" x14ac:dyDescent="0.35">
      <c r="A6002"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6002" s="3" t="str">
        <f>HYPERLINK("https://edmondsonsupply.com/products/klein-tools-vdv500-123-probe-pro-tracing-probe", "https://edmondsonsupply.com/products/klein-tools-vdv500-123-probe-pro-tracing-probe")</f>
        <v>https://edmondsonsupply.com/products/klein-tools-vdv500-123-probe-pro-tracing-probe</v>
      </c>
      <c r="C6002" t="s">
        <v>6065</v>
      </c>
      <c r="D6002" t="s">
        <v>8029</v>
      </c>
      <c r="E6002" s="3" t="str">
        <f>HYPERLINK("https://www.amazon.com/Klein-Tools-VDV500-123-Replaceable-Non-Metallic/dp/B07ZWCM8L5/ref=sr_1_1?keywords=Klein+Tools+VDV500-123+Probe-PRO+Tracing+Probe&amp;qid=1695173898&amp;sr=8-1", "https://www.amazon.com/Klein-Tools-VDV500-123-Replaceable-Non-Metallic/dp/B07ZWCM8L5/ref=sr_1_1?keywords=Klein+Tools+VDV500-123+Probe-PRO+Tracing+Probe&amp;qid=1695173898&amp;sr=8-1")</f>
        <v>https://www.amazon.com/Klein-Tools-VDV500-123-Replaceable-Non-Metallic/dp/B07ZWCM8L5/ref=sr_1_1?keywords=Klein+Tools+VDV500-123+Probe-PRO+Tracing+Probe&amp;qid=1695173898&amp;sr=8-1</v>
      </c>
      <c r="F6002" t="s">
        <v>8030</v>
      </c>
      <c r="G6002" t="e">
        <f ca="1">_xludf.IMAGE("https://edmondsonsupply.com/cdn/shop/products/vdv500123.jpg?v=1587142783")</f>
        <v>#NAME?</v>
      </c>
      <c r="H6002" t="e">
        <f ca="1">_xludf.IMAGE("https://m.media-amazon.com/images/I/51ObUlpe-TL._AC_UY218_.jpg")</f>
        <v>#NAME?</v>
      </c>
      <c r="I6002" t="s">
        <v>946</v>
      </c>
      <c r="J6002">
        <v>44.99</v>
      </c>
      <c r="K6002" s="4">
        <v>0</v>
      </c>
      <c r="L6002">
        <v>4.7</v>
      </c>
      <c r="M6002">
        <v>695</v>
      </c>
      <c r="O6002" t="s">
        <v>25</v>
      </c>
      <c r="P6002" t="s">
        <v>6068</v>
      </c>
      <c r="Q6002" t="s">
        <v>6069</v>
      </c>
    </row>
    <row r="6003" spans="1:17" ht="15.5" x14ac:dyDescent="0.35">
      <c r="A6003" s="3" t="str">
        <f>HYPERLINK("https://edmondsonsupply.com/collections/electricians-tools/products/klein-tools-66031-3-in-1-slotted-impact-socket-12-point-3-4-and-9-16-inch", "https://edmondsonsupply.com/collections/electricians-tools/products/klein-tools-66031-3-in-1-slotted-impact-socket-12-point-3-4-and-9-16-inch")</f>
        <v>https://edmondsonsupply.com/collections/electricians-tools/products/klein-tools-66031-3-in-1-slotted-impact-socket-12-point-3-4-and-9-16-inch</v>
      </c>
      <c r="B6003" s="3" t="str">
        <f>HYPERLINK("https://edmondsonsupply.com/products/klein-tools-66031-3-in-1-slotted-impact-socket-12-point-3-4-and-9-16-inch", "https://edmondsonsupply.com/products/klein-tools-66031-3-in-1-slotted-impact-socket-12-point-3-4-and-9-16-inch")</f>
        <v>https://edmondsonsupply.com/products/klein-tools-66031-3-in-1-slotted-impact-socket-12-point-3-4-and-9-16-inch</v>
      </c>
      <c r="C6003" t="s">
        <v>8031</v>
      </c>
      <c r="D6003" t="s">
        <v>6126</v>
      </c>
      <c r="E6003" s="3" t="str">
        <f>HYPERLINK("https://www.amazon.com/Klein-Tools-66031-Slotted-12-Point/dp/B08R6FL5P8/ref=sr_1_1?keywords=Klein+Tools+66031+3-in-1+Slotted+Impact+Socket%2C+12-Point%2C+3%2F4+and+9%2F16-Inch&amp;qid=1695174174&amp;sr=8-1", "https://www.amazon.com/Klein-Tools-66031-Slotted-12-Point/dp/B08R6FL5P8/ref=sr_1_1?keywords=Klein+Tools+66031+3-in-1+Slotted+Impact+Socket%2C+12-Point%2C+3%2F4+and+9%2F16-Inch&amp;qid=1695174174&amp;sr=8-1")</f>
        <v>https://www.amazon.com/Klein-Tools-66031-Slotted-12-Point/dp/B08R6FL5P8/ref=sr_1_1?keywords=Klein+Tools+66031+3-in-1+Slotted+Impact+Socket%2C+12-Point%2C+3%2F4+and+9%2F16-Inch&amp;qid=1695174174&amp;sr=8-1</v>
      </c>
      <c r="F6003" t="s">
        <v>6127</v>
      </c>
      <c r="G6003" t="e">
        <f ca="1">_xludf.IMAGE("https://edmondsonsupply.com/cdn/shop/products/66031.jpg?v=1659389111")</f>
        <v>#NAME?</v>
      </c>
      <c r="H6003" t="e">
        <f ca="1">_xludf.IMAGE("https://m.media-amazon.com/images/I/51mIf57QKuL._AC_UL320_.jpg")</f>
        <v>#NAME?</v>
      </c>
      <c r="I6003" t="s">
        <v>1931</v>
      </c>
      <c r="J6003">
        <v>49.99</v>
      </c>
      <c r="K6003" s="4">
        <v>0</v>
      </c>
      <c r="L6003">
        <v>4.8</v>
      </c>
      <c r="M6003">
        <v>662</v>
      </c>
      <c r="O6003" t="s">
        <v>25</v>
      </c>
      <c r="P6003" t="s">
        <v>8032</v>
      </c>
      <c r="Q6003" t="s">
        <v>8033</v>
      </c>
    </row>
    <row r="6004" spans="1:17" ht="15.5" x14ac:dyDescent="0.35">
      <c r="A6004"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6004"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6004" t="s">
        <v>7089</v>
      </c>
      <c r="D6004" t="s">
        <v>3112</v>
      </c>
      <c r="E6004" s="3" t="str">
        <f>HYPERLINK("https://www.amazon.com/CHANNELLOCK-440X-12-inch-SPEEDGRIP-Straight/dp/B07R11V4X3/ref=sr_1_1?keywords=Channellock+440X+12-Inch+SPEEDGRIP%E2%84%A2+Straight+Jaw+Tongue+%26+Groove+Pliers&amp;qid=1695174216&amp;sr=8-1", "https://www.amazon.com/CHANNELLOCK-440X-12-inch-SPEEDGRIP-Straight/dp/B07R11V4X3/ref=sr_1_1?keywords=Channellock+440X+12-Inch+SPEEDGRIP%E2%84%A2+Straight+Jaw+Tongue+%26+Groove+Pliers&amp;qid=1695174216&amp;sr=8-1")</f>
        <v>https://www.amazon.com/CHANNELLOCK-440X-12-inch-SPEEDGRIP-Straight/dp/B07R11V4X3/ref=sr_1_1?keywords=Channellock+440X+12-Inch+SPEEDGRIP%E2%84%A2+Straight+Jaw+Tongue+%26+Groove+Pliers&amp;qid=1695174216&amp;sr=8-1</v>
      </c>
      <c r="F6004" t="s">
        <v>3113</v>
      </c>
      <c r="G6004" t="e">
        <f ca="1">_xludf.IMAGE("https://edmondsonsupply.com/cdn/shop/products/440X.jpg?v=1647104734")</f>
        <v>#NAME?</v>
      </c>
      <c r="H6004" t="e">
        <f ca="1">_xludf.IMAGE("https://m.media-amazon.com/images/I/61zy7hHkDbL._AC_UL320_.jpg")</f>
        <v>#NAME?</v>
      </c>
      <c r="I6004" t="s">
        <v>122</v>
      </c>
      <c r="J6004">
        <v>32.950000000000003</v>
      </c>
      <c r="K6004" s="4">
        <v>0</v>
      </c>
      <c r="L6004">
        <v>4.4000000000000004</v>
      </c>
      <c r="M6004">
        <v>578</v>
      </c>
      <c r="O6004" t="s">
        <v>25</v>
      </c>
      <c r="P6004" t="s">
        <v>7092</v>
      </c>
      <c r="Q6004" t="s">
        <v>7093</v>
      </c>
    </row>
    <row r="6005" spans="1:17" ht="15.5" x14ac:dyDescent="0.35">
      <c r="A6005" s="3" t="str">
        <f>HYPERLINK("https://edmondsonsupply.com/collections/electricians-tools/products/tajima-gs-25bw-gs-lock%E2%84%A2-standard-scale-25-ft-x-1-in-steel-blade-tape-measure", "https://edmondsonsupply.com/collections/electricians-tools/products/tajima-gs-25bw-gs-lock%E2%84%A2-standard-scale-25-ft-x-1-in-steel-blade-tape-measure")</f>
        <v>https://edmondsonsupply.com/collections/electricians-tools/products/tajima-gs-25bw-gs-lock%E2%84%A2-standard-scale-25-ft-x-1-in-steel-blade-tape-measure</v>
      </c>
      <c r="B6005" s="3" t="str">
        <f>HYPERLINK("https://edmondsonsupply.com/products/tajima-gs-25bw-gs-lock%e2%84%a2-standard-scale-25-ft-x-1-in-steel-blade-tape-measure", "https://edmondsonsupply.com/products/tajima-gs-25bw-gs-lock%e2%84%a2-standard-scale-25-ft-x-1-in-steel-blade-tape-measure")</f>
        <v>https://edmondsonsupply.com/products/tajima-gs-25bw-gs-lock%e2%84%a2-standard-scale-25-ft-x-1-in-steel-blade-tape-measure</v>
      </c>
      <c r="C6005" t="s">
        <v>7634</v>
      </c>
      <c r="D6005" t="s">
        <v>8034</v>
      </c>
      <c r="E6005" s="3" t="str">
        <f>HYPERLINK("https://www.amazon.com/TAJIMA-GS25-7-5MBW-Standard-Metric/dp/B07KJYHXG2/ref=sr_1_1?keywords=Tajima+GS-25BW+GS+Lock%E2%84%A2+Standard+Scale%2C+25+ft+x+1-1%2F16+in.+Steel+Blade+Tape+Measure&amp;qid=1695174184&amp;sr=8-1", "https://www.amazon.com/TAJIMA-GS25-7-5MBW-Standard-Metric/dp/B07KJYHXG2/ref=sr_1_1?keywords=Tajima+GS-25BW+GS+Lock%E2%84%A2+Standard+Scale%2C+25+ft+x+1-1%2F16+in.+Steel+Blade+Tape+Measure&amp;qid=1695174184&amp;sr=8-1")</f>
        <v>https://www.amazon.com/TAJIMA-GS25-7-5MBW-Standard-Metric/dp/B07KJYHXG2/ref=sr_1_1?keywords=Tajima+GS-25BW+GS+Lock%E2%84%A2+Standard+Scale%2C+25+ft+x+1-1%2F16+in.+Steel+Blade+Tape+Measure&amp;qid=1695174184&amp;sr=8-1</v>
      </c>
      <c r="F6005" t="s">
        <v>8035</v>
      </c>
      <c r="G6005" t="e">
        <f ca="1">_xludf.IMAGE("https://edmondsonsupply.com/cdn/shop/products/GS25BW.jpg?v=1655828685")</f>
        <v>#NAME?</v>
      </c>
      <c r="H6005" t="e">
        <f ca="1">_xludf.IMAGE("https://m.media-amazon.com/images/I/51PaItjwi6L._AC_UL320_.jpg")</f>
        <v>#NAME?</v>
      </c>
      <c r="I6005" t="s">
        <v>7637</v>
      </c>
      <c r="J6005">
        <v>40.08</v>
      </c>
      <c r="K6005" s="4">
        <v>0</v>
      </c>
      <c r="L6005">
        <v>4</v>
      </c>
      <c r="M6005">
        <v>46</v>
      </c>
      <c r="O6005" t="s">
        <v>25</v>
      </c>
      <c r="P6005" t="s">
        <v>7638</v>
      </c>
      <c r="Q6005" t="s">
        <v>7639</v>
      </c>
    </row>
    <row r="6006" spans="1:17" ht="15.5" x14ac:dyDescent="0.35">
      <c r="A6006"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6006" s="3" t="str">
        <f>HYPERLINK("https://edmondsonsupply.com/products/klein-tools-et600-insulation-resistance-tester", "https://edmondsonsupply.com/products/klein-tools-et600-insulation-resistance-tester")</f>
        <v>https://edmondsonsupply.com/products/klein-tools-et600-insulation-resistance-tester</v>
      </c>
      <c r="C6006" t="s">
        <v>6505</v>
      </c>
      <c r="D6006" t="s">
        <v>8036</v>
      </c>
      <c r="E6006" s="3" t="str">
        <f>HYPERLINK("https://www.amazon.com/Klein-Tools-ET600-Megohmmeter-Insulation/dp/B07ZZX5TK8/ref=sr_1_1?keywords=Klein+Tools+ET600+Insulation+Resistance+Tester&amp;qid=1695173907&amp;sr=8-1", "https://www.amazon.com/Klein-Tools-ET600-Megohmmeter-Insulation/dp/B07ZZX5TK8/ref=sr_1_1?keywords=Klein+Tools+ET600+Insulation+Resistance+Tester&amp;qid=1695173907&amp;sr=8-1")</f>
        <v>https://www.amazon.com/Klein-Tools-ET600-Megohmmeter-Insulation/dp/B07ZZX5TK8/ref=sr_1_1?keywords=Klein+Tools+ET600+Insulation+Resistance+Tester&amp;qid=1695173907&amp;sr=8-1</v>
      </c>
      <c r="F6006" t="s">
        <v>8037</v>
      </c>
      <c r="G6006" t="e">
        <f ca="1">_xludf.IMAGE("https://edmondsonsupply.com/cdn/shop/products/et600_accessories_b.jpg?v=1677685603")</f>
        <v>#NAME?</v>
      </c>
      <c r="H6006" t="e">
        <f ca="1">_xludf.IMAGE("https://m.media-amazon.com/images/I/61NxYsCuofL._AC_UY218_.jpg")</f>
        <v>#NAME?</v>
      </c>
      <c r="I6006" t="s">
        <v>6506</v>
      </c>
      <c r="J6006">
        <v>164.99</v>
      </c>
      <c r="K6006" s="4">
        <v>0</v>
      </c>
      <c r="L6006">
        <v>4.7</v>
      </c>
      <c r="M6006">
        <v>1008</v>
      </c>
      <c r="O6006" t="s">
        <v>25</v>
      </c>
      <c r="P6006" t="s">
        <v>6507</v>
      </c>
      <c r="Q6006" t="s">
        <v>6508</v>
      </c>
    </row>
    <row r="6007" spans="1:17" ht="15.5" x14ac:dyDescent="0.35">
      <c r="A6007" s="3" t="str">
        <f>HYPERLINK("https://edmondsonsupply.com/collections/electricians-tools/products/klein-tools-60442-reusable-face-mask-with-replaceable-filters", "https://edmondsonsupply.com/collections/electricians-tools/products/klein-tools-60442-reusable-face-mask-with-replaceable-filters")</f>
        <v>https://edmondsonsupply.com/collections/electricians-tools/products/klein-tools-60442-reusable-face-mask-with-replaceable-filters</v>
      </c>
      <c r="B6007" s="3" t="str">
        <f>HYPERLINK("https://edmondsonsupply.com/products/klein-tools-60442-reusable-face-mask-with-replaceable-filters", "https://edmondsonsupply.com/products/klein-tools-60442-reusable-face-mask-with-replaceable-filters")</f>
        <v>https://edmondsonsupply.com/products/klein-tools-60442-reusable-face-mask-with-replaceable-filters</v>
      </c>
      <c r="C6007" t="s">
        <v>1161</v>
      </c>
      <c r="D6007" t="s">
        <v>1162</v>
      </c>
      <c r="E6007" s="3" t="str">
        <f>HYPERLINK("https://www.amazon.com/Klein-Tools-60442-Replaceable-Adjustable/dp/B08P3TF8LJ/ref=sr_1_5?keywords=Klein+Tools+60442+Reusable+Face+Mask+with+Replaceable+Filters&amp;qid=1695174179&amp;sr=8-5", "https://www.amazon.com/Klein-Tools-60442-Replaceable-Adjustable/dp/B08P3TF8LJ/ref=sr_1_5?keywords=Klein+Tools+60442+Reusable+Face+Mask+with+Replaceable+Filters&amp;qid=1695174179&amp;sr=8-5")</f>
        <v>https://www.amazon.com/Klein-Tools-60442-Replaceable-Adjustable/dp/B08P3TF8LJ/ref=sr_1_5?keywords=Klein+Tools+60442+Reusable+Face+Mask+with+Replaceable+Filters&amp;qid=1695174179&amp;sr=8-5</v>
      </c>
      <c r="F6007" t="s">
        <v>1163</v>
      </c>
      <c r="G6007" t="e">
        <f ca="1">_xludf.IMAGE("https://edmondsonsupply.com/cdn/shop/products/60442.jpg?v=1659117463")</f>
        <v>#NAME?</v>
      </c>
      <c r="H6007" t="e">
        <f ca="1">_xludf.IMAGE("https://m.media-amazon.com/images/I/71k4fEShtZL._AC_UL320_.jpg")</f>
        <v>#NAME?</v>
      </c>
      <c r="I6007" t="s">
        <v>276</v>
      </c>
      <c r="J6007">
        <v>14.99</v>
      </c>
      <c r="K6007" s="4">
        <v>0</v>
      </c>
      <c r="L6007">
        <v>4.3</v>
      </c>
      <c r="M6007">
        <v>167</v>
      </c>
      <c r="O6007" t="s">
        <v>25</v>
      </c>
      <c r="P6007" t="s">
        <v>1164</v>
      </c>
      <c r="Q6007" t="s">
        <v>1165</v>
      </c>
    </row>
    <row r="6008" spans="1:17" ht="15.5" x14ac:dyDescent="0.35">
      <c r="A6008"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6008" s="3" t="str">
        <f>HYPERLINK("https://edmondsonsupply.com/products/klein-tools-935dagl-digital-level-with-programmable-angles", "https://edmondsonsupply.com/products/klein-tools-935dagl-digital-level-with-programmable-angles")</f>
        <v>https://edmondsonsupply.com/products/klein-tools-935dagl-digital-level-with-programmable-angles</v>
      </c>
      <c r="C6008" t="s">
        <v>7122</v>
      </c>
      <c r="D6008" t="s">
        <v>8038</v>
      </c>
      <c r="E6008" s="3" t="str">
        <f>HYPERLINK("https://www.amazon.com/935DAGL-Digital-Finder-Programmable-Measures/dp/B07L5LMYV8/ref=sr_1_1?keywords=Klein+Tools+935DAGL+Digital+Level+with+Programmable+Angles&amp;qid=1695174178&amp;sr=8-1", "https://www.amazon.com/935DAGL-Digital-Finder-Programmable-Measures/dp/B07L5LMYV8/ref=sr_1_1?keywords=Klein+Tools+935DAGL+Digital+Level+with+Programmable+Angles&amp;qid=1695174178&amp;sr=8-1")</f>
        <v>https://www.amazon.com/935DAGL-Digital-Finder-Programmable-Measures/dp/B07L5LMYV8/ref=sr_1_1?keywords=Klein+Tools+935DAGL+Digital+Level+with+Programmable+Angles&amp;qid=1695174178&amp;sr=8-1</v>
      </c>
      <c r="F6008" t="s">
        <v>8039</v>
      </c>
      <c r="G6008" t="e">
        <f ca="1">_xludf.IMAGE("https://edmondsonsupply.com/cdn/shop/products/935dagl.jpg?v=1660749694")</f>
        <v>#NAME?</v>
      </c>
      <c r="H6008" t="e">
        <f ca="1">_xludf.IMAGE("https://m.media-amazon.com/images/I/61y6O1e1-+L._AC_UL320_.jpg")</f>
        <v>#NAME?</v>
      </c>
      <c r="I6008" t="s">
        <v>5197</v>
      </c>
      <c r="J6008">
        <v>59.97</v>
      </c>
      <c r="K6008" s="4">
        <v>0</v>
      </c>
      <c r="L6008">
        <v>4.7</v>
      </c>
      <c r="M6008">
        <v>326</v>
      </c>
      <c r="O6008" t="s">
        <v>25</v>
      </c>
      <c r="P6008" t="s">
        <v>7123</v>
      </c>
      <c r="Q6008" t="s">
        <v>7124</v>
      </c>
    </row>
    <row r="6009" spans="1:17" ht="15.5" x14ac:dyDescent="0.35">
      <c r="A6009" s="3" t="str">
        <f>HYPERLINK("https://edmondsonsupply.com/collections/electricians-tools/products/klein-tools-ir1-infrared-digital-thermometer-with-targeting-laser-10-1", "https://edmondsonsupply.com/collections/electricians-tools/products/klein-tools-ir1-infrared-digital-thermometer-with-targeting-laser-10-1")</f>
        <v>https://edmondsonsupply.com/collections/electricians-tools/products/klein-tools-ir1-infrared-digital-thermometer-with-targeting-laser-10-1</v>
      </c>
      <c r="B6009" s="3" t="str">
        <f>HYPERLINK("https://edmondsonsupply.com/products/klein-tools-ir1-infrared-digital-thermometer-with-targeting-laser-10-1", "https://edmondsonsupply.com/products/klein-tools-ir1-infrared-digital-thermometer-with-targeting-laser-10-1")</f>
        <v>https://edmondsonsupply.com/products/klein-tools-ir1-infrared-digital-thermometer-with-targeting-laser-10-1</v>
      </c>
      <c r="C6009" t="s">
        <v>6254</v>
      </c>
      <c r="D6009" t="s">
        <v>8040</v>
      </c>
      <c r="E6009" s="3" t="str">
        <f>HYPERLINK("https://www.amazon.com/Klein-Tools-IR1-Thermometer-Non-Contact/dp/B0873T6SGR/ref=sr_1_1?keywords=Klein+Tools+IR1+Infrared+Digital+Thermometer+with+Targeting+Laser%2C+10%3A1&amp;qid=1695174178&amp;sr=8-1", "https://www.amazon.com/Klein-Tools-IR1-Thermometer-Non-Contact/dp/B0873T6SGR/ref=sr_1_1?keywords=Klein+Tools+IR1+Infrared+Digital+Thermometer+with+Targeting+Laser%2C+10%3A1&amp;qid=1695174178&amp;sr=8-1")</f>
        <v>https://www.amazon.com/Klein-Tools-IR1-Thermometer-Non-Contact/dp/B0873T6SGR/ref=sr_1_1?keywords=Klein+Tools+IR1+Infrared+Digital+Thermometer+with+Targeting+Laser%2C+10%3A1&amp;qid=1695174178&amp;sr=8-1</v>
      </c>
      <c r="F6009" t="s">
        <v>8041</v>
      </c>
      <c r="G6009" t="e">
        <f ca="1">_xludf.IMAGE("https://edmondsonsupply.com/cdn/shop/products/ir1.jpg?v=1659112251")</f>
        <v>#NAME?</v>
      </c>
      <c r="H6009" t="e">
        <f ca="1">_xludf.IMAGE("https://m.media-amazon.com/images/I/511oYbWbZxL._AC_UY218_.jpg")</f>
        <v>#NAME?</v>
      </c>
      <c r="I6009" t="s">
        <v>3578</v>
      </c>
      <c r="J6009">
        <v>32.99</v>
      </c>
      <c r="K6009" s="4">
        <v>0</v>
      </c>
      <c r="L6009">
        <v>4.7</v>
      </c>
      <c r="M6009">
        <v>2079</v>
      </c>
      <c r="O6009" t="s">
        <v>25</v>
      </c>
      <c r="P6009" t="s">
        <v>6255</v>
      </c>
      <c r="Q6009" t="s">
        <v>6256</v>
      </c>
    </row>
    <row r="6010" spans="1:17" ht="15.5" x14ac:dyDescent="0.35">
      <c r="A6010" s="3" t="str">
        <f>HYPERLINK("https://edmondsonsupply.com/collections/electricians-tools/products/klein-tools-et45vp-ac-dc-voltage-and-gfci-receptacle-outlet-test-kit", "https://edmondsonsupply.com/collections/electricians-tools/products/klein-tools-et45vp-ac-dc-voltage-and-gfci-receptacle-outlet-test-kit")</f>
        <v>https://edmondsonsupply.com/collections/electricians-tools/products/klein-tools-et45vp-ac-dc-voltage-and-gfci-receptacle-outlet-test-kit</v>
      </c>
      <c r="B6010" s="3" t="str">
        <f>HYPERLINK("https://edmondsonsupply.com/products/klein-tools-et45vp-ac-dc-voltage-and-gfci-receptacle-outlet-test-kit", "https://edmondsonsupply.com/products/klein-tools-et45vp-ac-dc-voltage-and-gfci-receptacle-outlet-test-kit")</f>
        <v>https://edmondsonsupply.com/products/klein-tools-et45vp-ac-dc-voltage-and-gfci-receptacle-outlet-test-kit</v>
      </c>
      <c r="C6010" t="s">
        <v>6425</v>
      </c>
      <c r="D6010" t="s">
        <v>7125</v>
      </c>
      <c r="E6010" s="3" t="str">
        <f>HYPERLINK("https://www.amazon.com/Receptacle-Electrical-Klein-Tools-ET45VP/dp/B08Y63ZG1B/ref=sr_1_1?keywords=Klein+Tools+ET45VP+AC%2FDC+Voltage+and+GFCI+Receptacle+Outlet+Test+Kit&amp;qid=1695174178&amp;sr=8-1", "https://www.amazon.com/Receptacle-Electrical-Klein-Tools-ET45VP/dp/B08Y63ZG1B/ref=sr_1_1?keywords=Klein+Tools+ET45VP+AC%2FDC+Voltage+and+GFCI+Receptacle+Outlet+Test+Kit&amp;qid=1695174178&amp;sr=8-1")</f>
        <v>https://www.amazon.com/Receptacle-Electrical-Klein-Tools-ET45VP/dp/B08Y63ZG1B/ref=sr_1_1?keywords=Klein+Tools+ET45VP+AC%2FDC+Voltage+and+GFCI+Receptacle+Outlet+Test+Kit&amp;qid=1695174178&amp;sr=8-1</v>
      </c>
      <c r="F6010" t="s">
        <v>7126</v>
      </c>
      <c r="G6010" t="e">
        <f ca="1">_xludf.IMAGE("https://edmondsonsupply.com/cdn/shop/products/et45vp.jpg?v=1660755922")</f>
        <v>#NAME?</v>
      </c>
      <c r="H6010" t="e">
        <f ca="1">_xludf.IMAGE("https://m.media-amazon.com/images/I/51g9gSN+3SL._AC_UL320_.jpg")</f>
        <v>#NAME?</v>
      </c>
      <c r="I6010" t="s">
        <v>2586</v>
      </c>
      <c r="J6010">
        <v>17.97</v>
      </c>
      <c r="K6010" s="4">
        <v>0</v>
      </c>
      <c r="L6010">
        <v>4.5999999999999996</v>
      </c>
      <c r="M6010">
        <v>241</v>
      </c>
      <c r="O6010" t="s">
        <v>25</v>
      </c>
      <c r="P6010" t="s">
        <v>6426</v>
      </c>
      <c r="Q6010" t="s">
        <v>6427</v>
      </c>
    </row>
    <row r="6011" spans="1:17" ht="15.5" x14ac:dyDescent="0.35">
      <c r="A6011"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6011" s="3" t="str">
        <f>HYPERLINK("https://edmondsonsupply.com/products/klein-tools-646-5-16-5-16-inch-nut-driver-6-inch-hollow-shaft", "https://edmondsonsupply.com/products/klein-tools-646-5-16-5-16-inch-nut-driver-6-inch-hollow-shaft")</f>
        <v>https://edmondsonsupply.com/products/klein-tools-646-5-16-5-16-inch-nut-driver-6-inch-hollow-shaft</v>
      </c>
      <c r="C6011" t="s">
        <v>1893</v>
      </c>
      <c r="D6011" t="s">
        <v>4684</v>
      </c>
      <c r="E6011" s="3" t="str">
        <f>HYPERLINK("https://www.amazon.com/Klein-Tools-S106-16-Inch-Driver/dp/B000936PDO/ref=sr_1_2?keywords=Klein+Tools+646-5%2F16+5%2F16-Inch+Nut+Driver%2C+6-Inch+Hollow+Shaft&amp;qid=1695173904&amp;sr=8-2", "https://www.amazon.com/Klein-Tools-S106-16-Inch-Driver/dp/B000936PDO/ref=sr_1_2?keywords=Klein+Tools+646-5%2F16+5%2F16-Inch+Nut+Driver%2C+6-Inch+Hollow+Shaft&amp;qid=1695173904&amp;sr=8-2")</f>
        <v>https://www.amazon.com/Klein-Tools-S106-16-Inch-Driver/dp/B000936PDO/ref=sr_1_2?keywords=Klein+Tools+646-5%2F16+5%2F16-Inch+Nut+Driver%2C+6-Inch+Hollow+Shaft&amp;qid=1695173904&amp;sr=8-2</v>
      </c>
      <c r="F6011" t="s">
        <v>4685</v>
      </c>
      <c r="G6011" t="e">
        <f ca="1">_xludf.IMAGE("https://edmondsonsupply.com/cdn/shop/products/646-1-2_e1540905-f750-4509-90c5-74ff653e4d83.jpg?v=1587145119")</f>
        <v>#NAME?</v>
      </c>
      <c r="H6011" t="e">
        <f ca="1">_xludf.IMAGE("https://m.media-amazon.com/images/I/41MR57vMQTL._AC_UL320_.jpg")</f>
        <v>#NAME?</v>
      </c>
      <c r="I6011" t="s">
        <v>1003</v>
      </c>
      <c r="J6011">
        <v>7.99</v>
      </c>
      <c r="K6011" s="4">
        <v>0</v>
      </c>
      <c r="L6011">
        <v>4.5</v>
      </c>
      <c r="M6011">
        <v>151</v>
      </c>
      <c r="O6011" t="s">
        <v>25</v>
      </c>
      <c r="P6011" t="s">
        <v>1481</v>
      </c>
      <c r="Q6011" t="s">
        <v>1896</v>
      </c>
    </row>
    <row r="6012" spans="1:17" ht="15.5" x14ac:dyDescent="0.35">
      <c r="A6012"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6012" s="3" t="str">
        <f>HYPERLINK("https://edmondsonsupply.com/products/klein-tools-646-5-16-5-16-inch-nut-driver-6-inch-hollow-shaft", "https://edmondsonsupply.com/products/klein-tools-646-5-16-5-16-inch-nut-driver-6-inch-hollow-shaft")</f>
        <v>https://edmondsonsupply.com/products/klein-tools-646-5-16-5-16-inch-nut-driver-6-inch-hollow-shaft</v>
      </c>
      <c r="C6012" t="s">
        <v>1893</v>
      </c>
      <c r="D6012" t="s">
        <v>4676</v>
      </c>
      <c r="E6012" s="3" t="str">
        <f>HYPERLINK("https://www.amazon.com/16-Inch-Driver-Cushion-Klein-Tools/dp/B000LEZVWM/ref=sr_1_1?keywords=Klein+Tools+646-5%2F16+5%2F16-Inch+Nut+Driver%2C+6-Inch+Hollow+Shaft&amp;qid=1695173904&amp;sr=8-1", "https://www.amazon.com/16-Inch-Driver-Cushion-Klein-Tools/dp/B000LEZVWM/ref=sr_1_1?keywords=Klein+Tools+646-5%2F16+5%2F16-Inch+Nut+Driver%2C+6-Inch+Hollow+Shaft&amp;qid=1695173904&amp;sr=8-1")</f>
        <v>https://www.amazon.com/16-Inch-Driver-Cushion-Klein-Tools/dp/B000LEZVWM/ref=sr_1_1?keywords=Klein+Tools+646-5%2F16+5%2F16-Inch+Nut+Driver%2C+6-Inch+Hollow+Shaft&amp;qid=1695173904&amp;sr=8-1</v>
      </c>
      <c r="F6012" t="s">
        <v>4677</v>
      </c>
      <c r="G6012" t="e">
        <f ca="1">_xludf.IMAGE("https://edmondsonsupply.com/cdn/shop/products/646-1-2_e1540905-f750-4509-90c5-74ff653e4d83.jpg?v=1587145119")</f>
        <v>#NAME?</v>
      </c>
      <c r="H6012" t="e">
        <f ca="1">_xludf.IMAGE("https://m.media-amazon.com/images/I/31sSFYGqdfL._AC_UL320_.jpg")</f>
        <v>#NAME?</v>
      </c>
      <c r="I6012" t="s">
        <v>1003</v>
      </c>
      <c r="J6012">
        <v>7.99</v>
      </c>
      <c r="K6012" s="4">
        <v>0</v>
      </c>
      <c r="L6012">
        <v>4.8</v>
      </c>
      <c r="M6012">
        <v>2497</v>
      </c>
      <c r="O6012" t="s">
        <v>25</v>
      </c>
      <c r="P6012" t="s">
        <v>1481</v>
      </c>
      <c r="Q6012" t="s">
        <v>1896</v>
      </c>
    </row>
    <row r="6013" spans="1:17" ht="15.5" x14ac:dyDescent="0.35">
      <c r="A6013" s="3" t="str">
        <f>HYPERLINK("https://edmondsonsupply.com/collections/electricians-tools/products/klein-tools-33736ins", "https://edmondsonsupply.com/collections/electricians-tools/products/klein-tools-33736ins")</f>
        <v>https://edmondsonsupply.com/collections/electricians-tools/products/klein-tools-33736ins</v>
      </c>
      <c r="B6013" s="3" t="str">
        <f>HYPERLINK("https://edmondsonsupply.com/products/klein-tools-33736ins", "https://edmondsonsupply.com/products/klein-tools-33736ins")</f>
        <v>https://edmondsonsupply.com/products/klein-tools-33736ins</v>
      </c>
      <c r="C6013" t="s">
        <v>1928</v>
      </c>
      <c r="D6013" t="s">
        <v>2245</v>
      </c>
      <c r="E6013" s="3" t="str">
        <f>HYPERLINK("https://www.amazon.com/Klein-Tools-33736INS-Screwdriver-Magnetizer/dp/B09GPZPMTD/ref=sr_1_1?keywords=Klein+Tools+33736INS+Screwdriver+Set%2C+1000V+Slim-Tip+Insulated+and+Magnetizer%2C+6-Piece&amp;qid=1695173911&amp;sr=8-1", "https://www.amazon.com/Klein-Tools-33736INS-Screwdriver-Magnetizer/dp/B09GPZPMTD/ref=sr_1_1?keywords=Klein+Tools+33736INS+Screwdriver+Set%2C+1000V+Slim-Tip+Insulated+and+Magnetizer%2C+6-Piece&amp;qid=1695173911&amp;sr=8-1")</f>
        <v>https://www.amazon.com/Klein-Tools-33736INS-Screwdriver-Magnetizer/dp/B09GPZPMTD/ref=sr_1_1?keywords=Klein+Tools+33736INS+Screwdriver+Set%2C+1000V+Slim-Tip+Insulated+and+Magnetizer%2C+6-Piece&amp;qid=1695173911&amp;sr=8-1</v>
      </c>
      <c r="F6013" t="s">
        <v>2246</v>
      </c>
      <c r="G6013" t="e">
        <f ca="1">_xludf.IMAGE("https://edmondsonsupply.com/cdn/shop/products/33736ins.jpg?v=1664807705")</f>
        <v>#NAME?</v>
      </c>
      <c r="H6013" t="e">
        <f ca="1">_xludf.IMAGE("https://m.media-amazon.com/images/I/51W2DUA3c7L._AC_UL320_.jpg")</f>
        <v>#NAME?</v>
      </c>
      <c r="I6013" t="s">
        <v>1931</v>
      </c>
      <c r="J6013">
        <v>49.99</v>
      </c>
      <c r="K6013" s="4">
        <v>0</v>
      </c>
      <c r="L6013">
        <v>4.8</v>
      </c>
      <c r="M6013">
        <v>419</v>
      </c>
      <c r="O6013" t="s">
        <v>25</v>
      </c>
      <c r="P6013" t="s">
        <v>1932</v>
      </c>
      <c r="Q6013" t="s">
        <v>1933</v>
      </c>
    </row>
    <row r="6014" spans="1:17" ht="15.5" x14ac:dyDescent="0.35">
      <c r="A6014"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6014"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6014" t="s">
        <v>7545</v>
      </c>
      <c r="D6014" t="s">
        <v>8042</v>
      </c>
      <c r="E6014" s="3" t="str">
        <f>HYPERLINK("https://www.amazon.com/Klein-Tools-CL320KIT-Non-Contact-Thermometer/dp/B08ZJSN5X3/ref=sr_1_1?keywords=Klein+Tools+CL320KIT+HVAC+Digital+Clamp+Meter+Electrical+Test+Kit&amp;qid=1695174178&amp;sr=8-1", "https://www.amazon.com/Klein-Tools-CL320KIT-Non-Contact-Thermometer/dp/B08ZJSN5X3/ref=sr_1_1?keywords=Klein+Tools+CL320KIT+HVAC+Digital+Clamp+Meter+Electrical+Test+Kit&amp;qid=1695174178&amp;sr=8-1")</f>
        <v>https://www.amazon.com/Klein-Tools-CL320KIT-Non-Contact-Thermometer/dp/B08ZJSN5X3/ref=sr_1_1?keywords=Klein+Tools+CL320KIT+HVAC+Digital+Clamp+Meter+Electrical+Test+Kit&amp;qid=1695174178&amp;sr=8-1</v>
      </c>
      <c r="F6014" t="s">
        <v>8043</v>
      </c>
      <c r="G6014" t="e">
        <f ca="1">_xludf.IMAGE("https://edmondsonsupply.com/cdn/shop/products/cl320kit_photo.jpg?v=1660753251")</f>
        <v>#NAME?</v>
      </c>
      <c r="H6014" t="e">
        <f ca="1">_xludf.IMAGE("https://m.media-amazon.com/images/I/61JFrOx-zjL._AC_UY218_.jpg")</f>
        <v>#NAME?</v>
      </c>
      <c r="I6014" t="s">
        <v>7548</v>
      </c>
      <c r="J6014">
        <v>118.99</v>
      </c>
      <c r="K6014" s="4">
        <v>0</v>
      </c>
      <c r="L6014">
        <v>4.8</v>
      </c>
      <c r="M6014">
        <v>994</v>
      </c>
      <c r="O6014" t="s">
        <v>25</v>
      </c>
      <c r="P6014" t="s">
        <v>7549</v>
      </c>
      <c r="Q6014" t="s">
        <v>7550</v>
      </c>
    </row>
    <row r="6015" spans="1:17" ht="15.5" x14ac:dyDescent="0.35">
      <c r="A6015" s="3" t="str">
        <f>HYPERLINK("https://edmondsonsupply.com/collections/electricians-tools/products/rack-a-tiers-42675-3-3-8-round-multi-tool-hole-saw", "https://edmondsonsupply.com/collections/electricians-tools/products/rack-a-tiers-42675-3-3-8-round-multi-tool-hole-saw")</f>
        <v>https://edmondsonsupply.com/collections/electricians-tools/products/rack-a-tiers-42675-3-3-8-round-multi-tool-hole-saw</v>
      </c>
      <c r="B6015" s="3" t="str">
        <f>HYPERLINK("https://edmondsonsupply.com/products/rack-a-tiers-42675-3-3-8-round-multi-tool-hole-saw", "https://edmondsonsupply.com/products/rack-a-tiers-42675-3-3-8-round-multi-tool-hole-saw")</f>
        <v>https://edmondsonsupply.com/products/rack-a-tiers-42675-3-3-8-round-multi-tool-hole-saw</v>
      </c>
      <c r="C6015" t="s">
        <v>8044</v>
      </c>
      <c r="D6015" t="s">
        <v>8045</v>
      </c>
      <c r="E6015" s="3" t="str">
        <f>HYPERLINK("https://www.amazon.com/Rack-Tiers-Multi-Tool-recessed-oscillating/dp/B0BQPCGLL8/ref=sr_1_1?keywords=Rack-A-Tiers+42675+3+3%2F8%22+Round+Multi-Tool+Hole+Saw&amp;qid=1695173910&amp;sr=8-1", "https://www.amazon.com/Rack-Tiers-Multi-Tool-recessed-oscillating/dp/B0BQPCGLL8/ref=sr_1_1?keywords=Rack-A-Tiers+42675+3+3%2F8%22+Round+Multi-Tool+Hole+Saw&amp;qid=1695173910&amp;sr=8-1")</f>
        <v>https://www.amazon.com/Rack-Tiers-Multi-Tool-recessed-oscillating/dp/B0BQPCGLL8/ref=sr_1_1?keywords=Rack-A-Tiers+42675+3+3%2F8%22+Round+Multi-Tool+Hole+Saw&amp;qid=1695173910&amp;sr=8-1</v>
      </c>
      <c r="F6015" t="s">
        <v>8046</v>
      </c>
      <c r="G6015" t="e">
        <f ca="1">_xludf.IMAGE("https://edmondsonsupply.com/cdn/shop/products/IMG_4900.webp?v=1677013846")</f>
        <v>#NAME?</v>
      </c>
      <c r="H6015" t="e">
        <f ca="1">_xludf.IMAGE("https://m.media-amazon.com/images/I/51knAuGPAUL._AC_UY218_.jpg")</f>
        <v>#NAME?</v>
      </c>
      <c r="I6015" t="s">
        <v>3207</v>
      </c>
      <c r="J6015">
        <v>27.99</v>
      </c>
      <c r="K6015" s="4">
        <v>0</v>
      </c>
      <c r="L6015">
        <v>3.6</v>
      </c>
      <c r="M6015">
        <v>11</v>
      </c>
      <c r="O6015" t="s">
        <v>25</v>
      </c>
      <c r="P6015" t="s">
        <v>138</v>
      </c>
      <c r="Q6015" t="s">
        <v>8047</v>
      </c>
    </row>
    <row r="6016" spans="1:17" ht="15.5" x14ac:dyDescent="0.35">
      <c r="A6016" s="3" t="str">
        <f>HYPERLINK("https://edmondsonsupply.com/collections/electricians-tools/products/klein-tools-9125-tape-measure-25-foot-single-hook", "https://edmondsonsupply.com/collections/electricians-tools/products/klein-tools-9125-tape-measure-25-foot-single-hook")</f>
        <v>https://edmondsonsupply.com/collections/electricians-tools/products/klein-tools-9125-tape-measure-25-foot-single-hook</v>
      </c>
      <c r="B6016" s="3" t="str">
        <f>HYPERLINK("https://edmondsonsupply.com/products/klein-tools-9125-tape-measure-25-foot-single-hook", "https://edmondsonsupply.com/products/klein-tools-9125-tape-measure-25-foot-single-hook")</f>
        <v>https://edmondsonsupply.com/products/klein-tools-9125-tape-measure-25-foot-single-hook</v>
      </c>
      <c r="C6016" t="s">
        <v>5993</v>
      </c>
      <c r="D6016" t="s">
        <v>8048</v>
      </c>
      <c r="E6016" s="3" t="str">
        <f>HYPERLINK("https://www.amazon.com/Klein-Tools-Measure-25-Foot-Single-Hook/dp/B07WHFFY72/ref=sr_1_2?keywords=Klein+Tools+9125+Tape+Measure%2C+25-Foot+Single-Hook&amp;qid=1695174185&amp;sr=8-2", "https://www.amazon.com/Klein-Tools-Measure-25-Foot-Single-Hook/dp/B07WHFFY72/ref=sr_1_2?keywords=Klein+Tools+9125+Tape+Measure%2C+25-Foot+Single-Hook&amp;qid=1695174185&amp;sr=8-2")</f>
        <v>https://www.amazon.com/Klein-Tools-Measure-25-Foot-Single-Hook/dp/B07WHFFY72/ref=sr_1_2?keywords=Klein+Tools+9125+Tape+Measure%2C+25-Foot+Single-Hook&amp;qid=1695174185&amp;sr=8-2</v>
      </c>
      <c r="F6016" t="s">
        <v>8049</v>
      </c>
      <c r="G6016" t="e">
        <f ca="1">_xludf.IMAGE("https://edmondsonsupply.com/cdn/shop/products/9125.jpg?v=1587148575")</f>
        <v>#NAME?</v>
      </c>
      <c r="H6016" t="e">
        <f ca="1">_xludf.IMAGE("https://m.media-amazon.com/images/I/511koRoby5L._AC_UL320_.jpg")</f>
        <v>#NAME?</v>
      </c>
      <c r="I6016" t="s">
        <v>577</v>
      </c>
      <c r="J6016">
        <v>19.989999999999998</v>
      </c>
      <c r="K6016" s="4">
        <v>0</v>
      </c>
      <c r="L6016">
        <v>4.4000000000000004</v>
      </c>
      <c r="M6016">
        <v>246</v>
      </c>
      <c r="O6016" t="s">
        <v>25</v>
      </c>
      <c r="P6016" t="s">
        <v>894</v>
      </c>
      <c r="Q6016" t="s">
        <v>5996</v>
      </c>
    </row>
    <row r="6017" spans="1:17" ht="15.5" x14ac:dyDescent="0.35">
      <c r="A6017" s="3" t="str">
        <f>HYPERLINK("https://edmondsonsupply.com/collections/electricians-tools/products/klein-tools-56064-klein-tools-%C2%AE-new-rechargeable-headlamp-offers-multiple-modes-to-fit-any-task", "https://edmondsonsupply.com/collections/electricians-tools/products/klein-tools-56064-klein-tools-%C2%AE-new-rechargeable-headlamp-offers-multiple-modes-to-fit-any-task")</f>
        <v>https://edmondsonsupply.com/collections/electricians-tools/products/klein-tools-56064-klein-tools-%C2%AE-new-rechargeable-headlamp-offers-multiple-modes-to-fit-any-task</v>
      </c>
      <c r="B6017" s="3" t="str">
        <f>HYPERLINK("https://edmondsonsupply.com/products/klein-tools-56064-klein-tools-%c2%ae-new-rechargeable-headlamp-offers-multiple-modes-to-fit-any-task", "https://edmondsonsupply.com/products/klein-tools-56064-klein-tools-%c2%ae-new-rechargeable-headlamp-offers-multiple-modes-to-fit-any-task")</f>
        <v>https://edmondsonsupply.com/products/klein-tools-56064-klein-tools-%c2%ae-new-rechargeable-headlamp-offers-multiple-modes-to-fit-any-task</v>
      </c>
      <c r="C6017" t="s">
        <v>1031</v>
      </c>
      <c r="D6017" t="s">
        <v>1121</v>
      </c>
      <c r="E6017" s="3" t="str">
        <f>HYPERLINK("https://www.amazon.com/Klein-Tools-56064-Rechargeable-Auto-Off/dp/B08V5KZCM6/ref=sr_1_1?keywords=Klein+Tools+56064+Rechargeable+Headlamp+with+Silicone+Strap%2C+400+Lumens%2C+All-Day+Runtime&amp;qid=1695174177&amp;sr=8-1", "https://www.amazon.com/Klein-Tools-56064-Rechargeable-Auto-Off/dp/B08V5KZCM6/ref=sr_1_1?keywords=Klein+Tools+56064+Rechargeable+Headlamp+with+Silicone+Strap%2C+400+Lumens%2C+All-Day+Runtime&amp;qid=1695174177&amp;sr=8-1")</f>
        <v>https://www.amazon.com/Klein-Tools-56064-Rechargeable-Auto-Off/dp/B08V5KZCM6/ref=sr_1_1?keywords=Klein+Tools+56064+Rechargeable+Headlamp+with+Silicone+Strap%2C+400+Lumens%2C+All-Day+Runtime&amp;qid=1695174177&amp;sr=8-1</v>
      </c>
      <c r="F6017" t="s">
        <v>1122</v>
      </c>
      <c r="G6017" t="e">
        <f ca="1">_xludf.IMAGE("https://edmondsonsupply.com/cdn/shop/products/56064.png?v=1661362879")</f>
        <v>#NAME?</v>
      </c>
      <c r="H6017" t="e">
        <f ca="1">_xludf.IMAGE("https://m.media-amazon.com/images/I/61XfkEMT74L._AC_UL320_.jpg")</f>
        <v>#NAME?</v>
      </c>
      <c r="I6017" t="s">
        <v>246</v>
      </c>
      <c r="J6017">
        <v>39.97</v>
      </c>
      <c r="K6017" s="4">
        <v>0</v>
      </c>
      <c r="L6017">
        <v>4.5</v>
      </c>
      <c r="M6017">
        <v>396</v>
      </c>
      <c r="O6017" t="s">
        <v>25</v>
      </c>
      <c r="P6017" t="s">
        <v>1032</v>
      </c>
      <c r="Q6017" t="s">
        <v>1033</v>
      </c>
    </row>
    <row r="6018" spans="1:17" ht="15.5" x14ac:dyDescent="0.35">
      <c r="A6018"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6018"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6018" t="s">
        <v>7299</v>
      </c>
      <c r="D6018" t="s">
        <v>6043</v>
      </c>
      <c r="E6018" s="3" t="str">
        <f>HYPERLINK("https://www.amazon.com/Conduit-Bender-Klein-Tools-51610/dp/B08V8J5CX4/ref=sr_1_7?keywords=Klein+Tools+51604+Iron+Conduit+Bender+Full+Assembly%2C+3%2F4-Inch+EMT+with+Angle+Setter%E2%84%A2&amp;qid=1695174174&amp;sr=8-7", "https://www.amazon.com/Conduit-Bender-Klein-Tools-51610/dp/B08V8J5CX4/ref=sr_1_7?keywords=Klein+Tools+51604+Iron+Conduit+Bender+Full+Assembly%2C+3%2F4-Inch+EMT+with+Angle+Setter%E2%84%A2&amp;qid=1695174174&amp;sr=8-7")</f>
        <v>https://www.amazon.com/Conduit-Bender-Klein-Tools-51610/dp/B08V8J5CX4/ref=sr_1_7?keywords=Klein+Tools+51604+Iron+Conduit+Bender+Full+Assembly%2C+3%2F4-Inch+EMT+with+Angle+Setter%E2%84%A2&amp;qid=1695174174&amp;sr=8-7</v>
      </c>
      <c r="F6018" t="s">
        <v>6044</v>
      </c>
      <c r="G6018" t="e">
        <f ca="1">_xludf.IMAGE("https://edmondsonsupply.com/cdn/shop/products/51603.jpg?v=1660829273")</f>
        <v>#NAME?</v>
      </c>
      <c r="H6018" t="e">
        <f ca="1">_xludf.IMAGE("https://m.media-amazon.com/images/I/61jmGqozuVL._AC_UL320_.jpg")</f>
        <v>#NAME?</v>
      </c>
      <c r="I6018" t="s">
        <v>320</v>
      </c>
      <c r="J6018">
        <v>74.989999999999995</v>
      </c>
      <c r="K6018" s="4">
        <v>0</v>
      </c>
      <c r="L6018">
        <v>4.8</v>
      </c>
      <c r="M6018">
        <v>11</v>
      </c>
      <c r="O6018" t="s">
        <v>171</v>
      </c>
      <c r="P6018" t="s">
        <v>306</v>
      </c>
      <c r="Q6018" t="s">
        <v>7300</v>
      </c>
    </row>
    <row r="6019" spans="1:17" ht="15.5" x14ac:dyDescent="0.35">
      <c r="A6019" s="3" t="str">
        <f>HYPERLINK("https://edmondsonsupply.com/collections/electricians-tools/products/klein-tools-40231-high-dexterity-touchscreen-gloves-xl", "https://edmondsonsupply.com/collections/electricians-tools/products/klein-tools-40231-high-dexterity-touchscreen-gloves-xl")</f>
        <v>https://edmondsonsupply.com/collections/electricians-tools/products/klein-tools-40231-high-dexterity-touchscreen-gloves-xl</v>
      </c>
      <c r="B6019" s="3" t="str">
        <f>HYPERLINK("https://edmondsonsupply.com/products/klein-tools-40231-high-dexterity-touchscreen-gloves-xl", "https://edmondsonsupply.com/products/klein-tools-40231-high-dexterity-touchscreen-gloves-xl")</f>
        <v>https://edmondsonsupply.com/products/klein-tools-40231-high-dexterity-touchscreen-gloves-xl</v>
      </c>
      <c r="C6019" t="s">
        <v>1186</v>
      </c>
      <c r="D6019" t="s">
        <v>1187</v>
      </c>
      <c r="E6019" s="3" t="str">
        <f>HYPERLINK("https://www.amazon.com/Dexterity-Touchscreen-Klein-Tools-40231/dp/B01M5G3WA7/ref=sr_1_1?keywords=Klein+Tools+40231+High+Dexterity+Touchscreen+Gloves%2C+XL&amp;qid=1695174185&amp;sr=8-1", "https://www.amazon.com/Dexterity-Touchscreen-Klein-Tools-40231/dp/B01M5G3WA7/ref=sr_1_1?keywords=Klein+Tools+40231+High+Dexterity+Touchscreen+Gloves%2C+XL&amp;qid=1695174185&amp;sr=8-1")</f>
        <v>https://www.amazon.com/Dexterity-Touchscreen-Klein-Tools-40231/dp/B01M5G3WA7/ref=sr_1_1?keywords=Klein+Tools+40231+High+Dexterity+Touchscreen+Gloves%2C+XL&amp;qid=1695174185&amp;sr=8-1</v>
      </c>
      <c r="F6019" t="s">
        <v>1188</v>
      </c>
      <c r="G6019" t="e">
        <f ca="1">_xludf.IMAGE("https://edmondsonsupply.com/cdn/shop/products/40229_4ec43165-0eee-409f-b3e3-e0a2ee54b953.jpg?v=1659397421")</f>
        <v>#NAME?</v>
      </c>
      <c r="H6019" t="e">
        <f ca="1">_xludf.IMAGE("https://m.media-amazon.com/images/I/61OBeXb4irL._AC_UL320_.jpg")</f>
        <v>#NAME?</v>
      </c>
      <c r="I6019" t="s">
        <v>1110</v>
      </c>
      <c r="J6019">
        <v>25.49</v>
      </c>
      <c r="K6019" s="4">
        <v>0</v>
      </c>
      <c r="L6019">
        <v>3.9</v>
      </c>
      <c r="M6019">
        <v>72</v>
      </c>
      <c r="O6019" t="s">
        <v>25</v>
      </c>
      <c r="P6019" t="s">
        <v>1111</v>
      </c>
      <c r="Q6019" t="s">
        <v>1189</v>
      </c>
    </row>
    <row r="6020" spans="1:17" ht="15.5" x14ac:dyDescent="0.35">
      <c r="A6020"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6020"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6020" t="s">
        <v>7299</v>
      </c>
      <c r="D6020" t="s">
        <v>6047</v>
      </c>
      <c r="E6020" s="3" t="str">
        <f>HYPERLINK("https://www.amazon.com/Conduit-Features-Klein-Tools-51604/dp/B08V8YVWH1/ref=sr_1_1?keywords=Klein+Tools+51604+Iron+Conduit+Bender+Full+Assembly%2C+3%2F4-Inch+EMT+with+Angle+Setter%E2%84%A2&amp;qid=1695174174&amp;sr=8-1", "https://www.amazon.com/Conduit-Features-Klein-Tools-51604/dp/B08V8YVWH1/ref=sr_1_1?keywords=Klein+Tools+51604+Iron+Conduit+Bender+Full+Assembly%2C+3%2F4-Inch+EMT+with+Angle+Setter%E2%84%A2&amp;qid=1695174174&amp;sr=8-1")</f>
        <v>https://www.amazon.com/Conduit-Features-Klein-Tools-51604/dp/B08V8YVWH1/ref=sr_1_1?keywords=Klein+Tools+51604+Iron+Conduit+Bender+Full+Assembly%2C+3%2F4-Inch+EMT+with+Angle+Setter%E2%84%A2&amp;qid=1695174174&amp;sr=8-1</v>
      </c>
      <c r="F6020" t="s">
        <v>6048</v>
      </c>
      <c r="G6020" t="e">
        <f ca="1">_xludf.IMAGE("https://edmondsonsupply.com/cdn/shop/products/51603.jpg?v=1660829273")</f>
        <v>#NAME?</v>
      </c>
      <c r="H6020" t="e">
        <f ca="1">_xludf.IMAGE("https://m.media-amazon.com/images/I/41DkDVmyczL._AC_UL320_.jpg")</f>
        <v>#NAME?</v>
      </c>
      <c r="I6020" t="s">
        <v>320</v>
      </c>
      <c r="J6020">
        <v>74.989999999999995</v>
      </c>
      <c r="K6020" s="4">
        <v>0</v>
      </c>
      <c r="L6020">
        <v>4.8</v>
      </c>
      <c r="M6020">
        <v>43</v>
      </c>
      <c r="O6020" t="s">
        <v>171</v>
      </c>
      <c r="P6020" t="s">
        <v>306</v>
      </c>
      <c r="Q6020" t="s">
        <v>7300</v>
      </c>
    </row>
    <row r="6021" spans="1:17" ht="15.5" x14ac:dyDescent="0.35">
      <c r="A6021" s="3" t="str">
        <f>HYPERLINK("https://edmondsonsupply.com/collections/electricians-tools/products/klein-tools-40231-high-dexterity-touchscreen-gloves-xl", "https://edmondsonsupply.com/collections/electricians-tools/products/klein-tools-40231-high-dexterity-touchscreen-gloves-xl")</f>
        <v>https://edmondsonsupply.com/collections/electricians-tools/products/klein-tools-40231-high-dexterity-touchscreen-gloves-xl</v>
      </c>
      <c r="B6021" s="3" t="str">
        <f>HYPERLINK("https://edmondsonsupply.com/products/klein-tools-40231-high-dexterity-touchscreen-gloves-xl", "https://edmondsonsupply.com/products/klein-tools-40231-high-dexterity-touchscreen-gloves-xl")</f>
        <v>https://edmondsonsupply.com/products/klein-tools-40231-high-dexterity-touchscreen-gloves-xl</v>
      </c>
      <c r="C6021" t="s">
        <v>1186</v>
      </c>
      <c r="D6021" t="s">
        <v>1108</v>
      </c>
      <c r="E6021" s="3" t="str">
        <f>HYPERLINK("https://www.amazon.com/Dexterity-Touchscreen-Klein-Tools-40229/dp/B01M68QAAK/ref=sr_1_2?keywords=Klein+Tools+40231+High+Dexterity+Touchscreen+Gloves%2C+XL&amp;qid=1695174185&amp;sr=8-2", "https://www.amazon.com/Dexterity-Touchscreen-Klein-Tools-40229/dp/B01M68QAAK/ref=sr_1_2?keywords=Klein+Tools+40231+High+Dexterity+Touchscreen+Gloves%2C+XL&amp;qid=1695174185&amp;sr=8-2")</f>
        <v>https://www.amazon.com/Dexterity-Touchscreen-Klein-Tools-40229/dp/B01M68QAAK/ref=sr_1_2?keywords=Klein+Tools+40231+High+Dexterity+Touchscreen+Gloves%2C+XL&amp;qid=1695174185&amp;sr=8-2</v>
      </c>
      <c r="F6021" t="s">
        <v>1109</v>
      </c>
      <c r="G6021" t="e">
        <f ca="1">_xludf.IMAGE("https://edmondsonsupply.com/cdn/shop/products/40229_4ec43165-0eee-409f-b3e3-e0a2ee54b953.jpg?v=1659397421")</f>
        <v>#NAME?</v>
      </c>
      <c r="H6021" t="e">
        <f ca="1">_xludf.IMAGE("https://m.media-amazon.com/images/I/51mom7WNCOL._AC_UL320_.jpg")</f>
        <v>#NAME?</v>
      </c>
      <c r="I6021" t="s">
        <v>1110</v>
      </c>
      <c r="J6021">
        <v>25.49</v>
      </c>
      <c r="K6021" s="4">
        <v>0</v>
      </c>
      <c r="L6021">
        <v>4.3</v>
      </c>
      <c r="M6021">
        <v>56</v>
      </c>
      <c r="O6021" t="s">
        <v>25</v>
      </c>
      <c r="P6021" t="s">
        <v>1111</v>
      </c>
      <c r="Q6021" t="s">
        <v>1189</v>
      </c>
    </row>
    <row r="6022" spans="1:17" ht="15.5" x14ac:dyDescent="0.35">
      <c r="A6022" s="3" t="str">
        <f>HYPERLINK("https://edmondsonsupply.com/collections/electricians-tools/products/klein-tools-60492-lightweight-knee-pad-sleeves-m-l", "https://edmondsonsupply.com/collections/electricians-tools/products/klein-tools-60492-lightweight-knee-pad-sleeves-m-l")</f>
        <v>https://edmondsonsupply.com/collections/electricians-tools/products/klein-tools-60492-lightweight-knee-pad-sleeves-m-l</v>
      </c>
      <c r="B6022" s="3" t="str">
        <f>HYPERLINK("https://edmondsonsupply.com/products/klein-tools-60492-lightweight-knee-pad-sleeves-m-l", "https://edmondsonsupply.com/products/klein-tools-60492-lightweight-knee-pad-sleeves-m-l")</f>
        <v>https://edmondsonsupply.com/products/klein-tools-60492-lightweight-knee-pad-sleeves-m-l</v>
      </c>
      <c r="C6022" t="s">
        <v>890</v>
      </c>
      <c r="D6022" t="s">
        <v>1142</v>
      </c>
      <c r="E6022" s="3" t="str">
        <f>HYPERLINK("https://www.amazon.com/Klein-Tools-60592-Lightweight-Slip-Resistant/dp/B0B622FRN8/ref=sr_1_2?keywords=Klein+Tools+60492+Lightweight+Knee+Pad+Sleeves%2C+M%2FL&amp;qid=1695174171&amp;sr=8-2", "https://www.amazon.com/Klein-Tools-60592-Lightweight-Slip-Resistant/dp/B0B622FRN8/ref=sr_1_2?keywords=Klein+Tools+60492+Lightweight+Knee+Pad+Sleeves%2C+M%2FL&amp;qid=1695174171&amp;sr=8-2")</f>
        <v>https://www.amazon.com/Klein-Tools-60592-Lightweight-Slip-Resistant/dp/B0B622FRN8/ref=sr_1_2?keywords=Klein+Tools+60492+Lightweight+Knee+Pad+Sleeves%2C+M%2FL&amp;qid=1695174171&amp;sr=8-2</v>
      </c>
      <c r="F6022" t="s">
        <v>1143</v>
      </c>
      <c r="G6022" t="e">
        <f ca="1">_xludf.IMAGE("https://edmondsonsupply.com/cdn/shop/products/60492_60592_photo.jpg?v=1663255234")</f>
        <v>#NAME?</v>
      </c>
      <c r="H6022" t="e">
        <f ca="1">_xludf.IMAGE("https://m.media-amazon.com/images/I/61SeDj1bXKL._AC_UL320_.jpg")</f>
        <v>#NAME?</v>
      </c>
      <c r="I6022" t="s">
        <v>893</v>
      </c>
      <c r="J6022">
        <v>19.97</v>
      </c>
      <c r="K6022" s="4">
        <v>0</v>
      </c>
      <c r="L6022">
        <v>4.0999999999999996</v>
      </c>
      <c r="M6022">
        <v>147</v>
      </c>
      <c r="O6022" t="s">
        <v>25</v>
      </c>
      <c r="P6022" t="s">
        <v>894</v>
      </c>
      <c r="Q6022" t="s">
        <v>895</v>
      </c>
    </row>
    <row r="6023" spans="1:17" ht="15.5" x14ac:dyDescent="0.35">
      <c r="A6023"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6023" s="3" t="str">
        <f>HYPERLINK("https://edmondsonsupply.com/products/klein-tools-646-1-4-1-4-inch-nut-driver-with-6-inch-hollow-shaft", "https://edmondsonsupply.com/products/klein-tools-646-1-4-1-4-inch-nut-driver-with-6-inch-hollow-shaft")</f>
        <v>https://edmondsonsupply.com/products/klein-tools-646-1-4-1-4-inch-nut-driver-with-6-inch-hollow-shaft</v>
      </c>
      <c r="C6023" t="s">
        <v>1478</v>
      </c>
      <c r="D6023" t="s">
        <v>4637</v>
      </c>
      <c r="E6023" s="3" t="str">
        <f>HYPERLINK("https://www.amazon.com/4-Inch-Comfordome-Klein-Tools-S86/dp/B00093GCWS/ref=sr_1_3?keywords=Klein+Tools+646-1%2F4+1%2F4-Inch+Nut+Driver+with+6-Inch+Hollow+Shaft&amp;qid=1695173897&amp;sr=8-3", "https://www.amazon.com/4-Inch-Comfordome-Klein-Tools-S86/dp/B00093GCWS/ref=sr_1_3?keywords=Klein+Tools+646-1%2F4+1%2F4-Inch+Nut+Driver+with+6-Inch+Hollow+Shaft&amp;qid=1695173897&amp;sr=8-3")</f>
        <v>https://www.amazon.com/4-Inch-Comfordome-Klein-Tools-S86/dp/B00093GCWS/ref=sr_1_3?keywords=Klein+Tools+646-1%2F4+1%2F4-Inch+Nut+Driver+with+6-Inch+Hollow+Shaft&amp;qid=1695173897&amp;sr=8-3</v>
      </c>
      <c r="F6023" t="s">
        <v>4638</v>
      </c>
      <c r="G6023" t="e">
        <f ca="1">_xludf.IMAGE("https://edmondsonsupply.com/cdn/shop/products/646-1-2_08d87fa9-eac4-4869-8d3b-bb680d4b1d53.jpg?v=1587150676")</f>
        <v>#NAME?</v>
      </c>
      <c r="H6023" t="e">
        <f ca="1">_xludf.IMAGE("https://m.media-amazon.com/images/I/41UucnuSAmL._AC_UL320_.jpg")</f>
        <v>#NAME?</v>
      </c>
      <c r="I6023" t="s">
        <v>1003</v>
      </c>
      <c r="J6023">
        <v>7.99</v>
      </c>
      <c r="K6023" s="4">
        <v>0</v>
      </c>
      <c r="L6023">
        <v>4.5</v>
      </c>
      <c r="M6023">
        <v>151</v>
      </c>
      <c r="O6023" t="s">
        <v>25</v>
      </c>
      <c r="P6023" t="s">
        <v>1481</v>
      </c>
      <c r="Q6023" t="s">
        <v>1482</v>
      </c>
    </row>
    <row r="6024" spans="1:17" ht="15.5" x14ac:dyDescent="0.35">
      <c r="A6024"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6024"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6024" t="s">
        <v>8050</v>
      </c>
      <c r="D6024" t="s">
        <v>3474</v>
      </c>
      <c r="E6024" s="3" t="str">
        <f>HYPERLINK("https://www.amazon.com/CHANNELLOCK-430X-10-inch-SPEEDGRIP-Straight/dp/B07P42JFMG/ref=sr_1_1?keywords=Channellock+430X+10-Inch+SPEEDGRIP%E2%84%A2+Straight+Jaw+Tongue+%26+Groove+Pliers&amp;qid=1695174216&amp;sr=8-1", "https://www.amazon.com/CHANNELLOCK-430X-10-inch-SPEEDGRIP-Straight/dp/B07P42JFMG/ref=sr_1_1?keywords=Channellock+430X+10-Inch+SPEEDGRIP%E2%84%A2+Straight+Jaw+Tongue+%26+Groove+Pliers&amp;qid=1695174216&amp;sr=8-1")</f>
        <v>https://www.amazon.com/CHANNELLOCK-430X-10-inch-SPEEDGRIP-Straight/dp/B07P42JFMG/ref=sr_1_1?keywords=Channellock+430X+10-Inch+SPEEDGRIP%E2%84%A2+Straight+Jaw+Tongue+%26+Groove+Pliers&amp;qid=1695174216&amp;sr=8-1</v>
      </c>
      <c r="F6024" t="s">
        <v>3475</v>
      </c>
      <c r="G6024" t="e">
        <f ca="1">_xludf.IMAGE("https://edmondsonsupply.com/cdn/shop/products/430X.jpg?v=1647100497")</f>
        <v>#NAME?</v>
      </c>
      <c r="H6024" t="e">
        <f ca="1">_xludf.IMAGE("https://m.media-amazon.com/images/I/71xwTtkFcHL._AC_UL320_.jpg")</f>
        <v>#NAME?</v>
      </c>
      <c r="I6024" t="s">
        <v>5375</v>
      </c>
      <c r="J6024">
        <v>26.95</v>
      </c>
      <c r="K6024" s="4">
        <v>0</v>
      </c>
      <c r="L6024">
        <v>4.4000000000000004</v>
      </c>
      <c r="M6024">
        <v>578</v>
      </c>
      <c r="O6024" t="s">
        <v>25</v>
      </c>
      <c r="P6024" t="s">
        <v>8051</v>
      </c>
      <c r="Q6024" t="s">
        <v>8052</v>
      </c>
    </row>
    <row r="6025" spans="1:17" ht="15.5" x14ac:dyDescent="0.35">
      <c r="A6025" s="3" t="str">
        <f>HYPERLINK("https://edmondsonsupply.com/collections/electricians-tools/products/klein-tools-d228-8tt-diagonal-cutting-pliers-high-leverage-tie-ring-8-inch", "https://edmondsonsupply.com/collections/electricians-tools/products/klein-tools-d228-8tt-diagonal-cutting-pliers-high-leverage-tie-ring-8-inch")</f>
        <v>https://edmondsonsupply.com/collections/electricians-tools/products/klein-tools-d228-8tt-diagonal-cutting-pliers-high-leverage-tie-ring-8-inch</v>
      </c>
      <c r="B6025" s="3" t="str">
        <f>HYPERLINK("https://edmondsonsupply.com/products/klein-tools-d228-8tt-diagonal-cutting-pliers-high-leverage-tie-ring-8-inch", "https://edmondsonsupply.com/products/klein-tools-d228-8tt-diagonal-cutting-pliers-high-leverage-tie-ring-8-inch")</f>
        <v>https://edmondsonsupply.com/products/klein-tools-d228-8tt-diagonal-cutting-pliers-high-leverage-tie-ring-8-inch</v>
      </c>
      <c r="C6025" t="s">
        <v>8053</v>
      </c>
      <c r="D6025" t="s">
        <v>8054</v>
      </c>
      <c r="E6025" s="3" t="str">
        <f>HYPERLINK("https://www.amazon.com/Leverage-Diagonal-Klein-Tools-D228-8TT/dp/B01K76W5UE/ref=sr_1_1?keywords=Klein+Tools+D228-8TT+Diagonal+Cutting+Pliers%2C+High-Leverage%2C+Tie+Ring%2C+8-Inch&amp;qid=1695174247&amp;sr=8-1", "https://www.amazon.com/Leverage-Diagonal-Klein-Tools-D228-8TT/dp/B01K76W5UE/ref=sr_1_1?keywords=Klein+Tools+D228-8TT+Diagonal+Cutting+Pliers%2C+High-Leverage%2C+Tie+Ring%2C+8-Inch&amp;qid=1695174247&amp;sr=8-1")</f>
        <v>https://www.amazon.com/Leverage-Diagonal-Klein-Tools-D228-8TT/dp/B01K76W5UE/ref=sr_1_1?keywords=Klein+Tools+D228-8TT+Diagonal+Cutting+Pliers%2C+High-Leverage%2C+Tie+Ring%2C+8-Inch&amp;qid=1695174247&amp;sr=8-1</v>
      </c>
      <c r="F6025" t="s">
        <v>8055</v>
      </c>
      <c r="G6025" t="e">
        <f ca="1">_xludf.IMAGE("https://edmondsonsupply.com/cdn/shop/products/d2288tt.jpg?v=1633031129")</f>
        <v>#NAME?</v>
      </c>
      <c r="H6025" t="e">
        <f ca="1">_xludf.IMAGE("https://m.media-amazon.com/images/I/41Jkh6uEiRL._AC_UL320_.jpg")</f>
        <v>#NAME?</v>
      </c>
      <c r="I6025" t="s">
        <v>3578</v>
      </c>
      <c r="J6025">
        <v>32.99</v>
      </c>
      <c r="K6025" s="4">
        <v>0</v>
      </c>
      <c r="L6025">
        <v>5</v>
      </c>
      <c r="M6025">
        <v>16</v>
      </c>
      <c r="O6025" t="s">
        <v>25</v>
      </c>
      <c r="P6025" t="s">
        <v>7792</v>
      </c>
      <c r="Q6025" t="s">
        <v>8056</v>
      </c>
    </row>
    <row r="6026" spans="1:17" ht="15.5" x14ac:dyDescent="0.35">
      <c r="A6026"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6026" s="3" t="str">
        <f>HYPERLINK("https://edmondsonsupply.com/products/klein-tools-pnd-12-5-1-2-inch-power-nut-driver-5-inch-length", "https://edmondsonsupply.com/products/klein-tools-pnd-12-5-1-2-inch-power-nut-driver-5-inch-length")</f>
        <v>https://edmondsonsupply.com/products/klein-tools-pnd-12-5-1-2-inch-power-nut-driver-5-inch-length</v>
      </c>
      <c r="C6026" t="s">
        <v>1684</v>
      </c>
      <c r="D6026" t="s">
        <v>4662</v>
      </c>
      <c r="E6026" s="3" t="str">
        <f>HYPERLINK("https://www.amazon.com/2-Inch-Driver-Klein-Tools-PND125/dp/B00ELGQJT0/ref=sr_1_1?keywords=Klein+Tools+PND-12-5+1%2F2-Inch+Power+Nut+Driver+5-Inch+Length&amp;qid=1695173880&amp;sr=8-1", "https://www.amazon.com/2-Inch-Driver-Klein-Tools-PND125/dp/B00ELGQJT0/ref=sr_1_1?keywords=Klein+Tools+PND-12-5+1%2F2-Inch+Power+Nut+Driver+5-Inch+Length&amp;qid=1695173880&amp;sr=8-1")</f>
        <v>https://www.amazon.com/2-Inch-Driver-Klein-Tools-PND125/dp/B00ELGQJT0/ref=sr_1_1?keywords=Klein+Tools+PND-12-5+1%2F2-Inch+Power+Nut+Driver+5-Inch+Length&amp;qid=1695173880&amp;sr=8-1</v>
      </c>
      <c r="F6026" t="s">
        <v>4663</v>
      </c>
      <c r="G6026" t="e">
        <f ca="1">_xludf.IMAGE("https://edmondsonsupply.com/cdn/shop/products/pnd125.jpg?v=1633031028")</f>
        <v>#NAME?</v>
      </c>
      <c r="H6026" t="e">
        <f ca="1">_xludf.IMAGE("https://m.media-amazon.com/images/I/41vRVkuMIDL._AC_UL320_.jpg")</f>
        <v>#NAME?</v>
      </c>
      <c r="I6026" t="s">
        <v>1687</v>
      </c>
      <c r="J6026">
        <v>18.989999999999998</v>
      </c>
      <c r="K6026" s="4">
        <v>0</v>
      </c>
      <c r="L6026">
        <v>4.5999999999999996</v>
      </c>
      <c r="M6026">
        <v>1108</v>
      </c>
      <c r="O6026" t="s">
        <v>25</v>
      </c>
      <c r="P6026" t="s">
        <v>1688</v>
      </c>
      <c r="Q6026" t="s">
        <v>1689</v>
      </c>
    </row>
    <row r="6027" spans="1:17" ht="15.5" x14ac:dyDescent="0.35">
      <c r="A6027" s="3" t="str">
        <f>HYPERLINK("https://edmondsonsupply.com/collections/electricians-tools/products/klein-tools-56251-wire-marker-book-120-240v-3-phase-1-48", "https://edmondsonsupply.com/collections/electricians-tools/products/klein-tools-56251-wire-marker-book-120-240v-3-phase-1-48")</f>
        <v>https://edmondsonsupply.com/collections/electricians-tools/products/klein-tools-56251-wire-marker-book-120-240v-3-phase-1-48</v>
      </c>
      <c r="B6027" s="3" t="str">
        <f>HYPERLINK("https://edmondsonsupply.com/products/klein-tools-56251-wire-marker-book-120-240v-3-phase-1-48", "https://edmondsonsupply.com/products/klein-tools-56251-wire-marker-book-120-240v-3-phase-1-48")</f>
        <v>https://edmondsonsupply.com/products/klein-tools-56251-wire-marker-book-120-240v-3-phase-1-48</v>
      </c>
      <c r="C6027" t="s">
        <v>8057</v>
      </c>
      <c r="D6027" t="s">
        <v>8058</v>
      </c>
      <c r="E6027" s="3" t="str">
        <f>HYPERLINK("https://www.amazon.com/Marker-Phase-Klein-Tools-56251/dp/B073YYNDLS/ref=sr_1_1?keywords=Klein+Tools+56251+Wire+Marker+Book%2C+120%2F240V+3+Phase+1-48&amp;qid=1695174230&amp;sr=8-1", "https://www.amazon.com/Marker-Phase-Klein-Tools-56251/dp/B073YYNDLS/ref=sr_1_1?keywords=Klein+Tools+56251+Wire+Marker+Book%2C+120%2F240V+3+Phase+1-48&amp;qid=1695174230&amp;sr=8-1")</f>
        <v>https://www.amazon.com/Marker-Phase-Klein-Tools-56251/dp/B073YYNDLS/ref=sr_1_1?keywords=Klein+Tools+56251+Wire+Marker+Book%2C+120%2F240V+3+Phase+1-48&amp;qid=1695174230&amp;sr=8-1</v>
      </c>
      <c r="F6027" t="s">
        <v>8059</v>
      </c>
      <c r="G6027" t="e">
        <f ca="1">_xludf.IMAGE("https://edmondsonsupply.com/cdn/shop/products/56251.jpg?v=1639847162")</f>
        <v>#NAME?</v>
      </c>
      <c r="H6027" t="e">
        <f ca="1">_xludf.IMAGE("https://m.media-amazon.com/images/I/61kdgic4ssL._AC_UL320_.jpg")</f>
        <v>#NAME?</v>
      </c>
      <c r="I6027" t="s">
        <v>2337</v>
      </c>
      <c r="J6027">
        <v>11.99</v>
      </c>
      <c r="K6027" s="4">
        <v>0</v>
      </c>
      <c r="L6027">
        <v>4.7</v>
      </c>
      <c r="M6027">
        <v>1057</v>
      </c>
      <c r="O6027" t="s">
        <v>25</v>
      </c>
      <c r="P6027" t="s">
        <v>8060</v>
      </c>
      <c r="Q6027" t="s">
        <v>8061</v>
      </c>
    </row>
    <row r="6028" spans="1:17" ht="15.5" x14ac:dyDescent="0.35">
      <c r="A6028" s="3" t="str">
        <f>HYPERLINK("https://edmondsonsupply.com/collections/electricians-tools/products/klein-tools-50350-13-inch-flexible-fish-tape-leader", "https://edmondsonsupply.com/collections/electricians-tools/products/klein-tools-50350-13-inch-flexible-fish-tape-leader")</f>
        <v>https://edmondsonsupply.com/collections/electricians-tools/products/klein-tools-50350-13-inch-flexible-fish-tape-leader</v>
      </c>
      <c r="B6028" s="3" t="str">
        <f>HYPERLINK("https://edmondsonsupply.com/products/klein-tools-50350-13-inch-flexible-fish-tape-leader", "https://edmondsonsupply.com/products/klein-tools-50350-13-inch-flexible-fish-tape-leader")</f>
        <v>https://edmondsonsupply.com/products/klein-tools-50350-13-inch-flexible-fish-tape-leader</v>
      </c>
      <c r="C6028" t="s">
        <v>8062</v>
      </c>
      <c r="D6028" t="s">
        <v>8063</v>
      </c>
      <c r="E6028" s="3" t="str">
        <f>HYPERLINK("https://www.amazon.com/13-Inch-Flexible-Klein-Tools-50350/dp/B000WMS9KY/ref=sr_1_1?keywords=Klein+Tools+50350+13-Inch+Flexible+Fish+Tape+Leader&amp;qid=1695174233&amp;sr=8-1", "https://www.amazon.com/13-Inch-Flexible-Klein-Tools-50350/dp/B000WMS9KY/ref=sr_1_1?keywords=Klein+Tools+50350+13-Inch+Flexible+Fish+Tape+Leader&amp;qid=1695174233&amp;sr=8-1")</f>
        <v>https://www.amazon.com/13-Inch-Flexible-Klein-Tools-50350/dp/B000WMS9KY/ref=sr_1_1?keywords=Klein+Tools+50350+13-Inch+Flexible+Fish+Tape+Leader&amp;qid=1695174233&amp;sr=8-1</v>
      </c>
      <c r="F6028" t="s">
        <v>8064</v>
      </c>
      <c r="G6028" t="e">
        <f ca="1">_xludf.IMAGE("https://edmondsonsupply.com/cdn/shop/files/50350.jpg?v=1685458150")</f>
        <v>#NAME?</v>
      </c>
      <c r="H6028" t="e">
        <f ca="1">_xludf.IMAGE("https://m.media-amazon.com/images/I/311RIlnDdfL._AC_UL320_.jpg")</f>
        <v>#NAME?</v>
      </c>
      <c r="I6028" t="s">
        <v>893</v>
      </c>
      <c r="J6028">
        <v>19.97</v>
      </c>
      <c r="K6028" s="4">
        <v>0</v>
      </c>
      <c r="L6028">
        <v>4.5</v>
      </c>
      <c r="M6028">
        <v>113</v>
      </c>
      <c r="O6028" t="s">
        <v>25</v>
      </c>
      <c r="P6028" t="s">
        <v>8065</v>
      </c>
      <c r="Q6028" t="s">
        <v>8066</v>
      </c>
    </row>
    <row r="6029" spans="1:17" ht="15.5" x14ac:dyDescent="0.35">
      <c r="A6029" s="3" t="str">
        <f>HYPERLINK("https://edmondsonsupply.com/collections/electricians-tools/products/klein-tools-63225-high-leverage-cable-cutter", "https://edmondsonsupply.com/collections/electricians-tools/products/klein-tools-63225-high-leverage-cable-cutter")</f>
        <v>https://edmondsonsupply.com/collections/electricians-tools/products/klein-tools-63225-high-leverage-cable-cutter</v>
      </c>
      <c r="B6029" s="3" t="str">
        <f>HYPERLINK("https://edmondsonsupply.com/products/klein-tools-63225-high-leverage-cable-cutter", "https://edmondsonsupply.com/products/klein-tools-63225-high-leverage-cable-cutter")</f>
        <v>https://edmondsonsupply.com/products/klein-tools-63225-high-leverage-cable-cutter</v>
      </c>
      <c r="C6029" t="s">
        <v>8067</v>
      </c>
      <c r="D6029" t="s">
        <v>8068</v>
      </c>
      <c r="E6029" s="3" t="str">
        <f>HYPERLINK("https://www.amazon.com/9-Inch-Leverage-Aluminum-Communication-63225/dp/B08HC6N4J9/ref=sr_1_1?keywords=Klein+Tools+63225+High-Leverage+Cable+Cutter&amp;qid=1695174237&amp;sr=8-1", "https://www.amazon.com/9-Inch-Leverage-Aluminum-Communication-63225/dp/B08HC6N4J9/ref=sr_1_1?keywords=Klein+Tools+63225+High-Leverage+Cable+Cutter&amp;qid=1695174237&amp;sr=8-1")</f>
        <v>https://www.amazon.com/9-Inch-Leverage-Aluminum-Communication-63225/dp/B08HC6N4J9/ref=sr_1_1?keywords=Klein+Tools+63225+High-Leverage+Cable+Cutter&amp;qid=1695174237&amp;sr=8-1</v>
      </c>
      <c r="F6029" t="s">
        <v>8069</v>
      </c>
      <c r="G6029" t="e">
        <f ca="1">_xludf.IMAGE("https://edmondsonsupply.com/cdn/shop/products/63225_b.jpg?v=1633031163")</f>
        <v>#NAME?</v>
      </c>
      <c r="H6029" t="e">
        <f ca="1">_xludf.IMAGE("https://m.media-amazon.com/images/I/61tIrGUcq0L._AC_UL320_.jpg")</f>
        <v>#NAME?</v>
      </c>
      <c r="I6029" t="s">
        <v>8070</v>
      </c>
      <c r="J6029">
        <v>35.97</v>
      </c>
      <c r="K6029" s="4">
        <v>0</v>
      </c>
      <c r="L6029">
        <v>4.7</v>
      </c>
      <c r="M6029">
        <v>428</v>
      </c>
      <c r="O6029" t="s">
        <v>25</v>
      </c>
      <c r="P6029" t="s">
        <v>8071</v>
      </c>
      <c r="Q6029" t="s">
        <v>8072</v>
      </c>
    </row>
    <row r="6030" spans="1:17" ht="15.5" x14ac:dyDescent="0.35">
      <c r="A6030" s="3" t="str">
        <f>HYPERLINK("https://edmondsonsupply.com/collections/electricians-tools/products/rack-a-tiers-77455-bend-all-cable-bender", "https://edmondsonsupply.com/collections/electricians-tools/products/rack-a-tiers-77455-bend-all-cable-bender")</f>
        <v>https://edmondsonsupply.com/collections/electricians-tools/products/rack-a-tiers-77455-bend-all-cable-bender</v>
      </c>
      <c r="B6030" s="3" t="str">
        <f>HYPERLINK("https://edmondsonsupply.com/products/rack-a-tiers-77455-bend-all-cable-bender", "https://edmondsonsupply.com/products/rack-a-tiers-77455-bend-all-cable-bender")</f>
        <v>https://edmondsonsupply.com/products/rack-a-tiers-77455-bend-all-cable-bender</v>
      </c>
      <c r="C6030" t="s">
        <v>8073</v>
      </c>
      <c r="D6030" t="s">
        <v>8074</v>
      </c>
      <c r="E6030" s="3" t="str">
        <f>HYPERLINK("https://www.amazon.com/77455-Bend-All-Knuckle-Enclosures-3AWG-500-Centimeter/dp/B00QW2AZ9G/ref=sr_1_1?keywords=Rack-A-Tiers+77455+Bend-All+Cable+Bender&amp;qid=1695173874&amp;sr=8-1", "https://www.amazon.com/77455-Bend-All-Knuckle-Enclosures-3AWG-500-Centimeter/dp/B00QW2AZ9G/ref=sr_1_1?keywords=Rack-A-Tiers+77455+Bend-All+Cable+Bender&amp;qid=1695173874&amp;sr=8-1")</f>
        <v>https://www.amazon.com/77455-Bend-All-Knuckle-Enclosures-3AWG-500-Centimeter/dp/B00QW2AZ9G/ref=sr_1_1?keywords=Rack-A-Tiers+77455+Bend-All+Cable+Bender&amp;qid=1695173874&amp;sr=8-1</v>
      </c>
      <c r="F6030" t="s">
        <v>8075</v>
      </c>
      <c r="G6030" t="e">
        <f ca="1">_xludf.IMAGE("https://edmondsonsupply.com/cdn/shop/products/rack-a-tiers-wire-strippers-77455-64_1000.jpg?v=1587150308")</f>
        <v>#NAME?</v>
      </c>
      <c r="H6030" t="e">
        <f ca="1">_xludf.IMAGE("https://m.media-amazon.com/images/I/51YVlmUS7HL._AC_UL320_.jpg")</f>
        <v>#NAME?</v>
      </c>
      <c r="I6030" t="s">
        <v>3930</v>
      </c>
      <c r="J6030">
        <v>38.99</v>
      </c>
      <c r="K6030" s="4">
        <v>0</v>
      </c>
      <c r="L6030">
        <v>4.4000000000000004</v>
      </c>
      <c r="M6030">
        <v>688</v>
      </c>
      <c r="O6030" t="s">
        <v>25</v>
      </c>
      <c r="P6030" t="s">
        <v>5535</v>
      </c>
      <c r="Q6030" t="s">
        <v>8076</v>
      </c>
    </row>
    <row r="6031" spans="1:17" ht="15.5" x14ac:dyDescent="0.35">
      <c r="A6031"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6031"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6031" t="s">
        <v>7296</v>
      </c>
      <c r="D6031" t="s">
        <v>8077</v>
      </c>
      <c r="E6031" s="3" t="str">
        <f>HYPERLINK("https://www.amazon.com/Driver-3-Inch-Klein-Tools-631/dp/B0000BYEPS/ref=sr_1_4?keywords=Klein+Tools+631+Nut+Driver+Set%2C+3-Inch+Shafts%2C+Cushion+Grip%2C+7-Piece&amp;qid=1695174239&amp;sr=8-4", "https://www.amazon.com/Driver-3-Inch-Klein-Tools-631/dp/B0000BYEPS/ref=sr_1_4?keywords=Klein+Tools+631+Nut+Driver+Set%2C+3-Inch+Shafts%2C+Cushion+Grip%2C+7-Piece&amp;qid=1695174239&amp;sr=8-4")</f>
        <v>https://www.amazon.com/Driver-3-Inch-Klein-Tools-631/dp/B0000BYEPS/ref=sr_1_4?keywords=Klein+Tools+631+Nut+Driver+Set%2C+3-Inch+Shafts%2C+Cushion+Grip%2C+7-Piece&amp;qid=1695174239&amp;sr=8-4</v>
      </c>
      <c r="F6031" t="s">
        <v>8078</v>
      </c>
      <c r="G6031" t="e">
        <f ca="1">_xludf.IMAGE("https://edmondsonsupply.com/cdn/shop/products/631.jpg?v=1632441079")</f>
        <v>#NAME?</v>
      </c>
      <c r="H6031" t="e">
        <f ca="1">_xludf.IMAGE("https://m.media-amazon.com/images/I/61TOWXMg3oL._AC_UL320_.jpg")</f>
        <v>#NAME?</v>
      </c>
      <c r="I6031" t="s">
        <v>905</v>
      </c>
      <c r="J6031">
        <v>59.99</v>
      </c>
      <c r="K6031" s="4">
        <v>0</v>
      </c>
      <c r="L6031">
        <v>4.8</v>
      </c>
      <c r="M6031">
        <v>1147</v>
      </c>
      <c r="O6031" t="s">
        <v>25</v>
      </c>
      <c r="P6031" t="s">
        <v>7297</v>
      </c>
      <c r="Q6031" t="s">
        <v>7298</v>
      </c>
    </row>
    <row r="6032" spans="1:17" ht="15.5" x14ac:dyDescent="0.35">
      <c r="A6032" s="3" t="str">
        <f>HYPERLINK("https://edmondsonsupply.com/collections/electricians-tools/products/klein-tools-832-26-linemans-claw-milled-hammer", "https://edmondsonsupply.com/collections/electricians-tools/products/klein-tools-832-26-linemans-claw-milled-hammer")</f>
        <v>https://edmondsonsupply.com/collections/electricians-tools/products/klein-tools-832-26-linemans-claw-milled-hammer</v>
      </c>
      <c r="B6032" s="3" t="str">
        <f>HYPERLINK("https://edmondsonsupply.com/products/klein-tools-832-26-linemans-claw-milled-hammer", "https://edmondsonsupply.com/products/klein-tools-832-26-linemans-claw-milled-hammer")</f>
        <v>https://edmondsonsupply.com/products/klein-tools-832-26-linemans-claw-milled-hammer</v>
      </c>
      <c r="C6032" t="s">
        <v>7480</v>
      </c>
      <c r="D6032" t="s">
        <v>8079</v>
      </c>
      <c r="E6032" s="3" t="str">
        <f>HYPERLINK("https://www.amazon.com/Klein-Tools-832-26-Linemans-Fiberglass/dp/B08LPYBCR9/ref=sr_1_1?keywords=Klein+Tools+832-26+Lineman%27s+Claw+Milled+Hammer&amp;qid=1695174242&amp;sr=8-1", "https://www.amazon.com/Klein-Tools-832-26-Linemans-Fiberglass/dp/B08LPYBCR9/ref=sr_1_1?keywords=Klein+Tools+832-26+Lineman%27s+Claw+Milled+Hammer&amp;qid=1695174242&amp;sr=8-1")</f>
        <v>https://www.amazon.com/Klein-Tools-832-26-Linemans-Fiberglass/dp/B08LPYBCR9/ref=sr_1_1?keywords=Klein+Tools+832-26+Lineman%27s+Claw+Milled+Hammer&amp;qid=1695174242&amp;sr=8-1</v>
      </c>
      <c r="F6032" t="s">
        <v>8080</v>
      </c>
      <c r="G6032" t="e">
        <f ca="1">_xludf.IMAGE("https://edmondsonsupply.com/cdn/shop/products/83226_b.jpg?v=1648164275")</f>
        <v>#NAME?</v>
      </c>
      <c r="H6032" t="e">
        <f ca="1">_xludf.IMAGE("https://m.media-amazon.com/images/I/51Mm300N+bL._AC_UL320_.jpg")</f>
        <v>#NAME?</v>
      </c>
      <c r="I6032" t="s">
        <v>7483</v>
      </c>
      <c r="J6032">
        <v>46.21</v>
      </c>
      <c r="K6032" s="4">
        <v>0</v>
      </c>
      <c r="L6032">
        <v>4.7</v>
      </c>
      <c r="M6032">
        <v>351</v>
      </c>
      <c r="O6032" t="s">
        <v>25</v>
      </c>
      <c r="P6032" t="s">
        <v>7484</v>
      </c>
      <c r="Q6032" t="s">
        <v>7485</v>
      </c>
    </row>
    <row r="6033" spans="1:17" ht="15.5" x14ac:dyDescent="0.35">
      <c r="A6033"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6033"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6033" t="s">
        <v>6963</v>
      </c>
      <c r="D6033" t="s">
        <v>6101</v>
      </c>
      <c r="E6033" s="3" t="str">
        <f>HYPERLINK("https://www.amazon.com/Klein-Tools-51603-Conduit-Features/dp/B08W6GJTHW/ref=sr_1_1?keywords=Klein+Tools+51603+Iron+Conduit+Bender+Full+Assembly%2C+1%2F2-Inch+EMT+with+Angle+Setter%E2%84%A2&amp;qid=1695173919&amp;sr=8-1", "https://www.amazon.com/Klein-Tools-51603-Conduit-Features/dp/B08W6GJTHW/ref=sr_1_1?keywords=Klein+Tools+51603+Iron+Conduit+Bender+Full+Assembly%2C+1%2F2-Inch+EMT+with+Angle+Setter%E2%84%A2&amp;qid=1695173919&amp;sr=8-1")</f>
        <v>https://www.amazon.com/Klein-Tools-51603-Conduit-Features/dp/B08W6GJTHW/ref=sr_1_1?keywords=Klein+Tools+51603+Iron+Conduit+Bender+Full+Assembly%2C+1%2F2-Inch+EMT+with+Angle+Setter%E2%84%A2&amp;qid=1695173919&amp;sr=8-1</v>
      </c>
      <c r="F6033" t="s">
        <v>6102</v>
      </c>
      <c r="G6033" t="e">
        <f ca="1">_xludf.IMAGE("https://edmondsonsupply.com/cdn/shop/products/51604.jpg?v=1663940749")</f>
        <v>#NAME?</v>
      </c>
      <c r="H6033" t="e">
        <f ca="1">_xludf.IMAGE("https://m.media-amazon.com/images/I/31lf3y-9bSL._AC_UL320_.jpg")</f>
        <v>#NAME?</v>
      </c>
      <c r="I6033" t="s">
        <v>905</v>
      </c>
      <c r="J6033">
        <v>59.99</v>
      </c>
      <c r="K6033" s="4">
        <v>0</v>
      </c>
      <c r="L6033">
        <v>4.9000000000000004</v>
      </c>
      <c r="M6033">
        <v>31</v>
      </c>
      <c r="O6033" t="s">
        <v>25</v>
      </c>
      <c r="P6033" t="s">
        <v>6964</v>
      </c>
      <c r="Q6033" t="s">
        <v>6965</v>
      </c>
    </row>
    <row r="6034" spans="1:17" ht="15.5" x14ac:dyDescent="0.35">
      <c r="A6034" s="3" t="str">
        <f>HYPERLINK("https://edmondsonsupply.com/collections/electricians-tools/products/klein-tools-32717-all-in-1-precision-screwdriver-set-with-case", "https://edmondsonsupply.com/collections/electricians-tools/products/klein-tools-32717-all-in-1-precision-screwdriver-set-with-case")</f>
        <v>https://edmondsonsupply.com/collections/electricians-tools/products/klein-tools-32717-all-in-1-precision-screwdriver-set-with-case</v>
      </c>
      <c r="B6034" s="3" t="str">
        <f>HYPERLINK("https://edmondsonsupply.com/products/klein-tools-32717-all-in-1-precision-screwdriver-set-with-case", "https://edmondsonsupply.com/products/klein-tools-32717-all-in-1-precision-screwdriver-set-with-case")</f>
        <v>https://edmondsonsupply.com/products/klein-tools-32717-all-in-1-precision-screwdriver-set-with-case</v>
      </c>
      <c r="C6034" t="s">
        <v>6701</v>
      </c>
      <c r="D6034" t="s">
        <v>8081</v>
      </c>
      <c r="E6034" s="3" t="str">
        <f>HYPERLINK("https://www.amazon.com/Klein-Tools-32717-Screwdriver-Multi-Function/dp/B08DRVM38X/ref=sr_1_1?keywords=Klein+Tools+32717+All-in-1+Precision+Screwdriver+Set+with+Case&amp;qid=1695174242&amp;sr=8-1", "https://www.amazon.com/Klein-Tools-32717-Screwdriver-Multi-Function/dp/B08DRVM38X/ref=sr_1_1?keywords=Klein+Tools+32717+All-in-1+Precision+Screwdriver+Set+with+Case&amp;qid=1695174242&amp;sr=8-1")</f>
        <v>https://www.amazon.com/Klein-Tools-32717-Screwdriver-Multi-Function/dp/B08DRVM38X/ref=sr_1_1?keywords=Klein+Tools+32717+All-in-1+Precision+Screwdriver+Set+with+Case&amp;qid=1695174242&amp;sr=8-1</v>
      </c>
      <c r="F6034" t="s">
        <v>8082</v>
      </c>
      <c r="G6034" t="e">
        <f ca="1">_xludf.IMAGE("https://edmondsonsupply.com/cdn/shop/products/32717.jpg?v=1633031161")</f>
        <v>#NAME?</v>
      </c>
      <c r="H6034" t="e">
        <f ca="1">_xludf.IMAGE("https://m.media-amazon.com/images/I/61tO1q+ldhL._AC_UL320_.jpg")</f>
        <v>#NAME?</v>
      </c>
      <c r="I6034" t="s">
        <v>824</v>
      </c>
      <c r="J6034">
        <v>29.97</v>
      </c>
      <c r="K6034" s="4">
        <v>0</v>
      </c>
      <c r="L6034">
        <v>4.9000000000000004</v>
      </c>
      <c r="M6034">
        <v>2770</v>
      </c>
      <c r="O6034" t="s">
        <v>25</v>
      </c>
      <c r="P6034" t="s">
        <v>562</v>
      </c>
      <c r="Q6034" t="s">
        <v>6704</v>
      </c>
    </row>
    <row r="6035" spans="1:17" ht="15.5" x14ac:dyDescent="0.35">
      <c r="A6035" s="3" t="str">
        <f>HYPERLINK("https://edmondsonsupply.com/collections/electricians-tools/products/klein-tools-et180-digital-differential-manometer", "https://edmondsonsupply.com/collections/electricians-tools/products/klein-tools-et180-digital-differential-manometer")</f>
        <v>https://edmondsonsupply.com/collections/electricians-tools/products/klein-tools-et180-digital-differential-manometer</v>
      </c>
      <c r="B6035" s="3" t="str">
        <f>HYPERLINK("https://edmondsonsupply.com/products/klein-tools-et180-digital-differential-manometer", "https://edmondsonsupply.com/products/klein-tools-et180-digital-differential-manometer")</f>
        <v>https://edmondsonsupply.com/products/klein-tools-et180-digital-differential-manometer</v>
      </c>
      <c r="C6035" t="s">
        <v>7509</v>
      </c>
      <c r="D6035" t="s">
        <v>8083</v>
      </c>
      <c r="E6035" s="3" t="str">
        <f>HYPERLINK("https://www.amazon.com/Manometer-Differential-Klein-Tools-ET180/dp/B099ZYCV1L/ref=sr_1_1?keywords=Klein+Tools+ET180+Digital+Differential+Manometer&amp;qid=1695173879&amp;sr=8-1", "https://www.amazon.com/Manometer-Differential-Klein-Tools-ET180/dp/B099ZYCV1L/ref=sr_1_1?keywords=Klein+Tools+ET180+Digital+Differential+Manometer&amp;qid=1695173879&amp;sr=8-1")</f>
        <v>https://www.amazon.com/Manometer-Differential-Klein-Tools-ET180/dp/B099ZYCV1L/ref=sr_1_1?keywords=Klein+Tools+ET180+Digital+Differential+Manometer&amp;qid=1695173879&amp;sr=8-1</v>
      </c>
      <c r="F6035" t="s">
        <v>8084</v>
      </c>
      <c r="G6035" t="e">
        <f ca="1">_xludf.IMAGE("https://edmondsonsupply.com/cdn/shop/products/et180.jpg?v=1664390112")</f>
        <v>#NAME?</v>
      </c>
      <c r="H6035" t="e">
        <f ca="1">_xludf.IMAGE("https://m.media-amazon.com/images/I/61Hi-kuZ5tL._AC_UY218_.jpg")</f>
        <v>#NAME?</v>
      </c>
      <c r="I6035" t="s">
        <v>7512</v>
      </c>
      <c r="J6035">
        <v>109.99</v>
      </c>
      <c r="K6035" s="4">
        <v>0</v>
      </c>
      <c r="L6035">
        <v>4.5999999999999996</v>
      </c>
      <c r="M6035">
        <v>286</v>
      </c>
      <c r="O6035" t="s">
        <v>25</v>
      </c>
      <c r="P6035" t="s">
        <v>7513</v>
      </c>
      <c r="Q6035" t="s">
        <v>7514</v>
      </c>
    </row>
    <row r="6036" spans="1:17" ht="15.5" x14ac:dyDescent="0.35">
      <c r="A6036" s="3" t="str">
        <f>HYPERLINK("https://edmondsonsupply.com/collections/electricians-tools/products/klein-tools-93ldm100c-compact-laser-distance-measure", "https://edmondsonsupply.com/collections/electricians-tools/products/klein-tools-93ldm100c-compact-laser-distance-measure")</f>
        <v>https://edmondsonsupply.com/collections/electricians-tools/products/klein-tools-93ldm100c-compact-laser-distance-measure</v>
      </c>
      <c r="B6036" s="3" t="str">
        <f>HYPERLINK("https://edmondsonsupply.com/products/klein-tools-93ldm100c-compact-laser-distance-measure", "https://edmondsonsupply.com/products/klein-tools-93ldm100c-compact-laser-distance-measure")</f>
        <v>https://edmondsonsupply.com/products/klein-tools-93ldm100c-compact-laser-distance-measure</v>
      </c>
      <c r="C6036" t="s">
        <v>4590</v>
      </c>
      <c r="D6036" t="s">
        <v>4591</v>
      </c>
      <c r="E6036" s="3" t="str">
        <f>HYPERLINK("https://www.amazon.com/Klein-Tools-93LDM100C-Compact-Distance/dp/B09VJS94G3/ref=sr_1_1?keywords=Klein+Tools+93LDM100C+Compact+Laser+Distance+Measure&amp;qid=1695173876&amp;sr=8-1", "https://www.amazon.com/Klein-Tools-93LDM100C-Compact-Distance/dp/B09VJS94G3/ref=sr_1_1?keywords=Klein+Tools+93LDM100C+Compact+Laser+Distance+Measure&amp;qid=1695173876&amp;sr=8-1")</f>
        <v>https://www.amazon.com/Klein-Tools-93LDM100C-Compact-Distance/dp/B09VJS94G3/ref=sr_1_1?keywords=Klein+Tools+93LDM100C+Compact+Laser+Distance+Measure&amp;qid=1695173876&amp;sr=8-1</v>
      </c>
      <c r="F6036" t="s">
        <v>4592</v>
      </c>
      <c r="G6036" t="e">
        <f ca="1">_xludf.IMAGE("https://edmondsonsupply.com/cdn/shop/products/93ldm100c.jpg?v=1666806501")</f>
        <v>#NAME?</v>
      </c>
      <c r="H6036" t="e">
        <f ca="1">_xludf.IMAGE("https://m.media-amazon.com/images/I/41mpZjYwkfL._AC_UL320_.jpg")</f>
        <v>#NAME?</v>
      </c>
      <c r="I6036" t="s">
        <v>340</v>
      </c>
      <c r="J6036">
        <v>34.97</v>
      </c>
      <c r="K6036" s="4">
        <v>0</v>
      </c>
      <c r="L6036">
        <v>4.5</v>
      </c>
      <c r="M6036">
        <v>259</v>
      </c>
      <c r="O6036" t="s">
        <v>25</v>
      </c>
      <c r="P6036" t="s">
        <v>4593</v>
      </c>
      <c r="Q6036" t="s">
        <v>4594</v>
      </c>
    </row>
    <row r="6037" spans="1:17" ht="15.5" x14ac:dyDescent="0.35">
      <c r="A6037"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6037" s="3" t="str">
        <f>HYPERLINK("https://edmondsonsupply.com/products/klein-tools-60511-heavy-duty-knee-pad-sleeves-m-l", "https://edmondsonsupply.com/products/klein-tools-60511-heavy-duty-knee-pad-sleeves-m-l")</f>
        <v>https://edmondsonsupply.com/products/klein-tools-60511-heavy-duty-knee-pad-sleeves-m-l</v>
      </c>
      <c r="C6037" t="s">
        <v>1024</v>
      </c>
      <c r="D6037" t="s">
        <v>1123</v>
      </c>
      <c r="E6037" s="3" t="str">
        <f>HYPERLINK("https://www.amazon.com/Klein-Tools-60511-Breathable-Slip-Resistant/dp/B0B7Z7YH75/ref=sr_1_1?keywords=Klein+Tools+60511+Heavy+Duty+Knee+Pad+Sleeves%2C+M%2FL&amp;qid=1695174162&amp;sr=8-1", "https://www.amazon.com/Klein-Tools-60511-Breathable-Slip-Resistant/dp/B0B7Z7YH75/ref=sr_1_1?keywords=Klein+Tools+60511+Heavy+Duty+Knee+Pad+Sleeves%2C+M%2FL&amp;qid=1695174162&amp;sr=8-1")</f>
        <v>https://www.amazon.com/Klein-Tools-60511-Breathable-Slip-Resistant/dp/B0B7Z7YH75/ref=sr_1_1?keywords=Klein+Tools+60511+Heavy+Duty+Knee+Pad+Sleeves%2C+M%2FL&amp;qid=1695174162&amp;sr=8-1</v>
      </c>
      <c r="F6037" t="s">
        <v>1124</v>
      </c>
      <c r="G6037" t="e">
        <f ca="1">_xludf.IMAGE("https://edmondsonsupply.com/cdn/shop/products/60511_60611_b.jpg?v=1663253024")</f>
        <v>#NAME?</v>
      </c>
      <c r="H6037" t="e">
        <f ca="1">_xludf.IMAGE("https://m.media-amazon.com/images/I/61GkRqPok+L._AC_UL320_.jpg")</f>
        <v>#NAME?</v>
      </c>
      <c r="I6037" t="s">
        <v>198</v>
      </c>
      <c r="J6037">
        <v>39.99</v>
      </c>
      <c r="K6037" s="4">
        <v>0</v>
      </c>
      <c r="L6037">
        <v>4.2</v>
      </c>
      <c r="M6037">
        <v>322</v>
      </c>
      <c r="O6037" t="s">
        <v>25</v>
      </c>
      <c r="P6037" t="s">
        <v>1027</v>
      </c>
      <c r="Q6037" t="s">
        <v>1028</v>
      </c>
    </row>
    <row r="6038" spans="1:17" ht="15.5" x14ac:dyDescent="0.35">
      <c r="A6038" s="3" t="str">
        <f>HYPERLINK("https://edmondsonsupply.com/collections/electricians-tools/products/klein-tools-60486-cooling-pva-towel-high-visibility-yellow-2-pack", "https://edmondsonsupply.com/collections/electricians-tools/products/klein-tools-60486-cooling-pva-towel-high-visibility-yellow-2-pack")</f>
        <v>https://edmondsonsupply.com/collections/electricians-tools/products/klein-tools-60486-cooling-pva-towel-high-visibility-yellow-2-pack</v>
      </c>
      <c r="B6038" s="3" t="str">
        <f>HYPERLINK("https://edmondsonsupply.com/products/klein-tools-60486-cooling-pva-towel-high-visibility-yellow-2-pack", "https://edmondsonsupply.com/products/klein-tools-60486-cooling-pva-towel-high-visibility-yellow-2-pack")</f>
        <v>https://edmondsonsupply.com/products/klein-tools-60486-cooling-pva-towel-high-visibility-yellow-2-pack</v>
      </c>
      <c r="C6038" t="s">
        <v>8085</v>
      </c>
      <c r="D6038" t="s">
        <v>8086</v>
      </c>
      <c r="E6038" s="3" t="str">
        <f>HYPERLINK("https://www.amazon.com/Klein-Tools-60486-Evaporative-Technology/dp/B092XBY412/ref=sr_1_1?keywords=Klein+Tools+60486+Cooling+PVA+Towel%2C+High-Visibility+Yellow%2C+2-Pack&amp;qid=1695174163&amp;sr=8-1", "https://www.amazon.com/Klein-Tools-60486-Evaporative-Technology/dp/B092XBY412/ref=sr_1_1?keywords=Klein+Tools+60486+Cooling+PVA+Towel%2C+High-Visibility+Yellow%2C+2-Pack&amp;qid=1695174163&amp;sr=8-1")</f>
        <v>https://www.amazon.com/Klein-Tools-60486-Evaporative-Technology/dp/B092XBY412/ref=sr_1_1?keywords=Klein+Tools+60486+Cooling+PVA+Towel%2C+High-Visibility+Yellow%2C+2-Pack&amp;qid=1695174163&amp;sr=8-1</v>
      </c>
      <c r="F6038" t="s">
        <v>8087</v>
      </c>
      <c r="G6038" t="e">
        <f ca="1">_xludf.IMAGE("https://edmondsonsupply.com/cdn/shop/products/60486_b.jpg?v=1663690931")</f>
        <v>#NAME?</v>
      </c>
      <c r="H6038" t="e">
        <f ca="1">_xludf.IMAGE("https://m.media-amazon.com/images/I/51IdxJPDWlL._AC_UL320_.jpg")</f>
        <v>#NAME?</v>
      </c>
      <c r="I6038" t="s">
        <v>2577</v>
      </c>
      <c r="J6038">
        <v>9.99</v>
      </c>
      <c r="K6038" s="4">
        <v>0</v>
      </c>
      <c r="L6038">
        <v>4.8</v>
      </c>
      <c r="M6038">
        <v>13</v>
      </c>
      <c r="O6038" t="s">
        <v>25</v>
      </c>
      <c r="P6038" t="s">
        <v>1271</v>
      </c>
      <c r="Q6038" t="s">
        <v>8088</v>
      </c>
    </row>
    <row r="6039" spans="1:17" ht="15.5" x14ac:dyDescent="0.35">
      <c r="A6039" s="3" t="str">
        <f>HYPERLINK("https://edmondsonsupply.com/collections/electricians-tools/products/tajima-vrb2-100b-v-rex%E2%84%A2-ii-premium-tempered-steel-utility-knife-blades-100-blade-safety-dispenser", "https://edmondsonsupply.com/collections/electricians-tools/products/tajima-vrb2-100b-v-rex%E2%84%A2-ii-premium-tempered-steel-utility-knife-blades-100-blade-safety-dispenser")</f>
        <v>https://edmondsonsupply.com/collections/electricians-tools/products/tajima-vrb2-100b-v-rex%E2%84%A2-ii-premium-tempered-steel-utility-knife-blades-100-blade-safety-dispenser</v>
      </c>
      <c r="B6039" s="3" t="str">
        <f>HYPERLINK("https://edmondsonsupply.com/products/tajima-vrb2-100b-v-rex%e2%84%a2-ii-premium-tempered-steel-utility-knife-blades-100-blade-safety-dispenser", "https://edmondsonsupply.com/products/tajima-vrb2-100b-v-rex%e2%84%a2-ii-premium-tempered-steel-utility-knife-blades-100-blade-safety-dispenser")</f>
        <v>https://edmondsonsupply.com/products/tajima-vrb2-100b-v-rex%e2%84%a2-ii-premium-tempered-steel-utility-knife-blades-100-blade-safety-dispenser</v>
      </c>
      <c r="C6039" t="s">
        <v>4947</v>
      </c>
      <c r="D6039" t="s">
        <v>4948</v>
      </c>
      <c r="E6039" s="3" t="str">
        <f>HYPERLINK("https://www.amazon.com/Tajima-VRB2-100B-Premium-Tempered-100-Pack/dp/B00NY8R9OU/ref=sr_1_1?keywords=Tajima+VRB2-100B+V-REX%E2%84%A2+II%2C+Premium+Tempered+Steel+Utility+Knife+Blades%2C+100-Blade+Safety+Dispenser&amp;qid=1695173876&amp;sr=8-1", "https://www.amazon.com/Tajima-VRB2-100B-Premium-Tempered-100-Pack/dp/B00NY8R9OU/ref=sr_1_1?keywords=Tajima+VRB2-100B+V-REX%E2%84%A2+II%2C+Premium+Tempered+Steel+Utility+Knife+Blades%2C+100-Blade+Safety+Dispenser&amp;qid=1695173876&amp;sr=8-1")</f>
        <v>https://www.amazon.com/Tajima-VRB2-100B-Premium-Tempered-100-Pack/dp/B00NY8R9OU/ref=sr_1_1?keywords=Tajima+VRB2-100B+V-REX%E2%84%A2+II%2C+Premium+Tempered+Steel+Utility+Knife+Blades%2C+100-Blade+Safety+Dispenser&amp;qid=1695173876&amp;sr=8-1</v>
      </c>
      <c r="F6039" t="s">
        <v>4949</v>
      </c>
      <c r="G6039" t="e">
        <f ca="1">_xludf.IMAGE("https://edmondsonsupply.com/cdn/shop/products/VRB2-100B.jpg?v=1633031166")</f>
        <v>#NAME?</v>
      </c>
      <c r="H6039" t="e">
        <f ca="1">_xludf.IMAGE("https://m.media-amazon.com/images/I/818qmSUapWL._AC_UL320_.jpg")</f>
        <v>#NAME?</v>
      </c>
      <c r="I6039" t="s">
        <v>8089</v>
      </c>
      <c r="J6039">
        <v>32.869999999999997</v>
      </c>
      <c r="K6039" s="4">
        <v>0</v>
      </c>
      <c r="L6039">
        <v>4.8</v>
      </c>
      <c r="M6039">
        <v>236</v>
      </c>
      <c r="O6039" t="s">
        <v>25</v>
      </c>
      <c r="P6039" t="s">
        <v>4950</v>
      </c>
      <c r="Q6039" t="s">
        <v>4951</v>
      </c>
    </row>
    <row r="6040" spans="1:17" ht="15.5" x14ac:dyDescent="0.35">
      <c r="A6040" s="3" t="str">
        <f>HYPERLINK("https://edmondsonsupply.com/collections/electricians-tools/products/klein-tools-j215-8cr-hybrid-pliers", "https://edmondsonsupply.com/collections/electricians-tools/products/klein-tools-j215-8cr-hybrid-pliers")</f>
        <v>https://edmondsonsupply.com/collections/electricians-tools/products/klein-tools-j215-8cr-hybrid-pliers</v>
      </c>
      <c r="B6040" s="3" t="str">
        <f>HYPERLINK("https://edmondsonsupply.com/products/klein-tools-j215-8cr-hybrid-pliers", "https://edmondsonsupply.com/products/klein-tools-j215-8cr-hybrid-pliers")</f>
        <v>https://edmondsonsupply.com/products/klein-tools-j215-8cr-hybrid-pliers</v>
      </c>
      <c r="C6040" t="s">
        <v>8090</v>
      </c>
      <c r="D6040" t="s">
        <v>8091</v>
      </c>
      <c r="E6040" s="3" t="str">
        <f>HYPERLINK("https://www.amazon.com/Shearing-Stripper-Klein-Tools-J215-8CR/dp/B07BX7QJYH/ref=sr_1_1?keywords=Klein+Tools+J215-8CR+Hybrid+Pliers&amp;qid=1695174248&amp;sr=8-1", "https://www.amazon.com/Shearing-Stripper-Klein-Tools-J215-8CR/dp/B07BX7QJYH/ref=sr_1_1?keywords=Klein+Tools+J215-8CR+Hybrid+Pliers&amp;qid=1695174248&amp;sr=8-1")</f>
        <v>https://www.amazon.com/Shearing-Stripper-Klein-Tools-J215-8CR/dp/B07BX7QJYH/ref=sr_1_1?keywords=Klein+Tools+J215-8CR+Hybrid+Pliers&amp;qid=1695174248&amp;sr=8-1</v>
      </c>
      <c r="F6040" t="s">
        <v>8092</v>
      </c>
      <c r="G6040" t="e">
        <f ca="1">_xludf.IMAGE("https://edmondsonsupply.com/cdn/shop/products/j2158cr.jpg?v=1633031183")</f>
        <v>#NAME?</v>
      </c>
      <c r="H6040" t="e">
        <f ca="1">_xludf.IMAGE("https://m.media-amazon.com/images/I/51MjjHHAeHL._AC_UL320_.jpg")</f>
        <v>#NAME?</v>
      </c>
      <c r="I6040" t="s">
        <v>246</v>
      </c>
      <c r="J6040">
        <v>39.97</v>
      </c>
      <c r="K6040" s="4">
        <v>0</v>
      </c>
      <c r="L6040">
        <v>4.7</v>
      </c>
      <c r="M6040">
        <v>2958</v>
      </c>
      <c r="O6040" t="s">
        <v>25</v>
      </c>
      <c r="P6040" t="s">
        <v>1027</v>
      </c>
      <c r="Q6040" t="s">
        <v>8093</v>
      </c>
    </row>
    <row r="6041" spans="1:17" ht="15.5" x14ac:dyDescent="0.35">
      <c r="A6041" s="3" t="str">
        <f>HYPERLINK("https://edmondsonsupply.com/collections/electricians-tools/products/klein-tools-55421bp-14-tradesman-pro%E2%84%A2-tool-bag-backpack-39-pockets-black-14-inch", "https://edmondsonsupply.com/collections/electricians-tools/products/klein-tools-55421bp-14-tradesman-pro%E2%84%A2-tool-bag-backpack-39-pockets-black-14-inch")</f>
        <v>https://edmondsonsupply.com/collections/electricians-tools/products/klein-tools-55421bp-14-tradesman-pro%E2%84%A2-tool-bag-backpack-39-pockets-black-14-inch</v>
      </c>
      <c r="B6041"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6041" t="s">
        <v>542</v>
      </c>
      <c r="D6041" t="s">
        <v>543</v>
      </c>
      <c r="E6041" s="3" t="str">
        <f>HYPERLINK("https://www.amazon.com/Electrician-Tradesman-Klein-Tools-55421BP-14/dp/B00MK9UY0A/ref=sr_1_1?keywords=Klein+Tools+55421BP-14+Tradesman+Pro%E2%84%A2+Tool+Bag+Backpack%2C+39+Pockets%2C+Black%2C+14-Inch&amp;qid=1695173876&amp;sr=8-1", "https://www.amazon.com/Electrician-Tradesman-Klein-Tools-55421BP-14/dp/B00MK9UY0A/ref=sr_1_1?keywords=Klein+Tools+55421BP-14+Tradesman+Pro%E2%84%A2+Tool+Bag+Backpack%2C+39+Pockets%2C+Black%2C+14-Inch&amp;qid=1695173876&amp;sr=8-1")</f>
        <v>https://www.amazon.com/Electrician-Tradesman-Klein-Tools-55421BP-14/dp/B00MK9UY0A/ref=sr_1_1?keywords=Klein+Tools+55421BP-14+Tradesman+Pro%E2%84%A2+Tool+Bag+Backpack%2C+39+Pockets%2C+Black%2C+14-Inch&amp;qid=1695173876&amp;sr=8-1</v>
      </c>
      <c r="F6041" t="s">
        <v>544</v>
      </c>
      <c r="G6041" t="e">
        <f ca="1">_xludf.IMAGE("https://edmondsonsupply.com/cdn/shop/products/55421bp-14_photo.jpg?v=1660827337")</f>
        <v>#NAME?</v>
      </c>
      <c r="H6041" t="e">
        <f ca="1">_xludf.IMAGE("https://m.media-amazon.com/images/I/611s5jIgqGL._AC_UL320_.jpg")</f>
        <v>#NAME?</v>
      </c>
      <c r="I6041" t="s">
        <v>545</v>
      </c>
      <c r="J6041">
        <v>99.97</v>
      </c>
      <c r="K6041" s="4">
        <v>0</v>
      </c>
      <c r="L6041">
        <v>4.7</v>
      </c>
      <c r="M6041">
        <v>4986</v>
      </c>
      <c r="O6041" t="s">
        <v>25</v>
      </c>
      <c r="P6041" t="s">
        <v>546</v>
      </c>
      <c r="Q6041" t="s">
        <v>547</v>
      </c>
    </row>
    <row r="6042" spans="1:17" ht="15.5" x14ac:dyDescent="0.35">
      <c r="A6042"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6042"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6042" t="s">
        <v>7104</v>
      </c>
      <c r="D6042" t="s">
        <v>3732</v>
      </c>
      <c r="E6042" s="3" t="str">
        <f>HYPERLINK("https://www.amazon.com/Driver-6-Inch-Klein-Tools-65129/dp/B0716VDFTD/ref=sr_1_1?keywords=Klein+Tools+65129+2-in-1+Nut+Driver%2C+Hex+Head+Slide+Drive%E2%84%A2%2C+6-Inch&amp;qid=1695174155&amp;sr=8-1", "https://www.amazon.com/Driver-6-Inch-Klein-Tools-65129/dp/B0716VDFTD/ref=sr_1_1?keywords=Klein+Tools+65129+2-in-1+Nut+Driver%2C+Hex+Head+Slide+Drive%E2%84%A2%2C+6-Inch&amp;qid=1695174155&amp;sr=8-1")</f>
        <v>https://www.amazon.com/Driver-6-Inch-Klein-Tools-65129/dp/B0716VDFTD/ref=sr_1_1?keywords=Klein+Tools+65129+2-in-1+Nut+Driver%2C+Hex+Head+Slide+Drive%E2%84%A2%2C+6-Inch&amp;qid=1695174155&amp;sr=8-1</v>
      </c>
      <c r="F6042" t="s">
        <v>3733</v>
      </c>
      <c r="G6042" t="e">
        <f ca="1">_xludf.IMAGE("https://edmondsonsupply.com/cdn/shop/products/65129.jpg?v=1664459800")</f>
        <v>#NAME?</v>
      </c>
      <c r="H6042" t="e">
        <f ca="1">_xludf.IMAGE("https://m.media-amazon.com/images/I/31G5opAPxjL._AC_UL320_.jpg")</f>
        <v>#NAME?</v>
      </c>
      <c r="I6042" t="s">
        <v>893</v>
      </c>
      <c r="J6042">
        <v>19.97</v>
      </c>
      <c r="K6042" s="4">
        <v>0</v>
      </c>
      <c r="L6042">
        <v>4.8</v>
      </c>
      <c r="M6042">
        <v>688</v>
      </c>
      <c r="O6042" t="s">
        <v>25</v>
      </c>
      <c r="P6042" t="s">
        <v>7105</v>
      </c>
      <c r="Q6042" t="s">
        <v>7106</v>
      </c>
    </row>
    <row r="6043" spans="1:17" ht="15.5" x14ac:dyDescent="0.35">
      <c r="A6043"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6043"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6043" t="s">
        <v>919</v>
      </c>
      <c r="D6043" t="s">
        <v>922</v>
      </c>
      <c r="E6043" s="3" t="str">
        <f>HYPERLINK("https://www.amazon.com/Klein-60161-Professional-Protective-Resistant/dp/B08B496F57/ref=sr_1_10?keywords=Klein+Tools+60470+Professional+Full-Frame+Gasket+Safety+Glasses%2C+Clear+Lens&amp;qid=1695174156&amp;sr=8-10", "https://www.amazon.com/Klein-60161-Professional-Protective-Resistant/dp/B08B496F57/ref=sr_1_10?keywords=Klein+Tools+60470+Professional+Full-Frame+Gasket+Safety+Glasses%2C+Clear+Lens&amp;qid=1695174156&amp;sr=8-10")</f>
        <v>https://www.amazon.com/Klein-60161-Professional-Protective-Resistant/dp/B08B496F57/ref=sr_1_10?keywords=Klein+Tools+60470+Professional+Full-Frame+Gasket+Safety+Glasses%2C+Clear+Lens&amp;qid=1695174156&amp;sr=8-10</v>
      </c>
      <c r="F6043" t="s">
        <v>923</v>
      </c>
      <c r="G6043" t="e">
        <f ca="1">_xludf.IMAGE("https://edmondsonsupply.com/cdn/shop/products/60470.jpg?v=1663260659")</f>
        <v>#NAME?</v>
      </c>
      <c r="H6043" t="e">
        <f ca="1">_xludf.IMAGE("https://m.media-amazon.com/images/I/515pVZPvJ0L._AC_UL320_.jpg")</f>
        <v>#NAME?</v>
      </c>
      <c r="I6043" t="s">
        <v>252</v>
      </c>
      <c r="J6043">
        <v>15.99</v>
      </c>
      <c r="K6043" s="4">
        <v>0</v>
      </c>
      <c r="L6043">
        <v>4.4000000000000004</v>
      </c>
      <c r="M6043">
        <v>374</v>
      </c>
      <c r="O6043" t="s">
        <v>25</v>
      </c>
      <c r="P6043" t="s">
        <v>854</v>
      </c>
      <c r="Q6043" t="s">
        <v>920</v>
      </c>
    </row>
    <row r="6044" spans="1:17" ht="15.5" x14ac:dyDescent="0.35">
      <c r="A6044"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6044" s="3" t="str">
        <f>HYPERLINK("https://edmondsonsupply.com/products/klein-tools-88910-mini-tube-cutter", "https://edmondsonsupply.com/products/klein-tools-88910-mini-tube-cutter")</f>
        <v>https://edmondsonsupply.com/products/klein-tools-88910-mini-tube-cutter</v>
      </c>
      <c r="C6044" t="s">
        <v>6372</v>
      </c>
      <c r="D6044" t="s">
        <v>6372</v>
      </c>
      <c r="E6044" s="3" t="str">
        <f>HYPERLINK("https://www.amazon.com/Mini-Cutter-Klein-Tools-88910/dp/B0778PB1QQ/ref=sr_1_1?keywords=Klein+Tools+88910+Mini+Tube+Cutter&amp;qid=1695174232&amp;sr=8-1", "https://www.amazon.com/Mini-Cutter-Klein-Tools-88910/dp/B0778PB1QQ/ref=sr_1_1?keywords=Klein+Tools+88910+Mini+Tube+Cutter&amp;qid=1695174232&amp;sr=8-1")</f>
        <v>https://www.amazon.com/Mini-Cutter-Klein-Tools-88910/dp/B0778PB1QQ/ref=sr_1_1?keywords=Klein+Tools+88910+Mini+Tube+Cutter&amp;qid=1695174232&amp;sr=8-1</v>
      </c>
      <c r="F6044" t="s">
        <v>8094</v>
      </c>
      <c r="G6044" t="e">
        <f ca="1">_xludf.IMAGE("https://edmondsonsupply.com/cdn/shop/products/88910.jpg?v=1638577903")</f>
        <v>#NAME?</v>
      </c>
      <c r="H6044" t="e">
        <f ca="1">_xludf.IMAGE("https://m.media-amazon.com/images/I/51CIEV+sSFL._AC_UL320_.jpg")</f>
        <v>#NAME?</v>
      </c>
      <c r="I6044" t="s">
        <v>577</v>
      </c>
      <c r="J6044">
        <v>19.989999999999998</v>
      </c>
      <c r="K6044" s="4">
        <v>0</v>
      </c>
      <c r="L6044">
        <v>4.4000000000000004</v>
      </c>
      <c r="M6044">
        <v>226</v>
      </c>
      <c r="O6044" t="s">
        <v>25</v>
      </c>
      <c r="P6044" t="s">
        <v>6375</v>
      </c>
      <c r="Q6044" t="s">
        <v>6376</v>
      </c>
    </row>
    <row r="6045" spans="1:17" ht="15.5" x14ac:dyDescent="0.35">
      <c r="A6045" s="3" t="str">
        <f>HYPERLINK("https://edmondsonsupply.com/collections/electricians-tools/products/klein-tools-32308-8-in-1-multi-bit-adjustable-length-stubby-screwdriver", "https://edmondsonsupply.com/collections/electricians-tools/products/klein-tools-32308-8-in-1-multi-bit-adjustable-length-stubby-screwdriver")</f>
        <v>https://edmondsonsupply.com/collections/electricians-tools/products/klein-tools-32308-8-in-1-multi-bit-adjustable-length-stubby-screwdriver</v>
      </c>
      <c r="B6045" s="3" t="str">
        <f>HYPERLINK("https://edmondsonsupply.com/products/klein-tools-32308-8-in-1-multi-bit-adjustable-length-stubby-screwdriver", "https://edmondsonsupply.com/products/klein-tools-32308-8-in-1-multi-bit-adjustable-length-stubby-screwdriver")</f>
        <v>https://edmondsonsupply.com/products/klein-tools-32308-8-in-1-multi-bit-adjustable-length-stubby-screwdriver</v>
      </c>
      <c r="C6045" t="s">
        <v>6236</v>
      </c>
      <c r="D6045" t="s">
        <v>8095</v>
      </c>
      <c r="E6045" s="3" t="str">
        <f>HYPERLINK("https://www.amazon.com/Klein-Tools-Evaporative-Performance-Protection/dp/B08KFNDBRW/ref=sr_1_1?keywords=Klein+Tools+32308+8-in-1+Multi-Bit+Adjustable+Length+Stubby+Screwdriver&amp;qid=1695174224&amp;sr=8-1", "https://www.amazon.com/Klein-Tools-Evaporative-Performance-Protection/dp/B08KFNDBRW/ref=sr_1_1?keywords=Klein+Tools+32308+8-in-1+Multi-Bit+Adjustable+Length+Stubby+Screwdriver&amp;qid=1695174224&amp;sr=8-1")</f>
        <v>https://www.amazon.com/Klein-Tools-Evaporative-Performance-Protection/dp/B08KFNDBRW/ref=sr_1_1?keywords=Klein+Tools+32308+8-in-1+Multi-Bit+Adjustable+Length+Stubby+Screwdriver&amp;qid=1695174224&amp;sr=8-1</v>
      </c>
      <c r="F6045" t="s">
        <v>8096</v>
      </c>
      <c r="G6045" t="e">
        <f ca="1">_xludf.IMAGE("https://edmondsonsupply.com/cdn/shop/products/32308_b.jpg?v=1647348209")</f>
        <v>#NAME?</v>
      </c>
      <c r="H6045" t="e">
        <f ca="1">_xludf.IMAGE("https://m.media-amazon.com/images/I/61qTHFhrhZL._AC_UL320_.jpg")</f>
        <v>#NAME?</v>
      </c>
      <c r="I6045" t="s">
        <v>4985</v>
      </c>
      <c r="J6045">
        <v>16.97</v>
      </c>
      <c r="K6045" s="4">
        <v>0</v>
      </c>
      <c r="L6045">
        <v>4.7</v>
      </c>
      <c r="M6045">
        <v>5243</v>
      </c>
      <c r="O6045" t="s">
        <v>25</v>
      </c>
      <c r="P6045" t="s">
        <v>996</v>
      </c>
      <c r="Q6045" t="s">
        <v>6239</v>
      </c>
    </row>
    <row r="6046" spans="1:17" ht="15.5" x14ac:dyDescent="0.35">
      <c r="A6046" s="3" t="str">
        <f>HYPERLINK("https://edmondsonsupply.com/collections/electricians-tools/products/klein-tools-pjsfm2-rechargeable-clamping-fan", "https://edmondsonsupply.com/collections/electricians-tools/products/klein-tools-pjsfm2-rechargeable-clamping-fan")</f>
        <v>https://edmondsonsupply.com/collections/electricians-tools/products/klein-tools-pjsfm2-rechargeable-clamping-fan</v>
      </c>
      <c r="B6046" s="3" t="str">
        <f>HYPERLINK("https://edmondsonsupply.com/products/klein-tools-pjsfm2-rechargeable-clamping-fan", "https://edmondsonsupply.com/products/klein-tools-pjsfm2-rechargeable-clamping-fan")</f>
        <v>https://edmondsonsupply.com/products/klein-tools-pjsfm2-rechargeable-clamping-fan</v>
      </c>
      <c r="C6046" t="s">
        <v>4586</v>
      </c>
      <c r="D6046" t="s">
        <v>4587</v>
      </c>
      <c r="E6046" s="3" t="str">
        <f>HYPERLINK("https://www.amazon.com/Klein-Tools-PJSFM2-Operated-Rechargeable/dp/B0BWGQVPSC/ref=sr_1_1?keywords=Klein+Tools+PJSFM2+Rechargeable+Clamping+Fan&amp;qid=1695173905&amp;sr=8-1", "https://www.amazon.com/Klein-Tools-PJSFM2-Operated-Rechargeable/dp/B0BWGQVPSC/ref=sr_1_1?keywords=Klein+Tools+PJSFM2+Rechargeable+Clamping+Fan&amp;qid=1695173905&amp;sr=8-1")</f>
        <v>https://www.amazon.com/Klein-Tools-PJSFM2-Operated-Rechargeable/dp/B0BWGQVPSC/ref=sr_1_1?keywords=Klein+Tools+PJSFM2+Rechargeable+Clamping+Fan&amp;qid=1695173905&amp;sr=8-1</v>
      </c>
      <c r="F6046" t="s">
        <v>4588</v>
      </c>
      <c r="G6046" t="e">
        <f ca="1">_xludf.IMAGE("https://edmondsonsupply.com/cdn/shop/products/pjsfm2.jpg?v=1681741049")</f>
        <v>#NAME?</v>
      </c>
      <c r="H6046" t="e">
        <f ca="1">_xludf.IMAGE("https://m.media-amazon.com/images/I/61s9r8X1JSL._AC_UL320_.jpg")</f>
        <v>#NAME?</v>
      </c>
      <c r="I6046" t="s">
        <v>2224</v>
      </c>
      <c r="J6046">
        <v>99.99</v>
      </c>
      <c r="K6046" s="4">
        <v>0</v>
      </c>
      <c r="L6046">
        <v>4.9000000000000004</v>
      </c>
      <c r="M6046">
        <v>15</v>
      </c>
      <c r="O6046" t="s">
        <v>25</v>
      </c>
      <c r="P6046" t="s">
        <v>2225</v>
      </c>
      <c r="Q6046" t="s">
        <v>4589</v>
      </c>
    </row>
    <row r="6047" spans="1:17" ht="15.5" x14ac:dyDescent="0.35">
      <c r="A6047"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6047" s="3" t="str">
        <f>HYPERLINK("https://edmondsonsupply.com/products/klein-tools-j20017ne-heavy-duty-linemans-pliers-7-inch", "https://edmondsonsupply.com/products/klein-tools-j20017ne-heavy-duty-linemans-pliers-7-inch")</f>
        <v>https://edmondsonsupply.com/products/klein-tools-j20017ne-heavy-duty-linemans-pliers-7-inch</v>
      </c>
      <c r="C6047" t="s">
        <v>8097</v>
      </c>
      <c r="D6047" t="s">
        <v>8098</v>
      </c>
      <c r="E6047" s="3" t="str">
        <f>HYPERLINK("https://www.amazon.com/Klein-Tools-J20017NE-Heavy-Duty-Linemans/dp/B002LPWQFO/ref=sr_1_1?keywords=Klein+Tools+J20017NE+Heavy-Duty+Lineman%27s+Pliers%2C+7-Inch&amp;qid=1695174165&amp;sr=8-1", "https://www.amazon.com/Klein-Tools-J20017NE-Heavy-Duty-Linemans/dp/B002LPWQFO/ref=sr_1_1?keywords=Klein+Tools+J20017NE+Heavy-Duty+Lineman%27s+Pliers%2C+7-Inch&amp;qid=1695174165&amp;sr=8-1")</f>
        <v>https://www.amazon.com/Klein-Tools-J20017NE-Heavy-Duty-Linemans/dp/B002LPWQFO/ref=sr_1_1?keywords=Klein+Tools+J20017NE+Heavy-Duty+Lineman%27s+Pliers%2C+7-Inch&amp;qid=1695174165&amp;sr=8-1</v>
      </c>
      <c r="F6047" t="s">
        <v>8099</v>
      </c>
      <c r="G6047" t="e">
        <f ca="1">_xludf.IMAGE("https://edmondsonsupply.com/cdn/shop/products/j20017ne.jpg?v=1662669673")</f>
        <v>#NAME?</v>
      </c>
      <c r="H6047" t="e">
        <f ca="1">_xludf.IMAGE("https://m.media-amazon.com/images/I/513Qfm1M5dL._AC_UL320_.jpg")</f>
        <v>#NAME?</v>
      </c>
      <c r="I6047" t="s">
        <v>269</v>
      </c>
      <c r="J6047">
        <v>54.99</v>
      </c>
      <c r="K6047" s="4">
        <v>0</v>
      </c>
      <c r="L6047">
        <v>4.2</v>
      </c>
      <c r="M6047">
        <v>22</v>
      </c>
      <c r="O6047" t="s">
        <v>25</v>
      </c>
      <c r="P6047" t="s">
        <v>8100</v>
      </c>
      <c r="Q6047" t="s">
        <v>8101</v>
      </c>
    </row>
    <row r="6048" spans="1:17" ht="15.5" x14ac:dyDescent="0.35">
      <c r="A6048"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6048" s="3" t="str">
        <f>HYPERLINK("https://edmondsonsupply.com/products/klein-tools-60100-hard-hat-non-vented-cap-style-white", "https://edmondsonsupply.com/products/klein-tools-60100-hard-hat-non-vented-cap-style-white")</f>
        <v>https://edmondsonsupply.com/products/klein-tools-60100-hard-hat-non-vented-cap-style-white</v>
      </c>
      <c r="C6048" t="s">
        <v>970</v>
      </c>
      <c r="D6048" t="s">
        <v>1116</v>
      </c>
      <c r="E6048" s="3" t="str">
        <f>HYPERLINK("https://www.amazon.com/Klein-Tools-Hard-Non-vented-Style/dp/B07TMHWDG5/ref=sr_1_1?keywords=Klein+Tools+60100+Hard+Hat%2C+Non-Vented%2C+Cap+Style%2C+White&amp;qid=1695174219&amp;sr=8-1", "https://www.amazon.com/Klein-Tools-Hard-Non-vented-Style/dp/B07TMHWDG5/ref=sr_1_1?keywords=Klein+Tools+60100+Hard+Hat%2C+Non-Vented%2C+Cap+Style%2C+White&amp;qid=1695174219&amp;sr=8-1")</f>
        <v>https://www.amazon.com/Klein-Tools-Hard-Non-vented-Style/dp/B07TMHWDG5/ref=sr_1_1?keywords=Klein+Tools+60100+Hard+Hat%2C+Non-Vented%2C+Cap+Style%2C+White&amp;qid=1695174219&amp;sr=8-1</v>
      </c>
      <c r="F6048" t="s">
        <v>1117</v>
      </c>
      <c r="G6048" t="e">
        <f ca="1">_xludf.IMAGE("https://edmondsonsupply.com/cdn/shop/products/60100_c.jpg?v=1648166061")</f>
        <v>#NAME?</v>
      </c>
      <c r="H6048" t="e">
        <f ca="1">_xludf.IMAGE("https://m.media-amazon.com/images/I/51o+x2QNZ-L._AC_UL320_.jpg")</f>
        <v>#NAME?</v>
      </c>
      <c r="I6048" t="s">
        <v>198</v>
      </c>
      <c r="J6048">
        <v>39.99</v>
      </c>
      <c r="K6048" s="4">
        <v>0</v>
      </c>
      <c r="L6048">
        <v>4.5</v>
      </c>
      <c r="M6048">
        <v>35</v>
      </c>
      <c r="O6048" t="s">
        <v>171</v>
      </c>
      <c r="P6048" t="s">
        <v>971</v>
      </c>
      <c r="Q6048" t="s">
        <v>972</v>
      </c>
    </row>
    <row r="6049" spans="1:17" ht="15.5" x14ac:dyDescent="0.35">
      <c r="A6049"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6049"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6049" t="s">
        <v>6802</v>
      </c>
      <c r="D6049" t="s">
        <v>5678</v>
      </c>
      <c r="E6049" s="3" t="str">
        <f>HYPERLINK("https://www.amazon.com/Journeyman-T-Handle-Klein-Tools-JTH6M4/dp/B005G394YO/ref=sr_1_4?keywords=Klein+Tools+JTH4E10+5%2F32-Inch+Hex+Key%2C+Journeyman+T-Handle%2C+4-Inch&amp;qid=1695174219&amp;sr=8-4", "https://www.amazon.com/Journeyman-T-Handle-Klein-Tools-JTH6M4/dp/B005G394YO/ref=sr_1_4?keywords=Klein+Tools+JTH4E10+5%2F32-Inch+Hex+Key%2C+Journeyman+T-Handle%2C+4-Inch&amp;qid=1695174219&amp;sr=8-4")</f>
        <v>https://www.amazon.com/Journeyman-T-Handle-Klein-Tools-JTH6M4/dp/B005G394YO/ref=sr_1_4?keywords=Klein+Tools+JTH4E10+5%2F32-Inch+Hex+Key%2C+Journeyman+T-Handle%2C+4-Inch&amp;qid=1695174219&amp;sr=8-4</v>
      </c>
      <c r="F6049" t="s">
        <v>5679</v>
      </c>
      <c r="G6049" t="e">
        <f ca="1">_xludf.IMAGE("https://edmondsonsupply.com/cdn/shop/products/jth4e17_ce261606-f524-49c5-9cd5-8c9f52dd1e03.jpg?v=1645565342")</f>
        <v>#NAME?</v>
      </c>
      <c r="H6049" t="e">
        <f ca="1">_xludf.IMAGE("https://m.media-amazon.com/images/I/51+1x0vz9XL._AC_UL320_.jpg")</f>
        <v>#NAME?</v>
      </c>
      <c r="I6049" t="s">
        <v>6444</v>
      </c>
      <c r="J6049">
        <v>3.99</v>
      </c>
      <c r="K6049" s="4">
        <v>0</v>
      </c>
      <c r="L6049">
        <v>4.8</v>
      </c>
      <c r="M6049">
        <v>1532</v>
      </c>
      <c r="O6049" t="s">
        <v>25</v>
      </c>
      <c r="P6049" t="s">
        <v>2044</v>
      </c>
      <c r="Q6049" t="s">
        <v>6803</v>
      </c>
    </row>
    <row r="6050" spans="1:17" ht="15.5" x14ac:dyDescent="0.35">
      <c r="A6050" s="3" t="str">
        <f>HYPERLINK("https://edmondsonsupply.com/collections/electricians-tools/products/klein-tools-86600-1-4-inch-magnetic-hex-drivers-3-pack", "https://edmondsonsupply.com/collections/electricians-tools/products/klein-tools-86600-1-4-inch-magnetic-hex-drivers-3-pack")</f>
        <v>https://edmondsonsupply.com/collections/electricians-tools/products/klein-tools-86600-1-4-inch-magnetic-hex-drivers-3-pack</v>
      </c>
      <c r="B6050" s="3" t="str">
        <f>HYPERLINK("https://edmondsonsupply.com/products/klein-tools-86600-1-4-inch-magnetic-hex-drivers-3-pack", "https://edmondsonsupply.com/products/klein-tools-86600-1-4-inch-magnetic-hex-drivers-3-pack")</f>
        <v>https://edmondsonsupply.com/products/klein-tools-86600-1-4-inch-magnetic-hex-drivers-3-pack</v>
      </c>
      <c r="C6050" t="s">
        <v>5334</v>
      </c>
      <c r="D6050" t="s">
        <v>5334</v>
      </c>
      <c r="E6050" s="3" t="str">
        <f>HYPERLINK("https://www.amazon.com/Magnetic-Drivers-Klein-Tools-86600/dp/B0043GVDX0/ref=sr_1_1?keywords=Klein+Tools+86600+1%2F4-Inch+Magnetic+Hex+Drivers%2C+3-Pack&amp;qid=1695174220&amp;sr=8-1", "https://www.amazon.com/Magnetic-Drivers-Klein-Tools-86600/dp/B0043GVDX0/ref=sr_1_1?keywords=Klein+Tools+86600+1%2F4-Inch+Magnetic+Hex+Drivers%2C+3-Pack&amp;qid=1695174220&amp;sr=8-1")</f>
        <v>https://www.amazon.com/Magnetic-Drivers-Klein-Tools-86600/dp/B0043GVDX0/ref=sr_1_1?keywords=Klein+Tools+86600+1%2F4-Inch+Magnetic+Hex+Drivers%2C+3-Pack&amp;qid=1695174220&amp;sr=8-1</v>
      </c>
      <c r="F6050" t="s">
        <v>5335</v>
      </c>
      <c r="G6050" t="e">
        <f ca="1">_xludf.IMAGE("https://edmondsonsupply.com/cdn/shop/products/86600.png?v=1645569632")</f>
        <v>#NAME?</v>
      </c>
      <c r="H6050" t="e">
        <f ca="1">_xludf.IMAGE("https://m.media-amazon.com/images/I/6147J4xgyLL._AC_UL320_.jpg")</f>
        <v>#NAME?</v>
      </c>
      <c r="I6050" t="s">
        <v>2347</v>
      </c>
      <c r="J6050">
        <v>6.99</v>
      </c>
      <c r="K6050" s="4">
        <v>0</v>
      </c>
      <c r="L6050">
        <v>4.7</v>
      </c>
      <c r="M6050">
        <v>1164</v>
      </c>
      <c r="O6050" t="s">
        <v>25</v>
      </c>
      <c r="P6050" t="s">
        <v>6193</v>
      </c>
      <c r="Q6050" t="s">
        <v>6636</v>
      </c>
    </row>
    <row r="6051" spans="1:17" ht="15.5" x14ac:dyDescent="0.35">
      <c r="A6051" s="3" t="str">
        <f>HYPERLINK("https://edmondsonsupply.com/collections/electricians-tools/products/klein-tools-60113rl-hard-hat-vented-cap-style-with-rechargeable-headlamp-white", "https://edmondsonsupply.com/collections/electricians-tools/products/klein-tools-60113rl-hard-hat-vented-cap-style-with-rechargeable-headlamp-white")</f>
        <v>https://edmondsonsupply.com/collections/electricians-tools/products/klein-tools-60113rl-hard-hat-vented-cap-style-with-rechargeable-headlamp-white</v>
      </c>
      <c r="B6051"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6051" t="s">
        <v>1044</v>
      </c>
      <c r="D6051" t="s">
        <v>900</v>
      </c>
      <c r="E6051" s="3" t="str">
        <f>HYPERLINK("https://www.amazon.com/Klein-Tools-60407RL-Rechargeable-Odor-Resistant/dp/B08DDTV9M3/ref=sr_1_3?keywords=Klein+Tools+60113RL+Hard+Hat%2C+Vented%2C+Cap+Style+with+Rechargeable+Headlamp%2C+White&amp;qid=1695174220&amp;sr=8-3", "https://www.amazon.com/Klein-Tools-60407RL-Rechargeable-Odor-Resistant/dp/B08DDTV9M3/ref=sr_1_3?keywords=Klein+Tools+60113RL+Hard+Hat%2C+Vented%2C+Cap+Style+with+Rechargeable+Headlamp%2C+White&amp;qid=1695174220&amp;sr=8-3")</f>
        <v>https://www.amazon.com/Klein-Tools-60407RL-Rechargeable-Odor-Resistant/dp/B08DDTV9M3/ref=sr_1_3?keywords=Klein+Tools+60113RL+Hard+Hat%2C+Vented%2C+Cap+Style+with+Rechargeable+Headlamp%2C+White&amp;qid=1695174220&amp;sr=8-3</v>
      </c>
      <c r="F6051" t="s">
        <v>901</v>
      </c>
      <c r="G6051" t="e">
        <f ca="1">_xludf.IMAGE("https://edmondsonsupply.com/cdn/shop/products/60113rl_c.jpg?v=1647891186")</f>
        <v>#NAME?</v>
      </c>
      <c r="H6051" t="e">
        <f ca="1">_xludf.IMAGE("https://m.media-amazon.com/images/I/61w2MM+yDgL._AC_UL320_.jpg")</f>
        <v>#NAME?</v>
      </c>
      <c r="I6051" t="s">
        <v>905</v>
      </c>
      <c r="J6051">
        <v>59.99</v>
      </c>
      <c r="K6051" s="4">
        <v>0</v>
      </c>
      <c r="L6051">
        <v>4.7</v>
      </c>
      <c r="M6051">
        <v>1577</v>
      </c>
      <c r="O6051" t="s">
        <v>25</v>
      </c>
      <c r="P6051" t="s">
        <v>1047</v>
      </c>
      <c r="Q6051" t="s">
        <v>1048</v>
      </c>
    </row>
    <row r="6052" spans="1:17" ht="15.5" x14ac:dyDescent="0.35">
      <c r="A6052"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6052" s="3" t="str">
        <f>HYPERLINK("https://edmondsonsupply.com/products/klein-tools-935dag-digital-angle-gauge-and-level", "https://edmondsonsupply.com/products/klein-tools-935dag-digital-angle-gauge-and-level")</f>
        <v>https://edmondsonsupply.com/products/klein-tools-935dag-digital-angle-gauge-and-level</v>
      </c>
      <c r="C6052" t="s">
        <v>1924</v>
      </c>
      <c r="D6052" t="s">
        <v>4548</v>
      </c>
      <c r="E6052" s="3" t="str">
        <f>HYPERLINK("https://www.amazon.com/Klein-Tools-935DAG-Electronic-Measures/dp/B07ZWW3BW5/ref=sr_1_5?keywords=Klein+Tools+935DAG+Digital+Angle+Gauge+and+Level&amp;qid=1695173893&amp;sr=8-5", "https://www.amazon.com/Klein-Tools-935DAG-Electronic-Measures/dp/B07ZWW3BW5/ref=sr_1_5?keywords=Klein+Tools+935DAG+Digital+Angle+Gauge+and+Level&amp;qid=1695173893&amp;sr=8-5")</f>
        <v>https://www.amazon.com/Klein-Tools-935DAG-Electronic-Measures/dp/B07ZWW3BW5/ref=sr_1_5?keywords=Klein+Tools+935DAG+Digital+Angle+Gauge+and+Level&amp;qid=1695173893&amp;sr=8-5</v>
      </c>
      <c r="F6052" t="s">
        <v>4549</v>
      </c>
      <c r="G6052" t="e">
        <f ca="1">_xludf.IMAGE("https://edmondsonsupply.com/cdn/shop/products/935dag.jpg?v=1587145032")</f>
        <v>#NAME?</v>
      </c>
      <c r="H6052" t="e">
        <f ca="1">_xludf.IMAGE("https://m.media-amazon.com/images/I/61Dwz1IuUgL._AC_UL320_.jpg")</f>
        <v>#NAME?</v>
      </c>
      <c r="I6052" t="s">
        <v>824</v>
      </c>
      <c r="J6052">
        <v>29.97</v>
      </c>
      <c r="K6052" s="4">
        <v>0</v>
      </c>
      <c r="L6052">
        <v>4.8</v>
      </c>
      <c r="M6052">
        <v>13054</v>
      </c>
      <c r="O6052" t="s">
        <v>25</v>
      </c>
      <c r="P6052" t="s">
        <v>73</v>
      </c>
      <c r="Q6052" t="s">
        <v>1927</v>
      </c>
    </row>
    <row r="6053" spans="1:17" ht="15.5" x14ac:dyDescent="0.35">
      <c r="A6053"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6053" s="3" t="str">
        <f>HYPERLINK("https://edmondsonsupply.com/products/klein-tools-51610-1-iron-conduit-bender-head", "https://edmondsonsupply.com/products/klein-tools-51610-1-iron-conduit-bender-head")</f>
        <v>https://edmondsonsupply.com/products/klein-tools-51610-1-iron-conduit-bender-head</v>
      </c>
      <c r="C6053" t="s">
        <v>6220</v>
      </c>
      <c r="D6053" t="s">
        <v>6043</v>
      </c>
      <c r="E6053" s="3" t="str">
        <f>HYPERLINK("https://www.amazon.com/Conduit-Bender-Klein-Tools-51610/dp/B08V8J5CX4/ref=sr_1_1?keywords=Klein+Tools+51610+1%22+Iron+Conduit+Bender+Head&amp;qid=1695174168&amp;sr=8-1", "https://www.amazon.com/Conduit-Bender-Klein-Tools-51610/dp/B08V8J5CX4/ref=sr_1_1?keywords=Klein+Tools+51610+1%22+Iron+Conduit+Bender+Head&amp;qid=1695174168&amp;sr=8-1")</f>
        <v>https://www.amazon.com/Conduit-Bender-Klein-Tools-51610/dp/B08V8J5CX4/ref=sr_1_1?keywords=Klein+Tools+51610+1%22+Iron+Conduit+Bender+Head&amp;qid=1695174168&amp;sr=8-1</v>
      </c>
      <c r="F6053" t="s">
        <v>6044</v>
      </c>
      <c r="G6053" t="e">
        <f ca="1">_xludf.IMAGE("https://edmondsonsupply.com/cdn/shop/products/51610.jpg?v=1661975879")</f>
        <v>#NAME?</v>
      </c>
      <c r="H6053" t="e">
        <f ca="1">_xludf.IMAGE("https://m.media-amazon.com/images/I/61jmGqozuVL._AC_UL320_.jpg")</f>
        <v>#NAME?</v>
      </c>
      <c r="I6053" t="s">
        <v>320</v>
      </c>
      <c r="J6053">
        <v>74.989999999999995</v>
      </c>
      <c r="K6053" s="4">
        <v>0</v>
      </c>
      <c r="L6053">
        <v>4.8</v>
      </c>
      <c r="M6053">
        <v>11</v>
      </c>
      <c r="O6053" t="s">
        <v>25</v>
      </c>
      <c r="P6053" t="s">
        <v>6223</v>
      </c>
      <c r="Q6053" t="s">
        <v>6224</v>
      </c>
    </row>
    <row r="6054" spans="1:17" ht="15.5" x14ac:dyDescent="0.35">
      <c r="A6054" s="3" t="str">
        <f>HYPERLINK("https://edmondsonsupply.com/collections/electricians-tools/products/klein-tools-32305-15-in-1-multi-bit-ratcheting-screwdriver", "https://edmondsonsupply.com/collections/electricians-tools/products/klein-tools-32305-15-in-1-multi-bit-ratcheting-screwdriver")</f>
        <v>https://edmondsonsupply.com/collections/electricians-tools/products/klein-tools-32305-15-in-1-multi-bit-ratcheting-screwdriver</v>
      </c>
      <c r="B6054" s="3" t="str">
        <f>HYPERLINK("https://edmondsonsupply.com/products/klein-tools-32305-15-in-1-multi-bit-ratcheting-screwdriver", "https://edmondsonsupply.com/products/klein-tools-32305-15-in-1-multi-bit-ratcheting-screwdriver")</f>
        <v>https://edmondsonsupply.com/products/klein-tools-32305-15-in-1-multi-bit-ratcheting-screwdriver</v>
      </c>
      <c r="C6054" t="s">
        <v>6262</v>
      </c>
      <c r="D6054" t="s">
        <v>8102</v>
      </c>
      <c r="E6054" s="3" t="str">
        <f>HYPERLINK("https://www.amazon.com/Klein-Tools-32305-Ratcheting-Screwdriver/dp/B08KFMHQCP/ref=sr_1_1?keywords=Klein+Tools+32305+15-in-1+Multi-Bit+Ratcheting+Screwdriver&amp;qid=1695174215&amp;sr=8-1", "https://www.amazon.com/Klein-Tools-32305-Ratcheting-Screwdriver/dp/B08KFMHQCP/ref=sr_1_1?keywords=Klein+Tools+32305+15-in-1+Multi-Bit+Ratcheting+Screwdriver&amp;qid=1695174215&amp;sr=8-1")</f>
        <v>https://www.amazon.com/Klein-Tools-32305-Ratcheting-Screwdriver/dp/B08KFMHQCP/ref=sr_1_1?keywords=Klein+Tools+32305+15-in-1+Multi-Bit+Ratcheting+Screwdriver&amp;qid=1695174215&amp;sr=8-1</v>
      </c>
      <c r="F6054" t="s">
        <v>8103</v>
      </c>
      <c r="G6054" t="e">
        <f ca="1">_xludf.IMAGE("https://edmondsonsupply.com/cdn/shop/products/32305.jpg?v=1646965475")</f>
        <v>#NAME?</v>
      </c>
      <c r="H6054" t="e">
        <f ca="1">_xludf.IMAGE("https://m.media-amazon.com/images/I/51jA6YSPgmL._AC_UL320_.jpg")</f>
        <v>#NAME?</v>
      </c>
      <c r="I6054" t="s">
        <v>2247</v>
      </c>
      <c r="J6054">
        <v>21.97</v>
      </c>
      <c r="K6054" s="4">
        <v>0</v>
      </c>
      <c r="L6054">
        <v>4.7</v>
      </c>
      <c r="M6054">
        <v>6069</v>
      </c>
      <c r="O6054" t="s">
        <v>25</v>
      </c>
      <c r="P6054" t="s">
        <v>6200</v>
      </c>
      <c r="Q6054" t="s">
        <v>6265</v>
      </c>
    </row>
    <row r="6055" spans="1:17" ht="15.5" x14ac:dyDescent="0.35">
      <c r="A6055" s="3" t="str">
        <f>HYPERLINK("https://edmondsonsupply.com/collections/electricians-tools/products/klein-tools-44131-folding-utility-knife", "https://edmondsonsupply.com/collections/electricians-tools/products/klein-tools-44131-folding-utility-knife")</f>
        <v>https://edmondsonsupply.com/collections/electricians-tools/products/klein-tools-44131-folding-utility-knife</v>
      </c>
      <c r="B6055" s="3" t="str">
        <f>HYPERLINK("https://edmondsonsupply.com/products/klein-tools-44131-folding-utility-knife", "https://edmondsonsupply.com/products/klein-tools-44131-folding-utility-knife")</f>
        <v>https://edmondsonsupply.com/products/klein-tools-44131-folding-utility-knife</v>
      </c>
      <c r="C6055" t="s">
        <v>4138</v>
      </c>
      <c r="D6055" t="s">
        <v>4690</v>
      </c>
      <c r="E6055" s="3" t="str">
        <f>HYPERLINK("https://www.amazon.com/Folding-Utility-Klein-Tools-44131/dp/B00A9GGGYY/ref=sr_1_1?keywords=Klein+Tools+44131+Folding+Utility+Knife&amp;qid=1695173893&amp;sr=8-1", "https://www.amazon.com/Folding-Utility-Klein-Tools-44131/dp/B00A9GGGYY/ref=sr_1_1?keywords=Klein+Tools+44131+Folding+Utility+Knife&amp;qid=1695173893&amp;sr=8-1")</f>
        <v>https://www.amazon.com/Folding-Utility-Klein-Tools-44131/dp/B00A9GGGYY/ref=sr_1_1?keywords=Klein+Tools+44131+Folding+Utility+Knife&amp;qid=1695173893&amp;sr=8-1</v>
      </c>
      <c r="F6055" t="s">
        <v>4691</v>
      </c>
      <c r="G6055" t="e">
        <f ca="1">_xludf.IMAGE("https://edmondsonsupply.com/cdn/shop/files/44131.jpg?v=1685458449")</f>
        <v>#NAME?</v>
      </c>
      <c r="H6055" t="e">
        <f ca="1">_xludf.IMAGE("https://m.media-amazon.com/images/I/51bXPE+KhIL._AC_UL320_.jpg")</f>
        <v>#NAME?</v>
      </c>
      <c r="I6055" t="s">
        <v>893</v>
      </c>
      <c r="J6055">
        <v>19.97</v>
      </c>
      <c r="K6055" s="4">
        <v>0</v>
      </c>
      <c r="L6055">
        <v>4.5999999999999996</v>
      </c>
      <c r="M6055">
        <v>3083</v>
      </c>
      <c r="O6055" t="s">
        <v>25</v>
      </c>
      <c r="P6055" t="s">
        <v>4141</v>
      </c>
      <c r="Q6055" t="s">
        <v>4142</v>
      </c>
    </row>
    <row r="6056" spans="1:17" ht="15.5" x14ac:dyDescent="0.35">
      <c r="A6056" s="3" t="str">
        <f>HYPERLINK("https://edmondsonsupply.com/collections/electricians-tools/products/klein-tools-51607-aluminum-conduit-bender-full-assembly-3-4-inch-emt-with-angle-setter%E2%84%A2", "https://edmondsonsupply.com/collections/electricians-tools/products/klein-tools-51607-aluminum-conduit-bender-full-assembly-3-4-inch-emt-with-angle-setter%E2%84%A2")</f>
        <v>https://edmondsonsupply.com/collections/electricians-tools/products/klein-tools-51607-aluminum-conduit-bender-full-assembly-3-4-inch-emt-with-angle-setter%E2%84%A2</v>
      </c>
      <c r="B6056" s="3" t="str">
        <f>HYPERLINK("https://edmondsonsupply.com/products/klein-tools-51607-aluminum-conduit-bender-full-assembly-3-4-inch-emt-with-angle-setter%e2%84%a2", "https://edmondsonsupply.com/products/klein-tools-51607-aluminum-conduit-bender-full-assembly-3-4-inch-emt-with-angle-setter%e2%84%a2")</f>
        <v>https://edmondsonsupply.com/products/klein-tools-51607-aluminum-conduit-bender-full-assembly-3-4-inch-emt-with-angle-setter%e2%84%a2</v>
      </c>
      <c r="C6056" t="s">
        <v>6601</v>
      </c>
      <c r="D6056" t="s">
        <v>6176</v>
      </c>
      <c r="E6056" s="3" t="str">
        <f>HYPERLINK("https://www.amazon.com/Aluminum-Benchmark-Technology-Klein-Tools/dp/B08L41G5G5/ref=sr_1_1?keywords=Klein+Tools+51607+Aluminum+Conduit+Bender+Full+Assembly%2C+3%2F4-Inch+EMT+with+Angle+Setter%E2%84%A2&amp;qid=1695174169&amp;sr=8-1", "https://www.amazon.com/Aluminum-Benchmark-Technology-Klein-Tools/dp/B08L41G5G5/ref=sr_1_1?keywords=Klein+Tools+51607+Aluminum+Conduit+Bender+Full+Assembly%2C+3%2F4-Inch+EMT+with+Angle+Setter%E2%84%A2&amp;qid=1695174169&amp;sr=8-1")</f>
        <v>https://www.amazon.com/Aluminum-Benchmark-Technology-Klein-Tools/dp/B08L41G5G5/ref=sr_1_1?keywords=Klein+Tools+51607+Aluminum+Conduit+Bender+Full+Assembly%2C+3%2F4-Inch+EMT+with+Angle+Setter%E2%84%A2&amp;qid=1695174169&amp;sr=8-1</v>
      </c>
      <c r="F6056" t="s">
        <v>6177</v>
      </c>
      <c r="G6056" t="e">
        <f ca="1">_xludf.IMAGE("https://edmondsonsupply.com/cdn/shop/products/51607.jpg?v=1663942654")</f>
        <v>#NAME?</v>
      </c>
      <c r="H6056" t="e">
        <f ca="1">_xludf.IMAGE("https://m.media-amazon.com/images/I/419ZjlOD69L._AC_UL320_.jpg")</f>
        <v>#NAME?</v>
      </c>
      <c r="I6056" t="s">
        <v>946</v>
      </c>
      <c r="J6056">
        <v>44.99</v>
      </c>
      <c r="K6056" s="4">
        <v>0</v>
      </c>
      <c r="L6056">
        <v>4.7</v>
      </c>
      <c r="M6056">
        <v>343</v>
      </c>
      <c r="O6056" t="s">
        <v>25</v>
      </c>
      <c r="P6056" t="s">
        <v>6068</v>
      </c>
      <c r="Q6056" t="s">
        <v>6604</v>
      </c>
    </row>
    <row r="6057" spans="1:17" ht="15.5" x14ac:dyDescent="0.35">
      <c r="A6057" s="3" t="str">
        <f>HYPERLINK("https://edmondsonsupply.com/collections/electricians-tools/products/klein-tools-40234-journeyman-wire-pulling-gloves-xl", "https://edmondsonsupply.com/collections/electricians-tools/products/klein-tools-40234-journeyman-wire-pulling-gloves-xl")</f>
        <v>https://edmondsonsupply.com/collections/electricians-tools/products/klein-tools-40234-journeyman-wire-pulling-gloves-xl</v>
      </c>
      <c r="B6057" s="3" t="str">
        <f>HYPERLINK("https://edmondsonsupply.com/products/klein-tools-40234-journeyman-wire-pulling-gloves-xl", "https://edmondsonsupply.com/products/klein-tools-40234-journeyman-wire-pulling-gloves-xl")</f>
        <v>https://edmondsonsupply.com/products/klein-tools-40234-journeyman-wire-pulling-gloves-xl</v>
      </c>
      <c r="C6057" t="s">
        <v>1176</v>
      </c>
      <c r="D6057" t="s">
        <v>1177</v>
      </c>
      <c r="E6057" s="3" t="str">
        <f>HYPERLINK("https://www.amazon.com/Journeyman-Pulling-Klein-Tools-40234/dp/B01MQCC9IZ/ref=sr_1_1?keywords=Klein+Tools+40234+Journeyman+Wire+Pulling+Gloves%2C+XL&amp;qid=1695174161&amp;sr=8-1", "https://www.amazon.com/Journeyman-Pulling-Klein-Tools-40234/dp/B01MQCC9IZ/ref=sr_1_1?keywords=Klein+Tools+40234+Journeyman+Wire+Pulling+Gloves%2C+XL&amp;qid=1695174161&amp;sr=8-1")</f>
        <v>https://www.amazon.com/Journeyman-Pulling-Klein-Tools-40234/dp/B01MQCC9IZ/ref=sr_1_1?keywords=Klein+Tools+40234+Journeyman+Wire+Pulling+Gloves%2C+XL&amp;qid=1695174161&amp;sr=8-1</v>
      </c>
      <c r="F6057" t="s">
        <v>1178</v>
      </c>
      <c r="G6057" t="e">
        <f ca="1">_xludf.IMAGE("https://edmondsonsupply.com/cdn/shop/products/40234.jpg?v=1664126527")</f>
        <v>#NAME?</v>
      </c>
      <c r="H6057" t="e">
        <f ca="1">_xludf.IMAGE("https://m.media-amazon.com/images/I/61KtxlVqHIL._AC_UL320_.jpg")</f>
        <v>#NAME?</v>
      </c>
      <c r="I6057" t="s">
        <v>893</v>
      </c>
      <c r="J6057">
        <v>19.97</v>
      </c>
      <c r="K6057" s="4">
        <v>0</v>
      </c>
      <c r="L6057">
        <v>4.5</v>
      </c>
      <c r="M6057">
        <v>317</v>
      </c>
      <c r="O6057" t="s">
        <v>25</v>
      </c>
      <c r="P6057" t="s">
        <v>1105</v>
      </c>
      <c r="Q6057" t="s">
        <v>1179</v>
      </c>
    </row>
    <row r="6058" spans="1:17" ht="15.5" x14ac:dyDescent="0.35">
      <c r="A6058" s="3" t="str">
        <f>HYPERLINK("https://edmondsonsupply.com/collections/electricians-tools/products/klein-tools-ti220-thermal-imager-for-android%C2%AE-devices", "https://edmondsonsupply.com/collections/electricians-tools/products/klein-tools-ti220-thermal-imager-for-android%C2%AE-devices")</f>
        <v>https://edmondsonsupply.com/collections/electricians-tools/products/klein-tools-ti220-thermal-imager-for-android%C2%AE-devices</v>
      </c>
      <c r="B6058" s="3" t="str">
        <f>HYPERLINK("https://edmondsonsupply.com/products/klein-tools-ti220-thermal-imager-for-android%c2%ae-devices", "https://edmondsonsupply.com/products/klein-tools-ti220-thermal-imager-for-android%c2%ae-devices")</f>
        <v>https://edmondsonsupply.com/products/klein-tools-ti220-thermal-imager-for-android%c2%ae-devices</v>
      </c>
      <c r="C6058" t="s">
        <v>4622</v>
      </c>
      <c r="D6058" t="s">
        <v>4623</v>
      </c>
      <c r="E6058" s="3" t="str">
        <f>HYPERLINK("https://www.amazon.com/Klein-Tools-TI220-Thermal-Imager-Temperatures/dp/B0B356X9ZD/ref=sr_1_1?keywords=Klein+Tools+TI220+Thermal+Imager+for+Android%C2%AE+Devices&amp;qid=1695173890&amp;sr=8-1", "https://www.amazon.com/Klein-Tools-TI220-Thermal-Imager-Temperatures/dp/B0B356X9ZD/ref=sr_1_1?keywords=Klein+Tools+TI220+Thermal+Imager+for+Android%C2%AE+Devices&amp;qid=1695173890&amp;sr=8-1")</f>
        <v>https://www.amazon.com/Klein-Tools-TI220-Thermal-Imager-Temperatures/dp/B0B356X9ZD/ref=sr_1_1?keywords=Klein+Tools+TI220+Thermal+Imager+for+Android%C2%AE+Devices&amp;qid=1695173890&amp;sr=8-1</v>
      </c>
      <c r="F6058" t="s">
        <v>4624</v>
      </c>
      <c r="G6058" t="e">
        <f ca="1">_xludf.IMAGE("https://edmondsonsupply.com/cdn/shop/products/ti220.jpg?v=1663594817")</f>
        <v>#NAME?</v>
      </c>
      <c r="H6058" t="e">
        <f ca="1">_xludf.IMAGE("https://m.media-amazon.com/images/I/71DqBIDjgfL._AC_UY218_.jpg")</f>
        <v>#NAME?</v>
      </c>
      <c r="I6058" t="s">
        <v>4625</v>
      </c>
      <c r="J6058">
        <v>249.99</v>
      </c>
      <c r="K6058" s="4">
        <v>0</v>
      </c>
      <c r="L6058">
        <v>4.5</v>
      </c>
      <c r="M6058">
        <v>91</v>
      </c>
      <c r="O6058" t="s">
        <v>25</v>
      </c>
      <c r="P6058" t="s">
        <v>4626</v>
      </c>
      <c r="Q6058" t="s">
        <v>4627</v>
      </c>
    </row>
    <row r="6059" spans="1:17" ht="15.5" x14ac:dyDescent="0.35">
      <c r="A6059" s="3" t="str">
        <f>HYPERLINK("https://edmondsonsupply.com/collections/electricians-tools/products/klein-tools-56409-polymer-fish-rod-set-glow-in-the-dark", "https://edmondsonsupply.com/collections/electricians-tools/products/klein-tools-56409-polymer-fish-rod-set-glow-in-the-dark")</f>
        <v>https://edmondsonsupply.com/collections/electricians-tools/products/klein-tools-56409-polymer-fish-rod-set-glow-in-the-dark</v>
      </c>
      <c r="B6059" s="3" t="str">
        <f>HYPERLINK("https://edmondsonsupply.com/products/klein-tools-56409-polymer-fish-rod-set-glow-in-the-dark", "https://edmondsonsupply.com/products/klein-tools-56409-polymer-fish-rod-set-glow-in-the-dark")</f>
        <v>https://edmondsonsupply.com/products/klein-tools-56409-polymer-fish-rod-set-glow-in-the-dark</v>
      </c>
      <c r="C6059" t="s">
        <v>8104</v>
      </c>
      <c r="D6059" t="s">
        <v>8105</v>
      </c>
      <c r="E6059" s="3" t="str">
        <f>HYPERLINK("https://www.amazon.com/Mid-Flex-9-Foot-Klein-Tools-56409/dp/B00CQM3TZ8/ref=sr_1_1?keywords=Klein+Tools+56409+Mid-Flex+Glow+Rod+Set%2C+9-Foot&amp;qid=1695174228&amp;sr=8-1", "https://www.amazon.com/Mid-Flex-9-Foot-Klein-Tools-56409/dp/B00CQM3TZ8/ref=sr_1_1?keywords=Klein+Tools+56409+Mid-Flex+Glow+Rod+Set%2C+9-Foot&amp;qid=1695174228&amp;sr=8-1")</f>
        <v>https://www.amazon.com/Mid-Flex-9-Foot-Klein-Tools-56409/dp/B00CQM3TZ8/ref=sr_1_1?keywords=Klein+Tools+56409+Mid-Flex+Glow+Rod+Set%2C+9-Foot&amp;qid=1695174228&amp;sr=8-1</v>
      </c>
      <c r="F6059" t="s">
        <v>8106</v>
      </c>
      <c r="G6059" t="e">
        <f ca="1">_xludf.IMAGE("https://edmondsonsupply.com/cdn/shop/products/56409.jpg?v=1641777660")</f>
        <v>#NAME?</v>
      </c>
      <c r="H6059" t="e">
        <f ca="1">_xludf.IMAGE("https://m.media-amazon.com/images/I/41RinMCr4EL._AC_UL320_.jpg")</f>
        <v>#NAME?</v>
      </c>
      <c r="I6059" t="s">
        <v>246</v>
      </c>
      <c r="J6059">
        <v>39.97</v>
      </c>
      <c r="K6059" s="4">
        <v>0</v>
      </c>
      <c r="L6059">
        <v>4.5999999999999996</v>
      </c>
      <c r="M6059">
        <v>545</v>
      </c>
      <c r="O6059" t="s">
        <v>25</v>
      </c>
      <c r="P6059" t="s">
        <v>247</v>
      </c>
      <c r="Q6059" t="s">
        <v>8107</v>
      </c>
    </row>
    <row r="6060" spans="1:17" ht="15.5" x14ac:dyDescent="0.35">
      <c r="A6060"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6060" s="3" t="str">
        <f>HYPERLINK("https://edmondsonsupply.com/products/klein-tools-32800-6-in-1-multi-nut-driver-heavy-duty", "https://edmondsonsupply.com/products/klein-tools-32800-6-in-1-multi-nut-driver-heavy-duty")</f>
        <v>https://edmondsonsupply.com/products/klein-tools-32800-6-in-1-multi-nut-driver-heavy-duty</v>
      </c>
      <c r="C6060" t="s">
        <v>8108</v>
      </c>
      <c r="D6060" t="s">
        <v>8109</v>
      </c>
      <c r="E6060" s="3" t="str">
        <f>HYPERLINK("https://www.amazon.com/Driver-NutDriver-Klein-Tools-32800/dp/B01I0QVP18/ref=sr_1_1?keywords=Klein+Tools+32800+6-in-1+6-in-1+Multi-Bit+Nut+Driver%2C+Heavy+Duty&amp;qid=1695174226&amp;sr=8-1", "https://www.amazon.com/Driver-NutDriver-Klein-Tools-32800/dp/B01I0QVP18/ref=sr_1_1?keywords=Klein+Tools+32800+6-in-1+6-in-1+Multi-Bit+Nut+Driver%2C+Heavy+Duty&amp;qid=1695174226&amp;sr=8-1")</f>
        <v>https://www.amazon.com/Driver-NutDriver-Klein-Tools-32800/dp/B01I0QVP18/ref=sr_1_1?keywords=Klein+Tools+32800+6-in-1+6-in-1+Multi-Bit+Nut+Driver%2C+Heavy+Duty&amp;qid=1695174226&amp;sr=8-1</v>
      </c>
      <c r="F6060" t="s">
        <v>8110</v>
      </c>
      <c r="G6060" t="e">
        <f ca="1">_xludf.IMAGE("https://edmondsonsupply.com/cdn/shop/products/32800_alt2.jpg?v=1646595019")</f>
        <v>#NAME?</v>
      </c>
      <c r="H6060" t="e">
        <f ca="1">_xludf.IMAGE("https://m.media-amazon.com/images/I/51LJIaQJvaL._AC_UL320_.jpg")</f>
        <v>#NAME?</v>
      </c>
      <c r="I6060" t="s">
        <v>26</v>
      </c>
      <c r="J6060">
        <v>29.99</v>
      </c>
      <c r="K6060" s="4">
        <v>0</v>
      </c>
      <c r="L6060">
        <v>4.7</v>
      </c>
      <c r="M6060">
        <v>1822</v>
      </c>
      <c r="O6060" t="s">
        <v>25</v>
      </c>
      <c r="P6060" t="s">
        <v>8111</v>
      </c>
      <c r="Q6060" t="s">
        <v>8112</v>
      </c>
    </row>
    <row r="6061" spans="1:17" ht="15.5" x14ac:dyDescent="0.35">
      <c r="A6061" s="3" t="str">
        <f>HYPERLINK("https://edmondsonsupply.com/collections/electricians-tools/products/klein-tools-jth9e06-3-32-inch-hex-key-journeyman%E2%84%A2-t-handle-9-inch", "https://edmondsonsupply.com/collections/electricians-tools/products/klein-tools-jth9e06-3-32-inch-hex-key-journeyman%E2%84%A2-t-handle-9-inch")</f>
        <v>https://edmondsonsupply.com/collections/electricians-tools/products/klein-tools-jth9e06-3-32-inch-hex-key-journeyman%E2%84%A2-t-handle-9-inch</v>
      </c>
      <c r="B6061" s="3" t="str">
        <f>HYPERLINK("https://edmondsonsupply.com/products/klein-tools-jth9e06-3-32-inch-hex-key-journeyman%e2%84%a2-t-handle-9-inch", "https://edmondsonsupply.com/products/klein-tools-jth9e06-3-32-inch-hex-key-journeyman%e2%84%a2-t-handle-9-inch")</f>
        <v>https://edmondsonsupply.com/products/klein-tools-jth9e06-3-32-inch-hex-key-journeyman%e2%84%a2-t-handle-9-inch</v>
      </c>
      <c r="C6061" t="s">
        <v>7332</v>
      </c>
      <c r="D6061" t="s">
        <v>5118</v>
      </c>
      <c r="E6061" s="3" t="str">
        <f>HYPERLINK("https://www.amazon.com/Journeyman-T-Handle-Klein-Tools-JTH9E10/dp/B004QV8H90/ref=sr_1_8?keywords=Klein+Tools+JTH9E06+3%2F32-Inch+Hex+Key%2C+Journeyman%E2%84%A2+T-Handle%2C+9-Inch&amp;qid=1695174164&amp;sr=8-8", "https://www.amazon.com/Journeyman-T-Handle-Klein-Tools-JTH9E10/dp/B004QV8H90/ref=sr_1_8?keywords=Klein+Tools+JTH9E06+3%2F32-Inch+Hex+Key%2C+Journeyman%E2%84%A2+T-Handle%2C+9-Inch&amp;qid=1695174164&amp;sr=8-8")</f>
        <v>https://www.amazon.com/Journeyman-T-Handle-Klein-Tools-JTH9E10/dp/B004QV8H90/ref=sr_1_8?keywords=Klein+Tools+JTH9E06+3%2F32-Inch+Hex+Key%2C+Journeyman%E2%84%A2+T-Handle%2C+9-Inch&amp;qid=1695174164&amp;sr=8-8</v>
      </c>
      <c r="F6061" t="s">
        <v>5119</v>
      </c>
      <c r="G6061" t="e">
        <f ca="1">_xludf.IMAGE("https://edmondsonsupply.com/cdn/shop/products/jth6e15_2136116f-dcd1-4a81-ab1c-471762cb8f3e.jpg?v=1662657547")</f>
        <v>#NAME?</v>
      </c>
      <c r="H6061" t="e">
        <f ca="1">_xludf.IMAGE("https://m.media-amazon.com/images/I/51Yb8h41vLL._AC_UL320_.jpg")</f>
        <v>#NAME?</v>
      </c>
      <c r="I6061" t="s">
        <v>6122</v>
      </c>
      <c r="J6061">
        <v>4.49</v>
      </c>
      <c r="K6061" s="4">
        <v>0</v>
      </c>
      <c r="L6061">
        <v>4.8</v>
      </c>
      <c r="M6061">
        <v>294</v>
      </c>
      <c r="O6061" t="s">
        <v>25</v>
      </c>
      <c r="P6061" t="s">
        <v>6098</v>
      </c>
      <c r="Q6061" t="s">
        <v>7333</v>
      </c>
    </row>
    <row r="6062" spans="1:17" ht="15.5" x14ac:dyDescent="0.35">
      <c r="A6062" s="3" t="str">
        <f>HYPERLINK("https://edmondsonsupply.com/collections/electricians-tools/products/klein-tools-60439-neck-and-face-cooling-band", "https://edmondsonsupply.com/collections/electricians-tools/products/klein-tools-60439-neck-and-face-cooling-band")</f>
        <v>https://edmondsonsupply.com/collections/electricians-tools/products/klein-tools-60439-neck-and-face-cooling-band</v>
      </c>
      <c r="B6062" s="3" t="str">
        <f>HYPERLINK("https://edmondsonsupply.com/products/klein-tools-60439-neck-and-face-cooling-band", "https://edmondsonsupply.com/products/klein-tools-60439-neck-and-face-cooling-band")</f>
        <v>https://edmondsonsupply.com/products/klein-tools-60439-neck-and-face-cooling-band</v>
      </c>
      <c r="C6062" t="s">
        <v>3346</v>
      </c>
      <c r="D6062" t="s">
        <v>4686</v>
      </c>
      <c r="E6062" s="3" t="str">
        <f>HYPERLINK("https://www.amazon.com/Klein-60465-Evaporative-Performance-Protection/dp/B08L5LWPH3/ref=sr_1_2?keywords=Klein+Tools+60439+Neck+and+Face+Cooling+Band&amp;qid=1695173890&amp;sr=8-2", "https://www.amazon.com/Klein-60465-Evaporative-Performance-Protection/dp/B08L5LWPH3/ref=sr_1_2?keywords=Klein+Tools+60439+Neck+and+Face+Cooling+Band&amp;qid=1695173890&amp;sr=8-2")</f>
        <v>https://www.amazon.com/Klein-60465-Evaporative-Performance-Protection/dp/B08L5LWPH3/ref=sr_1_2?keywords=Klein+Tools+60439+Neck+and+Face+Cooling+Band&amp;qid=1695173890&amp;sr=8-2</v>
      </c>
      <c r="F6062" t="s">
        <v>4687</v>
      </c>
      <c r="G6062" t="e">
        <f ca="1">_xludf.IMAGE("https://edmondsonsupply.com/cdn/shop/products/60439.jpg?v=1633030400")</f>
        <v>#NAME?</v>
      </c>
      <c r="H6062" t="e">
        <f ca="1">_xludf.IMAGE("https://m.media-amazon.com/images/I/61XfIfPNM0L._AC_UL320_.jpg")</f>
        <v>#NAME?</v>
      </c>
      <c r="I6062" t="s">
        <v>2577</v>
      </c>
      <c r="J6062">
        <v>9.99</v>
      </c>
      <c r="K6062" s="4">
        <v>0</v>
      </c>
      <c r="L6062">
        <v>4.4000000000000004</v>
      </c>
      <c r="M6062">
        <v>67</v>
      </c>
      <c r="O6062" t="s">
        <v>25</v>
      </c>
      <c r="P6062" t="s">
        <v>1271</v>
      </c>
      <c r="Q6062" t="s">
        <v>3349</v>
      </c>
    </row>
    <row r="6063" spans="1:17" ht="15.5" x14ac:dyDescent="0.35">
      <c r="A6063" s="3" t="str">
        <f>HYPERLINK("https://edmondsonsupply.com/collections/electricians-tools/products/klein-tools-63711-open-jaw-ratcheting-cable-cutter", "https://edmondsonsupply.com/collections/electricians-tools/products/klein-tools-63711-open-jaw-ratcheting-cable-cutter")</f>
        <v>https://edmondsonsupply.com/collections/electricians-tools/products/klein-tools-63711-open-jaw-ratcheting-cable-cutter</v>
      </c>
      <c r="B6063" s="3" t="str">
        <f>HYPERLINK("https://edmondsonsupply.com/products/klein-tools-63711-open-jaw-ratcheting-cable-cutter", "https://edmondsonsupply.com/products/klein-tools-63711-open-jaw-ratcheting-cable-cutter")</f>
        <v>https://edmondsonsupply.com/products/klein-tools-63711-open-jaw-ratcheting-cable-cutter</v>
      </c>
      <c r="C6063" t="s">
        <v>8113</v>
      </c>
      <c r="D6063" t="s">
        <v>8114</v>
      </c>
      <c r="E6063" s="3" t="str">
        <f>HYPERLINK("https://www.amazon.com/Cutter-Loading-Aluminum-Klein-Tools/dp/B00GI5GZ8M/ref=sr_1_1?keywords=Klein+Tools+63711+Open+Jaw+Ratcheting+Cable+Cutter&amp;qid=1695174167&amp;sr=8-1", "https://www.amazon.com/Cutter-Loading-Aluminum-Klein-Tools/dp/B00GI5GZ8M/ref=sr_1_1?keywords=Klein+Tools+63711+Open+Jaw+Ratcheting+Cable+Cutter&amp;qid=1695174167&amp;sr=8-1")</f>
        <v>https://www.amazon.com/Cutter-Loading-Aluminum-Klein-Tools/dp/B00GI5GZ8M/ref=sr_1_1?keywords=Klein+Tools+63711+Open+Jaw+Ratcheting+Cable+Cutter&amp;qid=1695174167&amp;sr=8-1</v>
      </c>
      <c r="F6063" t="s">
        <v>8115</v>
      </c>
      <c r="G6063" t="e">
        <f ca="1">_xludf.IMAGE("https://edmondsonsupply.com/cdn/shop/products/63711.jpg?v=1664130144")</f>
        <v>#NAME?</v>
      </c>
      <c r="H6063" t="e">
        <f ca="1">_xludf.IMAGE("https://m.media-amazon.com/images/I/51wteTWu6NL._AC_UL320_.jpg")</f>
        <v>#NAME?</v>
      </c>
      <c r="I6063" t="s">
        <v>8116</v>
      </c>
      <c r="J6063">
        <v>272.69</v>
      </c>
      <c r="K6063" s="4">
        <v>0</v>
      </c>
      <c r="L6063">
        <v>4.7</v>
      </c>
      <c r="M6063">
        <v>344</v>
      </c>
      <c r="O6063" t="s">
        <v>25</v>
      </c>
      <c r="P6063" t="s">
        <v>8117</v>
      </c>
      <c r="Q6063" t="s">
        <v>8118</v>
      </c>
    </row>
    <row r="6064" spans="1:17" ht="15.5" x14ac:dyDescent="0.35">
      <c r="A6064" s="3" t="str">
        <f>HYPERLINK("https://edmondsonsupply.com/collections/electricians-tools/products/klein-tools-31868-carbide-hole-cutter-2-inch", "https://edmondsonsupply.com/collections/electricians-tools/products/klein-tools-31868-carbide-hole-cutter-2-inch")</f>
        <v>https://edmondsonsupply.com/collections/electricians-tools/products/klein-tools-31868-carbide-hole-cutter-2-inch</v>
      </c>
      <c r="B6064" s="3" t="str">
        <f>HYPERLINK("https://edmondsonsupply.com/products/klein-tools-31868-carbide-hole-cutter-2-inch", "https://edmondsonsupply.com/products/klein-tools-31868-carbide-hole-cutter-2-inch")</f>
        <v>https://edmondsonsupply.com/products/klein-tools-31868-carbide-hole-cutter-2-inch</v>
      </c>
      <c r="C6064" t="s">
        <v>8119</v>
      </c>
      <c r="D6064" t="s">
        <v>8120</v>
      </c>
      <c r="E6064" s="3" t="str">
        <f>HYPERLINK("https://www.amazon.com/Carbide-Cutter-Klein-Tools-31868/dp/B00776T3D0/ref=sr_1_1?keywords=Klein+Tools+31868+Carbide+Hole+Cutter%2C+2-Inch&amp;qid=1695174229&amp;sr=8-1", "https://www.amazon.com/Carbide-Cutter-Klein-Tools-31868/dp/B00776T3D0/ref=sr_1_1?keywords=Klein+Tools+31868+Carbide+Hole+Cutter%2C+2-Inch&amp;qid=1695174229&amp;sr=8-1")</f>
        <v>https://www.amazon.com/Carbide-Cutter-Klein-Tools-31868/dp/B00776T3D0/ref=sr_1_1?keywords=Klein+Tools+31868+Carbide+Hole+Cutter%2C+2-Inch&amp;qid=1695174229&amp;sr=8-1</v>
      </c>
      <c r="F6064" t="s">
        <v>8121</v>
      </c>
      <c r="G6064" t="e">
        <f ca="1">_xludf.IMAGE("https://edmondsonsupply.com/cdn/shop/products/31868.jpg?v=1635112576")</f>
        <v>#NAME?</v>
      </c>
      <c r="H6064" t="e">
        <f ca="1">_xludf.IMAGE("https://m.media-amazon.com/images/I/41W7PbNCmTL._AC_UL320_.jpg")</f>
        <v>#NAME?</v>
      </c>
      <c r="I6064" t="s">
        <v>905</v>
      </c>
      <c r="J6064">
        <v>59.99</v>
      </c>
      <c r="K6064" s="4">
        <v>0</v>
      </c>
      <c r="L6064">
        <v>4.5</v>
      </c>
      <c r="M6064">
        <v>473</v>
      </c>
      <c r="O6064" t="s">
        <v>25</v>
      </c>
      <c r="P6064" t="s">
        <v>8122</v>
      </c>
      <c r="Q6064" t="s">
        <v>8123</v>
      </c>
    </row>
    <row r="6065" spans="1:17" ht="15.5" x14ac:dyDescent="0.35">
      <c r="A6065" s="3" t="str">
        <f>HYPERLINK("https://edmondsonsupply.com/collections/electricians-tools/products/klein-tools-s18hb", "https://edmondsonsupply.com/collections/electricians-tools/products/klein-tools-s18hb")</f>
        <v>https://edmondsonsupply.com/collections/electricians-tools/products/klein-tools-s18hb</v>
      </c>
      <c r="B6065" s="3" t="str">
        <f>HYPERLINK("https://edmondsonsupply.com/products/klein-tools-s18hb", "https://edmondsonsupply.com/products/klein-tools-s18hb")</f>
        <v>https://edmondsonsupply.com/products/klein-tools-s18hb</v>
      </c>
      <c r="C6065" t="s">
        <v>4724</v>
      </c>
      <c r="D6065" t="s">
        <v>4725</v>
      </c>
      <c r="E6065" s="3" t="str">
        <f>HYPERLINK("https://www.amazon.com/Klein-Tools-S18HB-Adjustable-Adjusts/dp/B0BN4LGV19/ref=sr_1_1?keywords=Klein+Tools+S18HB+Grip-It%E2%84%A2+Strap+Wrench%2C+1-1%2F8+to+8-Inch%2C+18-Inch+Handle&amp;qid=1695173985&amp;sr=8-1", "https://www.amazon.com/Klein-Tools-S18HB-Adjustable-Adjusts/dp/B0BN4LGV19/ref=sr_1_1?keywords=Klein+Tools+S18HB+Grip-It%E2%84%A2+Strap+Wrench%2C+1-1%2F8+to+8-Inch%2C+18-Inch+Handle&amp;qid=1695173985&amp;sr=8-1")</f>
        <v>https://www.amazon.com/Klein-Tools-S18HB-Adjustable-Adjusts/dp/B0BN4LGV19/ref=sr_1_1?keywords=Klein+Tools+S18HB+Grip-It%E2%84%A2+Strap+Wrench%2C+1-1%2F8+to+8-Inch%2C+18-Inch+Handle&amp;qid=1695173985&amp;sr=8-1</v>
      </c>
      <c r="F6065" t="s">
        <v>4726</v>
      </c>
      <c r="G6065" t="e">
        <f ca="1">_xludf.IMAGE("https://edmondsonsupply.com/cdn/shop/files/s18hb_b.jpg?v=1689785962")</f>
        <v>#NAME?</v>
      </c>
      <c r="H6065" t="e">
        <f ca="1">_xludf.IMAGE("https://m.media-amazon.com/images/I/51WZHZOQNPL._AC_UL320_.jpg")</f>
        <v>#NAME?</v>
      </c>
      <c r="I6065" t="s">
        <v>905</v>
      </c>
      <c r="J6065">
        <v>59.99</v>
      </c>
      <c r="K6065" s="4">
        <v>0</v>
      </c>
      <c r="L6065">
        <v>4.2</v>
      </c>
      <c r="M6065">
        <v>9</v>
      </c>
      <c r="O6065" t="s">
        <v>25</v>
      </c>
      <c r="P6065" t="s">
        <v>4727</v>
      </c>
      <c r="Q6065" t="s">
        <v>4728</v>
      </c>
    </row>
    <row r="6066" spans="1:17" ht="15.5" x14ac:dyDescent="0.35">
      <c r="A6066"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6066" s="3" t="str">
        <f>HYPERLINK("https://edmondsonsupply.com/products/klein-tools-66070-flip-impact-socket-set-7-piece", "https://edmondsonsupply.com/products/klein-tools-66070-flip-impact-socket-set-7-piece")</f>
        <v>https://edmondsonsupply.com/products/klein-tools-66070-flip-impact-socket-set-7-piece</v>
      </c>
      <c r="C6066" t="s">
        <v>6659</v>
      </c>
      <c r="D6066" t="s">
        <v>1834</v>
      </c>
      <c r="E6066" s="3" t="str">
        <f>HYPERLINK("https://www.amazon.com/Klein-Tools-66070-Sockets-Adapters/dp/B0B33XLXD1/ref=sr_1_1?keywords=Klein+Tools+66070+Flip+Impact+Socket+Set%2C+7-Piece&amp;qid=1695173845&amp;sr=8-1", "https://www.amazon.com/Klein-Tools-66070-Sockets-Adapters/dp/B0B33XLXD1/ref=sr_1_1?keywords=Klein+Tools+66070+Flip+Impact+Socket+Set%2C+7-Piece&amp;qid=1695173845&amp;sr=8-1")</f>
        <v>https://www.amazon.com/Klein-Tools-66070-Sockets-Adapters/dp/B0B33XLXD1/ref=sr_1_1?keywords=Klein+Tools+66070+Flip+Impact+Socket+Set%2C+7-Piece&amp;qid=1695173845&amp;sr=8-1</v>
      </c>
      <c r="F6066" t="s">
        <v>2106</v>
      </c>
      <c r="G6066" t="e">
        <f ca="1">_xludf.IMAGE("https://edmondsonsupply.com/cdn/shop/products/66070_b.jpg?v=1663251434")</f>
        <v>#NAME?</v>
      </c>
      <c r="H6066" t="e">
        <f ca="1">_xludf.IMAGE("https://m.media-amazon.com/images/I/71D23SffznL._AC_UL320_.jpg")</f>
        <v>#NAME?</v>
      </c>
      <c r="I6066" t="s">
        <v>380</v>
      </c>
      <c r="J6066">
        <v>49.97</v>
      </c>
      <c r="K6066" s="4">
        <v>0</v>
      </c>
      <c r="L6066">
        <v>4.8</v>
      </c>
      <c r="M6066">
        <v>1158</v>
      </c>
      <c r="O6066" t="s">
        <v>25</v>
      </c>
      <c r="P6066" t="s">
        <v>1114</v>
      </c>
      <c r="Q6066" t="s">
        <v>6662</v>
      </c>
    </row>
    <row r="6067" spans="1:17" ht="15.5" x14ac:dyDescent="0.35">
      <c r="A6067"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6067"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6067" t="s">
        <v>2659</v>
      </c>
      <c r="D6067" t="s">
        <v>4499</v>
      </c>
      <c r="E6067" s="3" t="str">
        <f>HYPERLINK("https://www.amazon.com/Klein-Tools-70550-Folding-Wrench/dp/B07SR11TC4/ref=sr_1_1?keywords=Klein+Tools+70550+Pro+Folding+Hex+Key+Set%2C+11-Key%2C+SAE+Sizes&amp;qid=1695173950&amp;sr=8-1", "https://www.amazon.com/Klein-Tools-70550-Folding-Wrench/dp/B07SR11TC4/ref=sr_1_1?keywords=Klein+Tools+70550+Pro+Folding+Hex+Key+Set%2C+11-Key%2C+SAE+Sizes&amp;qid=1695173950&amp;sr=8-1")</f>
        <v>https://www.amazon.com/Klein-Tools-70550-Folding-Wrench/dp/B07SR11TC4/ref=sr_1_1?keywords=Klein+Tools+70550+Pro+Folding+Hex+Key+Set%2C+11-Key%2C+SAE+Sizes&amp;qid=1695173950&amp;sr=8-1</v>
      </c>
      <c r="F6067" t="s">
        <v>4500</v>
      </c>
      <c r="G6067" t="e">
        <f ca="1">_xludf.IMAGE("https://edmondsonsupply.com/cdn/shop/products/70550.jpg?v=1587145237")</f>
        <v>#NAME?</v>
      </c>
      <c r="H6067" t="e">
        <f ca="1">_xludf.IMAGE("https://m.media-amazon.com/images/I/51WajHtjW+L._AC_UL320_.jpg")</f>
        <v>#NAME?</v>
      </c>
      <c r="I6067" t="s">
        <v>893</v>
      </c>
      <c r="J6067">
        <v>19.97</v>
      </c>
      <c r="K6067" s="4">
        <v>0</v>
      </c>
      <c r="L6067">
        <v>4.8</v>
      </c>
      <c r="M6067">
        <v>5755</v>
      </c>
      <c r="O6067" t="s">
        <v>25</v>
      </c>
      <c r="P6067" t="s">
        <v>2662</v>
      </c>
      <c r="Q6067" t="s">
        <v>2663</v>
      </c>
    </row>
    <row r="6068" spans="1:17" ht="15.5" x14ac:dyDescent="0.35">
      <c r="A6068" s="3" t="str">
        <f>HYPERLINK("https://edmondsonsupply.com/collections/electricians-tools/products/channellock-431", "https://edmondsonsupply.com/collections/electricians-tools/products/channellock-431")</f>
        <v>https://edmondsonsupply.com/collections/electricians-tools/products/channellock-431</v>
      </c>
      <c r="B6068" s="3" t="str">
        <f>HYPERLINK("https://edmondsonsupply.com/products/channellock-431", "https://edmondsonsupply.com/products/channellock-431")</f>
        <v>https://edmondsonsupply.com/products/channellock-431</v>
      </c>
      <c r="C6068" t="s">
        <v>3341</v>
      </c>
      <c r="D6068" t="s">
        <v>4459</v>
      </c>
      <c r="E6068" s="3" t="str">
        <f>HYPERLINK("https://www.amazon.com/Channellock-432-2-Inch-Capacity-10-Inch/dp/B000189GRY/ref=sr_1_3?keywords=Channellock+432+10-Inch+V-Jaw+Tongue&amp;qid=1695173959&amp;sr=8-3", "https://www.amazon.com/Channellock-432-2-Inch-Capacity-10-Inch/dp/B000189GRY/ref=sr_1_3?keywords=Channellock+432+10-Inch+V-Jaw+Tongue&amp;qid=1695173959&amp;sr=8-3")</f>
        <v>https://www.amazon.com/Channellock-432-2-Inch-Capacity-10-Inch/dp/B000189GRY/ref=sr_1_3?keywords=Channellock+432+10-Inch+V-Jaw+Tongue&amp;qid=1695173959&amp;sr=8-3</v>
      </c>
      <c r="F6068" t="s">
        <v>4460</v>
      </c>
      <c r="G6068" t="e">
        <f ca="1">_xludf.IMAGE("https://edmondsonsupply.com/cdn/shop/products/432-683x1024.jpg?v=1587147134")</f>
        <v>#NAME?</v>
      </c>
      <c r="H6068" t="e">
        <f ca="1">_xludf.IMAGE("https://m.media-amazon.com/images/I/71ZFfDuDhxL._AC_UL320_.jpg")</f>
        <v>#NAME?</v>
      </c>
      <c r="I6068" t="s">
        <v>488</v>
      </c>
      <c r="J6068">
        <v>19.95</v>
      </c>
      <c r="K6068" s="4">
        <v>0</v>
      </c>
      <c r="L6068">
        <v>4.7</v>
      </c>
      <c r="M6068">
        <v>2314</v>
      </c>
      <c r="O6068" t="s">
        <v>25</v>
      </c>
      <c r="P6068" t="s">
        <v>3344</v>
      </c>
      <c r="Q6068" t="s">
        <v>3345</v>
      </c>
    </row>
    <row r="6069" spans="1:17" ht="15.5" x14ac:dyDescent="0.35">
      <c r="A6069"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6069" s="3" t="str">
        <f>HYPERLINK("https://edmondsonsupply.com/products/klein-tools-66060-2-in-1-impact-socket-set-6-point-6-piece", "https://edmondsonsupply.com/products/klein-tools-66060-2-in-1-impact-socket-set-6-point-6-piece")</f>
        <v>https://edmondsonsupply.com/products/klein-tools-66060-2-in-1-impact-socket-set-6-point-6-piece</v>
      </c>
      <c r="C6069" t="s">
        <v>8124</v>
      </c>
      <c r="D6069" t="s">
        <v>7022</v>
      </c>
      <c r="E6069" s="3" t="str">
        <f>HYPERLINK("https://www.amazon.com/Klein-Tools-66010-High-Torque-12-Point/dp/B07NZS6998/ref=sr_1_2?keywords=Klein+Tools+66060+2-in-1+Impact+Socket+Set%2C+6-Point%2C+6-Piece&amp;qid=1695174139&amp;sr=8-2", "https://www.amazon.com/Klein-Tools-66010-High-Torque-12-Point/dp/B07NZS6998/ref=sr_1_2?keywords=Klein+Tools+66060+2-in-1+Impact+Socket+Set%2C+6-Point%2C+6-Piece&amp;qid=1695174139&amp;sr=8-2")</f>
        <v>https://www.amazon.com/Klein-Tools-66010-High-Torque-12-Point/dp/B07NZS6998/ref=sr_1_2?keywords=Klein+Tools+66060+2-in-1+Impact+Socket+Set%2C+6-Point%2C+6-Piece&amp;qid=1695174139&amp;sr=8-2</v>
      </c>
      <c r="F6069" t="s">
        <v>7023</v>
      </c>
      <c r="G6069" t="e">
        <f ca="1">_xludf.IMAGE("https://edmondsonsupply.com/cdn/shop/products/66060.jpg?v=1665592747")</f>
        <v>#NAME?</v>
      </c>
      <c r="H6069" t="e">
        <f ca="1">_xludf.IMAGE("https://m.media-amazon.com/images/I/51QnKGm7EiL._AC_UL320_.jpg")</f>
        <v>#NAME?</v>
      </c>
      <c r="I6069" t="s">
        <v>400</v>
      </c>
      <c r="J6069">
        <v>199.99</v>
      </c>
      <c r="K6069" s="4">
        <v>0</v>
      </c>
      <c r="L6069">
        <v>4.8</v>
      </c>
      <c r="M6069">
        <v>380</v>
      </c>
      <c r="O6069" t="s">
        <v>25</v>
      </c>
      <c r="P6069" t="s">
        <v>8125</v>
      </c>
      <c r="Q6069" t="s">
        <v>8126</v>
      </c>
    </row>
    <row r="6070" spans="1:17" ht="15.5" x14ac:dyDescent="0.35">
      <c r="A6070"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6070" s="3" t="str">
        <f>HYPERLINK("https://edmondsonsupply.com/products/klein-tools-66060-2-in-1-impact-socket-set-6-point-6-piece", "https://edmondsonsupply.com/products/klein-tools-66060-2-in-1-impact-socket-set-6-point-6-piece")</f>
        <v>https://edmondsonsupply.com/products/klein-tools-66060-2-in-1-impact-socket-set-6-point-6-piece</v>
      </c>
      <c r="C6070" t="s">
        <v>8124</v>
      </c>
      <c r="D6070" t="s">
        <v>8127</v>
      </c>
      <c r="E6070" s="3" t="str">
        <f>HYPERLINK("https://www.amazon.com/6-Piece-6-Point-Klein-Tools-66060/dp/B09NDQC58N/ref=sr_1_1?keywords=Klein+Tools+66060+2-in-1+Impact+Socket+Set%2C+6-Point%2C+6-Piece&amp;qid=1695174139&amp;sr=8-1", "https://www.amazon.com/6-Piece-6-Point-Klein-Tools-66060/dp/B09NDQC58N/ref=sr_1_1?keywords=Klein+Tools+66060+2-in-1+Impact+Socket+Set%2C+6-Point%2C+6-Piece&amp;qid=1695174139&amp;sr=8-1")</f>
        <v>https://www.amazon.com/6-Piece-6-Point-Klein-Tools-66060/dp/B09NDQC58N/ref=sr_1_1?keywords=Klein+Tools+66060+2-in-1+Impact+Socket+Set%2C+6-Point%2C+6-Piece&amp;qid=1695174139&amp;sr=8-1</v>
      </c>
      <c r="F6070" t="s">
        <v>8128</v>
      </c>
      <c r="G6070" t="e">
        <f ca="1">_xludf.IMAGE("https://edmondsonsupply.com/cdn/shop/products/66060.jpg?v=1665592747")</f>
        <v>#NAME?</v>
      </c>
      <c r="H6070" t="e">
        <f ca="1">_xludf.IMAGE("https://m.media-amazon.com/images/I/61eqgi0t5cL._AC_UL320_.jpg")</f>
        <v>#NAME?</v>
      </c>
      <c r="I6070" t="s">
        <v>400</v>
      </c>
      <c r="J6070">
        <v>199.99</v>
      </c>
      <c r="K6070" s="4">
        <v>0</v>
      </c>
      <c r="L6070">
        <v>4.5</v>
      </c>
      <c r="M6070">
        <v>11</v>
      </c>
      <c r="O6070" t="s">
        <v>25</v>
      </c>
      <c r="P6070" t="s">
        <v>8125</v>
      </c>
      <c r="Q6070" t="s">
        <v>8126</v>
      </c>
    </row>
    <row r="6071" spans="1:17" ht="15.5" x14ac:dyDescent="0.35">
      <c r="A6071" s="3" t="str">
        <f>HYPERLINK("https://edmondsonsupply.com/collections/electricians-tools/products/klein-tools-5183-tradesman-pro%E2%84%A2-drill-pouch", "https://edmondsonsupply.com/collections/electricians-tools/products/klein-tools-5183-tradesman-pro%E2%84%A2-drill-pouch")</f>
        <v>https://edmondsonsupply.com/collections/electricians-tools/products/klein-tools-5183-tradesman-pro%E2%84%A2-drill-pouch</v>
      </c>
      <c r="B6071" s="3" t="str">
        <f>HYPERLINK("https://edmondsonsupply.com/products/klein-tools-5183-tradesman-pro%e2%84%a2-drill-pouch", "https://edmondsonsupply.com/products/klein-tools-5183-tradesman-pro%e2%84%a2-drill-pouch")</f>
        <v>https://edmondsonsupply.com/products/klein-tools-5183-tradesman-pro%e2%84%a2-drill-pouch</v>
      </c>
      <c r="C6071" t="s">
        <v>359</v>
      </c>
      <c r="D6071" t="s">
        <v>597</v>
      </c>
      <c r="E6071" s="3" t="str">
        <f>HYPERLINK("https://www.amazon.com/Tradesman-Drill-Klein-Tools-5183/dp/B00MJNFYRU/ref=sr_1_1?keywords=Klein+Tools+5183+Tool+Bag%2C+Tradesman+Pro%E2%84%A2+Drill+Pouch&amp;qid=1695173941&amp;sr=8-1", "https://www.amazon.com/Tradesman-Drill-Klein-Tools-5183/dp/B00MJNFYRU/ref=sr_1_1?keywords=Klein+Tools+5183+Tool+Bag%2C+Tradesman+Pro%E2%84%A2+Drill+Pouch&amp;qid=1695173941&amp;sr=8-1")</f>
        <v>https://www.amazon.com/Tradesman-Drill-Klein-Tools-5183/dp/B00MJNFYRU/ref=sr_1_1?keywords=Klein+Tools+5183+Tool+Bag%2C+Tradesman+Pro%E2%84%A2+Drill+Pouch&amp;qid=1695173941&amp;sr=8-1</v>
      </c>
      <c r="F6071" t="s">
        <v>598</v>
      </c>
      <c r="G6071" t="e">
        <f ca="1">_xludf.IMAGE("https://edmondsonsupply.com/cdn/shop/products/5183.jpg?v=1587145505")</f>
        <v>#NAME?</v>
      </c>
      <c r="H6071" t="e">
        <f ca="1">_xludf.IMAGE("https://m.media-amazon.com/images/I/519CZFYpgDL._AC_UL320_.jpg")</f>
        <v>#NAME?</v>
      </c>
      <c r="I6071" t="s">
        <v>362</v>
      </c>
      <c r="J6071">
        <v>25.99</v>
      </c>
      <c r="K6071" s="4">
        <v>0</v>
      </c>
      <c r="L6071">
        <v>4.5999999999999996</v>
      </c>
      <c r="M6071">
        <v>831</v>
      </c>
      <c r="O6071" t="s">
        <v>25</v>
      </c>
      <c r="P6071" t="s">
        <v>363</v>
      </c>
      <c r="Q6071" t="s">
        <v>364</v>
      </c>
    </row>
    <row r="6072" spans="1:17" ht="15.5" x14ac:dyDescent="0.35">
      <c r="A6072" s="3" t="str">
        <f>HYPERLINK("https://edmondsonsupply.com/collections/electricians-tools/products/klein-tools-55663-welding-helmet-replacement-pocket", "https://edmondsonsupply.com/collections/electricians-tools/products/klein-tools-55663-welding-helmet-replacement-pocket")</f>
        <v>https://edmondsonsupply.com/collections/electricians-tools/products/klein-tools-55663-welding-helmet-replacement-pocket</v>
      </c>
      <c r="B6072" s="3" t="str">
        <f>HYPERLINK("https://edmondsonsupply.com/products/klein-tools-55663-welding-helmet-replacement-pocket", "https://edmondsonsupply.com/products/klein-tools-55663-welding-helmet-replacement-pocket")</f>
        <v>https://edmondsonsupply.com/products/klein-tools-55663-welding-helmet-replacement-pocket</v>
      </c>
      <c r="C6072" t="s">
        <v>599</v>
      </c>
      <c r="D6072" t="s">
        <v>600</v>
      </c>
      <c r="E6072" s="3" t="str">
        <f>HYPERLINK("https://www.amazon.com/Klein-Tools-55663-Replacement-Ironworker/dp/B0BN4K6F2J/ref=sr_1_1?keywords=Klein+Tools+55663+Welding+Helmet+Replacement+Pocket&amp;qid=1695174084&amp;sr=8-1", "https://www.amazon.com/Klein-Tools-55663-Replacement-Ironworker/dp/B0BN4K6F2J/ref=sr_1_1?keywords=Klein+Tools+55663+Welding+Helmet+Replacement+Pocket&amp;qid=1695174084&amp;sr=8-1")</f>
        <v>https://www.amazon.com/Klein-Tools-55663-Replacement-Ironworker/dp/B0BN4K6F2J/ref=sr_1_1?keywords=Klein+Tools+55663+Welding+Helmet+Replacement+Pocket&amp;qid=1695174084&amp;sr=8-1</v>
      </c>
      <c r="F6072" t="s">
        <v>601</v>
      </c>
      <c r="G6072" t="e">
        <f ca="1">_xludf.IMAGE("https://edmondsonsupply.com/cdn/shop/products/55663.jpg?v=1674484517")</f>
        <v>#NAME?</v>
      </c>
      <c r="H6072" t="e">
        <f ca="1">_xludf.IMAGE("https://m.media-amazon.com/images/I/71C2gpYNAIL._AC_UL320_.jpg")</f>
        <v>#NAME?</v>
      </c>
      <c r="I6072" t="s">
        <v>471</v>
      </c>
      <c r="J6072">
        <v>24.99</v>
      </c>
      <c r="K6072" s="4">
        <v>0</v>
      </c>
      <c r="L6072">
        <v>5</v>
      </c>
      <c r="M6072">
        <v>1</v>
      </c>
      <c r="O6072" t="s">
        <v>25</v>
      </c>
      <c r="P6072" t="s">
        <v>602</v>
      </c>
      <c r="Q6072" t="s">
        <v>603</v>
      </c>
    </row>
    <row r="6073" spans="1:17" ht="15.5" x14ac:dyDescent="0.35">
      <c r="A6073" s="3" t="str">
        <f>HYPERLINK("https://edmondsonsupply.com/collections/electricians-tools/products/channellock-431", "https://edmondsonsupply.com/collections/electricians-tools/products/channellock-431")</f>
        <v>https://edmondsonsupply.com/collections/electricians-tools/products/channellock-431</v>
      </c>
      <c r="B6073" s="3" t="str">
        <f>HYPERLINK("https://edmondsonsupply.com/products/channellock-431", "https://edmondsonsupply.com/products/channellock-431")</f>
        <v>https://edmondsonsupply.com/products/channellock-431</v>
      </c>
      <c r="C6073" t="s">
        <v>3341</v>
      </c>
      <c r="D6073" t="s">
        <v>3909</v>
      </c>
      <c r="E6073" s="3" t="str">
        <f>HYPERLINK("https://www.amazon.com/Channellock-430-Straight-Heat-Treated-Reinforcing/dp/B00002N5JF/ref=sr_1_4?keywords=Channellock+432+10-Inch+V-Jaw+Tongue&amp;qid=1695173959&amp;sr=8-4", "https://www.amazon.com/Channellock-430-Straight-Heat-Treated-Reinforcing/dp/B00002N5JF/ref=sr_1_4?keywords=Channellock+432+10-Inch+V-Jaw+Tongue&amp;qid=1695173959&amp;sr=8-4")</f>
        <v>https://www.amazon.com/Channellock-430-Straight-Heat-Treated-Reinforcing/dp/B00002N5JF/ref=sr_1_4?keywords=Channellock+432+10-Inch+V-Jaw+Tongue&amp;qid=1695173959&amp;sr=8-4</v>
      </c>
      <c r="F6073" t="s">
        <v>3910</v>
      </c>
      <c r="G6073" t="e">
        <f ca="1">_xludf.IMAGE("https://edmondsonsupply.com/cdn/shop/products/432-683x1024.jpg?v=1587147134")</f>
        <v>#NAME?</v>
      </c>
      <c r="H6073" t="e">
        <f ca="1">_xludf.IMAGE("https://m.media-amazon.com/images/I/71JqgqffnnL._AC_UL320_.jpg")</f>
        <v>#NAME?</v>
      </c>
      <c r="I6073" t="s">
        <v>488</v>
      </c>
      <c r="J6073">
        <v>19.95</v>
      </c>
      <c r="K6073" s="4">
        <v>0</v>
      </c>
      <c r="L6073">
        <v>4.8</v>
      </c>
      <c r="M6073">
        <v>2191</v>
      </c>
      <c r="O6073" t="s">
        <v>25</v>
      </c>
      <c r="P6073" t="s">
        <v>3344</v>
      </c>
      <c r="Q6073" t="s">
        <v>3345</v>
      </c>
    </row>
    <row r="6074" spans="1:17" ht="15.5" x14ac:dyDescent="0.35">
      <c r="A6074" s="3" t="str">
        <f>HYPERLINK("https://edmondsonsupply.com/collections/electricians-tools/products/klein-tools-jth6e07-7-64-inch-hex-key-journeyman%E2%84%A2-t-handle-6-inch", "https://edmondsonsupply.com/collections/electricians-tools/products/klein-tools-jth6e07-7-64-inch-hex-key-journeyman%E2%84%A2-t-handle-6-inch")</f>
        <v>https://edmondsonsupply.com/collections/electricians-tools/products/klein-tools-jth6e07-7-64-inch-hex-key-journeyman%E2%84%A2-t-handle-6-inch</v>
      </c>
      <c r="B6074" s="3" t="str">
        <f>HYPERLINK("https://edmondsonsupply.com/products/klein-tools-jth6e07-7-64-inch-hex-key-journeyman%e2%84%a2-t-handle-6-inch", "https://edmondsonsupply.com/products/klein-tools-jth6e07-7-64-inch-hex-key-journeyman%e2%84%a2-t-handle-6-inch")</f>
        <v>https://edmondsonsupply.com/products/klein-tools-jth6e07-7-64-inch-hex-key-journeyman%e2%84%a2-t-handle-6-inch</v>
      </c>
      <c r="C6074" t="s">
        <v>7736</v>
      </c>
      <c r="D6074" t="s">
        <v>8129</v>
      </c>
      <c r="E6074" s="3" t="str">
        <f>HYPERLINK("https://www.amazon.com/Klein-Tools-JTH6E07-64-Inch-Journeyman/dp/B004LS11IM/ref=sr_1_1?keywords=Klein+Tools+JTH6E07+7%2F64-Inch+Hex+Key%2C+Journeyman%E2%84%A2+T-Handle%2C+6-Inch&amp;qid=1695174136&amp;sr=8-1", "https://www.amazon.com/Klein-Tools-JTH6E07-64-Inch-Journeyman/dp/B004LS11IM/ref=sr_1_1?keywords=Klein+Tools+JTH6E07+7%2F64-Inch+Hex+Key%2C+Journeyman%E2%84%A2+T-Handle%2C+6-Inch&amp;qid=1695174136&amp;sr=8-1")</f>
        <v>https://www.amazon.com/Klein-Tools-JTH6E07-64-Inch-Journeyman/dp/B004LS11IM/ref=sr_1_1?keywords=Klein+Tools+JTH6E07+7%2F64-Inch+Hex+Key%2C+Journeyman%E2%84%A2+T-Handle%2C+6-Inch&amp;qid=1695174136&amp;sr=8-1</v>
      </c>
      <c r="F6074" t="s">
        <v>8130</v>
      </c>
      <c r="G6074" t="e">
        <f ca="1">_xludf.IMAGE("https://edmondsonsupply.com/cdn/shop/products/jth6e15_1.jpg?v=1666369631")</f>
        <v>#NAME?</v>
      </c>
      <c r="H6074" t="e">
        <f ca="1">_xludf.IMAGE("https://m.media-amazon.com/images/I/51Yb8h41vLL._AC_UL320_.jpg")</f>
        <v>#NAME?</v>
      </c>
      <c r="I6074" t="s">
        <v>6444</v>
      </c>
      <c r="J6074">
        <v>3.99</v>
      </c>
      <c r="K6074" s="4">
        <v>0</v>
      </c>
      <c r="L6074">
        <v>4.8</v>
      </c>
      <c r="M6074">
        <v>2479</v>
      </c>
      <c r="O6074" t="s">
        <v>25</v>
      </c>
      <c r="P6074" t="s">
        <v>2044</v>
      </c>
      <c r="Q6074" t="s">
        <v>7739</v>
      </c>
    </row>
    <row r="6075" spans="1:17" ht="15.5" x14ac:dyDescent="0.35">
      <c r="A6075" s="3" t="str">
        <f>HYPERLINK("https://edmondsonsupply.com/collections/electricians-tools/products/copy-of-klein-tools-55918-tradesman-pro%E2%84%A2-modular-tool-belt", "https://edmondsonsupply.com/collections/electricians-tools/products/copy-of-klein-tools-55918-tradesman-pro%E2%84%A2-modular-tool-belt")</f>
        <v>https://edmondsonsupply.com/collections/electricians-tools/products/copy-of-klein-tools-55918-tradesman-pro%E2%84%A2-modular-tool-belt</v>
      </c>
      <c r="B6075"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6075" t="s">
        <v>1873</v>
      </c>
      <c r="D6075" t="s">
        <v>4522</v>
      </c>
      <c r="E6075" s="3" t="str">
        <f>HYPERLINK("https://www.amazon.com/Klein-Tools-55919-Electrician-Modular/dp/B085LPTTKL/ref=sr_1_1?keywords=Klein+Tools+55919+Tradesman+Pro%E2%84%A2+Modular+Tool+Belt+-+L&amp;qid=1695173932&amp;sr=8-1", "https://www.amazon.com/Klein-Tools-55919-Electrician-Modular/dp/B085LPTTKL/ref=sr_1_1?keywords=Klein+Tools+55919+Tradesman+Pro%E2%84%A2+Modular+Tool+Belt+-+L&amp;qid=1695173932&amp;sr=8-1")</f>
        <v>https://www.amazon.com/Klein-Tools-55919-Electrician-Modular/dp/B085LPTTKL/ref=sr_1_1?keywords=Klein+Tools+55919+Tradesman+Pro%E2%84%A2+Modular+Tool+Belt+-+L&amp;qid=1695173932&amp;sr=8-1</v>
      </c>
      <c r="F6075" t="s">
        <v>4523</v>
      </c>
      <c r="G6075" t="e">
        <f ca="1">_xludf.IMAGE("https://edmondsonsupply.com/cdn/shop/products/55919_6b1c1646-91d8-4915-b7bf-b52c8c6994c7.jpg?v=1587143413")</f>
        <v>#NAME?</v>
      </c>
      <c r="H6075" t="e">
        <f ca="1">_xludf.IMAGE("https://m.media-amazon.com/images/I/71Bym1tjK6L._AC_UL320_.jpg")</f>
        <v>#NAME?</v>
      </c>
      <c r="I6075" t="s">
        <v>261</v>
      </c>
      <c r="J6075">
        <v>35.99</v>
      </c>
      <c r="K6075" s="4">
        <v>0</v>
      </c>
      <c r="L6075">
        <v>4.4000000000000004</v>
      </c>
      <c r="M6075">
        <v>636</v>
      </c>
      <c r="O6075" t="s">
        <v>25</v>
      </c>
      <c r="P6075" t="s">
        <v>1876</v>
      </c>
      <c r="Q6075" t="s">
        <v>1877</v>
      </c>
    </row>
    <row r="6076" spans="1:17" ht="15.5" x14ac:dyDescent="0.35">
      <c r="A6076" s="3" t="str">
        <f>HYPERLINK("https://edmondsonsupply.com/collections/electricians-tools/products/klein-tools-602-4dd-4-demolition-driver-1-4-keystone", "https://edmondsonsupply.com/collections/electricians-tools/products/klein-tools-602-4dd-4-demolition-driver-1-4-keystone")</f>
        <v>https://edmondsonsupply.com/collections/electricians-tools/products/klein-tools-602-4dd-4-demolition-driver-1-4-keystone</v>
      </c>
      <c r="B6076" s="3" t="str">
        <f>HYPERLINK("https://edmondsonsupply.com/products/klein-tools-602-4dd-4-demolition-driver-1-4-keystone", "https://edmondsonsupply.com/products/klein-tools-602-4dd-4-demolition-driver-1-4-keystone")</f>
        <v>https://edmondsonsupply.com/products/klein-tools-602-4dd-4-demolition-driver-1-4-keystone</v>
      </c>
      <c r="C6076" t="s">
        <v>3736</v>
      </c>
      <c r="D6076" t="s">
        <v>4533</v>
      </c>
      <c r="E6076" s="3" t="str">
        <f>HYPERLINK("https://www.amazon.com/Keystone-Demolition-Klein-Tools-602-4DD/dp/B00B9HIC12/ref=sr_1_1?keywords=Klein+Tools+602-4DD+1%2F4-Inch+Keystone+Demolition+Driver%2C+4-Inch+Shank&amp;qid=1695173941&amp;sr=8-1", "https://www.amazon.com/Keystone-Demolition-Klein-Tools-602-4DD/dp/B00B9HIC12/ref=sr_1_1?keywords=Klein+Tools+602-4DD+1%2F4-Inch+Keystone+Demolition+Driver%2C+4-Inch+Shank&amp;qid=1695173941&amp;sr=8-1")</f>
        <v>https://www.amazon.com/Keystone-Demolition-Klein-Tools-602-4DD/dp/B00B9HIC12/ref=sr_1_1?keywords=Klein+Tools+602-4DD+1%2F4-Inch+Keystone+Demolition+Driver%2C+4-Inch+Shank&amp;qid=1695173941&amp;sr=8-1</v>
      </c>
      <c r="F6076" t="s">
        <v>4534</v>
      </c>
      <c r="G6076" t="e">
        <f ca="1">_xludf.IMAGE("https://edmondsonsupply.com/cdn/shop/products/602-4dd.jpg?v=1587143287")</f>
        <v>#NAME?</v>
      </c>
      <c r="H6076" t="e">
        <f ca="1">_xludf.IMAGE("https://m.media-amazon.com/images/I/41LGnPo9m-L._AC_UL320_.jpg")</f>
        <v>#NAME?</v>
      </c>
      <c r="I6076" t="s">
        <v>252</v>
      </c>
      <c r="J6076">
        <v>15.99</v>
      </c>
      <c r="K6076" s="4">
        <v>0</v>
      </c>
      <c r="L6076">
        <v>4.8</v>
      </c>
      <c r="M6076">
        <v>996</v>
      </c>
      <c r="O6076" t="s">
        <v>25</v>
      </c>
      <c r="P6076" t="s">
        <v>3739</v>
      </c>
      <c r="Q6076" t="s">
        <v>3740</v>
      </c>
    </row>
    <row r="6077" spans="1:17" ht="15.5" x14ac:dyDescent="0.35">
      <c r="A6077" s="3" t="str">
        <f>HYPERLINK("https://edmondsonsupply.com/collections/electricians-tools/products/klein-tools-6884ins-insulated-screwdriver-1-square-tip-4-inch-shank", "https://edmondsonsupply.com/collections/electricians-tools/products/klein-tools-6884ins-insulated-screwdriver-1-square-tip-4-inch-shank")</f>
        <v>https://edmondsonsupply.com/collections/electricians-tools/products/klein-tools-6884ins-insulated-screwdriver-1-square-tip-4-inch-shank</v>
      </c>
      <c r="B6077" s="3" t="str">
        <f>HYPERLINK("https://edmondsonsupply.com/products/klein-tools-6884ins-insulated-screwdriver-1-square-tip-4-inch-shank", "https://edmondsonsupply.com/products/klein-tools-6884ins-insulated-screwdriver-1-square-tip-4-inch-shank")</f>
        <v>https://edmondsonsupply.com/products/klein-tools-6884ins-insulated-screwdriver-1-square-tip-4-inch-shank</v>
      </c>
      <c r="C6077" t="s">
        <v>7094</v>
      </c>
      <c r="D6077" t="s">
        <v>8131</v>
      </c>
      <c r="E6077" s="3" t="str">
        <f>HYPERLINK("https://www.amazon.com/Klein-Tools-6884INS-Screwdriver-Cushion-Grip/dp/B0BF7K2YSW/ref=sr_1_1?keywords=Klein+Tools+6884INS+Insulated+Screwdriver%2C&amp;qid=1695174141&amp;sr=8-1", "https://www.amazon.com/Klein-Tools-6884INS-Screwdriver-Cushion-Grip/dp/B0BF7K2YSW/ref=sr_1_1?keywords=Klein+Tools+6884INS+Insulated+Screwdriver%2C&amp;qid=1695174141&amp;sr=8-1")</f>
        <v>https://www.amazon.com/Klein-Tools-6884INS-Screwdriver-Cushion-Grip/dp/B0BF7K2YSW/ref=sr_1_1?keywords=Klein+Tools+6884INS+Insulated+Screwdriver%2C&amp;qid=1695174141&amp;sr=8-1</v>
      </c>
      <c r="F6077" t="s">
        <v>8132</v>
      </c>
      <c r="G6077" t="e">
        <f ca="1">_xludf.IMAGE("https://edmondsonsupply.com/cdn/shop/products/6884ins.jpg?v=1664889244")</f>
        <v>#NAME?</v>
      </c>
      <c r="H6077" t="e">
        <f ca="1">_xludf.IMAGE("https://m.media-amazon.com/images/I/41avq0kPXJL._AC_UL320_.jpg")</f>
        <v>#NAME?</v>
      </c>
      <c r="I6077" t="s">
        <v>1427</v>
      </c>
      <c r="J6077">
        <v>9.9700000000000006</v>
      </c>
      <c r="K6077" s="4">
        <v>0</v>
      </c>
      <c r="L6077">
        <v>4.8</v>
      </c>
      <c r="M6077">
        <v>419</v>
      </c>
      <c r="O6077" t="s">
        <v>25</v>
      </c>
      <c r="P6077" t="s">
        <v>6735</v>
      </c>
      <c r="Q6077" t="s">
        <v>7097</v>
      </c>
    </row>
    <row r="6078" spans="1:17" ht="15.5" x14ac:dyDescent="0.35">
      <c r="A6078" s="3" t="str">
        <f>HYPERLINK("https://edmondsonsupply.com/collections/electricians-tools/products/klein-tools-510212blk-tool-bag-black-canvas-12-inch", "https://edmondsonsupply.com/collections/electricians-tools/products/klein-tools-510212blk-tool-bag-black-canvas-12-inch")</f>
        <v>https://edmondsonsupply.com/collections/electricians-tools/products/klein-tools-510212blk-tool-bag-black-canvas-12-inch</v>
      </c>
      <c r="B6078" s="3" t="str">
        <f>HYPERLINK("https://edmondsonsupply.com/products/klein-tools-510212blk-tool-bag-black-canvas-12-inch", "https://edmondsonsupply.com/products/klein-tools-510212blk-tool-bag-black-canvas-12-inch")</f>
        <v>https://edmondsonsupply.com/products/klein-tools-510212blk-tool-bag-black-canvas-12-inch</v>
      </c>
      <c r="C6078" t="s">
        <v>585</v>
      </c>
      <c r="D6078" t="s">
        <v>586</v>
      </c>
      <c r="E6078" s="3" t="str">
        <f>HYPERLINK("https://www.amazon.com/Klein-Tools-5102-12-Natural-Multi-Purpose/dp/B09Q72FFBP/ref=sr_1_1?keywords=Klein+Tools+510212BLK+Tool+Bag%2C+Black+Canvas%2C+12-Inch&amp;qid=1695174136&amp;sr=8-1", "https://www.amazon.com/Klein-Tools-5102-12-Natural-Multi-Purpose/dp/B09Q72FFBP/ref=sr_1_1?keywords=Klein+Tools+510212BLK+Tool+Bag%2C+Black+Canvas%2C+12-Inch&amp;qid=1695174136&amp;sr=8-1")</f>
        <v>https://www.amazon.com/Klein-Tools-5102-12-Natural-Multi-Purpose/dp/B09Q72FFBP/ref=sr_1_1?keywords=Klein+Tools+510212BLK+Tool+Bag%2C+Black+Canvas%2C+12-Inch&amp;qid=1695174136&amp;sr=8-1</v>
      </c>
      <c r="F6078" t="s">
        <v>587</v>
      </c>
      <c r="G6078" t="e">
        <f ca="1">_xludf.IMAGE("https://edmondsonsupply.com/cdn/shop/products/510212blk.jpg?v=1666026613")</f>
        <v>#NAME?</v>
      </c>
      <c r="H6078" t="e">
        <f ca="1">_xludf.IMAGE("https://m.media-amazon.com/images/I/61UTjwgtB-L._AC_UL320_.jpg")</f>
        <v>#NAME?</v>
      </c>
      <c r="I6078" t="s">
        <v>588</v>
      </c>
      <c r="J6078">
        <v>69.989999999999995</v>
      </c>
      <c r="K6078" s="4">
        <v>0</v>
      </c>
      <c r="L6078">
        <v>4.8</v>
      </c>
      <c r="M6078">
        <v>29</v>
      </c>
      <c r="O6078" t="s">
        <v>25</v>
      </c>
      <c r="P6078" t="s">
        <v>589</v>
      </c>
      <c r="Q6078" t="s">
        <v>590</v>
      </c>
    </row>
    <row r="6079" spans="1:17" ht="15.5" x14ac:dyDescent="0.35">
      <c r="A6079" s="3" t="str">
        <f>HYPERLINK("https://edmondsonsupply.com/collections/electricians-tools/products/klein-tools-60538-professional-full-frame-gasket-safety-glasses-indoor-outdoor-lens", "https://edmondsonsupply.com/collections/electricians-tools/products/klein-tools-60538-professional-full-frame-gasket-safety-glasses-indoor-outdoor-lens")</f>
        <v>https://edmondsonsupply.com/collections/electricians-tools/products/klein-tools-60538-professional-full-frame-gasket-safety-glasses-indoor-outdoor-lens</v>
      </c>
      <c r="B6079" s="3" t="str">
        <f>HYPERLINK("https://edmondsonsupply.com/products/klein-tools-60538-professional-full-frame-gasket-safety-glasses-indoor-outdoor-lens", "https://edmondsonsupply.com/products/klein-tools-60538-professional-full-frame-gasket-safety-glasses-indoor-outdoor-lens")</f>
        <v>https://edmondsonsupply.com/products/klein-tools-60538-professional-full-frame-gasket-safety-glasses-indoor-outdoor-lens</v>
      </c>
      <c r="C6079" t="s">
        <v>1012</v>
      </c>
      <c r="D6079" t="s">
        <v>1214</v>
      </c>
      <c r="E6079" s="3" t="str">
        <f>HYPERLINK("https://www.amazon.com/Klein-Tools-60538-Professional-Protective/dp/B0BLQ55RMQ/ref=sr_1_1?keywords=Klein+Tools+60538+Professional+Full-Frame+Gasket+Safety+Glasses%2C+Indoor%2FOutdoor+Lens&amp;qid=1695174094&amp;sr=8-1", "https://www.amazon.com/Klein-Tools-60538-Professional-Protective/dp/B0BLQ55RMQ/ref=sr_1_1?keywords=Klein+Tools+60538+Professional+Full-Frame+Gasket+Safety+Glasses%2C+Indoor%2FOutdoor+Lens&amp;qid=1695174094&amp;sr=8-1")</f>
        <v>https://www.amazon.com/Klein-Tools-60538-Professional-Protective/dp/B0BLQ55RMQ/ref=sr_1_1?keywords=Klein+Tools+60538+Professional+Full-Frame+Gasket+Safety+Glasses%2C+Indoor%2FOutdoor+Lens&amp;qid=1695174094&amp;sr=8-1</v>
      </c>
      <c r="F6079" t="s">
        <v>1215</v>
      </c>
      <c r="G6079" t="e">
        <f ca="1">_xludf.IMAGE("https://edmondsonsupply.com/cdn/shop/products/60470_1.jpg?v=1670947470")</f>
        <v>#NAME?</v>
      </c>
      <c r="H6079" t="e">
        <f ca="1">_xludf.IMAGE("https://m.media-amazon.com/images/I/51TkfiRMYgL._AC_UL320_.jpg")</f>
        <v>#NAME?</v>
      </c>
      <c r="I6079" t="s">
        <v>252</v>
      </c>
      <c r="J6079">
        <v>15.99</v>
      </c>
      <c r="K6079" s="4">
        <v>0</v>
      </c>
      <c r="L6079">
        <v>4.2</v>
      </c>
      <c r="M6079">
        <v>56</v>
      </c>
      <c r="O6079" t="s">
        <v>25</v>
      </c>
      <c r="P6079" t="s">
        <v>854</v>
      </c>
      <c r="Q6079" t="s">
        <v>1013</v>
      </c>
    </row>
    <row r="6080" spans="1:17" ht="15.5" x14ac:dyDescent="0.35">
      <c r="A6080" s="3" t="str">
        <f>HYPERLINK("https://edmondsonsupply.com/collections/electricians-tools/products/klein-tools-55604-rolling-tool-backpack", "https://edmondsonsupply.com/collections/electricians-tools/products/klein-tools-55604-rolling-tool-backpack")</f>
        <v>https://edmondsonsupply.com/collections/electricians-tools/products/klein-tools-55604-rolling-tool-backpack</v>
      </c>
      <c r="B6080" s="3" t="str">
        <f>HYPERLINK("https://edmondsonsupply.com/products/klein-tools-55604-rolling-tool-backpack", "https://edmondsonsupply.com/products/klein-tools-55604-rolling-tool-backpack")</f>
        <v>https://edmondsonsupply.com/products/klein-tools-55604-rolling-tool-backpack</v>
      </c>
      <c r="C6080" t="s">
        <v>580</v>
      </c>
      <c r="D6080" t="s">
        <v>581</v>
      </c>
      <c r="E6080" s="3" t="str">
        <f>HYPERLINK("https://www.amazon.com/Klein-Tools-55604-Backpack-Retractable/dp/B0BL1QZ9ZC/ref=sr_1_1?keywords=Klein+Tools+55604+Rolling+Tool+Backpack&amp;qid=1695174095&amp;sr=8-1", "https://www.amazon.com/Klein-Tools-55604-Backpack-Retractable/dp/B0BL1QZ9ZC/ref=sr_1_1?keywords=Klein+Tools+55604+Rolling+Tool+Backpack&amp;qid=1695174095&amp;sr=8-1")</f>
        <v>https://www.amazon.com/Klein-Tools-55604-Backpack-Retractable/dp/B0BL1QZ9ZC/ref=sr_1_1?keywords=Klein+Tools+55604+Rolling+Tool+Backpack&amp;qid=1695174095&amp;sr=8-1</v>
      </c>
      <c r="F6080" t="s">
        <v>582</v>
      </c>
      <c r="G6080" t="e">
        <f ca="1">_xludf.IMAGE("https://edmondsonsupply.com/cdn/shop/products/55604.jpg?v=1670945315")</f>
        <v>#NAME?</v>
      </c>
      <c r="H6080" t="e">
        <f ca="1">_xludf.IMAGE("https://m.media-amazon.com/images/I/716S-Ncj30L._AC_UL320_.jpg")</f>
        <v>#NAME?</v>
      </c>
      <c r="I6080" t="s">
        <v>400</v>
      </c>
      <c r="J6080">
        <v>199.99</v>
      </c>
      <c r="K6080" s="4">
        <v>0</v>
      </c>
      <c r="L6080">
        <v>4.5999999999999996</v>
      </c>
      <c r="M6080">
        <v>46</v>
      </c>
      <c r="O6080" t="s">
        <v>25</v>
      </c>
      <c r="P6080" t="s">
        <v>583</v>
      </c>
      <c r="Q6080" t="s">
        <v>584</v>
      </c>
    </row>
    <row r="6081" spans="1:17" ht="15.5" x14ac:dyDescent="0.35">
      <c r="A6081" s="3" t="str">
        <f>HYPERLINK("https://edmondsonsupply.com/collections/electricians-tools/products/tajima-azs-rop-safety-rope%E2%84%A2", "https://edmondsonsupply.com/collections/electricians-tools/products/tajima-azs-rop-safety-rope%E2%84%A2")</f>
        <v>https://edmondsonsupply.com/collections/electricians-tools/products/tajima-azs-rop-safety-rope%E2%84%A2</v>
      </c>
      <c r="B6081" s="3" t="str">
        <f>HYPERLINK("https://edmondsonsupply.com/products/tajima-azs-rop-safety-rope%e2%84%a2", "https://edmondsonsupply.com/products/tajima-azs-rop-safety-rope%e2%84%a2")</f>
        <v>https://edmondsonsupply.com/products/tajima-azs-rop-safety-rope%e2%84%a2</v>
      </c>
      <c r="C6081" t="s">
        <v>1150</v>
      </c>
      <c r="D6081" t="s">
        <v>1151</v>
      </c>
      <c r="E6081" s="3" t="str">
        <f>HYPERLINK("https://www.amazon.com/TAJIMA-AZS-ROP-Safety-Rope-Measuring/dp/B07JZNFX1D/ref=sr_1_1?keywords=Tajima+AZS-ROP+SAFETY+ROPE%E2%84%A2+for+Tape+Measure&amp;qid=1695173966&amp;sr=8-1", "https://www.amazon.com/TAJIMA-AZS-ROP-Safety-Rope-Measuring/dp/B07JZNFX1D/ref=sr_1_1?keywords=Tajima+AZS-ROP+SAFETY+ROPE%E2%84%A2+for+Tape+Measure&amp;qid=1695173966&amp;sr=8-1")</f>
        <v>https://www.amazon.com/TAJIMA-AZS-ROP-Safety-Rope-Measuring/dp/B07JZNFX1D/ref=sr_1_1?keywords=Tajima+AZS-ROP+SAFETY+ROPE%E2%84%A2+for+Tape+Measure&amp;qid=1695173966&amp;sr=8-1</v>
      </c>
      <c r="F6081" t="s">
        <v>1152</v>
      </c>
      <c r="G6081" t="e">
        <f ca="1">_xludf.IMAGE("https://edmondsonsupply.com/cdn/shop/files/AZS-ROP.jpg?v=1693506139")</f>
        <v>#NAME?</v>
      </c>
      <c r="H6081" t="e">
        <f ca="1">_xludf.IMAGE("https://m.media-amazon.com/images/I/31lq7AazHdL._AC_UL320_.jpg")</f>
        <v>#NAME?</v>
      </c>
      <c r="I6081" t="s">
        <v>1153</v>
      </c>
      <c r="J6081">
        <v>16.43</v>
      </c>
      <c r="K6081" s="4">
        <v>0</v>
      </c>
      <c r="L6081">
        <v>4.9000000000000004</v>
      </c>
      <c r="M6081">
        <v>9</v>
      </c>
      <c r="O6081" t="s">
        <v>25</v>
      </c>
      <c r="P6081" t="s">
        <v>138</v>
      </c>
      <c r="Q6081" t="s">
        <v>1154</v>
      </c>
    </row>
    <row r="6082" spans="1:17" ht="15.5" x14ac:dyDescent="0.35">
      <c r="A6082" s="3" t="str">
        <f>HYPERLINK("https://edmondsonsupply.com/collections/electricians-tools/products/channellock-8wcb", "https://edmondsonsupply.com/collections/electricians-tools/products/channellock-8wcb")</f>
        <v>https://edmondsonsupply.com/collections/electricians-tools/products/channellock-8wcb</v>
      </c>
      <c r="B6082" s="3" t="str">
        <f>HYPERLINK("https://edmondsonsupply.com/products/channellock-8wcb", "https://edmondsonsupply.com/products/channellock-8wcb")</f>
        <v>https://edmondsonsupply.com/products/channellock-8wcb</v>
      </c>
      <c r="C6082" t="s">
        <v>3038</v>
      </c>
      <c r="D6082" t="s">
        <v>4518</v>
      </c>
      <c r="E6082" s="3" t="str">
        <f>HYPERLINK("https://www.amazon.com/Channellock-8WCB-WideAzz-Adjustable-Opening/dp/B001I70C34/ref=sr_1_1?keywords=Channellock+8WCB+8%22+Code+Blue+WIDEAZZ+Adjustable+Wrench&amp;qid=1695173930&amp;sr=8-1", "https://www.amazon.com/Channellock-8WCB-WideAzz-Adjustable-Opening/dp/B001I70C34/ref=sr_1_1?keywords=Channellock+8WCB+8%22+Code+Blue+WIDEAZZ+Adjustable+Wrench&amp;qid=1695173930&amp;sr=8-1")</f>
        <v>https://www.amazon.com/Channellock-8WCB-WideAzz-Adjustable-Opening/dp/B001I70C34/ref=sr_1_1?keywords=Channellock+8WCB+8%22+Code+Blue+WIDEAZZ+Adjustable+Wrench&amp;qid=1695173930&amp;sr=8-1</v>
      </c>
      <c r="F6082" t="s">
        <v>4519</v>
      </c>
      <c r="G6082" t="e">
        <f ca="1">_xludf.IMAGE("https://edmondsonsupply.com/cdn/shop/products/8WCB-683x1024.jpg?v=1633030324")</f>
        <v>#NAME?</v>
      </c>
      <c r="H6082" t="e">
        <f ca="1">_xludf.IMAGE("https://m.media-amazon.com/images/I/71nT0F6xLwL._AC_UL320_.jpg")</f>
        <v>#NAME?</v>
      </c>
      <c r="I6082" t="s">
        <v>3041</v>
      </c>
      <c r="J6082">
        <v>31.95</v>
      </c>
      <c r="K6082" s="4">
        <v>0</v>
      </c>
      <c r="L6082">
        <v>4.8</v>
      </c>
      <c r="M6082">
        <v>4417</v>
      </c>
      <c r="O6082" t="s">
        <v>25</v>
      </c>
      <c r="P6082" t="s">
        <v>3042</v>
      </c>
      <c r="Q6082" t="s">
        <v>3043</v>
      </c>
    </row>
    <row r="6083" spans="1:17" ht="15.5" x14ac:dyDescent="0.35">
      <c r="A6083"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6083"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6083" t="s">
        <v>896</v>
      </c>
      <c r="D6083" t="s">
        <v>956</v>
      </c>
      <c r="E6083" s="3" t="str">
        <f>HYPERLINK("https://www.amazon.com/Klein-60163-Professional-Protective-Resistant/dp/B08B48CZ5V/ref=sr_1_8?keywords=Klein+Tools+60537+Professional+Safety+Glasses%2C+Full-Frame%2C+Indoor%2FOutdoor+Lens&amp;qid=1695174097&amp;sr=8-8", "https://www.amazon.com/Klein-60163-Professional-Protective-Resistant/dp/B08B48CZ5V/ref=sr_1_8?keywords=Klein+Tools+60537+Professional+Safety+Glasses%2C+Full-Frame%2C+Indoor%2FOutdoor+Lens&amp;qid=1695174097&amp;sr=8-8")</f>
        <v>https://www.amazon.com/Klein-60163-Professional-Protective-Resistant/dp/B08B48CZ5V/ref=sr_1_8?keywords=Klein+Tools+60537+Professional+Safety+Glasses%2C+Full-Frame%2C+Indoor%2FOutdoor+Lens&amp;qid=1695174097&amp;sr=8-8</v>
      </c>
      <c r="F6083" t="s">
        <v>957</v>
      </c>
      <c r="G6083" t="e">
        <f ca="1">_xludf.IMAGE("https://edmondsonsupply.com/cdn/shop/products/60537.jpg?v=1670947087")</f>
        <v>#NAME?</v>
      </c>
      <c r="H6083" t="e">
        <f ca="1">_xludf.IMAGE("https://m.media-amazon.com/images/I/41IY8K6EFLL._AC_UL320_.jpg")</f>
        <v>#NAME?</v>
      </c>
      <c r="I6083" t="s">
        <v>276</v>
      </c>
      <c r="J6083">
        <v>14.99</v>
      </c>
      <c r="K6083" s="4">
        <v>0</v>
      </c>
      <c r="L6083">
        <v>4.4000000000000004</v>
      </c>
      <c r="M6083">
        <v>198</v>
      </c>
      <c r="O6083" t="s">
        <v>25</v>
      </c>
      <c r="P6083" t="s">
        <v>277</v>
      </c>
      <c r="Q6083" t="s">
        <v>897</v>
      </c>
    </row>
    <row r="6084" spans="1:17" ht="15.5" x14ac:dyDescent="0.35">
      <c r="A6084" s="3" t="str">
        <f>HYPERLINK("https://edmondsonsupply.com/collections/electricians-tools/products/milwaukee-48-22-8488-packout%E2%84%A2-customizable-work-top", "https://edmondsonsupply.com/collections/electricians-tools/products/milwaukee-48-22-8488-packout%E2%84%A2-customizable-work-top")</f>
        <v>https://edmondsonsupply.com/collections/electricians-tools/products/milwaukee-48-22-8488-packout%E2%84%A2-customizable-work-top</v>
      </c>
      <c r="B6084" s="3" t="str">
        <f>HYPERLINK("https://edmondsonsupply.com/products/milwaukee-48-22-8488-packout%e2%84%a2-customizable-work-top", "https://edmondsonsupply.com/products/milwaukee-48-22-8488-packout%e2%84%a2-customizable-work-top")</f>
        <v>https://edmondsonsupply.com/products/milwaukee-48-22-8488-packout%e2%84%a2-customizable-work-top</v>
      </c>
      <c r="C6084" t="s">
        <v>8133</v>
      </c>
      <c r="D6084" t="s">
        <v>8134</v>
      </c>
      <c r="E6084" s="3" t="str">
        <f>HYPERLINK("https://www.amazon.com/Milwaukee-48-22-8488-Packout-Customizable-Work/dp/B09RYBXY2R/ref=sr_1_3?keywords=Milwaukee+48-22-8488+PACKOUT%E2%84%A2+Customizable+Work+Top&amp;qid=1695174136&amp;sr=8-3", "https://www.amazon.com/Milwaukee-48-22-8488-Packout-Customizable-Work/dp/B09RYBXY2R/ref=sr_1_3?keywords=Milwaukee+48-22-8488+PACKOUT%E2%84%A2+Customizable+Work+Top&amp;qid=1695174136&amp;sr=8-3")</f>
        <v>https://www.amazon.com/Milwaukee-48-22-8488-Packout-Customizable-Work/dp/B09RYBXY2R/ref=sr_1_3?keywords=Milwaukee+48-22-8488+PACKOUT%E2%84%A2+Customizable+Work+Top&amp;qid=1695174136&amp;sr=8-3</v>
      </c>
      <c r="F6084" t="s">
        <v>8135</v>
      </c>
      <c r="G6084" t="e">
        <f ca="1">_xludf.IMAGE("https://edmondsonsupply.com/cdn/shop/products/48-22-8488_2.webp?v=1668438301")</f>
        <v>#NAME?</v>
      </c>
      <c r="H6084" t="e">
        <f ca="1">_xludf.IMAGE("https://m.media-amazon.com/images/I/719fmGPT0SL._AC_UL320_.jpg")</f>
        <v>#NAME?</v>
      </c>
      <c r="I6084" t="s">
        <v>3359</v>
      </c>
      <c r="J6084">
        <v>54.97</v>
      </c>
      <c r="K6084" s="4">
        <v>0</v>
      </c>
      <c r="L6084">
        <v>4.4000000000000004</v>
      </c>
      <c r="M6084">
        <v>56</v>
      </c>
      <c r="O6084" t="s">
        <v>25</v>
      </c>
      <c r="P6084" t="s">
        <v>4696</v>
      </c>
      <c r="Q6084" t="s">
        <v>8136</v>
      </c>
    </row>
    <row r="6085" spans="1:17" ht="15.5" x14ac:dyDescent="0.35">
      <c r="A6085" s="3" t="str">
        <f>HYPERLINK("https://edmondsonsupply.com/collections/electricians-tools/products/channellock-432", "https://edmondsonsupply.com/collections/electricians-tools/products/channellock-432")</f>
        <v>https://edmondsonsupply.com/collections/electricians-tools/products/channellock-432</v>
      </c>
      <c r="B6085" s="3" t="str">
        <f>HYPERLINK("https://edmondsonsupply.com/products/channellock-432", "https://edmondsonsupply.com/products/channellock-432")</f>
        <v>https://edmondsonsupply.com/products/channellock-432</v>
      </c>
      <c r="C6085" t="s">
        <v>2472</v>
      </c>
      <c r="D6085" t="s">
        <v>3573</v>
      </c>
      <c r="E6085" s="3" t="str">
        <f>HYPERLINK("https://www.amazon.com/Channellock-440-12-Inch-Tongue-Groove/dp/B00004SBCU/ref=sr_1_1?keywords=Channellock+440+12%22+Straight+Jaw+Tongue+%26+Groove+Pliers&amp;qid=1695173955&amp;sr=8-1", "https://www.amazon.com/Channellock-440-12-Inch-Tongue-Groove/dp/B00004SBCU/ref=sr_1_1?keywords=Channellock+440+12%22+Straight+Jaw+Tongue+%26+Groove+Pliers&amp;qid=1695173955&amp;sr=8-1")</f>
        <v>https://www.amazon.com/Channellock-440-12-Inch-Tongue-Groove/dp/B00004SBCU/ref=sr_1_1?keywords=Channellock+440+12%22+Straight+Jaw+Tongue+%26+Groove+Pliers&amp;qid=1695173955&amp;sr=8-1</v>
      </c>
      <c r="F6085" t="s">
        <v>3574</v>
      </c>
      <c r="G6085" t="e">
        <f ca="1">_xludf.IMAGE("https://edmondsonsupply.com/cdn/shop/products/440-546x1024.jpg?v=1587148892")</f>
        <v>#NAME?</v>
      </c>
      <c r="H6085" t="e">
        <f ca="1">_xludf.IMAGE("https://m.media-amazon.com/images/I/71FM1bkavsL._AC_UL320_.jpg")</f>
        <v>#NAME?</v>
      </c>
      <c r="I6085" t="s">
        <v>2475</v>
      </c>
      <c r="J6085">
        <v>21.95</v>
      </c>
      <c r="K6085" s="4">
        <v>0</v>
      </c>
      <c r="L6085">
        <v>4.8</v>
      </c>
      <c r="M6085">
        <v>3565</v>
      </c>
      <c r="O6085" t="s">
        <v>25</v>
      </c>
      <c r="P6085" t="s">
        <v>2476</v>
      </c>
      <c r="Q6085" t="s">
        <v>2477</v>
      </c>
    </row>
    <row r="6086" spans="1:17" ht="15.5" x14ac:dyDescent="0.35">
      <c r="A6086" s="3" t="str">
        <f>HYPERLINK("https://edmondsonsupply.com/collections/electricians-tools/products/klein-tools-5539lcblu-canvas-bag-with-zipper-large-blue", "https://edmondsonsupply.com/collections/electricians-tools/products/klein-tools-5539lcblu-canvas-bag-with-zipper-large-blue")</f>
        <v>https://edmondsonsupply.com/collections/electricians-tools/products/klein-tools-5539lcblu-canvas-bag-with-zipper-large-blue</v>
      </c>
      <c r="B6086" s="3" t="str">
        <f>HYPERLINK("https://edmondsonsupply.com/products/klein-tools-5539lcblu-canvas-bag-with-zipper-large-blue", "https://edmondsonsupply.com/products/klein-tools-5539lcblu-canvas-bag-with-zipper-large-blue")</f>
        <v>https://edmondsonsupply.com/products/klein-tools-5539lcblu-canvas-bag-with-zipper-large-blue</v>
      </c>
      <c r="C6086" t="s">
        <v>593</v>
      </c>
      <c r="D6086" t="s">
        <v>594</v>
      </c>
      <c r="E6086" s="3" t="str">
        <f>HYPERLINK("https://www.amazon.com/Klein-Tools-5539LBLU-16-Inch-Organizer/dp/B07R95F119/ref=sr_1_1?keywords=Klein+Tools+5539LBLU+Zipper+Bag%2C+Large+Canvas+Tool+Pouch%2C+18-Inch%2C+Blue&amp;qid=1695173967&amp;sr=8-1", "https://www.amazon.com/Klein-Tools-5539LBLU-16-Inch-Organizer/dp/B07R95F119/ref=sr_1_1?keywords=Klein+Tools+5539LBLU+Zipper+Bag%2C+Large+Canvas+Tool+Pouch%2C+18-Inch%2C+Blue&amp;qid=1695173967&amp;sr=8-1")</f>
        <v>https://www.amazon.com/Klein-Tools-5539LBLU-16-Inch-Organizer/dp/B07R95F119/ref=sr_1_1?keywords=Klein+Tools+5539LBLU+Zipper+Bag%2C+Large+Canvas+Tool+Pouch%2C+18-Inch%2C+Blue&amp;qid=1695173967&amp;sr=8-1</v>
      </c>
      <c r="F6086" t="s">
        <v>595</v>
      </c>
      <c r="G6086" t="e">
        <f ca="1">_xludf.IMAGE("https://edmondsonsupply.com/cdn/shop/products/5539lblu.jpg?v=1587150873")</f>
        <v>#NAME?</v>
      </c>
      <c r="H6086" t="e">
        <f ca="1">_xludf.IMAGE("https://m.media-amazon.com/images/I/51VTqMM6V5L._AC_UL320_.jpg")</f>
        <v>#NAME?</v>
      </c>
      <c r="I6086" t="s">
        <v>577</v>
      </c>
      <c r="J6086">
        <v>19.989999999999998</v>
      </c>
      <c r="K6086" s="4">
        <v>0</v>
      </c>
      <c r="L6086">
        <v>4.7</v>
      </c>
      <c r="M6086">
        <v>597</v>
      </c>
      <c r="O6086" t="s">
        <v>25</v>
      </c>
      <c r="P6086" t="s">
        <v>578</v>
      </c>
      <c r="Q6086" t="s">
        <v>596</v>
      </c>
    </row>
    <row r="6087" spans="1:17" ht="15.5" x14ac:dyDescent="0.35">
      <c r="A6087" s="3" t="str">
        <f>HYPERLINK("https://edmondsonsupply.com/collections/electricians-tools/products/klein-tools-60401-hard-hat-vented-full-brim-style", "https://edmondsonsupply.com/collections/electricians-tools/products/klein-tools-60401-hard-hat-vented-full-brim-style")</f>
        <v>https://edmondsonsupply.com/collections/electricians-tools/products/klein-tools-60401-hard-hat-vented-full-brim-style</v>
      </c>
      <c r="B6087" s="3" t="str">
        <f>HYPERLINK("https://edmondsonsupply.com/products/klein-tools-60401-hard-hat-vented-full-brim-style", "https://edmondsonsupply.com/products/klein-tools-60401-hard-hat-vented-full-brim-style")</f>
        <v>https://edmondsonsupply.com/products/klein-tools-60401-hard-hat-vented-full-brim-style</v>
      </c>
      <c r="C6087" t="s">
        <v>943</v>
      </c>
      <c r="D6087" t="s">
        <v>991</v>
      </c>
      <c r="E6087" s="3" t="str">
        <f>HYPERLINK("https://www.amazon.com/Klein-Tools-Hard-Non-vented-Style/dp/B07TQNTCKL/ref=sr_1_2?keywords=Klein+Tools+60401+Hard+Hat%2C+Vented%2C+Full+Brim+Style&amp;qid=1695173946&amp;sr=8-2", "https://www.amazon.com/Klein-Tools-Hard-Non-vented-Style/dp/B07TQNTCKL/ref=sr_1_2?keywords=Klein+Tools+60401+Hard+Hat%2C+Vented%2C+Full+Brim+Style&amp;qid=1695173946&amp;sr=8-2")</f>
        <v>https://www.amazon.com/Klein-Tools-Hard-Non-vented-Style/dp/B07TQNTCKL/ref=sr_1_2?keywords=Klein+Tools+60401+Hard+Hat%2C+Vented%2C+Full+Brim+Style&amp;qid=1695173946&amp;sr=8-2</v>
      </c>
      <c r="F6087" t="s">
        <v>992</v>
      </c>
      <c r="G6087" t="e">
        <f ca="1">_xludf.IMAGE("https://edmondsonsupply.com/cdn/shop/products/60401.jpg?v=1587143271")</f>
        <v>#NAME?</v>
      </c>
      <c r="H6087" t="e">
        <f ca="1">_xludf.IMAGE("https://m.media-amazon.com/images/I/61IcdM8MBnL._AC_UL320_.jpg")</f>
        <v>#NAME?</v>
      </c>
      <c r="I6087" t="s">
        <v>946</v>
      </c>
      <c r="J6087">
        <v>44.99</v>
      </c>
      <c r="K6087" s="4">
        <v>0</v>
      </c>
      <c r="L6087">
        <v>4.7</v>
      </c>
      <c r="M6087">
        <v>358</v>
      </c>
      <c r="O6087" t="s">
        <v>25</v>
      </c>
      <c r="P6087" t="s">
        <v>947</v>
      </c>
      <c r="Q6087" t="s">
        <v>948</v>
      </c>
    </row>
    <row r="6088" spans="1:17" ht="15.5" x14ac:dyDescent="0.35">
      <c r="A6088"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6088"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6088" t="s">
        <v>7204</v>
      </c>
      <c r="D6088" t="s">
        <v>8137</v>
      </c>
      <c r="E6088" s="3" t="str">
        <f>HYPERLINK("https://www.amazon.com/Klein-Tools-6816INS-Screwdriver-Cushion-Grip/dp/B0BF7JHR5X/ref=sr_1_2?keywords=Klein+Tools+6816INS+Insulated+Screwdriver%2C+3%2F16-Inch+Cabinet+Tip%2C+6-Inch+Round+Shank&amp;qid=1695174141&amp;sr=8-2", "https://www.amazon.com/Klein-Tools-6816INS-Screwdriver-Cushion-Grip/dp/B0BF7JHR5X/ref=sr_1_2?keywords=Klein+Tools+6816INS+Insulated+Screwdriver%2C+3%2F16-Inch+Cabinet+Tip%2C+6-Inch+Round+Shank&amp;qid=1695174141&amp;sr=8-2")</f>
        <v>https://www.amazon.com/Klein-Tools-6816INS-Screwdriver-Cushion-Grip/dp/B0BF7JHR5X/ref=sr_1_2?keywords=Klein+Tools+6816INS+Insulated+Screwdriver%2C+3%2F16-Inch+Cabinet+Tip%2C+6-Inch+Round+Shank&amp;qid=1695174141&amp;sr=8-2</v>
      </c>
      <c r="F6088" t="s">
        <v>8138</v>
      </c>
      <c r="G6088" t="e">
        <f ca="1">_xludf.IMAGE("https://edmondsonsupply.com/cdn/shop/products/6816ins.jpg?v=1664812840")</f>
        <v>#NAME?</v>
      </c>
      <c r="H6088" t="e">
        <f ca="1">_xludf.IMAGE("https://m.media-amazon.com/images/I/31ngLMMA6xL._AC_UL320_.jpg")</f>
        <v>#NAME?</v>
      </c>
      <c r="I6088" t="s">
        <v>6073</v>
      </c>
      <c r="J6088">
        <v>11.97</v>
      </c>
      <c r="K6088" s="4">
        <v>0</v>
      </c>
      <c r="L6088">
        <v>4</v>
      </c>
      <c r="M6088">
        <v>6</v>
      </c>
      <c r="O6088" t="s">
        <v>25</v>
      </c>
      <c r="P6088" t="s">
        <v>6728</v>
      </c>
      <c r="Q6088" t="s">
        <v>7205</v>
      </c>
    </row>
    <row r="6089" spans="1:17" ht="15.5" x14ac:dyDescent="0.35">
      <c r="A6089" s="3" t="str">
        <f>HYPERLINK("https://edmondsonsupply.com/collections/electricians-tools/products/klein-tools-60406rl-hard-hat-non-vented-full-brim-with-rechargeable-headlamp-white", "https://edmondsonsupply.com/collections/electricians-tools/products/klein-tools-60406rl-hard-hat-non-vented-full-brim-with-rechargeable-headlamp-white")</f>
        <v>https://edmondsonsupply.com/collections/electricians-tools/products/klein-tools-60406rl-hard-hat-non-vented-full-brim-with-rechargeable-headlamp-white</v>
      </c>
      <c r="B6089" s="3" t="str">
        <f>HYPERLINK("https://edmondsonsupply.com/products/klein-tools-60406rl-hard-hat-non-vented-full-brim-with-rechargeable-headlamp-white", "https://edmondsonsupply.com/products/klein-tools-60406rl-hard-hat-non-vented-full-brim-with-rechargeable-headlamp-white")</f>
        <v>https://edmondsonsupply.com/products/klein-tools-60406rl-hard-hat-non-vented-full-brim-with-rechargeable-headlamp-white</v>
      </c>
      <c r="C6089" t="s">
        <v>1134</v>
      </c>
      <c r="D6089" t="s">
        <v>1045</v>
      </c>
      <c r="E6089" s="3" t="str">
        <f>HYPERLINK("https://www.amazon.com/Klein-Tools-60406RL-Rechargeable-Odor-Resistant/dp/B08FBZT3BW/ref=sr_1_1?keywords=Klein+Tools+60406RL+Hard+Hat%2C+Non-Vented%2C+Full+Brim+with+Rechargeable+Headlamp%2C+White&amp;qid=1695174144&amp;sr=8-1", "https://www.amazon.com/Klein-Tools-60406RL-Rechargeable-Odor-Resistant/dp/B08FBZT3BW/ref=sr_1_1?keywords=Klein+Tools+60406RL+Hard+Hat%2C+Non-Vented%2C+Full+Brim+with+Rechargeable+Headlamp%2C+White&amp;qid=1695174144&amp;sr=8-1")</f>
        <v>https://www.amazon.com/Klein-Tools-60406RL-Rechargeable-Odor-Resistant/dp/B08FBZT3BW/ref=sr_1_1?keywords=Klein+Tools+60406RL+Hard+Hat%2C+Non-Vented%2C+Full+Brim+with+Rechargeable+Headlamp%2C+White&amp;qid=1695174144&amp;sr=8-1</v>
      </c>
      <c r="F6089" t="s">
        <v>1046</v>
      </c>
      <c r="G6089" t="e">
        <f ca="1">_xludf.IMAGE("https://edmondsonsupply.com/cdn/shop/products/60406rl_c.jpg?v=1665606616")</f>
        <v>#NAME?</v>
      </c>
      <c r="H6089" t="e">
        <f ca="1">_xludf.IMAGE("https://m.media-amazon.com/images/I/61cNP5T1keL._AC_UL320_.jpg")</f>
        <v>#NAME?</v>
      </c>
      <c r="I6089" t="s">
        <v>588</v>
      </c>
      <c r="J6089">
        <v>69.989999999999995</v>
      </c>
      <c r="K6089" s="4">
        <v>0</v>
      </c>
      <c r="L6089">
        <v>4.7</v>
      </c>
      <c r="M6089">
        <v>358</v>
      </c>
      <c r="O6089" t="s">
        <v>25</v>
      </c>
      <c r="P6089" t="s">
        <v>1135</v>
      </c>
      <c r="Q6089" t="s">
        <v>1136</v>
      </c>
    </row>
    <row r="6090" spans="1:17" ht="15.5" x14ac:dyDescent="0.35">
      <c r="A6090" s="3" t="str">
        <f>HYPERLINK("https://edmondsonsupply.com/collections/electricians-tools/products/klein-tools-55914-tradesman-pro%E2%84%A2-modular-trimming-pouch-with-belt-clip", "https://edmondsonsupply.com/collections/electricians-tools/products/klein-tools-55914-tradesman-pro%E2%84%A2-modular-trimming-pouch-with-belt-clip")</f>
        <v>https://edmondsonsupply.com/collections/electricians-tools/products/klein-tools-55914-tradesman-pro%E2%84%A2-modular-trimming-pouch-with-belt-clip</v>
      </c>
      <c r="B6090" s="3" t="str">
        <f>HYPERLINK("https://edmondsonsupply.com/products/klein-tools-55914-tradesman-pro%e2%84%a2-modular-trimming-pouch-with-belt-clip", "https://edmondsonsupply.com/products/klein-tools-55914-tradesman-pro%e2%84%a2-modular-trimming-pouch-with-belt-clip")</f>
        <v>https://edmondsonsupply.com/products/klein-tools-55914-tradesman-pro%e2%84%a2-modular-trimming-pouch-with-belt-clip</v>
      </c>
      <c r="C6090" t="s">
        <v>559</v>
      </c>
      <c r="D6090" t="s">
        <v>560</v>
      </c>
      <c r="E6090" s="3" t="str">
        <f>HYPERLINK("https://www.amazon.com/Klein-Tools-55914-Tradesman-Trimming/dp/B084WXF7WF/ref=sr_1_1?keywords=Klein+Tools+55914+Tradesman+Pro%E2%84%A2+Modular+Trimming+Pouch+with+Belt+Clip&amp;qid=1695173940&amp;sr=8-1", "https://www.amazon.com/Klein-Tools-55914-Tradesman-Trimming/dp/B084WXF7WF/ref=sr_1_1?keywords=Klein+Tools+55914+Tradesman+Pro%E2%84%A2+Modular+Trimming+Pouch+with+Belt+Clip&amp;qid=1695173940&amp;sr=8-1")</f>
        <v>https://www.amazon.com/Klein-Tools-55914-Tradesman-Trimming/dp/B084WXF7WF/ref=sr_1_1?keywords=Klein+Tools+55914+Tradesman+Pro%E2%84%A2+Modular+Trimming+Pouch+with+Belt+Clip&amp;qid=1695173940&amp;sr=8-1</v>
      </c>
      <c r="F6090" t="s">
        <v>561</v>
      </c>
      <c r="G6090" t="e">
        <f ca="1">_xludf.IMAGE("https://edmondsonsupply.com/cdn/shop/products/55914.jpg?v=1587145266")</f>
        <v>#NAME?</v>
      </c>
      <c r="H6090" t="e">
        <f ca="1">_xludf.IMAGE("https://m.media-amazon.com/images/I/61gt9rhfciL._AC_UL320_.jpg")</f>
        <v>#NAME?</v>
      </c>
      <c r="I6090" t="s">
        <v>26</v>
      </c>
      <c r="J6090">
        <v>29.99</v>
      </c>
      <c r="K6090" s="4">
        <v>0</v>
      </c>
      <c r="L6090">
        <v>4.4000000000000004</v>
      </c>
      <c r="M6090">
        <v>636</v>
      </c>
      <c r="O6090" t="s">
        <v>25</v>
      </c>
      <c r="P6090" t="s">
        <v>562</v>
      </c>
      <c r="Q6090" t="s">
        <v>563</v>
      </c>
    </row>
    <row r="6091" spans="1:17" ht="15.5" x14ac:dyDescent="0.35">
      <c r="A6091" s="3" t="str">
        <f>HYPERLINK("https://edmondsonsupply.com/collections/electricians-tools/products/klein-tools-aeseb1-bluetooth%C2%AE-jobsite-earbuds", "https://edmondsonsupply.com/collections/electricians-tools/products/klein-tools-aeseb1-bluetooth%C2%AE-jobsite-earbuds")</f>
        <v>https://edmondsonsupply.com/collections/electricians-tools/products/klein-tools-aeseb1-bluetooth%C2%AE-jobsite-earbuds</v>
      </c>
      <c r="B6091" s="3" t="str">
        <f>HYPERLINK("https://edmondsonsupply.com/products/klein-tools-aeseb1-bluetooth%c2%ae-jobsite-earbuds", "https://edmondsonsupply.com/products/klein-tools-aeseb1-bluetooth%c2%ae-jobsite-earbuds")</f>
        <v>https://edmondsonsupply.com/products/klein-tools-aeseb1-bluetooth%c2%ae-jobsite-earbuds</v>
      </c>
      <c r="C6091" t="s">
        <v>8139</v>
      </c>
      <c r="D6091" t="s">
        <v>8140</v>
      </c>
      <c r="E6091" s="3" t="str">
        <f>HYPERLINK("https://www.amazon.com/Klein-Tools-AESEB1-Bluetooth-Protection/dp/B09NCK1VM2/ref=sr_1_1?keywords=Klein+Tools+AESEB1+Bluetooth%C2%AE+Jobsite+Earbuds&amp;qid=1695174144&amp;sr=8-1", "https://www.amazon.com/Klein-Tools-AESEB1-Bluetooth-Protection/dp/B09NCK1VM2/ref=sr_1_1?keywords=Klein+Tools+AESEB1+Bluetooth%C2%AE+Jobsite+Earbuds&amp;qid=1695174144&amp;sr=8-1")</f>
        <v>https://www.amazon.com/Klein-Tools-AESEB1-Bluetooth-Protection/dp/B09NCK1VM2/ref=sr_1_1?keywords=Klein+Tools+AESEB1+Bluetooth%C2%AE+Jobsite+Earbuds&amp;qid=1695174144&amp;sr=8-1</v>
      </c>
      <c r="F6091" t="s">
        <v>8141</v>
      </c>
      <c r="G6091" t="e">
        <f ca="1">_xludf.IMAGE("https://edmondsonsupply.com/cdn/shop/products/aeseb1.jpg?v=1666014599")</f>
        <v>#NAME?</v>
      </c>
      <c r="H6091" t="e">
        <f ca="1">_xludf.IMAGE("https://m.media-amazon.com/images/I/51yf0kAECQL._AC_UY218_.jpg")</f>
        <v>#NAME?</v>
      </c>
      <c r="I6091" t="s">
        <v>356</v>
      </c>
      <c r="J6091">
        <v>69.97</v>
      </c>
      <c r="K6091" s="4">
        <v>0</v>
      </c>
      <c r="L6091">
        <v>3.6</v>
      </c>
      <c r="M6091">
        <v>239</v>
      </c>
      <c r="O6091" t="s">
        <v>25</v>
      </c>
      <c r="P6091" t="s">
        <v>8142</v>
      </c>
      <c r="Q6091" t="s">
        <v>8143</v>
      </c>
    </row>
    <row r="6092" spans="1:17" ht="15.5" x14ac:dyDescent="0.35">
      <c r="A6092"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6092" s="3" t="str">
        <f>HYPERLINK("https://edmondsonsupply.com/products/klein-tools-rt310-afci-gfci-outlet-tester", "https://edmondsonsupply.com/products/klein-tools-rt310-afci-gfci-outlet-tester")</f>
        <v>https://edmondsonsupply.com/products/klein-tools-rt310-afci-gfci-outlet-tester</v>
      </c>
      <c r="C6092" t="s">
        <v>6210</v>
      </c>
      <c r="D6092" t="s">
        <v>6206</v>
      </c>
      <c r="E6092" s="3" t="str">
        <f>HYPERLINK("https://www.amazon.com/Klein-Tools-RT310-Electrical-Receptacles/dp/B07PMDRHXB/ref=sr_1_1?keywords=Klein+Tools+RT310+AFCI+%2F+GFCI+Outlet+Tester&amp;qid=1695173970&amp;sr=8-1", "https://www.amazon.com/Klein-Tools-RT310-Electrical-Receptacles/dp/B07PMDRHXB/ref=sr_1_1?keywords=Klein+Tools+RT310+AFCI+%2F+GFCI+Outlet+Tester&amp;qid=1695173970&amp;sr=8-1")</f>
        <v>https://www.amazon.com/Klein-Tools-RT310-Electrical-Receptacles/dp/B07PMDRHXB/ref=sr_1_1?keywords=Klein+Tools+RT310+AFCI+%2F+GFCI+Outlet+Tester&amp;qid=1695173970&amp;sr=8-1</v>
      </c>
      <c r="F6092" t="s">
        <v>6207</v>
      </c>
      <c r="G6092" t="e">
        <f ca="1">_xludf.IMAGE("https://edmondsonsupply.com/cdn/shop/products/rt310.jpg?v=1587148552")</f>
        <v>#NAME?</v>
      </c>
      <c r="H6092" t="e">
        <f ca="1">_xludf.IMAGE("https://m.media-amazon.com/images/I/51C46-kDFFL._AC_UL320_.jpg")</f>
        <v>#NAME?</v>
      </c>
      <c r="I6092" t="s">
        <v>246</v>
      </c>
      <c r="J6092">
        <v>39.97</v>
      </c>
      <c r="K6092" s="4">
        <v>0</v>
      </c>
      <c r="L6092">
        <v>4.7</v>
      </c>
      <c r="M6092">
        <v>1607</v>
      </c>
      <c r="O6092" t="s">
        <v>25</v>
      </c>
      <c r="P6092" t="s">
        <v>6213</v>
      </c>
      <c r="Q6092" t="s">
        <v>6214</v>
      </c>
    </row>
    <row r="6093" spans="1:17" ht="15.5" x14ac:dyDescent="0.35">
      <c r="A6093" s="3" t="str">
        <f>HYPERLINK("https://edmondsonsupply.com/collections/electricians-tools/products/klein-tools-60620-winter-thermal-gloves-l", "https://edmondsonsupply.com/collections/electricians-tools/products/klein-tools-60620-winter-thermal-gloves-l")</f>
        <v>https://edmondsonsupply.com/collections/electricians-tools/products/klein-tools-60620-winter-thermal-gloves-l</v>
      </c>
      <c r="B6093" s="3" t="str">
        <f>HYPERLINK("https://edmondsonsupply.com/products/klein-tools-60620-winter-thermal-gloves-l", "https://edmondsonsupply.com/products/klein-tools-60620-winter-thermal-gloves-l")</f>
        <v>https://edmondsonsupply.com/products/klein-tools-60620-winter-thermal-gloves-l</v>
      </c>
      <c r="C6093" t="s">
        <v>1190</v>
      </c>
      <c r="D6093" t="s">
        <v>1191</v>
      </c>
      <c r="E6093" s="3" t="str">
        <f>HYPERLINK("https://www.amazon.com/Klein-Tools-60620-Thinsulate-Thermal/dp/B0BPDVBNYF/ref=sr_1_1?keywords=Klein+Tools+60620+Winter+Thermal+Gloves%2C+L&amp;qid=1695174077&amp;sr=8-1", "https://www.amazon.com/Klein-Tools-60620-Thinsulate-Thermal/dp/B0BPDVBNYF/ref=sr_1_1?keywords=Klein+Tools+60620+Winter+Thermal+Gloves%2C+L&amp;qid=1695174077&amp;sr=8-1")</f>
        <v>https://www.amazon.com/Klein-Tools-60620-Thinsulate-Thermal/dp/B0BPDVBNYF/ref=sr_1_1?keywords=Klein+Tools+60620+Winter+Thermal+Gloves%2C+L&amp;qid=1695174077&amp;sr=8-1</v>
      </c>
      <c r="F6093" t="s">
        <v>1192</v>
      </c>
      <c r="G6093" t="e">
        <f ca="1">_xludf.IMAGE("https://edmondsonsupply.com/cdn/shop/products/60619_d9a5b77e-323d-40d8-9bbc-c2b115e41e47.jpg?v=1674498060")</f>
        <v>#NAME?</v>
      </c>
      <c r="H6093" t="e">
        <f ca="1">_xludf.IMAGE("https://m.media-amazon.com/images/I/71yZfwKNZWL._AC_UL320_.jpg")</f>
        <v>#NAME?</v>
      </c>
      <c r="I6093" t="s">
        <v>471</v>
      </c>
      <c r="J6093">
        <v>24.99</v>
      </c>
      <c r="K6093" s="4">
        <v>0</v>
      </c>
      <c r="L6093">
        <v>4</v>
      </c>
      <c r="M6093">
        <v>2</v>
      </c>
      <c r="O6093" t="s">
        <v>25</v>
      </c>
      <c r="P6093" t="s">
        <v>602</v>
      </c>
      <c r="Q6093" t="s">
        <v>1193</v>
      </c>
    </row>
    <row r="6094" spans="1:17" ht="15.5" x14ac:dyDescent="0.35">
      <c r="A6094" s="3" t="str">
        <f>HYPERLINK("https://edmondsonsupply.com/collections/electricians-tools/products/klein-tools-60532-hard-hat-earmuffs-for-cap-style-and-safety-helmets", "https://edmondsonsupply.com/collections/electricians-tools/products/klein-tools-60532-hard-hat-earmuffs-for-cap-style-and-safety-helmets")</f>
        <v>https://edmondsonsupply.com/collections/electricians-tools/products/klein-tools-60532-hard-hat-earmuffs-for-cap-style-and-safety-helmets</v>
      </c>
      <c r="B6094" s="3" t="str">
        <f>HYPERLINK("https://edmondsonsupply.com/products/klein-tools-60532-hard-hat-earmuffs-for-cap-style-and-safety-helmets", "https://edmondsonsupply.com/products/klein-tools-60532-hard-hat-earmuffs-for-cap-style-and-safety-helmets")</f>
        <v>https://edmondsonsupply.com/products/klein-tools-60532-hard-hat-earmuffs-for-cap-style-and-safety-helmets</v>
      </c>
      <c r="C6094" t="s">
        <v>1200</v>
      </c>
      <c r="D6094" t="s">
        <v>1201</v>
      </c>
      <c r="E6094" s="3" t="str">
        <f>HYPERLINK("https://www.amazon.com/Klein-Tools-60532-Attachment-Protection/dp/B0BMW81MN6/ref=sr_1_1?keywords=Klein+Tools+60532+Hard+Hat+Earmuffs+for+Cap+Style+and+Safety+Helmets&amp;qid=1695174078&amp;sr=8-1", "https://www.amazon.com/Klein-Tools-60532-Attachment-Protection/dp/B0BMW81MN6/ref=sr_1_1?keywords=Klein+Tools+60532+Hard+Hat+Earmuffs+for+Cap+Style+and+Safety+Helmets&amp;qid=1695174078&amp;sr=8-1")</f>
        <v>https://www.amazon.com/Klein-Tools-60532-Attachment-Protection/dp/B0BMW81MN6/ref=sr_1_1?keywords=Klein+Tools+60532+Hard+Hat+Earmuffs+for+Cap+Style+and+Safety+Helmets&amp;qid=1695174078&amp;sr=8-1</v>
      </c>
      <c r="F6094" t="s">
        <v>1202</v>
      </c>
      <c r="G6094" t="e">
        <f ca="1">_xludf.IMAGE("https://edmondsonsupply.com/cdn/shop/products/60532.jpg?v=1674488078")</f>
        <v>#NAME?</v>
      </c>
      <c r="H6094" t="e">
        <f ca="1">_xludf.IMAGE("https://m.media-amazon.com/images/I/611HffL6OGL._AC_UL320_.jpg")</f>
        <v>#NAME?</v>
      </c>
      <c r="I6094" t="s">
        <v>26</v>
      </c>
      <c r="J6094">
        <v>29.99</v>
      </c>
      <c r="K6094" s="4">
        <v>0</v>
      </c>
      <c r="L6094">
        <v>3.9</v>
      </c>
      <c r="M6094">
        <v>6</v>
      </c>
      <c r="O6094" t="s">
        <v>25</v>
      </c>
      <c r="P6094" t="s">
        <v>562</v>
      </c>
      <c r="Q6094" t="s">
        <v>1203</v>
      </c>
    </row>
    <row r="6095" spans="1:17" ht="15.5" x14ac:dyDescent="0.35">
      <c r="A6095"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6095"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6095" t="s">
        <v>7204</v>
      </c>
      <c r="D6095" t="s">
        <v>3682</v>
      </c>
      <c r="E6095" s="3" t="str">
        <f>HYPERLINK("https://www.amazon.com/Klein-Tools-6866INS-Screwdriver-Cushion-Grip/dp/B0BF73PSWC/ref=sr_1_4?keywords=Klein+Tools+6816INS+Insulated+Screwdriver%2C+3%2F16-Inch+Cabinet+Tip%2C+6-Inch+Round+Shank&amp;qid=1695174141&amp;sr=8-4", "https://www.amazon.com/Klein-Tools-6866INS-Screwdriver-Cushion-Grip/dp/B0BF73PSWC/ref=sr_1_4?keywords=Klein+Tools+6816INS+Insulated+Screwdriver%2C+3%2F16-Inch+Cabinet+Tip%2C+6-Inch+Round+Shank&amp;qid=1695174141&amp;sr=8-4")</f>
        <v>https://www.amazon.com/Klein-Tools-6866INS-Screwdriver-Cushion-Grip/dp/B0BF73PSWC/ref=sr_1_4?keywords=Klein+Tools+6816INS+Insulated+Screwdriver%2C+3%2F16-Inch+Cabinet+Tip%2C+6-Inch+Round+Shank&amp;qid=1695174141&amp;sr=8-4</v>
      </c>
      <c r="F6095" t="s">
        <v>3683</v>
      </c>
      <c r="G6095" t="e">
        <f ca="1">_xludf.IMAGE("https://edmondsonsupply.com/cdn/shop/products/6816ins.jpg?v=1664812840")</f>
        <v>#NAME?</v>
      </c>
      <c r="H6095" t="e">
        <f ca="1">_xludf.IMAGE("https://m.media-amazon.com/images/I/41Sx5h6xG-L._AC_UL320_.jpg")</f>
        <v>#NAME?</v>
      </c>
      <c r="I6095" t="s">
        <v>6073</v>
      </c>
      <c r="J6095">
        <v>11.97</v>
      </c>
      <c r="K6095" s="4">
        <v>0</v>
      </c>
      <c r="L6095">
        <v>4.9000000000000004</v>
      </c>
      <c r="M6095">
        <v>205</v>
      </c>
      <c r="O6095" t="s">
        <v>25</v>
      </c>
      <c r="P6095" t="s">
        <v>6728</v>
      </c>
      <c r="Q6095" t="s">
        <v>7205</v>
      </c>
    </row>
    <row r="6096" spans="1:17" ht="15.5" x14ac:dyDescent="0.35">
      <c r="A6096" s="3" t="str">
        <f>HYPERLINK("https://edmondsonsupply.com/collections/electricians-tools/products/klein-tools-60619-winter-thermal-gloves-m", "https://edmondsonsupply.com/collections/electricians-tools/products/klein-tools-60619-winter-thermal-gloves-m")</f>
        <v>https://edmondsonsupply.com/collections/electricians-tools/products/klein-tools-60619-winter-thermal-gloves-m</v>
      </c>
      <c r="B6096" s="3" t="str">
        <f>HYPERLINK("https://edmondsonsupply.com/products/klein-tools-60619-winter-thermal-gloves-m", "https://edmondsonsupply.com/products/klein-tools-60619-winter-thermal-gloves-m")</f>
        <v>https://edmondsonsupply.com/products/klein-tools-60619-winter-thermal-gloves-m</v>
      </c>
      <c r="C6096" t="s">
        <v>1130</v>
      </c>
      <c r="D6096" t="s">
        <v>1131</v>
      </c>
      <c r="E6096" s="3" t="str">
        <f>HYPERLINK("https://www.amazon.com/Klein-Tools-60619-Thinsulate-Thermal/dp/B0BPF4V69H/ref=sr_1_1?keywords=Klein+Tools+60619+Winter+Thermal+Gloves%2C+M&amp;qid=1695174079&amp;sr=8-1", "https://www.amazon.com/Klein-Tools-60619-Thinsulate-Thermal/dp/B0BPF4V69H/ref=sr_1_1?keywords=Klein+Tools+60619+Winter+Thermal+Gloves%2C+M&amp;qid=1695174079&amp;sr=8-1")</f>
        <v>https://www.amazon.com/Klein-Tools-60619-Thinsulate-Thermal/dp/B0BPF4V69H/ref=sr_1_1?keywords=Klein+Tools+60619+Winter+Thermal+Gloves%2C+M&amp;qid=1695174079&amp;sr=8-1</v>
      </c>
      <c r="F6096" t="s">
        <v>1132</v>
      </c>
      <c r="G6096" t="e">
        <f ca="1">_xludf.IMAGE("https://edmondsonsupply.com/cdn/shop/products/60619.jpg?v=1674497643")</f>
        <v>#NAME?</v>
      </c>
      <c r="H6096" t="e">
        <f ca="1">_xludf.IMAGE("https://m.media-amazon.com/images/I/71yZfwKNZWL._AC_UL320_.jpg")</f>
        <v>#NAME?</v>
      </c>
      <c r="I6096" t="s">
        <v>471</v>
      </c>
      <c r="J6096">
        <v>24.99</v>
      </c>
      <c r="K6096" s="4">
        <v>0</v>
      </c>
      <c r="L6096">
        <v>4</v>
      </c>
      <c r="M6096">
        <v>2</v>
      </c>
      <c r="O6096" t="s">
        <v>25</v>
      </c>
      <c r="P6096" t="s">
        <v>602</v>
      </c>
      <c r="Q6096" t="s">
        <v>1133</v>
      </c>
    </row>
    <row r="6097" spans="1:17" ht="15.5" x14ac:dyDescent="0.35">
      <c r="A6097" s="3" t="str">
        <f>HYPERLINK("https://edmondsonsupply.com/collections/electricians-tools/products/klein-tools-demolition-scratch-awl", "https://edmondsonsupply.com/collections/electricians-tools/products/klein-tools-demolition-scratch-awl")</f>
        <v>https://edmondsonsupply.com/collections/electricians-tools/products/klein-tools-demolition-scratch-awl</v>
      </c>
      <c r="B6097" s="3" t="str">
        <f>HYPERLINK("https://edmondsonsupply.com/products/klein-tools-demolition-scratch-awl", "https://edmondsonsupply.com/products/klein-tools-demolition-scratch-awl")</f>
        <v>https://edmondsonsupply.com/products/klein-tools-demolition-scratch-awl</v>
      </c>
      <c r="C6097" t="s">
        <v>4477</v>
      </c>
      <c r="D6097" t="s">
        <v>4477</v>
      </c>
      <c r="E6097" s="3" t="str">
        <f>HYPERLINK("https://www.amazon.com/Demolition-Scratch-Klein-Tools-650DD/dp/B00LUBVL9C/ref=sr_1_1?keywords=Klein+Tools+650DD+Demolition+Scratch+Awl&amp;qid=1695173942&amp;sr=8-1", "https://www.amazon.com/Demolition-Scratch-Klein-Tools-650DD/dp/B00LUBVL9C/ref=sr_1_1?keywords=Klein+Tools+650DD+Demolition+Scratch+Awl&amp;qid=1695173942&amp;sr=8-1")</f>
        <v>https://www.amazon.com/Demolition-Scratch-Klein-Tools-650DD/dp/B00LUBVL9C/ref=sr_1_1?keywords=Klein+Tools+650DD+Demolition+Scratch+Awl&amp;qid=1695173942&amp;sr=8-1</v>
      </c>
      <c r="F6097" t="s">
        <v>4478</v>
      </c>
      <c r="G6097" t="e">
        <f ca="1">_xludf.IMAGE("https://edmondsonsupply.com/cdn/shop/products/650-dd.jpg?v=1587150658")</f>
        <v>#NAME?</v>
      </c>
      <c r="H6097" t="e">
        <f ca="1">_xludf.IMAGE("https://m.media-amazon.com/images/I/41Rko-I--ML._AC_UL320_.jpg")</f>
        <v>#NAME?</v>
      </c>
      <c r="I6097" t="s">
        <v>79</v>
      </c>
      <c r="J6097">
        <v>17.989999999999998</v>
      </c>
      <c r="K6097" s="4">
        <v>0</v>
      </c>
      <c r="L6097">
        <v>4.7</v>
      </c>
      <c r="M6097">
        <v>362</v>
      </c>
      <c r="O6097" t="s">
        <v>25</v>
      </c>
      <c r="P6097" t="s">
        <v>4479</v>
      </c>
      <c r="Q6097" t="s">
        <v>4480</v>
      </c>
    </row>
    <row r="6098" spans="1:17" ht="15.5" x14ac:dyDescent="0.35">
      <c r="A6098" s="3" t="str">
        <f>HYPERLINK("https://edmondsonsupply.com/collections/electricians-tools/products/milwaukee-2120-20-m18%E2%84%A2-rocket%E2%84%A2-dual-pack-tower-light-w-one-key%E2%84%A2", "https://edmondsonsupply.com/collections/electricians-tools/products/milwaukee-2120-20-m18%E2%84%A2-rocket%E2%84%A2-dual-pack-tower-light-w-one-key%E2%84%A2")</f>
        <v>https://edmondsonsupply.com/collections/electricians-tools/products/milwaukee-2120-20-m18%E2%84%A2-rocket%E2%84%A2-dual-pack-tower-light-w-one-key%E2%84%A2</v>
      </c>
      <c r="B6098" s="3" t="str">
        <f>HYPERLINK("https://edmondsonsupply.com/products/milwaukee-2120-20-m18%e2%84%a2-rocket%e2%84%a2-dual-pack-tower-light-w-one-key%e2%84%a2", "https://edmondsonsupply.com/products/milwaukee-2120-20-m18%e2%84%a2-rocket%e2%84%a2-dual-pack-tower-light-w-one-key%e2%84%a2")</f>
        <v>https://edmondsonsupply.com/products/milwaukee-2120-20-m18%e2%84%a2-rocket%e2%84%a2-dual-pack-tower-light-w-one-key%e2%84%a2</v>
      </c>
      <c r="C6098" t="s">
        <v>8144</v>
      </c>
      <c r="D6098" t="s">
        <v>8145</v>
      </c>
      <c r="E6098" s="3" t="str">
        <f>HYPERLINK("https://www.amazon.com/Milwaukee-212020-Rocket-Tower-Light/dp/B076RYD3WW/ref=sr_1_1?keywords=Milwaukee+2120-20+M18%E2%84%A2+ROCKET%E2%84%A2+Dual+Pack+Tower+Light+w%2F+ONE-KEY%E2%84%A2&amp;qid=1695174081&amp;sr=8-1", "https://www.amazon.com/Milwaukee-212020-Rocket-Tower-Light/dp/B076RYD3WW/ref=sr_1_1?keywords=Milwaukee+2120-20+M18%E2%84%A2+ROCKET%E2%84%A2+Dual+Pack+Tower+Light+w%2F+ONE-KEY%E2%84%A2&amp;qid=1695174081&amp;sr=8-1")</f>
        <v>https://www.amazon.com/Milwaukee-212020-Rocket-Tower-Light/dp/B076RYD3WW/ref=sr_1_1?keywords=Milwaukee+2120-20+M18%E2%84%A2+ROCKET%E2%84%A2+Dual+Pack+Tower+Light+w%2F+ONE-KEY%E2%84%A2&amp;qid=1695174081&amp;sr=8-1</v>
      </c>
      <c r="F6098" t="s">
        <v>8146</v>
      </c>
      <c r="G6098" t="e">
        <f ca="1">_xludf.IMAGE("https://edmondsonsupply.com/cdn/shop/products/2120-20_5.webp?v=1674152585")</f>
        <v>#NAME?</v>
      </c>
      <c r="H6098" t="e">
        <f ca="1">_xludf.IMAGE("https://m.media-amazon.com/images/I/41x9MXoYV+L._AC_UL320_.jpg")</f>
        <v>#NAME?</v>
      </c>
      <c r="I6098" t="s">
        <v>8147</v>
      </c>
      <c r="J6098">
        <v>699</v>
      </c>
      <c r="K6098" s="4">
        <v>0</v>
      </c>
      <c r="L6098">
        <v>4.5999999999999996</v>
      </c>
      <c r="M6098">
        <v>3</v>
      </c>
      <c r="O6098" t="s">
        <v>25</v>
      </c>
      <c r="P6098" t="s">
        <v>8148</v>
      </c>
      <c r="Q6098" t="s">
        <v>8149</v>
      </c>
    </row>
    <row r="6099" spans="1:17" ht="15.5" x14ac:dyDescent="0.35">
      <c r="A6099"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6099"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6099" t="s">
        <v>6781</v>
      </c>
      <c r="D6099" t="s">
        <v>3682</v>
      </c>
      <c r="E6099" s="3" t="str">
        <f>HYPERLINK("https://www.amazon.com/Klein-Tools-6866INS-Screwdriver-Cushion-Grip/dp/B0BF73PSWC/ref=sr_1_1?keywords=Klein+Tools+6866INS+Insulated+Screwdriver%2C+5%2F16-Inch+Cabinet+Tip%2C+6-Inch+Shank&amp;qid=1695174142&amp;sr=8-1", "https://www.amazon.com/Klein-Tools-6866INS-Screwdriver-Cushion-Grip/dp/B0BF73PSWC/ref=sr_1_1?keywords=Klein+Tools+6866INS+Insulated+Screwdriver%2C+5%2F16-Inch+Cabinet+Tip%2C+6-Inch+Shank&amp;qid=1695174142&amp;sr=8-1")</f>
        <v>https://www.amazon.com/Klein-Tools-6866INS-Screwdriver-Cushion-Grip/dp/B0BF73PSWC/ref=sr_1_1?keywords=Klein+Tools+6866INS+Insulated+Screwdriver%2C+5%2F16-Inch+Cabinet+Tip%2C+6-Inch+Shank&amp;qid=1695174142&amp;sr=8-1</v>
      </c>
      <c r="F6099" t="s">
        <v>3683</v>
      </c>
      <c r="G6099" t="e">
        <f ca="1">_xludf.IMAGE("https://edmondsonsupply.com/cdn/shop/products/6866ins.jpg?v=1664818689")</f>
        <v>#NAME?</v>
      </c>
      <c r="H6099" t="e">
        <f ca="1">_xludf.IMAGE("https://m.media-amazon.com/images/I/41Sx5h6xG-L._AC_UL320_.jpg")</f>
        <v>#NAME?</v>
      </c>
      <c r="I6099" t="s">
        <v>6073</v>
      </c>
      <c r="J6099">
        <v>11.97</v>
      </c>
      <c r="K6099" s="4">
        <v>0</v>
      </c>
      <c r="L6099">
        <v>4.9000000000000004</v>
      </c>
      <c r="M6099">
        <v>205</v>
      </c>
      <c r="O6099" t="s">
        <v>25</v>
      </c>
      <c r="P6099" t="s">
        <v>6728</v>
      </c>
      <c r="Q6099" t="s">
        <v>6784</v>
      </c>
    </row>
    <row r="6100" spans="1:17" ht="15.5" x14ac:dyDescent="0.35">
      <c r="A6100" s="3" t="str">
        <f>HYPERLINK("https://edmondsonsupply.com/collections/electricians-tools/products/klein-tools-605036-corded-earplugs-6-pair-pack", "https://edmondsonsupply.com/collections/electricians-tools/products/klein-tools-605036-corded-earplugs-6-pair-pack")</f>
        <v>https://edmondsonsupply.com/collections/electricians-tools/products/klein-tools-605036-corded-earplugs-6-pair-pack</v>
      </c>
      <c r="B6100" s="3" t="str">
        <f>HYPERLINK("https://edmondsonsupply.com/products/klein-tools-605036-corded-earplugs-6-pair-pack", "https://edmondsonsupply.com/products/klein-tools-605036-corded-earplugs-6-pair-pack")</f>
        <v>https://edmondsonsupply.com/products/klein-tools-605036-corded-earplugs-6-pair-pack</v>
      </c>
      <c r="C6100" t="s">
        <v>1180</v>
      </c>
      <c r="D6100" t="s">
        <v>1181</v>
      </c>
      <c r="E6100" s="3" t="str">
        <f>HYPERLINK("https://www.amazon.com/Klein-Tools-605036-Construction-Industrial/dp/B0BSZH7YDX/ref=sr_1_5?keywords=Klein+Tools+605036+Corded+Earplugs%2C+6-Pair+Pack&amp;qid=1695174079&amp;sr=8-5", "https://www.amazon.com/Klein-Tools-605036-Construction-Industrial/dp/B0BSZH7YDX/ref=sr_1_5?keywords=Klein+Tools+605036+Corded+Earplugs%2C+6-Pair+Pack&amp;qid=1695174079&amp;sr=8-5")</f>
        <v>https://www.amazon.com/Klein-Tools-605036-Construction-Industrial/dp/B0BSZH7YDX/ref=sr_1_5?keywords=Klein+Tools+605036+Corded+Earplugs%2C+6-Pair+Pack&amp;qid=1695174079&amp;sr=8-5</v>
      </c>
      <c r="F6100" t="s">
        <v>1182</v>
      </c>
      <c r="G6100" t="e">
        <f ca="1">_xludf.IMAGE("https://edmondsonsupply.com/cdn/shop/products/605036.jpg?v=1677684007")</f>
        <v>#NAME?</v>
      </c>
      <c r="H6100" t="e">
        <f ca="1">_xludf.IMAGE("https://m.media-amazon.com/images/I/61FbxYoqEnL._AC_UL320_.jpg")</f>
        <v>#NAME?</v>
      </c>
      <c r="I6100" t="s">
        <v>1183</v>
      </c>
      <c r="J6100">
        <v>5.97</v>
      </c>
      <c r="K6100" s="4">
        <v>0</v>
      </c>
      <c r="L6100">
        <v>4.3</v>
      </c>
      <c r="M6100">
        <v>15</v>
      </c>
      <c r="O6100" t="s">
        <v>25</v>
      </c>
      <c r="P6100" t="s">
        <v>1184</v>
      </c>
      <c r="Q6100" t="s">
        <v>1185</v>
      </c>
    </row>
    <row r="6101" spans="1:17" ht="15.5" x14ac:dyDescent="0.35">
      <c r="A6101" s="3" t="str">
        <f>HYPERLINK("https://edmondsonsupply.com/collections/electricians-tools/products/klein-tools-60345-hard-hat-earmuffs-full-brim-style", "https://edmondsonsupply.com/collections/electricians-tools/products/klein-tools-60345-hard-hat-earmuffs-full-brim-style")</f>
        <v>https://edmondsonsupply.com/collections/electricians-tools/products/klein-tools-60345-hard-hat-earmuffs-full-brim-style</v>
      </c>
      <c r="B6101" s="3" t="str">
        <f>HYPERLINK("https://edmondsonsupply.com/products/klein-tools-60345-hard-hat-earmuffs-full-brim-style", "https://edmondsonsupply.com/products/klein-tools-60345-hard-hat-earmuffs-full-brim-style")</f>
        <v>https://edmondsonsupply.com/products/klein-tools-60345-hard-hat-earmuffs-full-brim-style</v>
      </c>
      <c r="C6101" t="s">
        <v>868</v>
      </c>
      <c r="D6101" t="s">
        <v>1206</v>
      </c>
      <c r="E6101" s="3" t="str">
        <f>HYPERLINK("https://www.amazon.com/Klein-Tools-60502-Attachment-Protection/dp/B0BMW8YRD8/ref=sr_1_1?keywords=Klein+Tools+60502+Hard+Hat+Earmuffs%2C+Full+Brim+Style&amp;qid=1695174082&amp;sr=8-1", "https://www.amazon.com/Klein-Tools-60502-Attachment-Protection/dp/B0BMW8YRD8/ref=sr_1_1?keywords=Klein+Tools+60502+Hard+Hat+Earmuffs%2C+Full+Brim+Style&amp;qid=1695174082&amp;sr=8-1")</f>
        <v>https://www.amazon.com/Klein-Tools-60502-Attachment-Protection/dp/B0BMW8YRD8/ref=sr_1_1?keywords=Klein+Tools+60502+Hard+Hat+Earmuffs%2C+Full+Brim+Style&amp;qid=1695174082&amp;sr=8-1</v>
      </c>
      <c r="F6101" t="s">
        <v>1207</v>
      </c>
      <c r="G6101" t="e">
        <f ca="1">_xludf.IMAGE("https://edmondsonsupply.com/cdn/shop/products/60502.jpg?v=1674486730")</f>
        <v>#NAME?</v>
      </c>
      <c r="H6101" t="e">
        <f ca="1">_xludf.IMAGE("https://m.media-amazon.com/images/I/61DVNl0vmFL._AC_UL320_.jpg")</f>
        <v>#NAME?</v>
      </c>
      <c r="I6101" t="s">
        <v>26</v>
      </c>
      <c r="J6101">
        <v>29.99</v>
      </c>
      <c r="K6101" s="4">
        <v>0</v>
      </c>
      <c r="L6101">
        <v>4.3</v>
      </c>
      <c r="M6101">
        <v>41</v>
      </c>
      <c r="O6101" t="s">
        <v>25</v>
      </c>
      <c r="P6101" t="s">
        <v>562</v>
      </c>
      <c r="Q6101" t="s">
        <v>871</v>
      </c>
    </row>
    <row r="6102" spans="1:17" ht="15.5" x14ac:dyDescent="0.35">
      <c r="A6102" s="3" t="str">
        <f>HYPERLINK("https://edmondsonsupply.com/collections/electricians-tools/products/milwaukee-2744-21", "https://edmondsonsupply.com/collections/electricians-tools/products/milwaukee-2744-21")</f>
        <v>https://edmondsonsupply.com/collections/electricians-tools/products/milwaukee-2744-21</v>
      </c>
      <c r="B6102" s="3" t="str">
        <f>HYPERLINK("https://edmondsonsupply.com/products/milwaukee-2744-21", "https://edmondsonsupply.com/products/milwaukee-2744-21")</f>
        <v>https://edmondsonsupply.com/products/milwaukee-2744-21</v>
      </c>
      <c r="C6102" t="s">
        <v>8150</v>
      </c>
      <c r="D6102" t="s">
        <v>8151</v>
      </c>
      <c r="E6102" s="3"/>
      <c r="F6102" t="s">
        <v>8152</v>
      </c>
      <c r="G6102" t="e">
        <f ca="1">_xludf.IMAGE("https://edmondsonsupply.com/cdn/shop/products/2744-21_1.webp?v=1664901456")</f>
        <v>#NAME?</v>
      </c>
      <c r="H6102" t="e">
        <f ca="1">_xludf.IMAGE("https://m.media-amazon.com/images/I/61LiBCBn5dL._AC_UL320_.jpg")</f>
        <v>#NAME?</v>
      </c>
      <c r="I6102" t="s">
        <v>8153</v>
      </c>
      <c r="J6102">
        <v>479</v>
      </c>
      <c r="K6102" s="4">
        <v>0</v>
      </c>
      <c r="L6102">
        <v>5</v>
      </c>
      <c r="M6102">
        <v>5</v>
      </c>
      <c r="O6102" t="s">
        <v>171</v>
      </c>
      <c r="P6102" t="s">
        <v>8154</v>
      </c>
      <c r="Q6102" t="s">
        <v>8155</v>
      </c>
    </row>
    <row r="6103" spans="1:17" ht="15.5" x14ac:dyDescent="0.35">
      <c r="A6103" s="3" t="str">
        <f>HYPERLINK("https://edmondsonsupply.com/collections/electricians-tools/products/klein-tools-bat20ubl1-cordless-utility-led-light-kit", "https://edmondsonsupply.com/collections/electricians-tools/products/klein-tools-bat20ubl1-cordless-utility-led-light-kit")</f>
        <v>https://edmondsonsupply.com/collections/electricians-tools/products/klein-tools-bat20ubl1-cordless-utility-led-light-kit</v>
      </c>
      <c r="B6103" s="3" t="str">
        <f>HYPERLINK("https://edmondsonsupply.com/products/klein-tools-bat20ubl1-cordless-utility-led-light-kit", "https://edmondsonsupply.com/products/klein-tools-bat20ubl1-cordless-utility-led-light-kit")</f>
        <v>https://edmondsonsupply.com/products/klein-tools-bat20ubl1-cordless-utility-led-light-kit</v>
      </c>
      <c r="C6103" t="s">
        <v>8156</v>
      </c>
      <c r="D6103" t="s">
        <v>8157</v>
      </c>
      <c r="E6103" s="3" t="str">
        <f>HYPERLINK("https://www.amazon.com/Klein-Tools-BAT20UBL1-Lithium-Ion-Batteries/dp/B09HW8BM5R/ref=sr_1_1?keywords=Klein+Tools+BAT20UBL1+Cordless+Utility+LED+Light+Kit&amp;qid=1695174138&amp;sr=8-1", "https://www.amazon.com/Klein-Tools-BAT20UBL1-Lithium-Ion-Batteries/dp/B09HW8BM5R/ref=sr_1_1?keywords=Klein+Tools+BAT20UBL1+Cordless+Utility+LED+Light+Kit&amp;qid=1695174138&amp;sr=8-1")</f>
        <v>https://www.amazon.com/Klein-Tools-BAT20UBL1-Lithium-Ion-Batteries/dp/B09HW8BM5R/ref=sr_1_1?keywords=Klein+Tools+BAT20UBL1+Cordless+Utility+LED+Light+Kit&amp;qid=1695174138&amp;sr=8-1</v>
      </c>
      <c r="F6103" t="s">
        <v>8158</v>
      </c>
      <c r="G6103" t="e">
        <f ca="1">_xludf.IMAGE("https://edmondsonsupply.com/cdn/shop/products/bat20ubl1.jpg?v=1666017304")</f>
        <v>#NAME?</v>
      </c>
      <c r="H6103" t="e">
        <f ca="1">_xludf.IMAGE("https://m.media-amazon.com/images/I/51QMrm33mfL._AC_UL320_.jpg")</f>
        <v>#NAME?</v>
      </c>
      <c r="I6103" t="s">
        <v>8159</v>
      </c>
      <c r="J6103">
        <v>492.69</v>
      </c>
      <c r="K6103" s="4">
        <v>0</v>
      </c>
      <c r="L6103">
        <v>5</v>
      </c>
      <c r="M6103">
        <v>2</v>
      </c>
      <c r="O6103" t="s">
        <v>25</v>
      </c>
      <c r="P6103" t="s">
        <v>8160</v>
      </c>
      <c r="Q6103" t="s">
        <v>8161</v>
      </c>
    </row>
    <row r="6104" spans="1:17" ht="15.5" x14ac:dyDescent="0.35">
      <c r="A6104" s="3" t="str">
        <f>HYPERLINK("https://edmondsonsupply.com/collections/electricians-tools/products/klein-tools-6886ins-insulated-screwdriver-1-square-tip-6-inch-shank", "https://edmondsonsupply.com/collections/electricians-tools/products/klein-tools-6886ins-insulated-screwdriver-1-square-tip-6-inch-shank")</f>
        <v>https://edmondsonsupply.com/collections/electricians-tools/products/klein-tools-6886ins-insulated-screwdriver-1-square-tip-6-inch-shank</v>
      </c>
      <c r="B6104" s="3" t="str">
        <f>HYPERLINK("https://edmondsonsupply.com/products/klein-tools-6886ins-insulated-screwdriver-1-square-tip-6-inch-shank", "https://edmondsonsupply.com/products/klein-tools-6886ins-insulated-screwdriver-1-square-tip-6-inch-shank")</f>
        <v>https://edmondsonsupply.com/products/klein-tools-6886ins-insulated-screwdriver-1-square-tip-6-inch-shank</v>
      </c>
      <c r="C6104" t="s">
        <v>7417</v>
      </c>
      <c r="D6104" t="s">
        <v>8162</v>
      </c>
      <c r="E6104" s="3" t="str">
        <f>HYPERLINK("https://www.amazon.com/Klein-Tools-6886INS-Screwdriver-Cushion-Grip/dp/B0BF755ZL3/ref=sr_1_1?keywords=Klein+Tools+6886INS+Insulated+Screwdriver%2C&amp;qid=1695174139&amp;sr=8-1", "https://www.amazon.com/Klein-Tools-6886INS-Screwdriver-Cushion-Grip/dp/B0BF755ZL3/ref=sr_1_1?keywords=Klein+Tools+6886INS+Insulated+Screwdriver%2C&amp;qid=1695174139&amp;sr=8-1")</f>
        <v>https://www.amazon.com/Klein-Tools-6886INS-Screwdriver-Cushion-Grip/dp/B0BF755ZL3/ref=sr_1_1?keywords=Klein+Tools+6886INS+Insulated+Screwdriver%2C&amp;qid=1695174139&amp;sr=8-1</v>
      </c>
      <c r="F6104" t="s">
        <v>8163</v>
      </c>
      <c r="G6104" t="e">
        <f ca="1">_xludf.IMAGE("https://edmondsonsupply.com/cdn/shop/products/6886ins.jpg?v=1664889697")</f>
        <v>#NAME?</v>
      </c>
      <c r="H6104" t="e">
        <f ca="1">_xludf.IMAGE("https://m.media-amazon.com/images/I/41+5F4EQBeL._AC_UL320_.jpg")</f>
        <v>#NAME?</v>
      </c>
      <c r="I6104" t="s">
        <v>6073</v>
      </c>
      <c r="J6104">
        <v>11.97</v>
      </c>
      <c r="K6104" s="4">
        <v>0</v>
      </c>
      <c r="L6104">
        <v>4.8</v>
      </c>
      <c r="M6104">
        <v>419</v>
      </c>
      <c r="O6104" t="s">
        <v>25</v>
      </c>
      <c r="P6104" t="s">
        <v>6728</v>
      </c>
      <c r="Q6104" t="s">
        <v>7420</v>
      </c>
    </row>
    <row r="6105" spans="1:17" ht="15.5" x14ac:dyDescent="0.35">
      <c r="A6105"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6105"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6105" t="s">
        <v>7055</v>
      </c>
      <c r="D6105" t="s">
        <v>3269</v>
      </c>
      <c r="E6105" s="3" t="str">
        <f>HYPERLINK("https://www.amazon.com/Cutter-Stripper-Klein-Tools-K1412/dp/B000F9HIEC/ref=sr_1_9?keywords=Klein+Tools+11055RINS+Insulated+Klein-Kurve%C2%AE+Wire+Stripper+and+Cutter&amp;qid=1695174134&amp;sr=8-9", "https://www.amazon.com/Cutter-Stripper-Klein-Tools-K1412/dp/B000F9HIEC/ref=sr_1_9?keywords=Klein+Tools+11055RINS+Insulated+Klein-Kurve%C2%AE+Wire+Stripper+and+Cutter&amp;qid=1695174134&amp;sr=8-9")</f>
        <v>https://www.amazon.com/Cutter-Stripper-Klein-Tools-K1412/dp/B000F9HIEC/ref=sr_1_9?keywords=Klein+Tools+11055RINS+Insulated+Klein-Kurve%C2%AE+Wire+Stripper+and+Cutter&amp;qid=1695174134&amp;sr=8-9</v>
      </c>
      <c r="F6105" t="s">
        <v>3270</v>
      </c>
      <c r="G6105" t="e">
        <f ca="1">_xludf.IMAGE("https://edmondsonsupply.com/cdn/shop/products/11055rins.jpg?v=1667236979")</f>
        <v>#NAME?</v>
      </c>
      <c r="H6105" t="e">
        <f ca="1">_xludf.IMAGE("https://m.media-amazon.com/images/I/41sdPMsHXcL._AC_UL320_.jpg")</f>
        <v>#NAME?</v>
      </c>
      <c r="I6105" t="s">
        <v>824</v>
      </c>
      <c r="J6105">
        <v>29.97</v>
      </c>
      <c r="K6105" s="4">
        <v>0</v>
      </c>
      <c r="L6105">
        <v>4.8</v>
      </c>
      <c r="M6105">
        <v>1850</v>
      </c>
      <c r="O6105" t="s">
        <v>25</v>
      </c>
      <c r="P6105" t="s">
        <v>562</v>
      </c>
      <c r="Q6105" t="s">
        <v>7056</v>
      </c>
    </row>
    <row r="6106" spans="1:17" ht="15.5" x14ac:dyDescent="0.35">
      <c r="A6106" s="3" t="str">
        <f>HYPERLINK("https://edmondsonsupply.com/collections/electricians-tools/products/crescent-tools-atwj2610vs-2-pc-wide-jaw-adjustable-wrench-set-6-10", "https://edmondsonsupply.com/collections/electricians-tools/products/crescent-tools-atwj2610vs-2-pc-wide-jaw-adjustable-wrench-set-6-10")</f>
        <v>https://edmondsonsupply.com/collections/electricians-tools/products/crescent-tools-atwj2610vs-2-pc-wide-jaw-adjustable-wrench-set-6-10</v>
      </c>
      <c r="B6106" s="3" t="str">
        <f>HYPERLINK("https://edmondsonsupply.com/products/crescent-tools-atwj2610vs-2-pc-wide-jaw-adjustable-wrench-set-6-10", "https://edmondsonsupply.com/products/crescent-tools-atwj2610vs-2-pc-wide-jaw-adjustable-wrench-set-6-10")</f>
        <v>https://edmondsonsupply.com/products/crescent-tools-atwj2610vs-2-pc-wide-jaw-adjustable-wrench-set-6-10</v>
      </c>
      <c r="C6106" t="s">
        <v>8164</v>
      </c>
      <c r="D6106" t="s">
        <v>8165</v>
      </c>
      <c r="E6106" s="3" t="str">
        <f>HYPERLINK("https://www.amazon.com/Crescent-ATWJ2610VS-10-Adjustable-Wrench/dp/B07NVHYKF1/ref=sr_1_1?keywords=Crescent+Tools+ATWJ2610VS+2+Pc.+Wide+Jaw+Adjustable+Wrench+Set+6%22+%26+10%22&amp;qid=1695174031&amp;sr=8-1", "https://www.amazon.com/Crescent-ATWJ2610VS-10-Adjustable-Wrench/dp/B07NVHYKF1/ref=sr_1_1?keywords=Crescent+Tools+ATWJ2610VS+2+Pc.+Wide+Jaw+Adjustable+Wrench+Set+6%22+%26+10%22&amp;qid=1695174031&amp;sr=8-1")</f>
        <v>https://www.amazon.com/Crescent-ATWJ2610VS-10-Adjustable-Wrench/dp/B07NVHYKF1/ref=sr_1_1?keywords=Crescent+Tools+ATWJ2610VS+2+Pc.+Wide+Jaw+Adjustable+Wrench+Set+6%22+%26+10%22&amp;qid=1695174031&amp;sr=8-1</v>
      </c>
      <c r="F6106" t="s">
        <v>8166</v>
      </c>
      <c r="G6106" t="e">
        <f ca="1">_xludf.IMAGE("https://edmondsonsupply.com/cdn/shop/products/CRS_ATWJ2610VS_MAIN.jpg?v=1680013457")</f>
        <v>#NAME?</v>
      </c>
      <c r="H6106" t="e">
        <f ca="1">_xludf.IMAGE("https://m.media-amazon.com/images/I/61hbSdqZptL._AC_UL320_.jpg")</f>
        <v>#NAME?</v>
      </c>
      <c r="I6106" t="s">
        <v>571</v>
      </c>
      <c r="J6106">
        <v>34.99</v>
      </c>
      <c r="K6106" s="4">
        <v>0</v>
      </c>
      <c r="L6106">
        <v>4.8</v>
      </c>
      <c r="M6106">
        <v>831</v>
      </c>
      <c r="O6106" t="s">
        <v>25</v>
      </c>
      <c r="P6106" t="s">
        <v>2529</v>
      </c>
      <c r="Q6106" t="s">
        <v>8167</v>
      </c>
    </row>
    <row r="6107" spans="1:17" ht="15.5" x14ac:dyDescent="0.35">
      <c r="A6107" s="3" t="str">
        <f>HYPERLINK("https://edmondsonsupply.com/collections/electricians-tools/products/klein-tools-60537-professional-safety-glasses-full-frame-indoor-outdoor-lens", "https://edmondsonsupply.com/collections/electricians-tools/products/klein-tools-60537-professional-safety-glasses-full-frame-indoor-outdoor-lens")</f>
        <v>https://edmondsonsupply.com/collections/electricians-tools/products/klein-tools-60537-professional-safety-glasses-full-frame-indoor-outdoor-lens</v>
      </c>
      <c r="B6107" s="3" t="str">
        <f>HYPERLINK("https://edmondsonsupply.com/products/klein-tools-60537-professional-safety-glasses-full-frame-indoor-outdoor-lens", "https://edmondsonsupply.com/products/klein-tools-60537-professional-safety-glasses-full-frame-indoor-outdoor-lens")</f>
        <v>https://edmondsonsupply.com/products/klein-tools-60537-professional-safety-glasses-full-frame-indoor-outdoor-lens</v>
      </c>
      <c r="C6107" t="s">
        <v>896</v>
      </c>
      <c r="D6107" t="s">
        <v>958</v>
      </c>
      <c r="E6107" s="3" t="str">
        <f>HYPERLINK("https://www.amazon.com/Klein-60164-Professional-Protective-Resistant/dp/B08B4BNSHM/ref=sr_1_9?keywords=Klein+Tools+60537+Professional+Safety+Glasses%2C+Full-Frame%2C+Indoor%2FOutdoor+Lens&amp;qid=1695174097&amp;sr=8-9", "https://www.amazon.com/Klein-60164-Professional-Protective-Resistant/dp/B08B4BNSHM/ref=sr_1_9?keywords=Klein+Tools+60537+Professional+Safety+Glasses%2C+Full-Frame%2C+Indoor%2FOutdoor+Lens&amp;qid=1695174097&amp;sr=8-9")</f>
        <v>https://www.amazon.com/Klein-60164-Professional-Protective-Resistant/dp/B08B4BNSHM/ref=sr_1_9?keywords=Klein+Tools+60537+Professional+Safety+Glasses%2C+Full-Frame%2C+Indoor%2FOutdoor+Lens&amp;qid=1695174097&amp;sr=8-9</v>
      </c>
      <c r="F6107" t="s">
        <v>959</v>
      </c>
      <c r="G6107" t="e">
        <f ca="1">_xludf.IMAGE("https://edmondsonsupply.com/cdn/shop/products/60537.jpg?v=1670947087")</f>
        <v>#NAME?</v>
      </c>
      <c r="H6107" t="e">
        <f ca="1">_xludf.IMAGE("https://m.media-amazon.com/images/I/41bNrH9NnFL._AC_UL320_.jpg")</f>
        <v>#NAME?</v>
      </c>
      <c r="I6107" t="s">
        <v>276</v>
      </c>
      <c r="J6107">
        <v>14.99</v>
      </c>
      <c r="K6107" s="4">
        <v>0</v>
      </c>
      <c r="L6107">
        <v>4.4000000000000004</v>
      </c>
      <c r="M6107">
        <v>463</v>
      </c>
      <c r="O6107" t="s">
        <v>25</v>
      </c>
      <c r="P6107" t="s">
        <v>277</v>
      </c>
      <c r="Q6107" t="s">
        <v>897</v>
      </c>
    </row>
    <row r="6108" spans="1:17" ht="15.5" x14ac:dyDescent="0.35">
      <c r="A6108" s="3" t="str">
        <f>HYPERLINK("https://edmondsonsupply.com/collections/electricians-tools/products/klein-5416tfr", "https://edmondsonsupply.com/collections/electricians-tools/products/klein-5416tfr")</f>
        <v>https://edmondsonsupply.com/collections/electricians-tools/products/klein-5416tfr</v>
      </c>
      <c r="B6108" s="3" t="str">
        <f>HYPERLINK("https://edmondsonsupply.com/products/klein-5416tfr", "https://edmondsonsupply.com/products/klein-5416tfr")</f>
        <v>https://edmondsonsupply.com/products/klein-5416tfr</v>
      </c>
      <c r="C6108" t="s">
        <v>5986</v>
      </c>
      <c r="D6108" t="s">
        <v>686</v>
      </c>
      <c r="E6108" s="3" t="str">
        <f>HYPERLINK("https://www.amazon.com/Resistant-Canvas-Klein-Tools-5416TFR/dp/B0116IFD6A/ref=sr_1_1?keywords=Klein+Tools+5416TFR+Tool+Bag%2C+Flame+Resistant+Bolt+Bag%2C+No.+4+Canvas%2C+5+x+10+x+9-Inch&amp;qid=1695173952&amp;sr=8-1", "https://www.amazon.com/Resistant-Canvas-Klein-Tools-5416TFR/dp/B0116IFD6A/ref=sr_1_1?keywords=Klein+Tools+5416TFR+Tool+Bag%2C+Flame+Resistant+Bolt+Bag%2C+No.+4+Canvas%2C+5+x+10+x+9-Inch&amp;qid=1695173952&amp;sr=8-1")</f>
        <v>https://www.amazon.com/Resistant-Canvas-Klein-Tools-5416TFR/dp/B0116IFD6A/ref=sr_1_1?keywords=Klein+Tools+5416TFR+Tool+Bag%2C+Flame+Resistant+Bolt+Bag%2C+No.+4+Canvas%2C+5+x+10+x+9-Inch&amp;qid=1695173952&amp;sr=8-1</v>
      </c>
      <c r="F6108" t="s">
        <v>687</v>
      </c>
      <c r="G6108" t="e">
        <f ca="1">_xludf.IMAGE("https://edmondsonsupply.com/cdn/shop/products/5416tfr.jpg?v=1587149359")</f>
        <v>#NAME?</v>
      </c>
      <c r="H6108" t="e">
        <f ca="1">_xludf.IMAGE("https://m.media-amazon.com/images/I/71-H03ahZOL._AC_UL320_.jpg")</f>
        <v>#NAME?</v>
      </c>
      <c r="I6108" t="s">
        <v>577</v>
      </c>
      <c r="J6108">
        <v>19.989999999999998</v>
      </c>
      <c r="K6108" s="4">
        <v>0</v>
      </c>
      <c r="L6108">
        <v>4.8</v>
      </c>
      <c r="M6108">
        <v>7387</v>
      </c>
      <c r="O6108" t="s">
        <v>25</v>
      </c>
      <c r="P6108" t="s">
        <v>5989</v>
      </c>
      <c r="Q6108" t="s">
        <v>5990</v>
      </c>
    </row>
    <row r="6109" spans="1:17" ht="15.5" x14ac:dyDescent="0.35">
      <c r="A6109" s="3" t="str">
        <f>HYPERLINK("https://edmondsonsupply.com/collections/electricians-tools/products/testo-0590-7501-750-1-digital-voltage-tester", "https://edmondsonsupply.com/collections/electricians-tools/products/testo-0590-7501-750-1-digital-voltage-tester")</f>
        <v>https://edmondsonsupply.com/collections/electricians-tools/products/testo-0590-7501-750-1-digital-voltage-tester</v>
      </c>
      <c r="B6109" s="3" t="str">
        <f>HYPERLINK("https://edmondsonsupply.com/products/testo-0590-7501-750-1-digital-voltage-tester", "https://edmondsonsupply.com/products/testo-0590-7501-750-1-digital-voltage-tester")</f>
        <v>https://edmondsonsupply.com/products/testo-0590-7501-750-1-digital-voltage-tester</v>
      </c>
      <c r="C6109" t="s">
        <v>4652</v>
      </c>
      <c r="D6109" t="s">
        <v>4653</v>
      </c>
      <c r="E6109" s="3" t="str">
        <f>HYPERLINK("https://www.amazon.com/Testo-750-1-Digital-Voltage-Rotation/dp/B01F3MPHKM/ref=sr_1_4?keywords=Testo+0590+7501+750-1+-+Digital+Voltage+Tester&amp;qid=1695173990&amp;sr=8-4", "https://www.amazon.com/Testo-750-1-Digital-Voltage-Rotation/dp/B01F3MPHKM/ref=sr_1_4?keywords=Testo+0590+7501+750-1+-+Digital+Voltage+Tester&amp;qid=1695173990&amp;sr=8-4")</f>
        <v>https://www.amazon.com/Testo-750-1-Digital-Voltage-Rotation/dp/B01F3MPHKM/ref=sr_1_4?keywords=Testo+0590+7501+750-1+-+Digital+Voltage+Tester&amp;qid=1695173990&amp;sr=8-4</v>
      </c>
      <c r="F6109" t="s">
        <v>4654</v>
      </c>
      <c r="G6109" t="e">
        <f ca="1">_xludf.IMAGE("https://edmondsonsupply.com/cdn/shop/files/testo-750-1-voltage-tester-free-front_master.jpg?v=1688221652")</f>
        <v>#NAME?</v>
      </c>
      <c r="H6109" t="e">
        <f ca="1">_xludf.IMAGE("https://m.media-amazon.com/images/I/81QThICNtIL._AC_UY218_.jpg")</f>
        <v>#NAME?</v>
      </c>
      <c r="I6109" t="s">
        <v>4655</v>
      </c>
      <c r="J6109">
        <v>62.05</v>
      </c>
      <c r="K6109" s="4">
        <v>0</v>
      </c>
      <c r="L6109">
        <v>4.8</v>
      </c>
      <c r="M6109">
        <v>50</v>
      </c>
      <c r="O6109" t="s">
        <v>25</v>
      </c>
      <c r="P6109" t="s">
        <v>4656</v>
      </c>
      <c r="Q6109" t="s">
        <v>4657</v>
      </c>
    </row>
    <row r="6110" spans="1:17" ht="15.5" x14ac:dyDescent="0.35">
      <c r="A6110" s="3" t="str">
        <f>HYPERLINK("https://edmondsonsupply.com/collections/electricians-tools/products/klein-tools-25950-step-bit-kit-spiral-double-fluted-vaco-4-piece", "https://edmondsonsupply.com/collections/electricians-tools/products/klein-tools-25950-step-bit-kit-spiral-double-fluted-vaco-4-piece")</f>
        <v>https://edmondsonsupply.com/collections/electricians-tools/products/klein-tools-25950-step-bit-kit-spiral-double-fluted-vaco-4-piece</v>
      </c>
      <c r="B6110" s="3" t="str">
        <f>HYPERLINK("https://edmondsonsupply.com/products/klein-tools-25950-step-bit-kit-spiral-double-fluted-vaco-4-piece", "https://edmondsonsupply.com/products/klein-tools-25950-step-bit-kit-spiral-double-fluted-vaco-4-piece")</f>
        <v>https://edmondsonsupply.com/products/klein-tools-25950-step-bit-kit-spiral-double-fluted-vaco-4-piece</v>
      </c>
      <c r="C6110" t="s">
        <v>8168</v>
      </c>
      <c r="D6110" t="s">
        <v>1979</v>
      </c>
      <c r="E6110" s="3" t="str">
        <f>HYPERLINK("https://www.amazon.com/Klein-Tools-25951-Electricians-Titanium/dp/B0BLFRJLDX/ref=sr_1_1?keywords=Klein+Tools+25950+Step+Bit+Kit%2C+Spiral+Double-Fluted%2C+VACO%2C+4-Piece&amp;qid=1695174107&amp;sr=8-1", "https://www.amazon.com/Klein-Tools-25951-Electricians-Titanium/dp/B0BLFRJLDX/ref=sr_1_1?keywords=Klein+Tools+25950+Step+Bit+Kit%2C+Spiral+Double-Fluted%2C+VACO%2C+4-Piece&amp;qid=1695174107&amp;sr=8-1")</f>
        <v>https://www.amazon.com/Klein-Tools-25951-Electricians-Titanium/dp/B0BLFRJLDX/ref=sr_1_1?keywords=Klein+Tools+25950+Step+Bit+Kit%2C+Spiral+Double-Fluted%2C+VACO%2C+4-Piece&amp;qid=1695174107&amp;sr=8-1</v>
      </c>
      <c r="F6110" t="s">
        <v>1980</v>
      </c>
      <c r="G6110" t="e">
        <f ca="1">_xludf.IMAGE("https://edmondsonsupply.com/cdn/shop/products/25950_b.jpg?v=1670518985")</f>
        <v>#NAME?</v>
      </c>
      <c r="H6110" t="e">
        <f ca="1">_xludf.IMAGE("https://m.media-amazon.com/images/I/61dZd3WvlgL._AC_UY218_.jpg")</f>
        <v>#NAME?</v>
      </c>
      <c r="I6110" t="s">
        <v>2224</v>
      </c>
      <c r="J6110">
        <v>99.99</v>
      </c>
      <c r="K6110" s="4">
        <v>0</v>
      </c>
      <c r="L6110">
        <v>3.8</v>
      </c>
      <c r="M6110">
        <v>6</v>
      </c>
      <c r="O6110" t="s">
        <v>25</v>
      </c>
      <c r="P6110" t="s">
        <v>2225</v>
      </c>
      <c r="Q6110" t="s">
        <v>8169</v>
      </c>
    </row>
    <row r="6111" spans="1:17" ht="15.5" x14ac:dyDescent="0.35">
      <c r="A6111" s="3" t="str">
        <f>HYPERLINK("https://edmondsonsupply.com/collections/electricians-tools/products/channellock-428", "https://edmondsonsupply.com/collections/electricians-tools/products/channellock-428")</f>
        <v>https://edmondsonsupply.com/collections/electricians-tools/products/channellock-428</v>
      </c>
      <c r="B6111" s="3" t="str">
        <f>HYPERLINK("https://edmondsonsupply.com/products/channellock-428", "https://edmondsonsupply.com/products/channellock-428")</f>
        <v>https://edmondsonsupply.com/products/channellock-428</v>
      </c>
      <c r="C6111" t="s">
        <v>1791</v>
      </c>
      <c r="D6111" t="s">
        <v>4465</v>
      </c>
      <c r="E6111" s="3" t="str">
        <f>HYPERLINK("https://www.amazon.com/CHANNELLOCK-428-Adjustments-SAFE-T-STOP-High-Carbon/dp/B00004SBCT/ref=sr_1_1?keywords=Channellock+428+8-Inch+Straight+Jaw+Tongue+%26+Groove+Pliers&amp;qid=1695173963&amp;sr=8-1", "https://www.amazon.com/CHANNELLOCK-428-Adjustments-SAFE-T-STOP-High-Carbon/dp/B00004SBCT/ref=sr_1_1?keywords=Channellock+428+8-Inch+Straight+Jaw+Tongue+%26+Groove+Pliers&amp;qid=1695173963&amp;sr=8-1")</f>
        <v>https://www.amazon.com/CHANNELLOCK-428-Adjustments-SAFE-T-STOP-High-Carbon/dp/B00004SBCT/ref=sr_1_1?keywords=Channellock+428+8-Inch+Straight+Jaw+Tongue+%26+Groove+Pliers&amp;qid=1695173963&amp;sr=8-1</v>
      </c>
      <c r="F6111" t="s">
        <v>4466</v>
      </c>
      <c r="G6111" t="e">
        <f ca="1">_xludf.IMAGE("https://edmondsonsupply.com/cdn/shop/products/428-683x1024.jpg?v=1587145854")</f>
        <v>#NAME?</v>
      </c>
      <c r="H6111" t="e">
        <f ca="1">_xludf.IMAGE("https://m.media-amazon.com/images/I/71PJMchXHJL._AC_UL320_.jpg")</f>
        <v>#NAME?</v>
      </c>
      <c r="I6111" t="s">
        <v>1554</v>
      </c>
      <c r="J6111">
        <v>16.95</v>
      </c>
      <c r="K6111" s="4">
        <v>0</v>
      </c>
      <c r="L6111">
        <v>4.7</v>
      </c>
      <c r="M6111">
        <v>239</v>
      </c>
      <c r="O6111" t="s">
        <v>25</v>
      </c>
      <c r="P6111" t="s">
        <v>1794</v>
      </c>
      <c r="Q6111" t="s">
        <v>1795</v>
      </c>
    </row>
    <row r="6112" spans="1:17" ht="15.5" x14ac:dyDescent="0.35">
      <c r="A6112" s="3" t="str">
        <f>HYPERLINK("https://edmondsonsupply.com/collections/electricians-tools/products/tajima-dfc670n-r1-rock-hard-fin%E2%84%A2-utility-knife-auto-lock", "https://edmondsonsupply.com/collections/electricians-tools/products/tajima-dfc670n-r1-rock-hard-fin%E2%84%A2-utility-knife-auto-lock")</f>
        <v>https://edmondsonsupply.com/collections/electricians-tools/products/tajima-dfc670n-r1-rock-hard-fin%E2%84%A2-utility-knife-auto-lock</v>
      </c>
      <c r="B6112" s="3" t="str">
        <f>HYPERLINK("https://edmondsonsupply.com/products/tajima-dfc670n-r1-rock-hard-fin%e2%84%a2-utility-knife-auto-lock", "https://edmondsonsupply.com/products/tajima-dfc670n-r1-rock-hard-fin%e2%84%a2-utility-knife-auto-lock")</f>
        <v>https://edmondsonsupply.com/products/tajima-dfc670n-r1-rock-hard-fin%e2%84%a2-utility-knife-auto-lock</v>
      </c>
      <c r="C6112" t="s">
        <v>4461</v>
      </c>
      <c r="D6112" t="s">
        <v>4462</v>
      </c>
      <c r="E6112" s="3" t="str">
        <f>HYPERLINK("https://www.amazon.com/TAJIMA-Utility-Knife-DFC670N-R1-Auto-Lock/dp/B07W8SQ6NW/ref=sr_1_1?keywords=Tajima+DFC670N-R1+Rock+Hard+FIN%E2%84%A2+Utility+Knife%2C+Auto+Lock&amp;qid=1695173962&amp;sr=8-1", "https://www.amazon.com/TAJIMA-Utility-Knife-DFC670N-R1-Auto-Lock/dp/B07W8SQ6NW/ref=sr_1_1?keywords=Tajima+DFC670N-R1+Rock+Hard+FIN%E2%84%A2+Utility+Knife%2C+Auto+Lock&amp;qid=1695173962&amp;sr=8-1")</f>
        <v>https://www.amazon.com/TAJIMA-Utility-Knife-DFC670N-R1-Auto-Lock/dp/B07W8SQ6NW/ref=sr_1_1?keywords=Tajima+DFC670N-R1+Rock+Hard+FIN%E2%84%A2+Utility+Knife%2C+Auto+Lock&amp;qid=1695173962&amp;sr=8-1</v>
      </c>
      <c r="F6112" t="s">
        <v>4463</v>
      </c>
      <c r="G6112" t="e">
        <f ca="1">_xludf.IMAGE("https://edmondsonsupply.com/cdn/shop/files/DFC670N-R1-2.jpg?v=1693509419")</f>
        <v>#NAME?</v>
      </c>
      <c r="H6112" t="e">
        <f ca="1">_xludf.IMAGE("https://m.media-amazon.com/images/I/51udy51xLdL._AC_UL320_.jpg")</f>
        <v>#NAME?</v>
      </c>
      <c r="I6112" t="s">
        <v>3591</v>
      </c>
      <c r="J6112">
        <v>15.28</v>
      </c>
      <c r="K6112" s="4">
        <v>0</v>
      </c>
      <c r="L6112">
        <v>4.5999999999999996</v>
      </c>
      <c r="M6112">
        <v>29</v>
      </c>
      <c r="O6112" t="s">
        <v>25</v>
      </c>
      <c r="P6112" t="s">
        <v>138</v>
      </c>
      <c r="Q6112" t="s">
        <v>4464</v>
      </c>
    </row>
    <row r="6113" spans="1:17" ht="15.5" x14ac:dyDescent="0.35">
      <c r="A6113" s="3" t="str">
        <f>HYPERLINK("https://edmondsonsupply.com/collections/electricians-tools/products/klein-tools-60491-heavy-duty-hinged-knee-pads", "https://edmondsonsupply.com/collections/electricians-tools/products/klein-tools-60491-heavy-duty-hinged-knee-pads")</f>
        <v>https://edmondsonsupply.com/collections/electricians-tools/products/klein-tools-60491-heavy-duty-hinged-knee-pads</v>
      </c>
      <c r="B6113" s="3" t="str">
        <f>HYPERLINK("https://edmondsonsupply.com/products/klein-tools-60491-heavy-duty-hinged-knee-pads", "https://edmondsonsupply.com/products/klein-tools-60491-heavy-duty-hinged-knee-pads")</f>
        <v>https://edmondsonsupply.com/products/klein-tools-60491-heavy-duty-hinged-knee-pads</v>
      </c>
      <c r="C6113" t="s">
        <v>1113</v>
      </c>
      <c r="D6113" t="s">
        <v>909</v>
      </c>
      <c r="E6113" s="3" t="str">
        <f>HYPERLINK("https://www.amazon.com/Klein-Tools-60491-Protective-Quick-Fasten/dp/B0BHXBMBHP/ref=sr_1_1?keywords=Klein+Tools+60491+Heavy+Duty+Hinged+Knee+Pads&amp;qid=1695174128&amp;sr=8-1", "https://www.amazon.com/Klein-Tools-60491-Protective-Quick-Fasten/dp/B0BHXBMBHP/ref=sr_1_1?keywords=Klein+Tools+60491+Heavy+Duty+Hinged+Knee+Pads&amp;qid=1695174128&amp;sr=8-1")</f>
        <v>https://www.amazon.com/Klein-Tools-60491-Protective-Quick-Fasten/dp/B0BHXBMBHP/ref=sr_1_1?keywords=Klein+Tools+60491+Heavy+Duty+Hinged+Knee+Pads&amp;qid=1695174128&amp;sr=8-1</v>
      </c>
      <c r="F6113" t="s">
        <v>910</v>
      </c>
      <c r="G6113" t="e">
        <f ca="1">_xludf.IMAGE("https://edmondsonsupply.com/cdn/shop/products/60491.jpg?v=1667324200")</f>
        <v>#NAME?</v>
      </c>
      <c r="H6113" t="e">
        <f ca="1">_xludf.IMAGE("https://m.media-amazon.com/images/I/718i4PDcjnL._AC_UL320_.jpg")</f>
        <v>#NAME?</v>
      </c>
      <c r="I6113" t="s">
        <v>380</v>
      </c>
      <c r="J6113">
        <v>49.97</v>
      </c>
      <c r="K6113" s="4">
        <v>0</v>
      </c>
      <c r="L6113">
        <v>4.4000000000000004</v>
      </c>
      <c r="M6113">
        <v>289</v>
      </c>
      <c r="O6113" t="s">
        <v>25</v>
      </c>
      <c r="P6113" t="s">
        <v>1114</v>
      </c>
      <c r="Q6113" t="s">
        <v>1115</v>
      </c>
    </row>
    <row r="6114" spans="1:17" ht="15.5" x14ac:dyDescent="0.35">
      <c r="A6114" s="3" t="str">
        <f>HYPERLINK("https://edmondsonsupply.com/collections/electricians-tools/products/klein-tools-5539lyel-canvas-bag-with-zipper-large-yellow", "https://edmondsonsupply.com/collections/electricians-tools/products/klein-tools-5539lyel-canvas-bag-with-zipper-large-yellow")</f>
        <v>https://edmondsonsupply.com/collections/electricians-tools/products/klein-tools-5539lyel-canvas-bag-with-zipper-large-yellow</v>
      </c>
      <c r="B6114" s="3" t="str">
        <f>HYPERLINK("https://edmondsonsupply.com/products/klein-tools-5539lyel-canvas-bag-with-zipper-large-yellow", "https://edmondsonsupply.com/products/klein-tools-5539lyel-canvas-bag-with-zipper-large-yellow")</f>
        <v>https://edmondsonsupply.com/products/klein-tools-5539lyel-canvas-bag-with-zipper-large-yellow</v>
      </c>
      <c r="C6114" t="s">
        <v>574</v>
      </c>
      <c r="D6114" t="s">
        <v>575</v>
      </c>
      <c r="E6114" s="3" t="str">
        <f>HYPERLINK("https://www.amazon.com/Klein-Tools-5539LYEL-16-Inch-Organizer/dp/B07RDSFV7H/ref=sr_1_1?keywords=Klein+Tools+5539LYEL+Zipper+Bag%2C+Large+Canvas+Tool+Pouch%2C+18-Inch%2C+Yellow&amp;qid=1695173959&amp;sr=8-1", "https://www.amazon.com/Klein-Tools-5539LYEL-16-Inch-Organizer/dp/B07RDSFV7H/ref=sr_1_1?keywords=Klein+Tools+5539LYEL+Zipper+Bag%2C+Large+Canvas+Tool+Pouch%2C+18-Inch%2C+Yellow&amp;qid=1695173959&amp;sr=8-1")</f>
        <v>https://www.amazon.com/Klein-Tools-5539LYEL-16-Inch-Organizer/dp/B07RDSFV7H/ref=sr_1_1?keywords=Klein+Tools+5539LYEL+Zipper+Bag%2C+Large+Canvas+Tool+Pouch%2C+18-Inch%2C+Yellow&amp;qid=1695173959&amp;sr=8-1</v>
      </c>
      <c r="F6114" t="s">
        <v>576</v>
      </c>
      <c r="G6114" t="e">
        <f ca="1">_xludf.IMAGE("https://edmondsonsupply.com/cdn/shop/products/5539lyel.jpg?v=1587143705")</f>
        <v>#NAME?</v>
      </c>
      <c r="H6114" t="e">
        <f ca="1">_xludf.IMAGE("https://m.media-amazon.com/images/I/51WhSCLJ4EL._AC_UL320_.jpg")</f>
        <v>#NAME?</v>
      </c>
      <c r="I6114" t="s">
        <v>577</v>
      </c>
      <c r="J6114">
        <v>19.989999999999998</v>
      </c>
      <c r="K6114" s="4">
        <v>0</v>
      </c>
      <c r="L6114">
        <v>4.7</v>
      </c>
      <c r="M6114">
        <v>597</v>
      </c>
      <c r="O6114" t="s">
        <v>25</v>
      </c>
      <c r="P6114" t="s">
        <v>578</v>
      </c>
      <c r="Q6114" t="s">
        <v>579</v>
      </c>
    </row>
    <row r="6115" spans="1:17" ht="15.5" x14ac:dyDescent="0.35">
      <c r="A6115"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6115"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6115" t="s">
        <v>8170</v>
      </c>
      <c r="D6115" t="s">
        <v>4244</v>
      </c>
      <c r="E6115" s="3" t="str">
        <f>HYPERLINK("https://www.amazon.com/Klein-Tools-J248-8-Diagonal-Cutters-Angled/dp/B000CRY52A/ref=sr_1_2?keywords=Klein+Tools+2288RINS+Diagonal+Cutting+Pliers%2C+Insulated%2C+High+Leverage%2C+8-Inch&amp;qid=1695174127&amp;sr=8-2", "https://www.amazon.com/Klein-Tools-J248-8-Diagonal-Cutters-Angled/dp/B000CRY52A/ref=sr_1_2?keywords=Klein+Tools+2288RINS+Diagonal+Cutting+Pliers%2C+Insulated%2C+High+Leverage%2C+8-Inch&amp;qid=1695174127&amp;sr=8-2")</f>
        <v>https://www.amazon.com/Klein-Tools-J248-8-Diagonal-Cutters-Angled/dp/B000CRY52A/ref=sr_1_2?keywords=Klein+Tools+2288RINS+Diagonal+Cutting+Pliers%2C+Insulated%2C+High+Leverage%2C+8-Inch&amp;qid=1695174127&amp;sr=8-2</v>
      </c>
      <c r="F6115" t="s">
        <v>4245</v>
      </c>
      <c r="G6115" t="e">
        <f ca="1">_xludf.IMAGE("https://edmondsonsupply.com/cdn/shop/products/2288rins.jpg?v=1667238570")</f>
        <v>#NAME?</v>
      </c>
      <c r="H6115" t="e">
        <f ca="1">_xludf.IMAGE("https://m.media-amazon.com/images/I/51AWyzskD+L._AC_UL320_.jpg")</f>
        <v>#NAME?</v>
      </c>
      <c r="I6115" t="s">
        <v>246</v>
      </c>
      <c r="J6115">
        <v>39.97</v>
      </c>
      <c r="K6115" s="4">
        <v>0</v>
      </c>
      <c r="L6115">
        <v>4.9000000000000004</v>
      </c>
      <c r="M6115">
        <v>490</v>
      </c>
      <c r="O6115" t="s">
        <v>25</v>
      </c>
      <c r="P6115" t="s">
        <v>1027</v>
      </c>
      <c r="Q6115" t="s">
        <v>8171</v>
      </c>
    </row>
    <row r="6116" spans="1:17" ht="15.5" x14ac:dyDescent="0.35">
      <c r="A6116" s="3" t="str">
        <f>HYPERLINK("https://edmondsonsupply.com/collections/electricians-tools/products/wiha-tools-70486-6-piece-color-coded-magnetic-nut-setter-sae-set", "https://edmondsonsupply.com/collections/electricians-tools/products/wiha-tools-70486-6-piece-color-coded-magnetic-nut-setter-sae-set")</f>
        <v>https://edmondsonsupply.com/collections/electricians-tools/products/wiha-tools-70486-6-piece-color-coded-magnetic-nut-setter-sae-set</v>
      </c>
      <c r="B6116"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6116" t="s">
        <v>1625</v>
      </c>
      <c r="D6116" t="s">
        <v>4552</v>
      </c>
      <c r="E6116" s="3" t="str">
        <f>HYPERLINK("https://www.amazon.com/Wiha-70487-Magnetic-Setter-Metric/dp/B0BJYV5CKN/ref=sr_1_3?keywords=Wiha+Tools+70486+6+Piece+Color+Coded+Magnetic+Nut+Setter+SAE+Set&amp;qid=1695173976&amp;sr=8-3", "https://www.amazon.com/Wiha-70487-Magnetic-Setter-Metric/dp/B0BJYV5CKN/ref=sr_1_3?keywords=Wiha+Tools+70486+6+Piece+Color+Coded+Magnetic+Nut+Setter+SAE+Set&amp;qid=1695173976&amp;sr=8-3")</f>
        <v>https://www.amazon.com/Wiha-70487-Magnetic-Setter-Metric/dp/B0BJYV5CKN/ref=sr_1_3?keywords=Wiha+Tools+70486+6+Piece+Color+Coded+Magnetic+Nut+Setter+SAE+Set&amp;qid=1695173976&amp;sr=8-3</v>
      </c>
      <c r="F6116" t="s">
        <v>4553</v>
      </c>
      <c r="G6116" t="e">
        <f ca="1">_xludf.IMAGE("https://edmondsonsupply.com/cdn/shop/files/yd5nbnqyuwli1mnwhztl_1000x_327efac2-5e06-44b8-a018-f96fc21e85ad.webp?v=1690908507")</f>
        <v>#NAME?</v>
      </c>
      <c r="H6116" t="e">
        <f ca="1">_xludf.IMAGE("https://m.media-amazon.com/images/I/71ukMY3HPtL._AC_UL320_.jpg")</f>
        <v>#NAME?</v>
      </c>
      <c r="I6116" t="s">
        <v>1628</v>
      </c>
      <c r="J6116">
        <v>39.979999999999997</v>
      </c>
      <c r="K6116" s="4">
        <v>0</v>
      </c>
      <c r="L6116">
        <v>4.5999999999999996</v>
      </c>
      <c r="M6116">
        <v>143</v>
      </c>
      <c r="O6116" t="s">
        <v>25</v>
      </c>
      <c r="P6116" t="s">
        <v>1629</v>
      </c>
      <c r="Q6116" t="s">
        <v>1630</v>
      </c>
    </row>
    <row r="6117" spans="1:17" ht="15.5" x14ac:dyDescent="0.35">
      <c r="A6117"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6117" s="3" t="str">
        <f>HYPERLINK("https://edmondsonsupply.com/products/klein-tools-60615-heavy-duty-knee-pad-sleeves-s-m", "https://edmondsonsupply.com/products/klein-tools-60615-heavy-duty-knee-pad-sleeves-s-m")</f>
        <v>https://edmondsonsupply.com/products/klein-tools-60615-heavy-duty-knee-pad-sleeves-s-m</v>
      </c>
      <c r="C6117" t="s">
        <v>1029</v>
      </c>
      <c r="D6117" t="s">
        <v>891</v>
      </c>
      <c r="E6117" s="3" t="str">
        <f>HYPERLINK("https://www.amazon.com/Klein-Tools-60615-Breathable-Slip-Resistant/dp/B0BWB8VW7J/ref=sr_1_1?keywords=Klein+Tools+60615+Heavy+Duty+Knee+Pad+Sleeves%2C+S%2FM&amp;qid=1695174031&amp;sr=8-1", "https://www.amazon.com/Klein-Tools-60615-Breathable-Slip-Resistant/dp/B0BWB8VW7J/ref=sr_1_1?keywords=Klein+Tools+60615+Heavy+Duty+Knee+Pad+Sleeves%2C+S%2FM&amp;qid=1695174031&amp;sr=8-1")</f>
        <v>https://www.amazon.com/Klein-Tools-60615-Breathable-Slip-Resistant/dp/B0BWB8VW7J/ref=sr_1_1?keywords=Klein+Tools+60615+Heavy+Duty+Knee+Pad+Sleeves%2C+S%2FM&amp;qid=1695174031&amp;sr=8-1</v>
      </c>
      <c r="F6117" t="s">
        <v>892</v>
      </c>
      <c r="G6117" t="e">
        <f ca="1">_xludf.IMAGE("https://edmondsonsupply.com/cdn/shop/products/60511_60611_b_f68c12ff-69e9-4ee5-9cc0-02cf7484e091.jpg?v=1681743847")</f>
        <v>#NAME?</v>
      </c>
      <c r="H6117" t="e">
        <f ca="1">_xludf.IMAGE("https://m.media-amazon.com/images/I/61FKkSJ3xeL._AC_UL320_.jpg")</f>
        <v>#NAME?</v>
      </c>
      <c r="I6117" t="s">
        <v>198</v>
      </c>
      <c r="J6117">
        <v>39.99</v>
      </c>
      <c r="K6117" s="4">
        <v>0</v>
      </c>
      <c r="L6117">
        <v>4</v>
      </c>
      <c r="M6117">
        <v>18</v>
      </c>
      <c r="O6117" t="s">
        <v>25</v>
      </c>
      <c r="P6117" t="s">
        <v>1027</v>
      </c>
      <c r="Q6117" t="s">
        <v>1030</v>
      </c>
    </row>
    <row r="6118" spans="1:17" ht="15.5" x14ac:dyDescent="0.35">
      <c r="A6118"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6118"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6118" t="s">
        <v>6231</v>
      </c>
      <c r="D6118" t="s">
        <v>4791</v>
      </c>
      <c r="E6118" s="3" t="str">
        <f>HYPERLINK("https://www.amazon.com/Klein-Tools-NCVT1PKIT-Electrical-Non-Contact/dp/B0BS5SCNJ1/ref=sr_1_1?keywords=Klein+Tools+NCVT1PKIT+Non-Contact+Voltage+and+GFCI+Receptacle+Test+Kit&amp;qid=1695174067&amp;sr=8-1", "https://www.amazon.com/Klein-Tools-NCVT1PKIT-Electrical-Non-Contact/dp/B0BS5SCNJ1/ref=sr_1_1?keywords=Klein+Tools+NCVT1PKIT+Non-Contact+Voltage+and+GFCI+Receptacle+Test+Kit&amp;qid=1695174067&amp;sr=8-1")</f>
        <v>https://www.amazon.com/Klein-Tools-NCVT1PKIT-Electrical-Non-Contact/dp/B0BS5SCNJ1/ref=sr_1_1?keywords=Klein+Tools+NCVT1PKIT+Non-Contact+Voltage+and+GFCI+Receptacle+Test+Kit&amp;qid=1695174067&amp;sr=8-1</v>
      </c>
      <c r="F6118" t="s">
        <v>4792</v>
      </c>
      <c r="G6118" t="e">
        <f ca="1">_xludf.IMAGE("https://edmondsonsupply.com/cdn/shop/products/ncvt1pkit.jpg?v=1677682920")</f>
        <v>#NAME?</v>
      </c>
      <c r="H6118" t="e">
        <f ca="1">_xludf.IMAGE("https://m.media-amazon.com/images/I/51CD2DGal7L._AC_UL320_.jpg")</f>
        <v>#NAME?</v>
      </c>
      <c r="I6118" t="s">
        <v>859</v>
      </c>
      <c r="J6118">
        <v>24.97</v>
      </c>
      <c r="K6118" s="4">
        <v>0</v>
      </c>
      <c r="L6118">
        <v>4.5</v>
      </c>
      <c r="M6118">
        <v>33</v>
      </c>
      <c r="O6118" t="s">
        <v>25</v>
      </c>
      <c r="P6118" t="s">
        <v>6234</v>
      </c>
      <c r="Q6118" t="s">
        <v>6235</v>
      </c>
    </row>
    <row r="6119" spans="1:17" ht="15.5" x14ac:dyDescent="0.35">
      <c r="A6119" s="3" t="str">
        <f>HYPERLINK("https://edmondsonsupply.com/collections/electricians-tools/products/klein-tools-29610-powerhub-1", "https://edmondsonsupply.com/collections/electricians-tools/products/klein-tools-29610-powerhub-1")</f>
        <v>https://edmondsonsupply.com/collections/electricians-tools/products/klein-tools-29610-powerhub-1</v>
      </c>
      <c r="B6119" s="3" t="str">
        <f>HYPERLINK("https://edmondsonsupply.com/products/klein-tools-29610-powerhub-1", "https://edmondsonsupply.com/products/klein-tools-29610-powerhub-1")</f>
        <v>https://edmondsonsupply.com/products/klein-tools-29610-powerhub-1</v>
      </c>
      <c r="C6119" t="s">
        <v>8172</v>
      </c>
      <c r="D6119" t="s">
        <v>8173</v>
      </c>
      <c r="E6119" s="3" t="str">
        <f>HYPERLINK("https://www.amazon.com/Klein-Tools-29610-Overcurrent-Protection/dp/B0BHTLTWCN/ref=sr_1_1?keywords=Klein+Tools+29610+PowerHub+1&amp;qid=1695174127&amp;sr=8-1", "https://www.amazon.com/Klein-Tools-29610-Overcurrent-Protection/dp/B0BHTLTWCN/ref=sr_1_1?keywords=Klein+Tools+29610+PowerHub+1&amp;qid=1695174127&amp;sr=8-1")</f>
        <v>https://www.amazon.com/Klein-Tools-29610-Overcurrent-Protection/dp/B0BHTLTWCN/ref=sr_1_1?keywords=Klein+Tools+29610+PowerHub+1&amp;qid=1695174127&amp;sr=8-1</v>
      </c>
      <c r="F6119" t="s">
        <v>8174</v>
      </c>
      <c r="G6119" t="e">
        <f ca="1">_xludf.IMAGE("https://edmondsonsupply.com/cdn/shop/products/29610.jpg?v=1667309582")</f>
        <v>#NAME?</v>
      </c>
      <c r="H6119" t="e">
        <f ca="1">_xludf.IMAGE("https://m.media-amazon.com/images/I/514lsNwaPNL._AC_UL320_.jpg")</f>
        <v>#NAME?</v>
      </c>
      <c r="I6119" t="s">
        <v>4625</v>
      </c>
      <c r="J6119">
        <v>249.99</v>
      </c>
      <c r="K6119" s="4">
        <v>0</v>
      </c>
      <c r="L6119">
        <v>4.9000000000000004</v>
      </c>
      <c r="M6119">
        <v>751</v>
      </c>
      <c r="O6119" t="s">
        <v>25</v>
      </c>
      <c r="P6119" t="s">
        <v>8175</v>
      </c>
      <c r="Q6119" t="s">
        <v>8176</v>
      </c>
    </row>
    <row r="6120" spans="1:17" ht="15.5" x14ac:dyDescent="0.35">
      <c r="A6120" s="3" t="str">
        <f>HYPERLINK("https://edmondsonsupply.com/collections/electricians-tools/products/wiha-tools-70486-6-piece-color-coded-magnetic-nut-setter-sae-set", "https://edmondsonsupply.com/collections/electricians-tools/products/wiha-tools-70486-6-piece-color-coded-magnetic-nut-setter-sae-set")</f>
        <v>https://edmondsonsupply.com/collections/electricians-tools/products/wiha-tools-70486-6-piece-color-coded-magnetic-nut-setter-sae-set</v>
      </c>
      <c r="B6120" s="3" t="str">
        <f>HYPERLINK("https://edmondsonsupply.com/products/wiha-tools-70486-6-piece-color-coded-magnetic-nut-setter-sae-set", "https://edmondsonsupply.com/products/wiha-tools-70486-6-piece-color-coded-magnetic-nut-setter-sae-set")</f>
        <v>https://edmondsonsupply.com/products/wiha-tools-70486-6-piece-color-coded-magnetic-nut-setter-sae-set</v>
      </c>
      <c r="C6120" t="s">
        <v>1625</v>
      </c>
      <c r="D6120" t="s">
        <v>4556</v>
      </c>
      <c r="E6120" s="3" t="str">
        <f>HYPERLINK("https://www.amazon.com/Wiha-70486-Color-Coded-Setter/dp/B07MPK4Z4X/ref=sr_1_1?keywords=Wiha+Tools+70486+6+Piece+Color+Coded+Magnetic+Nut+Setter+SAE+Set&amp;qid=1695173976&amp;sr=8-1", "https://www.amazon.com/Wiha-70486-Color-Coded-Setter/dp/B07MPK4Z4X/ref=sr_1_1?keywords=Wiha+Tools+70486+6+Piece+Color+Coded+Magnetic+Nut+Setter+SAE+Set&amp;qid=1695173976&amp;sr=8-1")</f>
        <v>https://www.amazon.com/Wiha-70486-Color-Coded-Setter/dp/B07MPK4Z4X/ref=sr_1_1?keywords=Wiha+Tools+70486+6+Piece+Color+Coded+Magnetic+Nut+Setter+SAE+Set&amp;qid=1695173976&amp;sr=8-1</v>
      </c>
      <c r="F6120" t="s">
        <v>4557</v>
      </c>
      <c r="G6120" t="e">
        <f ca="1">_xludf.IMAGE("https://edmondsonsupply.com/cdn/shop/files/yd5nbnqyuwli1mnwhztl_1000x_327efac2-5e06-44b8-a018-f96fc21e85ad.webp?v=1690908507")</f>
        <v>#NAME?</v>
      </c>
      <c r="H6120" t="e">
        <f ca="1">_xludf.IMAGE("https://m.media-amazon.com/images/I/61s54c6bMYL._AC_UL320_.jpg")</f>
        <v>#NAME?</v>
      </c>
      <c r="I6120" t="s">
        <v>1628</v>
      </c>
      <c r="J6120">
        <v>39.979999999999997</v>
      </c>
      <c r="K6120" s="4">
        <v>0</v>
      </c>
      <c r="L6120">
        <v>4.7</v>
      </c>
      <c r="M6120">
        <v>2073</v>
      </c>
      <c r="O6120" t="s">
        <v>25</v>
      </c>
      <c r="P6120" t="s">
        <v>1629</v>
      </c>
      <c r="Q6120" t="s">
        <v>1630</v>
      </c>
    </row>
    <row r="6121" spans="1:17" ht="15.5" x14ac:dyDescent="0.35">
      <c r="A6121" s="3" t="str">
        <f>HYPERLINK("https://edmondsonsupply.com/collections/electricians-tools/products/klein-tools-85616-precision-screwdriver-set-torx%C2%AE-4-piece", "https://edmondsonsupply.com/collections/electricians-tools/products/klein-tools-85616-precision-screwdriver-set-torx%C2%AE-4-piece")</f>
        <v>https://edmondsonsupply.com/collections/electricians-tools/products/klein-tools-85616-precision-screwdriver-set-torx%C2%AE-4-piece</v>
      </c>
      <c r="B6121" s="3" t="str">
        <f>HYPERLINK("https://edmondsonsupply.com/products/klein-tools-85616-precision-screwdriver-set-torx%c2%ae-4-piece", "https://edmondsonsupply.com/products/klein-tools-85616-precision-screwdriver-set-torx%c2%ae-4-piece")</f>
        <v>https://edmondsonsupply.com/products/klein-tools-85616-precision-screwdriver-set-torx%c2%ae-4-piece</v>
      </c>
      <c r="C6121" t="s">
        <v>2012</v>
      </c>
      <c r="D6121" t="s">
        <v>4698</v>
      </c>
      <c r="E6121" s="3" t="str">
        <f>HYPERLINK("https://www.amazon.com/Klein-Tools-85615-Screwdriver-Electronics/dp/B0C1QBJGVD/ref=sr_1_2?keywords=Klein+Tools+85616+Precision+Screwdriver+Set%2C+TORX%C2%AE+4-Piece&amp;qid=1695173993&amp;sr=8-2", "https://www.amazon.com/Klein-Tools-85615-Screwdriver-Electronics/dp/B0C1QBJGVD/ref=sr_1_2?keywords=Klein+Tools+85616+Precision+Screwdriver+Set%2C+TORX%C2%AE+4-Piece&amp;qid=1695173993&amp;sr=8-2")</f>
        <v>https://www.amazon.com/Klein-Tools-85615-Screwdriver-Electronics/dp/B0C1QBJGVD/ref=sr_1_2?keywords=Klein+Tools+85616+Precision+Screwdriver+Set%2C+TORX%C2%AE+4-Piece&amp;qid=1695173993&amp;sr=8-2</v>
      </c>
      <c r="F6121" t="s">
        <v>4699</v>
      </c>
      <c r="G6121" t="e">
        <f ca="1">_xludf.IMAGE("https://edmondsonsupply.com/cdn/shop/files/85616_kit.jpg?v=1689873488")</f>
        <v>#NAME?</v>
      </c>
      <c r="H6121" t="e">
        <f ca="1">_xludf.IMAGE("https://m.media-amazon.com/images/I/51YOOIPbR9L._AC_UL320_.jpg")</f>
        <v>#NAME?</v>
      </c>
      <c r="I6121" t="s">
        <v>893</v>
      </c>
      <c r="J6121">
        <v>19.97</v>
      </c>
      <c r="K6121" s="4">
        <v>0</v>
      </c>
      <c r="L6121">
        <v>4.5999999999999996</v>
      </c>
      <c r="M6121">
        <v>13</v>
      </c>
      <c r="O6121" t="s">
        <v>25</v>
      </c>
      <c r="P6121" t="s">
        <v>894</v>
      </c>
      <c r="Q6121" t="s">
        <v>2015</v>
      </c>
    </row>
    <row r="6122" spans="1:17" ht="15.5" x14ac:dyDescent="0.35">
      <c r="A6122"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6122"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6122" t="s">
        <v>1848</v>
      </c>
      <c r="D6122" t="s">
        <v>956</v>
      </c>
      <c r="E6122" s="3" t="str">
        <f>HYPERLINK("https://www.amazon.com/Klein-60163-Professional-Protective-Resistant/dp/B08B48CZ5V/ref=sr_1_5?keywords=Klein+Tools+60164+Professional+Safety+Glasses%2C+Full+Frame%2C+Gray+Lens&amp;qid=1695173933&amp;sr=8-5", "https://www.amazon.com/Klein-60163-Professional-Protective-Resistant/dp/B08B48CZ5V/ref=sr_1_5?keywords=Klein+Tools+60164+Professional+Safety+Glasses%2C+Full+Frame%2C+Gray+Lens&amp;qid=1695173933&amp;sr=8-5")</f>
        <v>https://www.amazon.com/Klein-60163-Professional-Protective-Resistant/dp/B08B48CZ5V/ref=sr_1_5?keywords=Klein+Tools+60164+Professional+Safety+Glasses%2C+Full+Frame%2C+Gray+Lens&amp;qid=1695173933&amp;sr=8-5</v>
      </c>
      <c r="F6122" t="s">
        <v>957</v>
      </c>
      <c r="G6122" t="e">
        <f ca="1">_xludf.IMAGE("https://edmondsonsupply.com/cdn/shop/products/60164.jpg?v=1633030851")</f>
        <v>#NAME?</v>
      </c>
      <c r="H6122" t="e">
        <f ca="1">_xludf.IMAGE("https://m.media-amazon.com/images/I/41IY8K6EFLL._AC_UL320_.jpg")</f>
        <v>#NAME?</v>
      </c>
      <c r="I6122" t="s">
        <v>276</v>
      </c>
      <c r="J6122">
        <v>14.99</v>
      </c>
      <c r="K6122" s="4">
        <v>0</v>
      </c>
      <c r="L6122">
        <v>4.4000000000000004</v>
      </c>
      <c r="M6122">
        <v>198</v>
      </c>
      <c r="O6122" t="s">
        <v>25</v>
      </c>
      <c r="P6122" t="s">
        <v>277</v>
      </c>
      <c r="Q6122" t="s">
        <v>1849</v>
      </c>
    </row>
    <row r="6123" spans="1:17" ht="15.5" x14ac:dyDescent="0.35">
      <c r="A6123" s="3" t="str">
        <f>HYPERLINK("https://edmondsonsupply.com/collections/electricians-tools/products/klein-tools-ti270-rechargeable-thermal-imager-with-wi-fi", "https://edmondsonsupply.com/collections/electricians-tools/products/klein-tools-ti270-rechargeable-thermal-imager-with-wi-fi")</f>
        <v>https://edmondsonsupply.com/collections/electricians-tools/products/klein-tools-ti270-rechargeable-thermal-imager-with-wi-fi</v>
      </c>
      <c r="B6123" s="3" t="str">
        <f>HYPERLINK("https://edmondsonsupply.com/products/klein-tools-ti270-rechargeable-thermal-imager-with-wi-fi", "https://edmondsonsupply.com/products/klein-tools-ti270-rechargeable-thermal-imager-with-wi-fi")</f>
        <v>https://edmondsonsupply.com/products/klein-tools-ti270-rechargeable-thermal-imager-with-wi-fi</v>
      </c>
      <c r="C6123" t="s">
        <v>4632</v>
      </c>
      <c r="D6123" t="s">
        <v>4633</v>
      </c>
      <c r="E6123" s="3" t="str">
        <f>HYPERLINK("https://www.amazon.com/Klein-Tools-Rechargeable-Transfer-Temperature/dp/B0C6J4B145/ref=sr_1_1?keywords=Klein+Tools+TI270+Rechargeable+Thermal+Imager+with+Wi-Fi&amp;qid=1695173994&amp;sr=8-1", "https://www.amazon.com/Klein-Tools-Rechargeable-Transfer-Temperature/dp/B0C6J4B145/ref=sr_1_1?keywords=Klein+Tools+TI270+Rechargeable+Thermal+Imager+with+Wi-Fi&amp;qid=1695173994&amp;sr=8-1")</f>
        <v>https://www.amazon.com/Klein-Tools-Rechargeable-Transfer-Temperature/dp/B0C6J4B145/ref=sr_1_1?keywords=Klein+Tools+TI270+Rechargeable+Thermal+Imager+with+Wi-Fi&amp;qid=1695173994&amp;sr=8-1</v>
      </c>
      <c r="F6123" t="s">
        <v>4634</v>
      </c>
      <c r="G6123" t="e">
        <f ca="1">_xludf.IMAGE("https://edmondsonsupply.com/cdn/shop/files/ti270.jpg?v=1689789798")</f>
        <v>#NAME?</v>
      </c>
      <c r="H6123" t="e">
        <f ca="1">_xludf.IMAGE("https://m.media-amazon.com/images/I/61Pcwgb0gDL._AC_UY218_.jpg")</f>
        <v>#NAME?</v>
      </c>
      <c r="I6123" t="s">
        <v>42</v>
      </c>
      <c r="J6123">
        <v>399.99</v>
      </c>
      <c r="K6123" s="4">
        <v>0</v>
      </c>
      <c r="L6123">
        <v>4.5</v>
      </c>
      <c r="M6123">
        <v>778</v>
      </c>
      <c r="O6123" t="s">
        <v>25</v>
      </c>
      <c r="P6123" t="s">
        <v>4635</v>
      </c>
      <c r="Q6123" t="s">
        <v>4636</v>
      </c>
    </row>
    <row r="6124" spans="1:17" ht="15.5" x14ac:dyDescent="0.35">
      <c r="A6124" s="3" t="str">
        <f>HYPERLINK("https://edmondsonsupply.com/collections/electricians-tools/products/klein-tools-60164-professional-safety-glasses-full-frame-gray-lens", "https://edmondsonsupply.com/collections/electricians-tools/products/klein-tools-60164-professional-safety-glasses-full-frame-gray-lens")</f>
        <v>https://edmondsonsupply.com/collections/electricians-tools/products/klein-tools-60164-professional-safety-glasses-full-frame-gray-lens</v>
      </c>
      <c r="B6124" s="3" t="str">
        <f>HYPERLINK("https://edmondsonsupply.com/products/klein-tools-60164-professional-safety-glasses-full-frame-gray-lens", "https://edmondsonsupply.com/products/klein-tools-60164-professional-safety-glasses-full-frame-gray-lens")</f>
        <v>https://edmondsonsupply.com/products/klein-tools-60164-professional-safety-glasses-full-frame-gray-lens</v>
      </c>
      <c r="C6124" t="s">
        <v>1848</v>
      </c>
      <c r="D6124" t="s">
        <v>958</v>
      </c>
      <c r="E6124" s="3" t="str">
        <f>HYPERLINK("https://www.amazon.com/Klein-60164-Professional-Protective-Resistant/dp/B08B4BNSHM/ref=sr_1_1?keywords=Klein+Tools+60164+Professional+Safety+Glasses%2C+Full+Frame%2C+Gray+Lens&amp;qid=1695173933&amp;sr=8-1", "https://www.amazon.com/Klein-60164-Professional-Protective-Resistant/dp/B08B4BNSHM/ref=sr_1_1?keywords=Klein+Tools+60164+Professional+Safety+Glasses%2C+Full+Frame%2C+Gray+Lens&amp;qid=1695173933&amp;sr=8-1")</f>
        <v>https://www.amazon.com/Klein-60164-Professional-Protective-Resistant/dp/B08B4BNSHM/ref=sr_1_1?keywords=Klein+Tools+60164+Professional+Safety+Glasses%2C+Full+Frame%2C+Gray+Lens&amp;qid=1695173933&amp;sr=8-1</v>
      </c>
      <c r="F6124" t="s">
        <v>959</v>
      </c>
      <c r="G6124" t="e">
        <f ca="1">_xludf.IMAGE("https://edmondsonsupply.com/cdn/shop/products/60164.jpg?v=1633030851")</f>
        <v>#NAME?</v>
      </c>
      <c r="H6124" t="e">
        <f ca="1">_xludf.IMAGE("https://m.media-amazon.com/images/I/41bNrH9NnFL._AC_UL320_.jpg")</f>
        <v>#NAME?</v>
      </c>
      <c r="I6124" t="s">
        <v>276</v>
      </c>
      <c r="J6124">
        <v>14.99</v>
      </c>
      <c r="K6124" s="4">
        <v>0</v>
      </c>
      <c r="L6124">
        <v>4.4000000000000004</v>
      </c>
      <c r="M6124">
        <v>463</v>
      </c>
      <c r="O6124" t="s">
        <v>25</v>
      </c>
      <c r="P6124" t="s">
        <v>277</v>
      </c>
      <c r="Q6124" t="s">
        <v>1849</v>
      </c>
    </row>
    <row r="6125" spans="1:17" ht="15.5" x14ac:dyDescent="0.35">
      <c r="A6125" s="3" t="str">
        <f>HYPERLINK("https://edmondsonsupply.com/collections/electricians-tools/products/klein-tools-et20-wifi-borescope-inspection-camera", "https://edmondsonsupply.com/collections/electricians-tools/products/klein-tools-et20-wifi-borescope-inspection-camera")</f>
        <v>https://edmondsonsupply.com/collections/electricians-tools/products/klein-tools-et20-wifi-borescope-inspection-camera</v>
      </c>
      <c r="B6125" s="3" t="str">
        <f>HYPERLINK("https://edmondsonsupply.com/products/klein-tools-et20-wifi-borescope-inspection-camera", "https://edmondsonsupply.com/products/klein-tools-et20-wifi-borescope-inspection-camera")</f>
        <v>https://edmondsonsupply.com/products/klein-tools-et20-wifi-borescope-inspection-camera</v>
      </c>
      <c r="C6125" t="s">
        <v>3049</v>
      </c>
      <c r="D6125" t="s">
        <v>4524</v>
      </c>
      <c r="E6125" s="3" t="str">
        <f>HYPERLINK("https://www.amazon.com/Klein-Tools-ET20-Rechargeable-Lithium-Ion/dp/B07Q78WXFP/ref=sr_1_1?keywords=Klein+Tools+ET20+WiFi+Borescope+Inspection+Camera&amp;qid=1695173958&amp;sr=8-1", "https://www.amazon.com/Klein-Tools-ET20-Rechargeable-Lithium-Ion/dp/B07Q78WXFP/ref=sr_1_1?keywords=Klein+Tools+ET20+WiFi+Borescope+Inspection+Camera&amp;qid=1695173958&amp;sr=8-1")</f>
        <v>https://www.amazon.com/Klein-Tools-ET20-Rechargeable-Lithium-Ion/dp/B07Q78WXFP/ref=sr_1_1?keywords=Klein+Tools+ET20+WiFi+Borescope+Inspection+Camera&amp;qid=1695173958&amp;sr=8-1</v>
      </c>
      <c r="F6125" t="s">
        <v>4525</v>
      </c>
      <c r="G6125" t="e">
        <f ca="1">_xludf.IMAGE("https://edmondsonsupply.com/cdn/shop/products/et20.jpg?v=1587143169")</f>
        <v>#NAME?</v>
      </c>
      <c r="H6125" t="e">
        <f ca="1">_xludf.IMAGE("https://m.media-amazon.com/images/I/61o+L41lX0L._AC_UY218_.jpg")</f>
        <v>#NAME?</v>
      </c>
      <c r="I6125" t="s">
        <v>2224</v>
      </c>
      <c r="J6125">
        <v>99.99</v>
      </c>
      <c r="K6125" s="4">
        <v>0</v>
      </c>
      <c r="L6125">
        <v>4.3</v>
      </c>
      <c r="M6125">
        <v>365</v>
      </c>
      <c r="O6125" t="s">
        <v>25</v>
      </c>
      <c r="P6125" t="s">
        <v>3052</v>
      </c>
      <c r="Q6125" t="s">
        <v>3053</v>
      </c>
    </row>
    <row r="6126" spans="1:17" ht="15.5" x14ac:dyDescent="0.35">
      <c r="A6126" s="3" t="str">
        <f>HYPERLINK("https://edmondsonsupply.com/collections/electricians-tools/products/klein-tools-11046-wire-stripper-cutter-16-26-awg-stranded", "https://edmondsonsupply.com/collections/electricians-tools/products/klein-tools-11046-wire-stripper-cutter-16-26-awg-stranded")</f>
        <v>https://edmondsonsupply.com/collections/electricians-tools/products/klein-tools-11046-wire-stripper-cutter-16-26-awg-stranded</v>
      </c>
      <c r="B6126" s="3" t="str">
        <f>HYPERLINK("https://edmondsonsupply.com/products/klein-tools-11046-wire-stripper-cutter-16-26-awg-stranded", "https://edmondsonsupply.com/products/klein-tools-11046-wire-stripper-cutter-16-26-awg-stranded")</f>
        <v>https://edmondsonsupply.com/products/klein-tools-11046-wire-stripper-cutter-16-26-awg-stranded</v>
      </c>
      <c r="C6126" t="s">
        <v>2278</v>
      </c>
      <c r="D6126" t="s">
        <v>4487</v>
      </c>
      <c r="E6126" s="3" t="str">
        <f>HYPERLINK("https://www.amazon.com/Stripper-Stranded-Klein-Tools-11046/dp/B0000302WS/ref=sr_1_1?keywords=Klein+Tools+11046+Wire+Stripper%2FCutter+16-26+AWG+Stranded&amp;qid=1695173951&amp;sr=8-1", "https://www.amazon.com/Stripper-Stranded-Klein-Tools-11046/dp/B0000302WS/ref=sr_1_1?keywords=Klein+Tools+11046+Wire+Stripper%2FCutter+16-26+AWG+Stranded&amp;qid=1695173951&amp;sr=8-1")</f>
        <v>https://www.amazon.com/Stripper-Stranded-Klein-Tools-11046/dp/B0000302WS/ref=sr_1_1?keywords=Klein+Tools+11046+Wire+Stripper%2FCutter+16-26+AWG+Stranded&amp;qid=1695173951&amp;sr=8-1</v>
      </c>
      <c r="F6126" t="s">
        <v>4488</v>
      </c>
      <c r="G6126" t="e">
        <f ca="1">_xludf.IMAGE("https://edmondsonsupply.com/cdn/shop/products/11046.jpg?v=1587147965")</f>
        <v>#NAME?</v>
      </c>
      <c r="H6126" t="e">
        <f ca="1">_xludf.IMAGE("https://m.media-amazon.com/images/I/510IQiIFnZL._AC_UL320_.jpg")</f>
        <v>#NAME?</v>
      </c>
      <c r="I6126" t="s">
        <v>143</v>
      </c>
      <c r="J6126">
        <v>15.97</v>
      </c>
      <c r="K6126" s="4">
        <v>0</v>
      </c>
      <c r="L6126">
        <v>4.7</v>
      </c>
      <c r="M6126">
        <v>3111</v>
      </c>
      <c r="O6126" t="s">
        <v>25</v>
      </c>
      <c r="P6126" t="s">
        <v>2281</v>
      </c>
      <c r="Q6126" t="s">
        <v>2282</v>
      </c>
    </row>
    <row r="6127" spans="1:17" ht="15.5" x14ac:dyDescent="0.35">
      <c r="A6127" s="3" t="str">
        <f>HYPERLINK("https://edmondsonsupply.com/collections/electricians-tools/products/klein-tools-shbkit-grip-it%E2%84%A2-strap-wrench-kit-6-inch-and-12-inch-handles-2-piece", "https://edmondsonsupply.com/collections/electricians-tools/products/klein-tools-shbkit-grip-it%E2%84%A2-strap-wrench-kit-6-inch-and-12-inch-handles-2-piece")</f>
        <v>https://edmondsonsupply.com/collections/electricians-tools/products/klein-tools-shbkit-grip-it%E2%84%A2-strap-wrench-kit-6-inch-and-12-inch-handles-2-piece</v>
      </c>
      <c r="B6127" s="3" t="str">
        <f>HYPERLINK("https://edmondsonsupply.com/products/klein-tools-shbkit-grip-it%e2%84%a2-strap-wrench-kit-6-inch-and-12-inch-handles-2-piece", "https://edmondsonsupply.com/products/klein-tools-shbkit-grip-it%e2%84%a2-strap-wrench-kit-6-inch-and-12-inch-handles-2-piece")</f>
        <v>https://edmondsonsupply.com/products/klein-tools-shbkit-grip-it%e2%84%a2-strap-wrench-kit-6-inch-and-12-inch-handles-2-piece</v>
      </c>
      <c r="C6127" t="s">
        <v>4647</v>
      </c>
      <c r="D6127" t="s">
        <v>4648</v>
      </c>
      <c r="E6127" s="3" t="str">
        <f>HYPERLINK("https://www.amazon.com/Klein-Tools-SHBKIT-Adjustable-Wrenches/dp/B0C1ZXXMN5/ref=sr_1_1?keywords=Klein+Tools+SHBKIT+Grip-It%E2%84%A2+Strap+Wrench+Kit%2C+6-Inch+and+12-Inch+Handles%2C+2-Piece&amp;qid=1695173990&amp;sr=8-1", "https://www.amazon.com/Klein-Tools-SHBKIT-Adjustable-Wrenches/dp/B0C1ZXXMN5/ref=sr_1_1?keywords=Klein+Tools+SHBKIT+Grip-It%E2%84%A2+Strap+Wrench+Kit%2C+6-Inch+and+12-Inch+Handles%2C+2-Piece&amp;qid=1695173990&amp;sr=8-1")</f>
        <v>https://www.amazon.com/Klein-Tools-SHBKIT-Adjustable-Wrenches/dp/B0C1ZXXMN5/ref=sr_1_1?keywords=Klein+Tools+SHBKIT+Grip-It%E2%84%A2+Strap+Wrench+Kit%2C+6-Inch+and+12-Inch+Handles%2C+2-Piece&amp;qid=1695173990&amp;sr=8-1</v>
      </c>
      <c r="F6127" t="s">
        <v>4649</v>
      </c>
      <c r="G6127" t="e">
        <f ca="1">_xludf.IMAGE("https://edmondsonsupply.com/cdn/shop/files/shbkit_b.jpg?v=1689782457")</f>
        <v>#NAME?</v>
      </c>
      <c r="H6127" t="e">
        <f ca="1">_xludf.IMAGE("https://m.media-amazon.com/images/I/51j2kkzuqAL._AC_UL320_.jpg")</f>
        <v>#NAME?</v>
      </c>
      <c r="I6127" t="s">
        <v>26</v>
      </c>
      <c r="J6127">
        <v>29.99</v>
      </c>
      <c r="K6127" s="4">
        <v>0</v>
      </c>
      <c r="L6127">
        <v>4.2</v>
      </c>
      <c r="M6127">
        <v>9</v>
      </c>
      <c r="O6127" t="s">
        <v>25</v>
      </c>
      <c r="P6127" t="s">
        <v>4650</v>
      </c>
      <c r="Q6127" t="s">
        <v>4651</v>
      </c>
    </row>
    <row r="6128" spans="1:17" ht="15.5" x14ac:dyDescent="0.35">
      <c r="A6128" s="3" t="str">
        <f>HYPERLINK("https://edmondsonsupply.com/collections/electricians-tools/products/diablo-tools-d0824x-8-1-4-in-x-24-tooth-framing-saw-blade", "https://edmondsonsupply.com/collections/electricians-tools/products/diablo-tools-d0824x-8-1-4-in-x-24-tooth-framing-saw-blade")</f>
        <v>https://edmondsonsupply.com/collections/electricians-tools/products/diablo-tools-d0824x-8-1-4-in-x-24-tooth-framing-saw-blade</v>
      </c>
      <c r="B6128" s="3" t="str">
        <f>HYPERLINK("https://edmondsonsupply.com/products/diablo-tools-d0824x-8-1-4-in-x-24-tooth-framing-saw-blade", "https://edmondsonsupply.com/products/diablo-tools-d0824x-8-1-4-in-x-24-tooth-framing-saw-blade")</f>
        <v>https://edmondsonsupply.com/products/diablo-tools-d0824x-8-1-4-in-x-24-tooth-framing-saw-blade</v>
      </c>
      <c r="C6128" t="s">
        <v>6161</v>
      </c>
      <c r="D6128" t="s">
        <v>8177</v>
      </c>
      <c r="E6128" s="3" t="str">
        <f>HYPERLINK("https://www.amazon.com/Freud-D0824X-Diablo-4-Inch-Framing/dp/B00008WQ2K/ref=sr_1_2?keywords=Diablo+Tools+D0824X+8-1%2F4+in.+x+24+Tooth+Framing+Saw+Blade&amp;qid=1695174053&amp;sr=8-2", "https://www.amazon.com/Freud-D0824X-Diablo-4-Inch-Framing/dp/B00008WQ2K/ref=sr_1_2?keywords=Diablo+Tools+D0824X+8-1%2F4+in.+x+24+Tooth+Framing+Saw+Blade&amp;qid=1695174053&amp;sr=8-2")</f>
        <v>https://www.amazon.com/Freud-D0824X-Diablo-4-Inch-Framing/dp/B00008WQ2K/ref=sr_1_2?keywords=Diablo+Tools+D0824X+8-1%2F4+in.+x+24+Tooth+Framing+Saw+Blade&amp;qid=1695174053&amp;sr=8-2</v>
      </c>
      <c r="F6128" t="s">
        <v>8178</v>
      </c>
      <c r="G6128" t="e">
        <f ca="1">_xludf.IMAGE("https://edmondsonsupply.com/cdn/shop/products/waqxzlwfclzed6nt6ziy.webp?v=1678979454")</f>
        <v>#NAME?</v>
      </c>
      <c r="H6128" t="e">
        <f ca="1">_xludf.IMAGE("https://m.media-amazon.com/images/I/61+RISIzdHL._AC_UL320_.jpg")</f>
        <v>#NAME?</v>
      </c>
      <c r="I6128" t="s">
        <v>6164</v>
      </c>
      <c r="J6128">
        <v>18.97</v>
      </c>
      <c r="K6128" s="4">
        <v>0</v>
      </c>
      <c r="L6128">
        <v>4.7</v>
      </c>
      <c r="M6128">
        <v>134</v>
      </c>
      <c r="O6128" t="s">
        <v>25</v>
      </c>
      <c r="P6128" t="s">
        <v>6165</v>
      </c>
      <c r="Q6128" t="s">
        <v>6166</v>
      </c>
    </row>
    <row r="6129" spans="1:17" ht="15.5" x14ac:dyDescent="0.35">
      <c r="A6129"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6129"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6129" t="s">
        <v>7055</v>
      </c>
      <c r="D6129" t="s">
        <v>3271</v>
      </c>
      <c r="E6129" s="3" t="str">
        <f>HYPERLINK("https://www.amazon.com/Klein-Tools-11055RINS-Insulated-Stripper/dp/B0BFZBQ9XF/ref=sr_1_1?keywords=Klein+Tools+11055RINS+Insulated+Klein-Kurve%C2%AE+Wire+Stripper+and+Cutter&amp;qid=1695174134&amp;sr=8-1", "https://www.amazon.com/Klein-Tools-11055RINS-Insulated-Stripper/dp/B0BFZBQ9XF/ref=sr_1_1?keywords=Klein+Tools+11055RINS+Insulated+Klein-Kurve%C2%AE+Wire+Stripper+and+Cutter&amp;qid=1695174134&amp;sr=8-1")</f>
        <v>https://www.amazon.com/Klein-Tools-11055RINS-Insulated-Stripper/dp/B0BFZBQ9XF/ref=sr_1_1?keywords=Klein+Tools+11055RINS+Insulated+Klein-Kurve%C2%AE+Wire+Stripper+and+Cutter&amp;qid=1695174134&amp;sr=8-1</v>
      </c>
      <c r="F6129" t="s">
        <v>3272</v>
      </c>
      <c r="G6129" t="e">
        <f ca="1">_xludf.IMAGE("https://edmondsonsupply.com/cdn/shop/products/11055rins.jpg?v=1667236979")</f>
        <v>#NAME?</v>
      </c>
      <c r="H6129" t="e">
        <f ca="1">_xludf.IMAGE("https://m.media-amazon.com/images/I/41Pemveg6bL._AC_UL320_.jpg")</f>
        <v>#NAME?</v>
      </c>
      <c r="I6129" t="s">
        <v>824</v>
      </c>
      <c r="J6129">
        <v>29.97</v>
      </c>
      <c r="K6129" s="4">
        <v>0</v>
      </c>
      <c r="L6129">
        <v>4.5999999999999996</v>
      </c>
      <c r="M6129">
        <v>55</v>
      </c>
      <c r="O6129" t="s">
        <v>25</v>
      </c>
      <c r="P6129" t="s">
        <v>562</v>
      </c>
      <c r="Q6129" t="s">
        <v>7056</v>
      </c>
    </row>
    <row r="6130" spans="1:17" ht="15.5" x14ac:dyDescent="0.35">
      <c r="A6130" s="3" t="str">
        <f>HYPERLINK("https://edmondsonsupply.com/collections/electricians-tools/products/klein-tools-31906-hole-saw-arbor-with-pins-7-16-inch", "https://edmondsonsupply.com/collections/electricians-tools/products/klein-tools-31906-hole-saw-arbor-with-pins-7-16-inch")</f>
        <v>https://edmondsonsupply.com/collections/electricians-tools/products/klein-tools-31906-hole-saw-arbor-with-pins-7-16-inch</v>
      </c>
      <c r="B6130" s="3" t="str">
        <f>HYPERLINK("https://edmondsonsupply.com/products/klein-tools-31906-hole-saw-arbor-with-pins-7-16-inch", "https://edmondsonsupply.com/products/klein-tools-31906-hole-saw-arbor-with-pins-7-16-inch")</f>
        <v>https://edmondsonsupply.com/products/klein-tools-31906-hole-saw-arbor-with-pins-7-16-inch</v>
      </c>
      <c r="C6130" t="s">
        <v>6792</v>
      </c>
      <c r="D6130" t="s">
        <v>6792</v>
      </c>
      <c r="E6130" s="3" t="str">
        <f>HYPERLINK("https://www.amazon.com/Arbor-16-Inch-Klein-Tools-31906/dp/B0198751UO/ref=sr_1_1?keywords=Klein+Tools+31906+Hole+Saw+Arbor+With+Pins%2C+7%2F16-Inch&amp;qid=1695174136&amp;sr=8-1", "https://www.amazon.com/Arbor-16-Inch-Klein-Tools-31906/dp/B0198751UO/ref=sr_1_1?keywords=Klein+Tools+31906+Hole+Saw+Arbor+With+Pins%2C+7%2F16-Inch&amp;qid=1695174136&amp;sr=8-1")</f>
        <v>https://www.amazon.com/Arbor-16-Inch-Klein-Tools-31906/dp/B0198751UO/ref=sr_1_1?keywords=Klein+Tools+31906+Hole+Saw+Arbor+With+Pins%2C+7%2F16-Inch&amp;qid=1695174136&amp;sr=8-1</v>
      </c>
      <c r="F6130" t="s">
        <v>6867</v>
      </c>
      <c r="G6130" t="e">
        <f ca="1">_xludf.IMAGE("https://edmondsonsupply.com/cdn/shop/products/31906.jpg?v=1665670390")</f>
        <v>#NAME?</v>
      </c>
      <c r="H6130" t="e">
        <f ca="1">_xludf.IMAGE("https://m.media-amazon.com/images/I/51WjO5DQ0bL._AC_UL320_.jpg")</f>
        <v>#NAME?</v>
      </c>
      <c r="I6130" t="s">
        <v>252</v>
      </c>
      <c r="J6130">
        <v>15.99</v>
      </c>
      <c r="K6130" s="4">
        <v>0</v>
      </c>
      <c r="L6130">
        <v>4.5</v>
      </c>
      <c r="M6130">
        <v>233</v>
      </c>
      <c r="O6130" t="s">
        <v>25</v>
      </c>
      <c r="P6130" t="s">
        <v>6795</v>
      </c>
      <c r="Q6130" t="s">
        <v>6796</v>
      </c>
    </row>
    <row r="6131" spans="1:17" ht="15.5" x14ac:dyDescent="0.35">
      <c r="A6131" s="3" t="str">
        <f>HYPERLINK("https://edmondsonsupply.com/collections/electricians-tools/products/klein-tools-s12hb-grip-it%E2%84%A2-strap-wrench-1-1-2-to-5-inch-12-inch-handle", "https://edmondsonsupply.com/collections/electricians-tools/products/klein-tools-s12hb-grip-it%E2%84%A2-strap-wrench-1-1-2-to-5-inch-12-inch-handle")</f>
        <v>https://edmondsonsupply.com/collections/electricians-tools/products/klein-tools-s12hb-grip-it%E2%84%A2-strap-wrench-1-1-2-to-5-inch-12-inch-handle</v>
      </c>
      <c r="B6131" s="3" t="str">
        <f>HYPERLINK("https://edmondsonsupply.com/products/klein-tools-s12hb-grip-it%e2%84%a2-strap-wrench-1-1-2-to-5-inch-12-inch-handle", "https://edmondsonsupply.com/products/klein-tools-s12hb-grip-it%e2%84%a2-strap-wrench-1-1-2-to-5-inch-12-inch-handle")</f>
        <v>https://edmondsonsupply.com/products/klein-tools-s12hb-grip-it%e2%84%a2-strap-wrench-1-1-2-to-5-inch-12-inch-handle</v>
      </c>
      <c r="C6131" t="s">
        <v>3065</v>
      </c>
      <c r="D6131" t="s">
        <v>4688</v>
      </c>
      <c r="E6131" s="3" t="str">
        <f>HYPERLINK("https://www.amazon.com/Klein-Tools-S12HB-Adjustable-Adjusts/dp/B0BN4LK3NS/ref=sr_1_1?keywords=Klein+Tools+S12HB+Grip-It%E2%84%A2+Strap+Wrench%2C+1-1%2F2+to+5-Inch%2C+12-Inch+Handle&amp;qid=1695173989&amp;sr=8-1", "https://www.amazon.com/Klein-Tools-S12HB-Adjustable-Adjusts/dp/B0BN4LK3NS/ref=sr_1_1?keywords=Klein+Tools+S12HB+Grip-It%E2%84%A2+Strap+Wrench%2C+1-1%2F2+to+5-Inch%2C+12-Inch+Handle&amp;qid=1695173989&amp;sr=8-1")</f>
        <v>https://www.amazon.com/Klein-Tools-S12HB-Adjustable-Adjusts/dp/B0BN4LK3NS/ref=sr_1_1?keywords=Klein+Tools+S12HB+Grip-It%E2%84%A2+Strap+Wrench%2C+1-1%2F2+to+5-Inch%2C+12-Inch+Handle&amp;qid=1695173989&amp;sr=8-1</v>
      </c>
      <c r="F6131" t="s">
        <v>4689</v>
      </c>
      <c r="G6131" t="e">
        <f ca="1">_xludf.IMAGE("https://edmondsonsupply.com/cdn/shop/files/s12hb_b.jpg?v=1689783564")</f>
        <v>#NAME?</v>
      </c>
      <c r="H6131" t="e">
        <f ca="1">_xludf.IMAGE("https://m.media-amazon.com/images/I/51-eUuVyB-L._AC_UL320_.jpg")</f>
        <v>#NAME?</v>
      </c>
      <c r="I6131" t="s">
        <v>577</v>
      </c>
      <c r="J6131">
        <v>19.989999999999998</v>
      </c>
      <c r="K6131" s="4">
        <v>0</v>
      </c>
      <c r="L6131">
        <v>4.2</v>
      </c>
      <c r="M6131">
        <v>9</v>
      </c>
      <c r="O6131" t="s">
        <v>25</v>
      </c>
      <c r="P6131" t="s">
        <v>3068</v>
      </c>
      <c r="Q6131" t="s">
        <v>3069</v>
      </c>
    </row>
    <row r="6132" spans="1:17" ht="15.5" x14ac:dyDescent="0.35">
      <c r="A6132" s="3" t="str">
        <f>HYPERLINK("https://edmondsonsupply.com/collections/electricians-tools/products/klein-tools-69359-lead-adapters-red-and-black-3-foot", "https://edmondsonsupply.com/collections/electricians-tools/products/klein-tools-69359-lead-adapters-red-and-black-3-foot")</f>
        <v>https://edmondsonsupply.com/collections/electricians-tools/products/klein-tools-69359-lead-adapters-red-and-black-3-foot</v>
      </c>
      <c r="B6132" s="3" t="str">
        <f>HYPERLINK("https://edmondsonsupply.com/products/klein-tools-69359-lead-adapters-red-and-black-3-foot", "https://edmondsonsupply.com/products/klein-tools-69359-lead-adapters-red-and-black-3-foot")</f>
        <v>https://edmondsonsupply.com/products/klein-tools-69359-lead-adapters-red-and-black-3-foot</v>
      </c>
      <c r="C6132" t="s">
        <v>8179</v>
      </c>
      <c r="D6132" t="s">
        <v>8180</v>
      </c>
      <c r="E6132" s="3" t="str">
        <f>HYPERLINK("https://www.amazon.com/Klein-Tools-69359-Banana-Type-Connectors/dp/B0BN2HNCLV/ref=sr_1_1?keywords=Klein+Tools+69359+Lead+Adapters%2C+Red+and+Black%2C+3-Foot&amp;qid=1695174097&amp;sr=8-1", "https://www.amazon.com/Klein-Tools-69359-Banana-Type-Connectors/dp/B0BN2HNCLV/ref=sr_1_1?keywords=Klein+Tools+69359+Lead+Adapters%2C+Red+and+Black%2C+3-Foot&amp;qid=1695174097&amp;sr=8-1")</f>
        <v>https://www.amazon.com/Klein-Tools-69359-Banana-Type-Connectors/dp/B0BN2HNCLV/ref=sr_1_1?keywords=Klein+Tools+69359+Lead+Adapters%2C+Red+and+Black%2C+3-Foot&amp;qid=1695174097&amp;sr=8-1</v>
      </c>
      <c r="F6132" t="s">
        <v>8181</v>
      </c>
      <c r="G6132" t="e">
        <f ca="1">_xludf.IMAGE("https://edmondsonsupply.com/cdn/shop/products/69359.jpg?v=1674490100")</f>
        <v>#NAME?</v>
      </c>
      <c r="H6132" t="e">
        <f ca="1">_xludf.IMAGE("https://m.media-amazon.com/images/I/51TpShexYpL._AC_UL320_.jpg")</f>
        <v>#NAME?</v>
      </c>
      <c r="I6132" t="s">
        <v>577</v>
      </c>
      <c r="J6132">
        <v>19.989999999999998</v>
      </c>
      <c r="K6132" s="4">
        <v>0</v>
      </c>
      <c r="L6132">
        <v>5</v>
      </c>
      <c r="M6132">
        <v>1</v>
      </c>
      <c r="O6132" t="s">
        <v>25</v>
      </c>
      <c r="P6132" t="s">
        <v>8182</v>
      </c>
      <c r="Q6132" t="s">
        <v>8183</v>
      </c>
    </row>
    <row r="6133" spans="1:17" ht="15.5" x14ac:dyDescent="0.35">
      <c r="A6133" s="3" t="str">
        <f>HYPERLINK("https://edmondsonsupply.com/collections/electricians-tools/products/klein-tools-55917-tradesman-pro%E2%84%A2-modular-drill-pouch-with-belt-clip", "https://edmondsonsupply.com/collections/electricians-tools/products/klein-tools-55917-tradesman-pro%E2%84%A2-modular-drill-pouch-with-belt-clip")</f>
        <v>https://edmondsonsupply.com/collections/electricians-tools/products/klein-tools-55917-tradesman-pro%E2%84%A2-modular-drill-pouch-with-belt-clip</v>
      </c>
      <c r="B6133" s="3" t="str">
        <f>HYPERLINK("https://edmondsonsupply.com/products/klein-tools-55917-tradesman-pro%e2%84%a2-modular-drill-pouch-with-belt-clip", "https://edmondsonsupply.com/products/klein-tools-55917-tradesman-pro%e2%84%a2-modular-drill-pouch-with-belt-clip")</f>
        <v>https://edmondsonsupply.com/products/klein-tools-55917-tradesman-pro%e2%84%a2-modular-drill-pouch-with-belt-clip</v>
      </c>
      <c r="C6133" t="s">
        <v>568</v>
      </c>
      <c r="D6133" t="s">
        <v>569</v>
      </c>
      <c r="E6133" s="3" t="str">
        <f>HYPERLINK("https://www.amazon.com/Klein-Tools-55917-Tradesman-Modular/dp/B084X5633G/ref=sr_1_1?keywords=Klein+Tools+55917+Tradesman+Pro%E2%84%A2+Modular+Drill+Pouch+with+Belt+Clip&amp;qid=1695173936&amp;sr=8-1", "https://www.amazon.com/Klein-Tools-55917-Tradesman-Modular/dp/B084X5633G/ref=sr_1_1?keywords=Klein+Tools+55917+Tradesman+Pro%E2%84%A2+Modular+Drill+Pouch+with+Belt+Clip&amp;qid=1695173936&amp;sr=8-1")</f>
        <v>https://www.amazon.com/Klein-Tools-55917-Tradesman-Modular/dp/B084X5633G/ref=sr_1_1?keywords=Klein+Tools+55917+Tradesman+Pro%E2%84%A2+Modular+Drill+Pouch+with+Belt+Clip&amp;qid=1695173936&amp;sr=8-1</v>
      </c>
      <c r="F6133" t="s">
        <v>570</v>
      </c>
      <c r="G6133" t="e">
        <f ca="1">_xludf.IMAGE("https://edmondsonsupply.com/cdn/shop/products/55917.jpg?v=1587143420")</f>
        <v>#NAME?</v>
      </c>
      <c r="H6133" t="e">
        <f ca="1">_xludf.IMAGE("https://m.media-amazon.com/images/I/61kAia47weL._AC_UL320_.jpg")</f>
        <v>#NAME?</v>
      </c>
      <c r="I6133" t="s">
        <v>571</v>
      </c>
      <c r="J6133">
        <v>34.99</v>
      </c>
      <c r="K6133" s="4">
        <v>0</v>
      </c>
      <c r="L6133">
        <v>4.4000000000000004</v>
      </c>
      <c r="M6133">
        <v>636</v>
      </c>
      <c r="O6133" t="s">
        <v>25</v>
      </c>
      <c r="P6133" t="s">
        <v>572</v>
      </c>
      <c r="Q6133" t="s">
        <v>573</v>
      </c>
    </row>
    <row r="6134" spans="1:17" ht="15.5" x14ac:dyDescent="0.35">
      <c r="A6134" s="3" t="str">
        <f>HYPERLINK("https://edmondsonsupply.com/collections/electricians-tools/products/wiha-tools-66981-13-piece-ball-end-color-coded-hex-l-key-set-inch", "https://edmondsonsupply.com/collections/electricians-tools/products/wiha-tools-66981-13-piece-ball-end-color-coded-hex-l-key-set-inch")</f>
        <v>https://edmondsonsupply.com/collections/electricians-tools/products/wiha-tools-66981-13-piece-ball-end-color-coded-hex-l-key-set-inch</v>
      </c>
      <c r="B6134"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6134" t="s">
        <v>4747</v>
      </c>
      <c r="D6134" t="s">
        <v>4748</v>
      </c>
      <c r="E6134" s="3" t="str">
        <f>HYPERLINK("https://www.amazon.com/Wiha-66981-Color-Coded-Pieces/dp/B085G4FPTW/ref=sr_1_1?keywords=Wiha+Tools+66981+13+Piece+Ball+End+Color+Coded+Hex+L-Key+Set+-+Inch&amp;qid=1695173978&amp;sr=8-1", "https://www.amazon.com/Wiha-66981-Color-Coded-Pieces/dp/B085G4FPTW/ref=sr_1_1?keywords=Wiha+Tools+66981+13+Piece+Ball+End+Color+Coded+Hex+L-Key+Set+-+Inch&amp;qid=1695173978&amp;sr=8-1")</f>
        <v>https://www.amazon.com/Wiha-66981-Color-Coded-Pieces/dp/B085G4FPTW/ref=sr_1_1?keywords=Wiha+Tools+66981+13+Piece+Ball+End+Color+Coded+Hex+L-Key+Set+-+Inch&amp;qid=1695173978&amp;sr=8-1</v>
      </c>
      <c r="F6134" t="s">
        <v>4749</v>
      </c>
      <c r="G6134" t="e">
        <f ca="1">_xludf.IMAGE("https://edmondsonsupply.com/cdn/shop/files/d46e6f2ecefba25ae78922fd12be8f1dc56b6ee6_1000x_1d9d5bc7-c590-4e82-817a-f70a00b88949.webp?v=1690834995")</f>
        <v>#NAME?</v>
      </c>
      <c r="H6134" t="e">
        <f ca="1">_xludf.IMAGE("https://m.media-amazon.com/images/I/71+g9-ZpGVL._AC_UL320_.jpg")</f>
        <v>#NAME?</v>
      </c>
      <c r="I6134" t="s">
        <v>4750</v>
      </c>
      <c r="J6134">
        <v>53.42</v>
      </c>
      <c r="K6134" s="4">
        <v>0</v>
      </c>
      <c r="L6134">
        <v>4.8</v>
      </c>
      <c r="M6134">
        <v>346</v>
      </c>
      <c r="O6134" t="s">
        <v>25</v>
      </c>
      <c r="P6134" t="s">
        <v>4751</v>
      </c>
      <c r="Q6134" t="s">
        <v>4752</v>
      </c>
    </row>
    <row r="6135" spans="1:17" ht="15.5" x14ac:dyDescent="0.35">
      <c r="A6135" s="3" t="str">
        <f>HYPERLINK("https://edmondsonsupply.com/collections/electricians-tools/products/klein-tools-32217-drill-tap-tool-kit-8-piece", "https://edmondsonsupply.com/collections/electricians-tools/products/klein-tools-32217-drill-tap-tool-kit-8-piece")</f>
        <v>https://edmondsonsupply.com/collections/electricians-tools/products/klein-tools-32217-drill-tap-tool-kit-8-piece</v>
      </c>
      <c r="B6135" s="3" t="str">
        <f>HYPERLINK("https://edmondsonsupply.com/products/klein-tools-32217-drill-tap-tool-kit-8-piece", "https://edmondsonsupply.com/products/klein-tools-32217-drill-tap-tool-kit-8-piece")</f>
        <v>https://edmondsonsupply.com/products/klein-tools-32217-drill-tap-tool-kit-8-piece</v>
      </c>
      <c r="C6135" t="s">
        <v>4506</v>
      </c>
      <c r="D6135" t="s">
        <v>4507</v>
      </c>
      <c r="E6135" s="3" t="str">
        <f>HYPERLINK("https://www.amazon.com/Tapping-Connect-Tools-Klein-32217/dp/B00SGMHU7U/ref=sr_1_1?keywords=Klein+Tools+32217+Drill+Tap+Tool+Kit%2C+8-Piece&amp;qid=1695173936&amp;sr=8-1", "https://www.amazon.com/Tapping-Connect-Tools-Klein-32217/dp/B00SGMHU7U/ref=sr_1_1?keywords=Klein+Tools+32217+Drill+Tap+Tool+Kit%2C+8-Piece&amp;qid=1695173936&amp;sr=8-1")</f>
        <v>https://www.amazon.com/Tapping-Connect-Tools-Klein-32217/dp/B00SGMHU7U/ref=sr_1_1?keywords=Klein+Tools+32217+Drill+Tap+Tool+Kit%2C+8-Piece&amp;qid=1695173936&amp;sr=8-1</v>
      </c>
      <c r="F6135" t="s">
        <v>4508</v>
      </c>
      <c r="G6135" t="e">
        <f ca="1">_xludf.IMAGE("https://edmondsonsupply.com/cdn/shop/products/32217.jpg?v=1587150239")</f>
        <v>#NAME?</v>
      </c>
      <c r="H6135" t="e">
        <f ca="1">_xludf.IMAGE("https://m.media-amazon.com/images/I/51y50+-mANL._AC_UL320_.jpg")</f>
        <v>#NAME?</v>
      </c>
      <c r="I6135" t="s">
        <v>1931</v>
      </c>
      <c r="J6135">
        <v>49.99</v>
      </c>
      <c r="K6135" s="4">
        <v>0</v>
      </c>
      <c r="L6135">
        <v>4.5999999999999996</v>
      </c>
      <c r="M6135">
        <v>321</v>
      </c>
      <c r="O6135" t="s">
        <v>25</v>
      </c>
      <c r="P6135" t="s">
        <v>4509</v>
      </c>
      <c r="Q6135" t="s">
        <v>4510</v>
      </c>
    </row>
    <row r="6136" spans="1:17" ht="15.5" x14ac:dyDescent="0.35">
      <c r="A6136" s="3" t="str">
        <f>HYPERLINK("https://edmondsonsupply.com/collections/electricians-tools/products/klein-tools-25951-step-bit-kit-spiral-double-fluted-vaco-3-piece", "https://edmondsonsupply.com/collections/electricians-tools/products/klein-tools-25951-step-bit-kit-spiral-double-fluted-vaco-3-piece")</f>
        <v>https://edmondsonsupply.com/collections/electricians-tools/products/klein-tools-25951-step-bit-kit-spiral-double-fluted-vaco-3-piece</v>
      </c>
      <c r="B6136" s="3" t="str">
        <f>HYPERLINK("https://edmondsonsupply.com/products/klein-tools-25951-step-bit-kit-spiral-double-fluted-vaco-3-piece", "https://edmondsonsupply.com/products/klein-tools-25951-step-bit-kit-spiral-double-fluted-vaco-3-piece")</f>
        <v>https://edmondsonsupply.com/products/klein-tools-25951-step-bit-kit-spiral-double-fluted-vaco-3-piece</v>
      </c>
      <c r="C6136" t="s">
        <v>8184</v>
      </c>
      <c r="D6136" t="s">
        <v>1979</v>
      </c>
      <c r="E6136" s="3" t="str">
        <f>HYPERLINK("https://www.amazon.com/Klein-Tools-25951-Electricians-Titanium/dp/B0BLFRJLDX/ref=sr_1_1?keywords=Klein+Tools+25951+Step+Bit+Kit%2C+Spiral+Double-Fluted%2C+VACO%2C+3-Piece&amp;qid=1695174103&amp;sr=8-1", "https://www.amazon.com/Klein-Tools-25951-Electricians-Titanium/dp/B0BLFRJLDX/ref=sr_1_1?keywords=Klein+Tools+25951+Step+Bit+Kit%2C+Spiral+Double-Fluted%2C+VACO%2C+3-Piece&amp;qid=1695174103&amp;sr=8-1")</f>
        <v>https://www.amazon.com/Klein-Tools-25951-Electricians-Titanium/dp/B0BLFRJLDX/ref=sr_1_1?keywords=Klein+Tools+25951+Step+Bit+Kit%2C+Spiral+Double-Fluted%2C+VACO%2C+3-Piece&amp;qid=1695174103&amp;sr=8-1</v>
      </c>
      <c r="F6136" t="s">
        <v>1980</v>
      </c>
      <c r="G6136" t="e">
        <f ca="1">_xludf.IMAGE("https://edmondsonsupply.com/cdn/shop/products/25951_b.jpg?v=1670520155")</f>
        <v>#NAME?</v>
      </c>
      <c r="H6136" t="e">
        <f ca="1">_xludf.IMAGE("https://m.media-amazon.com/images/I/61dZd3WvlgL._AC_UY218_.jpg")</f>
        <v>#NAME?</v>
      </c>
      <c r="I6136" t="s">
        <v>2224</v>
      </c>
      <c r="J6136">
        <v>99.99</v>
      </c>
      <c r="K6136" s="4">
        <v>0</v>
      </c>
      <c r="L6136">
        <v>3.8</v>
      </c>
      <c r="M6136">
        <v>6</v>
      </c>
      <c r="O6136" t="s">
        <v>25</v>
      </c>
      <c r="P6136" t="s">
        <v>2225</v>
      </c>
      <c r="Q6136" t="s">
        <v>8185</v>
      </c>
    </row>
    <row r="6137" spans="1:17" ht="15.5" x14ac:dyDescent="0.35">
      <c r="A6137"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6137"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6137" t="s">
        <v>960</v>
      </c>
      <c r="D6137" t="s">
        <v>882</v>
      </c>
      <c r="E6137" s="3" t="str">
        <f>HYPERLINK("https://www.amazon.com/Klein-Tools-60539-Professional-Protective/dp/B0BLQ6F4MQ/ref=sr_1_1?keywords=Klein+Tools+60539+Professional+Safety+Glasses%2C+Full+Frame%2C+Polarized+Lens&amp;qid=1695174102&amp;sr=8-1", "https://www.amazon.com/Klein-Tools-60539-Professional-Protective/dp/B0BLQ6F4MQ/ref=sr_1_1?keywords=Klein+Tools+60539+Professional+Safety+Glasses%2C+Full+Frame%2C+Polarized+Lens&amp;qid=1695174102&amp;sr=8-1")</f>
        <v>https://www.amazon.com/Klein-Tools-60539-Professional-Protective/dp/B0BLQ6F4MQ/ref=sr_1_1?keywords=Klein+Tools+60539+Professional+Safety+Glasses%2C+Full+Frame%2C+Polarized+Lens&amp;qid=1695174102&amp;sr=8-1</v>
      </c>
      <c r="F6137" t="s">
        <v>883</v>
      </c>
      <c r="G6137" t="e">
        <f ca="1">_xludf.IMAGE("https://edmondsonsupply.com/cdn/shop/products/60539.jpg?v=1670948006")</f>
        <v>#NAME?</v>
      </c>
      <c r="H6137" t="e">
        <f ca="1">_xludf.IMAGE("https://m.media-amazon.com/images/I/41z93jotzdL._AC_UL320_.jpg")</f>
        <v>#NAME?</v>
      </c>
      <c r="I6137" t="s">
        <v>26</v>
      </c>
      <c r="J6137">
        <v>29.99</v>
      </c>
      <c r="K6137" s="4">
        <v>0</v>
      </c>
      <c r="L6137">
        <v>4.4000000000000004</v>
      </c>
      <c r="M6137">
        <v>11</v>
      </c>
      <c r="O6137" t="s">
        <v>25</v>
      </c>
      <c r="P6137" t="s">
        <v>562</v>
      </c>
      <c r="Q6137" t="s">
        <v>961</v>
      </c>
    </row>
    <row r="6138" spans="1:17" ht="15.5" x14ac:dyDescent="0.35">
      <c r="A6138"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6138" s="3" t="str">
        <f>HYPERLINK("https://edmondsonsupply.com/products/klein-tools-31902-bi-metal-hole-saw-kit-8-piece", "https://edmondsonsupply.com/products/klein-tools-31902-bi-metal-hole-saw-kit-8-piece")</f>
        <v>https://edmondsonsupply.com/products/klein-tools-31902-bi-metal-hole-saw-kit-8-piece</v>
      </c>
      <c r="C6138" t="s">
        <v>6259</v>
      </c>
      <c r="D6138" t="s">
        <v>6002</v>
      </c>
      <c r="E6138" s="3" t="str">
        <f>HYPERLINK("https://www.amazon.com/Bi-Metal-8-Piece-Klein-Tools-31902/dp/B014WEBAO4/ref=sr_1_1?keywords=Klein+Tools+31902+Bi-Metal+Hole+Saw+Kit%2C+8-Piece&amp;qid=1695174040&amp;sr=8-1", "https://www.amazon.com/Bi-Metal-8-Piece-Klein-Tools-31902/dp/B014WEBAO4/ref=sr_1_1?keywords=Klein+Tools+31902+Bi-Metal+Hole+Saw+Kit%2C+8-Piece&amp;qid=1695174040&amp;sr=8-1")</f>
        <v>https://www.amazon.com/Bi-Metal-8-Piece-Klein-Tools-31902/dp/B014WEBAO4/ref=sr_1_1?keywords=Klein+Tools+31902+Bi-Metal+Hole+Saw+Kit%2C+8-Piece&amp;qid=1695174040&amp;sr=8-1</v>
      </c>
      <c r="F6138" t="s">
        <v>6003</v>
      </c>
      <c r="G6138" t="e">
        <f ca="1">_xludf.IMAGE("https://edmondsonsupply.com/cdn/shop/products/31902.jpg?v=1679665390")</f>
        <v>#NAME?</v>
      </c>
      <c r="H6138" t="e">
        <f ca="1">_xludf.IMAGE("https://m.media-amazon.com/images/I/51JZIdZrBtL._AC_UL320_.jpg")</f>
        <v>#NAME?</v>
      </c>
      <c r="I6138" t="s">
        <v>320</v>
      </c>
      <c r="J6138">
        <v>74.989999999999995</v>
      </c>
      <c r="K6138" s="4">
        <v>0</v>
      </c>
      <c r="L6138">
        <v>4.2</v>
      </c>
      <c r="M6138">
        <v>124</v>
      </c>
      <c r="O6138" t="s">
        <v>25</v>
      </c>
      <c r="P6138" t="s">
        <v>6260</v>
      </c>
      <c r="Q6138" t="s">
        <v>6261</v>
      </c>
    </row>
    <row r="6139" spans="1:17" ht="15.5" x14ac:dyDescent="0.35">
      <c r="A6139"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6139" s="3" t="str">
        <f>HYPERLINK("https://edmondsonsupply.com/products/klein-tools-56341-stainless-steel-fish-tape-1-8-inch-x-240-foot", "https://edmondsonsupply.com/products/klein-tools-56341-stainless-steel-fish-tape-1-8-inch-x-240-foot")</f>
        <v>https://edmondsonsupply.com/products/klein-tools-56341-stainless-steel-fish-tape-1-8-inch-x-240-foot</v>
      </c>
      <c r="C6139" t="s">
        <v>7829</v>
      </c>
      <c r="D6139" t="s">
        <v>8186</v>
      </c>
      <c r="E6139" s="3" t="str">
        <f>HYPERLINK("https://www.amazon.com/Klein-Tools-56341-Stainless-Optimized/dp/B081ZTN3MT/ref=sr_1_1?keywords=Klein+Tools+56341+Stainless+Steel+Fish+Tape%2C+1%2F8-Inch+x+240-Foot&amp;qid=1695174134&amp;sr=8-1", "https://www.amazon.com/Klein-Tools-56341-Stainless-Optimized/dp/B081ZTN3MT/ref=sr_1_1?keywords=Klein+Tools+56341+Stainless+Steel+Fish+Tape%2C+1%2F8-Inch+x+240-Foot&amp;qid=1695174134&amp;sr=8-1")</f>
        <v>https://www.amazon.com/Klein-Tools-56341-Stainless-Optimized/dp/B081ZTN3MT/ref=sr_1_1?keywords=Klein+Tools+56341+Stainless+Steel+Fish+Tape%2C+1%2F8-Inch+x+240-Foot&amp;qid=1695174134&amp;sr=8-1</v>
      </c>
      <c r="F6139" t="s">
        <v>8187</v>
      </c>
      <c r="G6139" t="e">
        <f ca="1">_xludf.IMAGE("https://edmondsonsupply.com/cdn/shop/products/56341.jpg?v=1666901345")</f>
        <v>#NAME?</v>
      </c>
      <c r="H6139" t="e">
        <f ca="1">_xludf.IMAGE("https://m.media-amazon.com/images/I/51rJNR9x1ML._AC_UL320_.jpg")</f>
        <v>#NAME?</v>
      </c>
      <c r="I6139" t="s">
        <v>7832</v>
      </c>
      <c r="J6139">
        <v>114.99</v>
      </c>
      <c r="K6139" s="4">
        <v>0</v>
      </c>
      <c r="L6139">
        <v>4.7</v>
      </c>
      <c r="M6139">
        <v>239</v>
      </c>
      <c r="O6139" t="s">
        <v>25</v>
      </c>
      <c r="P6139" t="s">
        <v>7833</v>
      </c>
      <c r="Q6139" t="s">
        <v>7834</v>
      </c>
    </row>
    <row r="6140" spans="1:17" ht="15.5" x14ac:dyDescent="0.35">
      <c r="A6140" s="3" t="str">
        <f>HYPERLINK("https://edmondsonsupply.com/collections/electricians-tools/products/klein-tools-5416tcp-tool-bag-extra-tall-top-closing-bolt-bag-5-x-12-x-9-inch", "https://edmondsonsupply.com/collections/electricians-tools/products/klein-tools-5416tcp-tool-bag-extra-tall-top-closing-bolt-bag-5-x-12-x-9-inch")</f>
        <v>https://edmondsonsupply.com/collections/electricians-tools/products/klein-tools-5416tcp-tool-bag-extra-tall-top-closing-bolt-bag-5-x-12-x-9-inch</v>
      </c>
      <c r="B6140" s="3" t="str">
        <f>HYPERLINK("https://edmondsonsupply.com/products/klein-tools-5416tcp-tool-bag-extra-tall-top-closing-bolt-bag-5-x-12-x-9-inch", "https://edmondsonsupply.com/products/klein-tools-5416tcp-tool-bag-extra-tall-top-closing-bolt-bag-5-x-12-x-9-inch")</f>
        <v>https://edmondsonsupply.com/products/klein-tools-5416tcp-tool-bag-extra-tall-top-closing-bolt-bag-5-x-12-x-9-inch</v>
      </c>
      <c r="C6140" t="s">
        <v>8188</v>
      </c>
      <c r="D6140" t="s">
        <v>8189</v>
      </c>
      <c r="E6140" s="3" t="str">
        <f>HYPERLINK("https://www.amazon.com/Extra-Closing-Klein-Tools-5416TCP/dp/B008IRAM1O/ref=sr_1_1?keywords=Klein+Tools+5416TCP+Tool+Bag%2C+Extra+Tall+Top+Closing+Bolt+Bag%2C+5+x+12+x+9-Inch&amp;qid=1695173934&amp;sr=8-1", "https://www.amazon.com/Extra-Closing-Klein-Tools-5416TCP/dp/B008IRAM1O/ref=sr_1_1?keywords=Klein+Tools+5416TCP+Tool+Bag%2C+Extra+Tall+Top+Closing+Bolt+Bag%2C+5+x+12+x+9-Inch&amp;qid=1695173934&amp;sr=8-1")</f>
        <v>https://www.amazon.com/Extra-Closing-Klein-Tools-5416TCP/dp/B008IRAM1O/ref=sr_1_1?keywords=Klein+Tools+5416TCP+Tool+Bag%2C+Extra+Tall+Top+Closing+Bolt+Bag%2C+5+x+12+x+9-Inch&amp;qid=1695173934&amp;sr=8-1</v>
      </c>
      <c r="F6140" t="s">
        <v>8190</v>
      </c>
      <c r="G6140" t="e">
        <f ca="1">_xludf.IMAGE("https://edmondsonsupply.com/cdn/shop/products/5416tcp.jpg?v=1633031024")</f>
        <v>#NAME?</v>
      </c>
      <c r="H6140" t="e">
        <f ca="1">_xludf.IMAGE("https://m.media-amazon.com/images/I/61zwtJ6VufL._AC_UL320_.jpg")</f>
        <v>#NAME?</v>
      </c>
      <c r="I6140" t="s">
        <v>8191</v>
      </c>
      <c r="J6140">
        <v>26.22</v>
      </c>
      <c r="K6140" s="4">
        <v>0</v>
      </c>
      <c r="L6140">
        <v>4.7</v>
      </c>
      <c r="M6140">
        <v>325</v>
      </c>
      <c r="O6140" t="s">
        <v>25</v>
      </c>
      <c r="P6140" t="s">
        <v>8192</v>
      </c>
      <c r="Q6140" t="s">
        <v>8193</v>
      </c>
    </row>
    <row r="6141" spans="1:17" ht="15.5" x14ac:dyDescent="0.35">
      <c r="A6141"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6141" s="3" t="str">
        <f>HYPERLINK("https://edmondsonsupply.com/products/klein-tools-55559-stand-up-zipper-bags-7-inch-and-14-inch-2-pack", "https://edmondsonsupply.com/products/klein-tools-55559-stand-up-zipper-bags-7-inch-and-14-inch-2-pack")</f>
        <v>https://edmondsonsupply.com/products/klein-tools-55559-stand-up-zipper-bags-7-inch-and-14-inch-2-pack</v>
      </c>
      <c r="C6141" t="s">
        <v>273</v>
      </c>
      <c r="D6141" t="s">
        <v>566</v>
      </c>
      <c r="E6141" s="3" t="str">
        <f>HYPERLINK("https://www.amazon.com/Utility-12-5-Inch-Klein-Tools-55470/dp/B075ZYW694/ref=sr_1_9?keywords=Klein+Tools+55559+Stand-up+Zipper+Bags%2C+7-Inch+and+14-Inch%2C+2-Pack&amp;qid=1695174132&amp;sr=8-9", "https://www.amazon.com/Utility-12-5-Inch-Klein-Tools-55470/dp/B075ZYW694/ref=sr_1_9?keywords=Klein+Tools+55559+Stand-up+Zipper+Bags%2C+7-Inch+and+14-Inch%2C+2-Pack&amp;qid=1695174132&amp;sr=8-9")</f>
        <v>https://www.amazon.com/Utility-12-5-Inch-Klein-Tools-55470/dp/B075ZYW694/ref=sr_1_9?keywords=Klein+Tools+55559+Stand-up+Zipper+Bags%2C+7-Inch+and+14-Inch%2C+2-Pack&amp;qid=1695174132&amp;sr=8-9</v>
      </c>
      <c r="F6141" t="s">
        <v>567</v>
      </c>
      <c r="G6141" t="e">
        <f ca="1">_xludf.IMAGE("https://edmondsonsupply.com/cdn/shop/products/55559.jpg?v=1666900727")</f>
        <v>#NAME?</v>
      </c>
      <c r="H6141" t="e">
        <f ca="1">_xludf.IMAGE("https://m.media-amazon.com/images/I/81mbAy3U-rL._AC_UL320_.jpg")</f>
        <v>#NAME?</v>
      </c>
      <c r="I6141" t="s">
        <v>276</v>
      </c>
      <c r="J6141">
        <v>14.99</v>
      </c>
      <c r="K6141" s="4">
        <v>0</v>
      </c>
      <c r="L6141">
        <v>4.7</v>
      </c>
      <c r="M6141">
        <v>3482</v>
      </c>
      <c r="O6141" t="s">
        <v>25</v>
      </c>
      <c r="P6141" t="s">
        <v>277</v>
      </c>
      <c r="Q6141" t="s">
        <v>278</v>
      </c>
    </row>
    <row r="6142" spans="1:17" ht="15.5" x14ac:dyDescent="0.35">
      <c r="A6142" s="3" t="str">
        <f>HYPERLINK("https://edmondsonsupply.com/collections/electricians-tools/products/klein-tools-56380-multi-groove-fiberglass-fish-tape-with-spiral-steel-leader-100-foot", "https://edmondsonsupply.com/collections/electricians-tools/products/klein-tools-56380-multi-groove-fiberglass-fish-tape-with-spiral-steel-leader-100-foot")</f>
        <v>https://edmondsonsupply.com/collections/electricians-tools/products/klein-tools-56380-multi-groove-fiberglass-fish-tape-with-spiral-steel-leader-100-foot</v>
      </c>
      <c r="B6142"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6142" t="s">
        <v>3273</v>
      </c>
      <c r="D6142" t="s">
        <v>4511</v>
      </c>
      <c r="E6142" s="3" t="str">
        <f>HYPERLINK("https://www.amazon.com/Klein-Tools-56380-Multi-Groove-Fiberglass/dp/B0822229DW/ref=sr_1_4?keywords=Klein+Tools+56380+Multi-Groove+Fiberglass+Fish+Tape+with+Spiral+Steel+Leader%2C+100-Foot&amp;qid=1695173932&amp;sr=8-4", "https://www.amazon.com/Klein-Tools-56380-Multi-Groove-Fiberglass/dp/B0822229DW/ref=sr_1_4?keywords=Klein+Tools+56380+Multi-Groove+Fiberglass+Fish+Tape+with+Spiral+Steel+Leader%2C+100-Foot&amp;qid=1695173932&amp;sr=8-4")</f>
        <v>https://www.amazon.com/Klein-Tools-56380-Multi-Groove-Fiberglass/dp/B0822229DW/ref=sr_1_4?keywords=Klein+Tools+56380+Multi-Groove+Fiberglass+Fish+Tape+with+Spiral+Steel+Leader%2C+100-Foot&amp;qid=1695173932&amp;sr=8-4</v>
      </c>
      <c r="F6142" t="s">
        <v>4512</v>
      </c>
      <c r="G6142" t="e">
        <f ca="1">_xludf.IMAGE("https://edmondsonsupply.com/cdn/shop/products/56380.jpg?v=1587147762")</f>
        <v>#NAME?</v>
      </c>
      <c r="H6142" t="e">
        <f ca="1">_xludf.IMAGE("https://m.media-amazon.com/images/I/51m05Po5U+L._AC_UL320_.jpg")</f>
        <v>#NAME?</v>
      </c>
      <c r="I6142" t="s">
        <v>3276</v>
      </c>
      <c r="J6142">
        <v>139.99</v>
      </c>
      <c r="K6142" s="4">
        <v>0</v>
      </c>
      <c r="L6142">
        <v>4.7</v>
      </c>
      <c r="M6142">
        <v>87</v>
      </c>
      <c r="O6142" t="s">
        <v>25</v>
      </c>
      <c r="P6142" t="s">
        <v>3277</v>
      </c>
      <c r="Q6142" t="s">
        <v>3278</v>
      </c>
    </row>
    <row r="6143" spans="1:17" ht="15.5" x14ac:dyDescent="0.35">
      <c r="A6143" s="3" t="str">
        <f>HYPERLINK("https://edmondsonsupply.com/collections/electricians-tools/products/klein-tools-55559-stand-up-zipper-bags-7-inch-and-14-inch-2-pack", "https://edmondsonsupply.com/collections/electricians-tools/products/klein-tools-55559-stand-up-zipper-bags-7-inch-and-14-inch-2-pack")</f>
        <v>https://edmondsonsupply.com/collections/electricians-tools/products/klein-tools-55559-stand-up-zipper-bags-7-inch-and-14-inch-2-pack</v>
      </c>
      <c r="B6143" s="3" t="str">
        <f>HYPERLINK("https://edmondsonsupply.com/products/klein-tools-55559-stand-up-zipper-bags-7-inch-and-14-inch-2-pack", "https://edmondsonsupply.com/products/klein-tools-55559-stand-up-zipper-bags-7-inch-and-14-inch-2-pack")</f>
        <v>https://edmondsonsupply.com/products/klein-tools-55559-stand-up-zipper-bags-7-inch-and-14-inch-2-pack</v>
      </c>
      <c r="C6143" t="s">
        <v>273</v>
      </c>
      <c r="D6143" t="s">
        <v>557</v>
      </c>
      <c r="E6143" s="3" t="str">
        <f>HYPERLINK("https://www.amazon.com/Klein-Tools-55559-Carabiners-Reinforced/dp/B0B11LN6SM/ref=sr_1_1?keywords=Klein+Tools+55559+Stand-up+Zipper+Bags%2C+7-Inch+and+14-Inch%2C+2-Pack&amp;qid=1695174132&amp;sr=8-1", "https://www.amazon.com/Klein-Tools-55559-Carabiners-Reinforced/dp/B0B11LN6SM/ref=sr_1_1?keywords=Klein+Tools+55559+Stand-up+Zipper+Bags%2C+7-Inch+and+14-Inch%2C+2-Pack&amp;qid=1695174132&amp;sr=8-1")</f>
        <v>https://www.amazon.com/Klein-Tools-55559-Carabiners-Reinforced/dp/B0B11LN6SM/ref=sr_1_1?keywords=Klein+Tools+55559+Stand-up+Zipper+Bags%2C+7-Inch+and+14-Inch%2C+2-Pack&amp;qid=1695174132&amp;sr=8-1</v>
      </c>
      <c r="F6143" t="s">
        <v>558</v>
      </c>
      <c r="G6143" t="e">
        <f ca="1">_xludf.IMAGE("https://edmondsonsupply.com/cdn/shop/products/55559.jpg?v=1666900727")</f>
        <v>#NAME?</v>
      </c>
      <c r="H6143" t="e">
        <f ca="1">_xludf.IMAGE("https://m.media-amazon.com/images/I/51wgn+HFuyL._AC_UL320_.jpg")</f>
        <v>#NAME?</v>
      </c>
      <c r="I6143" t="s">
        <v>276</v>
      </c>
      <c r="J6143">
        <v>14.99</v>
      </c>
      <c r="K6143" s="4">
        <v>0</v>
      </c>
      <c r="L6143">
        <v>4.8</v>
      </c>
      <c r="M6143">
        <v>632</v>
      </c>
      <c r="O6143" t="s">
        <v>25</v>
      </c>
      <c r="P6143" t="s">
        <v>277</v>
      </c>
      <c r="Q6143" t="s">
        <v>278</v>
      </c>
    </row>
    <row r="6144" spans="1:17" ht="15.5" x14ac:dyDescent="0.35">
      <c r="A6144" s="3" t="str">
        <f>HYPERLINK("https://edmondsonsupply.com/collections/electricians-tools/products/channellock-804", "https://edmondsonsupply.com/collections/electricians-tools/products/channellock-804")</f>
        <v>https://edmondsonsupply.com/collections/electricians-tools/products/channellock-804</v>
      </c>
      <c r="B6144" s="3" t="str">
        <f>HYPERLINK("https://edmondsonsupply.com/products/channellock-804", "https://edmondsonsupply.com/products/channellock-804")</f>
        <v>https://edmondsonsupply.com/products/channellock-804</v>
      </c>
      <c r="C6144" t="s">
        <v>1551</v>
      </c>
      <c r="D6144" t="s">
        <v>4700</v>
      </c>
      <c r="E6144" s="3" t="str">
        <f>HYPERLINK("https://www.amazon.com/Channellock-804-4-5-Inch-Adjustable-Wrench/dp/B00004SBDK/ref=sr_1_3?keywords=Channellock+804+4-Inch+Chrome+Adjustable+Wrench&amp;qid=1695173945&amp;sr=8-3", "https://www.amazon.com/Channellock-804-4-5-Inch-Adjustable-Wrench/dp/B00004SBDK/ref=sr_1_3?keywords=Channellock+804+4-Inch+Chrome+Adjustable+Wrench&amp;qid=1695173945&amp;sr=8-3")</f>
        <v>https://www.amazon.com/Channellock-804-4-5-Inch-Adjustable-Wrench/dp/B00004SBDK/ref=sr_1_3?keywords=Channellock+804+4-Inch+Chrome+Adjustable+Wrench&amp;qid=1695173945&amp;sr=8-3</v>
      </c>
      <c r="F6144" t="s">
        <v>4701</v>
      </c>
      <c r="G6144" t="e">
        <f ca="1">_xludf.IMAGE("https://edmondsonsupply.com/cdn/shop/products/804-683x1024.jpg?v=1587145853")</f>
        <v>#NAME?</v>
      </c>
      <c r="H6144" t="e">
        <f ca="1">_xludf.IMAGE("https://m.media-amazon.com/images/I/71DERbexqEL._AC_UL320_.jpg")</f>
        <v>#NAME?</v>
      </c>
      <c r="I6144" t="s">
        <v>1554</v>
      </c>
      <c r="J6144">
        <v>16.95</v>
      </c>
      <c r="K6144" s="4">
        <v>0</v>
      </c>
      <c r="L6144">
        <v>4.7</v>
      </c>
      <c r="M6144">
        <v>571</v>
      </c>
      <c r="O6144" t="s">
        <v>25</v>
      </c>
      <c r="P6144" t="s">
        <v>1555</v>
      </c>
      <c r="Q6144" t="s">
        <v>1556</v>
      </c>
    </row>
    <row r="6145" spans="1:17" ht="15.5" x14ac:dyDescent="0.35">
      <c r="A6145" s="3" t="str">
        <f>HYPERLINK("https://edmondsonsupply.com/collections/electricians-tools/products/klein-tools-60614-lightweight-knee-pad-sleeves-s-m", "https://edmondsonsupply.com/collections/electricians-tools/products/klein-tools-60614-lightweight-knee-pad-sleeves-s-m")</f>
        <v>https://edmondsonsupply.com/collections/electricians-tools/products/klein-tools-60614-lightweight-knee-pad-sleeves-s-m</v>
      </c>
      <c r="B6145" s="3" t="str">
        <f>HYPERLINK("https://edmondsonsupply.com/products/klein-tools-60614-lightweight-knee-pad-sleeves-s-m", "https://edmondsonsupply.com/products/klein-tools-60614-lightweight-knee-pad-sleeves-s-m")</f>
        <v>https://edmondsonsupply.com/products/klein-tools-60614-lightweight-knee-pad-sleeves-s-m</v>
      </c>
      <c r="C6145" t="s">
        <v>898</v>
      </c>
      <c r="D6145" t="s">
        <v>1166</v>
      </c>
      <c r="E6145" s="3" t="str">
        <f>HYPERLINK("https://www.amazon.com/Klein-Tools-60614-Lightweight-Slip-Resistant/dp/B0BW9WHCRJ/ref=sr_1_1?keywords=Klein+Tools+60614+Lightweight+Knee+Pad+Sleeves%2C+S%2FM&amp;qid=1695174023&amp;sr=8-1", "https://www.amazon.com/Klein-Tools-60614-Lightweight-Slip-Resistant/dp/B0BW9WHCRJ/ref=sr_1_1?keywords=Klein+Tools+60614+Lightweight+Knee+Pad+Sleeves%2C+S%2FM&amp;qid=1695174023&amp;sr=8-1")</f>
        <v>https://www.amazon.com/Klein-Tools-60614-Lightweight-Slip-Resistant/dp/B0BW9WHCRJ/ref=sr_1_1?keywords=Klein+Tools+60614+Lightweight+Knee+Pad+Sleeves%2C+S%2FM&amp;qid=1695174023&amp;sr=8-1</v>
      </c>
      <c r="F6145" t="s">
        <v>1167</v>
      </c>
      <c r="G6145" t="e">
        <f ca="1">_xludf.IMAGE("https://edmondsonsupply.com/cdn/shop/products/60492_60592_photo_4859ff57-33ad-45f9-87df-8dc6b9372281.jpg?v=1681742927")</f>
        <v>#NAME?</v>
      </c>
      <c r="H6145" t="e">
        <f ca="1">_xludf.IMAGE("https://m.media-amazon.com/images/I/61pjcWSwQcL._AC_UL320_.jpg")</f>
        <v>#NAME?</v>
      </c>
      <c r="I6145" t="s">
        <v>577</v>
      </c>
      <c r="J6145">
        <v>19.989999999999998</v>
      </c>
      <c r="K6145" s="4">
        <v>0</v>
      </c>
      <c r="L6145">
        <v>4.5</v>
      </c>
      <c r="M6145">
        <v>192</v>
      </c>
      <c r="O6145" t="s">
        <v>25</v>
      </c>
      <c r="P6145" t="s">
        <v>894</v>
      </c>
      <c r="Q6145" t="s">
        <v>899</v>
      </c>
    </row>
    <row r="6146" spans="1:17" ht="15.5" x14ac:dyDescent="0.35">
      <c r="A6146" s="3" t="str">
        <f>HYPERLINK("https://edmondsonsupply.com/collections/electricians-tools/products/klein-tools-60618-winter-thermal-gloves-s", "https://edmondsonsupply.com/collections/electricians-tools/products/klein-tools-60618-winter-thermal-gloves-s")</f>
        <v>https://edmondsonsupply.com/collections/electricians-tools/products/klein-tools-60618-winter-thermal-gloves-s</v>
      </c>
      <c r="B6146" s="3" t="str">
        <f>HYPERLINK("https://edmondsonsupply.com/products/klein-tools-60618-winter-thermal-gloves-s", "https://edmondsonsupply.com/products/klein-tools-60618-winter-thermal-gloves-s")</f>
        <v>https://edmondsonsupply.com/products/klein-tools-60618-winter-thermal-gloves-s</v>
      </c>
      <c r="C6146" t="s">
        <v>1172</v>
      </c>
      <c r="D6146" t="s">
        <v>1173</v>
      </c>
      <c r="E6146" s="3" t="str">
        <f>HYPERLINK("https://www.amazon.com/Klein-Tools-60618-Thinsulate-Thermal/dp/B0BPDVYGPY/ref=sr_1_1?keywords=Klein+Tools+60618+Winter+Thermal+Gloves%2C+S&amp;qid=1695174061&amp;sr=8-1", "https://www.amazon.com/Klein-Tools-60618-Thinsulate-Thermal/dp/B0BPDVYGPY/ref=sr_1_1?keywords=Klein+Tools+60618+Winter+Thermal+Gloves%2C+S&amp;qid=1695174061&amp;sr=8-1")</f>
        <v>https://www.amazon.com/Klein-Tools-60618-Thinsulate-Thermal/dp/B0BPDVYGPY/ref=sr_1_1?keywords=Klein+Tools+60618+Winter+Thermal+Gloves%2C+S&amp;qid=1695174061&amp;sr=8-1</v>
      </c>
      <c r="F6146" t="s">
        <v>1174</v>
      </c>
      <c r="G6146" t="e">
        <f ca="1">_xludf.IMAGE("https://edmondsonsupply.com/cdn/shop/products/60619_62a83fea-23b4-4533-9ced-7a430ce0c8cd.jpg?v=1678462690")</f>
        <v>#NAME?</v>
      </c>
      <c r="H6146" t="e">
        <f ca="1">_xludf.IMAGE("https://m.media-amazon.com/images/I/71yZfwKNZWL._AC_UL320_.jpg")</f>
        <v>#NAME?</v>
      </c>
      <c r="I6146" t="s">
        <v>471</v>
      </c>
      <c r="J6146">
        <v>24.99</v>
      </c>
      <c r="K6146" s="4">
        <v>0</v>
      </c>
      <c r="L6146">
        <v>4</v>
      </c>
      <c r="M6146">
        <v>2</v>
      </c>
      <c r="O6146" t="s">
        <v>25</v>
      </c>
      <c r="P6146" t="s">
        <v>602</v>
      </c>
      <c r="Q6146" t="s">
        <v>1175</v>
      </c>
    </row>
    <row r="6147" spans="1:17" ht="15.5" x14ac:dyDescent="0.35">
      <c r="A6147"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6147" s="3" t="str">
        <f>HYPERLINK("https://edmondsonsupply.com/products/klein-tools-57032-screwdriver-set-torque-6-piece", "https://edmondsonsupply.com/products/klein-tools-57032-screwdriver-set-torque-6-piece")</f>
        <v>https://edmondsonsupply.com/products/klein-tools-57032-screwdriver-set-torque-6-piece</v>
      </c>
      <c r="C6147" t="s">
        <v>8194</v>
      </c>
      <c r="D6147" t="s">
        <v>8195</v>
      </c>
      <c r="E6147" s="3" t="str">
        <f>HYPERLINK("https://www.amazon.com/Torque-Screwdriver-Klein-Tools-57032/dp/B00N0V93OK/ref=sr_1_1?keywords=Klein+Tools+57032+Screwdriver+Set%2C+Torque%2C+6-Piece&amp;qid=1695174073&amp;sr=8-1", "https://www.amazon.com/Torque-Screwdriver-Klein-Tools-57032/dp/B00N0V93OK/ref=sr_1_1?keywords=Klein+Tools+57032+Screwdriver+Set%2C+Torque%2C+6-Piece&amp;qid=1695174073&amp;sr=8-1")</f>
        <v>https://www.amazon.com/Torque-Screwdriver-Klein-Tools-57032/dp/B00N0V93OK/ref=sr_1_1?keywords=Klein+Tools+57032+Screwdriver+Set%2C+Torque%2C+6-Piece&amp;qid=1695174073&amp;sr=8-1</v>
      </c>
      <c r="F6147" t="s">
        <v>8196</v>
      </c>
      <c r="G6147" t="e">
        <f ca="1">_xludf.IMAGE("https://edmondsonsupply.com/cdn/shop/products/57032set.jpg?v=1675348782")</f>
        <v>#NAME?</v>
      </c>
      <c r="H6147" t="e">
        <f ca="1">_xludf.IMAGE("https://m.media-amazon.com/images/I/71o9zv+qoQL._AC_UL320_.jpg")</f>
        <v>#NAME?</v>
      </c>
      <c r="I6147" t="s">
        <v>533</v>
      </c>
      <c r="J6147">
        <v>299.99</v>
      </c>
      <c r="K6147" s="4">
        <v>0</v>
      </c>
      <c r="L6147">
        <v>4.3</v>
      </c>
      <c r="M6147">
        <v>36</v>
      </c>
      <c r="O6147" t="s">
        <v>25</v>
      </c>
      <c r="P6147" t="s">
        <v>8197</v>
      </c>
      <c r="Q6147" t="s">
        <v>8198</v>
      </c>
    </row>
    <row r="6148" spans="1:17" ht="15.5" x14ac:dyDescent="0.35">
      <c r="A6148" s="3" t="str">
        <f>HYPERLINK("https://edmondsonsupply.com/collections/electricians-tools/products/klein-tools-60156-intrinsically-safe-led-headlamp", "https://edmondsonsupply.com/collections/electricians-tools/products/klein-tools-60156-intrinsically-safe-led-headlamp")</f>
        <v>https://edmondsonsupply.com/collections/electricians-tools/products/klein-tools-60156-intrinsically-safe-led-headlamp</v>
      </c>
      <c r="B6148" s="3" t="str">
        <f>HYPERLINK("https://edmondsonsupply.com/products/klein-tools-60156-intrinsically-safe-led-headlamp", "https://edmondsonsupply.com/products/klein-tools-60156-intrinsically-safe-led-headlamp")</f>
        <v>https://edmondsonsupply.com/products/klein-tools-60156-intrinsically-safe-led-headlamp</v>
      </c>
      <c r="C6148" t="s">
        <v>8199</v>
      </c>
      <c r="D6148" t="s">
        <v>8200</v>
      </c>
      <c r="E6148" s="3" t="str">
        <f>HYPERLINK("https://www.amazon.com/Intrinsically-Hazardous-Klein-Tools-60156/dp/B095XLB3XW/ref=sr_1_1?keywords=Klein+Tools+60156+Intrinsically+Safe+LED+Headlamp&amp;qid=1695174148&amp;sr=8-1", "https://www.amazon.com/Intrinsically-Hazardous-Klein-Tools-60156/dp/B095XLB3XW/ref=sr_1_1?keywords=Klein+Tools+60156+Intrinsically+Safe+LED+Headlamp&amp;qid=1695174148&amp;sr=8-1")</f>
        <v>https://www.amazon.com/Intrinsically-Hazardous-Klein-Tools-60156/dp/B095XLB3XW/ref=sr_1_1?keywords=Klein+Tools+60156+Intrinsically+Safe+LED+Headlamp&amp;qid=1695174148&amp;sr=8-1</v>
      </c>
      <c r="F6148" t="s">
        <v>8201</v>
      </c>
      <c r="G6148" t="e">
        <f ca="1">_xludf.IMAGE("https://edmondsonsupply.com/cdn/shop/products/60156.jpg?v=1664380433")</f>
        <v>#NAME?</v>
      </c>
      <c r="H6148" t="e">
        <f ca="1">_xludf.IMAGE("https://m.media-amazon.com/images/I/61fqqNW9DLS._AC_UL320_.jpg")</f>
        <v>#NAME?</v>
      </c>
      <c r="I6148" t="s">
        <v>7918</v>
      </c>
      <c r="J6148">
        <v>64.989999999999995</v>
      </c>
      <c r="K6148" s="4">
        <v>0</v>
      </c>
      <c r="L6148">
        <v>3.7</v>
      </c>
      <c r="M6148">
        <v>28</v>
      </c>
      <c r="O6148" t="s">
        <v>25</v>
      </c>
      <c r="P6148" t="s">
        <v>1766</v>
      </c>
      <c r="Q6148" t="s">
        <v>8202</v>
      </c>
    </row>
    <row r="6149" spans="1:17" ht="15.5" x14ac:dyDescent="0.35">
      <c r="A6149" s="3" t="str">
        <f>HYPERLINK("https://edmondsonsupply.com/collections/electricians-tools/products/milwaukee-48-22-0325g-25-ft-compact-wide-blade-magnetic-tape-measure-2-pack", "https://edmondsonsupply.com/collections/electricians-tools/products/milwaukee-48-22-0325g-25-ft-compact-wide-blade-magnetic-tape-measure-2-pack")</f>
        <v>https://edmondsonsupply.com/collections/electricians-tools/products/milwaukee-48-22-0325g-25-ft-compact-wide-blade-magnetic-tape-measure-2-pack</v>
      </c>
      <c r="B6149" s="3" t="str">
        <f>HYPERLINK("https://edmondsonsupply.com/products/milwaukee-48-22-0325g-25-ft-compact-wide-blade-magnetic-tape-measure-2-pack", "https://edmondsonsupply.com/products/milwaukee-48-22-0325g-25-ft-compact-wide-blade-magnetic-tape-measure-2-pack")</f>
        <v>https://edmondsonsupply.com/products/milwaukee-48-22-0325g-25-ft-compact-wide-blade-magnetic-tape-measure-2-pack</v>
      </c>
      <c r="C6149" t="s">
        <v>8203</v>
      </c>
      <c r="D6149" t="s">
        <v>5438</v>
      </c>
      <c r="E6149" s="3" t="str">
        <f>HYPERLINK("https://www.amazon.com/Milwaukee-48-22-0325-Compact-Magnetic-Measures/dp/B082L6Q7WV/ref=sr_1_1?keywords=Milwaukee+48-22-0325G+25+ft+Compact+Wide+Blade+Magnetic+Tape+Measure+%282+pack%29&amp;qid=1695174070&amp;sr=8-1", "https://www.amazon.com/Milwaukee-48-22-0325-Compact-Magnetic-Measures/dp/B082L6Q7WV/ref=sr_1_1?keywords=Milwaukee+48-22-0325G+25+ft+Compact+Wide+Blade+Magnetic+Tape+Measure+%282+pack%29&amp;qid=1695174070&amp;sr=8-1")</f>
        <v>https://www.amazon.com/Milwaukee-48-22-0325-Compact-Magnetic-Measures/dp/B082L6Q7WV/ref=sr_1_1?keywords=Milwaukee+48-22-0325G+25+ft+Compact+Wide+Blade+Magnetic+Tape+Measure+%282+pack%29&amp;qid=1695174070&amp;sr=8-1</v>
      </c>
      <c r="F6149" t="s">
        <v>5439</v>
      </c>
      <c r="G6149" t="e">
        <f ca="1">_xludf.IMAGE("https://edmondsonsupply.com/cdn/shop/products/39408948-2072-4D7D-ACDB-CAB014657D2F_7.jpg?v=1675703415")</f>
        <v>#NAME?</v>
      </c>
      <c r="H6149" t="e">
        <f ca="1">_xludf.IMAGE("https://m.media-amazon.com/images/I/41gSokc+0RL._AC_UL320_.jpg")</f>
        <v>#NAME?</v>
      </c>
      <c r="I6149" t="s">
        <v>1716</v>
      </c>
      <c r="J6149">
        <v>22.97</v>
      </c>
      <c r="K6149" s="4">
        <v>0</v>
      </c>
      <c r="L6149">
        <v>4.5</v>
      </c>
      <c r="M6149">
        <v>206</v>
      </c>
      <c r="O6149" t="s">
        <v>171</v>
      </c>
      <c r="P6149" t="s">
        <v>138</v>
      </c>
      <c r="Q6149" t="s">
        <v>8204</v>
      </c>
    </row>
    <row r="6150" spans="1:17" ht="15.5" x14ac:dyDescent="0.35">
      <c r="A6150" s="3" t="str">
        <f>HYPERLINK("https://edmondsonsupply.com/collections/electricians-tools/products/klein-tools-56026-inspection-penlight-with-laser-led-flashlight", "https://edmondsonsupply.com/collections/electricians-tools/products/klein-tools-56026-inspection-penlight-with-laser-led-flashlight")</f>
        <v>https://edmondsonsupply.com/collections/electricians-tools/products/klein-tools-56026-inspection-penlight-with-laser-led-flashlight</v>
      </c>
      <c r="B6150" s="3" t="str">
        <f>HYPERLINK("https://edmondsonsupply.com/products/klein-tools-56026-inspection-penlight-with-laser-led-flashlight", "https://edmondsonsupply.com/products/klein-tools-56026-inspection-penlight-with-laser-led-flashlight")</f>
        <v>https://edmondsonsupply.com/products/klein-tools-56026-inspection-penlight-with-laser-led-flashlight</v>
      </c>
      <c r="C6150" t="s">
        <v>4472</v>
      </c>
      <c r="D6150" t="s">
        <v>4473</v>
      </c>
      <c r="E6150" s="3" t="str">
        <f>HYPERLINK("https://www.amazon.com/Klein-Tools-56026-Inspection-Penlight/dp/B01N9RGQQP/ref=sr_1_1?keywords=Klein+Tools+56026+Inspection+Penlight+with+Class+3R+Red+Laser+Pointer&amp;qid=1695173952&amp;sr=8-1", "https://www.amazon.com/Klein-Tools-56026-Inspection-Penlight/dp/B01N9RGQQP/ref=sr_1_1?keywords=Klein+Tools+56026+Inspection+Penlight+with+Class+3R+Red+Laser+Pointer&amp;qid=1695173952&amp;sr=8-1")</f>
        <v>https://www.amazon.com/Klein-Tools-56026-Inspection-Penlight/dp/B01N9RGQQP/ref=sr_1_1?keywords=Klein+Tools+56026+Inspection+Penlight+with+Class+3R+Red+Laser+Pointer&amp;qid=1695173952&amp;sr=8-1</v>
      </c>
      <c r="F6150" t="s">
        <v>4474</v>
      </c>
      <c r="G6150" t="e">
        <f ca="1">_xludf.IMAGE("https://edmondsonsupply.com/cdn/shop/products/56026_c.jpg?v=1664897604")</f>
        <v>#NAME?</v>
      </c>
      <c r="H6150" t="e">
        <f ca="1">_xludf.IMAGE("https://m.media-amazon.com/images/I/51ZiHpGyQNL._AC_UL320_.jpg")</f>
        <v>#NAME?</v>
      </c>
      <c r="I6150" t="s">
        <v>893</v>
      </c>
      <c r="J6150">
        <v>19.97</v>
      </c>
      <c r="K6150" s="4">
        <v>0</v>
      </c>
      <c r="L6150">
        <v>4.4000000000000004</v>
      </c>
      <c r="M6150">
        <v>2929</v>
      </c>
      <c r="O6150" t="s">
        <v>25</v>
      </c>
      <c r="P6150" t="s">
        <v>4475</v>
      </c>
      <c r="Q6150" t="s">
        <v>4476</v>
      </c>
    </row>
    <row r="6151" spans="1:17" ht="15.5" x14ac:dyDescent="0.35">
      <c r="A6151" s="3" t="str">
        <f>HYPERLINK("https://edmondsonsupply.com/collections/electricians-tools/products/klein-tools-50660-glow-in-the-dark-fish-tape-40-foot", "https://edmondsonsupply.com/collections/electricians-tools/products/klein-tools-50660-glow-in-the-dark-fish-tape-40-foot")</f>
        <v>https://edmondsonsupply.com/collections/electricians-tools/products/klein-tools-50660-glow-in-the-dark-fish-tape-40-foot</v>
      </c>
      <c r="B6151" s="3" t="str">
        <f>HYPERLINK("https://edmondsonsupply.com/products/klein-tools-50660-glow-in-the-dark-fish-tape-40-foot", "https://edmondsonsupply.com/products/klein-tools-50660-glow-in-the-dark-fish-tape-40-foot")</f>
        <v>https://edmondsonsupply.com/products/klein-tools-50660-glow-in-the-dark-fish-tape-40-foot</v>
      </c>
      <c r="C6151" t="s">
        <v>8205</v>
      </c>
      <c r="D6151" t="s">
        <v>2468</v>
      </c>
      <c r="E6151" s="3" t="str">
        <f>HYPERLINK("https://www.amazon.com/Klein-Tools-50660-Stainless-Steel-Attachments/dp/B0BVJXRH9J/ref=sr_1_1?keywords=Klein+Tools+50660+Glow+in+the+Dark+Fish+Tape%2C+40-Foot&amp;qid=1695174067&amp;sr=8-1", "https://www.amazon.com/Klein-Tools-50660-Stainless-Steel-Attachments/dp/B0BVJXRH9J/ref=sr_1_1?keywords=Klein+Tools+50660+Glow+in+the+Dark+Fish+Tape%2C+40-Foot&amp;qid=1695174067&amp;sr=8-1")</f>
        <v>https://www.amazon.com/Klein-Tools-50660-Stainless-Steel-Attachments/dp/B0BVJXRH9J/ref=sr_1_1?keywords=Klein+Tools+50660+Glow+in+the+Dark+Fish+Tape%2C+40-Foot&amp;qid=1695174067&amp;sr=8-1</v>
      </c>
      <c r="F6151" t="s">
        <v>2469</v>
      </c>
      <c r="G6151" t="e">
        <f ca="1">_xludf.IMAGE("https://edmondsonsupply.com/cdn/shop/products/50660.jpg?v=1677685297")</f>
        <v>#NAME?</v>
      </c>
      <c r="H6151" t="e">
        <f ca="1">_xludf.IMAGE("https://m.media-amazon.com/images/I/61TfZQjceGL._AC_UL320_.jpg")</f>
        <v>#NAME?</v>
      </c>
      <c r="I6151" t="s">
        <v>5197</v>
      </c>
      <c r="J6151">
        <v>59.97</v>
      </c>
      <c r="K6151" s="4">
        <v>0</v>
      </c>
      <c r="L6151">
        <v>4.0999999999999996</v>
      </c>
      <c r="M6151">
        <v>6</v>
      </c>
      <c r="O6151" t="s">
        <v>25</v>
      </c>
      <c r="P6151" t="s">
        <v>8206</v>
      </c>
      <c r="Q6151" t="s">
        <v>8207</v>
      </c>
    </row>
    <row r="6152" spans="1:17" ht="15.5" x14ac:dyDescent="0.35">
      <c r="A6152" s="3" t="str">
        <f>HYPERLINK("https://edmondsonsupply.com/collections/electricians-tools/products/klein-tools-32527-11-in-1-screwdriver-nut-driver-with-schrader%C2%AE-bit", "https://edmondsonsupply.com/collections/electricians-tools/products/klein-tools-32527-11-in-1-screwdriver-nut-driver-with-schrader%C2%AE-bit")</f>
        <v>https://edmondsonsupply.com/collections/electricians-tools/products/klein-tools-32527-11-in-1-screwdriver-nut-driver-with-schrader%C2%AE-bit</v>
      </c>
      <c r="B6152" s="3" t="str">
        <f>HYPERLINK("https://edmondsonsupply.com/products/klein-tools-32527-11-in-1-screwdriver-nut-driver-with-schrader%c2%ae-bit", "https://edmondsonsupply.com/products/klein-tools-32527-11-in-1-screwdriver-nut-driver-with-schrader%c2%ae-bit")</f>
        <v>https://edmondsonsupply.com/products/klein-tools-32527-11-in-1-screwdriver-nut-driver-with-schrader%c2%ae-bit</v>
      </c>
      <c r="C6152" t="s">
        <v>4714</v>
      </c>
      <c r="D6152" t="s">
        <v>4715</v>
      </c>
      <c r="E6152" s="3" t="str">
        <f>HYPERLINK("https://www.amazon.com/Screwdriver-Phillips-Klein-Tools-32527/dp/B004RIDKHQ/ref=sr_1_1?keywords=Klein+Tools+32527+Multi-Bit+Screwdriver+%2F+Nut+Driver%2C+11-in-1%2C+Ph%2C+Sl%2C+Sq%2C+Schrader+Bits&amp;qid=1695173951&amp;sr=8-1", "https://www.amazon.com/Screwdriver-Phillips-Klein-Tools-32527/dp/B004RIDKHQ/ref=sr_1_1?keywords=Klein+Tools+32527+Multi-Bit+Screwdriver+%2F+Nut+Driver%2C+11-in-1%2C+Ph%2C+Sl%2C+Sq%2C+Schrader+Bits&amp;qid=1695173951&amp;sr=8-1")</f>
        <v>https://www.amazon.com/Screwdriver-Phillips-Klein-Tools-32527/dp/B004RIDKHQ/ref=sr_1_1?keywords=Klein+Tools+32527+Multi-Bit+Screwdriver+%2F+Nut+Driver%2C+11-in-1%2C+Ph%2C+Sl%2C+Sq%2C+Schrader+Bits&amp;qid=1695173951&amp;sr=8-1</v>
      </c>
      <c r="F6152" t="s">
        <v>4716</v>
      </c>
      <c r="G6152" t="e">
        <f ca="1">_xludf.IMAGE("https://edmondsonsupply.com/cdn/shop/products/32527.jpg?v=1587146830")</f>
        <v>#NAME?</v>
      </c>
      <c r="H6152" t="e">
        <f ca="1">_xludf.IMAGE("https://m.media-amazon.com/images/I/41cLxI0Af5L._AC_UL320_.jpg")</f>
        <v>#NAME?</v>
      </c>
      <c r="I6152" t="s">
        <v>143</v>
      </c>
      <c r="J6152">
        <v>15.97</v>
      </c>
      <c r="K6152" s="4">
        <v>0</v>
      </c>
      <c r="L6152">
        <v>4.8</v>
      </c>
      <c r="M6152">
        <v>4204</v>
      </c>
      <c r="O6152" t="s">
        <v>25</v>
      </c>
      <c r="P6152" t="s">
        <v>4717</v>
      </c>
      <c r="Q6152" t="s">
        <v>4718</v>
      </c>
    </row>
    <row r="6153" spans="1:17" ht="15.5" x14ac:dyDescent="0.35">
      <c r="A6153"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6153"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6153" t="s">
        <v>7732</v>
      </c>
      <c r="D6153" t="s">
        <v>7215</v>
      </c>
      <c r="E6153" s="3" t="str">
        <f>HYPERLINK("https://www.amazon.com/Klein-Tools-6944INS-Screwdriver-Cushion-Grip/dp/B09GPYTZV3/ref=sr_1_6?keywords=Klein+Tools+6984INS+Slim-Tip+1000V+Insulated+Screwdriver%2C+%231+Square%2C+4-Inch+Round+Shank&amp;qid=1695174144&amp;sr=8-6", "https://www.amazon.com/Klein-Tools-6944INS-Screwdriver-Cushion-Grip/dp/B09GPYTZV3/ref=sr_1_6?keywords=Klein+Tools+6984INS+Slim-Tip+1000V+Insulated+Screwdriver%2C+%231+Square%2C+4-Inch+Round+Shank&amp;qid=1695174144&amp;sr=8-6")</f>
        <v>https://www.amazon.com/Klein-Tools-6944INS-Screwdriver-Cushion-Grip/dp/B09GPYTZV3/ref=sr_1_6?keywords=Klein+Tools+6984INS+Slim-Tip+1000V+Insulated+Screwdriver%2C+%231+Square%2C+4-Inch+Round+Shank&amp;qid=1695174144&amp;sr=8-6</v>
      </c>
      <c r="F6153" t="s">
        <v>7216</v>
      </c>
      <c r="G6153" t="e">
        <f ca="1">_xludf.IMAGE("https://edmondsonsupply.com/cdn/shop/products/6984ins.jpg?v=1664806448")</f>
        <v>#NAME?</v>
      </c>
      <c r="H6153" t="e">
        <f ca="1">_xludf.IMAGE("https://m.media-amazon.com/images/I/41PzygwLx+L._AC_UL320_.jpg")</f>
        <v>#NAME?</v>
      </c>
      <c r="I6153" t="s">
        <v>288</v>
      </c>
      <c r="J6153">
        <v>13.99</v>
      </c>
      <c r="K6153" s="4">
        <v>0</v>
      </c>
      <c r="L6153">
        <v>4.7</v>
      </c>
      <c r="M6153">
        <v>95</v>
      </c>
      <c r="O6153" t="s">
        <v>25</v>
      </c>
      <c r="P6153" t="s">
        <v>7730</v>
      </c>
      <c r="Q6153" t="s">
        <v>7733</v>
      </c>
    </row>
    <row r="6154" spans="1:17" ht="15.5" x14ac:dyDescent="0.35">
      <c r="A6154" s="3" t="str">
        <f>HYPERLINK("https://edmondsonsupply.com/collections/electricians-tools/products/klein-tools-62811-reusable-cooler-ice-packs-2-pack", "https://edmondsonsupply.com/collections/electricians-tools/products/klein-tools-62811-reusable-cooler-ice-packs-2-pack")</f>
        <v>https://edmondsonsupply.com/collections/electricians-tools/products/klein-tools-62811-reusable-cooler-ice-packs-2-pack</v>
      </c>
      <c r="B6154" s="3" t="str">
        <f>HYPERLINK("https://edmondsonsupply.com/products/klein-tools-62811-reusable-cooler-ice-packs-2-pack", "https://edmondsonsupply.com/products/klein-tools-62811-reusable-cooler-ice-packs-2-pack")</f>
        <v>https://edmondsonsupply.com/products/klein-tools-62811-reusable-cooler-ice-packs-2-pack</v>
      </c>
      <c r="C6154" t="s">
        <v>4643</v>
      </c>
      <c r="D6154" t="s">
        <v>4644</v>
      </c>
      <c r="E6154" s="3" t="str">
        <f>HYPERLINK("https://www.amazon.com/Klein-Tools-62811-Reusable-Interlocking/dp/B0C4RK78PC/ref=sr_1_1?keywords=Klein+Tools+62811+Reusable+Cooler+Ice+Packs%2C+2-Pack&amp;qid=1695173986&amp;sr=8-1", "https://www.amazon.com/Klein-Tools-62811-Reusable-Interlocking/dp/B0C4RK78PC/ref=sr_1_1?keywords=Klein+Tools+62811+Reusable+Cooler+Ice+Packs%2C+2-Pack&amp;qid=1695173986&amp;sr=8-1")</f>
        <v>https://www.amazon.com/Klein-Tools-62811-Reusable-Interlocking/dp/B0C4RK78PC/ref=sr_1_1?keywords=Klein+Tools+62811+Reusable+Cooler+Ice+Packs%2C+2-Pack&amp;qid=1695173986&amp;sr=8-1</v>
      </c>
      <c r="F6154" t="s">
        <v>4645</v>
      </c>
      <c r="G6154" t="e">
        <f ca="1">_xludf.IMAGE("https://edmondsonsupply.com/cdn/shop/files/62811.jpg?v=1689856974")</f>
        <v>#NAME?</v>
      </c>
      <c r="H6154" t="e">
        <f ca="1">_xludf.IMAGE("https://m.media-amazon.com/images/I/618hzjOT44L._AC_UL320_.jpg")</f>
        <v>#NAME?</v>
      </c>
      <c r="I6154" t="s">
        <v>577</v>
      </c>
      <c r="J6154">
        <v>19.989999999999998</v>
      </c>
      <c r="K6154" s="4">
        <v>0</v>
      </c>
      <c r="L6154">
        <v>4.5999999999999996</v>
      </c>
      <c r="M6154">
        <v>10</v>
      </c>
      <c r="O6154" t="s">
        <v>25</v>
      </c>
      <c r="P6154" t="s">
        <v>894</v>
      </c>
      <c r="Q6154" t="s">
        <v>4646</v>
      </c>
    </row>
    <row r="6155" spans="1:17" ht="15.5" x14ac:dyDescent="0.35">
      <c r="A6155"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6155" s="3" t="str">
        <f>HYPERLINK("https://edmondsonsupply.com/products/klein-tools-630m-magnetic-nut-driver-set-3-inch-shafts-2-piece", "https://edmondsonsupply.com/products/klein-tools-630m-magnetic-nut-driver-set-3-inch-shafts-2-piece")</f>
        <v>https://edmondsonsupply.com/products/klein-tools-630m-magnetic-nut-driver-set-3-inch-shafts-2-piece</v>
      </c>
      <c r="C6155" t="s">
        <v>1690</v>
      </c>
      <c r="D6155" t="s">
        <v>4520</v>
      </c>
      <c r="E6155" s="3" t="str">
        <f>HYPERLINK("https://www.amazon.com/Klein-Tools-Hollow-Magnetic-Driver/dp/B00080FO5I/ref=sr_1_1?keywords=Klein+Tools+630M+Magnetic+Nut+Driver+Set%2C+3-Inch+Shafts%2C+2-Piece&amp;qid=1695173928&amp;sr=8-1", "https://www.amazon.com/Klein-Tools-Hollow-Magnetic-Driver/dp/B00080FO5I/ref=sr_1_1?keywords=Klein+Tools+630M+Magnetic+Nut+Driver+Set%2C+3-Inch+Shafts%2C+2-Piece&amp;qid=1695173928&amp;sr=8-1")</f>
        <v>https://www.amazon.com/Klein-Tools-Hollow-Magnetic-Driver/dp/B00080FO5I/ref=sr_1_1?keywords=Klein+Tools+630M+Magnetic+Nut+Driver+Set%2C+3-Inch+Shafts%2C+2-Piece&amp;qid=1695173928&amp;sr=8-1</v>
      </c>
      <c r="F6155" t="s">
        <v>4521</v>
      </c>
      <c r="G6155" t="e">
        <f ca="1">_xludf.IMAGE("https://edmondsonsupply.com/cdn/shop/products/630m.jpg?v=1587143237")</f>
        <v>#NAME?</v>
      </c>
      <c r="H6155" t="e">
        <f ca="1">_xludf.IMAGE("https://m.media-amazon.com/images/I/41lx1kHoCZL._AC_UL320_.jpg")</f>
        <v>#NAME?</v>
      </c>
      <c r="I6155" t="s">
        <v>1687</v>
      </c>
      <c r="J6155">
        <v>18.989999999999998</v>
      </c>
      <c r="K6155" s="4">
        <v>0</v>
      </c>
      <c r="L6155">
        <v>4.5999999999999996</v>
      </c>
      <c r="M6155">
        <v>451</v>
      </c>
      <c r="O6155" t="s">
        <v>25</v>
      </c>
      <c r="P6155" t="s">
        <v>1693</v>
      </c>
      <c r="Q6155" t="s">
        <v>1694</v>
      </c>
    </row>
    <row r="6156" spans="1:17" ht="15.5" x14ac:dyDescent="0.35">
      <c r="A6156" s="3" t="str">
        <f>HYPERLINK("https://edmondsonsupply.com/collections/electricians-tools/products/klein-tools-6050350-corded-earplugs-50-pair-dispenser-pack", "https://edmondsonsupply.com/collections/electricians-tools/products/klein-tools-6050350-corded-earplugs-50-pair-dispenser-pack")</f>
        <v>https://edmondsonsupply.com/collections/electricians-tools/products/klein-tools-6050350-corded-earplugs-50-pair-dispenser-pack</v>
      </c>
      <c r="B6156" s="3" t="str">
        <f>HYPERLINK("https://edmondsonsupply.com/products/klein-tools-6050350-corded-earplugs-50-pair-dispenser-pack", "https://edmondsonsupply.com/products/klein-tools-6050350-corded-earplugs-50-pair-dispenser-pack")</f>
        <v>https://edmondsonsupply.com/products/klein-tools-6050350-corded-earplugs-50-pair-dispenser-pack</v>
      </c>
      <c r="C6156" t="s">
        <v>1146</v>
      </c>
      <c r="D6156" t="s">
        <v>1147</v>
      </c>
      <c r="E6156" s="3" t="str">
        <f>HYPERLINK("https://www.amazon.com/Klein-Tools-6050350-Dispenser-Construction/dp/B0BSXS7PQ4/ref=sr_1_1?keywords=Klein+Tools+6050350+Corded+Earplugs%2C+50-Pair+Dispenser+Pack&amp;qid=1695174070&amp;sr=8-1", "https://www.amazon.com/Klein-Tools-6050350-Dispenser-Construction/dp/B0BSXS7PQ4/ref=sr_1_1?keywords=Klein+Tools+6050350+Corded+Earplugs%2C+50-Pair+Dispenser+Pack&amp;qid=1695174070&amp;sr=8-1")</f>
        <v>https://www.amazon.com/Klein-Tools-6050350-Dispenser-Construction/dp/B0BSXS7PQ4/ref=sr_1_1?keywords=Klein+Tools+6050350+Corded+Earplugs%2C+50-Pair+Dispenser+Pack&amp;qid=1695174070&amp;sr=8-1</v>
      </c>
      <c r="F6156" t="s">
        <v>1148</v>
      </c>
      <c r="G6156" t="e">
        <f ca="1">_xludf.IMAGE("https://edmondsonsupply.com/cdn/shop/products/6050350.jpg?v=1677684633")</f>
        <v>#NAME?</v>
      </c>
      <c r="H6156" t="e">
        <f ca="1">_xludf.IMAGE("https://m.media-amazon.com/images/I/6196swgyHPL._AC_UL320_.jpg")</f>
        <v>#NAME?</v>
      </c>
      <c r="I6156" t="s">
        <v>26</v>
      </c>
      <c r="J6156">
        <v>29.99</v>
      </c>
      <c r="K6156" s="4">
        <v>0</v>
      </c>
      <c r="L6156">
        <v>4.3</v>
      </c>
      <c r="M6156">
        <v>15</v>
      </c>
      <c r="O6156" t="s">
        <v>25</v>
      </c>
      <c r="P6156" t="s">
        <v>562</v>
      </c>
      <c r="Q6156" t="s">
        <v>1149</v>
      </c>
    </row>
    <row r="6157" spans="1:17" ht="15.5" x14ac:dyDescent="0.35">
      <c r="A6157"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6157" s="3" t="str">
        <f>HYPERLINK("https://edmondsonsupply.com/products/klein-tools-32900-7-in-1-impact-flip-socket-with-handle", "https://edmondsonsupply.com/products/klein-tools-32900-7-in-1-impact-flip-socket-with-handle")</f>
        <v>https://edmondsonsupply.com/products/klein-tools-32900-7-in-1-impact-flip-socket-with-handle</v>
      </c>
      <c r="C6157" t="s">
        <v>6184</v>
      </c>
      <c r="D6157" t="s">
        <v>6402</v>
      </c>
      <c r="E6157" s="3" t="str">
        <f>HYPERLINK("https://www.amazon.com/Klein-Tools-32900-Impact-Driver/dp/B09PZG4F8X/ref=sr_1_1?keywords=Klein+Tools+32900+7-in-1+Impact+Flip+Socket+with+Handle&amp;qid=1695174143&amp;sr=8-1", "https://www.amazon.com/Klein-Tools-32900-Impact-Driver/dp/B09PZG4F8X/ref=sr_1_1?keywords=Klein+Tools+32900+7-in-1+Impact+Flip+Socket+with+Handle&amp;qid=1695174143&amp;sr=8-1")</f>
        <v>https://www.amazon.com/Klein-Tools-32900-Impact-Driver/dp/B09PZG4F8X/ref=sr_1_1?keywords=Klein+Tools+32900+7-in-1+Impact+Flip+Socket+with+Handle&amp;qid=1695174143&amp;sr=8-1</v>
      </c>
      <c r="F6157" t="s">
        <v>6403</v>
      </c>
      <c r="G6157" t="e">
        <f ca="1">_xludf.IMAGE("https://edmondsonsupply.com/cdn/shop/products/32900_b.jpg?v=1666024787")</f>
        <v>#NAME?</v>
      </c>
      <c r="H6157" t="e">
        <f ca="1">_xludf.IMAGE("https://m.media-amazon.com/images/I/51qL2uXqcTL._AC_UL320_.jpg")</f>
        <v>#NAME?</v>
      </c>
      <c r="I6157" t="s">
        <v>824</v>
      </c>
      <c r="J6157">
        <v>29.97</v>
      </c>
      <c r="K6157" s="4">
        <v>0</v>
      </c>
      <c r="L6157">
        <v>4.7</v>
      </c>
      <c r="M6157">
        <v>2493</v>
      </c>
      <c r="O6157" t="s">
        <v>25</v>
      </c>
      <c r="P6157" t="s">
        <v>73</v>
      </c>
      <c r="Q6157" t="s">
        <v>6187</v>
      </c>
    </row>
    <row r="6158" spans="1:17" ht="15.5" x14ac:dyDescent="0.35">
      <c r="A6158" s="3" t="str">
        <f>HYPERLINK("https://edmondsonsupply.com/collections/electricians-tools/products/jameson-tools-rd0058-ground-rod-driver-5-8-in", "https://edmondsonsupply.com/collections/electricians-tools/products/jameson-tools-rd0058-ground-rod-driver-5-8-in")</f>
        <v>https://edmondsonsupply.com/collections/electricians-tools/products/jameson-tools-rd0058-ground-rod-driver-5-8-in</v>
      </c>
      <c r="B6158" s="3" t="str">
        <f>HYPERLINK("https://edmondsonsupply.com/products/jameson-tools-rd0058-ground-rod-driver-5-8-in", "https://edmondsonsupply.com/products/jameson-tools-rd0058-ground-rod-driver-5-8-in")</f>
        <v>https://edmondsonsupply.com/products/jameson-tools-rd0058-ground-rod-driver-5-8-in</v>
      </c>
      <c r="C6158" t="s">
        <v>8208</v>
      </c>
      <c r="D6158" t="s">
        <v>8209</v>
      </c>
      <c r="E6158" s="3" t="str">
        <f>HYPERLINK("https://www.amazon.com/Jameson-RD0058-8-inch-Ground-Driver/dp/B07HJG2SZ8/ref=sr_1_1?keywords=Jameson+Tools+RD0058+Ground+Rod+Driver%2C+5%2F8+in.&amp;qid=1695173967&amp;sr=8-1", "https://www.amazon.com/Jameson-RD0058-8-inch-Ground-Driver/dp/B07HJG2SZ8/ref=sr_1_1?keywords=Jameson+Tools+RD0058+Ground+Rod+Driver%2C+5%2F8+in.&amp;qid=1695173967&amp;sr=8-1")</f>
        <v>https://www.amazon.com/Jameson-RD0058-8-inch-Ground-Driver/dp/B07HJG2SZ8/ref=sr_1_1?keywords=Jameson+Tools+RD0058+Ground+Rod+Driver%2C+5%2F8+in.&amp;qid=1695173967&amp;sr=8-1</v>
      </c>
      <c r="F6158" t="s">
        <v>8210</v>
      </c>
      <c r="G6158" t="e">
        <f ca="1">_xludf.IMAGE("https://edmondsonsupply.com/cdn/shop/files/RD0058.jpg?v=1694387232")</f>
        <v>#NAME?</v>
      </c>
      <c r="H6158" t="e">
        <f ca="1">_xludf.IMAGE("https://m.media-amazon.com/images/I/413mt6icHnL._AC_UL320_.jpg")</f>
        <v>#NAME?</v>
      </c>
      <c r="I6158" t="s">
        <v>8211</v>
      </c>
      <c r="J6158">
        <v>58.99</v>
      </c>
      <c r="K6158" s="4">
        <v>0</v>
      </c>
      <c r="L6158">
        <v>3.8</v>
      </c>
      <c r="M6158">
        <v>17</v>
      </c>
      <c r="O6158" t="s">
        <v>25</v>
      </c>
      <c r="P6158" t="s">
        <v>138</v>
      </c>
      <c r="Q6158" t="s">
        <v>8212</v>
      </c>
    </row>
    <row r="6159" spans="1:17" ht="15.5" x14ac:dyDescent="0.35">
      <c r="A6159"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159"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159" t="s">
        <v>8213</v>
      </c>
      <c r="D6159" t="s">
        <v>7095</v>
      </c>
      <c r="E6159" s="3" t="str">
        <f>HYPERLINK("https://www.amazon.com/Klein-Tools-6986INS-Screwdriver-Cushion-Grip/dp/B09GPYQ7DM/ref=sr_1_1?keywords=Klein+Tools+6986INS+Slim-Tip+1000V+Insulated+Screwdriver%2C&amp;qid=1695174143&amp;sr=8-1", "https://www.amazon.com/Klein-Tools-6986INS-Screwdriver-Cushion-Grip/dp/B09GPYQ7DM/ref=sr_1_1?keywords=Klein+Tools+6986INS+Slim-Tip+1000V+Insulated+Screwdriver%2C&amp;qid=1695174143&amp;sr=8-1")</f>
        <v>https://www.amazon.com/Klein-Tools-6986INS-Screwdriver-Cushion-Grip/dp/B09GPYQ7DM/ref=sr_1_1?keywords=Klein+Tools+6986INS+Slim-Tip+1000V+Insulated+Screwdriver%2C&amp;qid=1695174143&amp;sr=8-1</v>
      </c>
      <c r="F6159" t="s">
        <v>7096</v>
      </c>
      <c r="G6159" t="e">
        <f ca="1">_xludf.IMAGE("https://edmondsonsupply.com/cdn/shop/products/6986ins.jpg?v=1664806830")</f>
        <v>#NAME?</v>
      </c>
      <c r="H6159" t="e">
        <f ca="1">_xludf.IMAGE("https://m.media-amazon.com/images/I/41d5Ic37xZL._AC_UL320_.jpg")</f>
        <v>#NAME?</v>
      </c>
      <c r="I6159" t="s">
        <v>276</v>
      </c>
      <c r="J6159">
        <v>14.99</v>
      </c>
      <c r="K6159" s="4">
        <v>0</v>
      </c>
      <c r="L6159">
        <v>4.8</v>
      </c>
      <c r="M6159">
        <v>29</v>
      </c>
      <c r="O6159" t="s">
        <v>25</v>
      </c>
      <c r="P6159" t="s">
        <v>277</v>
      </c>
      <c r="Q6159" t="s">
        <v>8214</v>
      </c>
    </row>
    <row r="6160" spans="1:17" ht="15.5" x14ac:dyDescent="0.35">
      <c r="A6160"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6160"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6160" t="s">
        <v>7732</v>
      </c>
      <c r="D6160" t="s">
        <v>7219</v>
      </c>
      <c r="E6160" s="3" t="str">
        <f>HYPERLINK("https://www.amazon.com/Klein-Tools-6984INS-Screwdriver-Cushion-Grip/dp/B09GPZ5P2M/ref=sr_1_1?keywords=Klein+Tools+6984INS+Slim-Tip+1000V+Insulated+Screwdriver%2C+%231+Square%2C+4-Inch+Round+Shank&amp;qid=1695174144&amp;sr=8-1", "https://www.amazon.com/Klein-Tools-6984INS-Screwdriver-Cushion-Grip/dp/B09GPZ5P2M/ref=sr_1_1?keywords=Klein+Tools+6984INS+Slim-Tip+1000V+Insulated+Screwdriver%2C+%231+Square%2C+4-Inch+Round+Shank&amp;qid=1695174144&amp;sr=8-1")</f>
        <v>https://www.amazon.com/Klein-Tools-6984INS-Screwdriver-Cushion-Grip/dp/B09GPZ5P2M/ref=sr_1_1?keywords=Klein+Tools+6984INS+Slim-Tip+1000V+Insulated+Screwdriver%2C+%231+Square%2C+4-Inch+Round+Shank&amp;qid=1695174144&amp;sr=8-1</v>
      </c>
      <c r="F6160" t="s">
        <v>7220</v>
      </c>
      <c r="G6160" t="e">
        <f ca="1">_xludf.IMAGE("https://edmondsonsupply.com/cdn/shop/products/6984ins.jpg?v=1664806448")</f>
        <v>#NAME?</v>
      </c>
      <c r="H6160" t="e">
        <f ca="1">_xludf.IMAGE("https://m.media-amazon.com/images/I/41uj4ogsy3L._AC_UL320_.jpg")</f>
        <v>#NAME?</v>
      </c>
      <c r="I6160" t="s">
        <v>288</v>
      </c>
      <c r="J6160">
        <v>13.99</v>
      </c>
      <c r="K6160" s="4">
        <v>0</v>
      </c>
      <c r="L6160">
        <v>4.8</v>
      </c>
      <c r="M6160">
        <v>108</v>
      </c>
      <c r="O6160" t="s">
        <v>25</v>
      </c>
      <c r="P6160" t="s">
        <v>7730</v>
      </c>
      <c r="Q6160" t="s">
        <v>7733</v>
      </c>
    </row>
    <row r="6161" spans="1:17" ht="15.5" x14ac:dyDescent="0.35">
      <c r="A6161" s="3" t="str">
        <f>HYPERLINK("https://edmondsonsupply.com/collections/electricians-tools/products/klein-tools-69345-tripod", "https://edmondsonsupply.com/collections/electricians-tools/products/klein-tools-69345-tripod")</f>
        <v>https://edmondsonsupply.com/collections/electricians-tools/products/klein-tools-69345-tripod</v>
      </c>
      <c r="B6161" s="3" t="str">
        <f>HYPERLINK("https://edmondsonsupply.com/products/klein-tools-69345-tripod", "https://edmondsonsupply.com/products/klein-tools-69345-tripod")</f>
        <v>https://edmondsonsupply.com/products/klein-tools-69345-tripod</v>
      </c>
      <c r="C6161" t="s">
        <v>8215</v>
      </c>
      <c r="D6161" t="s">
        <v>8216</v>
      </c>
      <c r="E6161" s="3" t="str">
        <f>HYPERLINK("https://www.amazon.com/Klein-Tools-69345-Lightweight-Compatible/dp/B09FWG54RR/ref=sr_1_1?keywords=Klein+Tools+69345+Tripod&amp;qid=1695174147&amp;sr=8-1", "https://www.amazon.com/Klein-Tools-69345-Lightweight-Compatible/dp/B09FWG54RR/ref=sr_1_1?keywords=Klein+Tools+69345+Tripod&amp;qid=1695174147&amp;sr=8-1")</f>
        <v>https://www.amazon.com/Klein-Tools-69345-Lightweight-Compatible/dp/B09FWG54RR/ref=sr_1_1?keywords=Klein+Tools+69345+Tripod&amp;qid=1695174147&amp;sr=8-1</v>
      </c>
      <c r="F6161" t="s">
        <v>8217</v>
      </c>
      <c r="G6161" t="e">
        <f ca="1">_xludf.IMAGE("https://edmondsonsupply.com/cdn/shop/products/69345.jpg?v=1664808494")</f>
        <v>#NAME?</v>
      </c>
      <c r="H6161" t="e">
        <f ca="1">_xludf.IMAGE("https://m.media-amazon.com/images/I/41SqXbDaYJL._AC_UL320_.jpg")</f>
        <v>#NAME?</v>
      </c>
      <c r="I6161" t="s">
        <v>946</v>
      </c>
      <c r="J6161">
        <v>44.99</v>
      </c>
      <c r="K6161" s="4">
        <v>0</v>
      </c>
      <c r="L6161">
        <v>5</v>
      </c>
      <c r="M6161">
        <v>2</v>
      </c>
      <c r="O6161" t="s">
        <v>25</v>
      </c>
      <c r="P6161" t="s">
        <v>8218</v>
      </c>
      <c r="Q6161" t="s">
        <v>8219</v>
      </c>
    </row>
    <row r="6162" spans="1:17" ht="15.5" x14ac:dyDescent="0.35">
      <c r="A6162" s="3" t="str">
        <f>HYPERLINK("https://edmondsonsupply.com/collections/electricians-tools/products/klein-tools-60407rl-hard-hat-vented-full-brim-with-rechargeable-headlamp-white", "https://edmondsonsupply.com/collections/electricians-tools/products/klein-tools-60407rl-hard-hat-vented-full-brim-with-rechargeable-headlamp-white")</f>
        <v>https://edmondsonsupply.com/collections/electricians-tools/products/klein-tools-60407rl-hard-hat-vented-full-brim-with-rechargeable-headlamp-white</v>
      </c>
      <c r="B6162" s="3" t="str">
        <f>HYPERLINK("https://edmondsonsupply.com/products/klein-tools-60407rl-hard-hat-vented-full-brim-with-rechargeable-headlamp-white", "https://edmondsonsupply.com/products/klein-tools-60407rl-hard-hat-vented-full-brim-with-rechargeable-headlamp-white")</f>
        <v>https://edmondsonsupply.com/products/klein-tools-60407rl-hard-hat-vented-full-brim-with-rechargeable-headlamp-white</v>
      </c>
      <c r="C6162" t="s">
        <v>8220</v>
      </c>
      <c r="D6162" t="s">
        <v>1045</v>
      </c>
      <c r="E6162" s="3" t="str">
        <f>HYPERLINK("https://www.amazon.com/Klein-Tools-60406RL-Rechargeable-Odor-Resistant/dp/B08FBZT3BW/ref=sr_1_2?keywords=Klein+Tools+60407RL+Hard+Hat%2C+Vented%2C+Full+Brim+with+Rechargeable+Headlamp%2C+White&amp;qid=1695174144&amp;sr=8-2", "https://www.amazon.com/Klein-Tools-60406RL-Rechargeable-Odor-Resistant/dp/B08FBZT3BW/ref=sr_1_2?keywords=Klein+Tools+60407RL+Hard+Hat%2C+Vented%2C+Full+Brim+with+Rechargeable+Headlamp%2C+White&amp;qid=1695174144&amp;sr=8-2")</f>
        <v>https://www.amazon.com/Klein-Tools-60406RL-Rechargeable-Odor-Resistant/dp/B08FBZT3BW/ref=sr_1_2?keywords=Klein+Tools+60407RL+Hard+Hat%2C+Vented%2C+Full+Brim+with+Rechargeable+Headlamp%2C+White&amp;qid=1695174144&amp;sr=8-2</v>
      </c>
      <c r="F6162" t="s">
        <v>1046</v>
      </c>
      <c r="G6162" t="e">
        <f ca="1">_xludf.IMAGE("https://edmondsonsupply.com/cdn/shop/products/60407rl_d.jpg?v=1665589857")</f>
        <v>#NAME?</v>
      </c>
      <c r="H6162" t="e">
        <f ca="1">_xludf.IMAGE("https://m.media-amazon.com/images/I/61cNP5T1keL._AC_UL320_.jpg")</f>
        <v>#NAME?</v>
      </c>
      <c r="I6162" t="s">
        <v>588</v>
      </c>
      <c r="J6162">
        <v>69.989999999999995</v>
      </c>
      <c r="K6162" s="4">
        <v>0</v>
      </c>
      <c r="L6162">
        <v>4.7</v>
      </c>
      <c r="M6162">
        <v>358</v>
      </c>
      <c r="O6162" t="s">
        <v>25</v>
      </c>
      <c r="P6162" t="s">
        <v>1135</v>
      </c>
      <c r="Q6162" t="s">
        <v>8221</v>
      </c>
    </row>
    <row r="6163" spans="1:17" ht="15.5" x14ac:dyDescent="0.35">
      <c r="A6163" s="3" t="str">
        <f>HYPERLINK("https://edmondsonsupply.com/collections/electricians-tools/products/klein-tools-60185-work-gloves-cut-level-2-touchscreen-large-2-pair", "https://edmondsonsupply.com/collections/electricians-tools/products/klein-tools-60185-work-gloves-cut-level-2-touchscreen-large-2-pair")</f>
        <v>https://edmondsonsupply.com/collections/electricians-tools/products/klein-tools-60185-work-gloves-cut-level-2-touchscreen-large-2-pair</v>
      </c>
      <c r="B6163" s="3" t="str">
        <f>HYPERLINK("https://edmondsonsupply.com/products/klein-tools-60185-work-gloves-cut-level-2-touchscreen-large-2-pair", "https://edmondsonsupply.com/products/klein-tools-60185-work-gloves-cut-level-2-touchscreen-large-2-pair")</f>
        <v>https://edmondsonsupply.com/products/klein-tools-60185-work-gloves-cut-level-2-touchscreen-large-2-pair</v>
      </c>
      <c r="C6163" t="s">
        <v>1208</v>
      </c>
      <c r="D6163" t="s">
        <v>1209</v>
      </c>
      <c r="E6163" s="3" t="str">
        <f>HYPERLINK("https://www.amazon.com/Klein-Gloves-Cut-Resistant-Touchscreen-2-Pair/dp/B088NBRY3M/ref=sr_1_1?keywords=Klein+Tools+60185+Work+Gloves%2C+Cut+Level+2%2C+Touchscreen%2C+Large%2C+2-Pair&amp;qid=1695173927&amp;sr=8-1", "https://www.amazon.com/Klein-Gloves-Cut-Resistant-Touchscreen-2-Pair/dp/B088NBRY3M/ref=sr_1_1?keywords=Klein+Tools+60185+Work+Gloves%2C+Cut+Level+2%2C+Touchscreen%2C+Large%2C+2-Pair&amp;qid=1695173927&amp;sr=8-1")</f>
        <v>https://www.amazon.com/Klein-Gloves-Cut-Resistant-Touchscreen-2-Pair/dp/B088NBRY3M/ref=sr_1_1?keywords=Klein+Tools+60185+Work+Gloves%2C+Cut+Level+2%2C+Touchscreen%2C+Large%2C+2-Pair&amp;qid=1695173927&amp;sr=8-1</v>
      </c>
      <c r="F6163" t="s">
        <v>1210</v>
      </c>
      <c r="G6163" t="e">
        <f ca="1">_xludf.IMAGE("https://edmondsonsupply.com/cdn/shop/products/60185.jpg?v=1633030300")</f>
        <v>#NAME?</v>
      </c>
      <c r="H6163" t="e">
        <f ca="1">_xludf.IMAGE("https://m.media-amazon.com/images/I/71GlG2Zt5fL._AC_UL320_.jpg")</f>
        <v>#NAME?</v>
      </c>
      <c r="I6163" t="s">
        <v>1211</v>
      </c>
      <c r="J6163">
        <v>12.97</v>
      </c>
      <c r="K6163" s="4">
        <v>0</v>
      </c>
      <c r="L6163">
        <v>4.5999999999999996</v>
      </c>
      <c r="M6163">
        <v>135</v>
      </c>
      <c r="O6163" t="s">
        <v>25</v>
      </c>
      <c r="P6163" t="s">
        <v>1212</v>
      </c>
      <c r="Q6163" t="s">
        <v>1213</v>
      </c>
    </row>
    <row r="6164" spans="1:17" ht="15.5" x14ac:dyDescent="0.35">
      <c r="A6164"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164"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164" t="s">
        <v>8213</v>
      </c>
      <c r="D6164" t="s">
        <v>7098</v>
      </c>
      <c r="E6164" s="3" t="str">
        <f>HYPERLINK("https://www.amazon.com/Klein-Tools-6926INS-Screwdriver-Cushion-Grip/dp/B09GL1X5SZ/ref=sr_1_4?keywords=Klein+Tools+6986INS+Slim-Tip+1000V+Insulated+Screwdriver%2C&amp;qid=1695174143&amp;sr=8-4", "https://www.amazon.com/Klein-Tools-6926INS-Screwdriver-Cushion-Grip/dp/B09GL1X5SZ/ref=sr_1_4?keywords=Klein+Tools+6986INS+Slim-Tip+1000V+Insulated+Screwdriver%2C&amp;qid=1695174143&amp;sr=8-4")</f>
        <v>https://www.amazon.com/Klein-Tools-6926INS-Screwdriver-Cushion-Grip/dp/B09GL1X5SZ/ref=sr_1_4?keywords=Klein+Tools+6986INS+Slim-Tip+1000V+Insulated+Screwdriver%2C&amp;qid=1695174143&amp;sr=8-4</v>
      </c>
      <c r="F6164" t="s">
        <v>7099</v>
      </c>
      <c r="G6164" t="e">
        <f ca="1">_xludf.IMAGE("https://edmondsonsupply.com/cdn/shop/products/6986ins.jpg?v=1664806830")</f>
        <v>#NAME?</v>
      </c>
      <c r="H6164" t="e">
        <f ca="1">_xludf.IMAGE("https://m.media-amazon.com/images/I/41JbepP5oGL._AC_UL320_.jpg")</f>
        <v>#NAME?</v>
      </c>
      <c r="I6164" t="s">
        <v>276</v>
      </c>
      <c r="J6164">
        <v>14.99</v>
      </c>
      <c r="K6164" s="4">
        <v>0</v>
      </c>
      <c r="L6164">
        <v>4.8</v>
      </c>
      <c r="M6164">
        <v>85</v>
      </c>
      <c r="O6164" t="s">
        <v>25</v>
      </c>
      <c r="P6164" t="s">
        <v>277</v>
      </c>
      <c r="Q6164" t="s">
        <v>8214</v>
      </c>
    </row>
    <row r="6165" spans="1:17" ht="15.5" x14ac:dyDescent="0.35">
      <c r="A6165"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6165"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6165" t="s">
        <v>7423</v>
      </c>
      <c r="D6165" t="s">
        <v>7499</v>
      </c>
      <c r="E6165" s="3" t="str">
        <f>HYPERLINK("https://www.amazon.com/Klein-Tools-6846INS-Screwdriver-Cushion-Grip/dp/B0BF7X96QK/ref=sr_1_1?keywords=Klein+Tools+6846INS+Insulated+Screwdriver%2C+%232+Square+Tip%2C+6-Inch+Round+Shank&amp;qid=1695174148&amp;sr=8-1", "https://www.amazon.com/Klein-Tools-6846INS-Screwdriver-Cushion-Grip/dp/B0BF7X96QK/ref=sr_1_1?keywords=Klein+Tools+6846INS+Insulated+Screwdriver%2C+%232+Square+Tip%2C+6-Inch+Round+Shank&amp;qid=1695174148&amp;sr=8-1")</f>
        <v>https://www.amazon.com/Klein-Tools-6846INS-Screwdriver-Cushion-Grip/dp/B0BF7X96QK/ref=sr_1_1?keywords=Klein+Tools+6846INS+Insulated+Screwdriver%2C+%232+Square+Tip%2C+6-Inch+Round+Shank&amp;qid=1695174148&amp;sr=8-1</v>
      </c>
      <c r="F6165" t="s">
        <v>7500</v>
      </c>
      <c r="G6165" t="e">
        <f ca="1">_xludf.IMAGE("https://edmondsonsupply.com/cdn/shop/products/6846ins.jpg?v=1664817571")</f>
        <v>#NAME?</v>
      </c>
      <c r="H6165" t="e">
        <f ca="1">_xludf.IMAGE("https://m.media-amazon.com/images/I/31EOUkZ6n3L._AC_UL320_.jpg")</f>
        <v>#NAME?</v>
      </c>
      <c r="I6165" t="s">
        <v>6073</v>
      </c>
      <c r="J6165">
        <v>11.97</v>
      </c>
      <c r="K6165" s="4">
        <v>0</v>
      </c>
      <c r="L6165">
        <v>4.8</v>
      </c>
      <c r="M6165">
        <v>207</v>
      </c>
      <c r="O6165" t="s">
        <v>25</v>
      </c>
      <c r="P6165" t="s">
        <v>6728</v>
      </c>
      <c r="Q6165" t="s">
        <v>7424</v>
      </c>
    </row>
    <row r="6166" spans="1:17" ht="15.5" x14ac:dyDescent="0.35">
      <c r="A6166" s="3" t="str">
        <f>HYPERLINK("https://edmondsonsupply.com/collections/electricians-tools/products/klein-tools-ti290-rechargeable-pro-thermal-imager", "https://edmondsonsupply.com/collections/electricians-tools/products/klein-tools-ti290-rechargeable-pro-thermal-imager")</f>
        <v>https://edmondsonsupply.com/collections/electricians-tools/products/klein-tools-ti290-rechargeable-pro-thermal-imager</v>
      </c>
      <c r="B6166" s="3" t="str">
        <f>HYPERLINK("https://edmondsonsupply.com/products/klein-tools-ti290-rechargeable-pro-thermal-imager", "https://edmondsonsupply.com/products/klein-tools-ti290-rechargeable-pro-thermal-imager")</f>
        <v>https://edmondsonsupply.com/products/klein-tools-ti290-rechargeable-pro-thermal-imager</v>
      </c>
      <c r="C6166" t="s">
        <v>8222</v>
      </c>
      <c r="D6166" t="s">
        <v>8223</v>
      </c>
      <c r="E6166" s="3" t="str">
        <f>HYPERLINK("https://www.amazon.com/Klein-Tools-TI290-Rechargeable-Temperature/dp/B0BWC6NNWF/ref=sr_1_1?keywords=Klein+Tools+TI290+Rechargeable+Pro+Thermal+Imager&amp;qid=1695174066&amp;sr=8-1", "https://www.amazon.com/Klein-Tools-TI290-Rechargeable-Temperature/dp/B0BWC6NNWF/ref=sr_1_1?keywords=Klein+Tools+TI290+Rechargeable+Pro+Thermal+Imager&amp;qid=1695174066&amp;sr=8-1")</f>
        <v>https://www.amazon.com/Klein-Tools-TI290-Rechargeable-Temperature/dp/B0BWC6NNWF/ref=sr_1_1?keywords=Klein+Tools+TI290+Rechargeable+Pro+Thermal+Imager&amp;qid=1695174066&amp;sr=8-1</v>
      </c>
      <c r="F6166" t="s">
        <v>8224</v>
      </c>
      <c r="G6166" t="e">
        <f ca="1">_xludf.IMAGE("https://edmondsonsupply.com/cdn/shop/products/ti290_family.jpg?v=1677681932")</f>
        <v>#NAME?</v>
      </c>
      <c r="H6166" t="e">
        <f ca="1">_xludf.IMAGE("https://m.media-amazon.com/images/I/71xtR87DGvL._AC_UY218_.jpg")</f>
        <v>#NAME?</v>
      </c>
      <c r="I6166" t="s">
        <v>8225</v>
      </c>
      <c r="J6166">
        <v>499.99</v>
      </c>
      <c r="K6166" s="4">
        <v>0</v>
      </c>
      <c r="L6166">
        <v>4.0999999999999996</v>
      </c>
      <c r="M6166">
        <v>6</v>
      </c>
      <c r="O6166" t="s">
        <v>25</v>
      </c>
      <c r="P6166" t="s">
        <v>8226</v>
      </c>
      <c r="Q6166" t="s">
        <v>8227</v>
      </c>
    </row>
    <row r="6167" spans="1:17" ht="15.5" x14ac:dyDescent="0.35">
      <c r="A6167" s="3" t="str">
        <f>HYPERLINK("https://edmondsonsupply.com/collections/electricians-tools/products/klein-tools-56048-rechargeable-headlamp-with-strap-400-lumen-all-day-runtime-auto-off", "https://edmondsonsupply.com/collections/electricians-tools/products/klein-tools-56048-rechargeable-headlamp-with-strap-400-lumen-all-day-runtime-auto-off")</f>
        <v>https://edmondsonsupply.com/collections/electricians-tools/products/klein-tools-56048-rechargeable-headlamp-with-strap-400-lumen-all-day-runtime-auto-off</v>
      </c>
      <c r="B6167" s="3" t="str">
        <f>HYPERLINK("https://edmondsonsupply.com/products/klein-tools-56048-rechargeable-headlamp-with-strap-400-lumen-all-day-runtime-auto-off", "https://edmondsonsupply.com/products/klein-tools-56048-rechargeable-headlamp-with-strap-400-lumen-all-day-runtime-auto-off")</f>
        <v>https://edmondsonsupply.com/products/klein-tools-56048-rechargeable-headlamp-with-strap-400-lumen-all-day-runtime-auto-off</v>
      </c>
      <c r="C6167" t="s">
        <v>1034</v>
      </c>
      <c r="D6167" t="s">
        <v>1216</v>
      </c>
      <c r="E6167" s="3" t="str">
        <f>HYPERLINK("https://www.amazon.com/Klein-Tools-56048-Rechargeable-Adjustable/dp/B08J4H5LCV/ref=sr_1_1?keywords=Klein+Tools+56048+Rechargeable+Headlamp+with+Fabric+Strap%2C+400+Lumens%2C+All-Day+Runtime&amp;qid=1695173981&amp;sr=8-1", "https://www.amazon.com/Klein-Tools-56048-Rechargeable-Adjustable/dp/B08J4H5LCV/ref=sr_1_1?keywords=Klein+Tools+56048+Rechargeable+Headlamp+with+Fabric+Strap%2C+400+Lumens%2C+All-Day+Runtime&amp;qid=1695173981&amp;sr=8-1")</f>
        <v>https://www.amazon.com/Klein-Tools-56048-Rechargeable-Adjustable/dp/B08J4H5LCV/ref=sr_1_1?keywords=Klein+Tools+56048+Rechargeable+Headlamp+with+Fabric+Strap%2C+400+Lumens%2C+All-Day+Runtime&amp;qid=1695173981&amp;sr=8-1</v>
      </c>
      <c r="F6167" t="s">
        <v>1217</v>
      </c>
      <c r="G6167" t="e">
        <f ca="1">_xludf.IMAGE("https://edmondsonsupply.com/cdn/shop/products/56048.jpg?v=1633030457")</f>
        <v>#NAME?</v>
      </c>
      <c r="H6167" t="e">
        <f ca="1">_xludf.IMAGE("https://m.media-amazon.com/images/I/61MIndiWy-L._AC_UL320_.jpg")</f>
        <v>#NAME?</v>
      </c>
      <c r="I6167" t="s">
        <v>246</v>
      </c>
      <c r="J6167">
        <v>39.97</v>
      </c>
      <c r="K6167" s="4">
        <v>0</v>
      </c>
      <c r="L6167">
        <v>4.5999999999999996</v>
      </c>
      <c r="M6167">
        <v>845</v>
      </c>
      <c r="O6167" t="s">
        <v>25</v>
      </c>
      <c r="P6167" t="s">
        <v>1032</v>
      </c>
      <c r="Q6167" t="s">
        <v>1035</v>
      </c>
    </row>
    <row r="6168" spans="1:17" ht="15.5" x14ac:dyDescent="0.35">
      <c r="A6168"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168"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168" t="s">
        <v>8213</v>
      </c>
      <c r="D6168" t="s">
        <v>7418</v>
      </c>
      <c r="E6168" s="3" t="str">
        <f>HYPERLINK("https://www.amazon.com/Klein-Tools-6936INS-Screwdriver-Cushion-Grip/dp/B09GPZMQ1R/ref=sr_1_5?keywords=Klein+Tools+6986INS+Slim-Tip+1000V+Insulated+Screwdriver%2C&amp;qid=1695174143&amp;sr=8-5", "https://www.amazon.com/Klein-Tools-6936INS-Screwdriver-Cushion-Grip/dp/B09GPZMQ1R/ref=sr_1_5?keywords=Klein+Tools+6986INS+Slim-Tip+1000V+Insulated+Screwdriver%2C&amp;qid=1695174143&amp;sr=8-5")</f>
        <v>https://www.amazon.com/Klein-Tools-6936INS-Screwdriver-Cushion-Grip/dp/B09GPZMQ1R/ref=sr_1_5?keywords=Klein+Tools+6986INS+Slim-Tip+1000V+Insulated+Screwdriver%2C&amp;qid=1695174143&amp;sr=8-5</v>
      </c>
      <c r="F6168" t="s">
        <v>7419</v>
      </c>
      <c r="G6168" t="e">
        <f ca="1">_xludf.IMAGE("https://edmondsonsupply.com/cdn/shop/products/6986ins.jpg?v=1664806830")</f>
        <v>#NAME?</v>
      </c>
      <c r="H6168" t="e">
        <f ca="1">_xludf.IMAGE("https://m.media-amazon.com/images/I/414OB6kFvkL._AC_UL320_.jpg")</f>
        <v>#NAME?</v>
      </c>
      <c r="I6168" t="s">
        <v>276</v>
      </c>
      <c r="J6168">
        <v>14.99</v>
      </c>
      <c r="K6168" s="4">
        <v>0</v>
      </c>
      <c r="L6168">
        <v>4.9000000000000004</v>
      </c>
      <c r="M6168">
        <v>71</v>
      </c>
      <c r="O6168" t="s">
        <v>25</v>
      </c>
      <c r="P6168" t="s">
        <v>277</v>
      </c>
      <c r="Q6168" t="s">
        <v>8214</v>
      </c>
    </row>
    <row r="6169" spans="1:17" ht="15.5" x14ac:dyDescent="0.35">
      <c r="A6169" s="3" t="str">
        <f>HYPERLINK("https://edmondsonsupply.com/collections/electricians-tools/products/klein-tools-69417-rare-earth-magnetic-meter-hanger", "https://edmondsonsupply.com/collections/electricians-tools/products/klein-tools-69417-rare-earth-magnetic-meter-hanger")</f>
        <v>https://edmondsonsupply.com/collections/electricians-tools/products/klein-tools-69417-rare-earth-magnetic-meter-hanger</v>
      </c>
      <c r="B6169" s="3" t="str">
        <f>HYPERLINK("https://edmondsonsupply.com/products/klein-tools-69417-rare-earth-magnetic-meter-hanger", "https://edmondsonsupply.com/products/klein-tools-69417-rare-earth-magnetic-meter-hanger")</f>
        <v>https://edmondsonsupply.com/products/klein-tools-69417-rare-earth-magnetic-meter-hanger</v>
      </c>
      <c r="C6169" t="s">
        <v>1413</v>
      </c>
      <c r="D6169" t="s">
        <v>4526</v>
      </c>
      <c r="E6169" s="3" t="str">
        <f>HYPERLINK("https://www.amazon.com/Magnetic-Hanger-Klein-Tools-69417/dp/B01B7RBXZ0/ref=sr_1_1?keywords=Klein+Tools+69417+Rare+Earth+Magnetic+Meter+Hanger%2C+with+Strap&amp;qid=1695173948&amp;sr=8-1", "https://www.amazon.com/Magnetic-Hanger-Klein-Tools-69417/dp/B01B7RBXZ0/ref=sr_1_1?keywords=Klein+Tools+69417+Rare+Earth+Magnetic+Meter+Hanger%2C+with+Strap&amp;qid=1695173948&amp;sr=8-1")</f>
        <v>https://www.amazon.com/Magnetic-Hanger-Klein-Tools-69417/dp/B01B7RBXZ0/ref=sr_1_1?keywords=Klein+Tools+69417+Rare+Earth+Magnetic+Meter+Hanger%2C+with+Strap&amp;qid=1695173948&amp;sr=8-1</v>
      </c>
      <c r="F6169" t="s">
        <v>4527</v>
      </c>
      <c r="G6169" t="e">
        <f ca="1">_xludf.IMAGE("https://edmondsonsupply.com/cdn/shop/products/69417.jpg?v=1587150163")</f>
        <v>#NAME?</v>
      </c>
      <c r="H6169" t="e">
        <f ca="1">_xludf.IMAGE("https://m.media-amazon.com/images/I/51yfJbP4XCL._AC_UL320_.jpg")</f>
        <v>#NAME?</v>
      </c>
      <c r="I6169" t="s">
        <v>288</v>
      </c>
      <c r="J6169">
        <v>13.99</v>
      </c>
      <c r="K6169" s="4">
        <v>0</v>
      </c>
      <c r="L6169">
        <v>4.8</v>
      </c>
      <c r="M6169">
        <v>3757</v>
      </c>
      <c r="O6169" t="s">
        <v>25</v>
      </c>
      <c r="P6169" t="s">
        <v>845</v>
      </c>
      <c r="Q6169" t="s">
        <v>1416</v>
      </c>
    </row>
    <row r="6170" spans="1:17" ht="15.5" x14ac:dyDescent="0.35">
      <c r="A6170" s="3" t="str">
        <f>HYPERLINK("https://edmondsonsupply.com/collections/electricians-tools/products/klein-tools-450-001-staples-1-4-inch-x-5-16-inch-insulated", "https://edmondsonsupply.com/collections/electricians-tools/products/klein-tools-450-001-staples-1-4-inch-x-5-16-inch-insulated")</f>
        <v>https://edmondsonsupply.com/collections/electricians-tools/products/klein-tools-450-001-staples-1-4-inch-x-5-16-inch-insulated</v>
      </c>
      <c r="B6170" s="3" t="str">
        <f>HYPERLINK("https://edmondsonsupply.com/products/klein-tools-450-001-staples-1-4-inch-x-5-16-inch-insulated", "https://edmondsonsupply.com/products/klein-tools-450-001-staples-1-4-inch-x-5-16-inch-insulated")</f>
        <v>https://edmondsonsupply.com/products/klein-tools-450-001-staples-1-4-inch-x-5-16-inch-insulated</v>
      </c>
      <c r="C6170" t="s">
        <v>6155</v>
      </c>
      <c r="D6170" t="s">
        <v>8228</v>
      </c>
      <c r="E6170" s="3" t="str">
        <f>HYPERLINK("https://www.amazon.com/Klein-Tools-450-001-Staples-Insulated/dp/B085T5GM89/ref=sr_1_1?keywords=Klein+Tools+450-001+Staples%2C+1%2F4-Inch+x+5%2F16-Inch+Insulated&amp;qid=1695173921&amp;sr=8-1", "https://www.amazon.com/Klein-Tools-450-001-Staples-Insulated/dp/B085T5GM89/ref=sr_1_1?keywords=Klein+Tools+450-001+Staples%2C+1%2F4-Inch+x+5%2F16-Inch+Insulated&amp;qid=1695173921&amp;sr=8-1")</f>
        <v>https://www.amazon.com/Klein-Tools-450-001-Staples-Insulated/dp/B085T5GM89/ref=sr_1_1?keywords=Klein+Tools+450-001+Staples%2C+1%2F4-Inch+x+5%2F16-Inch+Insulated&amp;qid=1695173921&amp;sr=8-1</v>
      </c>
      <c r="F6170" t="s">
        <v>8229</v>
      </c>
      <c r="G6170" t="e">
        <f ca="1">_xludf.IMAGE("https://edmondsonsupply.com/cdn/shop/products/450001.jpg?v=1633030470")</f>
        <v>#NAME?</v>
      </c>
      <c r="H6170" t="e">
        <f ca="1">_xludf.IMAGE("https://m.media-amazon.com/images/I/51KmfDEayiL._AC_UL320_.jpg")</f>
        <v>#NAME?</v>
      </c>
      <c r="I6170" t="s">
        <v>2577</v>
      </c>
      <c r="J6170">
        <v>9.99</v>
      </c>
      <c r="K6170" s="4">
        <v>0</v>
      </c>
      <c r="L6170">
        <v>4.0999999999999996</v>
      </c>
      <c r="M6170">
        <v>652</v>
      </c>
      <c r="O6170" t="s">
        <v>25</v>
      </c>
      <c r="P6170" t="s">
        <v>2434</v>
      </c>
      <c r="Q6170" t="s">
        <v>6158</v>
      </c>
    </row>
    <row r="6171" spans="1:17" ht="15.5" x14ac:dyDescent="0.35">
      <c r="A6171"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171"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171" t="s">
        <v>8213</v>
      </c>
      <c r="D6171" t="s">
        <v>8010</v>
      </c>
      <c r="E6171" s="3" t="str">
        <f>HYPERLINK("https://www.amazon.com/Klein-Tools-6956INS-Screwdriver-Cushion-Grip/dp/B09H9GV5CP/ref=sr_1_8?keywords=Klein+Tools+6986INS+Slim-Tip+1000V+Insulated+Screwdriver%2C&amp;qid=1695174143&amp;sr=8-8", "https://www.amazon.com/Klein-Tools-6956INS-Screwdriver-Cushion-Grip/dp/B09H9GV5CP/ref=sr_1_8?keywords=Klein+Tools+6986INS+Slim-Tip+1000V+Insulated+Screwdriver%2C&amp;qid=1695174143&amp;sr=8-8")</f>
        <v>https://www.amazon.com/Klein-Tools-6956INS-Screwdriver-Cushion-Grip/dp/B09H9GV5CP/ref=sr_1_8?keywords=Klein+Tools+6986INS+Slim-Tip+1000V+Insulated+Screwdriver%2C&amp;qid=1695174143&amp;sr=8-8</v>
      </c>
      <c r="F6171" t="s">
        <v>8011</v>
      </c>
      <c r="G6171" t="e">
        <f ca="1">_xludf.IMAGE("https://edmondsonsupply.com/cdn/shop/products/6986ins.jpg?v=1664806830")</f>
        <v>#NAME?</v>
      </c>
      <c r="H6171" t="e">
        <f ca="1">_xludf.IMAGE("https://m.media-amazon.com/images/I/41XYb1ZhlVL._AC_UL320_.jpg")</f>
        <v>#NAME?</v>
      </c>
      <c r="I6171" t="s">
        <v>276</v>
      </c>
      <c r="J6171">
        <v>14.99</v>
      </c>
      <c r="K6171" s="4">
        <v>0</v>
      </c>
      <c r="L6171">
        <v>4.5999999999999996</v>
      </c>
      <c r="M6171">
        <v>11</v>
      </c>
      <c r="O6171" t="s">
        <v>25</v>
      </c>
      <c r="P6171" t="s">
        <v>277</v>
      </c>
      <c r="Q6171" t="s">
        <v>8214</v>
      </c>
    </row>
    <row r="6172" spans="1:17" ht="15.5" x14ac:dyDescent="0.35">
      <c r="A6172" s="3" t="str">
        <f>HYPERLINK("https://edmondsonsupply.com/collections/electricians-tools/products/klein-tools-s6hb-grip-it%E2%84%A2-strap-wrench-1-1-2-to-4-inch-6-inch-handle", "https://edmondsonsupply.com/collections/electricians-tools/products/klein-tools-s6hb-grip-it%E2%84%A2-strap-wrench-1-1-2-to-4-inch-6-inch-handle")</f>
        <v>https://edmondsonsupply.com/collections/electricians-tools/products/klein-tools-s6hb-grip-it%E2%84%A2-strap-wrench-1-1-2-to-4-inch-6-inch-handle</v>
      </c>
      <c r="B6172" s="3" t="str">
        <f>HYPERLINK("https://edmondsonsupply.com/products/klein-tools-s6hb-grip-it%e2%84%a2-strap-wrench-1-1-2-to-4-inch-6-inch-handle", "https://edmondsonsupply.com/products/klein-tools-s6hb-grip-it%e2%84%a2-strap-wrench-1-1-2-to-4-inch-6-inch-handle")</f>
        <v>https://edmondsonsupply.com/products/klein-tools-s6hb-grip-it%e2%84%a2-strap-wrench-1-1-2-to-4-inch-6-inch-handle</v>
      </c>
      <c r="C6172" t="s">
        <v>4582</v>
      </c>
      <c r="D6172" t="s">
        <v>4583</v>
      </c>
      <c r="E6172" s="3" t="str">
        <f>HYPERLINK("https://www.amazon.com/Klein-Tools-S6HB-Adjustable-Adjusts/dp/B0BN4K6NJ3/ref=sr_1_1?keywords=Klein+Tools+S6HB+Grip-It%E2%84%A2+Strap+Wrench%2C+1-1%2F2+to+4-Inch%2C+6-Inch+Handle&amp;qid=1695173997&amp;sr=8-1", "https://www.amazon.com/Klein-Tools-S6HB-Adjustable-Adjusts/dp/B0BN4K6NJ3/ref=sr_1_1?keywords=Klein+Tools+S6HB+Grip-It%E2%84%A2+Strap+Wrench%2C+1-1%2F2+to+4-Inch%2C+6-Inch+Handle&amp;qid=1695173997&amp;sr=8-1")</f>
        <v>https://www.amazon.com/Klein-Tools-S6HB-Adjustable-Adjusts/dp/B0BN4K6NJ3/ref=sr_1_1?keywords=Klein+Tools+S6HB+Grip-It%E2%84%A2+Strap+Wrench%2C+1-1%2F2+to+4-Inch%2C+6-Inch+Handle&amp;qid=1695173997&amp;sr=8-1</v>
      </c>
      <c r="F6172" t="s">
        <v>4584</v>
      </c>
      <c r="G6172" t="e">
        <f ca="1">_xludf.IMAGE("https://edmondsonsupply.com/cdn/shop/files/s6hb_b.jpg?v=1689787234")</f>
        <v>#NAME?</v>
      </c>
      <c r="H6172" t="e">
        <f ca="1">_xludf.IMAGE("https://m.media-amazon.com/images/I/51B-bCYdl9L._AC_UL320_.jpg")</f>
        <v>#NAME?</v>
      </c>
      <c r="I6172" t="s">
        <v>276</v>
      </c>
      <c r="J6172">
        <v>14.99</v>
      </c>
      <c r="K6172" s="4">
        <v>0</v>
      </c>
      <c r="L6172">
        <v>4.2</v>
      </c>
      <c r="M6172">
        <v>9</v>
      </c>
      <c r="O6172" t="s">
        <v>25</v>
      </c>
      <c r="P6172" t="s">
        <v>277</v>
      </c>
      <c r="Q6172" t="s">
        <v>4585</v>
      </c>
    </row>
    <row r="6173" spans="1:17" ht="15.5" x14ac:dyDescent="0.35">
      <c r="A6173" s="3" t="str">
        <f>HYPERLINK("https://edmondsonsupply.com/collections/electricians-tools/products/klein-tools-70571-grip-it%C2%AE-ball-end-hex-set-5-key-sae-sizes", "https://edmondsonsupply.com/collections/electricians-tools/products/klein-tools-70571-grip-it%C2%AE-ball-end-hex-set-5-key-sae-sizes")</f>
        <v>https://edmondsonsupply.com/collections/electricians-tools/products/klein-tools-70571-grip-it%C2%AE-ball-end-hex-set-5-key-sae-sizes</v>
      </c>
      <c r="B6173" s="3" t="str">
        <f>HYPERLINK("https://edmondsonsupply.com/products/klein-tools-70571-grip-it%c2%ae-ball-end-hex-set-5-key-sae-sizes", "https://edmondsonsupply.com/products/klein-tools-70571-grip-it%c2%ae-ball-end-hex-set-5-key-sae-sizes")</f>
        <v>https://edmondsonsupply.com/products/klein-tools-70571-grip-it%c2%ae-ball-end-hex-set-5-key-sae-sizes</v>
      </c>
      <c r="C6173" t="s">
        <v>8230</v>
      </c>
      <c r="D6173" t="s">
        <v>7795</v>
      </c>
      <c r="E6173" s="3" t="str">
        <f>HYPERLINK("https://www.amazon.com/Klein-Tools-70571-Grip-Sizes/dp/B0002RI8P0/ref=sr_1_1?keywords=Klein+Tools+70571+Grip-It%C2%AE+Ball+End+Hex+Set%2C+5-Key%2C+SAE+Sizes&amp;qid=1695174146&amp;sr=8-1", "https://www.amazon.com/Klein-Tools-70571-Grip-Sizes/dp/B0002RI8P0/ref=sr_1_1?keywords=Klein+Tools+70571+Grip-It%C2%AE+Ball+End+Hex+Set%2C+5-Key%2C+SAE+Sizes&amp;qid=1695174146&amp;sr=8-1")</f>
        <v>https://www.amazon.com/Klein-Tools-70571-Grip-Sizes/dp/B0002RI8P0/ref=sr_1_1?keywords=Klein+Tools+70571+Grip-It%C2%AE+Ball+End+Hex+Set%2C+5-Key%2C+SAE+Sizes&amp;qid=1695174146&amp;sr=8-1</v>
      </c>
      <c r="F6173" t="s">
        <v>7796</v>
      </c>
      <c r="G6173" t="e">
        <f ca="1">_xludf.IMAGE("https://edmondsonsupply.com/cdn/shop/products/70571.jpg?v=1665688779")</f>
        <v>#NAME?</v>
      </c>
      <c r="H6173" t="e">
        <f ca="1">_xludf.IMAGE("https://m.media-amazon.com/images/I/51dn90ONbbL._AC_UL320_.jpg")</f>
        <v>#NAME?</v>
      </c>
      <c r="I6173" t="s">
        <v>288</v>
      </c>
      <c r="J6173">
        <v>13.99</v>
      </c>
      <c r="K6173" s="4">
        <v>0</v>
      </c>
      <c r="L6173">
        <v>4.5999999999999996</v>
      </c>
      <c r="M6173">
        <v>159</v>
      </c>
      <c r="O6173" t="s">
        <v>25</v>
      </c>
      <c r="P6173" t="s">
        <v>1722</v>
      </c>
      <c r="Q6173" t="s">
        <v>8231</v>
      </c>
    </row>
    <row r="6174" spans="1:17" ht="15.5" x14ac:dyDescent="0.35">
      <c r="A6174" s="3" t="str">
        <f>HYPERLINK("https://edmondsonsupply.com/collections/electricians-tools/products/klein-tools-6944ins", "https://edmondsonsupply.com/collections/electricians-tools/products/klein-tools-6944ins")</f>
        <v>https://edmondsonsupply.com/collections/electricians-tools/products/klein-tools-6944ins</v>
      </c>
      <c r="B6174" s="3" t="str">
        <f>HYPERLINK("https://edmondsonsupply.com/products/klein-tools-6944ins", "https://edmondsonsupply.com/products/klein-tools-6944ins")</f>
        <v>https://edmondsonsupply.com/products/klein-tools-6944ins</v>
      </c>
      <c r="C6174" t="s">
        <v>7729</v>
      </c>
      <c r="D6174" t="s">
        <v>7215</v>
      </c>
      <c r="E6174" s="3" t="str">
        <f>HYPERLINK("https://www.amazon.com/Klein-Tools-6944INS-Screwdriver-Cushion-Grip/dp/B09GPYTZV3/ref=sr_1_1?keywords=Klein+Tools+6944INS+Slim-Tip+1000V+Insulated+Screwdriver%2C&amp;qid=1695174144&amp;sr=8-1", "https://www.amazon.com/Klein-Tools-6944INS-Screwdriver-Cushion-Grip/dp/B09GPYTZV3/ref=sr_1_1?keywords=Klein+Tools+6944INS+Slim-Tip+1000V+Insulated+Screwdriver%2C&amp;qid=1695174144&amp;sr=8-1")</f>
        <v>https://www.amazon.com/Klein-Tools-6944INS-Screwdriver-Cushion-Grip/dp/B09GPYTZV3/ref=sr_1_1?keywords=Klein+Tools+6944INS+Slim-Tip+1000V+Insulated+Screwdriver%2C&amp;qid=1695174144&amp;sr=8-1</v>
      </c>
      <c r="F6174" t="s">
        <v>7216</v>
      </c>
      <c r="G6174" t="e">
        <f ca="1">_xludf.IMAGE("https://edmondsonsupply.com/cdn/shop/products/6944ins.jpg?v=1664804875")</f>
        <v>#NAME?</v>
      </c>
      <c r="H6174" t="e">
        <f ca="1">_xludf.IMAGE("https://m.media-amazon.com/images/I/41PzygwLx+L._AC_UL320_.jpg")</f>
        <v>#NAME?</v>
      </c>
      <c r="I6174" t="s">
        <v>288</v>
      </c>
      <c r="J6174">
        <v>13.99</v>
      </c>
      <c r="K6174" s="4">
        <v>0</v>
      </c>
      <c r="L6174">
        <v>4.7</v>
      </c>
      <c r="M6174">
        <v>95</v>
      </c>
      <c r="O6174" t="s">
        <v>25</v>
      </c>
      <c r="P6174" t="s">
        <v>7730</v>
      </c>
      <c r="Q6174" t="s">
        <v>7731</v>
      </c>
    </row>
    <row r="6175" spans="1:17" ht="15.5" x14ac:dyDescent="0.35">
      <c r="A6175" s="3" t="str">
        <f>HYPERLINK("https://edmondsonsupply.com/collections/electricians-tools/products/klein-tools-11055glw-high-visibility-klein-kurve%C2%AE-wire-stripper-cutter", "https://edmondsonsupply.com/collections/electricians-tools/products/klein-tools-11055glw-high-visibility-klein-kurve%C2%AE-wire-stripper-cutter")</f>
        <v>https://edmondsonsupply.com/collections/electricians-tools/products/klein-tools-11055glw-high-visibility-klein-kurve%C2%AE-wire-stripper-cutter</v>
      </c>
      <c r="B6175" s="3" t="str">
        <f>HYPERLINK("https://edmondsonsupply.com/products/klein-tools-11055glw-high-visibility-klein-kurve%c2%ae-wire-stripper-cutter", "https://edmondsonsupply.com/products/klein-tools-11055glw-high-visibility-klein-kurve%c2%ae-wire-stripper-cutter")</f>
        <v>https://edmondsonsupply.com/products/klein-tools-11055glw-high-visibility-klein-kurve%c2%ae-wire-stripper-cutter</v>
      </c>
      <c r="C6175" t="s">
        <v>8232</v>
      </c>
      <c r="D6175" t="s">
        <v>3625</v>
      </c>
      <c r="E6175" s="3" t="str">
        <f>HYPERLINK("https://www.amazon.com/Klein-Tools-11055GLW-Stripper-Klein-Kurve/dp/B09FVTWPQV/ref=sr_1_2?keywords=Klein+Tools+11055GLW+High-Visibility+Klein-Kurve%C2%AE+Wire+Stripper+%2F+Cutter&amp;qid=1695174145&amp;sr=8-2", "https://www.amazon.com/Klein-Tools-11055GLW-Stripper-Klein-Kurve/dp/B09FVTWPQV/ref=sr_1_2?keywords=Klein+Tools+11055GLW+High-Visibility+Klein-Kurve%C2%AE+Wire+Stripper+%2F+Cutter&amp;qid=1695174145&amp;sr=8-2")</f>
        <v>https://www.amazon.com/Klein-Tools-11055GLW-Stripper-Klein-Kurve/dp/B09FVTWPQV/ref=sr_1_2?keywords=Klein+Tools+11055GLW+High-Visibility+Klein-Kurve%C2%AE+Wire+Stripper+%2F+Cutter&amp;qid=1695174145&amp;sr=8-2</v>
      </c>
      <c r="F6175" t="s">
        <v>3626</v>
      </c>
      <c r="G6175" t="e">
        <f ca="1">_xludf.IMAGE("https://edmondsonsupply.com/cdn/shop/products/11055glw.jpg?v=1664801193")</f>
        <v>#NAME?</v>
      </c>
      <c r="H6175" t="e">
        <f ca="1">_xludf.IMAGE("https://m.media-amazon.com/images/I/41qRg9375VL._AC_UL320_.jpg")</f>
        <v>#NAME?</v>
      </c>
      <c r="I6175" t="s">
        <v>967</v>
      </c>
      <c r="J6175">
        <v>26.99</v>
      </c>
      <c r="K6175" s="4">
        <v>0</v>
      </c>
      <c r="L6175">
        <v>4.8</v>
      </c>
      <c r="M6175">
        <v>7596</v>
      </c>
      <c r="O6175" t="s">
        <v>25</v>
      </c>
      <c r="P6175" t="s">
        <v>8233</v>
      </c>
      <c r="Q6175" t="s">
        <v>8234</v>
      </c>
    </row>
    <row r="6176" spans="1:17" ht="15.5" x14ac:dyDescent="0.35">
      <c r="A6176" s="3" t="str">
        <f>HYPERLINK("https://edmondsonsupply.com/collections/electricians-tools/products/clc-pb1133-molded-rubber-bottom-tool-backpack", "https://edmondsonsupply.com/collections/electricians-tools/products/clc-pb1133-molded-rubber-bottom-tool-backpack")</f>
        <v>https://edmondsonsupply.com/collections/electricians-tools/products/clc-pb1133-molded-rubber-bottom-tool-backpack</v>
      </c>
      <c r="B6176" s="3" t="str">
        <f>HYPERLINK("https://edmondsonsupply.com/products/clc-pb1133-molded-rubber-bottom-tool-backpack", "https://edmondsonsupply.com/products/clc-pb1133-molded-rubber-bottom-tool-backpack")</f>
        <v>https://edmondsonsupply.com/products/clc-pb1133-molded-rubber-bottom-tool-backpack</v>
      </c>
      <c r="C6176" t="s">
        <v>507</v>
      </c>
      <c r="D6176" t="s">
        <v>606</v>
      </c>
      <c r="E6176" s="3" t="str">
        <f>HYPERLINK("https://www.amazon.com/Work-PB1133-Pocket-Molded-Backpack/dp/B099J4QQQ8/ref=sr_1_1?keywords=CLC+PB1133+Molded+Rubber+Bottom+Tool+Backpack&amp;qid=1695174264&amp;sr=8-1", "https://www.amazon.com/Work-PB1133-Pocket-Molded-Backpack/dp/B099J4QQQ8/ref=sr_1_1?keywords=CLC+PB1133+Molded+Rubber+Bottom+Tool+Backpack&amp;qid=1695174264&amp;sr=8-1")</f>
        <v>https://www.amazon.com/Work-PB1133-Pocket-Molded-Backpack/dp/B099J4QQQ8/ref=sr_1_1?keywords=CLC+PB1133+Molded+Rubber+Bottom+Tool+Backpack&amp;qid=1695174264&amp;sr=8-1</v>
      </c>
      <c r="F6176" t="s">
        <v>607</v>
      </c>
      <c r="G6176" t="e">
        <f ca="1">_xludf.IMAGE("https://edmondsonsupply.com/cdn/shop/products/PB1133.png?v=1633031051")</f>
        <v>#NAME?</v>
      </c>
      <c r="H6176" t="e">
        <f ca="1">_xludf.IMAGE("https://m.media-amazon.com/images/I/81em+t5wPbS._AC_UL320_.jpg")</f>
        <v>#NAME?</v>
      </c>
      <c r="I6176" t="s">
        <v>369</v>
      </c>
      <c r="J6176">
        <v>118.99</v>
      </c>
      <c r="K6176" s="4">
        <v>-1E-4</v>
      </c>
      <c r="L6176">
        <v>4.5999999999999996</v>
      </c>
      <c r="M6176">
        <v>312</v>
      </c>
      <c r="O6176" t="s">
        <v>25</v>
      </c>
      <c r="P6176" t="s">
        <v>282</v>
      </c>
      <c r="Q6176" t="s">
        <v>508</v>
      </c>
    </row>
    <row r="6177" spans="1:17" ht="15.5" x14ac:dyDescent="0.35">
      <c r="A6177"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6177" s="3" t="str">
        <f>HYPERLINK("https://edmondsonsupply.com/products/veto-pro-pac-tech-pac-backpack-tool-bag-1", "https://edmondsonsupply.com/products/veto-pro-pac-tech-pac-backpack-tool-bag-1")</f>
        <v>https://edmondsonsupply.com/products/veto-pro-pac-tech-pac-backpack-tool-bag-1</v>
      </c>
      <c r="C6177" t="s">
        <v>8235</v>
      </c>
      <c r="D6177" t="s">
        <v>512</v>
      </c>
      <c r="E6177" s="3" t="str">
        <f>HYPERLINK("https://www.amazon.com/VETO-PRO-PAC-Tech-Pac/dp/B00WZLTCHO/ref=sr_1_1?keywords=Veto+Pro+Pac+TECH+PAC+LT+Laptop+Backpack+Tool+Bag&amp;qid=1695174263&amp;sr=8-1", "https://www.amazon.com/VETO-PRO-PAC-Tech-Pac/dp/B00WZLTCHO/ref=sr_1_1?keywords=Veto+Pro+Pac+TECH+PAC+LT+Laptop+Backpack+Tool+Bag&amp;qid=1695174263&amp;sr=8-1")</f>
        <v>https://www.amazon.com/VETO-PRO-PAC-Tech-Pac/dp/B00WZLTCHO/ref=sr_1_1?keywords=Veto+Pro+Pac+TECH+PAC+LT+Laptop+Backpack+Tool+Bag&amp;qid=1695174263&amp;sr=8-1</v>
      </c>
      <c r="F6177" t="s">
        <v>513</v>
      </c>
      <c r="G6177" t="e">
        <f ca="1">_xludf.IMAGE("https://edmondsonsupply.com/cdn/shop/products/LT_1.jpg?v=1587146035")</f>
        <v>#NAME?</v>
      </c>
      <c r="H6177" t="e">
        <f ca="1">_xludf.IMAGE("https://m.media-amazon.com/images/I/61uz-pihn8L._AC_UL320_.jpg")</f>
        <v>#NAME?</v>
      </c>
      <c r="I6177" t="s">
        <v>8236</v>
      </c>
      <c r="J6177">
        <v>289.95</v>
      </c>
      <c r="K6177" s="4">
        <v>-1E-4</v>
      </c>
      <c r="L6177">
        <v>4.7</v>
      </c>
      <c r="M6177">
        <v>285</v>
      </c>
      <c r="O6177" t="s">
        <v>25</v>
      </c>
      <c r="P6177" t="s">
        <v>138</v>
      </c>
      <c r="Q6177" t="s">
        <v>8237</v>
      </c>
    </row>
    <row r="6178" spans="1:17" ht="15.5" x14ac:dyDescent="0.35">
      <c r="A6178" s="3" t="str">
        <f>HYPERLINK("https://edmondsonsupply.com/collections/electricians-tools/products/clc-pb1563-16-molded-plastic-bottom-bigmouth-tote-tool-bag", "https://edmondsonsupply.com/collections/electricians-tools/products/clc-pb1563-16-molded-plastic-bottom-bigmouth-tote-tool-bag")</f>
        <v>https://edmondsonsupply.com/collections/electricians-tools/products/clc-pb1563-16-molded-plastic-bottom-bigmouth-tote-tool-bag</v>
      </c>
      <c r="B6178" s="3" t="str">
        <f>HYPERLINK("https://edmondsonsupply.com/products/clc-pb1563-16-molded-plastic-bottom-bigmouth-tote-tool-bag", "https://edmondsonsupply.com/products/clc-pb1563-16-molded-plastic-bottom-bigmouth-tote-tool-bag")</f>
        <v>https://edmondsonsupply.com/products/clc-pb1563-16-molded-plastic-bottom-bigmouth-tote-tool-bag</v>
      </c>
      <c r="C6178" t="s">
        <v>615</v>
      </c>
      <c r="D6178" t="s">
        <v>616</v>
      </c>
      <c r="E6178" s="3" t="str">
        <f>HYPERLINK("https://www.amazon.com/Work-Gear-PB1563-Molded-Bigmouth/dp/B099J8XP46/ref=sr_1_1?keywords=CLC+PB1563+16%E2%80%9D+Molded+Plastic+Bottom+Bigmouth+Tote+Tool+Bag&amp;qid=1695174257&amp;sr=8-1", "https://www.amazon.com/Work-Gear-PB1563-Molded-Bigmouth/dp/B099J8XP46/ref=sr_1_1?keywords=CLC+PB1563+16%E2%80%9D+Molded+Plastic+Bottom+Bigmouth+Tote+Tool+Bag&amp;qid=1695174257&amp;sr=8-1")</f>
        <v>https://www.amazon.com/Work-Gear-PB1563-Molded-Bigmouth/dp/B099J8XP46/ref=sr_1_1?keywords=CLC+PB1563+16%E2%80%9D+Molded+Plastic+Bottom+Bigmouth+Tote+Tool+Bag&amp;qid=1695174257&amp;sr=8-1</v>
      </c>
      <c r="F6178" t="s">
        <v>617</v>
      </c>
      <c r="G6178" t="e">
        <f ca="1">_xludf.IMAGE("https://edmondsonsupply.com/cdn/shop/products/PB1563.jpg?v=1633031054")</f>
        <v>#NAME?</v>
      </c>
      <c r="H6178" t="e">
        <f ca="1">_xludf.IMAGE("https://m.media-amazon.com/images/I/81yEesBuRLS._AC_UL320_.jpg")</f>
        <v>#NAME?</v>
      </c>
      <c r="I6178" t="s">
        <v>618</v>
      </c>
      <c r="J6178">
        <v>59.94</v>
      </c>
      <c r="K6178" s="4">
        <v>-2.0000000000000001E-4</v>
      </c>
      <c r="L6178">
        <v>4.5999999999999996</v>
      </c>
      <c r="M6178">
        <v>26</v>
      </c>
      <c r="O6178" t="s">
        <v>25</v>
      </c>
      <c r="P6178" t="s">
        <v>392</v>
      </c>
      <c r="Q6178" t="s">
        <v>619</v>
      </c>
    </row>
    <row r="6179" spans="1:17" ht="15.5" x14ac:dyDescent="0.35">
      <c r="A6179"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6179" s="3" t="str">
        <f>HYPERLINK("https://edmondsonsupply.com/products/veto-pro-pac-tp-xxl-tool-pouch", "https://edmondsonsupply.com/products/veto-pro-pac-tp-xxl-tool-pouch")</f>
        <v>https://edmondsonsupply.com/products/veto-pro-pac-tp-xxl-tool-pouch</v>
      </c>
      <c r="C6179" t="s">
        <v>451</v>
      </c>
      <c r="D6179" t="s">
        <v>621</v>
      </c>
      <c r="E6179" s="3" t="str">
        <f>HYPERLINK("https://www.amazon.com/Veto-Pro-Pac-TP-XXL-Zippered/dp/B09Q4YNX94/ref=sr_1_1?keywords=Veto+Pro+Pac+TP-XXL+Tool+Pouch&amp;qid=1695173851&amp;sr=8-1", "https://www.amazon.com/Veto-Pro-Pac-TP-XXL-Zippered/dp/B09Q4YNX94/ref=sr_1_1?keywords=Veto+Pro+Pac+TP-XXL+Tool+Pouch&amp;qid=1695173851&amp;sr=8-1")</f>
        <v>https://www.amazon.com/Veto-Pro-Pac-TP-XXL-Zippered/dp/B09Q4YNX94/ref=sr_1_1?keywords=Veto+Pro+Pac+TP-XXL+Tool+Pouch&amp;qid=1695173851&amp;sr=8-1</v>
      </c>
      <c r="F6179" t="s">
        <v>622</v>
      </c>
      <c r="G6179" t="e">
        <f ca="1">_xludf.IMAGE("https://edmondsonsupply.com/cdn/shop/products/01_TP-XXL.jpg?v=1633031173")</f>
        <v>#NAME?</v>
      </c>
      <c r="H6179" t="e">
        <f ca="1">_xludf.IMAGE("https://m.media-amazon.com/images/I/61c5N3ud9xL._AC_UL320_.jpg")</f>
        <v>#NAME?</v>
      </c>
      <c r="I6179" t="s">
        <v>454</v>
      </c>
      <c r="J6179">
        <v>209.95</v>
      </c>
      <c r="K6179" s="4">
        <v>-2.0000000000000001E-4</v>
      </c>
      <c r="L6179">
        <v>4.8</v>
      </c>
      <c r="M6179">
        <v>478</v>
      </c>
      <c r="O6179" t="s">
        <v>25</v>
      </c>
      <c r="P6179" t="s">
        <v>138</v>
      </c>
      <c r="Q6179" t="s">
        <v>455</v>
      </c>
    </row>
    <row r="6180" spans="1:17" ht="15.5" x14ac:dyDescent="0.35">
      <c r="A6180" s="3" t="str">
        <f>HYPERLINK("https://edmondsonsupply.com/collections/electricians-tools/products/veto-pro-pac-tech-ot-sc-open-top-electrician-tool-bag", "https://edmondsonsupply.com/collections/electricians-tools/products/veto-pro-pac-tech-ot-sc-open-top-electrician-tool-bag")</f>
        <v>https://edmondsonsupply.com/collections/electricians-tools/products/veto-pro-pac-tech-ot-sc-open-top-electrician-tool-bag</v>
      </c>
      <c r="B6180" s="3" t="str">
        <f>HYPERLINK("https://edmondsonsupply.com/products/veto-pro-pac-tech-ot-sc-open-top-electrician-tool-bag", "https://edmondsonsupply.com/products/veto-pro-pac-tech-ot-sc-open-top-electrician-tool-bag")</f>
        <v>https://edmondsonsupply.com/products/veto-pro-pac-tech-ot-sc-open-top-electrician-tool-bag</v>
      </c>
      <c r="C6180" t="s">
        <v>482</v>
      </c>
      <c r="D6180" t="s">
        <v>509</v>
      </c>
      <c r="E6180" s="3" t="str">
        <f>HYPERLINK("https://www.amazon.com/Veto-TECH-OT-SC-Sub-Compact-Electrician/dp/B09ZC63KFK/ref=sr_1_1?keywords=Veto+Pro+Pac+Tech+OT-SC+Open+Top+Electrician+Tool+Bag&amp;qid=1695174089&amp;sr=8-1", "https://www.amazon.com/Veto-TECH-OT-SC-Sub-Compact-Electrician/dp/B09ZC63KFK/ref=sr_1_1?keywords=Veto+Pro+Pac+Tech+OT-SC+Open+Top+Electrician+Tool+Bag&amp;qid=1695174089&amp;sr=8-1")</f>
        <v>https://www.amazon.com/Veto-TECH-OT-SC-Sub-Compact-Electrician/dp/B09ZC63KFK/ref=sr_1_1?keywords=Veto+Pro+Pac+Tech+OT-SC+Open+Top+Electrician+Tool+Bag&amp;qid=1695174089&amp;sr=8-1</v>
      </c>
      <c r="F6180" t="s">
        <v>510</v>
      </c>
      <c r="G6180" t="e">
        <f ca="1">_xludf.IMAGE("https://edmondsonsupply.com/cdn/shop/products/0_707ca9f3-2e27-41c1-883d-1aec36a4e25a.jpg?v=1674835772")</f>
        <v>#NAME?</v>
      </c>
      <c r="H6180" t="e">
        <f ca="1">_xludf.IMAGE("https://m.media-amazon.com/images/I/51LTwfYG5eL._AC_UL320_.jpg")</f>
        <v>#NAME?</v>
      </c>
      <c r="I6180" t="s">
        <v>483</v>
      </c>
      <c r="J6180">
        <v>179.95</v>
      </c>
      <c r="K6180" s="4">
        <v>-2.0000000000000001E-4</v>
      </c>
      <c r="L6180">
        <v>4.7</v>
      </c>
      <c r="M6180">
        <v>21</v>
      </c>
      <c r="O6180" t="s">
        <v>25</v>
      </c>
      <c r="P6180" t="s">
        <v>138</v>
      </c>
      <c r="Q6180" t="s">
        <v>484</v>
      </c>
    </row>
    <row r="6181" spans="1:17" ht="15.5" x14ac:dyDescent="0.35">
      <c r="A6181" s="3" t="str">
        <f>HYPERLINK("https://edmondsonsupply.com/collections/electricians-tools/products/wiha-tools-28345-6-piece-insulated-slimline-pocketmax-multi-driver", "https://edmondsonsupply.com/collections/electricians-tools/products/wiha-tools-28345-6-piece-insulated-slimline-pocketmax-multi-driver")</f>
        <v>https://edmondsonsupply.com/collections/electricians-tools/products/wiha-tools-28345-6-piece-insulated-slimline-pocketmax-multi-driver</v>
      </c>
      <c r="B6181" s="3" t="str">
        <f>HYPERLINK("https://edmondsonsupply.com/products/wiha-tools-28345-6-piece-insulated-slimline-pocketmax-multi-driver", "https://edmondsonsupply.com/products/wiha-tools-28345-6-piece-insulated-slimline-pocketmax-multi-driver")</f>
        <v>https://edmondsonsupply.com/products/wiha-tools-28345-6-piece-insulated-slimline-pocketmax-multi-driver</v>
      </c>
      <c r="C6181" t="s">
        <v>4783</v>
      </c>
      <c r="D6181" t="s">
        <v>4784</v>
      </c>
      <c r="E6181" s="3" t="str">
        <f>HYPERLINK("https://www.amazon.com/Wiha-28345-Insulated-PocketMax-Multi-Driver/dp/B0C41RKZDW/ref=sr_1_1?keywords=Wiha+Tools+28345+6+Piece+Insulated+SlimLine+PocketMax+Multi-Driver&amp;qid=1695173984&amp;sr=8-1", "https://www.amazon.com/Wiha-28345-Insulated-PocketMax-Multi-Driver/dp/B0C41RKZDW/ref=sr_1_1?keywords=Wiha+Tools+28345+6+Piece+Insulated+SlimLine+PocketMax+Multi-Driver&amp;qid=1695173984&amp;sr=8-1")</f>
        <v>https://www.amazon.com/Wiha-28345-Insulated-PocketMax-Multi-Driver/dp/B0C41RKZDW/ref=sr_1_1?keywords=Wiha+Tools+28345+6+Piece+Insulated+SlimLine+PocketMax+Multi-Driver&amp;qid=1695173984&amp;sr=8-1</v>
      </c>
      <c r="F6181" t="s">
        <v>4785</v>
      </c>
      <c r="G6181" t="e">
        <f ca="1">_xludf.IMAGE("https://edmondsonsupply.com/cdn/shop/files/wjbse4q1tjopoh3gedft_1000x_df232d6d-d37e-435d-a299-d53bfa0c3016.webp?v=1690833368")</f>
        <v>#NAME?</v>
      </c>
      <c r="H6181" t="e">
        <f ca="1">_xludf.IMAGE("https://m.media-amazon.com/images/I/51xgjec5cDL._AC_UL320_.jpg")</f>
        <v>#NAME?</v>
      </c>
      <c r="I6181" t="s">
        <v>946</v>
      </c>
      <c r="J6181">
        <v>44.98</v>
      </c>
      <c r="K6181" s="4">
        <v>-2.0000000000000001E-4</v>
      </c>
      <c r="L6181">
        <v>4.8</v>
      </c>
      <c r="M6181">
        <v>48</v>
      </c>
      <c r="O6181" t="s">
        <v>25</v>
      </c>
      <c r="P6181" t="s">
        <v>199</v>
      </c>
      <c r="Q6181" t="s">
        <v>4786</v>
      </c>
    </row>
    <row r="6182" spans="1:17" ht="15.5" x14ac:dyDescent="0.35">
      <c r="A6182" s="3" t="str">
        <f>HYPERLINK("https://edmondsonsupply.com/collections/electricians-tools/products/klein-tools-d248-8-diagonal-cutting-pliers-angled-head-short-jaw-8-inch", "https://edmondsonsupply.com/collections/electricians-tools/products/klein-tools-d248-8-diagonal-cutting-pliers-angled-head-short-jaw-8-inch")</f>
        <v>https://edmondsonsupply.com/collections/electricians-tools/products/klein-tools-d248-8-diagonal-cutting-pliers-angled-head-short-jaw-8-inch</v>
      </c>
      <c r="B6182" s="3" t="str">
        <f>HYPERLINK("https://edmondsonsupply.com/products/klein-tools-d248-8-diagonal-cutting-pliers-angled-head-short-jaw-8-inch", "https://edmondsonsupply.com/products/klein-tools-d248-8-diagonal-cutting-pliers-angled-head-short-jaw-8-inch")</f>
        <v>https://edmondsonsupply.com/products/klein-tools-d248-8-diagonal-cutting-pliers-angled-head-short-jaw-8-inch</v>
      </c>
      <c r="C6182" t="s">
        <v>6512</v>
      </c>
      <c r="D6182" t="s">
        <v>5314</v>
      </c>
      <c r="E6182" s="3" t="str">
        <f>HYPERLINK("https://www.amazon.com/Klein-Tools-D248-8-Leverage-Diagonal/dp/B0000302W8/ref=sr_1_1?keywords=Klein+Tools+D248-8+Diagonal+Cutting+Pliers%2C+Angled+Head%2C+Short+Jaw%2C+8-Inch&amp;qid=1695174274&amp;sr=8-1", "https://www.amazon.com/Klein-Tools-D248-8-Leverage-Diagonal/dp/B0000302W8/ref=sr_1_1?keywords=Klein+Tools+D248-8+Diagonal+Cutting+Pliers%2C+Angled+Head%2C+Short+Jaw%2C+8-Inch&amp;qid=1695174274&amp;sr=8-1")</f>
        <v>https://www.amazon.com/Klein-Tools-D248-8-Leverage-Diagonal/dp/B0000302W8/ref=sr_1_1?keywords=Klein+Tools+D248-8+Diagonal+Cutting+Pliers%2C+Angled+Head%2C+Short+Jaw%2C+8-Inch&amp;qid=1695174274&amp;sr=8-1</v>
      </c>
      <c r="F6182" t="s">
        <v>5315</v>
      </c>
      <c r="G6182" t="e">
        <f ca="1">_xludf.IMAGE("https://edmondsonsupply.com/cdn/shop/products/d2488.jpg?v=1633030997")</f>
        <v>#NAME?</v>
      </c>
      <c r="H6182" t="e">
        <f ca="1">_xludf.IMAGE("https://m.media-amazon.com/images/I/41KAmcIzVBL._AC_UL320_.jpg")</f>
        <v>#NAME?</v>
      </c>
      <c r="I6182" t="s">
        <v>824</v>
      </c>
      <c r="J6182">
        <v>29.96</v>
      </c>
      <c r="K6182" s="4">
        <v>-2.9999999999999997E-4</v>
      </c>
      <c r="L6182">
        <v>4.8</v>
      </c>
      <c r="M6182">
        <v>2417</v>
      </c>
      <c r="O6182" t="s">
        <v>25</v>
      </c>
      <c r="P6182" t="s">
        <v>5277</v>
      </c>
      <c r="Q6182" t="s">
        <v>6515</v>
      </c>
    </row>
    <row r="6183" spans="1:17" ht="15.5" x14ac:dyDescent="0.35">
      <c r="A6183" s="3" t="str">
        <f>HYPERLINK("https://edmondsonsupply.com/collections/electricians-tools/products/klein-tools-aepjs3-bluetooth%C2%AE-jobsite-speaker-with-magnet-and-hook", "https://edmondsonsupply.com/collections/electricians-tools/products/klein-tools-aepjs3-bluetooth%C2%AE-jobsite-speaker-with-magnet-and-hook")</f>
        <v>https://edmondsonsupply.com/collections/electricians-tools/products/klein-tools-aepjs3-bluetooth%C2%AE-jobsite-speaker-with-magnet-and-hook</v>
      </c>
      <c r="B6183" s="3" t="str">
        <f>HYPERLINK("https://edmondsonsupply.com/products/klein-tools-aepjs3-bluetooth%c2%ae-jobsite-speaker-with-magnet-and-hook", "https://edmondsonsupply.com/products/klein-tools-aepjs3-bluetooth%c2%ae-jobsite-speaker-with-magnet-and-hook")</f>
        <v>https://edmondsonsupply.com/products/klein-tools-aepjs3-bluetooth%c2%ae-jobsite-speaker-with-magnet-and-hook</v>
      </c>
      <c r="C6183" t="s">
        <v>8238</v>
      </c>
      <c r="D6183" t="s">
        <v>8239</v>
      </c>
      <c r="E6183" s="3" t="str">
        <f>HYPERLINK("https://www.amazon.com/Klein-Tools-Bluetooth-Magnetic-Wireless/dp/B0C3BBLTF7/ref=sr_1_4?keywords=Klein+Tools+AEPJS3+Bluetooth%C2%AE+Jobsite+Speaker+with+Magnet+and+Hook&amp;qid=1695174159&amp;sr=8-4", "https://www.amazon.com/Klein-Tools-Bluetooth-Magnetic-Wireless/dp/B0C3BBLTF7/ref=sr_1_4?keywords=Klein+Tools+AEPJS3+Bluetooth%C2%AE+Jobsite+Speaker+with+Magnet+and+Hook&amp;qid=1695174159&amp;sr=8-4")</f>
        <v>https://www.amazon.com/Klein-Tools-Bluetooth-Magnetic-Wireless/dp/B0C3BBLTF7/ref=sr_1_4?keywords=Klein+Tools+AEPJS3+Bluetooth%C2%AE+Jobsite+Speaker+with+Magnet+and+Hook&amp;qid=1695174159&amp;sr=8-4</v>
      </c>
      <c r="F6183" t="s">
        <v>8240</v>
      </c>
      <c r="G6183" t="e">
        <f ca="1">_xludf.IMAGE("https://edmondsonsupply.com/cdn/shop/products/aepjs3_b.jpg?v=1663946789")</f>
        <v>#NAME?</v>
      </c>
      <c r="H6183" t="e">
        <f ca="1">_xludf.IMAGE("https://m.media-amazon.com/images/I/61ga0Dj-31L._AC_UY218_.jpg")</f>
        <v>#NAME?</v>
      </c>
      <c r="I6183" t="s">
        <v>8241</v>
      </c>
      <c r="J6183">
        <v>79.94</v>
      </c>
      <c r="K6183" s="4">
        <v>-4.0000000000000002E-4</v>
      </c>
      <c r="L6183">
        <v>5</v>
      </c>
      <c r="M6183">
        <v>1</v>
      </c>
      <c r="O6183" t="s">
        <v>25</v>
      </c>
      <c r="P6183" t="s">
        <v>8242</v>
      </c>
      <c r="Q6183" t="s">
        <v>8243</v>
      </c>
    </row>
    <row r="6184" spans="1:17" ht="15.5" x14ac:dyDescent="0.35">
      <c r="A6184"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6184" s="3" t="str">
        <f>HYPERLINK("https://edmondsonsupply.com/products/klein-tools-60100-hard-hat-non-vented-cap-style-white", "https://edmondsonsupply.com/products/klein-tools-60100-hard-hat-non-vented-cap-style-white")</f>
        <v>https://edmondsonsupply.com/products/klein-tools-60100-hard-hat-non-vented-cap-style-white</v>
      </c>
      <c r="C6184" t="s">
        <v>970</v>
      </c>
      <c r="D6184" t="s">
        <v>1218</v>
      </c>
      <c r="E6184" s="3" t="str">
        <f>HYPERLINK("https://www.amazon.com/Klein-Tools-60107-Self-Wicking-Odor-Resistant/dp/B07TLG3VQJ/ref=sr_1_2?keywords=Klein+Tools+60100+Hard+Hat%2C+Non-Vented%2C+Cap+Style%2C+White&amp;qid=1695174219&amp;sr=8-2", "https://www.amazon.com/Klein-Tools-60107-Self-Wicking-Odor-Resistant/dp/B07TLG3VQJ/ref=sr_1_2?keywords=Klein+Tools+60100+Hard+Hat%2C+Non-Vented%2C+Cap+Style%2C+White&amp;qid=1695174219&amp;sr=8-2")</f>
        <v>https://www.amazon.com/Klein-Tools-60107-Self-Wicking-Odor-Resistant/dp/B07TLG3VQJ/ref=sr_1_2?keywords=Klein+Tools+60100+Hard+Hat%2C+Non-Vented%2C+Cap+Style%2C+White&amp;qid=1695174219&amp;sr=8-2</v>
      </c>
      <c r="F6184" t="s">
        <v>1219</v>
      </c>
      <c r="G6184" t="e">
        <f ca="1">_xludf.IMAGE("https://edmondsonsupply.com/cdn/shop/products/60100_c.jpg?v=1648166061")</f>
        <v>#NAME?</v>
      </c>
      <c r="H6184" t="e">
        <f ca="1">_xludf.IMAGE("https://m.media-amazon.com/images/I/41PzDOmbcRS._AC_UL320_.jpg")</f>
        <v>#NAME?</v>
      </c>
      <c r="I6184" t="s">
        <v>198</v>
      </c>
      <c r="J6184">
        <v>39.97</v>
      </c>
      <c r="K6184" s="4">
        <v>-5.0000000000000001E-4</v>
      </c>
      <c r="L6184">
        <v>4.5999999999999996</v>
      </c>
      <c r="M6184">
        <v>147</v>
      </c>
      <c r="O6184" t="s">
        <v>171</v>
      </c>
      <c r="P6184" t="s">
        <v>971</v>
      </c>
      <c r="Q6184" t="s">
        <v>972</v>
      </c>
    </row>
    <row r="6185" spans="1:17" ht="15.5" x14ac:dyDescent="0.35">
      <c r="A6185" s="3" t="str">
        <f>HYPERLINK("https://edmondsonsupply.com/collections/electricians-tools/products/klein-tools-60100-hard-hat-non-vented-cap-style-white", "https://edmondsonsupply.com/collections/electricians-tools/products/klein-tools-60100-hard-hat-non-vented-cap-style-white")</f>
        <v>https://edmondsonsupply.com/collections/electricians-tools/products/klein-tools-60100-hard-hat-non-vented-cap-style-white</v>
      </c>
      <c r="B6185" s="3" t="str">
        <f>HYPERLINK("https://edmondsonsupply.com/products/klein-tools-60100-hard-hat-non-vented-cap-style-white", "https://edmondsonsupply.com/products/klein-tools-60100-hard-hat-non-vented-cap-style-white")</f>
        <v>https://edmondsonsupply.com/products/klein-tools-60100-hard-hat-non-vented-cap-style-white</v>
      </c>
      <c r="C6185" t="s">
        <v>970</v>
      </c>
      <c r="D6185" t="s">
        <v>1220</v>
      </c>
      <c r="E6185" s="3" t="str">
        <f>HYPERLINK("https://www.amazon.com/Klein-Tools-60248-Self-Wicking-Odor-Resistant/dp/B08FBZMLC7/ref=sr_1_3?keywords=Klein+Tools+60100+Hard+Hat%2C+Non-Vented%2C+Cap+Style%2C+White&amp;qid=1695174219&amp;sr=8-3", "https://www.amazon.com/Klein-Tools-60248-Self-Wicking-Odor-Resistant/dp/B08FBZMLC7/ref=sr_1_3?keywords=Klein+Tools+60100+Hard+Hat%2C+Non-Vented%2C+Cap+Style%2C+White&amp;qid=1695174219&amp;sr=8-3")</f>
        <v>https://www.amazon.com/Klein-Tools-60248-Self-Wicking-Odor-Resistant/dp/B08FBZMLC7/ref=sr_1_3?keywords=Klein+Tools+60100+Hard+Hat%2C+Non-Vented%2C+Cap+Style%2C+White&amp;qid=1695174219&amp;sr=8-3</v>
      </c>
      <c r="F6185" t="s">
        <v>1221</v>
      </c>
      <c r="G6185" t="e">
        <f ca="1">_xludf.IMAGE("https://edmondsonsupply.com/cdn/shop/products/60100_c.jpg?v=1648166061")</f>
        <v>#NAME?</v>
      </c>
      <c r="H6185" t="e">
        <f ca="1">_xludf.IMAGE("https://m.media-amazon.com/images/I/51E5C0oSy6L._AC_UL320_.jpg")</f>
        <v>#NAME?</v>
      </c>
      <c r="I6185" t="s">
        <v>198</v>
      </c>
      <c r="J6185">
        <v>39.97</v>
      </c>
      <c r="K6185" s="4">
        <v>-5.0000000000000001E-4</v>
      </c>
      <c r="L6185">
        <v>4.4000000000000004</v>
      </c>
      <c r="M6185">
        <v>34</v>
      </c>
      <c r="O6185" t="s">
        <v>171</v>
      </c>
      <c r="P6185" t="s">
        <v>971</v>
      </c>
      <c r="Q6185" t="s">
        <v>972</v>
      </c>
    </row>
    <row r="6186" spans="1:17" ht="15.5" x14ac:dyDescent="0.35">
      <c r="A6186"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6186" s="3" t="str">
        <f>HYPERLINK("https://edmondsonsupply.com/products/klein-tools-51608-1-2-inch-iron-conduit-bender-head", "https://edmondsonsupply.com/products/klein-tools-51608-1-2-inch-iron-conduit-bender-head")</f>
        <v>https://edmondsonsupply.com/products/klein-tools-51608-1-2-inch-iron-conduit-bender-head</v>
      </c>
      <c r="C6186" t="s">
        <v>6789</v>
      </c>
      <c r="D6186" t="s">
        <v>6208</v>
      </c>
      <c r="E6186" s="3" t="str">
        <f>HYPERLINK("https://www.amazon.com/Aluminum-Benchmark-Technology-Klein-Tools/dp/B08L41DC9N/ref=sr_1_8?keywords=Klein+Tools+51608+1%2F2-inch+Iron+Conduit+Bender+Head&amp;qid=1695174222&amp;sr=8-8", "https://www.amazon.com/Aluminum-Benchmark-Technology-Klein-Tools/dp/B08L41DC9N/ref=sr_1_8?keywords=Klein+Tools+51608+1%2F2-inch+Iron+Conduit+Bender+Head&amp;qid=1695174222&amp;sr=8-8")</f>
        <v>https://www.amazon.com/Aluminum-Benchmark-Technology-Klein-Tools/dp/B08L41DC9N/ref=sr_1_8?keywords=Klein+Tools+51608+1%2F2-inch+Iron+Conduit+Bender+Head&amp;qid=1695174222&amp;sr=8-8</v>
      </c>
      <c r="F6186" t="s">
        <v>6209</v>
      </c>
      <c r="G6186" t="e">
        <f ca="1">_xludf.IMAGE("https://edmondsonsupply.com/cdn/shop/products/51608.jpg?v=1643679335")</f>
        <v>#NAME?</v>
      </c>
      <c r="H6186" t="e">
        <f ca="1">_xludf.IMAGE("https://m.media-amazon.com/images/I/41JBDxEE8NL._AC_UL320_.jpg")</f>
        <v>#NAME?</v>
      </c>
      <c r="I6186" t="s">
        <v>198</v>
      </c>
      <c r="J6186">
        <v>39.97</v>
      </c>
      <c r="K6186" s="4">
        <v>-5.0000000000000001E-4</v>
      </c>
      <c r="L6186">
        <v>4.8</v>
      </c>
      <c r="M6186">
        <v>258</v>
      </c>
      <c r="O6186" t="s">
        <v>25</v>
      </c>
      <c r="P6186" t="s">
        <v>6790</v>
      </c>
      <c r="Q6186" t="s">
        <v>6791</v>
      </c>
    </row>
    <row r="6187" spans="1:17" ht="15.5" x14ac:dyDescent="0.35">
      <c r="A6187" s="3" t="str">
        <f>HYPERLINK("https://edmondsonsupply.com/collections/electricians-tools/products/klein-tools-32286-2-in-1-insulated-flip-blade-screwdriver-1-ph-3-16-inch-sl", "https://edmondsonsupply.com/collections/electricians-tools/products/klein-tools-32286-2-in-1-insulated-flip-blade-screwdriver-1-ph-3-16-inch-sl")</f>
        <v>https://edmondsonsupply.com/collections/electricians-tools/products/klein-tools-32286-2-in-1-insulated-flip-blade-screwdriver-1-ph-3-16-inch-sl</v>
      </c>
      <c r="B6187" s="3" t="str">
        <f>HYPERLINK("https://edmondsonsupply.com/products/klein-tools-32286-2-in-1-insulated-flip-blade-screwdriver-1-ph-3-16-inch-sl", "https://edmondsonsupply.com/products/klein-tools-32286-2-in-1-insulated-flip-blade-screwdriver-1-ph-3-16-inch-sl")</f>
        <v>https://edmondsonsupply.com/products/klein-tools-32286-2-in-1-insulated-flip-blade-screwdriver-1-ph-3-16-inch-sl</v>
      </c>
      <c r="C6187" t="s">
        <v>4787</v>
      </c>
      <c r="D6187" t="s">
        <v>4788</v>
      </c>
      <c r="E6187" s="3" t="str">
        <f>HYPERLINK("https://www.amazon.com/Klein-Tools-32286-Screwdriver-Double-Ended/dp/B07XQBZXL2/ref=sr_1_1?keywords=Klein+Tools+32286+Flip-Blade+Insulated+Screwdriver%2C+2-in1%2C+Ph+Bit+%231%2C+Sl+Bit+3%2F16-Inch&amp;qid=1695173957&amp;sr=8-1", "https://www.amazon.com/Klein-Tools-32286-Screwdriver-Double-Ended/dp/B07XQBZXL2/ref=sr_1_1?keywords=Klein+Tools+32286+Flip-Blade+Insulated+Screwdriver%2C+2-in1%2C+Ph+Bit+%231%2C+Sl+Bit+3%2F16-Inch&amp;qid=1695173957&amp;sr=8-1")</f>
        <v>https://www.amazon.com/Klein-Tools-32286-Screwdriver-Double-Ended/dp/B07XQBZXL2/ref=sr_1_1?keywords=Klein+Tools+32286+Flip-Blade+Insulated+Screwdriver%2C+2-in1%2C+Ph+Bit+%231%2C+Sl+Bit+3%2F16-Inch&amp;qid=1695173957&amp;sr=8-1</v>
      </c>
      <c r="F6187" t="s">
        <v>4789</v>
      </c>
      <c r="G6187" t="e">
        <f ca="1">_xludf.IMAGE("https://edmondsonsupply.com/cdn/shop/products/32286.jpg?v=1587145513")</f>
        <v>#NAME?</v>
      </c>
      <c r="H6187" t="e">
        <f ca="1">_xludf.IMAGE("https://m.media-amazon.com/images/I/41ujHk4Dg2L._AC_UL320_.jpg")</f>
        <v>#NAME?</v>
      </c>
      <c r="I6187" t="s">
        <v>577</v>
      </c>
      <c r="J6187">
        <v>19.98</v>
      </c>
      <c r="K6187" s="4">
        <v>-5.0000000000000001E-4</v>
      </c>
      <c r="L6187">
        <v>4.7</v>
      </c>
      <c r="M6187">
        <v>622</v>
      </c>
      <c r="O6187" t="s">
        <v>25</v>
      </c>
      <c r="P6187" t="s">
        <v>894</v>
      </c>
      <c r="Q6187" t="s">
        <v>4790</v>
      </c>
    </row>
    <row r="6188" spans="1:17" ht="15.5" x14ac:dyDescent="0.35">
      <c r="A6188" s="3" t="str">
        <f>HYPERLINK("https://edmondsonsupply.com/collections/electricians-tools/products/klein-tools-65200-electricians-mini-ratchet-set-5-piece", "https://edmondsonsupply.com/collections/electricians-tools/products/klein-tools-65200-electricians-mini-ratchet-set-5-piece")</f>
        <v>https://edmondsonsupply.com/collections/electricians-tools/products/klein-tools-65200-electricians-mini-ratchet-set-5-piece</v>
      </c>
      <c r="B6188" s="3" t="str">
        <f>HYPERLINK("https://edmondsonsupply.com/products/klein-tools-65200-electricians-mini-ratchet-set-5-piece", "https://edmondsonsupply.com/products/klein-tools-65200-electricians-mini-ratchet-set-5-piece")</f>
        <v>https://edmondsonsupply.com/products/klein-tools-65200-electricians-mini-ratchet-set-5-piece</v>
      </c>
      <c r="C6188" t="s">
        <v>140</v>
      </c>
      <c r="D6188" t="s">
        <v>221</v>
      </c>
      <c r="E6188" s="3" t="str">
        <f>HYPERLINK("https://www.amazon.com/Klein-Tools-65200-Ratchet-Phillips/dp/B08D6YDQNH/ref=sr_1_1?keywords=Klein+Tools+65200+Slim-Profile+Mini+Ratchet+Set%2C+5-Piece&amp;qid=1695173845&amp;sr=8-1", "https://www.amazon.com/Klein-Tools-65200-Ratchet-Phillips/dp/B08D6YDQNH/ref=sr_1_1?keywords=Klein+Tools+65200+Slim-Profile+Mini+Ratchet+Set%2C+5-Piece&amp;qid=1695173845&amp;sr=8-1")</f>
        <v>https://www.amazon.com/Klein-Tools-65200-Ratchet-Phillips/dp/B08D6YDQNH/ref=sr_1_1?keywords=Klein+Tools+65200+Slim-Profile+Mini+Ratchet+Set%2C+5-Piece&amp;qid=1695173845&amp;sr=8-1</v>
      </c>
      <c r="F6188" t="s">
        <v>222</v>
      </c>
      <c r="G6188" t="e">
        <f ca="1">_xludf.IMAGE("https://edmondsonsupply.com/cdn/shop/products/65200.jpg?v=1633030630")</f>
        <v>#NAME?</v>
      </c>
      <c r="H6188" t="e">
        <f ca="1">_xludf.IMAGE("https://m.media-amazon.com/images/I/61p7iM+Yn8L._AC_UL320_.jpg")</f>
        <v>#NAME?</v>
      </c>
      <c r="I6188" t="s">
        <v>143</v>
      </c>
      <c r="J6188">
        <v>15.96</v>
      </c>
      <c r="K6188" s="4">
        <v>-5.9999999999999995E-4</v>
      </c>
      <c r="L6188">
        <v>4.7</v>
      </c>
      <c r="M6188">
        <v>3970</v>
      </c>
      <c r="O6188" t="s">
        <v>25</v>
      </c>
      <c r="P6188" t="s">
        <v>144</v>
      </c>
      <c r="Q6188" t="s">
        <v>145</v>
      </c>
    </row>
    <row r="6189" spans="1:17" ht="15.5" x14ac:dyDescent="0.35">
      <c r="A6189" s="3" t="str">
        <f>HYPERLINK("https://edmondsonsupply.com/collections/electricians-tools/products/milwaukee-48-11-2425-m12%E2%84%A2-redlithium%E2%84%A2-high-output%E2%84%A2-cp2-5-battery-pack", "https://edmondsonsupply.com/collections/electricians-tools/products/milwaukee-48-11-2425-m12%E2%84%A2-redlithium%E2%84%A2-high-output%E2%84%A2-cp2-5-battery-pack")</f>
        <v>https://edmondsonsupply.com/collections/electricians-tools/products/milwaukee-48-11-2425-m12%E2%84%A2-redlithium%E2%84%A2-high-output%E2%84%A2-cp2-5-battery-pack</v>
      </c>
      <c r="B6189" s="3" t="str">
        <f>HYPERLINK("https://edmondsonsupply.com/products/milwaukee-48-11-2425-m12%e2%84%a2-redlithium%e2%84%a2-high-output%e2%84%a2-cp2-5-battery-pack", "https://edmondsonsupply.com/products/milwaukee-48-11-2425-m12%e2%84%a2-redlithium%e2%84%a2-high-output%e2%84%a2-cp2-5-battery-pack")</f>
        <v>https://edmondsonsupply.com/products/milwaukee-48-11-2425-m12%e2%84%a2-redlithium%e2%84%a2-high-output%e2%84%a2-cp2-5-battery-pack</v>
      </c>
      <c r="C6189" t="s">
        <v>8244</v>
      </c>
      <c r="D6189" t="s">
        <v>8245</v>
      </c>
      <c r="E6189" s="3" t="str">
        <f>HYPERLINK("https://www.amazon.com/Milwaukee-48-11-2425-Lithium-Ion-CP2-5Ah-Battery/dp/B0BVC16SGQ/ref=sr_1_2?keywords=Milwaukee+48-11-2425+M12%E2%84%A2+REDLITHIUM%E2%84%A2+HIGH+OUTPUT%E2%84%A2+CP2.5+Battery+Pack&amp;qid=1695174085&amp;sr=8-2", "https://www.amazon.com/Milwaukee-48-11-2425-Lithium-Ion-CP2-5Ah-Battery/dp/B0BVC16SGQ/ref=sr_1_2?keywords=Milwaukee+48-11-2425+M12%E2%84%A2+REDLITHIUM%E2%84%A2+HIGH+OUTPUT%E2%84%A2+CP2.5+Battery+Pack&amp;qid=1695174085&amp;sr=8-2")</f>
        <v>https://www.amazon.com/Milwaukee-48-11-2425-Lithium-Ion-CP2-5Ah-Battery/dp/B0BVC16SGQ/ref=sr_1_2?keywords=Milwaukee+48-11-2425+M12%E2%84%A2+REDLITHIUM%E2%84%A2+HIGH+OUTPUT%E2%84%A2+CP2.5+Battery+Pack&amp;qid=1695174085&amp;sr=8-2</v>
      </c>
      <c r="F6189" t="s">
        <v>8246</v>
      </c>
      <c r="G6189" t="e">
        <f ca="1">_xludf.IMAGE("https://edmondsonsupply.com/cdn/shop/products/48-11-2425_101.webp?v=1674138075")</f>
        <v>#NAME?</v>
      </c>
      <c r="H6189" t="e">
        <f ca="1">_xludf.IMAGE("https://m.media-amazon.com/images/I/51uoELMu+SL._AC_UL320_.jpg")</f>
        <v>#NAME?</v>
      </c>
      <c r="I6189" t="s">
        <v>4741</v>
      </c>
      <c r="J6189">
        <v>78.95</v>
      </c>
      <c r="K6189" s="4">
        <v>-5.9999999999999995E-4</v>
      </c>
      <c r="L6189">
        <v>4</v>
      </c>
      <c r="M6189">
        <v>1</v>
      </c>
      <c r="O6189" t="s">
        <v>25</v>
      </c>
      <c r="P6189" t="s">
        <v>282</v>
      </c>
      <c r="Q6189" t="s">
        <v>8247</v>
      </c>
    </row>
    <row r="6190" spans="1:17" ht="15.5" x14ac:dyDescent="0.35">
      <c r="A6190" s="3" t="str">
        <f>HYPERLINK("https://edmondsonsupply.com/collections/electricians-tools/products/veto-pro-pac-tp4-tool-pouch", "https://edmondsonsupply.com/collections/electricians-tools/products/veto-pro-pac-tp4-tool-pouch")</f>
        <v>https://edmondsonsupply.com/collections/electricians-tools/products/veto-pro-pac-tp4-tool-pouch</v>
      </c>
      <c r="B6190" s="3" t="str">
        <f>HYPERLINK("https://edmondsonsupply.com/products/veto-pro-pac-tp4-tool-pouch", "https://edmondsonsupply.com/products/veto-pro-pac-tp4-tool-pouch")</f>
        <v>https://edmondsonsupply.com/products/veto-pro-pac-tp4-tool-pouch</v>
      </c>
      <c r="C6190" t="s">
        <v>6137</v>
      </c>
      <c r="D6190" t="s">
        <v>728</v>
      </c>
      <c r="E6190" s="3" t="str">
        <f>HYPERLINK("https://www.amazon.com/Veto-Pro-Pac-TP3-Pouch/dp/B008471T42/ref=sr_1_1?keywords=Veto+Pro+Pac+TP3+Tool+Bag&amp;qid=1695174238&amp;sr=8-1", "https://www.amazon.com/Veto-Pro-Pac-TP3-Pouch/dp/B008471T42/ref=sr_1_1?keywords=Veto+Pro+Pac+TP3+Tool+Bag&amp;qid=1695174238&amp;sr=8-1")</f>
        <v>https://www.amazon.com/Veto-Pro-Pac-TP3-Pouch/dp/B008471T42/ref=sr_1_1?keywords=Veto+Pro+Pac+TP3+Tool+Bag&amp;qid=1695174238&amp;sr=8-1</v>
      </c>
      <c r="F6190" t="s">
        <v>729</v>
      </c>
      <c r="G6190" t="e">
        <f ca="1">_xludf.IMAGE("https://edmondsonsupply.com/cdn/shop/products/TP3_1.jpg?v=1587144391")</f>
        <v>#NAME?</v>
      </c>
      <c r="H6190" t="e">
        <f ca="1">_xludf.IMAGE("https://m.media-amazon.com/images/I/911jQmUqGIL._AC_UL320_.jpg")</f>
        <v>#NAME?</v>
      </c>
      <c r="I6190" t="s">
        <v>905</v>
      </c>
      <c r="J6190">
        <v>59.95</v>
      </c>
      <c r="K6190" s="4">
        <v>-6.9999999999999999E-4</v>
      </c>
      <c r="L6190">
        <v>4.7</v>
      </c>
      <c r="M6190">
        <v>512</v>
      </c>
      <c r="O6190" t="s">
        <v>25</v>
      </c>
      <c r="P6190" t="s">
        <v>138</v>
      </c>
      <c r="Q6190" t="s">
        <v>6140</v>
      </c>
    </row>
    <row r="6191" spans="1:17" ht="15.5" x14ac:dyDescent="0.35">
      <c r="A6191"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6191"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6191" t="s">
        <v>6969</v>
      </c>
      <c r="D6191" t="s">
        <v>8248</v>
      </c>
      <c r="E6191" s="3" t="str">
        <f>HYPERLINK("https://www.amazon.com/Folding-Stainless-Klein-Tools-44213/dp/B07BXX31Y8/ref=sr_1_6?keywords=Klein+Tools+1550-2+2+Blade+Pocket+Knife%2C+Steel%2C+2-1%2F2-Inch+Blade&amp;qid=1695174176&amp;sr=8-6", "https://www.amazon.com/Folding-Stainless-Klein-Tools-44213/dp/B07BXX31Y8/ref=sr_1_6?keywords=Klein+Tools+1550-2+2+Blade+Pocket+Knife%2C+Steel%2C+2-1%2F2-Inch+Blade&amp;qid=1695174176&amp;sr=8-6")</f>
        <v>https://www.amazon.com/Folding-Stainless-Klein-Tools-44213/dp/B07BXX31Y8/ref=sr_1_6?keywords=Klein+Tools+1550-2+2+Blade+Pocket+Knife%2C+Steel%2C+2-1%2F2-Inch+Blade&amp;qid=1695174176&amp;sr=8-6</v>
      </c>
      <c r="F6191" t="s">
        <v>8249</v>
      </c>
      <c r="G6191" t="e">
        <f ca="1">_xludf.IMAGE("https://edmondsonsupply.com/cdn/shop/products/15502_b.jpg?v=1658020543")</f>
        <v>#NAME?</v>
      </c>
      <c r="H6191" t="e">
        <f ca="1">_xludf.IMAGE("https://m.media-amazon.com/images/I/51jhjHRblxL._AC_UL320_.jpg")</f>
        <v>#NAME?</v>
      </c>
      <c r="I6191" t="s">
        <v>26</v>
      </c>
      <c r="J6191">
        <v>29.97</v>
      </c>
      <c r="K6191" s="4">
        <v>-6.9999999999999999E-4</v>
      </c>
      <c r="L6191">
        <v>4.5</v>
      </c>
      <c r="M6191">
        <v>110</v>
      </c>
      <c r="O6191" t="s">
        <v>25</v>
      </c>
      <c r="P6191" t="s">
        <v>6972</v>
      </c>
      <c r="Q6191" t="s">
        <v>6973</v>
      </c>
    </row>
    <row r="6192" spans="1:17" ht="15.5" x14ac:dyDescent="0.35">
      <c r="A6192"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6192"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6192" t="s">
        <v>2155</v>
      </c>
      <c r="D6192" t="s">
        <v>4791</v>
      </c>
      <c r="E6192" s="3" t="str">
        <f>HYPERLINK("https://www.amazon.com/Klein-Tools-NCVT1PKIT-Electrical-Non-Contact/dp/B0BS5SCNJ1/ref=sr_1_3?keywords=Klein+Tools+NCVT1XTKIT+Non-Contact+Voltage+and+GFCI+Receptacle+Premium+Test+Kit&amp;qid=1695173872&amp;sr=8-3", "https://www.amazon.com/Klein-Tools-NCVT1PKIT-Electrical-Non-Contact/dp/B0BS5SCNJ1/ref=sr_1_3?keywords=Klein+Tools+NCVT1XTKIT+Non-Contact+Voltage+and+GFCI+Receptacle+Premium+Test+Kit&amp;qid=1695173872&amp;sr=8-3")</f>
        <v>https://www.amazon.com/Klein-Tools-NCVT1PKIT-Electrical-Non-Contact/dp/B0BS5SCNJ1/ref=sr_1_3?keywords=Klein+Tools+NCVT1XTKIT+Non-Contact+Voltage+and+GFCI+Receptacle+Premium+Test+Kit&amp;qid=1695173872&amp;sr=8-3</v>
      </c>
      <c r="F6192" t="s">
        <v>4792</v>
      </c>
      <c r="G6192" t="e">
        <f ca="1">_xludf.IMAGE("https://edmondsonsupply.com/cdn/shop/products/ncvt1xtkit.jpg?v=1674497102")</f>
        <v>#NAME?</v>
      </c>
      <c r="H6192" t="e">
        <f ca="1">_xludf.IMAGE("https://m.media-amazon.com/images/I/51CD2DGal7L._AC_UL320_.jpg")</f>
        <v>#NAME?</v>
      </c>
      <c r="I6192" t="s">
        <v>471</v>
      </c>
      <c r="J6192">
        <v>24.97</v>
      </c>
      <c r="K6192" s="4">
        <v>-8.0000000000000004E-4</v>
      </c>
      <c r="L6192">
        <v>4.5</v>
      </c>
      <c r="M6192">
        <v>33</v>
      </c>
      <c r="O6192" t="s">
        <v>25</v>
      </c>
      <c r="P6192" t="s">
        <v>2158</v>
      </c>
      <c r="Q6192" t="s">
        <v>2159</v>
      </c>
    </row>
    <row r="6193" spans="1:17" ht="15.5" x14ac:dyDescent="0.35">
      <c r="A6193" s="3" t="str">
        <f>HYPERLINK("https://edmondsonsupply.com/collections/electricians-tools/products/john-boy-tree-blk-face-guard", "https://edmondsonsupply.com/collections/electricians-tools/products/john-boy-tree-blk-face-guard")</f>
        <v>https://edmondsonsupply.com/collections/electricians-tools/products/john-boy-tree-blk-face-guard</v>
      </c>
      <c r="B6193" s="3" t="str">
        <f>HYPERLINK("https://edmondsonsupply.com/products/john-boy-tree-blk-face-guard", "https://edmondsonsupply.com/products/john-boy-tree-blk-face-guard")</f>
        <v>https://edmondsonsupply.com/products/john-boy-tree-blk-face-guard</v>
      </c>
      <c r="C6193" t="s">
        <v>1224</v>
      </c>
      <c r="D6193" t="s">
        <v>1225</v>
      </c>
      <c r="E6193" s="3" t="str">
        <f>HYPERLINK("https://www.amazon.com/JOHN-BOY-Construction-Face-Guard/dp/B0842Z8BRJ/ref=sr_1_5?keywords=John+Boy+TREE-BLK+Face+Guard&amp;qid=1695174288&amp;sr=8-5", "https://www.amazon.com/JOHN-BOY-Construction-Face-Guard/dp/B0842Z8BRJ/ref=sr_1_5?keywords=John+Boy+TREE-BLK+Face+Guard&amp;qid=1695174288&amp;sr=8-5")</f>
        <v>https://www.amazon.com/JOHN-BOY-Construction-Face-Guard/dp/B0842Z8BRJ/ref=sr_1_5?keywords=John+Boy+TREE-BLK+Face+Guard&amp;qid=1695174288&amp;sr=8-5</v>
      </c>
      <c r="F6193" t="s">
        <v>1226</v>
      </c>
      <c r="G6193" t="e">
        <f ca="1">_xludf.IMAGE("https://edmondsonsupply.com/cdn/shop/products/TREEBLKcopy.jpg?v=1633030899")</f>
        <v>#NAME?</v>
      </c>
      <c r="H6193" t="e">
        <f ca="1">_xludf.IMAGE("https://m.media-amazon.com/images/I/719fZ7kbhXS._AC_UL320_.jpg")</f>
        <v>#NAME?</v>
      </c>
      <c r="I6193" t="s">
        <v>1039</v>
      </c>
      <c r="J6193">
        <v>9.99</v>
      </c>
      <c r="K6193" s="4">
        <v>-1E-3</v>
      </c>
      <c r="L6193">
        <v>4.0999999999999996</v>
      </c>
      <c r="M6193">
        <v>14</v>
      </c>
      <c r="O6193" t="s">
        <v>25</v>
      </c>
      <c r="P6193" t="s">
        <v>138</v>
      </c>
      <c r="Q6193" t="s">
        <v>1227</v>
      </c>
    </row>
    <row r="6194" spans="1:17" ht="15.5" x14ac:dyDescent="0.35">
      <c r="A6194" s="3" t="str">
        <f>HYPERLINK("https://edmondsonsupply.com/collections/electricians-tools/products/john-boy-tree-face-guard", "https://edmondsonsupply.com/collections/electricians-tools/products/john-boy-tree-face-guard")</f>
        <v>https://edmondsonsupply.com/collections/electricians-tools/products/john-boy-tree-face-guard</v>
      </c>
      <c r="B6194" s="3" t="str">
        <f>HYPERLINK("https://edmondsonsupply.com/products/john-boy-tree-face-guard", "https://edmondsonsupply.com/products/john-boy-tree-face-guard")</f>
        <v>https://edmondsonsupply.com/products/john-boy-tree-face-guard</v>
      </c>
      <c r="C6194" t="s">
        <v>1228</v>
      </c>
      <c r="D6194" t="s">
        <v>1062</v>
      </c>
      <c r="E6194" s="3" t="str">
        <f>HYPERLINK("https://www.amazon.com/JOHN-BOY-Hunting-Face-Guard/dp/B0842Z7QTK/ref=sr_1_1?keywords=John+Boy+TREE+Face+Guard&amp;qid=1695174306&amp;sr=8-1", "https://www.amazon.com/JOHN-BOY-Hunting-Face-Guard/dp/B0842Z7QTK/ref=sr_1_1?keywords=John+Boy+TREE+Face+Guard&amp;qid=1695174306&amp;sr=8-1")</f>
        <v>https://www.amazon.com/JOHN-BOY-Hunting-Face-Guard/dp/B0842Z7QTK/ref=sr_1_1?keywords=John+Boy+TREE+Face+Guard&amp;qid=1695174306&amp;sr=8-1</v>
      </c>
      <c r="F6194" t="s">
        <v>1223</v>
      </c>
      <c r="G6194" t="e">
        <f ca="1">_xludf.IMAGE("https://edmondsonsupply.com/cdn/shop/products/tree-mockup.jpg?v=1633030898")</f>
        <v>#NAME?</v>
      </c>
      <c r="H6194" t="e">
        <f ca="1">_xludf.IMAGE("https://m.media-amazon.com/images/I/71k-tnE6mlL._AC_UL320_.jpg")</f>
        <v>#NAME?</v>
      </c>
      <c r="I6194" t="s">
        <v>1039</v>
      </c>
      <c r="J6194">
        <v>9.99</v>
      </c>
      <c r="K6194" s="4">
        <v>-1E-3</v>
      </c>
      <c r="L6194">
        <v>4</v>
      </c>
      <c r="M6194">
        <v>8</v>
      </c>
      <c r="O6194" t="s">
        <v>25</v>
      </c>
      <c r="P6194" t="s">
        <v>138</v>
      </c>
      <c r="Q6194" t="s">
        <v>1229</v>
      </c>
    </row>
    <row r="6195" spans="1:17" ht="15.5" x14ac:dyDescent="0.35">
      <c r="A6195" s="3" t="str">
        <f>HYPERLINK("https://edmondsonsupply.com/collections/electricians-tools/products/klein-tools-60614-lightweight-knee-pad-sleeves-s-m", "https://edmondsonsupply.com/collections/electricians-tools/products/klein-tools-60614-lightweight-knee-pad-sleeves-s-m")</f>
        <v>https://edmondsonsupply.com/collections/electricians-tools/products/klein-tools-60614-lightweight-knee-pad-sleeves-s-m</v>
      </c>
      <c r="B6195" s="3" t="str">
        <f>HYPERLINK("https://edmondsonsupply.com/products/klein-tools-60614-lightweight-knee-pad-sleeves-s-m", "https://edmondsonsupply.com/products/klein-tools-60614-lightweight-knee-pad-sleeves-s-m")</f>
        <v>https://edmondsonsupply.com/products/klein-tools-60614-lightweight-knee-pad-sleeves-s-m</v>
      </c>
      <c r="C6195" t="s">
        <v>898</v>
      </c>
      <c r="D6195" t="s">
        <v>1142</v>
      </c>
      <c r="E6195" s="3" t="str">
        <f>HYPERLINK("https://www.amazon.com/Klein-Tools-60592-Lightweight-Slip-Resistant/dp/B0B622FRN8/ref=sr_1_3?keywords=Klein+Tools+60614+Lightweight+Knee+Pad+Sleeves%2C+S%2FM&amp;qid=1695174023&amp;sr=8-3", "https://www.amazon.com/Klein-Tools-60592-Lightweight-Slip-Resistant/dp/B0B622FRN8/ref=sr_1_3?keywords=Klein+Tools+60614+Lightweight+Knee+Pad+Sleeves%2C+S%2FM&amp;qid=1695174023&amp;sr=8-3")</f>
        <v>https://www.amazon.com/Klein-Tools-60592-Lightweight-Slip-Resistant/dp/B0B622FRN8/ref=sr_1_3?keywords=Klein+Tools+60614+Lightweight+Knee+Pad+Sleeves%2C+S%2FM&amp;qid=1695174023&amp;sr=8-3</v>
      </c>
      <c r="F6195" t="s">
        <v>1143</v>
      </c>
      <c r="G6195" t="e">
        <f ca="1">_xludf.IMAGE("https://edmondsonsupply.com/cdn/shop/products/60492_60592_photo_4859ff57-33ad-45f9-87df-8dc6b9372281.jpg?v=1681742927")</f>
        <v>#NAME?</v>
      </c>
      <c r="H6195" t="e">
        <f ca="1">_xludf.IMAGE("https://m.media-amazon.com/images/I/61SeDj1bXKL._AC_UL320_.jpg")</f>
        <v>#NAME?</v>
      </c>
      <c r="I6195" t="s">
        <v>577</v>
      </c>
      <c r="J6195">
        <v>19.97</v>
      </c>
      <c r="K6195" s="4">
        <v>-1E-3</v>
      </c>
      <c r="L6195">
        <v>4.0999999999999996</v>
      </c>
      <c r="M6195">
        <v>147</v>
      </c>
      <c r="O6195" t="s">
        <v>25</v>
      </c>
      <c r="P6195" t="s">
        <v>894</v>
      </c>
      <c r="Q6195" t="s">
        <v>899</v>
      </c>
    </row>
    <row r="6196" spans="1:17" ht="15.5" x14ac:dyDescent="0.35">
      <c r="A6196" s="3" t="str">
        <f>HYPERLINK("https://edmondsonsupply.com/collections/electricians-tools/products/klein-tools-50900r-locknut-wrench-set", "https://edmondsonsupply.com/collections/electricians-tools/products/klein-tools-50900r-locknut-wrench-set")</f>
        <v>https://edmondsonsupply.com/collections/electricians-tools/products/klein-tools-50900r-locknut-wrench-set</v>
      </c>
      <c r="B6196" s="3" t="str">
        <f>HYPERLINK("https://edmondsonsupply.com/products/klein-tools-50900r-locknut-wrench-set", "https://edmondsonsupply.com/products/klein-tools-50900r-locknut-wrench-set")</f>
        <v>https://edmondsonsupply.com/products/klein-tools-50900r-locknut-wrench-set</v>
      </c>
      <c r="C6196" t="s">
        <v>6711</v>
      </c>
      <c r="D6196" t="s">
        <v>8250</v>
      </c>
      <c r="E6196" s="3" t="str">
        <f>HYPERLINK("https://www.amazon.com/Klein-Tools-Conduit-Lockout-Locknuts/dp/B0C5YSDYN1/ref=sr_1_1?keywords=Klein+Tools+50900R+Locknut+Wrench+Set&amp;qid=1695174005&amp;sr=8-1", "https://www.amazon.com/Klein-Tools-Conduit-Lockout-Locknuts/dp/B0C5YSDYN1/ref=sr_1_1?keywords=Klein+Tools+50900R+Locknut+Wrench+Set&amp;qid=1695174005&amp;sr=8-1")</f>
        <v>https://www.amazon.com/Klein-Tools-Conduit-Lockout-Locknuts/dp/B0C5YSDYN1/ref=sr_1_1?keywords=Klein+Tools+50900R+Locknut+Wrench+Set&amp;qid=1695174005&amp;sr=8-1</v>
      </c>
      <c r="F6196" t="s">
        <v>8251</v>
      </c>
      <c r="G6196" t="e">
        <f ca="1">_xludf.IMAGE("https://edmondsonsupply.com/cdn/shop/files/50900r.jpg?v=1689789107")</f>
        <v>#NAME?</v>
      </c>
      <c r="H6196" t="e">
        <f ca="1">_xludf.IMAGE("https://m.media-amazon.com/images/I/41LmUr65QhL._AC_UL320_.jpg")</f>
        <v>#NAME?</v>
      </c>
      <c r="I6196" t="s">
        <v>276</v>
      </c>
      <c r="J6196">
        <v>14.97</v>
      </c>
      <c r="K6196" s="4">
        <v>-1.2999999999999999E-3</v>
      </c>
      <c r="L6196">
        <v>4.5</v>
      </c>
      <c r="M6196">
        <v>127</v>
      </c>
      <c r="O6196" t="s">
        <v>25</v>
      </c>
      <c r="P6196" t="s">
        <v>6714</v>
      </c>
      <c r="Q6196" t="s">
        <v>6715</v>
      </c>
    </row>
    <row r="6197" spans="1:17" ht="15.5" x14ac:dyDescent="0.35">
      <c r="A6197" s="3" t="str">
        <f>HYPERLINK("https://edmondsonsupply.com/collections/electricians-tools/products/diablo-tools-d0740x-7-1-4-in-x-40-tooth-finish-saw-blade", "https://edmondsonsupply.com/collections/electricians-tools/products/diablo-tools-d0740x-7-1-4-in-x-40-tooth-finish-saw-blade")</f>
        <v>https://edmondsonsupply.com/collections/electricians-tools/products/diablo-tools-d0740x-7-1-4-in-x-40-tooth-finish-saw-blade</v>
      </c>
      <c r="B6197" s="3" t="str">
        <f>HYPERLINK("https://edmondsonsupply.com/products/diablo-tools-d0740x-7-1-4-in-x-40-tooth-finish-saw-blade", "https://edmondsonsupply.com/products/diablo-tools-d0740x-7-1-4-in-x-40-tooth-finish-saw-blade")</f>
        <v>https://edmondsonsupply.com/products/diablo-tools-d0740x-7-1-4-in-x-40-tooth-finish-saw-blade</v>
      </c>
      <c r="C6197" t="s">
        <v>6112</v>
      </c>
      <c r="D6197" t="s">
        <v>8252</v>
      </c>
      <c r="E6197" s="3" t="str">
        <f>HYPERLINK("https://www.amazon.com/FREUD-D0740X-ATB-Finishing-Blade/dp/B00008WQ2H/ref=sr_1_3?keywords=Diablo+Tools+D0740X+7-1%2F4+in.+x+40+Tooth+Finish+Saw+Blade&amp;qid=1695174073&amp;sr=8-3", "https://www.amazon.com/FREUD-D0740X-ATB-Finishing-Blade/dp/B00008WQ2H/ref=sr_1_3?keywords=Diablo+Tools+D0740X+7-1%2F4+in.+x+40+Tooth+Finish+Saw+Blade&amp;qid=1695174073&amp;sr=8-3")</f>
        <v>https://www.amazon.com/FREUD-D0740X-ATB-Finishing-Blade/dp/B00008WQ2H/ref=sr_1_3?keywords=Diablo+Tools+D0740X+7-1%2F4+in.+x+40+Tooth+Finish+Saw+Blade&amp;qid=1695174073&amp;sr=8-3</v>
      </c>
      <c r="F6197" t="s">
        <v>8253</v>
      </c>
      <c r="G6197" t="e">
        <f ca="1">_xludf.IMAGE("https://edmondsonsupply.com/cdn/shop/products/kdrkrhhsfpivsggxnkhy.webp?v=1678975834")</f>
        <v>#NAME?</v>
      </c>
      <c r="H6197" t="e">
        <f ca="1">_xludf.IMAGE("https://m.media-amazon.com/images/I/81LtUAod9aL._AC_UL320_.jpg")</f>
        <v>#NAME?</v>
      </c>
      <c r="I6197" t="s">
        <v>2784</v>
      </c>
      <c r="J6197">
        <v>14.95</v>
      </c>
      <c r="K6197" s="4">
        <v>-1.2999999999999999E-3</v>
      </c>
      <c r="L6197">
        <v>4.5999999999999996</v>
      </c>
      <c r="M6197">
        <v>391</v>
      </c>
      <c r="O6197" t="s">
        <v>25</v>
      </c>
      <c r="P6197" t="s">
        <v>6115</v>
      </c>
      <c r="Q6197" t="s">
        <v>6116</v>
      </c>
    </row>
    <row r="6198" spans="1:17" ht="15.5" x14ac:dyDescent="0.35">
      <c r="A6198"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6198"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6198" t="s">
        <v>6957</v>
      </c>
      <c r="D6198" t="s">
        <v>3682</v>
      </c>
      <c r="E6198" s="3" t="str">
        <f>HYPERLINK("https://www.amazon.com/Klein-Tools-6866INS-Screwdriver-Cushion-Grip/dp/B0BF73PSWC/ref=sr_1_3?keywords=Klein+Tools+602-6+5%2F16-Inch+Keystone+Tip+Screwdriver%2C+Cushion+Grip%2C+6-Inch&amp;qid=1695174298&amp;sr=8-3", "https://www.amazon.com/Klein-Tools-6866INS-Screwdriver-Cushion-Grip/dp/B0BF73PSWC/ref=sr_1_3?keywords=Klein+Tools+602-6+5%2F16-Inch+Keystone+Tip+Screwdriver%2C+Cushion+Grip%2C+6-Inch&amp;qid=1695174298&amp;sr=8-3")</f>
        <v>https://www.amazon.com/Klein-Tools-6866INS-Screwdriver-Cushion-Grip/dp/B0BF73PSWC/ref=sr_1_3?keywords=Klein+Tools+602-6+5%2F16-Inch+Keystone+Tip+Screwdriver%2C+Cushion+Grip%2C+6-Inch&amp;qid=1695174298&amp;sr=8-3</v>
      </c>
      <c r="F6198" t="s">
        <v>3683</v>
      </c>
      <c r="G6198" t="e">
        <f ca="1">_xludf.IMAGE("https://edmondsonsupply.com/cdn/shop/products/602-6_162e3283-acea-47de-aecf-2a25f009fdcb.jpg?v=1633030880")</f>
        <v>#NAME?</v>
      </c>
      <c r="H6198" t="e">
        <f ca="1">_xludf.IMAGE("https://m.media-amazon.com/images/I/41Sx5h6xG-L._AC_UL320_.jpg")</f>
        <v>#NAME?</v>
      </c>
      <c r="I6198" t="s">
        <v>2337</v>
      </c>
      <c r="J6198">
        <v>11.97</v>
      </c>
      <c r="K6198" s="4">
        <v>-1.6999999999999999E-3</v>
      </c>
      <c r="L6198">
        <v>4.9000000000000004</v>
      </c>
      <c r="M6198">
        <v>205</v>
      </c>
      <c r="O6198" t="s">
        <v>25</v>
      </c>
      <c r="P6198" t="s">
        <v>1212</v>
      </c>
      <c r="Q6198" t="s">
        <v>6958</v>
      </c>
    </row>
    <row r="6199" spans="1:17" ht="15.5" x14ac:dyDescent="0.35">
      <c r="A6199" s="3" t="str">
        <f>HYPERLINK("https://edmondsonsupply.com/collections/electricians-tools/products/klein-tools-630-3-8m-3-8-magnetic-tip-nut-driver-3-hollow-shank", "https://edmondsonsupply.com/collections/electricians-tools/products/klein-tools-630-3-8m-3-8-magnetic-tip-nut-driver-3-hollow-shank")</f>
        <v>https://edmondsonsupply.com/collections/electricians-tools/products/klein-tools-630-3-8m-3-8-magnetic-tip-nut-driver-3-hollow-shank</v>
      </c>
      <c r="B6199" s="3" t="str">
        <f>HYPERLINK("https://edmondsonsupply.com/products/klein-tools-630-3-8m-3-8-magnetic-tip-nut-driver-3-hollow-shank", "https://edmondsonsupply.com/products/klein-tools-630-3-8m-3-8-magnetic-tip-nut-driver-3-hollow-shank")</f>
        <v>https://edmondsonsupply.com/products/klein-tools-630-3-8m-3-8-magnetic-tip-nut-driver-3-hollow-shank</v>
      </c>
      <c r="C6199" t="s">
        <v>6055</v>
      </c>
      <c r="D6199" t="s">
        <v>3810</v>
      </c>
      <c r="E6199" s="3" t="str">
        <f>HYPERLINK("https://www.amazon.com/Magnetic-Klein-Tools-630-3-8M/dp/B000MKH4OS/ref=sr_1_1?keywords=Klein+Tools+630-3%2F8M+3%2F8-Inch+Magnetic+Tip+Nut+Driver&amp;qid=1695174153&amp;sr=8-1", "https://www.amazon.com/Magnetic-Klein-Tools-630-3-8M/dp/B000MKH4OS/ref=sr_1_1?keywords=Klein+Tools+630-3%2F8M+3%2F8-Inch+Magnetic+Tip+Nut+Driver&amp;qid=1695174153&amp;sr=8-1")</f>
        <v>https://www.amazon.com/Magnetic-Klein-Tools-630-3-8M/dp/B000MKH4OS/ref=sr_1_1?keywords=Klein+Tools+630-3%2F8M+3%2F8-Inch+Magnetic+Tip+Nut+Driver&amp;qid=1695174153&amp;sr=8-1</v>
      </c>
      <c r="F6199" t="s">
        <v>3811</v>
      </c>
      <c r="G6199" t="e">
        <f ca="1">_xludf.IMAGE("https://edmondsonsupply.com/cdn/shop/products/630-3-8m.jpg?v=1587145139")</f>
        <v>#NAME?</v>
      </c>
      <c r="H6199" t="e">
        <f ca="1">_xludf.IMAGE("https://m.media-amazon.com/images/I/51TxY7IaTtL._AC_UL320_.jpg")</f>
        <v>#NAME?</v>
      </c>
      <c r="I6199" t="s">
        <v>6056</v>
      </c>
      <c r="J6199">
        <v>10.97</v>
      </c>
      <c r="K6199" s="4">
        <v>-1.8E-3</v>
      </c>
      <c r="L6199">
        <v>4.7</v>
      </c>
      <c r="M6199">
        <v>1574</v>
      </c>
      <c r="O6199" t="s">
        <v>25</v>
      </c>
      <c r="P6199" t="s">
        <v>6057</v>
      </c>
      <c r="Q6199" t="s">
        <v>6058</v>
      </c>
    </row>
    <row r="6200" spans="1:17" ht="15.5" x14ac:dyDescent="0.35">
      <c r="A6200" s="3" t="str">
        <f>HYPERLINK("https://edmondsonsupply.com/collections/electricians-tools/products/john-boy-grass-face-guard", "https://edmondsonsupply.com/collections/electricians-tools/products/john-boy-grass-face-guard")</f>
        <v>https://edmondsonsupply.com/collections/electricians-tools/products/john-boy-grass-face-guard</v>
      </c>
      <c r="B6200" s="3" t="str">
        <f>HYPERLINK("https://edmondsonsupply.com/products/john-boy-grass-face-guard", "https://edmondsonsupply.com/products/john-boy-grass-face-guard")</f>
        <v>https://edmondsonsupply.com/products/john-boy-grass-face-guard</v>
      </c>
      <c r="C6200" t="s">
        <v>1065</v>
      </c>
      <c r="D6200" t="s">
        <v>1236</v>
      </c>
      <c r="E6200" s="3" t="str">
        <f>HYPERLINK("https://www.amazon.com/JOHN-BOY-Construction-Face-Guard/dp/B0842ZGZCQ/ref=sr_1_4?keywords=John+Boy+GRASS+Face+Guard&amp;qid=1695174296&amp;sr=8-4", "https://www.amazon.com/JOHN-BOY-Construction-Face-Guard/dp/B0842ZGZCQ/ref=sr_1_4?keywords=John+Boy+GRASS+Face+Guard&amp;qid=1695174296&amp;sr=8-4")</f>
        <v>https://www.amazon.com/JOHN-BOY-Construction-Face-Guard/dp/B0842ZGZCQ/ref=sr_1_4?keywords=John+Boy+GRASS+Face+Guard&amp;qid=1695174296&amp;sr=8-4</v>
      </c>
      <c r="F6200" t="s">
        <v>1237</v>
      </c>
      <c r="G6200" t="e">
        <f ca="1">_xludf.IMAGE("https://edmondsonsupply.com/cdn/shop/products/grassMUcopy_900x_3dbec2e2-1ea2-46e7-b806-f05c0b3108b5.jpg?v=1633030897")</f>
        <v>#NAME?</v>
      </c>
      <c r="H6200" t="e">
        <f ca="1">_xludf.IMAGE("https://m.media-amazon.com/images/I/71Op4Hsw9PL._AC_UL320_.jpg")</f>
        <v>#NAME?</v>
      </c>
      <c r="I6200" t="s">
        <v>1039</v>
      </c>
      <c r="J6200">
        <v>9.98</v>
      </c>
      <c r="K6200" s="4">
        <v>-2E-3</v>
      </c>
      <c r="L6200">
        <v>4.7</v>
      </c>
      <c r="M6200">
        <v>5</v>
      </c>
      <c r="O6200" t="s">
        <v>25</v>
      </c>
      <c r="P6200" t="s">
        <v>138</v>
      </c>
      <c r="Q6200" t="s">
        <v>1066</v>
      </c>
    </row>
    <row r="6201" spans="1:17" ht="15.5" x14ac:dyDescent="0.35">
      <c r="A6201"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6201" s="3" t="str">
        <f>HYPERLINK("https://edmondsonsupply.com/products/klein-tools-vaco-s10m-5-16-magnetic-nut-driver-3-hollow-shaft", "https://edmondsonsupply.com/products/klein-tools-vaco-s10m-5-16-magnetic-nut-driver-3-hollow-shaft")</f>
        <v>https://edmondsonsupply.com/products/klein-tools-vaco-s10m-5-16-magnetic-nut-driver-3-hollow-shaft</v>
      </c>
      <c r="C6201" t="s">
        <v>6468</v>
      </c>
      <c r="D6201" t="s">
        <v>3747</v>
      </c>
      <c r="E6201" s="3" t="str">
        <f>HYPERLINK("https://www.amazon.com/Magnetic-Klein-Tools-630-5-16M/dp/B000LEX58E/ref=sr_1_2?keywords=Klein+Tools+S10M+5%2F16-Inch+Magnetic+Nut+Driver+3-Inch+Shaft&amp;qid=1695174019&amp;sr=8-2", "https://www.amazon.com/Magnetic-Klein-Tools-630-5-16M/dp/B000LEX58E/ref=sr_1_2?keywords=Klein+Tools+S10M+5%2F16-Inch+Magnetic+Nut+Driver+3-Inch+Shaft&amp;qid=1695174019&amp;sr=8-2")</f>
        <v>https://www.amazon.com/Magnetic-Klein-Tools-630-5-16M/dp/B000LEX58E/ref=sr_1_2?keywords=Klein+Tools+S10M+5%2F16-Inch+Magnetic+Nut+Driver+3-Inch+Shaft&amp;qid=1695174019&amp;sr=8-2</v>
      </c>
      <c r="F6201" t="s">
        <v>3748</v>
      </c>
      <c r="G6201" t="e">
        <f ca="1">_xludf.IMAGE("https://edmondsonsupply.com/cdn/shop/products/s10m_alt2.jpg?v=1587143022")</f>
        <v>#NAME?</v>
      </c>
      <c r="H6201" t="e">
        <f ca="1">_xludf.IMAGE("https://m.media-amazon.com/images/I/515W26xlnhL._AC_UL320_.jpg")</f>
        <v>#NAME?</v>
      </c>
      <c r="I6201" t="s">
        <v>2577</v>
      </c>
      <c r="J6201">
        <v>9.9700000000000006</v>
      </c>
      <c r="K6201" s="4">
        <v>-2E-3</v>
      </c>
      <c r="L6201">
        <v>4.7</v>
      </c>
      <c r="M6201">
        <v>1574</v>
      </c>
      <c r="O6201" t="s">
        <v>25</v>
      </c>
      <c r="P6201" t="s">
        <v>6469</v>
      </c>
      <c r="Q6201" t="s">
        <v>6470</v>
      </c>
    </row>
    <row r="6202" spans="1:17" ht="15.5" x14ac:dyDescent="0.35">
      <c r="A6202"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6202" s="3" t="str">
        <f>HYPERLINK("https://edmondsonsupply.com/products/klein-tools-605-4-1-4-inch-cabinet-tip-screwdriver-4-inch-shank", "https://edmondsonsupply.com/products/klein-tools-605-4-1-4-inch-cabinet-tip-screwdriver-4-inch-shank")</f>
        <v>https://edmondsonsupply.com/products/klein-tools-605-4-1-4-inch-cabinet-tip-screwdriver-4-inch-shank</v>
      </c>
      <c r="C6202" t="s">
        <v>6418</v>
      </c>
      <c r="D6202" t="s">
        <v>8254</v>
      </c>
      <c r="E6202" s="3" t="str">
        <f>HYPERLINK("https://www.amazon.com/Screwdriver-Terminal-Klein-Tools-612-4/dp/B0058I6VNE/ref=sr_1_8?keywords=Klein+Tools+605-4+1%2F4-Inch+Cabinet+Tip+Screwdriver+4-Inch+Shank&amp;qid=1695174135&amp;sr=8-8", "https://www.amazon.com/Screwdriver-Terminal-Klein-Tools-612-4/dp/B0058I6VNE/ref=sr_1_8?keywords=Klein+Tools+605-4+1%2F4-Inch+Cabinet+Tip+Screwdriver+4-Inch+Shank&amp;qid=1695174135&amp;sr=8-8")</f>
        <v>https://www.amazon.com/Screwdriver-Terminal-Klein-Tools-612-4/dp/B0058I6VNE/ref=sr_1_8?keywords=Klein+Tools+605-4+1%2F4-Inch+Cabinet+Tip+Screwdriver+4-Inch+Shank&amp;qid=1695174135&amp;sr=8-8</v>
      </c>
      <c r="F6202" t="s">
        <v>8255</v>
      </c>
      <c r="G6202" t="e">
        <f ca="1">_xludf.IMAGE("https://edmondsonsupply.com/cdn/shop/products/605-6_ac5e56ca-920d-4d55-842f-c7dc8361f892.jpg?v=1665688377")</f>
        <v>#NAME?</v>
      </c>
      <c r="H6202" t="e">
        <f ca="1">_xludf.IMAGE("https://m.media-amazon.com/images/I/51APfPlk95L._AC_UL320_.jpg")</f>
        <v>#NAME?</v>
      </c>
      <c r="I6202" t="s">
        <v>924</v>
      </c>
      <c r="J6202">
        <v>8.9700000000000006</v>
      </c>
      <c r="K6202" s="4">
        <v>-2.2000000000000001E-3</v>
      </c>
      <c r="L6202">
        <v>4.8</v>
      </c>
      <c r="M6202">
        <v>1956</v>
      </c>
      <c r="O6202" t="s">
        <v>25</v>
      </c>
      <c r="P6202" t="s">
        <v>6421</v>
      </c>
      <c r="Q6202" t="s">
        <v>6422</v>
      </c>
    </row>
    <row r="6203" spans="1:17" ht="15.5" x14ac:dyDescent="0.35">
      <c r="A6203"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6203" s="3" t="str">
        <f>HYPERLINK("https://edmondsonsupply.com/products/klein-tools-3005cr-ratcheting-crimper-10-22-awg", "https://edmondsonsupply.com/products/klein-tools-3005cr-ratcheting-crimper-10-22-awg")</f>
        <v>https://edmondsonsupply.com/products/klein-tools-3005cr-ratcheting-crimper-10-22-awg</v>
      </c>
      <c r="C6203" t="s">
        <v>1987</v>
      </c>
      <c r="D6203" t="s">
        <v>4819</v>
      </c>
      <c r="E6203" s="3" t="str">
        <f>HYPERLINK("https://www.amazon.com/Klein-Tools-1005-Connectors-Non-Insulated/dp/B0006M6Y5M/ref=sr_1_7?keywords=Klein+Tools+3005CR+Ratcheting+Crimper%2C+10-22+AWG+-+Insulated+Terminals&amp;qid=1695173864&amp;sr=8-7", "https://www.amazon.com/Klein-Tools-1005-Connectors-Non-Insulated/dp/B0006M6Y5M/ref=sr_1_7?keywords=Klein+Tools+3005CR+Ratcheting+Crimper%2C+10-22+AWG+-+Insulated+Terminals&amp;qid=1695173864&amp;sr=8-7")</f>
        <v>https://www.amazon.com/Klein-Tools-1005-Connectors-Non-Insulated/dp/B0006M6Y5M/ref=sr_1_7?keywords=Klein+Tools+3005CR+Ratcheting+Crimper%2C+10-22+AWG+-+Insulated+Terminals&amp;qid=1695173864&amp;sr=8-7</v>
      </c>
      <c r="F6203" t="s">
        <v>4820</v>
      </c>
      <c r="G6203" t="e">
        <f ca="1">_xludf.IMAGE("https://edmondsonsupply.com/cdn/shop/products/3005cr.jpg?v=1587146892")</f>
        <v>#NAME?</v>
      </c>
      <c r="H6203" t="e">
        <f ca="1">_xludf.IMAGE("https://m.media-amazon.com/images/I/41JVR3OpiRL._AC_UL320_.jpg")</f>
        <v>#NAME?</v>
      </c>
      <c r="I6203" t="s">
        <v>824</v>
      </c>
      <c r="J6203">
        <v>29.85</v>
      </c>
      <c r="K6203" s="4">
        <v>-4.0000000000000001E-3</v>
      </c>
      <c r="L6203">
        <v>4.9000000000000004</v>
      </c>
      <c r="M6203">
        <v>3908</v>
      </c>
      <c r="O6203" t="s">
        <v>25</v>
      </c>
      <c r="P6203" t="s">
        <v>1990</v>
      </c>
      <c r="Q6203" t="s">
        <v>1991</v>
      </c>
    </row>
    <row r="6204" spans="1:17" ht="15.5" x14ac:dyDescent="0.35">
      <c r="A6204"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6204" s="3" t="str">
        <f>HYPERLINK("https://edmondsonsupply.com/products/klein-tools-ncvt1xt-non-contact-voltage-tester-70-to-1000v-ac", "https://edmondsonsupply.com/products/klein-tools-ncvt1xt-non-contact-voltage-tester-70-to-1000v-ac")</f>
        <v>https://edmondsonsupply.com/products/klein-tools-ncvt1xt-non-contact-voltage-tester-70-to-1000v-ac</v>
      </c>
      <c r="C6204" t="s">
        <v>6346</v>
      </c>
      <c r="D6204" t="s">
        <v>8256</v>
      </c>
      <c r="E6204" s="3" t="str">
        <f>HYPERLINK("https://www.amazon.com/Klein-Tools-NCVT1XT-Non-Contact-Waterproof/dp/B0BHLQ5VF1/ref=sr_1_1?keywords=Klein+Tools+NCVT1XT+Non-Contact+Voltage+Tester%2C+70+to+1000V+AC&amp;qid=1695174075&amp;sr=8-1", "https://www.amazon.com/Klein-Tools-NCVT1XT-Non-Contact-Waterproof/dp/B0BHLQ5VF1/ref=sr_1_1?keywords=Klein+Tools+NCVT1XT+Non-Contact+Voltage+Tester%2C+70+to+1000V+AC&amp;qid=1695174075&amp;sr=8-1")</f>
        <v>https://www.amazon.com/Klein-Tools-NCVT1XT-Non-Contact-Waterproof/dp/B0BHLQ5VF1/ref=sr_1_1?keywords=Klein+Tools+NCVT1XT+Non-Contact+Voltage+Tester%2C+70+to+1000V+AC&amp;qid=1695174075&amp;sr=8-1</v>
      </c>
      <c r="F6204" t="s">
        <v>8257</v>
      </c>
      <c r="G6204" t="e">
        <f ca="1">_xludf.IMAGE("https://edmondsonsupply.com/cdn/shop/products/ncvt1xt.jpg?v=1674496568")</f>
        <v>#NAME?</v>
      </c>
      <c r="H6204" t="e">
        <f ca="1">_xludf.IMAGE("https://m.media-amazon.com/images/I/51e9HxxrY+L._AC_UL320_.jpg")</f>
        <v>#NAME?</v>
      </c>
      <c r="I6204" t="s">
        <v>893</v>
      </c>
      <c r="J6204">
        <v>19.88</v>
      </c>
      <c r="K6204" s="4">
        <v>-4.4999999999999997E-3</v>
      </c>
      <c r="L6204">
        <v>4.5999999999999996</v>
      </c>
      <c r="M6204">
        <v>76</v>
      </c>
      <c r="O6204" t="s">
        <v>25</v>
      </c>
      <c r="P6204" t="s">
        <v>6347</v>
      </c>
      <c r="Q6204" t="s">
        <v>6348</v>
      </c>
    </row>
    <row r="6205" spans="1:17" ht="15.5" x14ac:dyDescent="0.35">
      <c r="A6205" s="3" t="str">
        <f>HYPERLINK("https://edmondsonsupply.com/collections/electricians-tools/products/klein-tools-55452rtb-tool-bag-tradesman-pro%E2%84%A2-rolling-tool-bag-24-pockets-19-inch", "https://edmondsonsupply.com/collections/electricians-tools/products/klein-tools-55452rtb-tool-bag-tradesman-pro%E2%84%A2-rolling-tool-bag-24-pockets-19-inch")</f>
        <v>https://edmondsonsupply.com/collections/electricians-tools/products/klein-tools-55452rtb-tool-bag-tradesman-pro%E2%84%A2-rolling-tool-bag-24-pockets-19-inch</v>
      </c>
      <c r="B6205" s="3" t="str">
        <f>HYPERLINK("https://edmondsonsupply.com/products/klein-tools-55452rtb-tool-bag-tradesman-pro%e2%84%a2-rolling-tool-bag-24-pockets-19-inch", "https://edmondsonsupply.com/products/klein-tools-55452rtb-tool-bag-tradesman-pro%e2%84%a2-rolling-tool-bag-24-pockets-19-inch")</f>
        <v>https://edmondsonsupply.com/products/klein-tools-55452rtb-tool-bag-tradesman-pro%e2%84%a2-rolling-tool-bag-24-pockets-19-inch</v>
      </c>
      <c r="C6205" t="s">
        <v>630</v>
      </c>
      <c r="D6205" t="s">
        <v>631</v>
      </c>
      <c r="E6205" s="3" t="str">
        <f>HYPERLINK("https://www.amazon.com/Klein-Tools-55452RTB-Rollling-Tradesman/dp/B00BZXA35I/ref=sr_1_1?keywords=Klein+Tools+55452RTB+Tool+Bag%2C+Tradesman+Pro%E2%84%A2+Rolling+Tool+Bag%2C+24+Pockets%2C+19-Inch&amp;qid=1695174241&amp;sr=8-1", "https://www.amazon.com/Klein-Tools-55452RTB-Rollling-Tradesman/dp/B00BZXA35I/ref=sr_1_1?keywords=Klein+Tools+55452RTB+Tool+Bag%2C+Tradesman+Pro%E2%84%A2+Rolling+Tool+Bag%2C+24+Pockets%2C+19-Inch&amp;qid=1695174241&amp;sr=8-1")</f>
        <v>https://www.amazon.com/Klein-Tools-55452RTB-Rollling-Tradesman/dp/B00BZXA35I/ref=sr_1_1?keywords=Klein+Tools+55452RTB+Tool+Bag%2C+Tradesman+Pro%E2%84%A2+Rolling+Tool+Bag%2C+24+Pockets%2C+19-Inch&amp;qid=1695174241&amp;sr=8-1</v>
      </c>
      <c r="F6205" t="s">
        <v>632</v>
      </c>
      <c r="G6205" t="e">
        <f ca="1">_xludf.IMAGE("https://edmondsonsupply.com/cdn/shop/files/55452rtb.jpg?v=1685713046")</f>
        <v>#NAME?</v>
      </c>
      <c r="H6205" t="e">
        <f ca="1">_xludf.IMAGE("https://m.media-amazon.com/images/I/71VvMaXepmL._AC_UL320_.jpg")</f>
        <v>#NAME?</v>
      </c>
      <c r="I6205" t="s">
        <v>633</v>
      </c>
      <c r="J6205">
        <v>199</v>
      </c>
      <c r="K6205" s="4">
        <v>-4.8999999999999998E-3</v>
      </c>
      <c r="L6205">
        <v>4.5</v>
      </c>
      <c r="M6205">
        <v>900</v>
      </c>
      <c r="O6205" t="s">
        <v>25</v>
      </c>
      <c r="P6205" t="s">
        <v>634</v>
      </c>
      <c r="Q6205" t="s">
        <v>635</v>
      </c>
    </row>
    <row r="6206" spans="1:17" ht="15.5" x14ac:dyDescent="0.35">
      <c r="A6206" s="3" t="str">
        <f>HYPERLINK("https://edmondsonsupply.com/collections/electricians-tools/products/klein-tools-bat20ubl-cordless-utility-led-light-tool-only", "https://edmondsonsupply.com/collections/electricians-tools/products/klein-tools-bat20ubl-cordless-utility-led-light-tool-only")</f>
        <v>https://edmondsonsupply.com/collections/electricians-tools/products/klein-tools-bat20ubl-cordless-utility-led-light-tool-only</v>
      </c>
      <c r="B6206" s="3" t="str">
        <f>HYPERLINK("https://edmondsonsupply.com/products/klein-tools-bat20ubl-cordless-utility-led-light-tool-only", "https://edmondsonsupply.com/products/klein-tools-bat20ubl-cordless-utility-led-light-tool-only")</f>
        <v>https://edmondsonsupply.com/products/klein-tools-bat20ubl-cordless-utility-led-light-tool-only</v>
      </c>
      <c r="C6206" t="s">
        <v>8258</v>
      </c>
      <c r="D6206" t="s">
        <v>8259</v>
      </c>
      <c r="E6206" s="3" t="str">
        <f>HYPERLINK("https://www.amazon.com/Klein-Tools-BAT20UBL-Lithium-Ion-Cordless/dp/B09HW9XZLF/ref=sr_1_1?keywords=Klein+Tools+BAT20UBL+Cordless+Utility+LED+Light+%28Tool+Only%29&amp;qid=1695174143&amp;sr=8-1", "https://www.amazon.com/Klein-Tools-BAT20UBL-Lithium-Ion-Cordless/dp/B09HW9XZLF/ref=sr_1_1?keywords=Klein+Tools+BAT20UBL+Cordless+Utility+LED+Light+%28Tool+Only%29&amp;qid=1695174143&amp;sr=8-1")</f>
        <v>https://www.amazon.com/Klein-Tools-BAT20UBL-Lithium-Ion-Cordless/dp/B09HW9XZLF/ref=sr_1_1?keywords=Klein+Tools+BAT20UBL+Cordless+Utility+LED+Light+%28Tool+Only%29&amp;qid=1695174143&amp;sr=8-1</v>
      </c>
      <c r="F6206" t="s">
        <v>8260</v>
      </c>
      <c r="G6206" t="e">
        <f ca="1">_xludf.IMAGE("https://edmondsonsupply.com/cdn/shop/products/bat20ubl.jpg?v=1666016493")</f>
        <v>#NAME?</v>
      </c>
      <c r="H6206" t="e">
        <f ca="1">_xludf.IMAGE("https://m.media-amazon.com/images/I/51119e6RKfL._AC_UL320_.jpg")</f>
        <v>#NAME?</v>
      </c>
      <c r="I6206" t="s">
        <v>8261</v>
      </c>
      <c r="J6206">
        <v>244.16</v>
      </c>
      <c r="K6206" s="4">
        <v>-6.4000000000000003E-3</v>
      </c>
      <c r="L6206">
        <v>5</v>
      </c>
      <c r="M6206">
        <v>2</v>
      </c>
      <c r="O6206" t="s">
        <v>25</v>
      </c>
      <c r="P6206" t="s">
        <v>8262</v>
      </c>
      <c r="Q6206" t="s">
        <v>8263</v>
      </c>
    </row>
    <row r="6207" spans="1:17" ht="15.5" x14ac:dyDescent="0.35">
      <c r="A6207" s="3" t="str">
        <f>HYPERLINK("https://edmondsonsupply.com/collections/electricians-tools/products/klein-tools-56040-rechargeable-focus-flashlight-with-laser", "https://edmondsonsupply.com/collections/electricians-tools/products/klein-tools-56040-rechargeable-focus-flashlight-with-laser")</f>
        <v>https://edmondsonsupply.com/collections/electricians-tools/products/klein-tools-56040-rechargeable-focus-flashlight-with-laser</v>
      </c>
      <c r="B6207" s="3" t="str">
        <f>HYPERLINK("https://edmondsonsupply.com/products/klein-tools-56040-rechargeable-focus-flashlight-with-laser", "https://edmondsonsupply.com/products/klein-tools-56040-rechargeable-focus-flashlight-with-laser")</f>
        <v>https://edmondsonsupply.com/products/klein-tools-56040-rechargeable-focus-flashlight-with-laser</v>
      </c>
      <c r="C6207" t="s">
        <v>4835</v>
      </c>
      <c r="D6207" t="s">
        <v>4836</v>
      </c>
      <c r="E6207" s="3" t="str">
        <f>HYPERLINK("https://www.amazon.com/Klein-56040-Rechargeable-Focus-Flashlight/dp/B0828NGD4V/ref=sr_1_1?keywords=Klein+Tools+56040+Rechargeable+Focus+Flashlight+with+Laser&amp;qid=1695173940&amp;sr=8-1", "https://www.amazon.com/Klein-56040-Rechargeable-Focus-Flashlight/dp/B0828NGD4V/ref=sr_1_1?keywords=Klein+Tools+56040+Rechargeable+Focus+Flashlight+with+Laser&amp;qid=1695173940&amp;sr=8-1")</f>
        <v>https://www.amazon.com/Klein-56040-Rechargeable-Focus-Flashlight/dp/B0828NGD4V/ref=sr_1_1?keywords=Klein+Tools+56040+Rechargeable+Focus+Flashlight+with+Laser&amp;qid=1695173940&amp;sr=8-1</v>
      </c>
      <c r="F6207" t="s">
        <v>4837</v>
      </c>
      <c r="G6207" t="e">
        <f ca="1">_xludf.IMAGE("https://edmondsonsupply.com/cdn/shop/products/56040.jpg?v=1587143371")</f>
        <v>#NAME?</v>
      </c>
      <c r="H6207" t="e">
        <f ca="1">_xludf.IMAGE("https://m.media-amazon.com/images/I/51XNgm063EL._AC_UL320_.jpg")</f>
        <v>#NAME?</v>
      </c>
      <c r="I6207" t="s">
        <v>246</v>
      </c>
      <c r="J6207">
        <v>39.659999999999997</v>
      </c>
      <c r="K6207" s="4">
        <v>-7.7999999999999996E-3</v>
      </c>
      <c r="L6207">
        <v>4.5999999999999996</v>
      </c>
      <c r="M6207">
        <v>476</v>
      </c>
      <c r="O6207" t="s">
        <v>25</v>
      </c>
      <c r="P6207" t="s">
        <v>4838</v>
      </c>
      <c r="Q6207" t="s">
        <v>4839</v>
      </c>
    </row>
    <row r="6208" spans="1:17" ht="15.5" x14ac:dyDescent="0.35">
      <c r="A6208" s="3" t="str">
        <f>HYPERLINK("https://edmondsonsupply.com/collections/electricians-tools/products/klein-tools-32304-14-in-1-hvac-adjustable-length-impact-screwdriver-with-flip-socket", "https://edmondsonsupply.com/collections/electricians-tools/products/klein-tools-32304-14-in-1-hvac-adjustable-length-impact-screwdriver-with-flip-socket")</f>
        <v>https://edmondsonsupply.com/collections/electricians-tools/products/klein-tools-32304-14-in-1-hvac-adjustable-length-impact-screwdriver-with-flip-socket</v>
      </c>
      <c r="B6208" s="3" t="str">
        <f>HYPERLINK("https://edmondsonsupply.com/products/klein-tools-32304-14-in-1-hvac-adjustable-length-impact-screwdriver-with-flip-socket", "https://edmondsonsupply.com/products/klein-tools-32304-14-in-1-hvac-adjustable-length-impact-screwdriver-with-flip-socket")</f>
        <v>https://edmondsonsupply.com/products/klein-tools-32304-14-in-1-hvac-adjustable-length-impact-screwdriver-with-flip-socket</v>
      </c>
      <c r="C6208" t="s">
        <v>2115</v>
      </c>
      <c r="D6208" t="s">
        <v>4840</v>
      </c>
      <c r="E6208" s="3" t="str">
        <f>HYPERLINK("https://www.amazon.com/Screwdriver-Adjustable-Klein-Tools-32304/dp/B09Q4H5STD/ref=sr_1_1?keywords=Klein+Tools+32304+14-in-1+HVAC+Adjustable-Length+Impact+Screwdriver+with+Flip+Socket&amp;qid=1695173856&amp;sr=8-1", "https://www.amazon.com/Screwdriver-Adjustable-Klein-Tools-32304/dp/B09Q4H5STD/ref=sr_1_1?keywords=Klein+Tools+32304+14-in-1+HVAC+Adjustable-Length+Impact+Screwdriver+with+Flip+Socket&amp;qid=1695173856&amp;sr=8-1")</f>
        <v>https://www.amazon.com/Screwdriver-Adjustable-Klein-Tools-32304/dp/B09Q4H5STD/ref=sr_1_1?keywords=Klein+Tools+32304+14-in-1+HVAC+Adjustable-Length+Impact+Screwdriver+with+Flip+Socket&amp;qid=1695173856&amp;sr=8-1</v>
      </c>
      <c r="F6208" t="s">
        <v>4841</v>
      </c>
      <c r="G6208" t="e">
        <f ca="1">_xludf.IMAGE("https://edmondsonsupply.com/cdn/shop/products/32304.jpg?v=1666019479")</f>
        <v>#NAME?</v>
      </c>
      <c r="H6208" t="e">
        <f ca="1">_xludf.IMAGE("https://m.media-amazon.com/images/I/51OyfXQXJkL._AC_UL320_.jpg")</f>
        <v>#NAME?</v>
      </c>
      <c r="I6208" t="s">
        <v>859</v>
      </c>
      <c r="J6208">
        <v>24.77</v>
      </c>
      <c r="K6208" s="4">
        <v>-8.0000000000000002E-3</v>
      </c>
      <c r="L6208">
        <v>4.5999999999999996</v>
      </c>
      <c r="M6208">
        <v>2640</v>
      </c>
      <c r="O6208" t="s">
        <v>25</v>
      </c>
      <c r="P6208" t="s">
        <v>602</v>
      </c>
      <c r="Q6208" t="s">
        <v>2118</v>
      </c>
    </row>
    <row r="6209" spans="1:17" ht="15.5" x14ac:dyDescent="0.35">
      <c r="A6209"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6209" s="3" t="str">
        <f>HYPERLINK("https://edmondsonsupply.com/products/diablo-tools-dag3090-7-8-in-x-17-1-2-in-auger-bit", "https://edmondsonsupply.com/products/diablo-tools-dag3090-7-8-in-x-17-1-2-in-auger-bit")</f>
        <v>https://edmondsonsupply.com/products/diablo-tools-dag3090-7-8-in-x-17-1-2-in-auger-bit</v>
      </c>
      <c r="C6209" t="s">
        <v>7269</v>
      </c>
      <c r="D6209" t="s">
        <v>7355</v>
      </c>
      <c r="E6209" s="3" t="str">
        <f>HYPERLINK("https://www.amazon.com/Diablo-DAG3100-17-1-Auger-Bit/dp/B089KWFBPH/ref=sr_1_9?keywords=Diablo+Tools+DAG3090+7%2F8+in.+x+17-1%2F2+in.+Auger+Bit&amp;qid=1695174065&amp;sr=8-9", "https://www.amazon.com/Diablo-DAG3100-17-1-Auger-Bit/dp/B089KWFBPH/ref=sr_1_9?keywords=Diablo+Tools+DAG3090+7%2F8+in.+x+17-1%2F2+in.+Auger+Bit&amp;qid=1695174065&amp;sr=8-9")</f>
        <v>https://www.amazon.com/Diablo-DAG3100-17-1-Auger-Bit/dp/B089KWFBPH/ref=sr_1_9?keywords=Diablo+Tools+DAG3090+7%2F8+in.+x+17-1%2F2+in.+Auger+Bit&amp;qid=1695174065&amp;sr=8-9</v>
      </c>
      <c r="F6209" t="s">
        <v>7356</v>
      </c>
      <c r="G6209" t="e">
        <f ca="1">_xludf.IMAGE("https://edmondsonsupply.com/cdn/shop/products/aorgtpkivjubhtbiiau0.webp?v=1677256849")</f>
        <v>#NAME?</v>
      </c>
      <c r="H6209" t="e">
        <f ca="1">_xludf.IMAGE("https://m.media-amazon.com/images/I/61Lk5PecX2L._AC_UL320_.jpg")</f>
        <v>#NAME?</v>
      </c>
      <c r="I6209" t="s">
        <v>1589</v>
      </c>
      <c r="J6209">
        <v>22.8</v>
      </c>
      <c r="K6209" s="4">
        <v>-8.3000000000000001E-3</v>
      </c>
      <c r="L6209">
        <v>5</v>
      </c>
      <c r="M6209">
        <v>3</v>
      </c>
      <c r="O6209" t="s">
        <v>25</v>
      </c>
      <c r="P6209" t="s">
        <v>7270</v>
      </c>
      <c r="Q6209" t="s">
        <v>7271</v>
      </c>
    </row>
    <row r="6210" spans="1:17" ht="15.5" x14ac:dyDescent="0.35">
      <c r="A6210" s="3" t="str">
        <f>HYPERLINK("https://edmondsonsupply.com/collections/electricians-tools/products/klein-tools-d53010-plier-wrench-10-inch", "https://edmondsonsupply.com/collections/electricians-tools/products/klein-tools-d53010-plier-wrench-10-inch")</f>
        <v>https://edmondsonsupply.com/collections/electricians-tools/products/klein-tools-d53010-plier-wrench-10-inch</v>
      </c>
      <c r="B6210" s="3" t="str">
        <f>HYPERLINK("https://edmondsonsupply.com/products/klein-tools-d53010-plier-wrench-10-inch", "https://edmondsonsupply.com/products/klein-tools-d53010-plier-wrench-10-inch")</f>
        <v>https://edmondsonsupply.com/products/klein-tools-d53010-plier-wrench-10-inch</v>
      </c>
      <c r="C6210" t="s">
        <v>8264</v>
      </c>
      <c r="D6210" t="s">
        <v>8265</v>
      </c>
      <c r="E6210" s="3" t="str">
        <f>HYPERLINK("https://www.amazon.com/Klein-Tools-D53010-Adjustable-Parallel/dp/B0BYPJX3R2/ref=sr_1_1?keywords=Klein+Tools+D53010+Plier+Wrench%2C+10-Inch+%28D530-10%29&amp;qid=1695174022&amp;sr=8-1", "https://www.amazon.com/Klein-Tools-D53010-Adjustable-Parallel/dp/B0BYPJX3R2/ref=sr_1_1?keywords=Klein+Tools+D53010+Plier+Wrench%2C+10-Inch+%28D530-10%29&amp;qid=1695174022&amp;sr=8-1")</f>
        <v>https://www.amazon.com/Klein-Tools-D53010-Adjustable-Parallel/dp/B0BYPJX3R2/ref=sr_1_1?keywords=Klein+Tools+D53010+Plier+Wrench%2C+10-Inch+%28D530-10%29&amp;qid=1695174022&amp;sr=8-1</v>
      </c>
      <c r="F6210" t="s">
        <v>8266</v>
      </c>
      <c r="G6210" t="e">
        <f ca="1">_xludf.IMAGE("https://edmondsonsupply.com/cdn/shop/products/d53010_side_paralleljaw2.jpg?v=1681738342")</f>
        <v>#NAME?</v>
      </c>
      <c r="H6210" t="e">
        <f ca="1">_xludf.IMAGE("https://m.media-amazon.com/images/I/41lg5eXIQGL._AC_UL320_.jpg")</f>
        <v>#NAME?</v>
      </c>
      <c r="I6210" t="s">
        <v>380</v>
      </c>
      <c r="J6210">
        <v>49.55</v>
      </c>
      <c r="K6210" s="4">
        <v>-8.3999999999999995E-3</v>
      </c>
      <c r="L6210">
        <v>4.7</v>
      </c>
      <c r="M6210">
        <v>259</v>
      </c>
      <c r="O6210" t="s">
        <v>25</v>
      </c>
      <c r="P6210" t="s">
        <v>8267</v>
      </c>
      <c r="Q6210" t="s">
        <v>8268</v>
      </c>
    </row>
    <row r="6211" spans="1:17" ht="15.5" x14ac:dyDescent="0.35">
      <c r="A6211" s="3" t="str">
        <f>HYPERLINK("https://edmondsonsupply.com/collections/electricians-tools/products/klein-tools-55429-tradesman-pro%E2%84%A2-electricians-tool-belt-xl", "https://edmondsonsupply.com/collections/electricians-tools/products/klein-tools-55429-tradesman-pro%E2%84%A2-electricians-tool-belt-xl")</f>
        <v>https://edmondsonsupply.com/collections/electricians-tools/products/klein-tools-55429-tradesman-pro%E2%84%A2-electricians-tool-belt-xl</v>
      </c>
      <c r="B6211" s="3" t="str">
        <f>HYPERLINK("https://edmondsonsupply.com/products/klein-tools-55429-tradesman-pro%e2%84%a2-electricians-tool-belt-xl", "https://edmondsonsupply.com/products/klein-tools-55429-tradesman-pro%e2%84%a2-electricians-tool-belt-xl")</f>
        <v>https://edmondsonsupply.com/products/klein-tools-55429-tradesman-pro%e2%84%a2-electricians-tool-belt-xl</v>
      </c>
      <c r="C6211" t="s">
        <v>636</v>
      </c>
      <c r="D6211" t="s">
        <v>637</v>
      </c>
      <c r="E6211" s="3" t="str">
        <f>HYPERLINK("https://www.amazon.com/Tradesman-Electricians-Klein-Tools-55429/dp/B00BZXA3GC/ref=sr_1_1?keywords=Klein+Tools+55429+Tradesman+Pro%E2%84%A2+Electrician%27s+Tool+Belt%2C+XL&amp;qid=1695174254&amp;sr=8-1", "https://www.amazon.com/Tradesman-Electricians-Klein-Tools-55429/dp/B00BZXA3GC/ref=sr_1_1?keywords=Klein+Tools+55429+Tradesman+Pro%E2%84%A2+Electrician%27s+Tool+Belt%2C+XL&amp;qid=1695174254&amp;sr=8-1")</f>
        <v>https://www.amazon.com/Tradesman-Electricians-Klein-Tools-55429/dp/B00BZXA3GC/ref=sr_1_1?keywords=Klein+Tools+55429+Tradesman+Pro%E2%84%A2+Electrician%27s+Tool+Belt%2C+XL&amp;qid=1695174254&amp;sr=8-1</v>
      </c>
      <c r="F6211" t="s">
        <v>638</v>
      </c>
      <c r="G6211" t="e">
        <f ca="1">_xludf.IMAGE("https://edmondsonsupply.com/cdn/shop/products/55429_b.jpg?v=1679415357")</f>
        <v>#NAME?</v>
      </c>
      <c r="H6211" t="e">
        <f ca="1">_xludf.IMAGE("https://m.media-amazon.com/images/I/61hBX21HbTL._AC_UL320_.jpg")</f>
        <v>#NAME?</v>
      </c>
      <c r="I6211" t="s">
        <v>639</v>
      </c>
      <c r="J6211">
        <v>115</v>
      </c>
      <c r="K6211" s="4">
        <v>-8.5000000000000006E-3</v>
      </c>
      <c r="L6211">
        <v>4.3</v>
      </c>
      <c r="M6211">
        <v>529</v>
      </c>
      <c r="O6211" t="s">
        <v>25</v>
      </c>
      <c r="P6211" t="s">
        <v>640</v>
      </c>
      <c r="Q6211" t="s">
        <v>641</v>
      </c>
    </row>
    <row r="6212" spans="1:17" ht="15.5" x14ac:dyDescent="0.35">
      <c r="A6212" s="3" t="str">
        <f>HYPERLINK("https://edmondsonsupply.com/collections/electricians-tools/products/diablo-tools-doscgx-2-3-4-in-starlock-carbide-grit-oscillating-blade-for-grout-and-mortar", "https://edmondsonsupply.com/collections/electricians-tools/products/diablo-tools-doscgx-2-3-4-in-starlock-carbide-grit-oscillating-blade-for-grout-and-mortar")</f>
        <v>https://edmondsonsupply.com/collections/electricians-tools/products/diablo-tools-doscgx-2-3-4-in-starlock-carbide-grit-oscillating-blade-for-grout-and-mortar</v>
      </c>
      <c r="B6212" s="3" t="str">
        <f>HYPERLINK("https://edmondsonsupply.com/products/diablo-tools-doscgx-2-3-4-in-starlock-carbide-grit-oscillating-blade-for-grout-and-mortar", "https://edmondsonsupply.com/products/diablo-tools-doscgx-2-3-4-in-starlock-carbide-grit-oscillating-blade-for-grout-and-mortar")</f>
        <v>https://edmondsonsupply.com/products/diablo-tools-doscgx-2-3-4-in-starlock-carbide-grit-oscillating-blade-for-grout-and-mortar</v>
      </c>
      <c r="C6212" t="s">
        <v>8269</v>
      </c>
      <c r="D6212" t="s">
        <v>8270</v>
      </c>
      <c r="E6212" s="3" t="str">
        <f>HYPERLINK("https://www.amazon.com/Diablo-Freud-DOSCGX-Starlock-Oscillating/dp/B089KW7QCF/ref=sr_1_1?keywords=Diablo+Tools+DOSCGX+2-3%2F4+in.+Starlock+Carbide+Grit+Oscillating+Blade+for+Grout+and+Mortar&amp;qid=1695174246&amp;sr=8-1", "https://www.amazon.com/Diablo-Freud-DOSCGX-Starlock-Oscillating/dp/B089KW7QCF/ref=sr_1_1?keywords=Diablo+Tools+DOSCGX+2-3%2F4+in.+Starlock+Carbide+Grit+Oscillating+Blade+for+Grout+and+Mortar&amp;qid=1695174246&amp;sr=8-1")</f>
        <v>https://www.amazon.com/Diablo-Freud-DOSCGX-Starlock-Oscillating/dp/B089KW7QCF/ref=sr_1_1?keywords=Diablo+Tools+DOSCGX+2-3%2F4+in.+Starlock+Carbide+Grit+Oscillating+Blade+for+Grout+and+Mortar&amp;qid=1695174246&amp;sr=8-1</v>
      </c>
      <c r="F6212" t="s">
        <v>8271</v>
      </c>
      <c r="G6212" t="e">
        <f ca="1">_xludf.IMAGE("https://edmondsonsupply.com/cdn/shop/products/DOSCGX_Main-Image_1.png?v=1633031123")</f>
        <v>#NAME?</v>
      </c>
      <c r="H6212" t="e">
        <f ca="1">_xludf.IMAGE("https://m.media-amazon.com/images/I/61MNfQjWr0L._AC_UL320_.jpg")</f>
        <v>#NAME?</v>
      </c>
      <c r="I6212" t="s">
        <v>2510</v>
      </c>
      <c r="J6212">
        <v>23.75</v>
      </c>
      <c r="K6212" s="4">
        <v>-9.1999999999999998E-3</v>
      </c>
      <c r="L6212">
        <v>4.5999999999999996</v>
      </c>
      <c r="M6212">
        <v>8</v>
      </c>
      <c r="O6212" t="s">
        <v>25</v>
      </c>
      <c r="P6212" t="s">
        <v>8272</v>
      </c>
      <c r="Q6212" t="s">
        <v>8273</v>
      </c>
    </row>
    <row r="6213" spans="1:17" ht="15.5" x14ac:dyDescent="0.35">
      <c r="A6213"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6213"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6213" t="s">
        <v>7732</v>
      </c>
      <c r="D6213" t="s">
        <v>7239</v>
      </c>
      <c r="E6213" s="3" t="str">
        <f>HYPERLINK("https://www.amazon.com/Klein-Tools-6946INS-Insulated-Screwdriver/dp/B088NN95Q5/ref=sr_1_3?keywords=Klein+Tools+6984INS+Slim-Tip+1000V+Insulated+Screwdriver%2C+%231+Square%2C+4-Inch+Round+Shank&amp;qid=1695174144&amp;sr=8-3", "https://www.amazon.com/Klein-Tools-6946INS-Insulated-Screwdriver/dp/B088NN95Q5/ref=sr_1_3?keywords=Klein+Tools+6984INS+Slim-Tip+1000V+Insulated+Screwdriver%2C+%231+Square%2C+4-Inch+Round+Shank&amp;qid=1695174144&amp;sr=8-3")</f>
        <v>https://www.amazon.com/Klein-Tools-6946INS-Insulated-Screwdriver/dp/B088NN95Q5/ref=sr_1_3?keywords=Klein+Tools+6984INS+Slim-Tip+1000V+Insulated+Screwdriver%2C+%231+Square%2C+4-Inch+Round+Shank&amp;qid=1695174144&amp;sr=8-3</v>
      </c>
      <c r="F6213" t="s">
        <v>7240</v>
      </c>
      <c r="G6213" t="e">
        <f ca="1">_xludf.IMAGE("https://edmondsonsupply.com/cdn/shop/products/6984ins.jpg?v=1664806448")</f>
        <v>#NAME?</v>
      </c>
      <c r="H6213" t="e">
        <f ca="1">_xludf.IMAGE("https://m.media-amazon.com/images/I/414Kb+NSPsS._AC_UL320_.jpg")</f>
        <v>#NAME?</v>
      </c>
      <c r="I6213" t="s">
        <v>288</v>
      </c>
      <c r="J6213">
        <v>13.85</v>
      </c>
      <c r="K6213" s="4">
        <v>-0.01</v>
      </c>
      <c r="L6213">
        <v>4.8</v>
      </c>
      <c r="M6213">
        <v>1361</v>
      </c>
      <c r="O6213" t="s">
        <v>25</v>
      </c>
      <c r="P6213" t="s">
        <v>7730</v>
      </c>
      <c r="Q6213" t="s">
        <v>7733</v>
      </c>
    </row>
    <row r="6214" spans="1:17" ht="15.5" x14ac:dyDescent="0.35">
      <c r="A6214"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6214"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6214" t="s">
        <v>2430</v>
      </c>
      <c r="D6214" t="s">
        <v>2430</v>
      </c>
      <c r="E6214" s="3" t="str">
        <f>HYPERLINK("https://www.amazon.com/Klein-Tools-4-Inch-Cabinet-Screwdriver/dp/B000BQT6GC/ref=sr_1_1?keywords=Klein+Tools+605-6+1%2F4-Inch+Cabinet+Tip+Screwdriver%2C+Heavy+Duty%2C+6-Inch&amp;qid=1695173888&amp;sr=8-1", "https://www.amazon.com/Klein-Tools-4-Inch-Cabinet-Screwdriver/dp/B000BQT6GC/ref=sr_1_1?keywords=Klein+Tools+605-6+1%2F4-Inch+Cabinet+Tip+Screwdriver%2C+Heavy+Duty%2C+6-Inch&amp;qid=1695173888&amp;sr=8-1")</f>
        <v>https://www.amazon.com/Klein-Tools-4-Inch-Cabinet-Screwdriver/dp/B000BQT6GC/ref=sr_1_1?keywords=Klein+Tools+605-6+1%2F4-Inch+Cabinet+Tip+Screwdriver%2C+Heavy+Duty%2C+6-Inch&amp;qid=1695173888&amp;sr=8-1</v>
      </c>
      <c r="F6214" t="s">
        <v>4842</v>
      </c>
      <c r="G6214" t="e">
        <f ca="1">_xludf.IMAGE("https://edmondsonsupply.com/cdn/shop/products/605-6.jpg?v=1587149759")</f>
        <v>#NAME?</v>
      </c>
      <c r="H6214" t="e">
        <f ca="1">_xludf.IMAGE("https://m.media-amazon.com/images/I/41WLDr2SP+L._AC_UL320_.jpg")</f>
        <v>#NAME?</v>
      </c>
      <c r="I6214" t="s">
        <v>2433</v>
      </c>
      <c r="J6214">
        <v>9.39</v>
      </c>
      <c r="K6214" s="4">
        <v>-1.0500000000000001E-2</v>
      </c>
      <c r="L6214">
        <v>4.8</v>
      </c>
      <c r="M6214">
        <v>1227</v>
      </c>
      <c r="O6214" t="s">
        <v>25</v>
      </c>
      <c r="P6214" t="s">
        <v>2434</v>
      </c>
      <c r="Q6214" t="s">
        <v>2435</v>
      </c>
    </row>
    <row r="6215" spans="1:17" ht="15.5" x14ac:dyDescent="0.35">
      <c r="A6215" s="3" t="str">
        <f>HYPERLINK("https://edmondsonsupply.com/collections/electricians-tools/products/reed-mfg-r12dn-3-4-r12-segmental-dies-3-4-npt", "https://edmondsonsupply.com/collections/electricians-tools/products/reed-mfg-r12dn-3-4-r12-segmental-dies-3-4-npt")</f>
        <v>https://edmondsonsupply.com/collections/electricians-tools/products/reed-mfg-r12dn-3-4-r12-segmental-dies-3-4-npt</v>
      </c>
      <c r="B6215" s="3" t="str">
        <f>HYPERLINK("https://edmondsonsupply.com/products/reed-mfg-r12dn-3-4-r12-segmental-dies-3-4-npt", "https://edmondsonsupply.com/products/reed-mfg-r12dn-3-4-r12-segmental-dies-3-4-npt")</f>
        <v>https://edmondsonsupply.com/products/reed-mfg-r12dn-3-4-r12-segmental-dies-3-4-npt</v>
      </c>
      <c r="C6215" t="s">
        <v>8274</v>
      </c>
      <c r="D6215" t="s">
        <v>8275</v>
      </c>
      <c r="E6215" s="3" t="str">
        <f>HYPERLINK("https://www.amazon.com/Reed-Tool-R12DN-Segmental-4-Inch/dp/B000ZHAICI/ref=sr_1_1?keywords=Reed+Mfg+R12DN+3%2F4+R12%2B+Segmental+Dies%2C+3%2F4%22+NPT&amp;qid=1695174273&amp;sr=8-1", "https://www.amazon.com/Reed-Tool-R12DN-Segmental-4-Inch/dp/B000ZHAICI/ref=sr_1_1?keywords=Reed+Mfg+R12DN+3%2F4+R12%2B+Segmental+Dies%2C+3%2F4%22+NPT&amp;qid=1695174273&amp;sr=8-1")</f>
        <v>https://www.amazon.com/Reed-Tool-R12DN-Segmental-4-Inch/dp/B000ZHAICI/ref=sr_1_1?keywords=Reed+Mfg+R12DN+3%2F4+R12%2B+Segmental+Dies%2C+3%2F4%22+NPT&amp;qid=1695174273&amp;sr=8-1</v>
      </c>
      <c r="F6215" t="s">
        <v>8276</v>
      </c>
      <c r="G6215" t="e">
        <f ca="1">_xludf.IMAGE("https://edmondsonsupply.com/cdn/shop/products/05608-R12DN3-4-dies-RGB_fc669a29-0edc-4e96-801f-ef8fe585dce9.jpg?v=1633031014")</f>
        <v>#NAME?</v>
      </c>
      <c r="H6215" t="e">
        <f ca="1">_xludf.IMAGE("https://m.media-amazon.com/images/I/51A7+upQrKL._AC_UY218_.jpg")</f>
        <v>#NAME?</v>
      </c>
      <c r="I6215" t="s">
        <v>8277</v>
      </c>
      <c r="J6215">
        <v>57.14</v>
      </c>
      <c r="K6215" s="4">
        <v>-1.11E-2</v>
      </c>
      <c r="L6215">
        <v>5</v>
      </c>
      <c r="M6215">
        <v>1</v>
      </c>
      <c r="O6215" t="s">
        <v>25</v>
      </c>
      <c r="P6215" t="s">
        <v>8278</v>
      </c>
      <c r="Q6215" t="s">
        <v>8279</v>
      </c>
    </row>
    <row r="6216" spans="1:17" ht="15.5" x14ac:dyDescent="0.35">
      <c r="A6216" s="3" t="str">
        <f>HYPERLINK("https://edmondsonsupply.com/collections/electricians-tools/products/klein-tools-44002-lightweight-lockback-knife-2-3-8-inch-drop-point-blade-black-handle", "https://edmondsonsupply.com/collections/electricians-tools/products/klein-tools-44002-lightweight-lockback-knife-2-3-8-inch-drop-point-blade-black-handle")</f>
        <v>https://edmondsonsupply.com/collections/electricians-tools/products/klein-tools-44002-lightweight-lockback-knife-2-3-8-inch-drop-point-blade-black-handle</v>
      </c>
      <c r="B6216" s="3" t="str">
        <f>HYPERLINK("https://edmondsonsupply.com/products/klein-tools-44002-lightweight-lockback-knife-2-3-8-inch-drop-point-blade-black-handle", "https://edmondsonsupply.com/products/klein-tools-44002-lightweight-lockback-knife-2-3-8-inch-drop-point-blade-black-handle")</f>
        <v>https://edmondsonsupply.com/products/klein-tools-44002-lightweight-lockback-knife-2-3-8-inch-drop-point-blade-black-handle</v>
      </c>
      <c r="C6216" t="s">
        <v>8280</v>
      </c>
      <c r="D6216" t="s">
        <v>8281</v>
      </c>
      <c r="E6216" s="3" t="str">
        <f>HYPERLINK("https://www.amazon.com/Lightweight-Drop-Point-Klein-Tools-44002/dp/B00093D5VO/ref=sr_1_1?keywords=Klein+Tools+44002+Lightweight+Lockback+Knife%2C+2-3%2F8-Inch+Drop+Point+Blade%2C+Black+Handle&amp;qid=1695174232&amp;sr=8-1", "https://www.amazon.com/Lightweight-Drop-Point-Klein-Tools-44002/dp/B00093D5VO/ref=sr_1_1?keywords=Klein+Tools+44002+Lightweight+Lockback+Knife%2C+2-3%2F8-Inch+Drop+Point+Blade%2C+Black+Handle&amp;qid=1695174232&amp;sr=8-1")</f>
        <v>https://www.amazon.com/Lightweight-Drop-Point-Klein-Tools-44002/dp/B00093D5VO/ref=sr_1_1?keywords=Klein+Tools+44002+Lightweight+Lockback+Knife%2C+2-3%2F8-Inch+Drop+Point+Blade%2C+Black+Handle&amp;qid=1695174232&amp;sr=8-1</v>
      </c>
      <c r="F6216" t="s">
        <v>8282</v>
      </c>
      <c r="G6216" t="e">
        <f ca="1">_xludf.IMAGE("https://edmondsonsupply.com/cdn/shop/products/44002.jpg?v=1633900433")</f>
        <v>#NAME?</v>
      </c>
      <c r="H6216" t="e">
        <f ca="1">_xludf.IMAGE("https://m.media-amazon.com/images/I/41Nwrc8v+ZL._AC_UL320_.jpg")</f>
        <v>#NAME?</v>
      </c>
      <c r="I6216" t="s">
        <v>4310</v>
      </c>
      <c r="J6216">
        <v>33.61</v>
      </c>
      <c r="K6216" s="4">
        <v>-1.12E-2</v>
      </c>
      <c r="L6216">
        <v>4.7</v>
      </c>
      <c r="M6216">
        <v>186</v>
      </c>
      <c r="O6216" t="s">
        <v>25</v>
      </c>
      <c r="P6216" t="s">
        <v>8283</v>
      </c>
      <c r="Q6216" t="s">
        <v>8284</v>
      </c>
    </row>
    <row r="6217" spans="1:17" ht="15.5" x14ac:dyDescent="0.35">
      <c r="A6217" s="3" t="str">
        <f>HYPERLINK("https://edmondsonsupply.com/collections/electricians-tools/products/milwaukee-48-11-2440-m12%E2%84%A2-redlithium%E2%84%A2-xc-4-0-extended-capacity-battery-pack", "https://edmondsonsupply.com/collections/electricians-tools/products/milwaukee-48-11-2440-m12%E2%84%A2-redlithium%E2%84%A2-xc-4-0-extended-capacity-battery-pack")</f>
        <v>https://edmondsonsupply.com/collections/electricians-tools/products/milwaukee-48-11-2440-m12%E2%84%A2-redlithium%E2%84%A2-xc-4-0-extended-capacity-battery-pack</v>
      </c>
      <c r="B6217" s="3" t="str">
        <f>HYPERLINK("https://edmondsonsupply.com/products/milwaukee-48-11-2440-m12%e2%84%a2-redlithium%e2%84%a2-xc-4-0-extended-capacity-battery-pack", "https://edmondsonsupply.com/products/milwaukee-48-11-2440-m12%e2%84%a2-redlithium%e2%84%a2-xc-4-0-extended-capacity-battery-pack")</f>
        <v>https://edmondsonsupply.com/products/milwaukee-48-11-2440-m12%e2%84%a2-redlithium%e2%84%a2-xc-4-0-extended-capacity-battery-pack</v>
      </c>
      <c r="C6217" t="s">
        <v>8285</v>
      </c>
      <c r="D6217" t="s">
        <v>8286</v>
      </c>
      <c r="E6217" s="3" t="str">
        <f>HYPERLINK("https://www.amazon.com/Milwaukee-48-11-2460-REDLITHIUM-Extended-Lithium-Ion/dp/B07FB8N31X/ref=sr_1_10?keywords=Milwaukee+48-11-2440+M12%E2%84%A2+REDLITHIUM%E2%84%A2+XC+4.0+Extended+Capacity+Battery+Pack&amp;qid=1695174198&amp;sr=8-10", "https://www.amazon.com/Milwaukee-48-11-2460-REDLITHIUM-Extended-Lithium-Ion/dp/B07FB8N31X/ref=sr_1_10?keywords=Milwaukee+48-11-2440+M12%E2%84%A2+REDLITHIUM%E2%84%A2+XC+4.0+Extended+Capacity+Battery+Pack&amp;qid=1695174198&amp;sr=8-10")</f>
        <v>https://www.amazon.com/Milwaukee-48-11-2460-REDLITHIUM-Extended-Lithium-Ion/dp/B07FB8N31X/ref=sr_1_10?keywords=Milwaukee+48-11-2440+M12%E2%84%A2+REDLITHIUM%E2%84%A2+XC+4.0+Extended+Capacity+Battery+Pack&amp;qid=1695174198&amp;sr=8-10</v>
      </c>
      <c r="F6217" t="s">
        <v>8287</v>
      </c>
      <c r="G6217" t="e">
        <f ca="1">_xludf.IMAGE("https://edmondsonsupply.com/cdn/shop/products/64620_48-11-2440-lg.png?v=1654801817")</f>
        <v>#NAME?</v>
      </c>
      <c r="H6217" t="e">
        <f ca="1">_xludf.IMAGE("https://m.media-amazon.com/images/I/51MNQvfA+KL._AC_UL320_.jpg")</f>
        <v>#NAME?</v>
      </c>
      <c r="I6217" t="s">
        <v>3253</v>
      </c>
      <c r="J6217">
        <v>87.99</v>
      </c>
      <c r="K6217" s="4">
        <v>-1.1299999999999999E-2</v>
      </c>
      <c r="L6217">
        <v>4.5</v>
      </c>
      <c r="M6217">
        <v>492</v>
      </c>
      <c r="O6217" t="s">
        <v>171</v>
      </c>
      <c r="P6217" t="s">
        <v>692</v>
      </c>
      <c r="Q6217" t="s">
        <v>8288</v>
      </c>
    </row>
    <row r="6218" spans="1:17" ht="15.5" x14ac:dyDescent="0.35">
      <c r="A6218" s="3" t="str">
        <f>HYPERLINK("https://edmondsonsupply.com/collections/electricians-tools/products/klein-tools-d213-9nett-pliers-high-leverage-side-cutters-tether-ring", "https://edmondsonsupply.com/collections/electricians-tools/products/klein-tools-d213-9nett-pliers-high-leverage-side-cutters-tether-ring")</f>
        <v>https://edmondsonsupply.com/collections/electricians-tools/products/klein-tools-d213-9nett-pliers-high-leverage-side-cutters-tether-ring</v>
      </c>
      <c r="B6218" s="3" t="str">
        <f>HYPERLINK("https://edmondsonsupply.com/products/klein-tools-d213-9nett-pliers-high-leverage-side-cutters-tether-ring", "https://edmondsonsupply.com/products/klein-tools-d213-9nett-pliers-high-leverage-side-cutters-tether-ring")</f>
        <v>https://edmondsonsupply.com/products/klein-tools-d213-9nett-pliers-high-leverage-side-cutters-tether-ring</v>
      </c>
      <c r="C6218" t="s">
        <v>8289</v>
      </c>
      <c r="D6218" t="s">
        <v>8290</v>
      </c>
      <c r="E6218" s="3" t="str">
        <f>HYPERLINK("https://www.amazon.com/Leverage-Cutters-Klein-Tools-D213-9NETT/dp/B01K76UXR6/ref=sr_1_1?keywords=Klein+Tools+D213-9NETT+Pliers%2C+High-Leverage+Side+Cutters%2C+Tether+Ring&amp;qid=1695174214&amp;sr=8-1", "https://www.amazon.com/Leverage-Cutters-Klein-Tools-D213-9NETT/dp/B01K76UXR6/ref=sr_1_1?keywords=Klein+Tools+D213-9NETT+Pliers%2C+High-Leverage+Side+Cutters%2C+Tether+Ring&amp;qid=1695174214&amp;sr=8-1")</f>
        <v>https://www.amazon.com/Leverage-Cutters-Klein-Tools-D213-9NETT/dp/B01K76UXR6/ref=sr_1_1?keywords=Klein+Tools+D213-9NETT+Pliers%2C+High-Leverage+Side+Cutters%2C+Tether+Ring&amp;qid=1695174214&amp;sr=8-1</v>
      </c>
      <c r="F6218" t="s">
        <v>8291</v>
      </c>
      <c r="G6218" t="e">
        <f ca="1">_xludf.IMAGE("https://edmondsonsupply.com/cdn/shop/products/d2139nett.jpg?v=1647394939")</f>
        <v>#NAME?</v>
      </c>
      <c r="H6218" t="e">
        <f ca="1">_xludf.IMAGE("https://m.media-amazon.com/images/I/511+TPpHFoL._AC_UL320_.jpg")</f>
        <v>#NAME?</v>
      </c>
      <c r="I6218" t="s">
        <v>198</v>
      </c>
      <c r="J6218">
        <v>39.49</v>
      </c>
      <c r="K6218" s="4">
        <v>-1.2500000000000001E-2</v>
      </c>
      <c r="L6218">
        <v>4.5999999999999996</v>
      </c>
      <c r="M6218">
        <v>14</v>
      </c>
      <c r="O6218" t="s">
        <v>25</v>
      </c>
      <c r="P6218" t="s">
        <v>8292</v>
      </c>
      <c r="Q6218" t="s">
        <v>8293</v>
      </c>
    </row>
    <row r="6219" spans="1:17" ht="15.5" x14ac:dyDescent="0.35">
      <c r="A6219" s="3" t="str">
        <f>HYPERLINK("https://edmondsonsupply.com/collections/electricians-tools/products/klein-tools-85076ins-screwdriver-set-1000v-insulated-6-piece", "https://edmondsonsupply.com/collections/electricians-tools/products/klein-tools-85076ins-screwdriver-set-1000v-insulated-6-piece")</f>
        <v>https://edmondsonsupply.com/collections/electricians-tools/products/klein-tools-85076ins-screwdriver-set-1000v-insulated-6-piece</v>
      </c>
      <c r="B6219" s="3" t="str">
        <f>HYPERLINK("https://edmondsonsupply.com/products/klein-tools-85076ins-screwdriver-set-1000v-insulated-6-piece", "https://edmondsonsupply.com/products/klein-tools-85076ins-screwdriver-set-1000v-insulated-6-piece")</f>
        <v>https://edmondsonsupply.com/products/klein-tools-85076ins-screwdriver-set-1000v-insulated-6-piece</v>
      </c>
      <c r="C6219" t="s">
        <v>3730</v>
      </c>
      <c r="D6219" t="s">
        <v>4851</v>
      </c>
      <c r="E6219" s="3" t="str">
        <f>HYPERLINK("https://www.amazon.com/Klein-Tools-85076INS-Screwdriver-Screwdrivers/dp/B0BF76JDCC/ref=sr_1_1?keywords=Klein+Tools+85076INS+Screwdriver+Set%2C+1000V+Insulated%2C+6-Piece&amp;qid=1695173919&amp;sr=8-1", "https://www.amazon.com/Klein-Tools-85076INS-Screwdriver-Screwdrivers/dp/B0BF76JDCC/ref=sr_1_1?keywords=Klein+Tools+85076INS+Screwdriver+Set%2C+1000V+Insulated%2C+6-Piece&amp;qid=1695173919&amp;sr=8-1")</f>
        <v>https://www.amazon.com/Klein-Tools-85076INS-Screwdriver-Screwdrivers/dp/B0BF76JDCC/ref=sr_1_1?keywords=Klein+Tools+85076INS+Screwdriver+Set%2C+1000V+Insulated%2C+6-Piece&amp;qid=1695173919&amp;sr=8-1</v>
      </c>
      <c r="F6219" t="s">
        <v>4852</v>
      </c>
      <c r="G6219" t="e">
        <f ca="1">_xludf.IMAGE("https://edmondsonsupply.com/cdn/shop/products/85076ins.jpg?v=1664891110")</f>
        <v>#NAME?</v>
      </c>
      <c r="H6219" t="e">
        <f ca="1">_xludf.IMAGE("https://m.media-amazon.com/images/I/51wtKAQ0TLL._AC_UL320_.jpg")</f>
        <v>#NAME?</v>
      </c>
      <c r="I6219" t="s">
        <v>246</v>
      </c>
      <c r="J6219">
        <v>39.43</v>
      </c>
      <c r="K6219" s="4">
        <v>-1.35E-2</v>
      </c>
      <c r="L6219">
        <v>4.8</v>
      </c>
      <c r="M6219">
        <v>207</v>
      </c>
      <c r="O6219" t="s">
        <v>25</v>
      </c>
      <c r="P6219" t="s">
        <v>199</v>
      </c>
      <c r="Q6219" t="s">
        <v>3731</v>
      </c>
    </row>
    <row r="6220" spans="1:17" ht="15.5" x14ac:dyDescent="0.35">
      <c r="A6220" s="3" t="str">
        <f>HYPERLINK("https://edmondsonsupply.com/collections/electricians-tools/products/klein-tools-58886-tool-tote-polyester-7-pocket-with-drain-holes", "https://edmondsonsupply.com/collections/electricians-tools/products/klein-tools-58886-tool-tote-polyester-7-pocket-with-drain-holes")</f>
        <v>https://edmondsonsupply.com/collections/electricians-tools/products/klein-tools-58886-tool-tote-polyester-7-pocket-with-drain-holes</v>
      </c>
      <c r="B6220" s="3" t="str">
        <f>HYPERLINK("https://edmondsonsupply.com/products/klein-tools-58886-tool-tote-polyester-7-pocket-with-drain-holes", "https://edmondsonsupply.com/products/klein-tools-58886-tool-tote-polyester-7-pocket-with-drain-holes")</f>
        <v>https://edmondsonsupply.com/products/klein-tools-58886-tool-tote-polyester-7-pocket-with-drain-holes</v>
      </c>
      <c r="C6220" t="s">
        <v>642</v>
      </c>
      <c r="D6220" t="s">
        <v>643</v>
      </c>
      <c r="E6220" s="3" t="str">
        <f>HYPERLINK("https://www.amazon.com/Polyester-7-Pocket-Klein-Tools-58886/dp/B000MKKBDY/ref=sr_1_1?keywords=Klein+Tools+58886+Tool+Tote%2C+Polyester%2C+7-Pocket+with+Drain+Holes&amp;qid=1695174225&amp;sr=8-1", "https://www.amazon.com/Polyester-7-Pocket-Klein-Tools-58886/dp/B000MKKBDY/ref=sr_1_1?keywords=Klein+Tools+58886+Tool+Tote%2C+Polyester%2C+7-Pocket+with+Drain+Holes&amp;qid=1695174225&amp;sr=8-1")</f>
        <v>https://www.amazon.com/Polyester-7-Pocket-Klein-Tools-58886/dp/B000MKKBDY/ref=sr_1_1?keywords=Klein+Tools+58886+Tool+Tote%2C+Polyester%2C+7-Pocket+with+Drain+Holes&amp;qid=1695174225&amp;sr=8-1</v>
      </c>
      <c r="F6220" t="s">
        <v>644</v>
      </c>
      <c r="G6220" t="e">
        <f ca="1">_xludf.IMAGE("https://edmondsonsupply.com/cdn/shop/products/58886.jpg?v=1652145349")</f>
        <v>#NAME?</v>
      </c>
      <c r="H6220" t="e">
        <f ca="1">_xludf.IMAGE("https://m.media-amazon.com/images/I/71R79CI0igL._AC_UL320_.jpg")</f>
        <v>#NAME?</v>
      </c>
      <c r="I6220" t="s">
        <v>645</v>
      </c>
      <c r="J6220">
        <v>72</v>
      </c>
      <c r="K6220" s="4">
        <v>-1.3599999999999999E-2</v>
      </c>
      <c r="L6220">
        <v>4.5</v>
      </c>
      <c r="M6220">
        <v>64</v>
      </c>
      <c r="O6220" t="s">
        <v>25</v>
      </c>
      <c r="P6220" t="s">
        <v>646</v>
      </c>
      <c r="Q6220" t="s">
        <v>647</v>
      </c>
    </row>
    <row r="6221" spans="1:17" ht="15.5" x14ac:dyDescent="0.35">
      <c r="A6221" s="3" t="str">
        <f>HYPERLINK("https://edmondsonsupply.com/collections/electricians-tools/products/milwaukee-2744-20-m18-fuel%E2%84%A2-21-degree-framing-nailer-bare-tool", "https://edmondsonsupply.com/collections/electricians-tools/products/milwaukee-2744-20-m18-fuel%E2%84%A2-21-degree-framing-nailer-bare-tool")</f>
        <v>https://edmondsonsupply.com/collections/electricians-tools/products/milwaukee-2744-20-m18-fuel%E2%84%A2-21-degree-framing-nailer-bare-tool</v>
      </c>
      <c r="B6221" s="3" t="str">
        <f>HYPERLINK("https://edmondsonsupply.com/products/milwaukee-2744-20-m18-fuel%e2%84%a2-21-degree-framing-nailer-bare-tool", "https://edmondsonsupply.com/products/milwaukee-2744-20-m18-fuel%e2%84%a2-21-degree-framing-nailer-bare-tool")</f>
        <v>https://edmondsonsupply.com/products/milwaukee-2744-20-m18-fuel%e2%84%a2-21-degree-framing-nailer-bare-tool</v>
      </c>
      <c r="C6221" t="s">
        <v>8294</v>
      </c>
      <c r="D6221" t="s">
        <v>8295</v>
      </c>
      <c r="E6221" s="3" t="str">
        <f>HYPERLINK("https://www.amazon.com/LMParts-mMilwaukee-2744-20-21-Degree-Framing/dp/B09MC9RWK3/ref=sr_1_2?keywords=Milwaukee+2744-20+M18+FUEL%E2%84%A2+21+Degree+Framing+Nailer+%28BARE+TOOL%29&amp;qid=1695174028&amp;sr=8-2", "https://www.amazon.com/LMParts-mMilwaukee-2744-20-21-Degree-Framing/dp/B09MC9RWK3/ref=sr_1_2?keywords=Milwaukee+2744-20+M18+FUEL%E2%84%A2+21+Degree+Framing+Nailer+%28BARE+TOOL%29&amp;qid=1695174028&amp;sr=8-2")</f>
        <v>https://www.amazon.com/LMParts-mMilwaukee-2744-20-21-Degree-Framing/dp/B09MC9RWK3/ref=sr_1_2?keywords=Milwaukee+2744-20+M18+FUEL%E2%84%A2+21+Degree+Framing+Nailer+%28BARE+TOOL%29&amp;qid=1695174028&amp;sr=8-2</v>
      </c>
      <c r="F6221" t="s">
        <v>8296</v>
      </c>
      <c r="G6221" t="e">
        <f ca="1">_xludf.IMAGE("https://edmondsonsupply.com/cdn/shop/products/2744-20_1.webp?v=1680107906")</f>
        <v>#NAME?</v>
      </c>
      <c r="H6221" t="e">
        <f ca="1">_xludf.IMAGE("https://m.media-amazon.com/images/I/41B9q5GCKVL._AC_UL320_.jpg")</f>
        <v>#NAME?</v>
      </c>
      <c r="I6221" t="s">
        <v>8297</v>
      </c>
      <c r="J6221">
        <v>373.83</v>
      </c>
      <c r="K6221" s="4">
        <v>-1.3599999999999999E-2</v>
      </c>
      <c r="L6221">
        <v>4.7</v>
      </c>
      <c r="M6221">
        <v>25</v>
      </c>
      <c r="O6221" t="s">
        <v>25</v>
      </c>
      <c r="P6221" t="s">
        <v>8298</v>
      </c>
      <c r="Q6221" t="s">
        <v>8299</v>
      </c>
    </row>
    <row r="6222" spans="1:17" ht="15.5" x14ac:dyDescent="0.35">
      <c r="A6222" s="3" t="str">
        <f>HYPERLINK("https://edmondsonsupply.com/collections/electricians-tools/products/milwaukee-2745-20-m18-fuel-30-degree-framing-nailer-tool-only", "https://edmondsonsupply.com/collections/electricians-tools/products/milwaukee-2745-20-m18-fuel-30-degree-framing-nailer-tool-only")</f>
        <v>https://edmondsonsupply.com/collections/electricians-tools/products/milwaukee-2745-20-m18-fuel-30-degree-framing-nailer-tool-only</v>
      </c>
      <c r="B6222" s="3" t="str">
        <f>HYPERLINK("https://edmondsonsupply.com/products/milwaukee-2745-20-m18-fuel-30-degree-framing-nailer-tool-only", "https://edmondsonsupply.com/products/milwaukee-2745-20-m18-fuel-30-degree-framing-nailer-tool-only")</f>
        <v>https://edmondsonsupply.com/products/milwaukee-2745-20-m18-fuel-30-degree-framing-nailer-tool-only</v>
      </c>
      <c r="C6222" t="s">
        <v>8300</v>
      </c>
      <c r="D6222" t="s">
        <v>8295</v>
      </c>
      <c r="E6222" s="3" t="str">
        <f>HYPERLINK("https://www.amazon.com/LMParts-mMilwaukee-2744-20-21-Degree-Framing/dp/B09MC9RWK3/ref=sr_1_7?keywords=Milwaukee+2745-20+M18+FUEL+30+Degree+Framing+Nailer%2C+Tool+Only&amp;qid=1695174292&amp;sr=8-7", "https://www.amazon.com/LMParts-mMilwaukee-2744-20-21-Degree-Framing/dp/B09MC9RWK3/ref=sr_1_7?keywords=Milwaukee+2745-20+M18+FUEL+30+Degree+Framing+Nailer%2C+Tool+Only&amp;qid=1695174292&amp;sr=8-7")</f>
        <v>https://www.amazon.com/LMParts-mMilwaukee-2744-20-21-Degree-Framing/dp/B09MC9RWK3/ref=sr_1_7?keywords=Milwaukee+2745-20+M18+FUEL+30+Degree+Framing+Nailer%2C+Tool+Only&amp;qid=1695174292&amp;sr=8-7</v>
      </c>
      <c r="F6222" t="s">
        <v>8296</v>
      </c>
      <c r="G6222" t="e">
        <f ca="1">_xludf.IMAGE("https://edmondsonsupply.com/cdn/shop/products/nail1.png?v=1633030878")</f>
        <v>#NAME?</v>
      </c>
      <c r="H6222" t="e">
        <f ca="1">_xludf.IMAGE("https://m.media-amazon.com/images/I/41B9q5GCKVL._AC_UL320_.jpg")</f>
        <v>#NAME?</v>
      </c>
      <c r="I6222" t="s">
        <v>8297</v>
      </c>
      <c r="J6222">
        <v>373.83</v>
      </c>
      <c r="K6222" s="4">
        <v>-1.3599999999999999E-2</v>
      </c>
      <c r="L6222">
        <v>4.7</v>
      </c>
      <c r="M6222">
        <v>25</v>
      </c>
      <c r="O6222" t="s">
        <v>25</v>
      </c>
      <c r="P6222" t="s">
        <v>8298</v>
      </c>
      <c r="Q6222" t="s">
        <v>8301</v>
      </c>
    </row>
    <row r="6223" spans="1:17" ht="15.5" x14ac:dyDescent="0.35">
      <c r="A6223" s="3" t="str">
        <f>HYPERLINK("https://edmondsonsupply.com/collections/electricians-tools/products/klein-tools-55600-tradesman-pro%E2%84%A2-tough-box-17-quart-cooler", "https://edmondsonsupply.com/collections/electricians-tools/products/klein-tools-55600-tradesman-pro%E2%84%A2-tough-box-17-quart-cooler")</f>
        <v>https://edmondsonsupply.com/collections/electricians-tools/products/klein-tools-55600-tradesman-pro%E2%84%A2-tough-box-17-quart-cooler</v>
      </c>
      <c r="B6223" s="3" t="str">
        <f>HYPERLINK("https://edmondsonsupply.com/products/klein-tools-55600-tradesman-pro%e2%84%a2-tough-box-17-quart-cooler", "https://edmondsonsupply.com/products/klein-tools-55600-tradesman-pro%e2%84%a2-tough-box-17-quart-cooler")</f>
        <v>https://edmondsonsupply.com/products/klein-tools-55600-tradesman-pro%e2%84%a2-tough-box-17-quart-cooler</v>
      </c>
      <c r="C6223" t="s">
        <v>3583</v>
      </c>
      <c r="D6223" t="s">
        <v>4853</v>
      </c>
      <c r="E6223" s="3" t="str">
        <f>HYPERLINK("https://www.amazon.com/17-Quart-Tradesman-Klein-Tools-55600/dp/B06XGJTTRY/ref=sr_1_1?keywords=Klein+Tools+55600+Tradesman+Pro%E2%84%A2+Tough+Box+Cooler%2C+17-Quart&amp;qid=1695173941&amp;sr=8-1", "https://www.amazon.com/17-Quart-Tradesman-Klein-Tools-55600/dp/B06XGJTTRY/ref=sr_1_1?keywords=Klein+Tools+55600+Tradesman+Pro%E2%84%A2+Tough+Box+Cooler%2C+17-Quart&amp;qid=1695173941&amp;sr=8-1")</f>
        <v>https://www.amazon.com/17-Quart-Tradesman-Klein-Tools-55600/dp/B06XGJTTRY/ref=sr_1_1?keywords=Klein+Tools+55600+Tradesman+Pro%E2%84%A2+Tough+Box+Cooler%2C+17-Quart&amp;qid=1695173941&amp;sr=8-1</v>
      </c>
      <c r="F6223" t="s">
        <v>4854</v>
      </c>
      <c r="G6223" t="e">
        <f ca="1">_xludf.IMAGE("https://edmondsonsupply.com/cdn/shop/products/55600.jpg?v=1587145287")</f>
        <v>#NAME?</v>
      </c>
      <c r="H6223" t="e">
        <f ca="1">_xludf.IMAGE("https://m.media-amazon.com/images/I/61pNFKsetIL._AC_UL320_.jpg")</f>
        <v>#NAME?</v>
      </c>
      <c r="I6223" t="s">
        <v>305</v>
      </c>
      <c r="J6223">
        <v>64</v>
      </c>
      <c r="K6223" s="4">
        <v>-1.49E-2</v>
      </c>
      <c r="L6223">
        <v>4.7</v>
      </c>
      <c r="M6223">
        <v>9939</v>
      </c>
      <c r="O6223" t="s">
        <v>25</v>
      </c>
      <c r="P6223" t="s">
        <v>3586</v>
      </c>
      <c r="Q6223" t="s">
        <v>3587</v>
      </c>
    </row>
    <row r="6224" spans="1:17" ht="15.5" x14ac:dyDescent="0.35">
      <c r="A6224" s="3" t="str">
        <f>HYPERLINK("https://edmondsonsupply.com/collections/electricians-tools/products/klein-tools-51611-1-2-inch-angle-setter%E2%84%A2", "https://edmondsonsupply.com/collections/electricians-tools/products/klein-tools-51611-1-2-inch-angle-setter%E2%84%A2")</f>
        <v>https://edmondsonsupply.com/collections/electricians-tools/products/klein-tools-51611-1-2-inch-angle-setter%E2%84%A2</v>
      </c>
      <c r="B6224" s="3" t="str">
        <f>HYPERLINK("https://edmondsonsupply.com/products/klein-tools-51611-1-2-inch-angle-setter%e2%84%a2", "https://edmondsonsupply.com/products/klein-tools-51611-1-2-inch-angle-setter%e2%84%a2")</f>
        <v>https://edmondsonsupply.com/products/klein-tools-51611-1-2-inch-angle-setter%e2%84%a2</v>
      </c>
      <c r="C6224" t="s">
        <v>6100</v>
      </c>
      <c r="D6224" t="s">
        <v>8302</v>
      </c>
      <c r="E6224" s="3" t="str">
        <f>HYPERLINK("https://www.amazon.com/Klein-Tools-51612-Conduit-Benders/dp/B08L5JZM97/ref=sr_1_5?keywords=Klein+Tools+51611+1%2F2-Inch+Angle+Setter%E2%84%A2&amp;qid=1695174192&amp;sr=8-5", "https://www.amazon.com/Klein-Tools-51612-Conduit-Benders/dp/B08L5JZM97/ref=sr_1_5?keywords=Klein+Tools+51611+1%2F2-Inch+Angle+Setter%E2%84%A2&amp;qid=1695174192&amp;sr=8-5")</f>
        <v>https://www.amazon.com/Klein-Tools-51612-Conduit-Benders/dp/B08L5JZM97/ref=sr_1_5?keywords=Klein+Tools+51611+1%2F2-Inch+Angle+Setter%E2%84%A2&amp;qid=1695174192&amp;sr=8-5</v>
      </c>
      <c r="F6224" t="s">
        <v>8303</v>
      </c>
      <c r="G6224" t="e">
        <f ca="1">_xludf.IMAGE("https://edmondsonsupply.com/cdn/shop/products/51611.jpg?v=1661976456")</f>
        <v>#NAME?</v>
      </c>
      <c r="H6224" t="e">
        <f ca="1">_xludf.IMAGE("https://m.media-amazon.com/images/I/51x8cPtPWrL._AC_UL320_.jpg")</f>
        <v>#NAME?</v>
      </c>
      <c r="I6224" t="s">
        <v>1427</v>
      </c>
      <c r="J6224">
        <v>9.82</v>
      </c>
      <c r="K6224" s="4">
        <v>-1.4999999999999999E-2</v>
      </c>
      <c r="L6224">
        <v>4.2</v>
      </c>
      <c r="M6224">
        <v>97</v>
      </c>
      <c r="O6224" t="s">
        <v>25</v>
      </c>
      <c r="P6224" t="s">
        <v>6045</v>
      </c>
      <c r="Q6224" t="s">
        <v>6103</v>
      </c>
    </row>
    <row r="6225" spans="1:17" ht="15.5" x14ac:dyDescent="0.35">
      <c r="A6225" s="3" t="str">
        <f>HYPERLINK("https://edmondsonsupply.com/collections/electricians-tools/products/klein-tools-51612-3-4-inch-angle-setter%E2%84%A2", "https://edmondsonsupply.com/collections/electricians-tools/products/klein-tools-51612-3-4-inch-angle-setter%E2%84%A2")</f>
        <v>https://edmondsonsupply.com/collections/electricians-tools/products/klein-tools-51612-3-4-inch-angle-setter%E2%84%A2</v>
      </c>
      <c r="B6225" s="3" t="str">
        <f>HYPERLINK("https://edmondsonsupply.com/products/klein-tools-51612-3-4-inch-angle-setter%e2%84%a2", "https://edmondsonsupply.com/products/klein-tools-51612-3-4-inch-angle-setter%e2%84%a2")</f>
        <v>https://edmondsonsupply.com/products/klein-tools-51612-3-4-inch-angle-setter%e2%84%a2</v>
      </c>
      <c r="C6225" t="s">
        <v>6042</v>
      </c>
      <c r="D6225" t="s">
        <v>8302</v>
      </c>
      <c r="E6225" s="3" t="str">
        <f>HYPERLINK("https://www.amazon.com/Klein-Tools-51612-Conduit-Benders/dp/B08L5JZM97/ref=sr_1_1?keywords=Klein+Tools+51612+3%2F4-Inch+Angle+Setter%E2%84%A2&amp;qid=1695174172&amp;sr=8-1", "https://www.amazon.com/Klein-Tools-51612-Conduit-Benders/dp/B08L5JZM97/ref=sr_1_1?keywords=Klein+Tools+51612+3%2F4-Inch+Angle+Setter%E2%84%A2&amp;qid=1695174172&amp;sr=8-1")</f>
        <v>https://www.amazon.com/Klein-Tools-51612-Conduit-Benders/dp/B08L5JZM97/ref=sr_1_1?keywords=Klein+Tools+51612+3%2F4-Inch+Angle+Setter%E2%84%A2&amp;qid=1695174172&amp;sr=8-1</v>
      </c>
      <c r="F6225" t="s">
        <v>8303</v>
      </c>
      <c r="G6225" t="e">
        <f ca="1">_xludf.IMAGE("https://edmondsonsupply.com/cdn/shop/products/51612.jpg?v=1661977736")</f>
        <v>#NAME?</v>
      </c>
      <c r="H6225" t="e">
        <f ca="1">_xludf.IMAGE("https://m.media-amazon.com/images/I/51x8cPtPWrL._AC_UL320_.jpg")</f>
        <v>#NAME?</v>
      </c>
      <c r="I6225" t="s">
        <v>1427</v>
      </c>
      <c r="J6225">
        <v>9.82</v>
      </c>
      <c r="K6225" s="4">
        <v>-1.4999999999999999E-2</v>
      </c>
      <c r="L6225">
        <v>4.2</v>
      </c>
      <c r="M6225">
        <v>97</v>
      </c>
      <c r="O6225" t="s">
        <v>25</v>
      </c>
      <c r="P6225" t="s">
        <v>6045</v>
      </c>
      <c r="Q6225" t="s">
        <v>6046</v>
      </c>
    </row>
    <row r="6226" spans="1:17" ht="15.5" x14ac:dyDescent="0.35">
      <c r="A6226" s="3" t="str">
        <f>HYPERLINK("https://edmondsonsupply.com/collections/electricians-tools/products/klein-tools-3005cr-ratcheting-crimper-10-22-awg", "https://edmondsonsupply.com/collections/electricians-tools/products/klein-tools-3005cr-ratcheting-crimper-10-22-awg")</f>
        <v>https://edmondsonsupply.com/collections/electricians-tools/products/klein-tools-3005cr-ratcheting-crimper-10-22-awg</v>
      </c>
      <c r="B6226" s="3" t="str">
        <f>HYPERLINK("https://edmondsonsupply.com/products/klein-tools-3005cr-ratcheting-crimper-10-22-awg", "https://edmondsonsupply.com/products/klein-tools-3005cr-ratcheting-crimper-10-22-awg")</f>
        <v>https://edmondsonsupply.com/products/klein-tools-3005cr-ratcheting-crimper-10-22-awg</v>
      </c>
      <c r="C6226" t="s">
        <v>1987</v>
      </c>
      <c r="D6226" t="s">
        <v>4857</v>
      </c>
      <c r="E6226" s="3" t="str">
        <f>HYPERLINK("https://www.amazon.com/Klein-Tools-Ratcheting-Crimper-10-22/dp/B07WMB61J5/ref=sr_1_1?keywords=Klein+Tools+3005CR+Ratcheting+Crimper%2C+10-22+AWG+-+Insulated+Terminals&amp;qid=1695173864&amp;sr=8-1", "https://www.amazon.com/Klein-Tools-Ratcheting-Crimper-10-22/dp/B07WMB61J5/ref=sr_1_1?keywords=Klein+Tools+3005CR+Ratcheting+Crimper%2C+10-22+AWG+-+Insulated+Terminals&amp;qid=1695173864&amp;sr=8-1")</f>
        <v>https://www.amazon.com/Klein-Tools-Ratcheting-Crimper-10-22/dp/B07WMB61J5/ref=sr_1_1?keywords=Klein+Tools+3005CR+Ratcheting+Crimper%2C+10-22+AWG+-+Insulated+Terminals&amp;qid=1695173864&amp;sr=8-1</v>
      </c>
      <c r="F6226" t="s">
        <v>4858</v>
      </c>
      <c r="G6226" t="e">
        <f ca="1">_xludf.IMAGE("https://edmondsonsupply.com/cdn/shop/products/3005cr.jpg?v=1587146892")</f>
        <v>#NAME?</v>
      </c>
      <c r="H6226" t="e">
        <f ca="1">_xludf.IMAGE("https://m.media-amazon.com/images/I/412xzN1PKSL._AC_UL320_.jpg")</f>
        <v>#NAME?</v>
      </c>
      <c r="I6226" t="s">
        <v>824</v>
      </c>
      <c r="J6226">
        <v>29.48</v>
      </c>
      <c r="K6226" s="4">
        <v>-1.6299999999999999E-2</v>
      </c>
      <c r="L6226">
        <v>4.8</v>
      </c>
      <c r="M6226">
        <v>7013</v>
      </c>
      <c r="O6226" t="s">
        <v>25</v>
      </c>
      <c r="P6226" t="s">
        <v>1990</v>
      </c>
      <c r="Q6226" t="s">
        <v>1991</v>
      </c>
    </row>
    <row r="6227" spans="1:17" ht="15.5" x14ac:dyDescent="0.35">
      <c r="A6227"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6227"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6227" t="s">
        <v>3227</v>
      </c>
      <c r="D6227" t="s">
        <v>4861</v>
      </c>
      <c r="E6227" s="3" t="str">
        <f>HYPERLINK("https://www.amazon.com/Klein-Tools-69355-Electrical-Test/dp/B09SVQQFZX/ref=sr_1_4?keywords=Klein+Tools+MM320KIT+Digital+Multimeter+Electrical+Test+Kit&amp;qid=1695173860&amp;sr=8-4", "https://www.amazon.com/Klein-Tools-69355-Electrical-Test/dp/B09SVQQFZX/ref=sr_1_4?keywords=Klein+Tools+MM320KIT+Digital+Multimeter+Electrical+Test+Kit&amp;qid=1695173860&amp;sr=8-4")</f>
        <v>https://www.amazon.com/Klein-Tools-69355-Electrical-Test/dp/B09SVQQFZX/ref=sr_1_4?keywords=Klein+Tools+MM320KIT+Digital+Multimeter+Electrical+Test+Kit&amp;qid=1695173860&amp;sr=8-4</v>
      </c>
      <c r="F6227" t="s">
        <v>4862</v>
      </c>
      <c r="G6227" t="e">
        <f ca="1">_xludf.IMAGE("https://edmondsonsupply.com/cdn/shop/products/mm320kit_photo.jpg?v=1660756496")</f>
        <v>#NAME?</v>
      </c>
      <c r="H6227" t="e">
        <f ca="1">_xludf.IMAGE("https://m.media-amazon.com/images/I/51heXSegywL._AC_UL320_.jpg")</f>
        <v>#NAME?</v>
      </c>
      <c r="I6227" t="s">
        <v>380</v>
      </c>
      <c r="J6227">
        <v>49.12</v>
      </c>
      <c r="K6227" s="4">
        <v>-1.7000000000000001E-2</v>
      </c>
      <c r="L6227">
        <v>4.7</v>
      </c>
      <c r="M6227">
        <v>406</v>
      </c>
      <c r="O6227" t="s">
        <v>25</v>
      </c>
      <c r="P6227" t="s">
        <v>3230</v>
      </c>
      <c r="Q6227" t="s">
        <v>3231</v>
      </c>
    </row>
    <row r="6228" spans="1:17" ht="15.5" x14ac:dyDescent="0.35">
      <c r="A6228" s="3" t="str">
        <f>HYPERLINK("https://edmondsonsupply.com/collections/electricians-tools/products/klein-tools-506-15-adjustable-wrench-standard-capacity-15-inch", "https://edmondsonsupply.com/collections/electricians-tools/products/klein-tools-506-15-adjustable-wrench-standard-capacity-15-inch")</f>
        <v>https://edmondsonsupply.com/collections/electricians-tools/products/klein-tools-506-15-adjustable-wrench-standard-capacity-15-inch</v>
      </c>
      <c r="B6228" s="3" t="str">
        <f>HYPERLINK("https://edmondsonsupply.com/products/klein-tools-506-15-adjustable-wrench-standard-capacity-15-inch", "https://edmondsonsupply.com/products/klein-tools-506-15-adjustable-wrench-standard-capacity-15-inch")</f>
        <v>https://edmondsonsupply.com/products/klein-tools-506-15-adjustable-wrench-standard-capacity-15-inch</v>
      </c>
      <c r="C6228" t="s">
        <v>8304</v>
      </c>
      <c r="D6228" t="s">
        <v>8305</v>
      </c>
      <c r="E6228" s="3" t="str">
        <f>HYPERLINK("https://www.amazon.com/Klein-Tools-Adjustable-Standard-Capacity/dp/B00093DZ2I/ref=sr_1_1?keywords=Klein+Tools+506-15+Adjustable+Wrench+Standard+Capacity%2C+15-Inch&amp;qid=1695174233&amp;sr=8-1", "https://www.amazon.com/Klein-Tools-Adjustable-Standard-Capacity/dp/B00093DZ2I/ref=sr_1_1?keywords=Klein+Tools+506-15+Adjustable+Wrench+Standard+Capacity%2C+15-Inch&amp;qid=1695174233&amp;sr=8-1")</f>
        <v>https://www.amazon.com/Klein-Tools-Adjustable-Standard-Capacity/dp/B00093DZ2I/ref=sr_1_1?keywords=Klein+Tools+506-15+Adjustable+Wrench+Standard+Capacity%2C+15-Inch&amp;qid=1695174233&amp;sr=8-1</v>
      </c>
      <c r="F6228" t="s">
        <v>8306</v>
      </c>
      <c r="G6228" t="e">
        <f ca="1">_xludf.IMAGE("https://edmondsonsupply.com/cdn/shop/products/50615.jpg?v=1646140297")</f>
        <v>#NAME?</v>
      </c>
      <c r="H6228" t="e">
        <f ca="1">_xludf.IMAGE("https://m.media-amazon.com/images/I/51T7pAaitgL._AC_UL320_.jpg")</f>
        <v>#NAME?</v>
      </c>
      <c r="I6228" t="s">
        <v>4100</v>
      </c>
      <c r="J6228">
        <v>74.66</v>
      </c>
      <c r="K6228" s="4">
        <v>-1.7500000000000002E-2</v>
      </c>
      <c r="L6228">
        <v>4.5</v>
      </c>
      <c r="M6228">
        <v>7</v>
      </c>
      <c r="O6228" t="s">
        <v>25</v>
      </c>
      <c r="P6228" t="s">
        <v>8307</v>
      </c>
      <c r="Q6228" t="s">
        <v>8308</v>
      </c>
    </row>
    <row r="6229" spans="1:17" ht="15.5" x14ac:dyDescent="0.35">
      <c r="A6229"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6229"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6229" t="s">
        <v>6755</v>
      </c>
      <c r="D6229" t="s">
        <v>6755</v>
      </c>
      <c r="E6229" s="3" t="str">
        <f>HYPERLINK("https://www.amazon.com/Insulated-Screwdriver-Klein-Tools-602-4-INS/dp/B0006M6Y6Q/ref=sr_1_1?keywords=Klein+Tools+602-4-INS+1%2F4-Inch+Cabinet+Tip+Insulated+Screwdriver%2C+4-Inch&amp;qid=1695174266&amp;sr=8-1", "https://www.amazon.com/Insulated-Screwdriver-Klein-Tools-602-4-INS/dp/B0006M6Y6Q/ref=sr_1_1?keywords=Klein+Tools+602-4-INS+1%2F4-Inch+Cabinet+Tip+Insulated+Screwdriver%2C+4-Inch&amp;qid=1695174266&amp;sr=8-1")</f>
        <v>https://www.amazon.com/Insulated-Screwdriver-Klein-Tools-602-4-INS/dp/B0006M6Y6Q/ref=sr_1_1?keywords=Klein+Tools+602-4-INS+1%2F4-Inch+Cabinet+Tip+Insulated+Screwdriver%2C+4-Inch&amp;qid=1695174266&amp;sr=8-1</v>
      </c>
      <c r="F6229" t="s">
        <v>8309</v>
      </c>
      <c r="G6229" t="e">
        <f ca="1">_xludf.IMAGE("https://edmondsonsupply.com/cdn/shop/products/602-4-ins-photo.jpg?v=1633031051")</f>
        <v>#NAME?</v>
      </c>
      <c r="H6229" t="e">
        <f ca="1">_xludf.IMAGE("https://m.media-amazon.com/images/I/417fQptv8KL._AC_UL320_.jpg")</f>
        <v>#NAME?</v>
      </c>
      <c r="I6229" t="s">
        <v>3185</v>
      </c>
      <c r="J6229">
        <v>20.62</v>
      </c>
      <c r="K6229" s="4">
        <v>-1.7600000000000001E-2</v>
      </c>
      <c r="L6229">
        <v>4.8</v>
      </c>
      <c r="M6229">
        <v>1064</v>
      </c>
      <c r="O6229" t="s">
        <v>25</v>
      </c>
      <c r="P6229" t="s">
        <v>6758</v>
      </c>
      <c r="Q6229" t="s">
        <v>6759</v>
      </c>
    </row>
    <row r="6230" spans="1:17" ht="15.5" x14ac:dyDescent="0.35">
      <c r="A6230" s="3" t="str">
        <f>HYPERLINK("https://edmondsonsupply.com/collections/electricians-tools/products/klein-tools-44001-blk-black-lightweight-lockback-knife-2-1-2-inch", "https://edmondsonsupply.com/collections/electricians-tools/products/klein-tools-44001-blk-black-lightweight-lockback-knife-2-1-2-inch")</f>
        <v>https://edmondsonsupply.com/collections/electricians-tools/products/klein-tools-44001-blk-black-lightweight-lockback-knife-2-1-2-inch</v>
      </c>
      <c r="B6230" s="3" t="str">
        <f>HYPERLINK("https://edmondsonsupply.com/products/klein-tools-44001-blk-black-lightweight-lockback-knife-2-1-2-inch", "https://edmondsonsupply.com/products/klein-tools-44001-blk-black-lightweight-lockback-knife-2-1-2-inch")</f>
        <v>https://edmondsonsupply.com/products/klein-tools-44001-blk-black-lightweight-lockback-knife-2-1-2-inch</v>
      </c>
      <c r="C6230" t="s">
        <v>7786</v>
      </c>
      <c r="D6230" t="s">
        <v>7053</v>
      </c>
      <c r="E6230" s="3" t="str">
        <f>HYPERLINK("https://www.amazon.com/Lightweight-Drop-Point-Klein-Tools-44001-BLK/dp/B0026T18RW/ref=sr_1_1?keywords=Klein+Tools+44001-BLK+Black+Lightweight+Lockback+Knife%2C+2-1%2F2-Inch&amp;qid=1695174306&amp;sr=8-1", "https://www.amazon.com/Lightweight-Drop-Point-Klein-Tools-44001-BLK/dp/B0026T18RW/ref=sr_1_1?keywords=Klein+Tools+44001-BLK+Black+Lightweight+Lockback+Knife%2C+2-1%2F2-Inch&amp;qid=1695174306&amp;sr=8-1")</f>
        <v>https://www.amazon.com/Lightweight-Drop-Point-Klein-Tools-44001-BLK/dp/B0026T18RW/ref=sr_1_1?keywords=Klein+Tools+44001-BLK+Black+Lightweight+Lockback+Knife%2C+2-1%2F2-Inch&amp;qid=1695174306&amp;sr=8-1</v>
      </c>
      <c r="F6230" t="s">
        <v>7054</v>
      </c>
      <c r="G6230" t="e">
        <f ca="1">_xludf.IMAGE("https://edmondsonsupply.com/cdn/shop/products/44001-blk.jpg?v=1633030819")</f>
        <v>#NAME?</v>
      </c>
      <c r="H6230" t="e">
        <f ca="1">_xludf.IMAGE("https://m.media-amazon.com/images/I/41DnZjhhmnL._AC_UL320_.jpg")</f>
        <v>#NAME?</v>
      </c>
      <c r="I6230" t="s">
        <v>3436</v>
      </c>
      <c r="J6230">
        <v>47.14</v>
      </c>
      <c r="K6230" s="4">
        <v>-1.77E-2</v>
      </c>
      <c r="L6230">
        <v>4.5</v>
      </c>
      <c r="M6230">
        <v>68</v>
      </c>
      <c r="O6230" t="s">
        <v>25</v>
      </c>
      <c r="P6230" t="s">
        <v>7787</v>
      </c>
      <c r="Q6230" t="s">
        <v>7788</v>
      </c>
    </row>
    <row r="6231" spans="1:17" ht="15.5" x14ac:dyDescent="0.35">
      <c r="A6231" s="3" t="str">
        <f>HYPERLINK("https://edmondsonsupply.com/collections/electricians-tools/products/fluke-tlk289-industrial-master-test-lead-set", "https://edmondsonsupply.com/collections/electricians-tools/products/fluke-tlk289-industrial-master-test-lead-set")</f>
        <v>https://edmondsonsupply.com/collections/electricians-tools/products/fluke-tlk289-industrial-master-test-lead-set</v>
      </c>
      <c r="B6231" s="3" t="str">
        <f>HYPERLINK("https://edmondsonsupply.com/products/fluke-tlk289-industrial-master-test-lead-set", "https://edmondsonsupply.com/products/fluke-tlk289-industrial-master-test-lead-set")</f>
        <v>https://edmondsonsupply.com/products/fluke-tlk289-industrial-master-test-lead-set</v>
      </c>
      <c r="C6231" t="s">
        <v>8310</v>
      </c>
      <c r="D6231" t="s">
        <v>8310</v>
      </c>
      <c r="E6231" s="3" t="str">
        <f>HYPERLINK("https://www.amazon.com/Fluke-TLK289-Industrial-Master-Test/dp/B002IKE1KU/ref=sr_1_1?keywords=Fluke+TLK289+Industrial+Master+Test+Lead+Set&amp;qid=1695174240&amp;sr=8-1", "https://www.amazon.com/Fluke-TLK289-Industrial-Master-Test/dp/B002IKE1KU/ref=sr_1_1?keywords=Fluke+TLK289+Industrial+Master+Test+Lead+Set&amp;qid=1695174240&amp;sr=8-1")</f>
        <v>https://www.amazon.com/Fluke-TLK289-Industrial-Master-Test/dp/B002IKE1KU/ref=sr_1_1?keywords=Fluke+TLK289+Industrial+Master+Test+Lead+Set&amp;qid=1695174240&amp;sr=8-1</v>
      </c>
      <c r="F6231" t="s">
        <v>8311</v>
      </c>
      <c r="G6231" t="e">
        <f ca="1">_xludf.IMAGE("https://edmondsonsupply.com/cdn/shop/products/TLK289_1280x841px_E_NR-23772.jpg?v=1633031191")</f>
        <v>#NAME?</v>
      </c>
      <c r="H6231" t="e">
        <f ca="1">_xludf.IMAGE("https://m.media-amazon.com/images/I/81N4PIDxA5L._AC_UY218_.jpg")</f>
        <v>#NAME?</v>
      </c>
      <c r="I6231" t="s">
        <v>8312</v>
      </c>
      <c r="J6231">
        <v>186.61</v>
      </c>
      <c r="K6231" s="4">
        <v>-1.78E-2</v>
      </c>
      <c r="L6231">
        <v>4.8</v>
      </c>
      <c r="M6231">
        <v>1640</v>
      </c>
      <c r="O6231" t="s">
        <v>25</v>
      </c>
      <c r="P6231" t="s">
        <v>454</v>
      </c>
      <c r="Q6231" t="s">
        <v>8313</v>
      </c>
    </row>
    <row r="6232" spans="1:17" ht="15.5" x14ac:dyDescent="0.35">
      <c r="A6232" s="3" t="str">
        <f>HYPERLINK("https://edmondsonsupply.com/collections/electricians-tools/products/klein-tools-jth9m6-6-mm-hex-key-journeyman%E2%84%A2-t-handle-9-inch", "https://edmondsonsupply.com/collections/electricians-tools/products/klein-tools-jth9m6-6-mm-hex-key-journeyman%E2%84%A2-t-handle-9-inch")</f>
        <v>https://edmondsonsupply.com/collections/electricians-tools/products/klein-tools-jth9m6-6-mm-hex-key-journeyman%E2%84%A2-t-handle-9-inch</v>
      </c>
      <c r="B6232" s="3" t="str">
        <f>HYPERLINK("https://edmondsonsupply.com/products/klein-tools-jth9m6-6-mm-hex-key-journeyman%e2%84%a2-t-handle-9-inch", "https://edmondsonsupply.com/products/klein-tools-jth9m6-6-mm-hex-key-journeyman%e2%84%a2-t-handle-9-inch")</f>
        <v>https://edmondsonsupply.com/products/klein-tools-jth9m6-6-mm-hex-key-journeyman%e2%84%a2-t-handle-9-inch</v>
      </c>
      <c r="C6232" t="s">
        <v>6987</v>
      </c>
      <c r="D6232" t="s">
        <v>3905</v>
      </c>
      <c r="E6232" s="3" t="str">
        <f>HYPERLINK("https://www.amazon.com/Journeyman-T-Handle-Klein-Tools-JTH9M3/dp/B005G3HJ28/ref=sr_1_7?keywords=Klein+Tools+JTH9M6+6+mm+Hex+Key%2C+Journeyman%E2%84%A2+T-Handle%2C+9-Inch&amp;qid=1695174139&amp;sr=8-7", "https://www.amazon.com/Journeyman-T-Handle-Klein-Tools-JTH9M3/dp/B005G3HJ28/ref=sr_1_7?keywords=Klein+Tools+JTH9M6+6+mm+Hex+Key%2C+Journeyman%E2%84%A2+T-Handle%2C+9-Inch&amp;qid=1695174139&amp;sr=8-7")</f>
        <v>https://www.amazon.com/Journeyman-T-Handle-Klein-Tools-JTH9M3/dp/B005G3HJ28/ref=sr_1_7?keywords=Klein+Tools+JTH9M6+6+mm+Hex+Key%2C+Journeyman%E2%84%A2+T-Handle%2C+9-Inch&amp;qid=1695174139&amp;sr=8-7</v>
      </c>
      <c r="F6232" t="s">
        <v>3906</v>
      </c>
      <c r="G6232" t="e">
        <f ca="1">_xludf.IMAGE("https://edmondsonsupply.com/cdn/shop/products/jth6m8_8e3ac188-6806-4676-8198-2058bbbd4836.jpg?v=1664891890")</f>
        <v>#NAME?</v>
      </c>
      <c r="H6232" t="e">
        <f ca="1">_xludf.IMAGE("https://m.media-amazon.com/images/I/51MZtGjDOtL._AC_UL320_.jpg")</f>
        <v>#NAME?</v>
      </c>
      <c r="I6232" t="s">
        <v>2639</v>
      </c>
      <c r="J6232">
        <v>5.88</v>
      </c>
      <c r="K6232" s="4">
        <v>-1.84E-2</v>
      </c>
      <c r="L6232">
        <v>4.5999999999999996</v>
      </c>
      <c r="M6232">
        <v>179</v>
      </c>
      <c r="O6232" t="s">
        <v>25</v>
      </c>
      <c r="P6232" t="s">
        <v>6988</v>
      </c>
      <c r="Q6232" t="s">
        <v>6989</v>
      </c>
    </row>
    <row r="6233" spans="1:17" ht="15.5" x14ac:dyDescent="0.35">
      <c r="A6233" s="3" t="str">
        <f>HYPERLINK("https://edmondsonsupply.com/collections/electricians-tools/products/klein-tools-jth4e09-9-64-inch-hex-key-journeyman-t-handle-4-inch", "https://edmondsonsupply.com/collections/electricians-tools/products/klein-tools-jth4e09-9-64-inch-hex-key-journeyman-t-handle-4-inch")</f>
        <v>https://edmondsonsupply.com/collections/electricians-tools/products/klein-tools-jth4e09-9-64-inch-hex-key-journeyman-t-handle-4-inch</v>
      </c>
      <c r="B6233" s="3" t="str">
        <f>HYPERLINK("https://edmondsonsupply.com/products/klein-tools-jth4e09-9-64-inch-hex-key-journeyman-t-handle-4-inch", "https://edmondsonsupply.com/products/klein-tools-jth4e09-9-64-inch-hex-key-journeyman-t-handle-4-inch")</f>
        <v>https://edmondsonsupply.com/products/klein-tools-jth4e09-9-64-inch-hex-key-journeyman-t-handle-4-inch</v>
      </c>
      <c r="C6233" t="s">
        <v>6225</v>
      </c>
      <c r="D6233" t="s">
        <v>8314</v>
      </c>
      <c r="E6233" s="3" t="str">
        <f>HYPERLINK("https://www.amazon.com/Journeyman-T-Handle-Klein-Tools-JTH4E09/dp/B004ITO3H0/ref=sr_1_1?keywords=Klein+Tools+JTH4E09+9%2F64-Inch+Hex+Key+Journeyman+T-Handle+4-Inch&amp;qid=1695174238&amp;sr=8-1", "https://www.amazon.com/Journeyman-T-Handle-Klein-Tools-JTH4E09/dp/B004ITO3H0/ref=sr_1_1?keywords=Klein+Tools+JTH4E09+9%2F64-Inch+Hex+Key+Journeyman+T-Handle+4-Inch&amp;qid=1695174238&amp;sr=8-1")</f>
        <v>https://www.amazon.com/Journeyman-T-Handle-Klein-Tools-JTH4E09/dp/B004ITO3H0/ref=sr_1_1?keywords=Klein+Tools+JTH4E09+9%2F64-Inch+Hex+Key+Journeyman+T-Handle+4-Inch&amp;qid=1695174238&amp;sr=8-1</v>
      </c>
      <c r="F6233" t="s">
        <v>8315</v>
      </c>
      <c r="G6233" t="e">
        <f ca="1">_xludf.IMAGE("https://edmondsonsupply.com/cdn/shop/products/jth4e06_be5118a6-2e9d-44f5-81ad-c027572dd2d3.jpg?v=1635981570")</f>
        <v>#NAME?</v>
      </c>
      <c r="H6233" t="e">
        <f ca="1">_xludf.IMAGE("https://m.media-amazon.com/images/I/413bgBCbQLL._AC_UL320_.jpg")</f>
        <v>#NAME?</v>
      </c>
      <c r="I6233" t="s">
        <v>6228</v>
      </c>
      <c r="J6233">
        <v>3.72</v>
      </c>
      <c r="K6233" s="4">
        <v>-1.8499999999999999E-2</v>
      </c>
      <c r="L6233">
        <v>4.8</v>
      </c>
      <c r="M6233">
        <v>2479</v>
      </c>
      <c r="O6233" t="s">
        <v>25</v>
      </c>
      <c r="P6233" t="s">
        <v>6229</v>
      </c>
      <c r="Q6233" t="s">
        <v>6230</v>
      </c>
    </row>
    <row r="6234" spans="1:17" ht="15.5" x14ac:dyDescent="0.35">
      <c r="A6234"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6234" s="3" t="str">
        <f>HYPERLINK("https://edmondsonsupply.com/products/diablo-tools-d0760x-7-1-4-in-x-60-tooth-ultra-finish-saw-blade", "https://edmondsonsupply.com/products/diablo-tools-d0760x-7-1-4-in-x-60-tooth-ultra-finish-saw-blade")</f>
        <v>https://edmondsonsupply.com/products/diablo-tools-d0760x-7-1-4-in-x-60-tooth-ultra-finish-saw-blade</v>
      </c>
      <c r="C6234" t="s">
        <v>6011</v>
      </c>
      <c r="D6234" t="s">
        <v>7339</v>
      </c>
      <c r="E6234" s="3" t="str">
        <f>HYPERLINK("https://www.amazon.com/Diablo-Ultra-Finish-Circular-Blade/dp/B071X5DBWR/ref=sr_1_3?keywords=Diablo+Tools+D0760X+7-1%2F4+in.+x+60+Tooth+Ultra+Finish+Saw+Blade&amp;qid=1695174054&amp;sr=8-3", "https://www.amazon.com/Diablo-Ultra-Finish-Circular-Blade/dp/B071X5DBWR/ref=sr_1_3?keywords=Diablo+Tools+D0760X+7-1%2F4+in.+x+60+Tooth+Ultra+Finish+Saw+Blade&amp;qid=1695174054&amp;sr=8-3")</f>
        <v>https://www.amazon.com/Diablo-Ultra-Finish-Circular-Blade/dp/B071X5DBWR/ref=sr_1_3?keywords=Diablo+Tools+D0760X+7-1%2F4+in.+x+60+Tooth+Ultra+Finish+Saw+Blade&amp;qid=1695174054&amp;sr=8-3</v>
      </c>
      <c r="F6234" t="s">
        <v>7340</v>
      </c>
      <c r="G6234" t="e">
        <f ca="1">_xludf.IMAGE("https://edmondsonsupply.com/cdn/shop/products/vlfiqrihhfwf5bxirasx.webp?v=1678977162")</f>
        <v>#NAME?</v>
      </c>
      <c r="H6234" t="e">
        <f ca="1">_xludf.IMAGE("https://m.media-amazon.com/images/I/61JlPZnNLWL._AC_UL320_.jpg")</f>
        <v>#NAME?</v>
      </c>
      <c r="I6234" t="s">
        <v>893</v>
      </c>
      <c r="J6234">
        <v>19.600000000000001</v>
      </c>
      <c r="K6234" s="4">
        <v>-1.8499999999999999E-2</v>
      </c>
      <c r="L6234">
        <v>4.8</v>
      </c>
      <c r="M6234">
        <v>145</v>
      </c>
      <c r="O6234" t="s">
        <v>25</v>
      </c>
      <c r="P6234" t="s">
        <v>6014</v>
      </c>
      <c r="Q6234" t="s">
        <v>6015</v>
      </c>
    </row>
    <row r="6235" spans="1:17" ht="15.5" x14ac:dyDescent="0.35">
      <c r="A6235"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6235" s="3" t="str">
        <f>HYPERLINK("https://edmondsonsupply.com/products/klein-tools-646-1-4-1-4-inch-nut-driver-with-6-inch-hollow-shaft", "https://edmondsonsupply.com/products/klein-tools-646-1-4-1-4-inch-nut-driver-with-6-inch-hollow-shaft")</f>
        <v>https://edmondsonsupply.com/products/klein-tools-646-1-4-1-4-inch-nut-driver-with-6-inch-hollow-shaft</v>
      </c>
      <c r="C6235" t="s">
        <v>1478</v>
      </c>
      <c r="D6235" t="s">
        <v>4859</v>
      </c>
      <c r="E6235" s="3" t="str">
        <f>HYPERLINK("https://www.amazon.com/4-Inch-Driver-Cushion-Klein-Tools/dp/B000LEBON2/ref=sr_1_1?keywords=Klein+Tools+646-1%2F4+1%2F4-Inch+Nut+Driver+with+6-Inch+Hollow+Shaft&amp;qid=1695173897&amp;sr=8-1", "https://www.amazon.com/4-Inch-Driver-Cushion-Klein-Tools/dp/B000LEBON2/ref=sr_1_1?keywords=Klein+Tools+646-1%2F4+1%2F4-Inch+Nut+Driver+with+6-Inch+Hollow+Shaft&amp;qid=1695173897&amp;sr=8-1")</f>
        <v>https://www.amazon.com/4-Inch-Driver-Cushion-Klein-Tools/dp/B000LEBON2/ref=sr_1_1?keywords=Klein+Tools+646-1%2F4+1%2F4-Inch+Nut+Driver+with+6-Inch+Hollow+Shaft&amp;qid=1695173897&amp;sr=8-1</v>
      </c>
      <c r="F6235" t="s">
        <v>4860</v>
      </c>
      <c r="G6235" t="e">
        <f ca="1">_xludf.IMAGE("https://edmondsonsupply.com/cdn/shop/products/646-1-2_08d87fa9-eac4-4869-8d3b-bb680d4b1d53.jpg?v=1587150676")</f>
        <v>#NAME?</v>
      </c>
      <c r="H6235" t="e">
        <f ca="1">_xludf.IMAGE("https://m.media-amazon.com/images/I/31sSFYGqdfL._AC_UL320_.jpg")</f>
        <v>#NAME?</v>
      </c>
      <c r="I6235" t="s">
        <v>1003</v>
      </c>
      <c r="J6235">
        <v>7.84</v>
      </c>
      <c r="K6235" s="4">
        <v>-1.8800000000000001E-2</v>
      </c>
      <c r="L6235">
        <v>4.8</v>
      </c>
      <c r="M6235">
        <v>2497</v>
      </c>
      <c r="O6235" t="s">
        <v>25</v>
      </c>
      <c r="P6235" t="s">
        <v>1481</v>
      </c>
      <c r="Q6235" t="s">
        <v>1482</v>
      </c>
    </row>
    <row r="6236" spans="1:17" ht="15.5" x14ac:dyDescent="0.35">
      <c r="A6236" s="3" t="str">
        <f>HYPERLINK("https://edmondsonsupply.com/collections/electricians-tools/products/klein-tools-5416-tool-bag-bull-pin-and-bolt-pouch-belt-strap-connect-5-x-10-x-9-inch", "https://edmondsonsupply.com/collections/electricians-tools/products/klein-tools-5416-tool-bag-bull-pin-and-bolt-pouch-belt-strap-connect-5-x-10-x-9-inch")</f>
        <v>https://edmondsonsupply.com/collections/electricians-tools/products/klein-tools-5416-tool-bag-bull-pin-and-bolt-pouch-belt-strap-connect-5-x-10-x-9-inch</v>
      </c>
      <c r="B6236" s="3" t="str">
        <f>HYPERLINK("https://edmondsonsupply.com/products/klein-tools-5416-tool-bag-bull-pin-and-bolt-pouch-belt-strap-connect-5-x-10-x-9-inch", "https://edmondsonsupply.com/products/klein-tools-5416-tool-bag-bull-pin-and-bolt-pouch-belt-strap-connect-5-x-10-x-9-inch")</f>
        <v>https://edmondsonsupply.com/products/klein-tools-5416-tool-bag-bull-pin-and-bolt-pouch-belt-strap-connect-5-x-10-x-9-inch</v>
      </c>
      <c r="C6236" t="s">
        <v>6432</v>
      </c>
      <c r="D6236" t="s">
        <v>732</v>
      </c>
      <c r="E6236" s="3" t="str">
        <f>HYPERLINK("https://www.amazon.com/Canvas-Storage-Klein-Tools-5416/dp/B0002RI6JS/ref=sr_1_1?keywords=Klein+Tools+5416+Tool+Bag%2C+Bull-Pin+and+Bolt+Pouch%2C+Belt+Strap+Connect%2C+5+x+10+x+9-Inch&amp;qid=1695174042&amp;sr=8-1", "https://www.amazon.com/Canvas-Storage-Klein-Tools-5416/dp/B0002RI6JS/ref=sr_1_1?keywords=Klein+Tools+5416+Tool+Bag%2C+Bull-Pin+and+Bolt+Pouch%2C+Belt+Strap+Connect%2C+5+x+10+x+9-Inch&amp;qid=1695174042&amp;sr=8-1")</f>
        <v>https://www.amazon.com/Canvas-Storage-Klein-Tools-5416/dp/B0002RI6JS/ref=sr_1_1?keywords=Klein+Tools+5416+Tool+Bag%2C+Bull-Pin+and+Bolt+Pouch%2C+Belt+Strap+Connect%2C+5+x+10+x+9-Inch&amp;qid=1695174042&amp;sr=8-1</v>
      </c>
      <c r="F6236" t="s">
        <v>733</v>
      </c>
      <c r="G6236" t="e">
        <f ca="1">_xludf.IMAGE("https://edmondsonsupply.com/cdn/shop/products/5416.jpg?v=1679664980")</f>
        <v>#NAME?</v>
      </c>
      <c r="H6236" t="e">
        <f ca="1">_xludf.IMAGE("https://m.media-amazon.com/images/I/61w6J+DVn0L._AC_UL320_.jpg")</f>
        <v>#NAME?</v>
      </c>
      <c r="I6236" t="s">
        <v>6242</v>
      </c>
      <c r="J6236">
        <v>17.440000000000001</v>
      </c>
      <c r="K6236" s="4">
        <v>-2.0199999999999999E-2</v>
      </c>
      <c r="L6236">
        <v>4.5999999999999996</v>
      </c>
      <c r="M6236">
        <v>902</v>
      </c>
      <c r="O6236" t="s">
        <v>25</v>
      </c>
      <c r="P6236" t="s">
        <v>6433</v>
      </c>
      <c r="Q6236" t="s">
        <v>6434</v>
      </c>
    </row>
    <row r="6237" spans="1:17" ht="15.5" x14ac:dyDescent="0.35">
      <c r="A6237" s="3" t="str">
        <f>HYPERLINK("https://edmondsonsupply.com/collections/electricians-tools/products/klein-tools-5481-tool-pouch-leather-pocket-tool-organizer-6-pockets-5-75x2-5x10-inch", "https://edmondsonsupply.com/collections/electricians-tools/products/klein-tools-5481-tool-pouch-leather-pocket-tool-organizer-6-pockets-5-75x2-5x10-inch")</f>
        <v>https://edmondsonsupply.com/collections/electricians-tools/products/klein-tools-5481-tool-pouch-leather-pocket-tool-organizer-6-pockets-5-75x2-5x10-inch</v>
      </c>
      <c r="B6237" s="3" t="str">
        <f>HYPERLINK("https://edmondsonsupply.com/products/klein-tools-5481-tool-pouch-leather-pocket-tool-organizer-6-pockets-5-75x2-5x10-inch", "https://edmondsonsupply.com/products/klein-tools-5481-tool-pouch-leather-pocket-tool-organizer-6-pockets-5-75x2-5x10-inch")</f>
        <v>https://edmondsonsupply.com/products/klein-tools-5481-tool-pouch-leather-pocket-tool-organizer-6-pockets-5-75x2-5x10-inch</v>
      </c>
      <c r="C6237" t="s">
        <v>8316</v>
      </c>
      <c r="D6237" t="s">
        <v>8317</v>
      </c>
      <c r="E6237" s="3" t="str">
        <f>HYPERLINK("https://www.amazon.com/Leather-Pocket-Pouch-Klein-Tools/dp/B007V8RY9O/ref=sr_1_1?keywords=Klein+Tools+5481+Tool+Pouch%2C+Leather+Pocket+Tool+Organizer%2C+6-Pockets%2C+5.75x2.5x10-Inch&amp;qid=1695174282&amp;sr=8-1", "https://www.amazon.com/Leather-Pocket-Pouch-Klein-Tools/dp/B007V8RY9O/ref=sr_1_1?keywords=Klein+Tools+5481+Tool+Pouch%2C+Leather+Pocket+Tool+Organizer%2C+6-Pockets%2C+5.75x2.5x10-Inch&amp;qid=1695174282&amp;sr=8-1")</f>
        <v>https://www.amazon.com/Leather-Pocket-Pouch-Klein-Tools/dp/B007V8RY9O/ref=sr_1_1?keywords=Klein+Tools+5481+Tool+Pouch%2C+Leather+Pocket+Tool+Organizer%2C+6-Pockets%2C+5.75x2.5x10-Inch&amp;qid=1695174282&amp;sr=8-1</v>
      </c>
      <c r="F6237" t="s">
        <v>8318</v>
      </c>
      <c r="G6237" t="e">
        <f ca="1">_xludf.IMAGE("https://edmondsonsupply.com/cdn/shop/products/5481.jpg?v=1633030957")</f>
        <v>#NAME?</v>
      </c>
      <c r="H6237" t="e">
        <f ca="1">_xludf.IMAGE("https://m.media-amazon.com/images/I/611EUnJKTbL._AC_UL320_.jpg")</f>
        <v>#NAME?</v>
      </c>
      <c r="I6237" t="s">
        <v>3436</v>
      </c>
      <c r="J6237">
        <v>47</v>
      </c>
      <c r="K6237" s="4">
        <v>-2.06E-2</v>
      </c>
      <c r="L6237">
        <v>4.2</v>
      </c>
      <c r="M6237">
        <v>155</v>
      </c>
      <c r="O6237" t="s">
        <v>25</v>
      </c>
      <c r="P6237" t="s">
        <v>8319</v>
      </c>
      <c r="Q6237" t="s">
        <v>8320</v>
      </c>
    </row>
    <row r="6238" spans="1:17" ht="15.5" x14ac:dyDescent="0.35">
      <c r="A6238"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6238"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6238" t="s">
        <v>6351</v>
      </c>
      <c r="D6238" t="s">
        <v>3163</v>
      </c>
      <c r="E6238" s="3" t="str">
        <f>HYPERLINK("https://www.amazon.com/Journeyman-T-Handle-Klein-Tools-JTH9E14/dp/B004QVAH4I/ref=sr_1_5?keywords=Klein+Tools+JTH9E10+5%2F32-Inch+Hex+Key%2C+Journeyman+T-Handle%2C+9-Inch&amp;qid=1695174218&amp;sr=8-5", "https://www.amazon.com/Journeyman-T-Handle-Klein-Tools-JTH9E14/dp/B004QVAH4I/ref=sr_1_5?keywords=Klein+Tools+JTH9E10+5%2F32-Inch+Hex+Key%2C+Journeyman+T-Handle%2C+9-Inch&amp;qid=1695174218&amp;sr=8-5")</f>
        <v>https://www.amazon.com/Journeyman-T-Handle-Klein-Tools-JTH9E14/dp/B004QVAH4I/ref=sr_1_5?keywords=Klein+Tools+JTH9E10+5%2F32-Inch+Hex+Key%2C+Journeyman+T-Handle%2C+9-Inch&amp;qid=1695174218&amp;sr=8-5</v>
      </c>
      <c r="F6238" t="s">
        <v>3164</v>
      </c>
      <c r="G6238" t="e">
        <f ca="1">_xludf.IMAGE("https://edmondsonsupply.com/cdn/shop/products/jth9e12_37b16542-2f59-465e-8bba-0a543803dfd0.jpg?v=1647892900")</f>
        <v>#NAME?</v>
      </c>
      <c r="H6238" t="e">
        <f ca="1">_xludf.IMAGE("https://m.media-amazon.com/images/I/51Yb8h41vLL._AC_UL320_.jpg")</f>
        <v>#NAME?</v>
      </c>
      <c r="I6238" t="s">
        <v>2389</v>
      </c>
      <c r="J6238">
        <v>7.44</v>
      </c>
      <c r="K6238" s="4">
        <v>-2.1100000000000001E-2</v>
      </c>
      <c r="L6238">
        <v>4.8</v>
      </c>
      <c r="M6238">
        <v>114</v>
      </c>
      <c r="O6238" t="s">
        <v>171</v>
      </c>
      <c r="P6238" t="s">
        <v>138</v>
      </c>
      <c r="Q6238" t="s">
        <v>6352</v>
      </c>
    </row>
    <row r="6239" spans="1:17" ht="15.5" x14ac:dyDescent="0.35">
      <c r="A6239"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6239" s="3" t="str">
        <f>HYPERLINK("https://edmondsonsupply.com/products/diablo-tools-dag1130-1-in-x-7-1-2-in-auger-bit", "https://edmondsonsupply.com/products/diablo-tools-dag1130-1-in-x-7-1-2-in-auger-bit")</f>
        <v>https://edmondsonsupply.com/products/diablo-tools-dag1130-1-in-x-7-1-2-in-auger-bit</v>
      </c>
      <c r="C6239" t="s">
        <v>3530</v>
      </c>
      <c r="D6239" t="s">
        <v>4870</v>
      </c>
      <c r="E6239" s="3" t="str">
        <f>HYPERLINK("https://www.amazon.com/Diablo-Freud-DAG1090-7-1-Auger/dp/B089KW4S6Y/ref=sr_1_4?keywords=Diablo+Tools+DAG1130+1+in.+x+7-1%2F2+in.+Auger+Bit&amp;qid=1695173913&amp;sr=8-4", "https://www.amazon.com/Diablo-Freud-DAG1090-7-1-Auger/dp/B089KW4S6Y/ref=sr_1_4?keywords=Diablo+Tools+DAG1130+1+in.+x+7-1%2F2+in.+Auger+Bit&amp;qid=1695173913&amp;sr=8-4")</f>
        <v>https://www.amazon.com/Diablo-Freud-DAG1090-7-1-Auger/dp/B089KW4S6Y/ref=sr_1_4?keywords=Diablo+Tools+DAG1130+1+in.+x+7-1%2F2+in.+Auger+Bit&amp;qid=1695173913&amp;sr=8-4</v>
      </c>
      <c r="F6239" t="s">
        <v>4871</v>
      </c>
      <c r="G6239" t="e">
        <f ca="1">_xludf.IMAGE("https://edmondsonsupply.com/cdn/shop/products/DAG1130_Main-Image20200712.png?v=1633031124")</f>
        <v>#NAME?</v>
      </c>
      <c r="H6239" t="e">
        <f ca="1">_xludf.IMAGE("https://m.media-amazon.com/images/I/61wiLPAG21L._AC_UL320_.jpg")</f>
        <v>#NAME?</v>
      </c>
      <c r="I6239" t="s">
        <v>3533</v>
      </c>
      <c r="J6239">
        <v>16</v>
      </c>
      <c r="K6239" s="4">
        <v>-2.2599999999999999E-2</v>
      </c>
      <c r="L6239">
        <v>4.4000000000000004</v>
      </c>
      <c r="M6239">
        <v>35</v>
      </c>
      <c r="O6239" t="s">
        <v>25</v>
      </c>
      <c r="P6239" t="s">
        <v>3534</v>
      </c>
      <c r="Q6239" t="s">
        <v>3535</v>
      </c>
    </row>
    <row r="6240" spans="1:17" ht="15.5" x14ac:dyDescent="0.35">
      <c r="A6240"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6240" s="3" t="str">
        <f>HYPERLINK("https://edmondsonsupply.com/products/klein-tools-5141-canvas-bag-4-pk-brown-black-gray-red", "https://edmondsonsupply.com/products/klein-tools-5141-canvas-bag-4-pk-brown-black-gray-red")</f>
        <v>https://edmondsonsupply.com/products/klein-tools-5141-canvas-bag-4-pk-brown-black-gray-red</v>
      </c>
      <c r="C6240" t="s">
        <v>243</v>
      </c>
      <c r="D6240" t="s">
        <v>654</v>
      </c>
      <c r="E6240" s="3" t="str">
        <f>HYPERLINK("https://www.amazon.com/Klein-Tools-Canvas-Zipper-4-25-Inch/dp/B09Z91GLFK/ref=sr_1_2?keywords=Klein+Tools+5141+Zipper+Bags%2C+Canvas+Tool+Pouches+Brown%2FBlack%2FGray%2FRed%2C+4-Pack&amp;qid=1695173934&amp;sr=8-2", "https://www.amazon.com/Klein-Tools-Canvas-Zipper-4-25-Inch/dp/B09Z91GLFK/ref=sr_1_2?keywords=Klein+Tools+5141+Zipper+Bags%2C+Canvas+Tool+Pouches+Brown%2FBlack%2FGray%2FRed%2C+4-Pack&amp;qid=1695173934&amp;sr=8-2")</f>
        <v>https://www.amazon.com/Klein-Tools-Canvas-Zipper-4-25-Inch/dp/B09Z91GLFK/ref=sr_1_2?keywords=Klein+Tools+5141+Zipper+Bags%2C+Canvas+Tool+Pouches+Brown%2FBlack%2FGray%2FRed%2C+4-Pack&amp;qid=1695173934&amp;sr=8-2</v>
      </c>
      <c r="F6240" t="s">
        <v>655</v>
      </c>
      <c r="G6240" t="e">
        <f ca="1">_xludf.IMAGE("https://edmondsonsupply.com/cdn/shop/products/5141.jpg?v=1633030517")</f>
        <v>#NAME?</v>
      </c>
      <c r="H6240" t="e">
        <f ca="1">_xludf.IMAGE("https://m.media-amazon.com/images/I/51OmVOlxWvL._AC_UL320_.jpg")</f>
        <v>#NAME?</v>
      </c>
      <c r="I6240" t="s">
        <v>246</v>
      </c>
      <c r="J6240">
        <v>39</v>
      </c>
      <c r="K6240" s="4">
        <v>-2.4299999999999999E-2</v>
      </c>
      <c r="L6240">
        <v>4.9000000000000004</v>
      </c>
      <c r="M6240">
        <v>15</v>
      </c>
      <c r="O6240" t="s">
        <v>25</v>
      </c>
      <c r="P6240" t="s">
        <v>247</v>
      </c>
      <c r="Q6240" t="s">
        <v>248</v>
      </c>
    </row>
    <row r="6241" spans="1:17" ht="15.5" x14ac:dyDescent="0.35">
      <c r="A6241" s="3" t="str">
        <f>HYPERLINK("https://edmondsonsupply.com/collections/electricians-tools/products/klein-tools-5141-canvas-bag-4-pk-brown-black-gray-red", "https://edmondsonsupply.com/collections/electricians-tools/products/klein-tools-5141-canvas-bag-4-pk-brown-black-gray-red")</f>
        <v>https://edmondsonsupply.com/collections/electricians-tools/products/klein-tools-5141-canvas-bag-4-pk-brown-black-gray-red</v>
      </c>
      <c r="B6241" s="3" t="str">
        <f>HYPERLINK("https://edmondsonsupply.com/products/klein-tools-5141-canvas-bag-4-pk-brown-black-gray-red", "https://edmondsonsupply.com/products/klein-tools-5141-canvas-bag-4-pk-brown-black-gray-red")</f>
        <v>https://edmondsonsupply.com/products/klein-tools-5141-canvas-bag-4-pk-brown-black-gray-red</v>
      </c>
      <c r="C6241" t="s">
        <v>243</v>
      </c>
      <c r="D6241" t="s">
        <v>294</v>
      </c>
      <c r="E6241" s="3" t="str">
        <f>HYPERLINK("https://www.amazon.com/Utility-Zipper-12-5-Inch-Klein-Tools/dp/B007V8RXVI/ref=sr_1_1?keywords=Klein+Tools+5141+Zipper+Bags%2C+Canvas+Tool+Pouches+Brown%2FBlack%2FGray%2FRed%2C+4-Pack&amp;qid=1695173934&amp;sr=8-1", "https://www.amazon.com/Utility-Zipper-12-5-Inch-Klein-Tools/dp/B007V8RXVI/ref=sr_1_1?keywords=Klein+Tools+5141+Zipper+Bags%2C+Canvas+Tool+Pouches+Brown%2FBlack%2FGray%2FRed%2C+4-Pack&amp;qid=1695173934&amp;sr=8-1")</f>
        <v>https://www.amazon.com/Utility-Zipper-12-5-Inch-Klein-Tools/dp/B007V8RXVI/ref=sr_1_1?keywords=Klein+Tools+5141+Zipper+Bags%2C+Canvas+Tool+Pouches+Brown%2FBlack%2FGray%2FRed%2C+4-Pack&amp;qid=1695173934&amp;sr=8-1</v>
      </c>
      <c r="F6241" t="s">
        <v>295</v>
      </c>
      <c r="G6241" t="e">
        <f ca="1">_xludf.IMAGE("https://edmondsonsupply.com/cdn/shop/products/5141.jpg?v=1633030517")</f>
        <v>#NAME?</v>
      </c>
      <c r="H6241" t="e">
        <f ca="1">_xludf.IMAGE("https://m.media-amazon.com/images/I/61K2xaMr+oL._AC_UL320_.jpg")</f>
        <v>#NAME?</v>
      </c>
      <c r="I6241" t="s">
        <v>246</v>
      </c>
      <c r="J6241">
        <v>39</v>
      </c>
      <c r="K6241" s="4">
        <v>-2.4299999999999999E-2</v>
      </c>
      <c r="L6241">
        <v>4.8</v>
      </c>
      <c r="M6241">
        <v>4463</v>
      </c>
      <c r="O6241" t="s">
        <v>25</v>
      </c>
      <c r="P6241" t="s">
        <v>247</v>
      </c>
      <c r="Q6241" t="s">
        <v>248</v>
      </c>
    </row>
    <row r="6242" spans="1:17" ht="15.5" x14ac:dyDescent="0.35">
      <c r="A6242"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6242"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6242" t="s">
        <v>2568</v>
      </c>
      <c r="D6242" t="s">
        <v>4872</v>
      </c>
      <c r="E6242" s="3" t="str">
        <f>HYPERLINK("https://www.amazon.com/Wiha-WIHAA-32088-Insulated-Picofinish/dp/B00SZ6LZMS/ref=sr_1_1?keywords=Wiha+Tools+32088+8+Piece+Insulated+PicoFinish+Precision+Screwdriver+Set&amp;qid=1695173981&amp;sr=8-1", "https://www.amazon.com/Wiha-WIHAA-32088-Insulated-Picofinish/dp/B00SZ6LZMS/ref=sr_1_1?keywords=Wiha+Tools+32088+8+Piece+Insulated+PicoFinish+Precision+Screwdriver+Set&amp;qid=1695173981&amp;sr=8-1")</f>
        <v>https://www.amazon.com/Wiha-WIHAA-32088-Insulated-Picofinish/dp/B00SZ6LZMS/ref=sr_1_1?keywords=Wiha+Tools+32088+8+Piece+Insulated+PicoFinish+Precision+Screwdriver+Set&amp;qid=1695173981&amp;sr=8-1</v>
      </c>
      <c r="F6242" t="s">
        <v>4873</v>
      </c>
      <c r="G6242" t="e">
        <f ca="1">_xludf.IMAGE("https://edmondsonsupply.com/cdn/shop/files/ah1u5hviqxts6itxix4k_1000x_5285634c-51ad-48c4-987e-f1113aaa9ab9.webp?v=1690905519")</f>
        <v>#NAME?</v>
      </c>
      <c r="H6242" t="e">
        <f ca="1">_xludf.IMAGE("https://m.media-amazon.com/images/I/71AgXWTs5SS._AC_UL320_.jpg")</f>
        <v>#NAME?</v>
      </c>
      <c r="I6242" t="s">
        <v>2571</v>
      </c>
      <c r="J6242">
        <v>62.98</v>
      </c>
      <c r="K6242" s="4">
        <v>-2.4299999999999999E-2</v>
      </c>
      <c r="L6242">
        <v>4.8</v>
      </c>
      <c r="M6242">
        <v>174</v>
      </c>
      <c r="O6242" t="s">
        <v>25</v>
      </c>
      <c r="P6242" t="s">
        <v>2572</v>
      </c>
      <c r="Q6242" t="s">
        <v>2573</v>
      </c>
    </row>
    <row r="6243" spans="1:17" ht="15.5" x14ac:dyDescent="0.35">
      <c r="A6243" s="3" t="str">
        <f>HYPERLINK("https://edmondsonsupply.com/collections/electricians-tools/products/klein-tools-rt250-gfci-receptacle-tester-with-lcd", "https://edmondsonsupply.com/collections/electricians-tools/products/klein-tools-rt250-gfci-receptacle-tester-with-lcd")</f>
        <v>https://edmondsonsupply.com/collections/electricians-tools/products/klein-tools-rt250-gfci-receptacle-tester-with-lcd</v>
      </c>
      <c r="B6243" s="3" t="str">
        <f>HYPERLINK("https://edmondsonsupply.com/products/klein-tools-rt250-gfci-receptacle-tester-with-lcd", "https://edmondsonsupply.com/products/klein-tools-rt250-gfci-receptacle-tester-with-lcd")</f>
        <v>https://edmondsonsupply.com/products/klein-tools-rt250-gfci-receptacle-tester-with-lcd</v>
      </c>
      <c r="C6243" t="s">
        <v>6197</v>
      </c>
      <c r="D6243" t="s">
        <v>6643</v>
      </c>
      <c r="E6243" s="3" t="str">
        <f>HYPERLINK("https://www.amazon.com/Receptacle-Electrical-Klein-Tools-RT250/dp/B08QW7K1JJ/ref=sr_1_1?keywords=Klein+Tools+RT250+GFCI+Receptacle+Tester+with+LCD&amp;qid=1695174176&amp;sr=8-1", "https://www.amazon.com/Receptacle-Electrical-Klein-Tools-RT250/dp/B08QW7K1JJ/ref=sr_1_1?keywords=Klein+Tools+RT250+GFCI+Receptacle+Tester+with+LCD&amp;qid=1695174176&amp;sr=8-1")</f>
        <v>https://www.amazon.com/Receptacle-Electrical-Klein-Tools-RT250/dp/B08QW7K1JJ/ref=sr_1_1?keywords=Klein+Tools+RT250+GFCI+Receptacle+Tester+with+LCD&amp;qid=1695174176&amp;sr=8-1</v>
      </c>
      <c r="F6243" t="s">
        <v>6644</v>
      </c>
      <c r="G6243" t="e">
        <f ca="1">_xludf.IMAGE("https://edmondsonsupply.com/cdn/shop/products/rt250_photo_c.jpg?v=1661363824")</f>
        <v>#NAME?</v>
      </c>
      <c r="H6243" t="e">
        <f ca="1">_xludf.IMAGE("https://m.media-amazon.com/images/I/61j28ynJ7bL._AC_UL320_.jpg")</f>
        <v>#NAME?</v>
      </c>
      <c r="I6243" t="s">
        <v>2247</v>
      </c>
      <c r="J6243">
        <v>21.43</v>
      </c>
      <c r="K6243" s="4">
        <v>-2.46E-2</v>
      </c>
      <c r="L6243">
        <v>4.8</v>
      </c>
      <c r="M6243">
        <v>7966</v>
      </c>
      <c r="O6243" t="s">
        <v>25</v>
      </c>
      <c r="P6243" t="s">
        <v>6200</v>
      </c>
      <c r="Q6243" t="s">
        <v>6201</v>
      </c>
    </row>
    <row r="6244" spans="1:17" ht="15.5" x14ac:dyDescent="0.35">
      <c r="A6244"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6244" s="3" t="str">
        <f>HYPERLINK("https://edmondsonsupply.com/products/klein-tools-69445-rare-earth-magnetic-hanger-no-strap", "https://edmondsonsupply.com/products/klein-tools-69445-rare-earth-magnetic-hanger-no-strap")</f>
        <v>https://edmondsonsupply.com/products/klein-tools-69445-rare-earth-magnetic-hanger-no-strap</v>
      </c>
      <c r="C6244" t="s">
        <v>1408</v>
      </c>
      <c r="D6244" t="s">
        <v>4874</v>
      </c>
      <c r="E6244" s="3" t="str">
        <f>HYPERLINK("https://www.amazon.com/Klein-Tools-69445-Magnetic-Multimeters/dp/B08CP568HY/ref=sr_1_1?keywords=Klein+Tools+69445+Rare+Earth+Magnetic+Hanger%2C+no+Strap&amp;qid=1695173881&amp;sr=8-1", "https://www.amazon.com/Klein-Tools-69445-Magnetic-Multimeters/dp/B08CP568HY/ref=sr_1_1?keywords=Klein+Tools+69445+Rare+Earth+Magnetic+Hanger%2C+no+Strap&amp;qid=1695173881&amp;sr=8-1")</f>
        <v>https://www.amazon.com/Klein-Tools-69445-Magnetic-Multimeters/dp/B08CP568HY/ref=sr_1_1?keywords=Klein+Tools+69445+Rare+Earth+Magnetic+Hanger%2C+no+Strap&amp;qid=1695173881&amp;sr=8-1</v>
      </c>
      <c r="F6244" t="s">
        <v>4875</v>
      </c>
      <c r="G6244" t="e">
        <f ca="1">_xludf.IMAGE("https://edmondsonsupply.com/cdn/shop/products/69445.jpg?v=1633030859")</f>
        <v>#NAME?</v>
      </c>
      <c r="H6244" t="e">
        <f ca="1">_xludf.IMAGE("https://m.media-amazon.com/images/I/61xhBmfQ1SL._AC_UL320_.jpg")</f>
        <v>#NAME?</v>
      </c>
      <c r="I6244" t="s">
        <v>252</v>
      </c>
      <c r="J6244">
        <v>15.59</v>
      </c>
      <c r="K6244" s="4">
        <v>-2.5000000000000001E-2</v>
      </c>
      <c r="L6244">
        <v>4.8</v>
      </c>
      <c r="M6244">
        <v>403</v>
      </c>
      <c r="O6244" t="s">
        <v>25</v>
      </c>
      <c r="P6244" t="s">
        <v>1411</v>
      </c>
      <c r="Q6244" t="s">
        <v>1412</v>
      </c>
    </row>
    <row r="6245" spans="1:17" ht="15.5" x14ac:dyDescent="0.35">
      <c r="A6245" s="3" t="str">
        <f>HYPERLINK("https://edmondsonsupply.com/collections/electricians-tools/products/fieldpiece-sc260", "https://edmondsonsupply.com/collections/electricians-tools/products/fieldpiece-sc260")</f>
        <v>https://edmondsonsupply.com/collections/electricians-tools/products/fieldpiece-sc260</v>
      </c>
      <c r="B6245" s="3" t="str">
        <f>HYPERLINK("https://edmondsonsupply.com/products/fieldpiece-sc260", "https://edmondsonsupply.com/products/fieldpiece-sc260")</f>
        <v>https://edmondsonsupply.com/products/fieldpiece-sc260</v>
      </c>
      <c r="C6245" t="s">
        <v>3222</v>
      </c>
      <c r="D6245" t="s">
        <v>4880</v>
      </c>
      <c r="E6245" s="3" t="str">
        <f>HYPERLINK("https://www.amazon.com/Fieldpiece-SC260-Compact-Clamp-Multimeter/dp/B00KLYJG78/ref=sr_1_1?keywords=Fieldpiece+SC260+Compact+Clamp+Meter+with+True+RMS&amp;qid=1695173924&amp;sr=8-1", "https://www.amazon.com/Fieldpiece-SC260-Compact-Clamp-Multimeter/dp/B00KLYJG78/ref=sr_1_1?keywords=Fieldpiece+SC260+Compact+Clamp+Meter+with+True+RMS&amp;qid=1695173924&amp;sr=8-1")</f>
        <v>https://www.amazon.com/Fieldpiece-SC260-Compact-Clamp-Multimeter/dp/B00KLYJG78/ref=sr_1_1?keywords=Fieldpiece+SC260+Compact+Clamp+Meter+with+True+RMS&amp;qid=1695173924&amp;sr=8-1</v>
      </c>
      <c r="F6245" t="s">
        <v>4881</v>
      </c>
      <c r="G6245" t="e">
        <f ca="1">_xludf.IMAGE("https://edmondsonsupply.com/cdn/shop/products/SC260-SRC-product.jpg?v=1633030161")</f>
        <v>#NAME?</v>
      </c>
      <c r="H6245" t="e">
        <f ca="1">_xludf.IMAGE("https://m.media-amazon.com/images/I/71b7m0X1ZcL._AC_UY218_.jpg")</f>
        <v>#NAME?</v>
      </c>
      <c r="I6245" t="s">
        <v>3225</v>
      </c>
      <c r="J6245">
        <v>134.94999999999999</v>
      </c>
      <c r="K6245" s="4">
        <v>-2.5999999999999999E-2</v>
      </c>
      <c r="L6245">
        <v>4.7</v>
      </c>
      <c r="M6245">
        <v>1249</v>
      </c>
      <c r="O6245" t="s">
        <v>25</v>
      </c>
      <c r="P6245" t="s">
        <v>1508</v>
      </c>
      <c r="Q6245" t="s">
        <v>3226</v>
      </c>
    </row>
    <row r="6246" spans="1:17" ht="15.5" x14ac:dyDescent="0.35">
      <c r="A6246"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6246" s="3" t="str">
        <f>HYPERLINK("https://edmondsonsupply.com/products/klein-tools-66076-flip-impact-socket-9-16-and-1-2-inch", "https://edmondsonsupply.com/products/klein-tools-66076-flip-impact-socket-9-16-and-1-2-inch")</f>
        <v>https://edmondsonsupply.com/products/klein-tools-66076-flip-impact-socket-9-16-and-1-2-inch</v>
      </c>
      <c r="C6246" t="s">
        <v>6085</v>
      </c>
      <c r="D6246" t="s">
        <v>8321</v>
      </c>
      <c r="E6246" s="3" t="str">
        <f>HYPERLINK("https://www.amazon.com/Klein-Tools-66077-Wrenches-BAT20CW1/dp/B0B34JMDCL/ref=sr_1_2?keywords=Klein+Tools+66076+Flip+Impact+Socket%2C+9%2F16+and+1%2F2-Inch&amp;qid=1695174172&amp;sr=8-2", "https://www.amazon.com/Klein-Tools-66077-Wrenches-BAT20CW1/dp/B0B34JMDCL/ref=sr_1_2?keywords=Klein+Tools+66076+Flip+Impact+Socket%2C+9%2F16+and+1%2F2-Inch&amp;qid=1695174172&amp;sr=8-2")</f>
        <v>https://www.amazon.com/Klein-Tools-66077-Wrenches-BAT20CW1/dp/B0B34JMDCL/ref=sr_1_2?keywords=Klein+Tools+66076+Flip+Impact+Socket%2C+9%2F16+and+1%2F2-Inch&amp;qid=1695174172&amp;sr=8-2</v>
      </c>
      <c r="F6246" t="s">
        <v>8322</v>
      </c>
      <c r="G6246" t="e">
        <f ca="1">_xludf.IMAGE("https://edmondsonsupply.com/cdn/shop/products/66076.jpg?v=1663083814")</f>
        <v>#NAME?</v>
      </c>
      <c r="H6246" t="e">
        <f ca="1">_xludf.IMAGE("https://m.media-amazon.com/images/I/41vtzEP3nEL._AC_UL320_.jpg")</f>
        <v>#NAME?</v>
      </c>
      <c r="I6246" t="s">
        <v>6086</v>
      </c>
      <c r="J6246">
        <v>10.43</v>
      </c>
      <c r="K6246" s="4">
        <v>-2.6100000000000002E-2</v>
      </c>
      <c r="L6246">
        <v>4.8</v>
      </c>
      <c r="M6246">
        <v>5</v>
      </c>
      <c r="O6246" t="s">
        <v>25</v>
      </c>
      <c r="P6246" t="s">
        <v>6087</v>
      </c>
      <c r="Q6246" t="s">
        <v>6088</v>
      </c>
    </row>
    <row r="6247" spans="1:17" ht="15.5" x14ac:dyDescent="0.35">
      <c r="A6247" s="3" t="str">
        <f>HYPERLINK("https://edmondsonsupply.com/collections/electricians-tools/products/milwaukee-0970-20-m18-fuel%E2%84%A2-packout%E2%84%A2-2-5-gallon-wet-dry-vacuum", "https://edmondsonsupply.com/collections/electricians-tools/products/milwaukee-0970-20-m18-fuel%E2%84%A2-packout%E2%84%A2-2-5-gallon-wet-dry-vacuum")</f>
        <v>https://edmondsonsupply.com/collections/electricians-tools/products/milwaukee-0970-20-m18-fuel%E2%84%A2-packout%E2%84%A2-2-5-gallon-wet-dry-vacuum</v>
      </c>
      <c r="B6247"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6247" t="s">
        <v>4882</v>
      </c>
      <c r="D6247" t="s">
        <v>4883</v>
      </c>
      <c r="E6247" s="3" t="str">
        <f>HYPERLINK("https://www.amazon.com/Milwaukee-0970-20-PACKOUT-Gallon-Vacuum/dp/B09RQ6WNZ8/ref=sr_1_1?keywords=Milwaukee+0970-20+M18+FUEL%E2%84%A2+PACKOUT%E2%84%A2+2.5+Gallon+Wet%2FDry+Vacuum&amp;qid=1695173920&amp;sr=8-1", "https://www.amazon.com/Milwaukee-0970-20-PACKOUT-Gallon-Vacuum/dp/B09RQ6WNZ8/ref=sr_1_1?keywords=Milwaukee+0970-20+M18+FUEL%E2%84%A2+PACKOUT%E2%84%A2+2.5+Gallon+Wet%2FDry+Vacuum&amp;qid=1695173920&amp;sr=8-1")</f>
        <v>https://www.amazon.com/Milwaukee-0970-20-PACKOUT-Gallon-Vacuum/dp/B09RQ6WNZ8/ref=sr_1_1?keywords=Milwaukee+0970-20+M18+FUEL%E2%84%A2+PACKOUT%E2%84%A2+2.5+Gallon+Wet%2FDry+Vacuum&amp;qid=1695173920&amp;sr=8-1</v>
      </c>
      <c r="F6247" t="s">
        <v>4884</v>
      </c>
      <c r="G6247" t="e">
        <f ca="1">_xludf.IMAGE("https://edmondsonsupply.com/cdn/shop/products/0970-20_3webp.webp?v=1668442362")</f>
        <v>#NAME?</v>
      </c>
      <c r="H6247" t="e">
        <f ca="1">_xludf.IMAGE("https://m.media-amazon.com/images/I/71yMHJwu0eL._AC_UL320_.jpg")</f>
        <v>#NAME?</v>
      </c>
      <c r="I6247" t="s">
        <v>715</v>
      </c>
      <c r="J6247">
        <v>193.69</v>
      </c>
      <c r="K6247" s="4">
        <v>-2.6700000000000002E-2</v>
      </c>
      <c r="L6247">
        <v>4.5999999999999996</v>
      </c>
      <c r="M6247">
        <v>76</v>
      </c>
      <c r="O6247" t="s">
        <v>171</v>
      </c>
      <c r="P6247" t="s">
        <v>4885</v>
      </c>
      <c r="Q6247" t="s">
        <v>4886</v>
      </c>
    </row>
    <row r="6248" spans="1:17" ht="15.5" x14ac:dyDescent="0.35">
      <c r="A6248"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6248" s="3" t="str">
        <f>HYPERLINK("https://edmondsonsupply.com/products/klein-tools-56059-multi-groove-fiberglass-fish-tape-200-foot", "https://edmondsonsupply.com/products/klein-tools-56059-multi-groove-fiberglass-fish-tape-200-foot")</f>
        <v>https://edmondsonsupply.com/products/klein-tools-56059-multi-groove-fiberglass-fish-tape-200-foot</v>
      </c>
      <c r="C6248" t="s">
        <v>7681</v>
      </c>
      <c r="D6248" t="s">
        <v>8323</v>
      </c>
      <c r="E6248" s="3" t="str">
        <f>HYPERLINK("https://www.amazon.com/Klein-Tools-Non-Conductive-Fiberglass-500-Pound/dp/B00N84FXP2/ref=sr_1_1?keywords=Klein+Tools+56059+Multi-Groove+Fiberglass+Fish+Tape+200-Foot&amp;qid=1695174221&amp;sr=8-1", "https://www.amazon.com/Klein-Tools-Non-Conductive-Fiberglass-500-Pound/dp/B00N84FXP2/ref=sr_1_1?keywords=Klein+Tools+56059+Multi-Groove+Fiberglass+Fish+Tape+200-Foot&amp;qid=1695174221&amp;sr=8-1")</f>
        <v>https://www.amazon.com/Klein-Tools-Non-Conductive-Fiberglass-500-Pound/dp/B00N84FXP2/ref=sr_1_1?keywords=Klein+Tools+56059+Multi-Groove+Fiberglass+Fish+Tape+200-Foot&amp;qid=1695174221&amp;sr=8-1</v>
      </c>
      <c r="F6248" t="s">
        <v>8324</v>
      </c>
      <c r="G6248" t="e">
        <f ca="1">_xludf.IMAGE("https://edmondsonsupply.com/cdn/shop/products/56059.jpg?v=1648938340")</f>
        <v>#NAME?</v>
      </c>
      <c r="H6248" t="e">
        <f ca="1">_xludf.IMAGE("https://m.media-amazon.com/images/I/51Uut6yasyS._AC_UL320_.jpg")</f>
        <v>#NAME?</v>
      </c>
      <c r="I6248" t="s">
        <v>7682</v>
      </c>
      <c r="J6248">
        <v>179.99</v>
      </c>
      <c r="K6248" s="4">
        <v>-2.7E-2</v>
      </c>
      <c r="L6248">
        <v>4.5999999999999996</v>
      </c>
      <c r="M6248">
        <v>161</v>
      </c>
      <c r="O6248" t="s">
        <v>25</v>
      </c>
      <c r="P6248" t="s">
        <v>7683</v>
      </c>
      <c r="Q6248" t="s">
        <v>7684</v>
      </c>
    </row>
    <row r="6249" spans="1:17" ht="15.5" x14ac:dyDescent="0.35">
      <c r="A6249"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6249"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6249" t="s">
        <v>6998</v>
      </c>
      <c r="D6249" t="s">
        <v>4054</v>
      </c>
      <c r="E6249" s="3" t="str">
        <f>HYPERLINK("https://www.amazon.com/Driver-2-Inch-Klein-Tools-65131/dp/B071LCCGT1/ref=sr_1_1?keywords=Klein+Tools+65131+2-in-1+Nut+Driver%2C+Hex+Head+Slide+Drive%E2%84%A2%2C+1-1%2F2-Inch&amp;qid=1695174203&amp;sr=8-1", "https://www.amazon.com/Driver-2-Inch-Klein-Tools-65131/dp/B071LCCGT1/ref=sr_1_1?keywords=Klein+Tools+65131+2-in-1+Nut+Driver%2C+Hex+Head+Slide+Drive%E2%84%A2%2C+1-1%2F2-Inch&amp;qid=1695174203&amp;sr=8-1")</f>
        <v>https://www.amazon.com/Driver-2-Inch-Klein-Tools-65131/dp/B071LCCGT1/ref=sr_1_1?keywords=Klein+Tools+65131+2-in-1+Nut+Driver%2C+Hex+Head+Slide+Drive%E2%84%A2%2C+1-1%2F2-Inch&amp;qid=1695174203&amp;sr=8-1</v>
      </c>
      <c r="F6249" t="s">
        <v>4055</v>
      </c>
      <c r="G6249" t="e">
        <f ca="1">_xludf.IMAGE("https://edmondsonsupply.com/cdn/shop/products/65131.jpg?v=1660742745")</f>
        <v>#NAME?</v>
      </c>
      <c r="H6249" t="e">
        <f ca="1">_xludf.IMAGE("https://m.media-amazon.com/images/I/51SI9ktOe4L._AC_UL320_.jpg")</f>
        <v>#NAME?</v>
      </c>
      <c r="I6249" t="s">
        <v>2101</v>
      </c>
      <c r="J6249">
        <v>17.989999999999998</v>
      </c>
      <c r="K6249" s="4">
        <v>-2.7E-2</v>
      </c>
      <c r="L6249">
        <v>4.8</v>
      </c>
      <c r="M6249">
        <v>909</v>
      </c>
      <c r="O6249" t="s">
        <v>25</v>
      </c>
      <c r="P6249" t="s">
        <v>7001</v>
      </c>
      <c r="Q6249" t="s">
        <v>7002</v>
      </c>
    </row>
    <row r="6250" spans="1:17" ht="15.5" x14ac:dyDescent="0.35">
      <c r="A6250" s="3" t="str">
        <f>HYPERLINK("https://edmondsonsupply.com/collections/electricians-tools/products/greenlee-gsb06-1-2-step-bit-6", "https://edmondsonsupply.com/collections/electricians-tools/products/greenlee-gsb06-1-2-step-bit-6")</f>
        <v>https://edmondsonsupply.com/collections/electricians-tools/products/greenlee-gsb06-1-2-step-bit-6</v>
      </c>
      <c r="B6250" s="3" t="str">
        <f>HYPERLINK("https://edmondsonsupply.com/products/greenlee-gsb06-1-2-step-bit-6", "https://edmondsonsupply.com/products/greenlee-gsb06-1-2-step-bit-6")</f>
        <v>https://edmondsonsupply.com/products/greenlee-gsb06-1-2-step-bit-6</v>
      </c>
      <c r="C6250" t="s">
        <v>2409</v>
      </c>
      <c r="D6250" t="s">
        <v>4378</v>
      </c>
      <c r="E6250" s="3" t="str">
        <f>HYPERLINK("https://www.amazon.com/Greenlee-GSB04-Step-Bit/dp/B08TVF22W4/ref=sr_1_1?keywords=Greenlee+GSB06+1%2F2%22+Step+Bit+%28%236%29&amp;qid=1695173911&amp;sr=8-1", "https://www.amazon.com/Greenlee-GSB04-Step-Bit/dp/B08TVF22W4/ref=sr_1_1?keywords=Greenlee+GSB06+1%2F2%22+Step+Bit+%28%236%29&amp;qid=1695173911&amp;sr=8-1")</f>
        <v>https://www.amazon.com/Greenlee-GSB04-Step-Bit/dp/B08TVF22W4/ref=sr_1_1?keywords=Greenlee+GSB06+1%2F2%22+Step+Bit+%28%236%29&amp;qid=1695173911&amp;sr=8-1</v>
      </c>
      <c r="F6250" t="s">
        <v>4379</v>
      </c>
      <c r="G6250" t="e">
        <f ca="1">_xludf.IMAGE("https://edmondsonsupply.com/cdn/shop/files/GSB06_CAT1_72dpi.jpg?v=1687788659")</f>
        <v>#NAME?</v>
      </c>
      <c r="H6250" t="e">
        <f ca="1">_xludf.IMAGE("https://m.media-amazon.com/images/I/41FX4czhS0L._AC_UY218_.jpg")</f>
        <v>#NAME?</v>
      </c>
      <c r="I6250" t="s">
        <v>2410</v>
      </c>
      <c r="J6250">
        <v>32</v>
      </c>
      <c r="K6250" s="4">
        <v>-2.7099999999999999E-2</v>
      </c>
      <c r="L6250">
        <v>5</v>
      </c>
      <c r="M6250">
        <v>7</v>
      </c>
      <c r="O6250" t="s">
        <v>25</v>
      </c>
      <c r="P6250" t="s">
        <v>2411</v>
      </c>
      <c r="Q6250" t="s">
        <v>2412</v>
      </c>
    </row>
    <row r="6251" spans="1:17" ht="15.5" x14ac:dyDescent="0.35">
      <c r="A6251"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6251" s="3" t="str">
        <f>HYPERLINK("https://edmondsonsupply.com/products/klein-tools-31856-1-1-8-inch-carbide-hole-cutter", "https://edmondsonsupply.com/products/klein-tools-31856-1-1-8-inch-carbide-hole-cutter")</f>
        <v>https://edmondsonsupply.com/products/klein-tools-31856-1-1-8-inch-carbide-hole-cutter</v>
      </c>
      <c r="C6251" t="s">
        <v>6035</v>
      </c>
      <c r="D6251" t="s">
        <v>6180</v>
      </c>
      <c r="E6251" s="3" t="str">
        <f>HYPERLINK("https://www.amazon.com/8-Inch-Carbide-Klein-Tools-31856/dp/B00776T2XQ/ref=sr_1_1?keywords=Klein+Tools+31856+1-1%2F8-Inch+Carbide+Hole+Cutter&amp;qid=1695174011&amp;sr=8-1", "https://www.amazon.com/8-Inch-Carbide-Klein-Tools-31856/dp/B00776T2XQ/ref=sr_1_1?keywords=Klein+Tools+31856+1-1%2F8-Inch+Carbide+Hole+Cutter&amp;qid=1695174011&amp;sr=8-1")</f>
        <v>https://www.amazon.com/8-Inch-Carbide-Klein-Tools-31856/dp/B00776T2XQ/ref=sr_1_1?keywords=Klein+Tools+31856+1-1%2F8-Inch+Carbide+Hole+Cutter&amp;qid=1695174011&amp;sr=8-1</v>
      </c>
      <c r="F6251" t="s">
        <v>6181</v>
      </c>
      <c r="G6251" t="e">
        <f ca="1">_xludf.IMAGE("https://edmondsonsupply.com/cdn/shop/files/31856.jpg?v=1685712345")</f>
        <v>#NAME?</v>
      </c>
      <c r="H6251" t="e">
        <f ca="1">_xludf.IMAGE("https://m.media-amazon.com/images/I/41TKex1GIjL._AC_UL320_.jpg")</f>
        <v>#NAME?</v>
      </c>
      <c r="I6251" t="s">
        <v>261</v>
      </c>
      <c r="J6251">
        <v>34.99</v>
      </c>
      <c r="K6251" s="4">
        <v>-2.7799999999999998E-2</v>
      </c>
      <c r="L6251">
        <v>4.5</v>
      </c>
      <c r="M6251">
        <v>473</v>
      </c>
      <c r="O6251" t="s">
        <v>25</v>
      </c>
      <c r="P6251" t="s">
        <v>6038</v>
      </c>
      <c r="Q6251" t="s">
        <v>6039</v>
      </c>
    </row>
    <row r="6252" spans="1:17" ht="15.5" x14ac:dyDescent="0.35">
      <c r="A6252"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6252"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6252" t="s">
        <v>6797</v>
      </c>
      <c r="D6252" t="s">
        <v>5101</v>
      </c>
      <c r="E6252" s="3" t="str">
        <f>HYPERLINK("https://www.amazon.com/Diagonal-Cutting-Klein-Tools-D248-8-GLW/dp/B00LMM39TY/ref=sr_1_9?keywords=Klein+Tools+D2000-48+Diagonal+Cutting+Pliers%2C+Angled+Head%2C+8-Inch&amp;qid=1695174171&amp;sr=8-9", "https://www.amazon.com/Diagonal-Cutting-Klein-Tools-D248-8-GLW/dp/B00LMM39TY/ref=sr_1_9?keywords=Klein+Tools+D2000-48+Diagonal+Cutting+Pliers%2C+Angled+Head%2C+8-Inch&amp;qid=1695174171&amp;sr=8-9")</f>
        <v>https://www.amazon.com/Diagonal-Cutting-Klein-Tools-D248-8-GLW/dp/B00LMM39TY/ref=sr_1_9?keywords=Klein+Tools+D2000-48+Diagonal+Cutting+Pliers%2C+Angled+Head%2C+8-Inch&amp;qid=1695174171&amp;sr=8-9</v>
      </c>
      <c r="F6252" t="s">
        <v>5102</v>
      </c>
      <c r="G6252" t="e">
        <f ca="1">_xludf.IMAGE("https://edmondsonsupply.com/cdn/shop/products/d200048.jpg?v=1660920588")</f>
        <v>#NAME?</v>
      </c>
      <c r="H6252" t="e">
        <f ca="1">_xludf.IMAGE("https://m.media-amazon.com/images/I/41HSLnsbFiL._AC_UL320_.jpg")</f>
        <v>#NAME?</v>
      </c>
      <c r="I6252" t="s">
        <v>340</v>
      </c>
      <c r="J6252">
        <v>33.99</v>
      </c>
      <c r="K6252" s="4">
        <v>-2.8000000000000001E-2</v>
      </c>
      <c r="L6252">
        <v>4.9000000000000004</v>
      </c>
      <c r="M6252">
        <v>634</v>
      </c>
      <c r="O6252" t="s">
        <v>25</v>
      </c>
      <c r="P6252" t="s">
        <v>6800</v>
      </c>
      <c r="Q6252" t="s">
        <v>6801</v>
      </c>
    </row>
    <row r="6253" spans="1:17" ht="15.5" x14ac:dyDescent="0.35">
      <c r="A6253" s="3" t="str">
        <f>HYPERLINK("https://edmondsonsupply.com/collections/electricians-tools/products/klein-tools-32536-10-fold-screwdriver-nut-driver-torx%C2%AE", "https://edmondsonsupply.com/collections/electricians-tools/products/klein-tools-32536-10-fold-screwdriver-nut-driver-torx%C2%AE")</f>
        <v>https://edmondsonsupply.com/collections/electricians-tools/products/klein-tools-32536-10-fold-screwdriver-nut-driver-torx%C2%AE</v>
      </c>
      <c r="B6253" s="3" t="str">
        <f>HYPERLINK("https://edmondsonsupply.com/products/klein-tools-32536-10-fold-screwdriver-nut-driver-torx%c2%ae", "https://edmondsonsupply.com/products/klein-tools-32536-10-fold-screwdriver-nut-driver-torx%c2%ae")</f>
        <v>https://edmondsonsupply.com/products/klein-tools-32536-10-fold-screwdriver-nut-driver-torx%c2%ae</v>
      </c>
      <c r="C6253" t="s">
        <v>8325</v>
      </c>
      <c r="D6253" t="s">
        <v>8326</v>
      </c>
      <c r="E6253" s="3" t="str">
        <f>HYPERLINK("https://www.amazon.com/10-Fold-Screwdriver-Klein-Tools-32536/dp/B0031D252E/ref=sr_1_1?keywords=Klein+Tools+32536+10-Fold+Screwdriver%2FNut+Driver%2C+Torx%C2%AE&amp;qid=1695174265&amp;sr=8-1", "https://www.amazon.com/10-Fold-Screwdriver-Klein-Tools-32536/dp/B0031D252E/ref=sr_1_1?keywords=Klein+Tools+32536+10-Fold+Screwdriver%2FNut+Driver%2C+Torx%C2%AE&amp;qid=1695174265&amp;sr=8-1")</f>
        <v>https://www.amazon.com/10-Fold-Screwdriver-Klein-Tools-32536/dp/B0031D252E/ref=sr_1_1?keywords=Klein+Tools+32536+10-Fold+Screwdriver%2FNut+Driver%2C+Torx%C2%AE&amp;qid=1695174265&amp;sr=8-1</v>
      </c>
      <c r="F6253" t="s">
        <v>8327</v>
      </c>
      <c r="G6253" t="e">
        <f ca="1">_xludf.IMAGE("https://edmondsonsupply.com/cdn/shop/products/32536.jpg?v=1633031048")</f>
        <v>#NAME?</v>
      </c>
      <c r="H6253" t="e">
        <f ca="1">_xludf.IMAGE("https://m.media-amazon.com/images/I/41F6iw7pypL._AC_UL320_.jpg")</f>
        <v>#NAME?</v>
      </c>
      <c r="I6253" t="s">
        <v>26</v>
      </c>
      <c r="J6253">
        <v>29.14</v>
      </c>
      <c r="K6253" s="4">
        <v>-2.8299999999999999E-2</v>
      </c>
      <c r="L6253">
        <v>4.5999999999999996</v>
      </c>
      <c r="M6253">
        <v>872</v>
      </c>
      <c r="O6253" t="s">
        <v>25</v>
      </c>
      <c r="P6253" t="s">
        <v>4371</v>
      </c>
      <c r="Q6253" t="s">
        <v>8328</v>
      </c>
    </row>
    <row r="6254" spans="1:17" ht="15.5" x14ac:dyDescent="0.35">
      <c r="A6254" s="3" t="str">
        <f>HYPERLINK("https://edmondsonsupply.com/collections/electricians-tools/products/klein-tools-ktsb03-step-drill-bit-double-fluted-3-1-4-to-3-4-inch", "https://edmondsonsupply.com/collections/electricians-tools/products/klein-tools-ktsb03-step-drill-bit-double-fluted-3-1-4-to-3-4-inch")</f>
        <v>https://edmondsonsupply.com/collections/electricians-tools/products/klein-tools-ktsb03-step-drill-bit-double-fluted-3-1-4-to-3-4-inch</v>
      </c>
      <c r="B6254" s="3" t="str">
        <f>HYPERLINK("https://edmondsonsupply.com/products/klein-tools-ktsb03-step-drill-bit-double-fluted-3-1-4-to-3-4-inch", "https://edmondsonsupply.com/products/klein-tools-ktsb03-step-drill-bit-double-fluted-3-1-4-to-3-4-inch")</f>
        <v>https://edmondsonsupply.com/products/klein-tools-ktsb03-step-drill-bit-double-fluted-3-1-4-to-3-4-inch</v>
      </c>
      <c r="C6254" t="s">
        <v>1978</v>
      </c>
      <c r="D6254" t="s">
        <v>4887</v>
      </c>
      <c r="E6254" s="3" t="str">
        <f>HYPERLINK("https://www.amazon.com/Double-Fluted-Klein-Tools-KTSB03/dp/B0171X0MRO/ref=sr_1_1?keywords=Klein+Tools+KTSB03+Step+Drill+Bit+Double+Fluted&amp;qid=1695173948&amp;sr=8-1", "https://www.amazon.com/Double-Fluted-Klein-Tools-KTSB03/dp/B0171X0MRO/ref=sr_1_1?keywords=Klein+Tools+KTSB03+Step+Drill+Bit+Double+Fluted&amp;qid=1695173948&amp;sr=8-1")</f>
        <v>https://www.amazon.com/Double-Fluted-Klein-Tools-KTSB03/dp/B0171X0MRO/ref=sr_1_1?keywords=Klein+Tools+KTSB03+Step+Drill+Bit+Double+Fluted&amp;qid=1695173948&amp;sr=8-1</v>
      </c>
      <c r="F6254" t="s">
        <v>4888</v>
      </c>
      <c r="G6254" t="e">
        <f ca="1">_xludf.IMAGE("https://edmondsonsupply.com/cdn/shop/products/ktsb03.jpg?v=1666012212")</f>
        <v>#NAME?</v>
      </c>
      <c r="H6254" t="e">
        <f ca="1">_xludf.IMAGE("https://m.media-amazon.com/images/I/51clfGV7U4L._AC_UY218_.jpg")</f>
        <v>#NAME?</v>
      </c>
      <c r="I6254" t="s">
        <v>571</v>
      </c>
      <c r="J6254">
        <v>33.99</v>
      </c>
      <c r="K6254" s="4">
        <v>-2.86E-2</v>
      </c>
      <c r="L6254">
        <v>4.7</v>
      </c>
      <c r="M6254">
        <v>1773</v>
      </c>
      <c r="O6254" t="s">
        <v>25</v>
      </c>
      <c r="P6254" t="s">
        <v>1981</v>
      </c>
      <c r="Q6254" t="s">
        <v>1982</v>
      </c>
    </row>
    <row r="6255" spans="1:17" ht="15.5" x14ac:dyDescent="0.35">
      <c r="A6255" s="3" t="str">
        <f>HYPERLINK("https://edmondsonsupply.com/collections/electricians-tools/products/klein-tools-31852-carbide-hole-cutter-7-8-inch", "https://edmondsonsupply.com/collections/electricians-tools/products/klein-tools-31852-carbide-hole-cutter-7-8-inch")</f>
        <v>https://edmondsonsupply.com/collections/electricians-tools/products/klein-tools-31852-carbide-hole-cutter-7-8-inch</v>
      </c>
      <c r="B6255" s="3" t="str">
        <f>HYPERLINK("https://edmondsonsupply.com/products/klein-tools-31852-carbide-hole-cutter-7-8-inch", "https://edmondsonsupply.com/products/klein-tools-31852-carbide-hole-cutter-7-8-inch")</f>
        <v>https://edmondsonsupply.com/products/klein-tools-31852-carbide-hole-cutter-7-8-inch</v>
      </c>
      <c r="C6255" t="s">
        <v>8329</v>
      </c>
      <c r="D6255" t="s">
        <v>8330</v>
      </c>
      <c r="E6255" s="3" t="str">
        <f>HYPERLINK("https://www.amazon.com/8-Inch-Carbide-Klein-Tools-31852/dp/B00776T23Q/ref=sr_1_1?keywords=Klein+Tools+31852+Carbide+Hole+Cutter%2C+7%2F8-Inch&amp;qid=1695174280&amp;sr=8-1", "https://www.amazon.com/8-Inch-Carbide-Klein-Tools-31852/dp/B00776T23Q/ref=sr_1_1?keywords=Klein+Tools+31852+Carbide+Hole+Cutter%2C+7%2F8-Inch&amp;qid=1695174280&amp;sr=8-1")</f>
        <v>https://www.amazon.com/8-Inch-Carbide-Klein-Tools-31852/dp/B00776T23Q/ref=sr_1_1?keywords=Klein+Tools+31852+Carbide+Hole+Cutter%2C+7%2F8-Inch&amp;qid=1695174280&amp;sr=8-1</v>
      </c>
      <c r="F6255" t="s">
        <v>8331</v>
      </c>
      <c r="G6255" t="e">
        <f ca="1">_xludf.IMAGE("https://edmondsonsupply.com/cdn/shop/products/31852.jpg?v=1633030927")</f>
        <v>#NAME?</v>
      </c>
      <c r="H6255" t="e">
        <f ca="1">_xludf.IMAGE("https://m.media-amazon.com/images/I/41wBUpl7TfL._AC_UL320_.jpg")</f>
        <v>#NAME?</v>
      </c>
      <c r="I6255" t="s">
        <v>4310</v>
      </c>
      <c r="J6255">
        <v>32.99</v>
      </c>
      <c r="K6255" s="4">
        <v>-2.9399999999999999E-2</v>
      </c>
      <c r="L6255">
        <v>4.5</v>
      </c>
      <c r="M6255">
        <v>473</v>
      </c>
      <c r="O6255" t="s">
        <v>25</v>
      </c>
      <c r="P6255" t="s">
        <v>8332</v>
      </c>
      <c r="Q6255" t="s">
        <v>8333</v>
      </c>
    </row>
    <row r="6256" spans="1:17" ht="15.5" x14ac:dyDescent="0.35">
      <c r="A6256"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6256"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6256" t="s">
        <v>8334</v>
      </c>
      <c r="D6256" t="s">
        <v>5388</v>
      </c>
      <c r="E6256" s="3" t="str">
        <f>HYPERLINK("https://www.amazon.com/Diablo-DMAPL4310-SDS-Plus-4-Cutter-Carbide/dp/B089KX2VKR/ref=sr_1_1?keywords=Diablo+Tools+DMAPL4310+1+in.+x+16+in.+x+18+in.+Rebar+Demon%E2%84%A2+SDS-Plus+4-Cutter+Full+Carbide+Head+Hammer+Drill+Bit&amp;qid=1695174259&amp;sr=8-1", "https://www.amazon.com/Diablo-DMAPL4310-SDS-Plus-4-Cutter-Carbide/dp/B089KX2VKR/ref=sr_1_1?keywords=Diablo+Tools+DMAPL4310+1+in.+x+16+in.+x+18+in.+Rebar+Demon%E2%84%A2+SDS-Plus+4-Cutter+Full+Carbide+Head+Hammer+Drill+Bit&amp;qid=1695174259&amp;sr=8-1")</f>
        <v>https://www.amazon.com/Diablo-DMAPL4310-SDS-Plus-4-Cutter-Carbide/dp/B089KX2VKR/ref=sr_1_1?keywords=Diablo+Tools+DMAPL4310+1+in.+x+16+in.+x+18+in.+Rebar+Demon%E2%84%A2+SDS-Plus+4-Cutter+Full+Carbide+Head+Hammer+Drill+Bit&amp;qid=1695174259&amp;sr=8-1</v>
      </c>
      <c r="F6256" t="s">
        <v>5389</v>
      </c>
      <c r="G6256" t="e">
        <f ca="1">_xludf.IMAGE("https://edmondsonsupply.com/cdn/shop/products/DMAPL4310_Main-Image20200701.png?v=1633031094")</f>
        <v>#NAME?</v>
      </c>
      <c r="H6256" t="e">
        <f ca="1">_xludf.IMAGE("https://m.media-amazon.com/images/I/61iwxfqG2VL._AC_UL320_.jpg")</f>
        <v>#NAME?</v>
      </c>
      <c r="I6256" t="s">
        <v>380</v>
      </c>
      <c r="J6256">
        <v>48.49</v>
      </c>
      <c r="K6256" s="4">
        <v>-2.9600000000000001E-2</v>
      </c>
      <c r="L6256">
        <v>4.5</v>
      </c>
      <c r="M6256">
        <v>32</v>
      </c>
      <c r="O6256" t="s">
        <v>25</v>
      </c>
      <c r="P6256" t="s">
        <v>8335</v>
      </c>
      <c r="Q6256" t="s">
        <v>8336</v>
      </c>
    </row>
    <row r="6257" spans="1:17" ht="15.5" x14ac:dyDescent="0.35">
      <c r="A6257" s="3" t="str">
        <f>HYPERLINK("https://edmondsonsupply.com/collections/electricians-tools/products/klein-tools-vdv027-813-lan-installer-starter-kit-punchdown", "https://edmondsonsupply.com/collections/electricians-tools/products/klein-tools-vdv027-813-lan-installer-starter-kit-punchdown")</f>
        <v>https://edmondsonsupply.com/collections/electricians-tools/products/klein-tools-vdv027-813-lan-installer-starter-kit-punchdown</v>
      </c>
      <c r="B6257" s="3" t="str">
        <f>HYPERLINK("https://edmondsonsupply.com/products/klein-tools-vdv027-813-lan-installer-starter-kit-punchdown", "https://edmondsonsupply.com/products/klein-tools-vdv027-813-lan-installer-starter-kit-punchdown")</f>
        <v>https://edmondsonsupply.com/products/klein-tools-vdv027-813-lan-installer-starter-kit-punchdown</v>
      </c>
      <c r="C6257" t="s">
        <v>8337</v>
      </c>
      <c r="D6257" t="s">
        <v>8337</v>
      </c>
      <c r="E6257" s="3" t="str">
        <f>HYPERLINK("https://www.amazon.com/Installer-Punchdown-Klein-Tools-VDV027-813/dp/B004W7OUH6/ref=sr_1_1?keywords=Klein+Tools+VDV027-813+LAN+Installer+Starter+Kit%2C+Punchdown&amp;qid=1695174305&amp;sr=8-1", "https://www.amazon.com/Installer-Punchdown-Klein-Tools-VDV027-813/dp/B004W7OUH6/ref=sr_1_1?keywords=Klein+Tools+VDV027-813+LAN+Installer+Starter+Kit%2C+Punchdown&amp;qid=1695174305&amp;sr=8-1")</f>
        <v>https://www.amazon.com/Installer-Punchdown-Klein-Tools-VDV027-813/dp/B004W7OUH6/ref=sr_1_1?keywords=Klein+Tools+VDV027-813+LAN+Installer+Starter+Kit%2C+Punchdown&amp;qid=1695174305&amp;sr=8-1</v>
      </c>
      <c r="F6257" t="s">
        <v>8338</v>
      </c>
      <c r="G6257" t="e">
        <f ca="1">_xludf.IMAGE("https://edmondsonsupply.com/cdn/shop/products/vdv027813_c.jpg?v=1664145537")</f>
        <v>#NAME?</v>
      </c>
      <c r="H6257" t="e">
        <f ca="1">_xludf.IMAGE("https://m.media-amazon.com/images/I/71oqBCrzgBL._AC_UL320_.jpg")</f>
        <v>#NAME?</v>
      </c>
      <c r="I6257" t="s">
        <v>8339</v>
      </c>
      <c r="J6257">
        <v>99.9</v>
      </c>
      <c r="K6257" s="4">
        <v>-0.03</v>
      </c>
      <c r="L6257">
        <v>4.2</v>
      </c>
      <c r="M6257">
        <v>39</v>
      </c>
      <c r="O6257" t="s">
        <v>25</v>
      </c>
      <c r="P6257" t="s">
        <v>8340</v>
      </c>
      <c r="Q6257" t="s">
        <v>8341</v>
      </c>
    </row>
    <row r="6258" spans="1:17" ht="15.5" x14ac:dyDescent="0.35">
      <c r="A6258" s="3" t="str">
        <f>HYPERLINK("https://edmondsonsupply.com/collections/electricians-tools/products/klein-tools-et130-digital-light-meter", "https://edmondsonsupply.com/collections/electricians-tools/products/klein-tools-et130-digital-light-meter")</f>
        <v>https://edmondsonsupply.com/collections/electricians-tools/products/klein-tools-et130-digital-light-meter</v>
      </c>
      <c r="B6258" s="3" t="str">
        <f>HYPERLINK("https://edmondsonsupply.com/products/klein-tools-et130-digital-light-meter", "https://edmondsonsupply.com/products/klein-tools-et130-digital-light-meter")</f>
        <v>https://edmondsonsupply.com/products/klein-tools-et130-digital-light-meter</v>
      </c>
      <c r="C6258" t="s">
        <v>8342</v>
      </c>
      <c r="D6258" t="s">
        <v>8342</v>
      </c>
      <c r="E6258" s="3" t="str">
        <f>HYPERLINK("https://www.amazon.com/Digital-Light-Klein-Tools-ET130/dp/B071WG7PT4/ref=sr_1_1?keywords=Klein+Tools+ET130+Digital+Light+Meter&amp;qid=1695173940&amp;sr=8-1", "https://www.amazon.com/Digital-Light-Klein-Tools-ET130/dp/B071WG7PT4/ref=sr_1_1?keywords=Klein+Tools+ET130+Digital+Light+Meter&amp;qid=1695173940&amp;sr=8-1")</f>
        <v>https://www.amazon.com/Digital-Light-Klein-Tools-ET130/dp/B071WG7PT4/ref=sr_1_1?keywords=Klein+Tools+ET130+Digital+Light+Meter&amp;qid=1695173940&amp;sr=8-1</v>
      </c>
      <c r="F6258" t="s">
        <v>8343</v>
      </c>
      <c r="G6258" t="e">
        <f ca="1">_xludf.IMAGE("https://edmondsonsupply.com/cdn/shop/products/et130_alt5.jpg?v=1611263497")</f>
        <v>#NAME?</v>
      </c>
      <c r="H6258" t="e">
        <f ca="1">_xludf.IMAGE("https://m.media-amazon.com/images/I/61SlHyYVr+L._AC_UY218_.jpg")</f>
        <v>#NAME?</v>
      </c>
      <c r="I6258" t="s">
        <v>8344</v>
      </c>
      <c r="J6258">
        <v>82.42</v>
      </c>
      <c r="K6258" s="4">
        <v>-0.03</v>
      </c>
      <c r="L6258">
        <v>4.5999999999999996</v>
      </c>
      <c r="M6258">
        <v>251</v>
      </c>
      <c r="O6258" t="s">
        <v>25</v>
      </c>
      <c r="P6258" t="s">
        <v>8345</v>
      </c>
      <c r="Q6258" t="s">
        <v>8346</v>
      </c>
    </row>
    <row r="6259" spans="1:17" ht="15.5" x14ac:dyDescent="0.35">
      <c r="A6259" s="3" t="str">
        <f>HYPERLINK("https://edmondsonsupply.com/collections/electricians-tools/products/klein-tools-58889", "https://edmondsonsupply.com/collections/electricians-tools/products/klein-tools-58889")</f>
        <v>https://edmondsonsupply.com/collections/electricians-tools/products/klein-tools-58889</v>
      </c>
      <c r="B6259" s="3" t="str">
        <f>HYPERLINK("https://edmondsonsupply.com/products/klein-tools-58889", "https://edmondsonsupply.com/products/klein-tools-58889")</f>
        <v>https://edmondsonsupply.com/products/klein-tools-58889</v>
      </c>
      <c r="C6259" t="s">
        <v>249</v>
      </c>
      <c r="D6259" t="s">
        <v>656</v>
      </c>
      <c r="E6259" s="3" t="str">
        <f>HYPERLINK("https://www.amazon.com/Adjustable-Shoulder-Klein-Tools-58889/dp/B0002RI6Y8/ref=sr_1_1?keywords=Klein+Tools+58889+Padded+Adjustable+Shoulder+Strap&amp;qid=1695174137&amp;sr=8-1", "https://www.amazon.com/Adjustable-Shoulder-Klein-Tools-58889/dp/B0002RI6Y8/ref=sr_1_1?keywords=Klein+Tools+58889+Padded+Adjustable+Shoulder+Strap&amp;qid=1695174137&amp;sr=8-1")</f>
        <v>https://www.amazon.com/Adjustable-Shoulder-Klein-Tools-58889/dp/B0002RI6Y8/ref=sr_1_1?keywords=Klein+Tools+58889+Padded+Adjustable+Shoulder+Strap&amp;qid=1695174137&amp;sr=8-1</v>
      </c>
      <c r="F6259" t="s">
        <v>657</v>
      </c>
      <c r="G6259" t="e">
        <f ca="1">_xludf.IMAGE("https://edmondsonsupply.com/cdn/shop/products/58889.jpg?v=1665591140")</f>
        <v>#NAME?</v>
      </c>
      <c r="H6259" t="e">
        <f ca="1">_xludf.IMAGE("https://m.media-amazon.com/images/I/51FKcOazH2L._AC_UL320_.jpg")</f>
        <v>#NAME?</v>
      </c>
      <c r="I6259" t="s">
        <v>252</v>
      </c>
      <c r="J6259">
        <v>15.51</v>
      </c>
      <c r="K6259" s="4">
        <v>-0.03</v>
      </c>
      <c r="L6259">
        <v>4.7</v>
      </c>
      <c r="M6259">
        <v>866</v>
      </c>
      <c r="O6259" t="s">
        <v>25</v>
      </c>
      <c r="P6259" t="s">
        <v>253</v>
      </c>
      <c r="Q6259" t="s">
        <v>254</v>
      </c>
    </row>
    <row r="6260" spans="1:17" ht="15.5" x14ac:dyDescent="0.35">
      <c r="A6260" s="3" t="str">
        <f>HYPERLINK("https://edmondsonsupply.com/collections/electricians-tools/products/klein-tools-32562-6-in-1-multi-bit-screwdriver-nut-driver-stubby", "https://edmondsonsupply.com/collections/electricians-tools/products/klein-tools-32562-6-in-1-multi-bit-screwdriver-nut-driver-stubby")</f>
        <v>https://edmondsonsupply.com/collections/electricians-tools/products/klein-tools-32562-6-in-1-multi-bit-screwdriver-nut-driver-stubby</v>
      </c>
      <c r="B6260" s="3" t="str">
        <f>HYPERLINK("https://edmondsonsupply.com/products/klein-tools-32562-6-in-1-multi-bit-screwdriver-nut-driver-stubby", "https://edmondsonsupply.com/products/klein-tools-32562-6-in-1-multi-bit-screwdriver-nut-driver-stubby")</f>
        <v>https://edmondsonsupply.com/products/klein-tools-32562-6-in-1-multi-bit-screwdriver-nut-driver-stubby</v>
      </c>
      <c r="C6260" t="s">
        <v>3544</v>
      </c>
      <c r="D6260" t="s">
        <v>4896</v>
      </c>
      <c r="E6260" s="3" t="str">
        <f>HYPERLINK("https://www.amazon.com/Multi-Bit-Screwdriver-Klein-Tools-32562/dp/B007SF5DNE/ref=sr_1_1?keywords=Klein+Tools+32562+Multi-Bit+Screwdriver+%2F+Nut+Driver%2C+6-in-1%2C+Stubby%2C+Ph%2C+Sl%2C+Sq+Bits&amp;qid=1695173934&amp;sr=8-1", "https://www.amazon.com/Multi-Bit-Screwdriver-Klein-Tools-32562/dp/B007SF5DNE/ref=sr_1_1?keywords=Klein+Tools+32562+Multi-Bit+Screwdriver+%2F+Nut+Driver%2C+6-in-1%2C+Stubby%2C+Ph%2C+Sl%2C+Sq+Bits&amp;qid=1695173934&amp;sr=8-1")</f>
        <v>https://www.amazon.com/Multi-Bit-Screwdriver-Klein-Tools-32562/dp/B007SF5DNE/ref=sr_1_1?keywords=Klein+Tools+32562+Multi-Bit+Screwdriver+%2F+Nut+Driver%2C+6-in-1%2C+Stubby%2C+Ph%2C+Sl%2C+Sq+Bits&amp;qid=1695173934&amp;sr=8-1</v>
      </c>
      <c r="F6260" t="s">
        <v>4897</v>
      </c>
      <c r="G6260" t="e">
        <f ca="1">_xludf.IMAGE("https://edmondsonsupply.com/cdn/shop/products/32562.jpg?v=1587145424")</f>
        <v>#NAME?</v>
      </c>
      <c r="H6260" t="e">
        <f ca="1">_xludf.IMAGE("https://m.media-amazon.com/images/I/515fclR4vsL._AC_UL320_.jpg")</f>
        <v>#NAME?</v>
      </c>
      <c r="I6260" t="s">
        <v>834</v>
      </c>
      <c r="J6260">
        <v>12.6</v>
      </c>
      <c r="K6260" s="4">
        <v>-0.03</v>
      </c>
      <c r="L6260">
        <v>4.7</v>
      </c>
      <c r="M6260">
        <v>481</v>
      </c>
      <c r="O6260" t="s">
        <v>25</v>
      </c>
      <c r="P6260" t="s">
        <v>3547</v>
      </c>
      <c r="Q6260" t="s">
        <v>3548</v>
      </c>
    </row>
    <row r="6261" spans="1:17" ht="15.5" x14ac:dyDescent="0.35">
      <c r="A6261" s="3" t="str">
        <f>HYPERLINK("https://edmondsonsupply.com/collections/electricians-tools/products/klein-tools-d502-6-pump-pliers-6-inch", "https://edmondsonsupply.com/collections/electricians-tools/products/klein-tools-d502-6-pump-pliers-6-inch")</f>
        <v>https://edmondsonsupply.com/collections/electricians-tools/products/klein-tools-d502-6-pump-pliers-6-inch</v>
      </c>
      <c r="B6261" s="3" t="str">
        <f>HYPERLINK("https://edmondsonsupply.com/products/klein-tools-d502-6-pump-pliers-6-inch", "https://edmondsonsupply.com/products/klein-tools-d502-6-pump-pliers-6-inch")</f>
        <v>https://edmondsonsupply.com/products/klein-tools-d502-6-pump-pliers-6-inch</v>
      </c>
      <c r="C6261" t="s">
        <v>3182</v>
      </c>
      <c r="D6261" t="s">
        <v>4898</v>
      </c>
      <c r="E6261" s="3" t="str">
        <f>HYPERLINK("https://www.amazon.com/Pliers-6-Inch-Klein-Tools-D502-6/dp/B0002RI9UY/ref=sr_1_1?keywords=Klein+Tools+D502-6+Pump+Pliers%2C+6-Inch&amp;qid=1695173894&amp;sr=8-1", "https://www.amazon.com/Pliers-6-Inch-Klein-Tools-D502-6/dp/B0002RI9UY/ref=sr_1_1?keywords=Klein+Tools+D502-6+Pump+Pliers%2C+6-Inch&amp;qid=1695173894&amp;sr=8-1")</f>
        <v>https://www.amazon.com/Pliers-6-Inch-Klein-Tools-D502-6/dp/B0002RI9UY/ref=sr_1_1?keywords=Klein+Tools+D502-6+Pump+Pliers%2C+6-Inch&amp;qid=1695173894&amp;sr=8-1</v>
      </c>
      <c r="F6261" t="s">
        <v>4899</v>
      </c>
      <c r="G6261" t="e">
        <f ca="1">_xludf.IMAGE("https://edmondsonsupply.com/cdn/shop/products/d5026.jpg?v=1587150839")</f>
        <v>#NAME?</v>
      </c>
      <c r="H6261" t="e">
        <f ca="1">_xludf.IMAGE("https://m.media-amazon.com/images/I/41XntVeFqRL._AC_UL320_.jpg")</f>
        <v>#NAME?</v>
      </c>
      <c r="I6261" t="s">
        <v>3185</v>
      </c>
      <c r="J6261">
        <v>20.34</v>
      </c>
      <c r="K6261" s="4">
        <v>-3.1E-2</v>
      </c>
      <c r="L6261">
        <v>4.7</v>
      </c>
      <c r="M6261">
        <v>170</v>
      </c>
      <c r="O6261" t="s">
        <v>25</v>
      </c>
      <c r="P6261" t="s">
        <v>3186</v>
      </c>
      <c r="Q6261" t="s">
        <v>3187</v>
      </c>
    </row>
    <row r="6262" spans="1:17" ht="15.5" x14ac:dyDescent="0.35">
      <c r="A6262" s="3" t="str">
        <f>HYPERLINK("https://edmondsonsupply.com/collections/electricians-tools/products/klein-tools-44133-klein-kurve%C2%AE-retractable-utility-knife", "https://edmondsonsupply.com/collections/electricians-tools/products/klein-tools-44133-klein-kurve%C2%AE-retractable-utility-knife")</f>
        <v>https://edmondsonsupply.com/collections/electricians-tools/products/klein-tools-44133-klein-kurve%C2%AE-retractable-utility-knife</v>
      </c>
      <c r="B6262" s="3" t="str">
        <f>HYPERLINK("https://edmondsonsupply.com/products/klein-tools-44133-klein-kurve%c2%ae-retractable-utility-knife", "https://edmondsonsupply.com/products/klein-tools-44133-klein-kurve%c2%ae-retractable-utility-knife")</f>
        <v>https://edmondsonsupply.com/products/klein-tools-44133-klein-kurve%c2%ae-retractable-utility-knife</v>
      </c>
      <c r="C6262" t="s">
        <v>4905</v>
      </c>
      <c r="D6262" t="s">
        <v>4906</v>
      </c>
      <c r="E6262" s="3" t="str">
        <f>HYPERLINK("https://www.amazon.com/Retractable-Klein-Kurve-Klein-Tools-44133/dp/B00A9GGHHK/ref=sr_1_1?keywords=Klein+Tools+44133+Klein-Kurve%C2%AE+Retractable+Utility+Knife&amp;qid=1695173956&amp;sr=8-1", "https://www.amazon.com/Retractable-Klein-Kurve-Klein-Tools-44133/dp/B00A9GGHHK/ref=sr_1_1?keywords=Klein+Tools+44133+Klein-Kurve%C2%AE+Retractable+Utility+Knife&amp;qid=1695173956&amp;sr=8-1")</f>
        <v>https://www.amazon.com/Retractable-Klein-Kurve-Klein-Tools-44133/dp/B00A9GGHHK/ref=sr_1_1?keywords=Klein+Tools+44133+Klein-Kurve%C2%AE+Retractable+Utility+Knife&amp;qid=1695173956&amp;sr=8-1</v>
      </c>
      <c r="F6262" t="s">
        <v>4907</v>
      </c>
      <c r="G6262" t="e">
        <f ca="1">_xludf.IMAGE("https://edmondsonsupply.com/cdn/shop/products/44133.jpg?v=1665689658")</f>
        <v>#NAME?</v>
      </c>
      <c r="H6262" t="e">
        <f ca="1">_xludf.IMAGE("https://m.media-amazon.com/images/I/41d7hgswvEL._AC_UL320_.jpg")</f>
        <v>#NAME?</v>
      </c>
      <c r="I6262" t="s">
        <v>252</v>
      </c>
      <c r="J6262">
        <v>15.49</v>
      </c>
      <c r="K6262" s="4">
        <v>-3.1300000000000001E-2</v>
      </c>
      <c r="L6262">
        <v>4.5999999999999996</v>
      </c>
      <c r="M6262">
        <v>3083</v>
      </c>
      <c r="O6262" t="s">
        <v>25</v>
      </c>
      <c r="P6262" t="s">
        <v>4908</v>
      </c>
      <c r="Q6262" t="s">
        <v>4909</v>
      </c>
    </row>
    <row r="6263" spans="1:17" ht="15.5" x14ac:dyDescent="0.35">
      <c r="A6263"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6263" s="3" t="str">
        <f>HYPERLINK("https://edmondsonsupply.com/products/milwaukee-2912-22-m18-fuel%e2%84%a2-1-sds-plus-rotary-hammer-kit", "https://edmondsonsupply.com/products/milwaukee-2912-22-m18-fuel%e2%84%a2-1-sds-plus-rotary-hammer-kit")</f>
        <v>https://edmondsonsupply.com/products/milwaukee-2912-22-m18-fuel%e2%84%a2-1-sds-plus-rotary-hammer-kit</v>
      </c>
      <c r="C6263" t="s">
        <v>3848</v>
      </c>
      <c r="D6263" t="s">
        <v>4910</v>
      </c>
      <c r="E6263" s="3" t="str">
        <f>HYPERLINK("https://www.amazon.com/Milwaukee-2712-22-FUEL%C3%A2-Rotary-Hammer/dp/B0742N8XCD/ref=sr_1_5?keywords=Milwaukee+2912-22+M18+FUEL%E2%84%A2+1%22+SDS+Plus+Rotary+Hammer+Kit&amp;qid=1695174040&amp;sr=8-5", "https://www.amazon.com/Milwaukee-2712-22-FUEL%C3%A2-Rotary-Hammer/dp/B0742N8XCD/ref=sr_1_5?keywords=Milwaukee+2912-22+M18+FUEL%E2%84%A2+1%22+SDS+Plus+Rotary+Hammer+Kit&amp;qid=1695174040&amp;sr=8-5")</f>
        <v>https://www.amazon.com/Milwaukee-2712-22-FUEL%C3%A2-Rotary-Hammer/dp/B0742N8XCD/ref=sr_1_5?keywords=Milwaukee+2912-22+M18+FUEL%E2%84%A2+1%22+SDS+Plus+Rotary+Hammer+Kit&amp;qid=1695174040&amp;sr=8-5</v>
      </c>
      <c r="F6263" t="s">
        <v>4911</v>
      </c>
      <c r="G6263" t="e">
        <f ca="1">_xludf.IMAGE("https://edmondsonsupply.com/cdn/shop/files/2912-20_1.webp?v=1686934956")</f>
        <v>#NAME?</v>
      </c>
      <c r="H6263" t="e">
        <f ca="1">_xludf.IMAGE("https://m.media-amazon.com/images/I/51au+ZOY1OL._AC_UL320_.jpg")</f>
        <v>#NAME?</v>
      </c>
      <c r="I6263" t="s">
        <v>3851</v>
      </c>
      <c r="J6263">
        <v>579.9</v>
      </c>
      <c r="K6263" s="4">
        <v>-3.1899999999999998E-2</v>
      </c>
      <c r="L6263">
        <v>4.4000000000000004</v>
      </c>
      <c r="M6263">
        <v>8</v>
      </c>
      <c r="O6263" t="s">
        <v>25</v>
      </c>
      <c r="P6263" t="s">
        <v>3852</v>
      </c>
      <c r="Q6263" t="s">
        <v>3853</v>
      </c>
    </row>
    <row r="6264" spans="1:17" ht="15.5" x14ac:dyDescent="0.35">
      <c r="A6264" s="3" t="str">
        <f>HYPERLINK("https://edmondsonsupply.com/collections/electricians-tools/products/klein-tools-jth4e12-7-32-inch-hex-key-journeyman%E2%84%A2-t-handle-4-inch", "https://edmondsonsupply.com/collections/electricians-tools/products/klein-tools-jth4e12-7-32-inch-hex-key-journeyman%E2%84%A2-t-handle-4-inch")</f>
        <v>https://edmondsonsupply.com/collections/electricians-tools/products/klein-tools-jth4e12-7-32-inch-hex-key-journeyman%E2%84%A2-t-handle-4-inch</v>
      </c>
      <c r="B6264" s="3" t="str">
        <f>HYPERLINK("https://edmondsonsupply.com/products/klein-tools-jth4e12-7-32-inch-hex-key-journeyman%e2%84%a2-t-handle-4-inch", "https://edmondsonsupply.com/products/klein-tools-jth4e12-7-32-inch-hex-key-journeyman%e2%84%a2-t-handle-4-inch")</f>
        <v>https://edmondsonsupply.com/products/klein-tools-jth4e12-7-32-inch-hex-key-journeyman%e2%84%a2-t-handle-4-inch</v>
      </c>
      <c r="C6264" t="s">
        <v>8347</v>
      </c>
      <c r="D6264" t="s">
        <v>8348</v>
      </c>
      <c r="E6264" s="3" t="str">
        <f>HYPERLINK("https://www.amazon.com/Journeyman-T-Handle-Klein-Tools-JTH4E12/dp/B004ITSDTE/ref=sr_1_1?keywords=Klein+Tools+JTH4E12+7%2F32-Inch+Hex+Key%2C+Journeyman%E2%84%A2+T-Handle%2C+4-Inch&amp;qid=1695174172&amp;sr=8-1", "https://www.amazon.com/Journeyman-T-Handle-Klein-Tools-JTH4E12/dp/B004ITSDTE/ref=sr_1_1?keywords=Klein+Tools+JTH4E12+7%2F32-Inch+Hex+Key%2C+Journeyman%E2%84%A2+T-Handle%2C+4-Inch&amp;qid=1695174172&amp;sr=8-1")</f>
        <v>https://www.amazon.com/Journeyman-T-Handle-Klein-Tools-JTH4E12/dp/B004ITSDTE/ref=sr_1_1?keywords=Klein+Tools+JTH4E12+7%2F32-Inch+Hex+Key%2C+Journeyman%E2%84%A2+T-Handle%2C+4-Inch&amp;qid=1695174172&amp;sr=8-1</v>
      </c>
      <c r="F6264" t="s">
        <v>8349</v>
      </c>
      <c r="G6264" t="e">
        <f ca="1">_xludf.IMAGE("https://edmondsonsupply.com/cdn/shop/products/jth4e12.jpg?v=1660516887")</f>
        <v>#NAME?</v>
      </c>
      <c r="H6264" t="e">
        <f ca="1">_xludf.IMAGE("https://m.media-amazon.com/images/I/41u3rsS18AL._AC_UL320_.jpg")</f>
        <v>#NAME?</v>
      </c>
      <c r="I6264" t="s">
        <v>2388</v>
      </c>
      <c r="J6264">
        <v>4.83</v>
      </c>
      <c r="K6264" s="4">
        <v>-3.2099999999999997E-2</v>
      </c>
      <c r="L6264">
        <v>4.8</v>
      </c>
      <c r="M6264">
        <v>2479</v>
      </c>
      <c r="O6264" t="s">
        <v>25</v>
      </c>
      <c r="P6264" t="s">
        <v>2392</v>
      </c>
      <c r="Q6264" t="s">
        <v>8350</v>
      </c>
    </row>
    <row r="6265" spans="1:17" ht="15.5" x14ac:dyDescent="0.35">
      <c r="A6265"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6265" s="3" t="str">
        <f>HYPERLINK("https://edmondsonsupply.com/products/fluke-st120-gfci-socket-tester", "https://edmondsonsupply.com/products/fluke-st120-gfci-socket-tester")</f>
        <v>https://edmondsonsupply.com/products/fluke-st120-gfci-socket-tester</v>
      </c>
      <c r="C6265" t="s">
        <v>8351</v>
      </c>
      <c r="D6265" t="s">
        <v>8352</v>
      </c>
      <c r="E6265" s="3" t="str">
        <f>HYPERLINK("https://www.amazon.com/Fluke-Socket-Tester-Without-Beeper/dp/B0B3VC2W6X/ref=sr_1_2?keywords=Fluke+ST120+Socket+Tester+with+GFCI&amp;qid=1695174173&amp;sr=8-2", "https://www.amazon.com/Fluke-Socket-Tester-Without-Beeper/dp/B0B3VC2W6X/ref=sr_1_2?keywords=Fluke+ST120+Socket+Tester+with+GFCI&amp;qid=1695174173&amp;sr=8-2")</f>
        <v>https://www.amazon.com/Fluke-Socket-Tester-Without-Beeper/dp/B0B3VC2W6X/ref=sr_1_2?keywords=Fluke+ST120+Socket+Tester+with+GFCI&amp;qid=1695174173&amp;sr=8-2</v>
      </c>
      <c r="F6265" t="s">
        <v>8353</v>
      </c>
      <c r="G6265" t="e">
        <f ca="1">_xludf.IMAGE("https://edmondsonsupply.com/cdn/shop/products/F-st120_01a_w.webp?v=1662582102")</f>
        <v>#NAME?</v>
      </c>
      <c r="H6265" t="e">
        <f ca="1">_xludf.IMAGE("https://m.media-amazon.com/images/I/81hERZs6wNL._AC_UL320_.jpg")</f>
        <v>#NAME?</v>
      </c>
      <c r="I6265" t="s">
        <v>4229</v>
      </c>
      <c r="J6265">
        <v>14.98</v>
      </c>
      <c r="K6265" s="4">
        <v>-3.2899999999999999E-2</v>
      </c>
      <c r="L6265">
        <v>4.8</v>
      </c>
      <c r="M6265">
        <v>116</v>
      </c>
      <c r="O6265" t="s">
        <v>25</v>
      </c>
      <c r="P6265" t="s">
        <v>866</v>
      </c>
      <c r="Q6265" t="s">
        <v>8354</v>
      </c>
    </row>
    <row r="6266" spans="1:17" ht="15.5" x14ac:dyDescent="0.35">
      <c r="A6266"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6266" s="3" t="str">
        <f>HYPERLINK("https://edmondsonsupply.com/products/fluke-st120-gfci-socket-tester", "https://edmondsonsupply.com/products/fluke-st120-gfci-socket-tester")</f>
        <v>https://edmondsonsupply.com/products/fluke-st120-gfci-socket-tester</v>
      </c>
      <c r="C6266" t="s">
        <v>8351</v>
      </c>
      <c r="D6266" t="s">
        <v>8355</v>
      </c>
      <c r="E6266" s="3" t="str">
        <f>HYPERLINK("https://www.amazon.com/Fluke-ST120-Socket-Tester-Audible/dp/B0B3VCZ4XK/ref=sr_1_1?keywords=Fluke+ST120+Socket+Tester+with+GFCI&amp;qid=1695174173&amp;sr=8-1", "https://www.amazon.com/Fluke-ST120-Socket-Tester-Audible/dp/B0B3VCZ4XK/ref=sr_1_1?keywords=Fluke+ST120+Socket+Tester+with+GFCI&amp;qid=1695174173&amp;sr=8-1")</f>
        <v>https://www.amazon.com/Fluke-ST120-Socket-Tester-Audible/dp/B0B3VCZ4XK/ref=sr_1_1?keywords=Fluke+ST120+Socket+Tester+with+GFCI&amp;qid=1695174173&amp;sr=8-1</v>
      </c>
      <c r="F6266" t="s">
        <v>8356</v>
      </c>
      <c r="G6266" t="e">
        <f ca="1">_xludf.IMAGE("https://edmondsonsupply.com/cdn/shop/products/F-st120_01a_w.webp?v=1662582102")</f>
        <v>#NAME?</v>
      </c>
      <c r="H6266" t="e">
        <f ca="1">_xludf.IMAGE("https://m.media-amazon.com/images/I/816n049-GKL._AC_UL320_.jpg")</f>
        <v>#NAME?</v>
      </c>
      <c r="I6266" t="s">
        <v>4229</v>
      </c>
      <c r="J6266">
        <v>14.98</v>
      </c>
      <c r="K6266" s="4">
        <v>-3.2899999999999999E-2</v>
      </c>
      <c r="L6266">
        <v>4.8</v>
      </c>
      <c r="M6266">
        <v>641</v>
      </c>
      <c r="O6266" t="s">
        <v>25</v>
      </c>
      <c r="P6266" t="s">
        <v>866</v>
      </c>
      <c r="Q6266" t="s">
        <v>8354</v>
      </c>
    </row>
    <row r="6267" spans="1:17" ht="15.5" x14ac:dyDescent="0.35">
      <c r="A6267"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6267"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6267" t="s">
        <v>7296</v>
      </c>
      <c r="D6267" t="s">
        <v>1479</v>
      </c>
      <c r="E6267" s="3" t="str">
        <f>HYPERLINK("https://www.amazon.com/Driver-6-Inch-Klein-Tools-647/dp/B0014KRVXO/ref=sr_1_3?keywords=Klein+Tools+631+Nut+Driver+Set%2C+3-Inch+Shafts%2C+Cushion+Grip%2C+7-Piece&amp;qid=1695174239&amp;sr=8-3", "https://www.amazon.com/Driver-6-Inch-Klein-Tools-647/dp/B0014KRVXO/ref=sr_1_3?keywords=Klein+Tools+631+Nut+Driver+Set%2C+3-Inch+Shafts%2C+Cushion+Grip%2C+7-Piece&amp;qid=1695174239&amp;sr=8-3")</f>
        <v>https://www.amazon.com/Driver-6-Inch-Klein-Tools-647/dp/B0014KRVXO/ref=sr_1_3?keywords=Klein+Tools+631+Nut+Driver+Set%2C+3-Inch+Shafts%2C+Cushion+Grip%2C+7-Piece&amp;qid=1695174239&amp;sr=8-3</v>
      </c>
      <c r="F6267" t="s">
        <v>1480</v>
      </c>
      <c r="G6267" t="e">
        <f ca="1">_xludf.IMAGE("https://edmondsonsupply.com/cdn/shop/products/631.jpg?v=1632441079")</f>
        <v>#NAME?</v>
      </c>
      <c r="H6267" t="e">
        <f ca="1">_xludf.IMAGE("https://m.media-amazon.com/images/I/51usUk-EpGL._AC_UL320_.jpg")</f>
        <v>#NAME?</v>
      </c>
      <c r="I6267" t="s">
        <v>905</v>
      </c>
      <c r="J6267">
        <v>57.99</v>
      </c>
      <c r="K6267" s="4">
        <v>-3.3300000000000003E-2</v>
      </c>
      <c r="L6267">
        <v>4.8</v>
      </c>
      <c r="M6267">
        <v>735</v>
      </c>
      <c r="O6267" t="s">
        <v>25</v>
      </c>
      <c r="P6267" t="s">
        <v>7297</v>
      </c>
      <c r="Q6267" t="s">
        <v>7298</v>
      </c>
    </row>
    <row r="6268" spans="1:17" ht="15.5" x14ac:dyDescent="0.35">
      <c r="A6268" s="3" t="str">
        <f>HYPERLINK("https://edmondsonsupply.com/collections/electricians-tools/products/klein-tools-88912-pvc-and-multilayer-tubing-cutter", "https://edmondsonsupply.com/collections/electricians-tools/products/klein-tools-88912-pvc-and-multilayer-tubing-cutter")</f>
        <v>https://edmondsonsupply.com/collections/electricians-tools/products/klein-tools-88912-pvc-and-multilayer-tubing-cutter</v>
      </c>
      <c r="B6268" s="3" t="str">
        <f>HYPERLINK("https://edmondsonsupply.com/products/klein-tools-88912-pvc-and-multilayer-tubing-cutter", "https://edmondsonsupply.com/products/klein-tools-88912-pvc-and-multilayer-tubing-cutter")</f>
        <v>https://edmondsonsupply.com/products/klein-tools-88912-pvc-and-multilayer-tubing-cutter</v>
      </c>
      <c r="C6268" t="s">
        <v>8357</v>
      </c>
      <c r="D6268" t="s">
        <v>8357</v>
      </c>
      <c r="E6268" s="3" t="str">
        <f>HYPERLINK("https://www.amazon.com/Multilayer-Tubing-Klein-Tools-88912/dp/B0778QB69D/ref=sr_1_1?keywords=Klein+Tools+88912+PVC+and+Multilayer+Tubing+Cutter&amp;qid=1695174265&amp;sr=8-1", "https://www.amazon.com/Multilayer-Tubing-Klein-Tools-88912/dp/B0778QB69D/ref=sr_1_1?keywords=Klein+Tools+88912+PVC+and+Multilayer+Tubing+Cutter&amp;qid=1695174265&amp;sr=8-1")</f>
        <v>https://www.amazon.com/Multilayer-Tubing-Klein-Tools-88912/dp/B0778QB69D/ref=sr_1_1?keywords=Klein+Tools+88912+PVC+and+Multilayer+Tubing+Cutter&amp;qid=1695174265&amp;sr=8-1</v>
      </c>
      <c r="F6268" t="s">
        <v>8358</v>
      </c>
      <c r="G6268" t="e">
        <f ca="1">_xludf.IMAGE("https://edmondsonsupply.com/cdn/shop/products/88912.jpg?v=1633031020")</f>
        <v>#NAME?</v>
      </c>
      <c r="H6268" t="e">
        <f ca="1">_xludf.IMAGE("https://m.media-amazon.com/images/I/51pk04P2QdL._AC_UL320_.jpg")</f>
        <v>#NAME?</v>
      </c>
      <c r="I6268" t="s">
        <v>946</v>
      </c>
      <c r="J6268">
        <v>43.49</v>
      </c>
      <c r="K6268" s="4">
        <v>-3.3300000000000003E-2</v>
      </c>
      <c r="L6268">
        <v>4.2</v>
      </c>
      <c r="M6268">
        <v>39</v>
      </c>
      <c r="O6268" t="s">
        <v>25</v>
      </c>
      <c r="P6268" t="s">
        <v>8359</v>
      </c>
      <c r="Q6268" t="s">
        <v>8360</v>
      </c>
    </row>
    <row r="6269" spans="1:17" ht="15.5" x14ac:dyDescent="0.35">
      <c r="A6269"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6269"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6269" t="s">
        <v>1566</v>
      </c>
      <c r="D6269" t="s">
        <v>4912</v>
      </c>
      <c r="E6269" s="3" t="str">
        <f>HYPERLINK("https://www.amazon.com/Klein-Tools-NCVT2PKIT-Non-Contact-Application/dp/B08FPHS6HL/ref=sr_1_4?keywords=Klein+Tools+NCVT-2PKIT+Dual+Range+Non-Contact+Voltage+Tester+with+Receptacle+Tester&amp;qid=1695173953&amp;sr=8-4", "https://www.amazon.com/Klein-Tools-NCVT2PKIT-Non-Contact-Application/dp/B08FPHS6HL/ref=sr_1_4?keywords=Klein+Tools+NCVT-2PKIT+Dual+Range+Non-Contact+Voltage+Tester+with+Receptacle+Tester&amp;qid=1695173953&amp;sr=8-4")</f>
        <v>https://www.amazon.com/Klein-Tools-NCVT2PKIT-Non-Contact-Application/dp/B08FPHS6HL/ref=sr_1_4?keywords=Klein+Tools+NCVT-2PKIT+Dual+Range+Non-Contact+Voltage+Tester+with+Receptacle+Tester&amp;qid=1695173953&amp;sr=8-4</v>
      </c>
      <c r="F6269" t="s">
        <v>4913</v>
      </c>
      <c r="G6269" t="e">
        <f ca="1">_xludf.IMAGE("https://edmondsonsupply.com/cdn/shop/products/ncvt2pkit.jpg?v=1633030827")</f>
        <v>#NAME?</v>
      </c>
      <c r="H6269" t="e">
        <f ca="1">_xludf.IMAGE("https://m.media-amazon.com/images/I/511RscwJPxL._AC_UL320_.jpg")</f>
        <v>#NAME?</v>
      </c>
      <c r="I6269" t="s">
        <v>26</v>
      </c>
      <c r="J6269">
        <v>28.99</v>
      </c>
      <c r="K6269" s="4">
        <v>-3.3300000000000003E-2</v>
      </c>
      <c r="L6269">
        <v>4.8</v>
      </c>
      <c r="M6269">
        <v>3262</v>
      </c>
      <c r="O6269" t="s">
        <v>25</v>
      </c>
      <c r="P6269" t="s">
        <v>1569</v>
      </c>
      <c r="Q6269" t="s">
        <v>1570</v>
      </c>
    </row>
    <row r="6270" spans="1:17" ht="15.5" x14ac:dyDescent="0.35">
      <c r="A6270" s="3" t="str">
        <f>HYPERLINK("https://edmondsonsupply.com/collections/electricians-tools/products/milwaukee-2863-22r-m18-fuel%E2%84%A2-w-one-key%E2%84%A2-high-torque-impact-wrench-1-2-friction-ring-kit", "https://edmondsonsupply.com/collections/electricians-tools/products/milwaukee-2863-22r-m18-fuel%E2%84%A2-w-one-key%E2%84%A2-high-torque-impact-wrench-1-2-friction-ring-kit")</f>
        <v>https://edmondsonsupply.com/collections/electricians-tools/products/milwaukee-2863-22r-m18-fuel%E2%84%A2-w-one-key%E2%84%A2-high-torque-impact-wrench-1-2-friction-ring-kit</v>
      </c>
      <c r="B6270" s="3" t="str">
        <f>HYPERLINK("https://edmondsonsupply.com/products/milwaukee-2863-22r-m18-fuel%e2%84%a2-w-one-key%e2%84%a2-high-torque-impact-wrench-1-2-friction-ring-kit", "https://edmondsonsupply.com/products/milwaukee-2863-22r-m18-fuel%e2%84%a2-w-one-key%e2%84%a2-high-torque-impact-wrench-1-2-friction-ring-kit")</f>
        <v>https://edmondsonsupply.com/products/milwaukee-2863-22r-m18-fuel%e2%84%a2-w-one-key%e2%84%a2-high-torque-impact-wrench-1-2-friction-ring-kit</v>
      </c>
      <c r="C6270" t="s">
        <v>8361</v>
      </c>
      <c r="D6270" t="s">
        <v>7524</v>
      </c>
      <c r="E6270" s="3" t="str">
        <f>HYPERLINK("https://www.amazon.com/Milwaukee-ONE-KEY-Torque-Impact-Friction/dp/B08DTMV8DQ/ref=sr_1_1?keywords=Milwaukee+2863-22R+M18+FUEL%E2%84%A2+w%2F+ONE-KEY%E2%84%A2+High+Torque+Impact+Wrench+1%2F2%22+Friction+Ring+Kit&amp;qid=1695174108&amp;sr=8-1", "https://www.amazon.com/Milwaukee-ONE-KEY-Torque-Impact-Friction/dp/B08DTMV8DQ/ref=sr_1_1?keywords=Milwaukee+2863-22R+M18+FUEL%E2%84%A2+w%2F+ONE-KEY%E2%84%A2+High+Torque+Impact+Wrench+1%2F2%22+Friction+Ring+Kit&amp;qid=1695174108&amp;sr=8-1")</f>
        <v>https://www.amazon.com/Milwaukee-ONE-KEY-Torque-Impact-Friction/dp/B08DTMV8DQ/ref=sr_1_1?keywords=Milwaukee+2863-22R+M18+FUEL%E2%84%A2+w%2F+ONE-KEY%E2%84%A2+High+Torque+Impact+Wrench+1%2F2%22+Friction+Ring+Kit&amp;qid=1695174108&amp;sr=8-1</v>
      </c>
      <c r="F6270" t="s">
        <v>7525</v>
      </c>
      <c r="G6270" t="e">
        <f ca="1">_xludf.IMAGE("https://edmondsonsupply.com/cdn/shop/products/2863-22R_Kit_102.png?v=1671644124")</f>
        <v>#NAME?</v>
      </c>
      <c r="H6270" t="e">
        <f ca="1">_xludf.IMAGE("https://m.media-amazon.com/images/I/41bfbogzulL._AC_UL320_.jpg")</f>
        <v>#NAME?</v>
      </c>
      <c r="I6270" t="s">
        <v>8362</v>
      </c>
      <c r="J6270">
        <v>549.9</v>
      </c>
      <c r="K6270" s="4">
        <v>-3.3599999999999998E-2</v>
      </c>
      <c r="L6270">
        <v>3.6</v>
      </c>
      <c r="M6270">
        <v>2</v>
      </c>
      <c r="O6270" t="s">
        <v>25</v>
      </c>
      <c r="P6270" t="s">
        <v>8363</v>
      </c>
      <c r="Q6270" t="s">
        <v>8364</v>
      </c>
    </row>
    <row r="6271" spans="1:17" ht="15.5" x14ac:dyDescent="0.35">
      <c r="A6271"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6271"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6271" t="s">
        <v>7170</v>
      </c>
      <c r="D6271" t="s">
        <v>8365</v>
      </c>
      <c r="E6271" s="3" t="str">
        <f>HYPERLINK("https://www.amazon.com/Klein-Tools-Heavy-Duty-Driver-4-Piece/dp/B01D6D08UO/ref=sr_1_1?keywords=Klein+Tools+635-4+Nut+Driver+Set%2C+Magnetic+Nut+Drivers%2C+Heavy+Duty%2C+4-Piece&amp;qid=1695174225&amp;sr=8-1", "https://www.amazon.com/Klein-Tools-Heavy-Duty-Driver-4-Piece/dp/B01D6D08UO/ref=sr_1_1?keywords=Klein+Tools+635-4+Nut+Driver+Set%2C+Magnetic+Nut+Drivers%2C+Heavy+Duty%2C+4-Piece&amp;qid=1695174225&amp;sr=8-1")</f>
        <v>https://www.amazon.com/Klein-Tools-Heavy-Duty-Driver-4-Piece/dp/B01D6D08UO/ref=sr_1_1?keywords=Klein+Tools+635-4+Nut+Driver+Set%2C+Magnetic+Nut+Drivers%2C+Heavy+Duty%2C+4-Piece&amp;qid=1695174225&amp;sr=8-1</v>
      </c>
      <c r="F6271" t="s">
        <v>8366</v>
      </c>
      <c r="G6271" t="e">
        <f ca="1">_xludf.IMAGE("https://edmondsonsupply.com/cdn/shop/products/635-4.jpg?v=1640815398")</f>
        <v>#NAME?</v>
      </c>
      <c r="H6271" t="e">
        <f ca="1">_xludf.IMAGE("https://m.media-amazon.com/images/I/51svRJU945L._AC_UL320_.jpg")</f>
        <v>#NAME?</v>
      </c>
      <c r="I6271" t="s">
        <v>269</v>
      </c>
      <c r="J6271">
        <v>53.13</v>
      </c>
      <c r="K6271" s="4">
        <v>-3.3799999999999997E-2</v>
      </c>
      <c r="L6271">
        <v>4.7</v>
      </c>
      <c r="M6271">
        <v>943</v>
      </c>
      <c r="O6271" t="s">
        <v>25</v>
      </c>
      <c r="P6271" t="s">
        <v>7171</v>
      </c>
      <c r="Q6271" t="s">
        <v>7172</v>
      </c>
    </row>
    <row r="6272" spans="1:17" ht="15.5" x14ac:dyDescent="0.35">
      <c r="A6272"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6272"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6272" t="s">
        <v>1566</v>
      </c>
      <c r="D6272" t="s">
        <v>4914</v>
      </c>
      <c r="E6272" s="3" t="str">
        <f>HYPERLINK("https://www.amazon.com/Klein-Tools-NCVT-2-Standard-Protection/dp/B004FXJOQO/ref=sr_1_2?keywords=Klein+Tools+NCVT-2PKIT+Dual+Range+Non-Contact+Voltage+Tester+with+Receptacle+Tester&amp;qid=1695173953&amp;sr=8-2", "https://www.amazon.com/Klein-Tools-NCVT-2-Standard-Protection/dp/B004FXJOQO/ref=sr_1_2?keywords=Klein+Tools+NCVT-2PKIT+Dual+Range+Non-Contact+Voltage+Tester+with+Receptacle+Tester&amp;qid=1695173953&amp;sr=8-2")</f>
        <v>https://www.amazon.com/Klein-Tools-NCVT-2-Standard-Protection/dp/B004FXJOQO/ref=sr_1_2?keywords=Klein+Tools+NCVT-2PKIT+Dual+Range+Non-Contact+Voltage+Tester+with+Receptacle+Tester&amp;qid=1695173953&amp;sr=8-2</v>
      </c>
      <c r="F6272" t="s">
        <v>4915</v>
      </c>
      <c r="G6272" t="e">
        <f ca="1">_xludf.IMAGE("https://edmondsonsupply.com/cdn/shop/products/ncvt2pkit.jpg?v=1633030827")</f>
        <v>#NAME?</v>
      </c>
      <c r="H6272" t="e">
        <f ca="1">_xludf.IMAGE("https://m.media-amazon.com/images/I/514tywDAdHL._AC_UL320_.jpg")</f>
        <v>#NAME?</v>
      </c>
      <c r="I6272" t="s">
        <v>26</v>
      </c>
      <c r="J6272">
        <v>28.95</v>
      </c>
      <c r="K6272" s="4">
        <v>-3.4700000000000002E-2</v>
      </c>
      <c r="L6272">
        <v>4.5999999999999996</v>
      </c>
      <c r="M6272">
        <v>5762</v>
      </c>
      <c r="O6272" t="s">
        <v>25</v>
      </c>
      <c r="P6272" t="s">
        <v>1569</v>
      </c>
      <c r="Q6272" t="s">
        <v>1570</v>
      </c>
    </row>
    <row r="6273" spans="1:17" ht="15.5" x14ac:dyDescent="0.35">
      <c r="A6273" s="3" t="str">
        <f>HYPERLINK("https://edmondsonsupply.com/collections/electricians-tools/products/klein-tools-56250-wire-marker-book-1-48", "https://edmondsonsupply.com/collections/electricians-tools/products/klein-tools-56250-wire-marker-book-1-48")</f>
        <v>https://edmondsonsupply.com/collections/electricians-tools/products/klein-tools-56250-wire-marker-book-1-48</v>
      </c>
      <c r="B6273" s="3" t="str">
        <f>HYPERLINK("https://edmondsonsupply.com/products/klein-tools-56250-wire-marker-book-1-48", "https://edmondsonsupply.com/products/klein-tools-56250-wire-marker-book-1-48")</f>
        <v>https://edmondsonsupply.com/products/klein-tools-56250-wire-marker-book-1-48</v>
      </c>
      <c r="C6273" t="s">
        <v>8367</v>
      </c>
      <c r="D6273" t="s">
        <v>8368</v>
      </c>
      <c r="E6273" s="3" t="str">
        <f>HYPERLINK("https://www.amazon.com/Wire-Marker-Klein-Tools-56250/dp/B072SVZKQ5/ref=sr_1_1?keywords=Klein+Tools+56250+Wire+Marker+Book%2C+1-48&amp;qid=1695173926&amp;sr=8-1", "https://www.amazon.com/Wire-Marker-Klein-Tools-56250/dp/B072SVZKQ5/ref=sr_1_1?keywords=Klein+Tools+56250+Wire+Marker+Book%2C+1-48&amp;qid=1695173926&amp;sr=8-1")</f>
        <v>https://www.amazon.com/Wire-Marker-Klein-Tools-56250/dp/B072SVZKQ5/ref=sr_1_1?keywords=Klein+Tools+56250+Wire+Marker+Book%2C+1-48&amp;qid=1695173926&amp;sr=8-1</v>
      </c>
      <c r="F6273" t="s">
        <v>8369</v>
      </c>
      <c r="G6273" t="e">
        <f ca="1">_xludf.IMAGE("https://edmondsonsupply.com/cdn/shop/products/56250_b.jpg?v=1667234920")</f>
        <v>#NAME?</v>
      </c>
      <c r="H6273" t="e">
        <f ca="1">_xludf.IMAGE("https://m.media-amazon.com/images/I/61XBNJv45OL._AC_UL320_.jpg")</f>
        <v>#NAME?</v>
      </c>
      <c r="I6273" t="s">
        <v>8370</v>
      </c>
      <c r="J6273">
        <v>13.48</v>
      </c>
      <c r="K6273" s="4">
        <v>-3.5099999999999999E-2</v>
      </c>
      <c r="L6273">
        <v>4.7</v>
      </c>
      <c r="M6273">
        <v>1057</v>
      </c>
      <c r="O6273" t="s">
        <v>25</v>
      </c>
      <c r="P6273" t="s">
        <v>4772</v>
      </c>
      <c r="Q6273" t="s">
        <v>8371</v>
      </c>
    </row>
    <row r="6274" spans="1:17" ht="15.5" x14ac:dyDescent="0.35">
      <c r="A6274" s="3" t="str">
        <f>HYPERLINK("https://edmondsonsupply.com/collections/electricians-tools/products/klein-tools-70571-grip-it%C2%AE-ball-end-hex-set-5-key-sae-sizes", "https://edmondsonsupply.com/collections/electricians-tools/products/klein-tools-70571-grip-it%C2%AE-ball-end-hex-set-5-key-sae-sizes")</f>
        <v>https://edmondsonsupply.com/collections/electricians-tools/products/klein-tools-70571-grip-it%C2%AE-ball-end-hex-set-5-key-sae-sizes</v>
      </c>
      <c r="B6274" s="3" t="str">
        <f>HYPERLINK("https://edmondsonsupply.com/products/klein-tools-70571-grip-it%c2%ae-ball-end-hex-set-5-key-sae-sizes", "https://edmondsonsupply.com/products/klein-tools-70571-grip-it%c2%ae-ball-end-hex-set-5-key-sae-sizes")</f>
        <v>https://edmondsonsupply.com/products/klein-tools-70571-grip-it%c2%ae-ball-end-hex-set-5-key-sae-sizes</v>
      </c>
      <c r="C6274" t="s">
        <v>8230</v>
      </c>
      <c r="D6274" t="s">
        <v>7996</v>
      </c>
      <c r="E6274" s="3" t="str">
        <f>HYPERLINK("https://www.amazon.com/Grip-Five-Key-Ball-Hex/dp/B000936R78/ref=sr_1_2?keywords=Klein+Tools+70571+Grip-It%C2%AE+Ball+End+Hex+Set%2C+5-Key%2C+SAE+Sizes&amp;qid=1695174146&amp;sr=8-2", "https://www.amazon.com/Grip-Five-Key-Ball-Hex/dp/B000936R78/ref=sr_1_2?keywords=Klein+Tools+70571+Grip-It%C2%AE+Ball+End+Hex+Set%2C+5-Key%2C+SAE+Sizes&amp;qid=1695174146&amp;sr=8-2")</f>
        <v>https://www.amazon.com/Grip-Five-Key-Ball-Hex/dp/B000936R78/ref=sr_1_2?keywords=Klein+Tools+70571+Grip-It%C2%AE+Ball+End+Hex+Set%2C+5-Key%2C+SAE+Sizes&amp;qid=1695174146&amp;sr=8-2</v>
      </c>
      <c r="F6274" t="s">
        <v>7997</v>
      </c>
      <c r="G6274" t="e">
        <f ca="1">_xludf.IMAGE("https://edmondsonsupply.com/cdn/shop/products/70571.jpg?v=1665688779")</f>
        <v>#NAME?</v>
      </c>
      <c r="H6274" t="e">
        <f ca="1">_xludf.IMAGE("https://m.media-amazon.com/images/I/51dn84Vs5NL._AC_UL320_.jpg")</f>
        <v>#NAME?</v>
      </c>
      <c r="I6274" t="s">
        <v>288</v>
      </c>
      <c r="J6274">
        <v>13.49</v>
      </c>
      <c r="K6274" s="4">
        <v>-3.5700000000000003E-2</v>
      </c>
      <c r="L6274">
        <v>4.9000000000000004</v>
      </c>
      <c r="M6274">
        <v>15</v>
      </c>
      <c r="O6274" t="s">
        <v>25</v>
      </c>
      <c r="P6274" t="s">
        <v>1722</v>
      </c>
      <c r="Q6274" t="s">
        <v>8231</v>
      </c>
    </row>
    <row r="6275" spans="1:17" ht="15.5" x14ac:dyDescent="0.35">
      <c r="A6275" s="3" t="str">
        <f>HYPERLINK("https://edmondsonsupply.com/collections/electricians-tools/products/crescent-lufkin-l1125b-02-1-3-16-x-25-shockforce-nite-eye%E2%84%A2-g1-dual-sided-tape-measure", "https://edmondsonsupply.com/collections/electricians-tools/products/crescent-lufkin-l1125b-02-1-3-16-x-25-shockforce-nite-eye%E2%84%A2-g1-dual-sided-tape-measure")</f>
        <v>https://edmondsonsupply.com/collections/electricians-tools/products/crescent-lufkin-l1125b-02-1-3-16-x-25-shockforce-nite-eye%E2%84%A2-g1-dual-sided-tape-measure</v>
      </c>
      <c r="B6275" s="3" t="str">
        <f>HYPERLINK("https://edmondsonsupply.com/products/crescent-lufkin-l1125b-02-1-3-16-x-25-shockforce-nite-eye%e2%84%a2-g1-dual-sided-tape-measure", "https://edmondsonsupply.com/products/crescent-lufkin-l1125b-02-1-3-16-x-25-shockforce-nite-eye%e2%84%a2-g1-dual-sided-tape-measure")</f>
        <v>https://edmondsonsupply.com/products/crescent-lufkin-l1125b-02-1-3-16-x-25-shockforce-nite-eye%e2%84%a2-g1-dual-sided-tape-measure</v>
      </c>
      <c r="C6275" t="s">
        <v>8372</v>
      </c>
      <c r="D6275" t="s">
        <v>7402</v>
      </c>
      <c r="E6275" s="3" t="str">
        <f>HYPERLINK("https://www.amazon.com/CRESCENT-LUFKIN-Crescent-Lufkin-Shock/dp/B09N3VL34P/ref=sr_1_2?keywords=Crescent+Lufkin+L1125B-02+1-3%2F16%22+x+25%27+Shockforce+Nite+Eye%E2%84%A2+G1+Dual+Sided+Tape+Measure&amp;qid=1695174047&amp;sr=8-2", "https://www.amazon.com/CRESCENT-LUFKIN-Crescent-Lufkin-Shock/dp/B09N3VL34P/ref=sr_1_2?keywords=Crescent+Lufkin+L1125B-02+1-3%2F16%22+x+25%27+Shockforce+Nite+Eye%E2%84%A2+G1+Dual+Sided+Tape+Measure&amp;qid=1695174047&amp;sr=8-2")</f>
        <v>https://www.amazon.com/CRESCENT-LUFKIN-Crescent-Lufkin-Shock/dp/B09N3VL34P/ref=sr_1_2?keywords=Crescent+Lufkin+L1125B-02+1-3%2F16%22+x+25%27+Shockforce+Nite+Eye%E2%84%A2+G1+Dual+Sided+Tape+Measure&amp;qid=1695174047&amp;sr=8-2</v>
      </c>
      <c r="F6275" t="s">
        <v>7403</v>
      </c>
      <c r="G6275" t="e">
        <f ca="1">_xludf.IMAGE("https://edmondsonsupply.com/cdn/shop/products/LFK_L1125B_MAIN.jpg?v=1679579190")</f>
        <v>#NAME?</v>
      </c>
      <c r="H6275" t="e">
        <f ca="1">_xludf.IMAGE("https://m.media-amazon.com/images/I/911pAo7DD4L._AC_UL320_.jpg")</f>
        <v>#NAME?</v>
      </c>
      <c r="I6275" t="s">
        <v>8373</v>
      </c>
      <c r="J6275">
        <v>31.55</v>
      </c>
      <c r="K6275" s="4">
        <v>-3.6600000000000001E-2</v>
      </c>
      <c r="L6275">
        <v>4.4000000000000004</v>
      </c>
      <c r="M6275">
        <v>57</v>
      </c>
      <c r="O6275" t="s">
        <v>25</v>
      </c>
      <c r="P6275" t="s">
        <v>8374</v>
      </c>
      <c r="Q6275" t="s">
        <v>8375</v>
      </c>
    </row>
    <row r="6276" spans="1:17" ht="15.5" x14ac:dyDescent="0.35">
      <c r="A6276" s="3" t="str">
        <f>HYPERLINK("https://edmondsonsupply.com/collections/electricians-tools/products/klein-tools-ktsb01-step-drill-bit-double-fluted-1-1-8-to-1-2-inch", "https://edmondsonsupply.com/collections/electricians-tools/products/klein-tools-ktsb01-step-drill-bit-double-fluted-1-1-8-to-1-2-inch")</f>
        <v>https://edmondsonsupply.com/collections/electricians-tools/products/klein-tools-ktsb01-step-drill-bit-double-fluted-1-1-8-to-1-2-inch</v>
      </c>
      <c r="B6276" s="3" t="str">
        <f>HYPERLINK("https://edmondsonsupply.com/products/klein-tools-ktsb01-step-drill-bit-double-fluted-1-1-8-to-1-2-inch", "https://edmondsonsupply.com/products/klein-tools-ktsb01-step-drill-bit-double-fluted-1-1-8-to-1-2-inch")</f>
        <v>https://edmondsonsupply.com/products/klein-tools-ktsb01-step-drill-bit-double-fluted-1-1-8-to-1-2-inch</v>
      </c>
      <c r="C6276" t="s">
        <v>6266</v>
      </c>
      <c r="D6276" t="s">
        <v>8376</v>
      </c>
      <c r="E6276" s="3" t="str">
        <f>HYPERLINK("https://www.amazon.com/Klein-Tools-KTSB01-Double-Fluted-2-Inch/dp/B014XJGXOA/ref=sr_1_1?keywords=Klein+Tools+KTSB01+Step+Drill+Bit+Double-Fluted+%231%2C+1%2F8+to+1%2F2-Inch&amp;qid=1695174255&amp;sr=8-1", "https://www.amazon.com/Klein-Tools-KTSB01-Double-Fluted-2-Inch/dp/B014XJGXOA/ref=sr_1_1?keywords=Klein+Tools+KTSB01+Step+Drill+Bit+Double-Fluted+%231%2C+1%2F8+to+1%2F2-Inch&amp;qid=1695174255&amp;sr=8-1")</f>
        <v>https://www.amazon.com/Klein-Tools-KTSB01-Double-Fluted-2-Inch/dp/B014XJGXOA/ref=sr_1_1?keywords=Klein+Tools+KTSB01+Step+Drill+Bit+Double-Fluted+%231%2C+1%2F8+to+1%2F2-Inch&amp;qid=1695174255&amp;sr=8-1</v>
      </c>
      <c r="F6276" t="s">
        <v>8377</v>
      </c>
      <c r="G6276" t="e">
        <f ca="1">_xludf.IMAGE("https://edmondsonsupply.com/cdn/shop/products/ktsb01.jpg?v=1633903640")</f>
        <v>#NAME?</v>
      </c>
      <c r="H6276" t="e">
        <f ca="1">_xludf.IMAGE("https://m.media-amazon.com/images/I/417IbPKpdoL._AC_UY218_.jpg")</f>
        <v>#NAME?</v>
      </c>
      <c r="I6276" t="s">
        <v>967</v>
      </c>
      <c r="J6276">
        <v>25.99</v>
      </c>
      <c r="K6276" s="4">
        <v>-3.7100000000000001E-2</v>
      </c>
      <c r="L6276">
        <v>4.7</v>
      </c>
      <c r="M6276">
        <v>1773</v>
      </c>
      <c r="O6276" t="s">
        <v>25</v>
      </c>
      <c r="P6276" t="s">
        <v>6267</v>
      </c>
      <c r="Q6276" t="s">
        <v>6268</v>
      </c>
    </row>
    <row r="6277" spans="1:17" ht="15.5" x14ac:dyDescent="0.35">
      <c r="A6277" s="3" t="str">
        <f>HYPERLINK("https://edmondsonsupply.com/collections/electricians-tools/products/wiha-tools-66992-22-piece-magicring-ball-end-hex-l-key-set-inch-metric", "https://edmondsonsupply.com/collections/electricians-tools/products/wiha-tools-66992-22-piece-magicring-ball-end-hex-l-key-set-inch-metric")</f>
        <v>https://edmondsonsupply.com/collections/electricians-tools/products/wiha-tools-66992-22-piece-magicring-ball-end-hex-l-key-set-inch-metric</v>
      </c>
      <c r="B6277"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6277" t="s">
        <v>4919</v>
      </c>
      <c r="D6277" t="s">
        <v>4920</v>
      </c>
      <c r="E6277" s="3" t="str">
        <f>HYPERLINK("https://www.amazon.com/Wiha-66992-MagicRing-L-Key-Holders/dp/B000LF2LJM/ref=sr_1_1?keywords=Wiha+Tools+66992+22+Piece+MagicRing+Ball+End+Hex+L-Key+Set+-+Inch+-+Metric&amp;qid=1695173977&amp;sr=8-1", "https://www.amazon.com/Wiha-66992-MagicRing-L-Key-Holders/dp/B000LF2LJM/ref=sr_1_1?keywords=Wiha+Tools+66992+22+Piece+MagicRing+Ball+End+Hex+L-Key+Set+-+Inch+-+Metric&amp;qid=1695173977&amp;sr=8-1")</f>
        <v>https://www.amazon.com/Wiha-66992-MagicRing-L-Key-Holders/dp/B000LF2LJM/ref=sr_1_1?keywords=Wiha+Tools+66992+22+Piece+MagicRing+Ball+End+Hex+L-Key+Set+-+Inch+-+Metric&amp;qid=1695173977&amp;sr=8-1</v>
      </c>
      <c r="F6277" t="s">
        <v>4921</v>
      </c>
      <c r="G6277" t="e">
        <f ca="1">_xludf.IMAGE("https://edmondsonsupply.com/cdn/shop/files/29417a271125353d697d01cfdfb24cc6e99901ce_1000x_6829985f-7f40-4410-b5be-ba7bc87b2a14.webp?v=1690840271")</f>
        <v>#NAME?</v>
      </c>
      <c r="H6277" t="e">
        <f ca="1">_xludf.IMAGE("https://m.media-amazon.com/images/I/71eB60IkANL._AC_UL320_.jpg")</f>
        <v>#NAME?</v>
      </c>
      <c r="I6277" t="s">
        <v>4922</v>
      </c>
      <c r="J6277">
        <v>81.03</v>
      </c>
      <c r="K6277" s="4">
        <v>-3.7499999999999999E-2</v>
      </c>
      <c r="L6277">
        <v>4.7</v>
      </c>
      <c r="M6277">
        <v>533</v>
      </c>
      <c r="O6277" t="s">
        <v>25</v>
      </c>
      <c r="P6277" t="s">
        <v>4923</v>
      </c>
      <c r="Q6277" t="s">
        <v>4924</v>
      </c>
    </row>
    <row r="6278" spans="1:17" ht="15.5" x14ac:dyDescent="0.35">
      <c r="A6278" s="3" t="str">
        <f>HYPERLINK("https://edmondsonsupply.com/collections/electricians-tools/products/wiha-tools-32637-10-classic-auto-grip-v-jaw-tongue-and-groove-pliers", "https://edmondsonsupply.com/collections/electricians-tools/products/wiha-tools-32637-10-classic-auto-grip-v-jaw-tongue-and-groove-pliers")</f>
        <v>https://edmondsonsupply.com/collections/electricians-tools/products/wiha-tools-32637-10-classic-auto-grip-v-jaw-tongue-and-groove-pliers</v>
      </c>
      <c r="B6278" s="3" t="str">
        <f>HYPERLINK("https://edmondsonsupply.com/products/wiha-tools-32637-10-classic-auto-grip-v-jaw-tongue-and-groove-pliers", "https://edmondsonsupply.com/products/wiha-tools-32637-10-classic-auto-grip-v-jaw-tongue-and-groove-pliers")</f>
        <v>https://edmondsonsupply.com/products/wiha-tools-32637-10-classic-auto-grip-v-jaw-tongue-and-groove-pliers</v>
      </c>
      <c r="C6278" t="s">
        <v>4925</v>
      </c>
      <c r="D6278" t="s">
        <v>4926</v>
      </c>
      <c r="E6278" s="3" t="str">
        <f>HYPERLINK("https://www.amazon.com/Wiha-32637-Soft-Grip-Pliers/dp/B071RC1NQF/ref=sr_1_1?keywords=Wiha+Tools+32637+10%22+Classic+Auto+Grip+V-Jaw+Tongue+and+Groove+Pliers&amp;qid=1695173974&amp;sr=8-1", "https://www.amazon.com/Wiha-32637-Soft-Grip-Pliers/dp/B071RC1NQF/ref=sr_1_1?keywords=Wiha+Tools+32637+10%22+Classic+Auto+Grip+V-Jaw+Tongue+and+Groove+Pliers&amp;qid=1695173974&amp;sr=8-1")</f>
        <v>https://www.amazon.com/Wiha-32637-Soft-Grip-Pliers/dp/B071RC1NQF/ref=sr_1_1?keywords=Wiha+Tools+32637+10%22+Classic+Auto+Grip+V-Jaw+Tongue+and+Groove+Pliers&amp;qid=1695173974&amp;sr=8-1</v>
      </c>
      <c r="F6278" t="s">
        <v>4927</v>
      </c>
      <c r="G6278" t="e">
        <f ca="1">_xludf.IMAGE("https://edmondsonsupply.com/cdn/shop/files/krcvtyutfbaylpzaktgv_1000x_5f7ebac0-73d8-45ce-9b51-48320764c450.webp?v=1690927748")</f>
        <v>#NAME?</v>
      </c>
      <c r="H6278" t="e">
        <f ca="1">_xludf.IMAGE("https://m.media-amazon.com/images/I/51JOKeL4Q+L._AC_UL320_.jpg")</f>
        <v>#NAME?</v>
      </c>
      <c r="I6278" t="s">
        <v>4928</v>
      </c>
      <c r="J6278">
        <v>29.98</v>
      </c>
      <c r="K6278" s="4">
        <v>-3.7600000000000001E-2</v>
      </c>
      <c r="L6278">
        <v>4.4000000000000004</v>
      </c>
      <c r="M6278">
        <v>36</v>
      </c>
      <c r="O6278" t="s">
        <v>25</v>
      </c>
      <c r="P6278" t="s">
        <v>4929</v>
      </c>
      <c r="Q6278" t="s">
        <v>4930</v>
      </c>
    </row>
    <row r="6279" spans="1:17" ht="15.5" x14ac:dyDescent="0.35">
      <c r="A6279" s="3" t="str">
        <f>HYPERLINK("https://edmondsonsupply.com/collections/electricians-tools/products/klein-tools-40230-high-dexterity-touchscreen-gloves-l", "https://edmondsonsupply.com/collections/electricians-tools/products/klein-tools-40230-high-dexterity-touchscreen-gloves-l")</f>
        <v>https://edmondsonsupply.com/collections/electricians-tools/products/klein-tools-40230-high-dexterity-touchscreen-gloves-l</v>
      </c>
      <c r="B6279" s="3" t="str">
        <f>HYPERLINK("https://edmondsonsupply.com/products/klein-tools-40230-high-dexterity-touchscreen-gloves-l", "https://edmondsonsupply.com/products/klein-tools-40230-high-dexterity-touchscreen-gloves-l")</f>
        <v>https://edmondsonsupply.com/products/klein-tools-40230-high-dexterity-touchscreen-gloves-l</v>
      </c>
      <c r="C6279" t="s">
        <v>1244</v>
      </c>
      <c r="D6279" t="s">
        <v>1108</v>
      </c>
      <c r="E6279" s="3" t="str">
        <f>HYPERLINK("https://www.amazon.com/Dexterity-Touchscreen-Klein-Tools-40229/dp/B01M68QAAK/ref=sr_1_2?keywords=Klein+Tools+40230+High+Dexterity+Touchscreen+Gloves%2C+L&amp;qid=1695174306&amp;sr=8-2", "https://www.amazon.com/Dexterity-Touchscreen-Klein-Tools-40229/dp/B01M68QAAK/ref=sr_1_2?keywords=Klein+Tools+40230+High+Dexterity+Touchscreen+Gloves%2C+L&amp;qid=1695174306&amp;sr=8-2")</f>
        <v>https://www.amazon.com/Dexterity-Touchscreen-Klein-Tools-40229/dp/B01M68QAAK/ref=sr_1_2?keywords=Klein+Tools+40230+High+Dexterity+Touchscreen+Gloves%2C+L&amp;qid=1695174306&amp;sr=8-2</v>
      </c>
      <c r="F6279" t="s">
        <v>1109</v>
      </c>
      <c r="G6279" t="e">
        <f ca="1">_xludf.IMAGE("https://edmondsonsupply.com/cdn/shop/products/40229_20313513-1362-4da0-bac4-01d30a71590d.jpg?v=1604003560")</f>
        <v>#NAME?</v>
      </c>
      <c r="H6279" t="e">
        <f ca="1">_xludf.IMAGE("https://m.media-amazon.com/images/I/51mom7WNCOL._AC_UL320_.jpg")</f>
        <v>#NAME?</v>
      </c>
      <c r="I6279" t="s">
        <v>1245</v>
      </c>
      <c r="J6279">
        <v>25.49</v>
      </c>
      <c r="K6279" s="4">
        <v>-3.78E-2</v>
      </c>
      <c r="L6279">
        <v>4.3</v>
      </c>
      <c r="M6279">
        <v>56</v>
      </c>
      <c r="O6279" t="s">
        <v>25</v>
      </c>
      <c r="P6279" t="s">
        <v>1246</v>
      </c>
      <c r="Q6279" t="s">
        <v>1247</v>
      </c>
    </row>
    <row r="6280" spans="1:17" ht="15.5" x14ac:dyDescent="0.35">
      <c r="A6280" s="3" t="str">
        <f>HYPERLINK("https://edmondsonsupply.com/collections/electricians-tools/products/klein-tools-40230-high-dexterity-touchscreen-gloves-l", "https://edmondsonsupply.com/collections/electricians-tools/products/klein-tools-40230-high-dexterity-touchscreen-gloves-l")</f>
        <v>https://edmondsonsupply.com/collections/electricians-tools/products/klein-tools-40230-high-dexterity-touchscreen-gloves-l</v>
      </c>
      <c r="B6280" s="3" t="str">
        <f>HYPERLINK("https://edmondsonsupply.com/products/klein-tools-40230-high-dexterity-touchscreen-gloves-l", "https://edmondsonsupply.com/products/klein-tools-40230-high-dexterity-touchscreen-gloves-l")</f>
        <v>https://edmondsonsupply.com/products/klein-tools-40230-high-dexterity-touchscreen-gloves-l</v>
      </c>
      <c r="C6280" t="s">
        <v>1244</v>
      </c>
      <c r="D6280" t="s">
        <v>1144</v>
      </c>
      <c r="E6280" s="3" t="str">
        <f>HYPERLINK("https://www.amazon.com/Dexterity-Touchscreen-Klein-Tools-40230/dp/B01M68QBRU/ref=sr_1_1?keywords=Klein+Tools+40230+High+Dexterity+Touchscreen+Gloves%2C+L&amp;qid=1695174306&amp;sr=8-1", "https://www.amazon.com/Dexterity-Touchscreen-Klein-Tools-40230/dp/B01M68QBRU/ref=sr_1_1?keywords=Klein+Tools+40230+High+Dexterity+Touchscreen+Gloves%2C+L&amp;qid=1695174306&amp;sr=8-1")</f>
        <v>https://www.amazon.com/Dexterity-Touchscreen-Klein-Tools-40230/dp/B01M68QBRU/ref=sr_1_1?keywords=Klein+Tools+40230+High+Dexterity+Touchscreen+Gloves%2C+L&amp;qid=1695174306&amp;sr=8-1</v>
      </c>
      <c r="F6280" t="s">
        <v>1145</v>
      </c>
      <c r="G6280" t="e">
        <f ca="1">_xludf.IMAGE("https://edmondsonsupply.com/cdn/shop/products/40229_20313513-1362-4da0-bac4-01d30a71590d.jpg?v=1604003560")</f>
        <v>#NAME?</v>
      </c>
      <c r="H6280" t="e">
        <f ca="1">_xludf.IMAGE("https://m.media-amazon.com/images/I/61OBeXb4irL._AC_UL320_.jpg")</f>
        <v>#NAME?</v>
      </c>
      <c r="I6280" t="s">
        <v>1245</v>
      </c>
      <c r="J6280">
        <v>25.49</v>
      </c>
      <c r="K6280" s="4">
        <v>-3.78E-2</v>
      </c>
      <c r="L6280">
        <v>3.9</v>
      </c>
      <c r="M6280">
        <v>72</v>
      </c>
      <c r="O6280" t="s">
        <v>25</v>
      </c>
      <c r="P6280" t="s">
        <v>1246</v>
      </c>
      <c r="Q6280" t="s">
        <v>1247</v>
      </c>
    </row>
    <row r="6281" spans="1:17" ht="15.5" x14ac:dyDescent="0.35">
      <c r="A6281" s="3" t="str">
        <f>HYPERLINK("https://edmondsonsupply.com/collections/electricians-tools/products/klein-tools-56255-wire-markers-household-electric-panel-w-directory", "https://edmondsonsupply.com/collections/electricians-tools/products/klein-tools-56255-wire-markers-household-electric-panel-w-directory")</f>
        <v>https://edmondsonsupply.com/collections/electricians-tools/products/klein-tools-56255-wire-markers-household-electric-panel-w-directory</v>
      </c>
      <c r="B6281" s="3" t="str">
        <f>HYPERLINK("https://edmondsonsupply.com/products/klein-tools-56255-wire-markers-household-electric-panel-w-directory", "https://edmondsonsupply.com/products/klein-tools-56255-wire-markers-household-electric-panel-w-directory")</f>
        <v>https://edmondsonsupply.com/products/klein-tools-56255-wire-markers-household-electric-panel-w-directory</v>
      </c>
      <c r="C6281" t="s">
        <v>7685</v>
      </c>
      <c r="D6281" t="s">
        <v>7685</v>
      </c>
      <c r="E6281" s="3" t="str">
        <f>HYPERLINK("https://www.amazon.com/Markers-Household-Directory-Klein-Tools-56255/dp/B0785PYVXW/ref=sr_1_1?keywords=Klein+Tools+56255+Wire+Markers%2C+Household+Electric+Panel+w%2FDirectory&amp;qid=1695174227&amp;sr=8-1", "https://www.amazon.com/Markers-Household-Directory-Klein-Tools-56255/dp/B0785PYVXW/ref=sr_1_1?keywords=Klein+Tools+56255+Wire+Markers%2C+Household+Electric+Panel+w%2FDirectory&amp;qid=1695174227&amp;sr=8-1")</f>
        <v>https://www.amazon.com/Markers-Household-Directory-Klein-Tools-56255/dp/B0785PYVXW/ref=sr_1_1?keywords=Klein+Tools+56255+Wire+Markers%2C+Household+Electric+Panel+w%2FDirectory&amp;qid=1695174227&amp;sr=8-1</v>
      </c>
      <c r="F6281" t="s">
        <v>8378</v>
      </c>
      <c r="G6281" t="e">
        <f ca="1">_xludf.IMAGE("https://edmondsonsupply.com/cdn/shop/products/56255_b.jpg?v=1641342700")</f>
        <v>#NAME?</v>
      </c>
      <c r="H6281" t="e">
        <f ca="1">_xludf.IMAGE("https://m.media-amazon.com/images/I/61oVTocomEL._AC_UL320_.jpg")</f>
        <v>#NAME?</v>
      </c>
      <c r="I6281" t="s">
        <v>1211</v>
      </c>
      <c r="J6281">
        <v>12.48</v>
      </c>
      <c r="K6281" s="4">
        <v>-3.78E-2</v>
      </c>
      <c r="L6281">
        <v>4.4000000000000004</v>
      </c>
      <c r="M6281">
        <v>978</v>
      </c>
      <c r="O6281" t="s">
        <v>25</v>
      </c>
      <c r="P6281" t="s">
        <v>1549</v>
      </c>
      <c r="Q6281" t="s">
        <v>7688</v>
      </c>
    </row>
    <row r="6282" spans="1:17" ht="15.5" x14ac:dyDescent="0.35">
      <c r="A6282"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6282"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6282" t="s">
        <v>7470</v>
      </c>
      <c r="D6282" t="s">
        <v>8379</v>
      </c>
      <c r="E6282" s="3" t="str">
        <f>HYPERLINK("https://www.amazon.com/Crescent-Lufkin-Command-Control-Engineers/dp/B09PGYRHMW/ref=sr_1_2?keywords=Crescent+Lufkin+L1025C-02+1-3%2F16%22+x+25%27+Command+Control+Series%E2%84%A2+Yellow+Clad+Tape+Measure&amp;qid=1695174033&amp;sr=8-2", "https://www.amazon.com/Crescent-Lufkin-Command-Control-Engineers/dp/B09PGYRHMW/ref=sr_1_2?keywords=Crescent+Lufkin+L1025C-02+1-3%2F16%22+x+25%27+Command+Control+Series%E2%84%A2+Yellow+Clad+Tape+Measure&amp;qid=1695174033&amp;sr=8-2")</f>
        <v>https://www.amazon.com/Crescent-Lufkin-Command-Control-Engineers/dp/B09PGYRHMW/ref=sr_1_2?keywords=Crescent+Lufkin+L1025C-02+1-3%2F16%22+x+25%27+Command+Control+Series%E2%84%A2+Yellow+Clad+Tape+Measure&amp;qid=1695174033&amp;sr=8-2</v>
      </c>
      <c r="F6282" t="s">
        <v>8380</v>
      </c>
      <c r="G6282" t="e">
        <f ca="1">_xludf.IMAGE("https://edmondsonsupply.com/cdn/shop/products/LFK_L1025C_4-SIDES_IMG-MAIN1.jpg?v=1680013140")</f>
        <v>#NAME?</v>
      </c>
      <c r="H6282" t="e">
        <f ca="1">_xludf.IMAGE("https://m.media-amazon.com/images/I/61gZNk4qkWL._AC_UL320_.jpg")</f>
        <v>#NAME?</v>
      </c>
      <c r="I6282" t="s">
        <v>7473</v>
      </c>
      <c r="J6282">
        <v>14.99</v>
      </c>
      <c r="K6282" s="4">
        <v>-3.85E-2</v>
      </c>
      <c r="L6282">
        <v>4.0999999999999996</v>
      </c>
      <c r="M6282">
        <v>36</v>
      </c>
      <c r="O6282" t="s">
        <v>25</v>
      </c>
      <c r="P6282" t="s">
        <v>6822</v>
      </c>
      <c r="Q6282" t="s">
        <v>7474</v>
      </c>
    </row>
    <row r="6283" spans="1:17" ht="15.5" x14ac:dyDescent="0.35">
      <c r="A6283"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6283" s="3" t="str">
        <f>HYPERLINK("https://edmondsonsupply.com/products/klein-tools-60184-lightweight-gel-knee-pads", "https://edmondsonsupply.com/products/klein-tools-60184-lightweight-gel-knee-pads")</f>
        <v>https://edmondsonsupply.com/products/klein-tools-60184-lightweight-gel-knee-pads</v>
      </c>
      <c r="C6283" t="s">
        <v>908</v>
      </c>
      <c r="D6283" t="s">
        <v>1248</v>
      </c>
      <c r="E6283" s="3" t="str">
        <f>HYPERLINK("https://www.amazon.com/Klein-Tools-60184-Lightweight-Resistant/dp/B088N5Q59S/ref=sr_1_1?keywords=Klein+Tools+60184+Lightweight+Gel+Knee+Pads&amp;qid=1695173931&amp;sr=8-1", "https://www.amazon.com/Klein-Tools-60184-Lightweight-Resistant/dp/B088N5Q59S/ref=sr_1_1?keywords=Klein+Tools+60184+Lightweight+Gel+Knee+Pads&amp;qid=1695173931&amp;sr=8-1")</f>
        <v>https://www.amazon.com/Klein-Tools-60184-Lightweight-Resistant/dp/B088N5Q59S/ref=sr_1_1?keywords=Klein+Tools+60184+Lightweight+Gel+Knee+Pads&amp;qid=1695173931&amp;sr=8-1</v>
      </c>
      <c r="F6283" t="s">
        <v>1249</v>
      </c>
      <c r="G6283" t="e">
        <f ca="1">_xludf.IMAGE("https://edmondsonsupply.com/cdn/shop/products/60184.jpg?v=1633030246")</f>
        <v>#NAME?</v>
      </c>
      <c r="H6283" t="e">
        <f ca="1">_xludf.IMAGE("https://m.media-amazon.com/images/I/71vmG1tRBLL._AC_UL320_.jpg")</f>
        <v>#NAME?</v>
      </c>
      <c r="I6283" t="s">
        <v>911</v>
      </c>
      <c r="J6283">
        <v>24.97</v>
      </c>
      <c r="K6283" s="4">
        <v>-3.85E-2</v>
      </c>
      <c r="L6283">
        <v>4.2</v>
      </c>
      <c r="M6283">
        <v>156</v>
      </c>
      <c r="O6283" t="s">
        <v>25</v>
      </c>
      <c r="P6283" t="s">
        <v>912</v>
      </c>
      <c r="Q6283" t="s">
        <v>913</v>
      </c>
    </row>
    <row r="6284" spans="1:17" ht="15.5" x14ac:dyDescent="0.35">
      <c r="A6284"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6284" s="3" t="str">
        <f>HYPERLINK("https://edmondsonsupply.com/products/klein-tools-32307-27-in-1-multi-bit-tamperproof-screwdriver", "https://edmondsonsupply.com/products/klein-tools-32307-27-in-1-multi-bit-tamperproof-screwdriver")</f>
        <v>https://edmondsonsupply.com/products/klein-tools-32307-27-in-1-multi-bit-tamperproof-screwdriver</v>
      </c>
      <c r="C6284" t="s">
        <v>6847</v>
      </c>
      <c r="D6284" t="s">
        <v>8381</v>
      </c>
      <c r="E6284" s="3" t="str">
        <f>HYPERLINK("https://www.amazon.com/Klein-Tools-32307-Tamperproof-Screwdriver/dp/B08KFL4QD4/ref=sr_1_1?keywords=Klein+Tools+32307+27-in-1+Multi-Bit+Tamperproof+Screwdriver&amp;qid=1695174232&amp;sr=8-1", "https://www.amazon.com/Klein-Tools-32307-Tamperproof-Screwdriver/dp/B08KFL4QD4/ref=sr_1_1?keywords=Klein+Tools+32307+27-in-1+Multi-Bit+Tamperproof+Screwdriver&amp;qid=1695174232&amp;sr=8-1")</f>
        <v>https://www.amazon.com/Klein-Tools-32307-Tamperproof-Screwdriver/dp/B08KFL4QD4/ref=sr_1_1?keywords=Klein+Tools+32307+27-in-1+Multi-Bit+Tamperproof+Screwdriver&amp;qid=1695174232&amp;sr=8-1</v>
      </c>
      <c r="F6284" t="s">
        <v>8382</v>
      </c>
      <c r="G6284" t="e">
        <f ca="1">_xludf.IMAGE("https://edmondsonsupply.com/cdn/shop/products/32307.jpg?v=1647347524")</f>
        <v>#NAME?</v>
      </c>
      <c r="H6284" t="e">
        <f ca="1">_xludf.IMAGE("https://m.media-amazon.com/images/I/51VWsu+sN9L._AC_UL320_.jpg")</f>
        <v>#NAME?</v>
      </c>
      <c r="I6284" t="s">
        <v>911</v>
      </c>
      <c r="J6284">
        <v>24.97</v>
      </c>
      <c r="K6284" s="4">
        <v>-3.85E-2</v>
      </c>
      <c r="L6284">
        <v>4.8</v>
      </c>
      <c r="M6284">
        <v>1628</v>
      </c>
      <c r="O6284" t="s">
        <v>25</v>
      </c>
      <c r="P6284" t="s">
        <v>6850</v>
      </c>
      <c r="Q6284" t="s">
        <v>6851</v>
      </c>
    </row>
    <row r="6285" spans="1:17" ht="15.5" x14ac:dyDescent="0.35">
      <c r="A6285"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6285"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6285" t="s">
        <v>7872</v>
      </c>
      <c r="D6285" t="s">
        <v>8383</v>
      </c>
      <c r="E6285" s="3" t="str">
        <f>HYPERLINK("https://www.amazon.com/Non-Marring-12-Point-Klein-Tools-66030/dp/B09JWM5Y6N/ref=sr_1_1?keywords=Klein+Tools+66030+2-in-1+Coated+Impact+Socket%2C+12-Point%2C+3%2F4+and+9%2F16-Inch&amp;qid=1695174140&amp;sr=8-1", "https://www.amazon.com/Non-Marring-12-Point-Klein-Tools-66030/dp/B09JWM5Y6N/ref=sr_1_1?keywords=Klein+Tools+66030+2-in-1+Coated+Impact+Socket%2C+12-Point%2C+3%2F4+and+9%2F16-Inch&amp;qid=1695174140&amp;sr=8-1")</f>
        <v>https://www.amazon.com/Non-Marring-12-Point-Klein-Tools-66030/dp/B09JWM5Y6N/ref=sr_1_1?keywords=Klein+Tools+66030+2-in-1+Coated+Impact+Socket%2C+12-Point%2C+3%2F4+and+9%2F16-Inch&amp;qid=1695174140&amp;sr=8-1</v>
      </c>
      <c r="F6285" t="s">
        <v>8384</v>
      </c>
      <c r="G6285" t="e">
        <f ca="1">_xludf.IMAGE("https://edmondsonsupply.com/cdn/shop/products/66030.jpg?v=1666027133")</f>
        <v>#NAME?</v>
      </c>
      <c r="H6285" t="e">
        <f ca="1">_xludf.IMAGE("https://m.media-amazon.com/images/I/41w38OgEo3L._AC_UL320_.jpg")</f>
        <v>#NAME?</v>
      </c>
      <c r="I6285" t="s">
        <v>7792</v>
      </c>
      <c r="J6285">
        <v>48</v>
      </c>
      <c r="K6285" s="4">
        <v>-3.9600000000000003E-2</v>
      </c>
      <c r="L6285">
        <v>5</v>
      </c>
      <c r="M6285">
        <v>2</v>
      </c>
      <c r="O6285" t="s">
        <v>25</v>
      </c>
      <c r="P6285" t="s">
        <v>7873</v>
      </c>
      <c r="Q6285" t="s">
        <v>7874</v>
      </c>
    </row>
    <row r="6286" spans="1:17" ht="15.5" x14ac:dyDescent="0.35">
      <c r="A6286" s="3" t="str">
        <f>HYPERLINK("https://edmondsonsupply.com/collections/electricians-tools/products/klein-tools-66031-3-in-1-slotted-impact-socket-12-point-3-4-and-9-16-inch", "https://edmondsonsupply.com/collections/electricians-tools/products/klein-tools-66031-3-in-1-slotted-impact-socket-12-point-3-4-and-9-16-inch")</f>
        <v>https://edmondsonsupply.com/collections/electricians-tools/products/klein-tools-66031-3-in-1-slotted-impact-socket-12-point-3-4-and-9-16-inch</v>
      </c>
      <c r="B6286" s="3" t="str">
        <f>HYPERLINK("https://edmondsonsupply.com/products/klein-tools-66031-3-in-1-slotted-impact-socket-12-point-3-4-and-9-16-inch", "https://edmondsonsupply.com/products/klein-tools-66031-3-in-1-slotted-impact-socket-12-point-3-4-and-9-16-inch")</f>
        <v>https://edmondsonsupply.com/products/klein-tools-66031-3-in-1-slotted-impact-socket-12-point-3-4-and-9-16-inch</v>
      </c>
      <c r="C6286" t="s">
        <v>8031</v>
      </c>
      <c r="D6286" t="s">
        <v>8383</v>
      </c>
      <c r="E6286" s="3" t="str">
        <f>HYPERLINK("https://www.amazon.com/Non-Marring-12-Point-Klein-Tools-66030/dp/B09JWM5Y6N/ref=sr_1_5?keywords=Klein+Tools+66031+3-in-1+Slotted+Impact+Socket%2C+12-Point%2C+3%2F4+and+9%2F16-Inch&amp;qid=1695174174&amp;sr=8-5", "https://www.amazon.com/Non-Marring-12-Point-Klein-Tools-66030/dp/B09JWM5Y6N/ref=sr_1_5?keywords=Klein+Tools+66031+3-in-1+Slotted+Impact+Socket%2C+12-Point%2C+3%2F4+and+9%2F16-Inch&amp;qid=1695174174&amp;sr=8-5")</f>
        <v>https://www.amazon.com/Non-Marring-12-Point-Klein-Tools-66030/dp/B09JWM5Y6N/ref=sr_1_5?keywords=Klein+Tools+66031+3-in-1+Slotted+Impact+Socket%2C+12-Point%2C+3%2F4+and+9%2F16-Inch&amp;qid=1695174174&amp;sr=8-5</v>
      </c>
      <c r="F6286" t="s">
        <v>8384</v>
      </c>
      <c r="G6286" t="e">
        <f ca="1">_xludf.IMAGE("https://edmondsonsupply.com/cdn/shop/products/66031.jpg?v=1659389111")</f>
        <v>#NAME?</v>
      </c>
      <c r="H6286" t="e">
        <f ca="1">_xludf.IMAGE("https://m.media-amazon.com/images/I/41w38OgEo3L._AC_UL320_.jpg")</f>
        <v>#NAME?</v>
      </c>
      <c r="I6286" t="s">
        <v>1931</v>
      </c>
      <c r="J6286">
        <v>48</v>
      </c>
      <c r="K6286" s="4">
        <v>-3.9800000000000002E-2</v>
      </c>
      <c r="L6286">
        <v>5</v>
      </c>
      <c r="M6286">
        <v>2</v>
      </c>
      <c r="O6286" t="s">
        <v>25</v>
      </c>
      <c r="P6286" t="s">
        <v>8032</v>
      </c>
      <c r="Q6286" t="s">
        <v>8033</v>
      </c>
    </row>
    <row r="6287" spans="1:17" ht="15.5" x14ac:dyDescent="0.35">
      <c r="A6287" s="3" t="str">
        <f>HYPERLINK("https://edmondsonsupply.com/collections/electricians-tools/products/klein-tools-d502-10-pump-pliers-10-inch", "https://edmondsonsupply.com/collections/electricians-tools/products/klein-tools-d502-10-pump-pliers-10-inch")</f>
        <v>https://edmondsonsupply.com/collections/electricians-tools/products/klein-tools-d502-10-pump-pliers-10-inch</v>
      </c>
      <c r="B6287" s="3" t="str">
        <f>HYPERLINK("https://edmondsonsupply.com/products/klein-tools-d502-10-pump-pliers-10-inch", "https://edmondsonsupply.com/products/klein-tools-d502-10-pump-pliers-10-inch")</f>
        <v>https://edmondsonsupply.com/products/klein-tools-d502-10-pump-pliers-10-inch</v>
      </c>
      <c r="C6287" t="s">
        <v>6607</v>
      </c>
      <c r="D6287" t="s">
        <v>5426</v>
      </c>
      <c r="E6287" s="3" t="str">
        <f>HYPERLINK("https://www.amazon.com/Pliers-10-Inch-Klein-Tools-D502-10/dp/B0000302WC/ref=sr_1_1?keywords=Klein+Tools+D502-10+Pump+Pliers%2C+10-Inch&amp;qid=1695174291&amp;sr=8-1", "https://www.amazon.com/Pliers-10-Inch-Klein-Tools-D502-10/dp/B0000302WC/ref=sr_1_1?keywords=Klein+Tools+D502-10+Pump+Pliers%2C+10-Inch&amp;qid=1695174291&amp;sr=8-1")</f>
        <v>https://www.amazon.com/Pliers-10-Inch-Klein-Tools-D502-10/dp/B0000302WC/ref=sr_1_1?keywords=Klein+Tools+D502-10+Pump+Pliers%2C+10-Inch&amp;qid=1695174291&amp;sr=8-1</v>
      </c>
      <c r="F6287" t="s">
        <v>5427</v>
      </c>
      <c r="G6287" t="e">
        <f ca="1">_xludf.IMAGE("https://edmondsonsupply.com/cdn/shop/products/d50210_alt1.jpg?v=1633030884")</f>
        <v>#NAME?</v>
      </c>
      <c r="H6287" t="e">
        <f ca="1">_xludf.IMAGE("https://m.media-amazon.com/images/I/418n0XM7PlL._AC_UL320_.jpg")</f>
        <v>#NAME?</v>
      </c>
      <c r="I6287" t="s">
        <v>471</v>
      </c>
      <c r="J6287">
        <v>23.99</v>
      </c>
      <c r="K6287" s="4">
        <v>-0.04</v>
      </c>
      <c r="L6287">
        <v>4.7</v>
      </c>
      <c r="M6287">
        <v>228</v>
      </c>
      <c r="O6287" t="s">
        <v>25</v>
      </c>
      <c r="P6287" t="s">
        <v>6610</v>
      </c>
      <c r="Q6287" t="s">
        <v>6611</v>
      </c>
    </row>
    <row r="6288" spans="1:17" ht="15.5" x14ac:dyDescent="0.35">
      <c r="A6288" s="3" t="str">
        <f>HYPERLINK("https://edmondsonsupply.com/collections/electricians-tools/products/diablo-tools-dou200rbd-2-universal-fit-bi-metal-oscillating-blade-for-drywall", "https://edmondsonsupply.com/collections/electricians-tools/products/diablo-tools-dou200rbd-2-universal-fit-bi-metal-oscillating-blade-for-drywall")</f>
        <v>https://edmondsonsupply.com/collections/electricians-tools/products/diablo-tools-dou200rbd-2-universal-fit-bi-metal-oscillating-blade-for-drywall</v>
      </c>
      <c r="B6288" s="3" t="str">
        <f>HYPERLINK("https://edmondsonsupply.com/products/diablo-tools-dou200rbd-2-universal-fit-bi-metal-oscillating-blade-for-drywall", "https://edmondsonsupply.com/products/diablo-tools-dou200rbd-2-universal-fit-bi-metal-oscillating-blade-for-drywall")</f>
        <v>https://edmondsonsupply.com/products/diablo-tools-dou200rbd-2-universal-fit-bi-metal-oscillating-blade-for-drywall</v>
      </c>
      <c r="C6288" t="s">
        <v>7980</v>
      </c>
      <c r="D6288" t="s">
        <v>7541</v>
      </c>
      <c r="E6288" s="3" t="str">
        <f>HYPERLINK("https://www.amazon.com/Diablo-DOU350RBGP-Universal-Bi-Metal-Oscillating/dp/B089LLG8ZQ/ref=sr_1_4?keywords=Diablo+Tools+DOU200RBD+2%22+Universal+Fit+Bi-Metal+Oscillating+Blade+for+Drywall&amp;qid=1695174252&amp;sr=8-4", "https://www.amazon.com/Diablo-DOU350RBGP-Universal-Bi-Metal-Oscillating/dp/B089LLG8ZQ/ref=sr_1_4?keywords=Diablo+Tools+DOU200RBD+2%22+Universal+Fit+Bi-Metal+Oscillating+Blade+for+Drywall&amp;qid=1695174252&amp;sr=8-4")</f>
        <v>https://www.amazon.com/Diablo-DOU350RBGP-Universal-Bi-Metal-Oscillating/dp/B089LLG8ZQ/ref=sr_1_4?keywords=Diablo+Tools+DOU200RBD+2%22+Universal+Fit+Bi-Metal+Oscillating+Blade+for+Drywall&amp;qid=1695174252&amp;sr=8-4</v>
      </c>
      <c r="F6288" t="s">
        <v>7542</v>
      </c>
      <c r="G6288" t="e">
        <f ca="1">_xludf.IMAGE("https://edmondsonsupply.com/cdn/shop/files/h7z7383jucpsecoclphm.webp?v=1686149036")</f>
        <v>#NAME?</v>
      </c>
      <c r="H6288" t="e">
        <f ca="1">_xludf.IMAGE("https://m.media-amazon.com/images/I/71xBW7MA1oL._AC_UL320_.jpg")</f>
        <v>#NAME?</v>
      </c>
      <c r="I6288" t="s">
        <v>6164</v>
      </c>
      <c r="J6288">
        <v>18.2</v>
      </c>
      <c r="K6288" s="4">
        <v>-4.0599999999999997E-2</v>
      </c>
      <c r="L6288">
        <v>4.4000000000000004</v>
      </c>
      <c r="M6288">
        <v>8</v>
      </c>
      <c r="O6288" t="s">
        <v>25</v>
      </c>
      <c r="P6288" t="s">
        <v>7983</v>
      </c>
      <c r="Q6288" t="s">
        <v>7984</v>
      </c>
    </row>
    <row r="6289" spans="1:17" ht="15.5" x14ac:dyDescent="0.35">
      <c r="A6289"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6289"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6289" t="s">
        <v>7150</v>
      </c>
      <c r="D6289" t="s">
        <v>7256</v>
      </c>
      <c r="E6289" s="3" t="str">
        <f>HYPERLINK("https://www.amazon.com/Klein-Tools-CL390-Electronic-Resistance/dp/B08DTDCG7T/ref=sr_1_1?keywords=Klein+Tools+CL390+AC%2FDC+Digital+Clamp+Meter%2C+Auto-Ranging+400+Amp&amp;qid=1695174165&amp;sr=8-1", "https://www.amazon.com/Klein-Tools-CL390-Electronic-Resistance/dp/B08DTDCG7T/ref=sr_1_1?keywords=Klein+Tools+CL390+AC%2FDC+Digital+Clamp+Meter%2C+Auto-Ranging+400+Amp&amp;qid=1695174165&amp;sr=8-1")</f>
        <v>https://www.amazon.com/Klein-Tools-CL390-Electronic-Resistance/dp/B08DTDCG7T/ref=sr_1_1?keywords=Klein+Tools+CL390+AC%2FDC+Digital+Clamp+Meter%2C+Auto-Ranging+400+Amp&amp;qid=1695174165&amp;sr=8-1</v>
      </c>
      <c r="F6289" t="s">
        <v>7257</v>
      </c>
      <c r="G6289" t="e">
        <f ca="1">_xludf.IMAGE("https://edmondsonsupply.com/cdn/shop/products/cl390.jpg?v=1662670722")</f>
        <v>#NAME?</v>
      </c>
      <c r="H6289" t="e">
        <f ca="1">_xludf.IMAGE("https://m.media-amazon.com/images/I/61RaYUw45bL._AC_UY218_.jpg")</f>
        <v>#NAME?</v>
      </c>
      <c r="I6289" t="s">
        <v>545</v>
      </c>
      <c r="J6289">
        <v>95.87</v>
      </c>
      <c r="K6289" s="4">
        <v>-4.1000000000000002E-2</v>
      </c>
      <c r="L6289">
        <v>4.5999999999999996</v>
      </c>
      <c r="M6289">
        <v>1097</v>
      </c>
      <c r="O6289" t="s">
        <v>25</v>
      </c>
      <c r="P6289" t="s">
        <v>7153</v>
      </c>
      <c r="Q6289" t="s">
        <v>7154</v>
      </c>
    </row>
    <row r="6290" spans="1:17" ht="15.5" x14ac:dyDescent="0.35">
      <c r="A6290" s="3" t="str">
        <f>HYPERLINK("https://edmondsonsupply.com/collections/electricians-tools/products/fluke-64-max-ir-thermometer", "https://edmondsonsupply.com/collections/electricians-tools/products/fluke-64-max-ir-thermometer")</f>
        <v>https://edmondsonsupply.com/collections/electricians-tools/products/fluke-64-max-ir-thermometer</v>
      </c>
      <c r="B6290" s="3" t="str">
        <f>HYPERLINK("https://edmondsonsupply.com/products/fluke-64-max-ir-thermometer", "https://edmondsonsupply.com/products/fluke-64-max-ir-thermometer")</f>
        <v>https://edmondsonsupply.com/products/fluke-64-max-ir-thermometer</v>
      </c>
      <c r="C6290" t="s">
        <v>8385</v>
      </c>
      <c r="D6290" t="s">
        <v>8386</v>
      </c>
      <c r="E6290" s="3" t="str">
        <f>HYPERLINK("https://www.amazon.com/Fluke-Infrared-Thermometer-Multi-Functional-Range/dp/B071W8PNJ4/ref=sr_1_1?keywords=Fluke+64+MAX+IR+Thermometer&amp;qid=1695174126&amp;sr=8-1", "https://www.amazon.com/Fluke-Infrared-Thermometer-Multi-Functional-Range/dp/B071W8PNJ4/ref=sr_1_1?keywords=Fluke+64+MAX+IR+Thermometer&amp;qid=1695174126&amp;sr=8-1")</f>
        <v>https://www.amazon.com/Fluke-Infrared-Thermometer-Multi-Functional-Range/dp/B071W8PNJ4/ref=sr_1_1?keywords=Fluke+64+MAX+IR+Thermometer&amp;qid=1695174126&amp;sr=8-1</v>
      </c>
      <c r="F6290" t="s">
        <v>8387</v>
      </c>
      <c r="G6290" t="e">
        <f ca="1">_xludf.IMAGE("https://edmondsonsupply.com/cdn/shop/products/fluke_64max_portrait_1500x1000_dcb53742-d539-4285-8994-6293320d293a.webp?v=1668107951")</f>
        <v>#NAME?</v>
      </c>
      <c r="H6290" t="e">
        <f ca="1">_xludf.IMAGE("https://m.media-amazon.com/images/I/413BsyGJEuL._AC_UY218_.jpg")</f>
        <v>#NAME?</v>
      </c>
      <c r="I6290" t="s">
        <v>8388</v>
      </c>
      <c r="J6290">
        <v>244.2</v>
      </c>
      <c r="K6290" s="4">
        <v>-4.2299999999999997E-2</v>
      </c>
      <c r="L6290">
        <v>4.5</v>
      </c>
      <c r="M6290">
        <v>109</v>
      </c>
      <c r="O6290" t="s">
        <v>171</v>
      </c>
      <c r="P6290" t="s">
        <v>8389</v>
      </c>
      <c r="Q6290" t="s">
        <v>8390</v>
      </c>
    </row>
    <row r="6291" spans="1:17" ht="15.5" x14ac:dyDescent="0.35">
      <c r="A6291" s="3" t="str">
        <f>HYPERLINK("https://edmondsonsupply.com/collections/electricians-tools/products/milwaukee-2111-21-475-lumen-usb-rechargeable-hard-hat-headlamp", "https://edmondsonsupply.com/collections/electricians-tools/products/milwaukee-2111-21-475-lumen-usb-rechargeable-hard-hat-headlamp")</f>
        <v>https://edmondsonsupply.com/collections/electricians-tools/products/milwaukee-2111-21-475-lumen-usb-rechargeable-hard-hat-headlamp</v>
      </c>
      <c r="B6291" s="3" t="str">
        <f>HYPERLINK("https://edmondsonsupply.com/products/milwaukee-2111-21-475-lumen-usb-rechargeable-hard-hat-headlamp", "https://edmondsonsupply.com/products/milwaukee-2111-21-475-lumen-usb-rechargeable-hard-hat-headlamp")</f>
        <v>https://edmondsonsupply.com/products/milwaukee-2111-21-475-lumen-usb-rechargeable-hard-hat-headlamp</v>
      </c>
      <c r="C6291" t="s">
        <v>2863</v>
      </c>
      <c r="D6291" t="s">
        <v>4933</v>
      </c>
      <c r="E6291" s="3" t="str">
        <f>HYPERLINK("https://www.amazon.com/Milwaukee-Lumens-Rechargeable-Low-Profile-Headlamp/dp/B087QKMN4H/ref=sr_1_4?keywords=Milwaukee+2111-21+475-Lumen+USB+Rechargeable+Hard+Hat+Headlamp&amp;qid=1695173940&amp;sr=8-4", "https://www.amazon.com/Milwaukee-Lumens-Rechargeable-Low-Profile-Headlamp/dp/B087QKMN4H/ref=sr_1_4?keywords=Milwaukee+2111-21+475-Lumen+USB+Rechargeable+Hard+Hat+Headlamp&amp;qid=1695173940&amp;sr=8-4")</f>
        <v>https://www.amazon.com/Milwaukee-Lumens-Rechargeable-Low-Profile-Headlamp/dp/B087QKMN4H/ref=sr_1_4?keywords=Milwaukee+2111-21+475-Lumen+USB+Rechargeable+Hard+Hat+Headlamp&amp;qid=1695173940&amp;sr=8-4</v>
      </c>
      <c r="F6291" t="s">
        <v>4934</v>
      </c>
      <c r="G6291" t="e">
        <f ca="1">_xludf.IMAGE("https://edmondsonsupply.com/cdn/shop/products/2111-21_3_Overlay_1.png?v=1587142535")</f>
        <v>#NAME?</v>
      </c>
      <c r="H6291" t="e">
        <f ca="1">_xludf.IMAGE("https://m.media-amazon.com/images/I/41GUSVLEDLL._AC_UL320_.jpg")</f>
        <v>#NAME?</v>
      </c>
      <c r="I6291" t="s">
        <v>356</v>
      </c>
      <c r="J6291">
        <v>67</v>
      </c>
      <c r="K6291" s="4">
        <v>-4.24E-2</v>
      </c>
      <c r="L6291">
        <v>4.5</v>
      </c>
      <c r="M6291">
        <v>228</v>
      </c>
      <c r="O6291" t="s">
        <v>171</v>
      </c>
      <c r="P6291" t="s">
        <v>2866</v>
      </c>
      <c r="Q6291" t="s">
        <v>2867</v>
      </c>
    </row>
    <row r="6292" spans="1:17" ht="15.5" x14ac:dyDescent="0.35">
      <c r="A6292" s="3" t="str">
        <f>HYPERLINK("https://edmondsonsupply.com/collections/electricians-tools/products/klein-tools-11053-klein-kurve%C2%AE-wire-stripper-cutter", "https://edmondsonsupply.com/collections/electricians-tools/products/klein-tools-11053-klein-kurve%C2%AE-wire-stripper-cutter")</f>
        <v>https://edmondsonsupply.com/collections/electricians-tools/products/klein-tools-11053-klein-kurve%C2%AE-wire-stripper-cutter</v>
      </c>
      <c r="B6292" s="3" t="str">
        <f>HYPERLINK("https://edmondsonsupply.com/products/klein-tools-11053-klein-kurve%c2%ae-wire-stripper-cutter", "https://edmondsonsupply.com/products/klein-tools-11053-klein-kurve%c2%ae-wire-stripper-cutter")</f>
        <v>https://edmondsonsupply.com/products/klein-tools-11053-klein-kurve%c2%ae-wire-stripper-cutter</v>
      </c>
      <c r="C6292" t="s">
        <v>2285</v>
      </c>
      <c r="D6292" t="s">
        <v>4941</v>
      </c>
      <c r="E6292" s="3" t="str">
        <f>HYPERLINK("https://www.amazon.com/Klein-Tools-K11095-Klein-Kurve-Stripper/dp/B08TQ83P2C/ref=sr_1_7?keywords=Klein+Tools+11053+Klein-Kurve%C2%AE+Wire+Stripper%2FCutter&amp;qid=1695173869&amp;sr=8-7", "https://www.amazon.com/Klein-Tools-K11095-Klein-Kurve-Stripper/dp/B08TQ83P2C/ref=sr_1_7?keywords=Klein+Tools+11053+Klein-Kurve%C2%AE+Wire+Stripper%2FCutter&amp;qid=1695173869&amp;sr=8-7")</f>
        <v>https://www.amazon.com/Klein-Tools-K11095-Klein-Kurve-Stripper/dp/B08TQ83P2C/ref=sr_1_7?keywords=Klein+Tools+11053+Klein-Kurve%C2%AE+Wire+Stripper%2FCutter&amp;qid=1695173869&amp;sr=8-7</v>
      </c>
      <c r="F6292" t="s">
        <v>4942</v>
      </c>
      <c r="G6292" t="e">
        <f ca="1">_xludf.IMAGE("https://edmondsonsupply.com/cdn/shop/products/11053.jpg?v=1633030511")</f>
        <v>#NAME?</v>
      </c>
      <c r="H6292" t="e">
        <f ca="1">_xludf.IMAGE("https://m.media-amazon.com/images/I/5180XMjuiIL._AC_UL320_.jpg")</f>
        <v>#NAME?</v>
      </c>
      <c r="I6292" t="s">
        <v>2288</v>
      </c>
      <c r="J6292">
        <v>20.07</v>
      </c>
      <c r="K6292" s="4">
        <v>-4.2900000000000001E-2</v>
      </c>
      <c r="L6292">
        <v>4.8</v>
      </c>
      <c r="M6292">
        <v>439</v>
      </c>
      <c r="O6292" t="s">
        <v>25</v>
      </c>
      <c r="P6292" t="s">
        <v>2289</v>
      </c>
      <c r="Q6292" t="s">
        <v>2290</v>
      </c>
    </row>
    <row r="6293" spans="1:17" ht="15.5" x14ac:dyDescent="0.35">
      <c r="A6293" s="3" t="str">
        <f>HYPERLINK("https://edmondsonsupply.com/collections/electricians-tools/products/klein-tools-k11095-klein-kurve%C2%AE-wire-stripper-cutter-8-20-awg", "https://edmondsonsupply.com/collections/electricians-tools/products/klein-tools-k11095-klein-kurve%C2%AE-wire-stripper-cutter-8-20-awg")</f>
        <v>https://edmondsonsupply.com/collections/electricians-tools/products/klein-tools-k11095-klein-kurve%C2%AE-wire-stripper-cutter-8-20-awg</v>
      </c>
      <c r="B6293" s="3" t="str">
        <f>HYPERLINK("https://edmondsonsupply.com/products/klein-tools-k11095-klein-kurve%c2%ae-wire-stripper-cutter-8-20-awg", "https://edmondsonsupply.com/products/klein-tools-k11095-klein-kurve%c2%ae-wire-stripper-cutter-8-20-awg")</f>
        <v>https://edmondsonsupply.com/products/klein-tools-k11095-klein-kurve%c2%ae-wire-stripper-cutter-8-20-awg</v>
      </c>
      <c r="C6293" t="s">
        <v>6753</v>
      </c>
      <c r="D6293" t="s">
        <v>4941</v>
      </c>
      <c r="E6293" s="3" t="str">
        <f>HYPERLINK("https://www.amazon.com/Klein-Tools-K11095-Klein-Kurve-Stripper/dp/B08TQ83P2C/ref=sr_1_1?keywords=Klein+Tools+K11095+Klein-Kurve%C2%AE+Wire+Stripper+%2F+Cutter%2C+8-20+AWG&amp;qid=1695174173&amp;sr=8-1", "https://www.amazon.com/Klein-Tools-K11095-Klein-Kurve-Stripper/dp/B08TQ83P2C/ref=sr_1_1?keywords=Klein+Tools+K11095+Klein-Kurve%C2%AE+Wire+Stripper+%2F+Cutter%2C+8-20+AWG&amp;qid=1695174173&amp;sr=8-1")</f>
        <v>https://www.amazon.com/Klein-Tools-K11095-Klein-Kurve-Stripper/dp/B08TQ83P2C/ref=sr_1_1?keywords=Klein+Tools+K11095+Klein-Kurve%C2%AE+Wire+Stripper+%2F+Cutter%2C+8-20+AWG&amp;qid=1695174173&amp;sr=8-1</v>
      </c>
      <c r="F6293" t="s">
        <v>4942</v>
      </c>
      <c r="G6293" t="e">
        <f ca="1">_xludf.IMAGE("https://edmondsonsupply.com/cdn/shop/products/k11095_b_front_vertical.jpg?v=1661364611")</f>
        <v>#NAME?</v>
      </c>
      <c r="H6293" t="e">
        <f ca="1">_xludf.IMAGE("https://m.media-amazon.com/images/I/5180XMjuiIL._AC_UL320_.jpg")</f>
        <v>#NAME?</v>
      </c>
      <c r="I6293" t="s">
        <v>2288</v>
      </c>
      <c r="J6293">
        <v>20.07</v>
      </c>
      <c r="K6293" s="4">
        <v>-4.2900000000000001E-2</v>
      </c>
      <c r="L6293">
        <v>4.8</v>
      </c>
      <c r="M6293">
        <v>439</v>
      </c>
      <c r="O6293" t="s">
        <v>25</v>
      </c>
      <c r="P6293" t="s">
        <v>6525</v>
      </c>
      <c r="Q6293" t="s">
        <v>6754</v>
      </c>
    </row>
    <row r="6294" spans="1:17" ht="15.5" x14ac:dyDescent="0.35">
      <c r="A6294" s="3" t="str">
        <f>HYPERLINK("https://edmondsonsupply.com/collections/electricians-tools/products/klein-tools-aepjs3-bluetooth%C2%AE-jobsite-speaker-with-magnet-and-hook", "https://edmondsonsupply.com/collections/electricians-tools/products/klein-tools-aepjs3-bluetooth%C2%AE-jobsite-speaker-with-magnet-and-hook")</f>
        <v>https://edmondsonsupply.com/collections/electricians-tools/products/klein-tools-aepjs3-bluetooth%C2%AE-jobsite-speaker-with-magnet-and-hook</v>
      </c>
      <c r="B6294" s="3" t="str">
        <f>HYPERLINK("https://edmondsonsupply.com/products/klein-tools-aepjs3-bluetooth%c2%ae-jobsite-speaker-with-magnet-and-hook", "https://edmondsonsupply.com/products/klein-tools-aepjs3-bluetooth%c2%ae-jobsite-speaker-with-magnet-and-hook")</f>
        <v>https://edmondsonsupply.com/products/klein-tools-aepjs3-bluetooth%c2%ae-jobsite-speaker-with-magnet-and-hook</v>
      </c>
      <c r="C6294" t="s">
        <v>8238</v>
      </c>
      <c r="D6294" t="s">
        <v>8391</v>
      </c>
      <c r="E6294" s="3" t="str">
        <f>HYPERLINK("https://www.amazon.com/Klein-Tools-AEPJS3-Bluetooth-Wireless/dp/B0961KV8H1/ref=sr_1_1?keywords=Klein+Tools+AEPJS3+Bluetooth%C2%AE+Jobsite+Speaker+with+Magnet+and+Hook&amp;qid=1695174159&amp;sr=8-1", "https://www.amazon.com/Klein-Tools-AEPJS3-Bluetooth-Wireless/dp/B0961KV8H1/ref=sr_1_1?keywords=Klein+Tools+AEPJS3+Bluetooth%C2%AE+Jobsite+Speaker+with+Magnet+and+Hook&amp;qid=1695174159&amp;sr=8-1")</f>
        <v>https://www.amazon.com/Klein-Tools-AEPJS3-Bluetooth-Wireless/dp/B0961KV8H1/ref=sr_1_1?keywords=Klein+Tools+AEPJS3+Bluetooth%C2%AE+Jobsite+Speaker+with+Magnet+and+Hook&amp;qid=1695174159&amp;sr=8-1</v>
      </c>
      <c r="F6294" t="s">
        <v>8392</v>
      </c>
      <c r="G6294" t="e">
        <f ca="1">_xludf.IMAGE("https://edmondsonsupply.com/cdn/shop/products/aepjs3_b.jpg?v=1663946789")</f>
        <v>#NAME?</v>
      </c>
      <c r="H6294" t="e">
        <f ca="1">_xludf.IMAGE("https://m.media-amazon.com/images/I/61acIMRCM9L._AC_UY218_.jpg")</f>
        <v>#NAME?</v>
      </c>
      <c r="I6294" t="s">
        <v>8241</v>
      </c>
      <c r="J6294">
        <v>76.52</v>
      </c>
      <c r="K6294" s="4">
        <v>-4.3099999999999999E-2</v>
      </c>
      <c r="L6294">
        <v>4.5999999999999996</v>
      </c>
      <c r="M6294">
        <v>387</v>
      </c>
      <c r="O6294" t="s">
        <v>25</v>
      </c>
      <c r="P6294" t="s">
        <v>8242</v>
      </c>
      <c r="Q6294" t="s">
        <v>8243</v>
      </c>
    </row>
    <row r="6295" spans="1:17" ht="15.5" x14ac:dyDescent="0.35">
      <c r="A6295" s="3" t="str">
        <f>HYPERLINK("https://edmondsonsupply.com/collections/electricians-tools/products/klein-tools-29250-60w-portable-solar-panel", "https://edmondsonsupply.com/collections/electricians-tools/products/klein-tools-29250-60w-portable-solar-panel")</f>
        <v>https://edmondsonsupply.com/collections/electricians-tools/products/klein-tools-29250-60w-portable-solar-panel</v>
      </c>
      <c r="B6295" s="3" t="str">
        <f>HYPERLINK("https://edmondsonsupply.com/products/klein-tools-29250-60w-portable-solar-panel", "https://edmondsonsupply.com/products/klein-tools-29250-60w-portable-solar-panel")</f>
        <v>https://edmondsonsupply.com/products/klein-tools-29250-60w-portable-solar-panel</v>
      </c>
      <c r="C6295" t="s">
        <v>8393</v>
      </c>
      <c r="D6295" t="s">
        <v>8394</v>
      </c>
      <c r="E6295" s="3" t="str">
        <f>HYPERLINK("https://www.amazon.com/Batteries-Electronics-Klein-Tools-29250/dp/B096WHN6KG/ref=sr_1_1?keywords=Klein+Tools+29250+60W+Portable+Solar+Panel&amp;qid=1695174153&amp;sr=8-1", "https://www.amazon.com/Batteries-Electronics-Klein-Tools-29250/dp/B096WHN6KG/ref=sr_1_1?keywords=Klein+Tools+29250+60W+Portable+Solar+Panel&amp;qid=1695174153&amp;sr=8-1")</f>
        <v>https://www.amazon.com/Batteries-Electronics-Klein-Tools-29250/dp/B096WHN6KG/ref=sr_1_1?keywords=Klein+Tools+29250+60W+Portable+Solar+Panel&amp;qid=1695174153&amp;sr=8-1</v>
      </c>
      <c r="F6295" t="s">
        <v>8395</v>
      </c>
      <c r="G6295" t="e">
        <f ca="1">_xludf.IMAGE("https://edmondsonsupply.com/cdn/shop/products/29250.jpg?v=1664396962")</f>
        <v>#NAME?</v>
      </c>
      <c r="H6295" t="e">
        <f ca="1">_xludf.IMAGE("https://m.media-amazon.com/images/I/51pbv23WH5S._AC_UY218_.jpg")</f>
        <v>#NAME?</v>
      </c>
      <c r="I6295" t="s">
        <v>400</v>
      </c>
      <c r="J6295">
        <v>191.34</v>
      </c>
      <c r="K6295" s="4">
        <v>-4.3299999999999998E-2</v>
      </c>
      <c r="L6295">
        <v>4.0999999999999996</v>
      </c>
      <c r="M6295">
        <v>4</v>
      </c>
      <c r="O6295" t="s">
        <v>25</v>
      </c>
      <c r="P6295" t="s">
        <v>8396</v>
      </c>
      <c r="Q6295" t="s">
        <v>8397</v>
      </c>
    </row>
    <row r="6296" spans="1:17" ht="15.5" x14ac:dyDescent="0.35">
      <c r="A6296" s="3" t="str">
        <f>HYPERLINK("https://edmondsonsupply.com/collections/electricians-tools/products/klein-tools-56120-fiberglass-fish-tape-replacement-leaders-2-pack", "https://edmondsonsupply.com/collections/electricians-tools/products/klein-tools-56120-fiberglass-fish-tape-replacement-leaders-2-pack")</f>
        <v>https://edmondsonsupply.com/collections/electricians-tools/products/klein-tools-56120-fiberglass-fish-tape-replacement-leaders-2-pack</v>
      </c>
      <c r="B6296" s="3" t="str">
        <f>HYPERLINK("https://edmondsonsupply.com/products/klein-tools-56120-fiberglass-fish-tape-replacement-leaders-2-pack", "https://edmondsonsupply.com/products/klein-tools-56120-fiberglass-fish-tape-replacement-leaders-2-pack")</f>
        <v>https://edmondsonsupply.com/products/klein-tools-56120-fiberglass-fish-tape-replacement-leaders-2-pack</v>
      </c>
      <c r="C6296" t="s">
        <v>8398</v>
      </c>
      <c r="D6296" t="s">
        <v>8398</v>
      </c>
      <c r="E6296" s="3" t="str">
        <f>HYPERLINK("https://www.amazon.com/Fiberglass-Replacement-Klein-Tools-56120/dp/B007CU7UFY/ref=sr_1_1?keywords=Klein+Tools+56120+Fiberglass+Fish+Tape+Replacement+Leaders%2C+2-Pack&amp;qid=1695174134&amp;sr=8-1", "https://www.amazon.com/Fiberglass-Replacement-Klein-Tools-56120/dp/B007CU7UFY/ref=sr_1_1?keywords=Klein+Tools+56120+Fiberglass+Fish+Tape+Replacement+Leaders%2C+2-Pack&amp;qid=1695174134&amp;sr=8-1")</f>
        <v>https://www.amazon.com/Fiberglass-Replacement-Klein-Tools-56120/dp/B007CU7UFY/ref=sr_1_1?keywords=Klein+Tools+56120+Fiberglass+Fish+Tape+Replacement+Leaders%2C+2-Pack&amp;qid=1695174134&amp;sr=8-1</v>
      </c>
      <c r="F6296" t="s">
        <v>8399</v>
      </c>
      <c r="G6296" t="e">
        <f ca="1">_xludf.IMAGE("https://edmondsonsupply.com/cdn/shop/products/56120.jpg?v=1666108790")</f>
        <v>#NAME?</v>
      </c>
      <c r="H6296" t="e">
        <f ca="1">_xludf.IMAGE("https://m.media-amazon.com/images/I/61NG3guhVWL._AC_UL320_.jpg")</f>
        <v>#NAME?</v>
      </c>
      <c r="I6296" t="s">
        <v>198</v>
      </c>
      <c r="J6296">
        <v>38.24</v>
      </c>
      <c r="K6296" s="4">
        <v>-4.3799999999999999E-2</v>
      </c>
      <c r="L6296">
        <v>4.5</v>
      </c>
      <c r="M6296">
        <v>69</v>
      </c>
      <c r="O6296" t="s">
        <v>25</v>
      </c>
      <c r="P6296" t="s">
        <v>1310</v>
      </c>
      <c r="Q6296" t="s">
        <v>8400</v>
      </c>
    </row>
    <row r="6297" spans="1:17" ht="15.5" x14ac:dyDescent="0.35">
      <c r="A6297"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6297" s="3" t="str">
        <f>HYPERLINK("https://edmondsonsupply.com/products/klein-tools-65064-2-in-1-hex-head-screwdriver-1-4-5-16", "https://edmondsonsupply.com/products/klein-tools-65064-2-in-1-hex-head-screwdriver-1-4-5-16")</f>
        <v>https://edmondsonsupply.com/products/klein-tools-65064-2-in-1-hex-head-screwdriver-1-4-5-16</v>
      </c>
      <c r="C6297" t="s">
        <v>2093</v>
      </c>
      <c r="D6297" t="s">
        <v>4945</v>
      </c>
      <c r="E6297" s="3" t="str">
        <f>HYPERLINK("https://www.amazon.com/Driver-16-Inch-Klein-Tools-65064/dp/B01N2S3D09/ref=sr_1_1?keywords=Klein+Tools+65064+2-in-1+Nut+Driver%2C+Hex+Head%2C+1%2F4-Inch+and+5%2F16-Inch&amp;qid=1695173915&amp;sr=8-1", "https://www.amazon.com/Driver-16-Inch-Klein-Tools-65064/dp/B01N2S3D09/ref=sr_1_1?keywords=Klein+Tools+65064+2-in-1+Nut+Driver%2C+Hex+Head%2C+1%2F4-Inch+and+5%2F16-Inch&amp;qid=1695173915&amp;sr=8-1")</f>
        <v>https://www.amazon.com/Driver-16-Inch-Klein-Tools-65064/dp/B01N2S3D09/ref=sr_1_1?keywords=Klein+Tools+65064+2-in-1+Nut+Driver%2C+Hex+Head%2C+1%2F4-Inch+and+5%2F16-Inch&amp;qid=1695173915&amp;sr=8-1</v>
      </c>
      <c r="F6297" t="s">
        <v>4946</v>
      </c>
      <c r="G6297" t="e">
        <f ca="1">_xludf.IMAGE("https://edmondsonsupply.com/cdn/shop/products/65064.jpg?v=1587147719")</f>
        <v>#NAME?</v>
      </c>
      <c r="H6297" t="e">
        <f ca="1">_xludf.IMAGE("https://m.media-amazon.com/images/I/51WqGb8KzpL._AC_UL320_.jpg")</f>
        <v>#NAME?</v>
      </c>
      <c r="I6297" t="s">
        <v>143</v>
      </c>
      <c r="J6297">
        <v>15.27</v>
      </c>
      <c r="K6297" s="4">
        <v>-4.3799999999999999E-2</v>
      </c>
      <c r="L6297">
        <v>4.8</v>
      </c>
      <c r="M6297">
        <v>1412</v>
      </c>
      <c r="O6297" t="s">
        <v>25</v>
      </c>
      <c r="P6297" t="s">
        <v>2096</v>
      </c>
      <c r="Q6297" t="s">
        <v>2097</v>
      </c>
    </row>
    <row r="6298" spans="1:17" ht="15.5" x14ac:dyDescent="0.35">
      <c r="A6298"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6298"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6298" t="s">
        <v>5886</v>
      </c>
      <c r="D6298" t="s">
        <v>5914</v>
      </c>
      <c r="E6298" s="3" t="str">
        <f>HYPERLINK("https://www.amazon.com/Diablo-Universal-Carbide-Oscillating-General/dp/B089LHJYGQ/ref=sr_1_2?keywords=Diablo+Tools+DOU125CGP+1-1%2F4+in.+Universal+Fit+Carbide+Oscillating+Blade+for+General+Purpose+Cuts&amp;qid=1695174006&amp;sr=8-2", "https://www.amazon.com/Diablo-Universal-Carbide-Oscillating-General/dp/B089LHJYGQ/ref=sr_1_2?keywords=Diablo+Tools+DOU125CGP+1-1%2F4+in.+Universal+Fit+Carbide+Oscillating+Blade+for+General+Purpose+Cuts&amp;qid=1695174006&amp;sr=8-2")</f>
        <v>https://www.amazon.com/Diablo-Universal-Carbide-Oscillating-General/dp/B089LHJYGQ/ref=sr_1_2?keywords=Diablo+Tools+DOU125CGP+1-1%2F4+in.+Universal+Fit+Carbide+Oscillating+Blade+for+General+Purpose+Cuts&amp;qid=1695174006&amp;sr=8-2</v>
      </c>
      <c r="F6298" t="s">
        <v>5915</v>
      </c>
      <c r="G6298" t="e">
        <f ca="1">_xludf.IMAGE("https://edmondsonsupply.com/cdn/shop/files/htobgrjt150mygkkk6to_dca17485-ff4c-4cd2-9345-f1b96a9206f3.webp?v=1686146827")</f>
        <v>#NAME?</v>
      </c>
      <c r="H6298" t="e">
        <f ca="1">_xludf.IMAGE("https://m.media-amazon.com/images/I/71wZoc77rAL._AC_UL320_.jpg")</f>
        <v>#NAME?</v>
      </c>
      <c r="I6298" t="s">
        <v>1716</v>
      </c>
      <c r="J6298">
        <v>21.95</v>
      </c>
      <c r="K6298" s="4">
        <v>-4.4400000000000002E-2</v>
      </c>
      <c r="L6298">
        <v>4.5</v>
      </c>
      <c r="M6298">
        <v>30</v>
      </c>
      <c r="O6298" t="s">
        <v>25</v>
      </c>
      <c r="P6298" t="s">
        <v>5889</v>
      </c>
      <c r="Q6298" t="s">
        <v>5890</v>
      </c>
    </row>
    <row r="6299" spans="1:17" ht="15.5" x14ac:dyDescent="0.35">
      <c r="A6299"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6299" s="3" t="str">
        <f>HYPERLINK("https://edmondsonsupply.com/products/klein-tools-605-4-1-4-inch-cabinet-tip-screwdriver-4-inch-shank", "https://edmondsonsupply.com/products/klein-tools-605-4-1-4-inch-cabinet-tip-screwdriver-4-inch-shank")</f>
        <v>https://edmondsonsupply.com/products/klein-tools-605-4-1-4-inch-cabinet-tip-screwdriver-4-inch-shank</v>
      </c>
      <c r="C6299" t="s">
        <v>6418</v>
      </c>
      <c r="D6299" t="s">
        <v>8401</v>
      </c>
      <c r="E6299" s="3" t="str">
        <f>HYPERLINK("https://www.amazon.com/Cabinet-Screwdriver-Klein-Tools-605-4/dp/B000BQWOO8/ref=sr_1_1?keywords=Klein+Tools+605-4+1%2F4-Inch+Cabinet+Tip+Screwdriver+4-Inch+Shank&amp;qid=1695174135&amp;sr=8-1", "https://www.amazon.com/Cabinet-Screwdriver-Klein-Tools-605-4/dp/B000BQWOO8/ref=sr_1_1?keywords=Klein+Tools+605-4+1%2F4-Inch+Cabinet+Tip+Screwdriver+4-Inch+Shank&amp;qid=1695174135&amp;sr=8-1")</f>
        <v>https://www.amazon.com/Cabinet-Screwdriver-Klein-Tools-605-4/dp/B000BQWOO8/ref=sr_1_1?keywords=Klein+Tools+605-4+1%2F4-Inch+Cabinet+Tip+Screwdriver+4-Inch+Shank&amp;qid=1695174135&amp;sr=8-1</v>
      </c>
      <c r="F6299" t="s">
        <v>8402</v>
      </c>
      <c r="G6299" t="e">
        <f ca="1">_xludf.IMAGE("https://edmondsonsupply.com/cdn/shop/products/605-6_ac5e56ca-920d-4d55-842f-c7dc8361f892.jpg?v=1665688377")</f>
        <v>#NAME?</v>
      </c>
      <c r="H6299" t="e">
        <f ca="1">_xludf.IMAGE("https://m.media-amazon.com/images/I/41WLDr2SP+L._AC_UL320_.jpg")</f>
        <v>#NAME?</v>
      </c>
      <c r="I6299" t="s">
        <v>924</v>
      </c>
      <c r="J6299">
        <v>8.57</v>
      </c>
      <c r="K6299" s="4">
        <v>-4.6699999999999998E-2</v>
      </c>
      <c r="L6299">
        <v>4.8</v>
      </c>
      <c r="M6299">
        <v>1227</v>
      </c>
      <c r="O6299" t="s">
        <v>25</v>
      </c>
      <c r="P6299" t="s">
        <v>6421</v>
      </c>
      <c r="Q6299" t="s">
        <v>6422</v>
      </c>
    </row>
    <row r="6300" spans="1:17" ht="15.5" x14ac:dyDescent="0.35">
      <c r="A6300" s="3" t="str">
        <f>HYPERLINK("https://edmondsonsupply.com/collections/electricians-tools/products/klein-tools-554158-14-tool-bag-tradesman-pro%E2%84%A2-tool-tote-20-pockets-8-inch", "https://edmondsonsupply.com/collections/electricians-tools/products/klein-tools-554158-14-tool-bag-tradesman-pro%E2%84%A2-tool-tote-20-pockets-8-inch")</f>
        <v>https://edmondsonsupply.com/collections/electricians-tools/products/klein-tools-554158-14-tool-bag-tradesman-pro%E2%84%A2-tool-tote-20-pockets-8-inch</v>
      </c>
      <c r="B6300" s="3" t="str">
        <f>HYPERLINK("https://edmondsonsupply.com/products/klein-tools-554158-14-tool-bag-tradesman-pro%e2%84%a2-tool-tote-20-pockets-8-inch", "https://edmondsonsupply.com/products/klein-tools-554158-14-tool-bag-tradesman-pro%e2%84%a2-tool-tote-20-pockets-8-inch")</f>
        <v>https://edmondsonsupply.com/products/klein-tools-554158-14-tool-bag-tradesman-pro%e2%84%a2-tool-tote-20-pockets-8-inch</v>
      </c>
      <c r="C6300" t="s">
        <v>662</v>
      </c>
      <c r="D6300" t="s">
        <v>663</v>
      </c>
      <c r="E6300" s="3" t="str">
        <f>HYPERLINK("https://www.amazon.com/Tradesman-8-Inch-Klein-Tools-554158-14/dp/B00MVRGYC8/ref=sr_1_1?keywords=Klein+Tools+554158-14+Tool+Bag%2C+Tradesman+Pro%E2%84%A2+Tool+Tote%2C+20+Pockets%2C+8-Inch&amp;qid=1695174056&amp;sr=8-1", "https://www.amazon.com/Tradesman-8-Inch-Klein-Tools-554158-14/dp/B00MVRGYC8/ref=sr_1_1?keywords=Klein+Tools+554158-14+Tool+Bag%2C+Tradesman+Pro%E2%84%A2+Tool+Tote%2C+20+Pockets%2C+8-Inch&amp;qid=1695174056&amp;sr=8-1")</f>
        <v>https://www.amazon.com/Tradesman-8-Inch-Klein-Tools-554158-14/dp/B00MVRGYC8/ref=sr_1_1?keywords=Klein+Tools+554158-14+Tool+Bag%2C+Tradesman+Pro%E2%84%A2+Tool+Tote%2C+20+Pockets%2C+8-Inch&amp;qid=1695174056&amp;sr=8-1</v>
      </c>
      <c r="F6300" t="s">
        <v>664</v>
      </c>
      <c r="G6300" t="e">
        <f ca="1">_xludf.IMAGE("https://edmondsonsupply.com/cdn/shop/products/554158-14.jpg?v=1681746976")</f>
        <v>#NAME?</v>
      </c>
      <c r="H6300" t="e">
        <f ca="1">_xludf.IMAGE("https://m.media-amazon.com/images/I/61d4kiOTLVL._AC_UL320_.jpg")</f>
        <v>#NAME?</v>
      </c>
      <c r="I6300" t="s">
        <v>665</v>
      </c>
      <c r="J6300">
        <v>72.989999999999995</v>
      </c>
      <c r="K6300" s="4">
        <v>-4.6800000000000001E-2</v>
      </c>
      <c r="L6300">
        <v>4.8</v>
      </c>
      <c r="M6300">
        <v>441</v>
      </c>
      <c r="O6300" t="s">
        <v>25</v>
      </c>
      <c r="P6300" t="s">
        <v>666</v>
      </c>
      <c r="Q6300" t="s">
        <v>667</v>
      </c>
    </row>
    <row r="6301" spans="1:17" ht="15.5" x14ac:dyDescent="0.35">
      <c r="A6301"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6301" s="3" t="str">
        <f>HYPERLINK("https://edmondsonsupply.com/products/klein-tools-vdv427-300-impact-punchdown-tool-66-110-blade", "https://edmondsonsupply.com/products/klein-tools-vdv427-300-impact-punchdown-tool-66-110-blade")</f>
        <v>https://edmondsonsupply.com/products/klein-tools-vdv427-300-impact-punchdown-tool-66-110-blade</v>
      </c>
      <c r="C6301" t="s">
        <v>6289</v>
      </c>
      <c r="D6301" t="s">
        <v>8403</v>
      </c>
      <c r="E6301" s="3" t="str">
        <f>HYPERLINK("https://www.amazon.com/Klein-Tools-KLEBE-VDV427-300-Punchdown/dp/B08J2DN6HC/ref=sr_1_1?keywords=Klein+Tools+VDV427-300+Impact+Punchdown+Tool%2C+66%2F110+Blade&amp;qid=1695174221&amp;sr=8-1", "https://www.amazon.com/Klein-Tools-KLEBE-VDV427-300-Punchdown/dp/B08J2DN6HC/ref=sr_1_1?keywords=Klein+Tools+VDV427-300+Impact+Punchdown+Tool%2C+66%2F110+Blade&amp;qid=1695174221&amp;sr=8-1")</f>
        <v>https://www.amazon.com/Klein-Tools-KLEBE-VDV427-300-Punchdown/dp/B08J2DN6HC/ref=sr_1_1?keywords=Klein+Tools+VDV427-300+Impact+Punchdown+Tool%2C+66%2F110+Blade&amp;qid=1695174221&amp;sr=8-1</v>
      </c>
      <c r="F6301" t="s">
        <v>8404</v>
      </c>
      <c r="G6301" t="e">
        <f ca="1">_xludf.IMAGE("https://edmondsonsupply.com/cdn/shop/products/vdv427300.jpg?v=1646010568")</f>
        <v>#NAME?</v>
      </c>
      <c r="H6301" t="e">
        <f ca="1">_xludf.IMAGE("https://m.media-amazon.com/images/I/51Cdx8nwReL._AC_UL320_.jpg")</f>
        <v>#NAME?</v>
      </c>
      <c r="I6301" t="s">
        <v>246</v>
      </c>
      <c r="J6301">
        <v>38.1</v>
      </c>
      <c r="K6301" s="4">
        <v>-4.6800000000000001E-2</v>
      </c>
      <c r="L6301">
        <v>4.8</v>
      </c>
      <c r="M6301">
        <v>845</v>
      </c>
      <c r="O6301" t="s">
        <v>25</v>
      </c>
      <c r="P6301" t="s">
        <v>1027</v>
      </c>
      <c r="Q6301" t="s">
        <v>6292</v>
      </c>
    </row>
    <row r="6302" spans="1:17" ht="15.5" x14ac:dyDescent="0.35">
      <c r="A6302"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6302"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6302" t="s">
        <v>6802</v>
      </c>
      <c r="D6302" t="s">
        <v>8405</v>
      </c>
      <c r="E6302" s="3" t="str">
        <f>HYPERLINK("https://www.amazon.com/Journeyman-T-Handle-Klein-Tools-JTH4E10/dp/B004ITOH9Y/ref=sr_1_1?keywords=Klein+Tools+JTH4E10+5%2F32-Inch+Hex+Key%2C+Journeyman+T-Handle%2C+4-Inch&amp;qid=1695174219&amp;sr=8-1", "https://www.amazon.com/Journeyman-T-Handle-Klein-Tools-JTH4E10/dp/B004ITOH9Y/ref=sr_1_1?keywords=Klein+Tools+JTH4E10+5%2F32-Inch+Hex+Key%2C+Journeyman+T-Handle%2C+4-Inch&amp;qid=1695174219&amp;sr=8-1")</f>
        <v>https://www.amazon.com/Journeyman-T-Handle-Klein-Tools-JTH4E10/dp/B004ITOH9Y/ref=sr_1_1?keywords=Klein+Tools+JTH4E10+5%2F32-Inch+Hex+Key%2C+Journeyman+T-Handle%2C+4-Inch&amp;qid=1695174219&amp;sr=8-1</v>
      </c>
      <c r="F6302" t="s">
        <v>8406</v>
      </c>
      <c r="G6302" t="e">
        <f ca="1">_xludf.IMAGE("https://edmondsonsupply.com/cdn/shop/products/jth4e17_ce261606-f524-49c5-9cd5-8c9f52dd1e03.jpg?v=1645565342")</f>
        <v>#NAME?</v>
      </c>
      <c r="H6302" t="e">
        <f ca="1">_xludf.IMAGE("https://m.media-amazon.com/images/I/41nYgFaB8fL._AC_UL320_.jpg")</f>
        <v>#NAME?</v>
      </c>
      <c r="I6302" t="s">
        <v>6444</v>
      </c>
      <c r="J6302">
        <v>3.8</v>
      </c>
      <c r="K6302" s="4">
        <v>-4.7600000000000003E-2</v>
      </c>
      <c r="L6302">
        <v>4.8</v>
      </c>
      <c r="M6302">
        <v>2479</v>
      </c>
      <c r="O6302" t="s">
        <v>25</v>
      </c>
      <c r="P6302" t="s">
        <v>2044</v>
      </c>
      <c r="Q6302" t="s">
        <v>6803</v>
      </c>
    </row>
    <row r="6303" spans="1:17" ht="15.5" x14ac:dyDescent="0.35">
      <c r="A6303" s="3" t="str">
        <f>HYPERLINK("https://edmondsonsupply.com/collections/electricians-tools/products/milwaukee-2951-20-m12%E2%84%A2-radio-charger", "https://edmondsonsupply.com/collections/electricians-tools/products/milwaukee-2951-20-m12%E2%84%A2-radio-charger")</f>
        <v>https://edmondsonsupply.com/collections/electricians-tools/products/milwaukee-2951-20-m12%E2%84%A2-radio-charger</v>
      </c>
      <c r="B6303" s="3" t="str">
        <f>HYPERLINK("https://edmondsonsupply.com/products/milwaukee-2951-20-m12%e2%84%a2-radio-charger", "https://edmondsonsupply.com/products/milwaukee-2951-20-m12%e2%84%a2-radio-charger")</f>
        <v>https://edmondsonsupply.com/products/milwaukee-2951-20-m12%e2%84%a2-radio-charger</v>
      </c>
      <c r="C6303" t="s">
        <v>4992</v>
      </c>
      <c r="D6303" t="s">
        <v>4993</v>
      </c>
      <c r="E6303" s="3" t="str">
        <f>HYPERLINK("https://www.amazon.com/Milwaukee-2951-20-Lithium-Ion-Cordless-Bluetooth/dp/B08CL27W51/ref=sr_1_1?keywords=Milwaukee+2951-20+M12%E2%84%A2+Radio+%2B+Charger&amp;qid=1695173919&amp;sr=8-1", "https://www.amazon.com/Milwaukee-2951-20-Lithium-Ion-Cordless-Bluetooth/dp/B08CL27W51/ref=sr_1_1?keywords=Milwaukee+2951-20+M12%E2%84%A2+Radio+%2B+Charger&amp;qid=1695173919&amp;sr=8-1")</f>
        <v>https://www.amazon.com/Milwaukee-2951-20-Lithium-Ion-Cordless-Bluetooth/dp/B08CL27W51/ref=sr_1_1?keywords=Milwaukee+2951-20+M12%E2%84%A2+Radio+%2B+Charger&amp;qid=1695173919&amp;sr=8-1</v>
      </c>
      <c r="F6303" t="s">
        <v>4994</v>
      </c>
      <c r="G6303" t="e">
        <f ca="1">_xludf.IMAGE("https://edmondsonsupply.com/cdn/shop/products/images_2.png?v=1633030610")</f>
        <v>#NAME?</v>
      </c>
      <c r="H6303" t="e">
        <f ca="1">_xludf.IMAGE("https://m.media-amazon.com/images/I/61OrN0BXn+L._AC_UY218_.jpg")</f>
        <v>#NAME?</v>
      </c>
      <c r="I6303" t="s">
        <v>692</v>
      </c>
      <c r="J6303">
        <v>141.86000000000001</v>
      </c>
      <c r="K6303" s="4">
        <v>-4.7899999999999998E-2</v>
      </c>
      <c r="L6303">
        <v>4.7</v>
      </c>
      <c r="M6303">
        <v>913</v>
      </c>
      <c r="O6303" t="s">
        <v>25</v>
      </c>
      <c r="P6303" t="s">
        <v>710</v>
      </c>
      <c r="Q6303" t="s">
        <v>4995</v>
      </c>
    </row>
    <row r="6304" spans="1:17" ht="15.5" x14ac:dyDescent="0.35">
      <c r="A6304" s="3" t="str">
        <f>HYPERLINK("https://edmondsonsupply.com/collections/electricians-tools/products/klein-tools-jth9e06-3-32-inch-hex-key-journeyman%E2%84%A2-t-handle-9-inch", "https://edmondsonsupply.com/collections/electricians-tools/products/klein-tools-jth9e06-3-32-inch-hex-key-journeyman%E2%84%A2-t-handle-9-inch")</f>
        <v>https://edmondsonsupply.com/collections/electricians-tools/products/klein-tools-jth9e06-3-32-inch-hex-key-journeyman%E2%84%A2-t-handle-9-inch</v>
      </c>
      <c r="B6304" s="3" t="str">
        <f>HYPERLINK("https://edmondsonsupply.com/products/klein-tools-jth9e06-3-32-inch-hex-key-journeyman%e2%84%a2-t-handle-9-inch", "https://edmondsonsupply.com/products/klein-tools-jth9e06-3-32-inch-hex-key-journeyman%e2%84%a2-t-handle-9-inch")</f>
        <v>https://edmondsonsupply.com/products/klein-tools-jth9e06-3-32-inch-hex-key-journeyman%e2%84%a2-t-handle-9-inch</v>
      </c>
      <c r="C6304" t="s">
        <v>7332</v>
      </c>
      <c r="D6304" t="s">
        <v>7734</v>
      </c>
      <c r="E6304" s="3" t="str">
        <f>HYPERLINK("https://www.amazon.com/Journeyman-T-Handle-Klein-Tools-JTH9E06/dp/B004QV4A50/ref=sr_1_1?keywords=Klein+Tools+JTH9E06+3%2F32-Inch+Hex+Key%2C+Journeyman%E2%84%A2+T-Handle%2C+9-Inch&amp;qid=1695174164&amp;sr=8-1", "https://www.amazon.com/Journeyman-T-Handle-Klein-Tools-JTH9E06/dp/B004QV4A50/ref=sr_1_1?keywords=Klein+Tools+JTH9E06+3%2F32-Inch+Hex+Key%2C+Journeyman%E2%84%A2+T-Handle%2C+9-Inch&amp;qid=1695174164&amp;sr=8-1")</f>
        <v>https://www.amazon.com/Journeyman-T-Handle-Klein-Tools-JTH9E06/dp/B004QV4A50/ref=sr_1_1?keywords=Klein+Tools+JTH9E06+3%2F32-Inch+Hex+Key%2C+Journeyman%E2%84%A2+T-Handle%2C+9-Inch&amp;qid=1695174164&amp;sr=8-1</v>
      </c>
      <c r="F6304" t="s">
        <v>7735</v>
      </c>
      <c r="G6304" t="e">
        <f ca="1">_xludf.IMAGE("https://edmondsonsupply.com/cdn/shop/products/jth6e15_2136116f-dcd1-4a81-ab1c-471762cb8f3e.jpg?v=1662657547")</f>
        <v>#NAME?</v>
      </c>
      <c r="H6304" t="e">
        <f ca="1">_xludf.IMAGE("https://m.media-amazon.com/images/I/51Yb8h41vLL._AC_UL320_.jpg")</f>
        <v>#NAME?</v>
      </c>
      <c r="I6304" t="s">
        <v>6122</v>
      </c>
      <c r="J6304">
        <v>4.2699999999999996</v>
      </c>
      <c r="K6304" s="4">
        <v>-4.9000000000000002E-2</v>
      </c>
      <c r="L6304">
        <v>4.5999999999999996</v>
      </c>
      <c r="M6304">
        <v>393</v>
      </c>
      <c r="O6304" t="s">
        <v>25</v>
      </c>
      <c r="P6304" t="s">
        <v>6098</v>
      </c>
      <c r="Q6304" t="s">
        <v>7333</v>
      </c>
    </row>
    <row r="6305" spans="1:17" ht="15.5" x14ac:dyDescent="0.35">
      <c r="A6305"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6305"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6305" t="s">
        <v>6344</v>
      </c>
      <c r="D6305" t="s">
        <v>7574</v>
      </c>
      <c r="E6305" s="3" t="str">
        <f>HYPERLINK("https://www.amazon.com/Journeyman-T-Handle-Klein-Tools-JTH9E09/dp/B004QV4ORY/ref=sr_1_1?keywords=Klein+Tools+JTH9E09+9%2F64-Inch+Hex+Key%2C+Journeyman%E2%84%A2+T-Handle%2C+9-Inch&amp;qid=1695174053&amp;sr=8-1", "https://www.amazon.com/Journeyman-T-Handle-Klein-Tools-JTH9E09/dp/B004QV4ORY/ref=sr_1_1?keywords=Klein+Tools+JTH9E09+9%2F64-Inch+Hex+Key%2C+Journeyman%E2%84%A2+T-Handle%2C+9-Inch&amp;qid=1695174053&amp;sr=8-1")</f>
        <v>https://www.amazon.com/Journeyman-T-Handle-Klein-Tools-JTH9E09/dp/B004QV4ORY/ref=sr_1_1?keywords=Klein+Tools+JTH9E09+9%2F64-Inch+Hex+Key%2C+Journeyman%E2%84%A2+T-Handle%2C+9-Inch&amp;qid=1695174053&amp;sr=8-1</v>
      </c>
      <c r="F6305" t="s">
        <v>7575</v>
      </c>
      <c r="G6305" t="e">
        <f ca="1">_xludf.IMAGE("https://edmondsonsupply.com/cdn/shop/files/jth6e15_a82bd56b-ad18-4460-9ae1-33c48a111839.jpg?v=1684942468")</f>
        <v>#NAME?</v>
      </c>
      <c r="H6305" t="e">
        <f ca="1">_xludf.IMAGE("https://m.media-amazon.com/images/I/51Yb8h41vLL._AC_UL320_.jpg")</f>
        <v>#NAME?</v>
      </c>
      <c r="I6305" t="s">
        <v>6122</v>
      </c>
      <c r="J6305">
        <v>4.2699999999999996</v>
      </c>
      <c r="K6305" s="4">
        <v>-4.9000000000000002E-2</v>
      </c>
      <c r="L6305">
        <v>4.5999999999999996</v>
      </c>
      <c r="M6305">
        <v>393</v>
      </c>
      <c r="O6305" t="s">
        <v>25</v>
      </c>
      <c r="P6305" t="s">
        <v>6123</v>
      </c>
      <c r="Q6305" t="s">
        <v>6345</v>
      </c>
    </row>
    <row r="6306" spans="1:17" ht="15.5" x14ac:dyDescent="0.35">
      <c r="A6306"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6306" s="3" t="str">
        <f>HYPERLINK("https://edmondsonsupply.com/products/diablo-tools-dag3070-3-4-in-x-17-1-2-in-auger-bit", "https://edmondsonsupply.com/products/diablo-tools-dag3070-3-4-in-x-17-1-2-in-auger-bit")</f>
        <v>https://edmondsonsupply.com/products/diablo-tools-dag3070-3-4-in-x-17-1-2-in-auger-bit</v>
      </c>
      <c r="C6306" t="s">
        <v>7783</v>
      </c>
      <c r="D6306" t="s">
        <v>7355</v>
      </c>
      <c r="E6306" s="3" t="str">
        <f>HYPERLINK("https://www.amazon.com/Diablo-DAG3100-17-1-Auger-Bit/dp/B089KWFBPH/ref=sr_1_10?keywords=Diablo+Tools+DAG3070+3%2F4+in.+x+17-1%2F2+in.+Auger+Bit&amp;qid=1695174104&amp;sr=8-10", "https://www.amazon.com/Diablo-DAG3100-17-1-Auger-Bit/dp/B089KWFBPH/ref=sr_1_10?keywords=Diablo+Tools+DAG3070+3%2F4+in.+x+17-1%2F2+in.+Auger+Bit&amp;qid=1695174104&amp;sr=8-10")</f>
        <v>https://www.amazon.com/Diablo-DAG3100-17-1-Auger-Bit/dp/B089KWFBPH/ref=sr_1_10?keywords=Diablo+Tools+DAG3070+3%2F4+in.+x+17-1%2F2+in.+Auger+Bit&amp;qid=1695174104&amp;sr=8-10</v>
      </c>
      <c r="F6306" t="s">
        <v>7356</v>
      </c>
      <c r="G6306" t="e">
        <f ca="1">_xludf.IMAGE("https://edmondsonsupply.com/cdn/shop/products/ljatbudptj8xmo1m7sg7.webp?v=1669994151")</f>
        <v>#NAME?</v>
      </c>
      <c r="H6306" t="e">
        <f ca="1">_xludf.IMAGE("https://m.media-amazon.com/images/I/61Lk5PecX2L._AC_UL320_.jpg")</f>
        <v>#NAME?</v>
      </c>
      <c r="I6306" t="s">
        <v>3472</v>
      </c>
      <c r="J6306">
        <v>22.8</v>
      </c>
      <c r="K6306" s="4">
        <v>-4.9599999999999998E-2</v>
      </c>
      <c r="L6306">
        <v>5</v>
      </c>
      <c r="M6306">
        <v>3</v>
      </c>
      <c r="O6306" t="s">
        <v>25</v>
      </c>
      <c r="P6306" t="s">
        <v>7784</v>
      </c>
      <c r="Q6306" t="s">
        <v>7785</v>
      </c>
    </row>
    <row r="6307" spans="1:17" ht="15.5" x14ac:dyDescent="0.35">
      <c r="A6307" s="3" t="str">
        <f>HYPERLINK("https://edmondsonsupply.com/collections/electricians-tools/products/tajima-gp-16bw-g-plus%E2%84%A2-standard-scale-16-ft-x-1-in-steel-blade-tape-measure", "https://edmondsonsupply.com/collections/electricians-tools/products/tajima-gp-16bw-g-plus%E2%84%A2-standard-scale-16-ft-x-1-in-steel-blade-tape-measure")</f>
        <v>https://edmondsonsupply.com/collections/electricians-tools/products/tajima-gp-16bw-g-plus%E2%84%A2-standard-scale-16-ft-x-1-in-steel-blade-tape-measure</v>
      </c>
      <c r="B6307" s="3" t="str">
        <f>HYPERLINK("https://edmondsonsupply.com/products/tajima-gp-16bw-g-plus%e2%84%a2-standard-scale-16-ft-x-1-in-steel-blade-tape-measure", "https://edmondsonsupply.com/products/tajima-gp-16bw-g-plus%e2%84%a2-standard-scale-16-ft-x-1-in-steel-blade-tape-measure")</f>
        <v>https://edmondsonsupply.com/products/tajima-gp-16bw-g-plus%e2%84%a2-standard-scale-16-ft-x-1-in-steel-blade-tape-measure</v>
      </c>
      <c r="C6307" t="s">
        <v>8407</v>
      </c>
      <c r="D6307" t="s">
        <v>8408</v>
      </c>
      <c r="E6307" s="3" t="str">
        <f>HYPERLINK("https://www.amazon.com/TAJIMA-Tape-Measure-Measuring-Armored/dp/B001S2QNPA/ref=sr_1_1?keywords=Tajima+GP-16BW+G-PLUS%E2%84%A2+Standard+Scale%2C+16+ft+x+1+in.+Steel+Blade+Tape+Measure&amp;qid=1695174198&amp;sr=8-1", "https://www.amazon.com/TAJIMA-Tape-Measure-Measuring-Armored/dp/B001S2QNPA/ref=sr_1_1?keywords=Tajima+GP-16BW+G-PLUS%E2%84%A2+Standard+Scale%2C+16+ft+x+1+in.+Steel+Blade+Tape+Measure&amp;qid=1695174198&amp;sr=8-1")</f>
        <v>https://www.amazon.com/TAJIMA-Tape-Measure-Measuring-Armored/dp/B001S2QNPA/ref=sr_1_1?keywords=Tajima+GP-16BW+G-PLUS%E2%84%A2+Standard+Scale%2C+16+ft+x+1+in.+Steel+Blade+Tape+Measure&amp;qid=1695174198&amp;sr=8-1</v>
      </c>
      <c r="F6307" t="s">
        <v>8409</v>
      </c>
      <c r="G6307" t="e">
        <f ca="1">_xludf.IMAGE("https://edmondsonsupply.com/cdn/shop/products/GP-16BW_s-2.jpg?v=1655821133")</f>
        <v>#NAME?</v>
      </c>
      <c r="H6307" t="e">
        <f ca="1">_xludf.IMAGE("https://m.media-amazon.com/images/I/61KUgikKosL._AC_UL320_.jpg")</f>
        <v>#NAME?</v>
      </c>
      <c r="I6307" t="s">
        <v>8410</v>
      </c>
      <c r="J6307">
        <v>29.07</v>
      </c>
      <c r="K6307" s="4">
        <v>-4.9700000000000001E-2</v>
      </c>
      <c r="L6307">
        <v>4.0999999999999996</v>
      </c>
      <c r="M6307">
        <v>112</v>
      </c>
      <c r="O6307" t="s">
        <v>25</v>
      </c>
      <c r="P6307" t="s">
        <v>138</v>
      </c>
      <c r="Q6307" t="s">
        <v>8411</v>
      </c>
    </row>
    <row r="6308" spans="1:17" ht="15.5" x14ac:dyDescent="0.35">
      <c r="A6308" s="3" t="str">
        <f>HYPERLINK("https://edmondsonsupply.com/collections/electricians-tools/products/greenlee-gsb09-1-1-8-step-bit-9", "https://edmondsonsupply.com/collections/electricians-tools/products/greenlee-gsb09-1-1-8-step-bit-9")</f>
        <v>https://edmondsonsupply.com/collections/electricians-tools/products/greenlee-gsb09-1-1-8-step-bit-9</v>
      </c>
      <c r="B6308" s="3" t="str">
        <f>HYPERLINK("https://edmondsonsupply.com/products/greenlee-gsb09-1-1-8-step-bit-9", "https://edmondsonsupply.com/products/greenlee-gsb09-1-1-8-step-bit-9")</f>
        <v>https://edmondsonsupply.com/products/greenlee-gsb09-1-1-8-step-bit-9</v>
      </c>
      <c r="C6308" t="s">
        <v>4952</v>
      </c>
      <c r="D6308" t="s">
        <v>2320</v>
      </c>
      <c r="E6308" s="3" t="str">
        <f>HYPERLINK("https://www.amazon.com/Greenlee-Patented-Split-Step-Design-Cutting/dp/B08TVGF4MS/ref=sr_1_1?keywords=Greenlee+GSB09+1-1%2F8%22+Step+Bit+%28%239%29&amp;qid=1695173992&amp;sr=8-1", "https://www.amazon.com/Greenlee-Patented-Split-Step-Design-Cutting/dp/B08TVGF4MS/ref=sr_1_1?keywords=Greenlee+GSB09+1-1%2F8%22+Step+Bit+%28%239%29&amp;qid=1695173992&amp;sr=8-1")</f>
        <v>https://www.amazon.com/Greenlee-Patented-Split-Step-Design-Cutting/dp/B08TVGF4MS/ref=sr_1_1?keywords=Greenlee+GSB09+1-1%2F8%22+Step+Bit+%28%239%29&amp;qid=1695173992&amp;sr=8-1</v>
      </c>
      <c r="F6308" t="s">
        <v>2321</v>
      </c>
      <c r="G6308" t="e">
        <f ca="1">_xludf.IMAGE("https://edmondsonsupply.com/cdn/shop/files/GSB09_CAT1_72dpi.jpg?v=1687787938")</f>
        <v>#NAME?</v>
      </c>
      <c r="H6308" t="e">
        <f ca="1">_xludf.IMAGE("https://m.media-amazon.com/images/I/41J5YEXJLpL._AC_UY218_.jpg")</f>
        <v>#NAME?</v>
      </c>
      <c r="I6308" t="s">
        <v>4953</v>
      </c>
      <c r="J6308">
        <v>65.81</v>
      </c>
      <c r="K6308" s="4">
        <v>-4.9799999999999997E-2</v>
      </c>
      <c r="L6308">
        <v>3.8</v>
      </c>
      <c r="M6308">
        <v>5</v>
      </c>
      <c r="O6308" t="s">
        <v>25</v>
      </c>
      <c r="P6308" t="s">
        <v>4954</v>
      </c>
      <c r="Q6308" t="s">
        <v>4955</v>
      </c>
    </row>
    <row r="6309" spans="1:17" ht="15.5" x14ac:dyDescent="0.35">
      <c r="A6309"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6309"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6309" t="s">
        <v>8412</v>
      </c>
      <c r="D6309" t="s">
        <v>8034</v>
      </c>
      <c r="E6309" s="3" t="str">
        <f>HYPERLINK("https://www.amazon.com/TAJIMA-GS25-7-5MBW-Standard-Metric/dp/B07KJYHXG2/ref=sr_1_1?keywords=Tajima+GS-25%2F7.5MBW+GS+Lock%E2%84%A2+Standard+%26+Metric+Scale%2C+25+ft%2F+7.5+m+x+1-1%2F16+in.%2F27mm+Steel+Blade+Tape+Measure&amp;qid=1695174191&amp;sr=8-1", "https://www.amazon.com/TAJIMA-GS25-7-5MBW-Standard-Metric/dp/B07KJYHXG2/ref=sr_1_1?keywords=Tajima+GS-25%2F7.5MBW+GS+Lock%E2%84%A2+Standard+%26+Metric+Scale%2C+25+ft%2F+7.5+m+x+1-1%2F16+in.%2F27mm+Steel+Blade+Tape+Measure&amp;qid=1695174191&amp;sr=8-1")</f>
        <v>https://www.amazon.com/TAJIMA-GS25-7-5MBW-Standard-Metric/dp/B07KJYHXG2/ref=sr_1_1?keywords=Tajima+GS-25%2F7.5MBW+GS+Lock%E2%84%A2+Standard+%26+Metric+Scale%2C+25+ft%2F+7.5+m+x+1-1%2F16+in.%2F27mm+Steel+Blade+Tape+Measure&amp;qid=1695174191&amp;sr=8-1</v>
      </c>
      <c r="F6309" t="s">
        <v>8035</v>
      </c>
      <c r="G6309" t="e">
        <f ca="1">_xludf.IMAGE("https://edmondsonsupply.com/cdn/shop/products/GS25-7.5MBW.jpg?v=1655830265")</f>
        <v>#NAME?</v>
      </c>
      <c r="H6309" t="e">
        <f ca="1">_xludf.IMAGE("https://m.media-amazon.com/images/I/51PaItjwi6L._AC_UL320_.jpg")</f>
        <v>#NAME?</v>
      </c>
      <c r="I6309" t="s">
        <v>7638</v>
      </c>
      <c r="J6309">
        <v>40.08</v>
      </c>
      <c r="K6309" s="4">
        <v>-0.05</v>
      </c>
      <c r="L6309">
        <v>4</v>
      </c>
      <c r="M6309">
        <v>46</v>
      </c>
      <c r="O6309" t="s">
        <v>25</v>
      </c>
      <c r="P6309" t="s">
        <v>138</v>
      </c>
      <c r="Q6309" t="s">
        <v>8413</v>
      </c>
    </row>
    <row r="6310" spans="1:17" ht="15.5" x14ac:dyDescent="0.35">
      <c r="A6310" s="3" t="str">
        <f>HYPERLINK("https://edmondsonsupply.com/collections/electricians-tools/products/tajima-gp-25bw-g-plus%E2%84%A2-standard-scale-25-ft-x-1-in-steel-blade-tape-measure", "https://edmondsonsupply.com/collections/electricians-tools/products/tajima-gp-25bw-g-plus%E2%84%A2-standard-scale-25-ft-x-1-in-steel-blade-tape-measure")</f>
        <v>https://edmondsonsupply.com/collections/electricians-tools/products/tajima-gp-25bw-g-plus%E2%84%A2-standard-scale-25-ft-x-1-in-steel-blade-tape-measure</v>
      </c>
      <c r="B6310" s="3" t="str">
        <f>HYPERLINK("https://edmondsonsupply.com/products/tajima-gp-25bw-g-plus%e2%84%a2-standard-scale-25-ft-x-1-in-steel-blade-tape-measure", "https://edmondsonsupply.com/products/tajima-gp-25bw-g-plus%e2%84%a2-standard-scale-25-ft-x-1-in-steel-blade-tape-measure")</f>
        <v>https://edmondsonsupply.com/products/tajima-gp-25bw-g-plus%e2%84%a2-standard-scale-25-ft-x-1-in-steel-blade-tape-measure</v>
      </c>
      <c r="C6310" t="s">
        <v>8414</v>
      </c>
      <c r="D6310" t="s">
        <v>8415</v>
      </c>
      <c r="E6310" s="3" t="str">
        <f>HYPERLINK("https://www.amazon.com/TAJIMA-Tape-Measure-Measuring-Armored/dp/B001S2QNP0/ref=sr_1_1?keywords=Tajima+GP-25BW+G-PLUS%E2%84%A2+Standard+Scale%2C+25+ft+x+1+in.+Steel+Blade+Tape+Measure&amp;qid=1695174184&amp;sr=8-1", "https://www.amazon.com/TAJIMA-Tape-Measure-Measuring-Armored/dp/B001S2QNP0/ref=sr_1_1?keywords=Tajima+GP-25BW+G-PLUS%E2%84%A2+Standard+Scale%2C+25+ft+x+1+in.+Steel+Blade+Tape+Measure&amp;qid=1695174184&amp;sr=8-1")</f>
        <v>https://www.amazon.com/TAJIMA-Tape-Measure-Measuring-Armored/dp/B001S2QNP0/ref=sr_1_1?keywords=Tajima+GP-25BW+G-PLUS%E2%84%A2+Standard+Scale%2C+25+ft+x+1+in.+Steel+Blade+Tape+Measure&amp;qid=1695174184&amp;sr=8-1</v>
      </c>
      <c r="F6310" t="s">
        <v>8416</v>
      </c>
      <c r="G6310" t="e">
        <f ca="1">_xludf.IMAGE("https://edmondsonsupply.com/cdn/shop/products/GP-25BW.jpg?v=1655821525")</f>
        <v>#NAME?</v>
      </c>
      <c r="H6310" t="e">
        <f ca="1">_xludf.IMAGE("https://m.media-amazon.com/images/I/61KXGISx+rL._AC_UL320_.jpg")</f>
        <v>#NAME?</v>
      </c>
      <c r="I6310" t="s">
        <v>8417</v>
      </c>
      <c r="J6310">
        <v>33.43</v>
      </c>
      <c r="K6310" s="4">
        <v>-0.05</v>
      </c>
      <c r="L6310">
        <v>4.0999999999999996</v>
      </c>
      <c r="M6310">
        <v>112</v>
      </c>
      <c r="O6310" t="s">
        <v>25</v>
      </c>
      <c r="P6310" t="s">
        <v>8417</v>
      </c>
      <c r="Q6310" t="s">
        <v>8418</v>
      </c>
    </row>
    <row r="6311" spans="1:17" ht="15.5" x14ac:dyDescent="0.35">
      <c r="A6311" s="3" t="str">
        <f>HYPERLINK("https://edmondsonsupply.com/collections/electricians-tools/products/tajima-gs-16bw-gs-lock%E2%84%A2-standard-scale-16-ft-x-1-in-steel-blade-tape-measure", "https://edmondsonsupply.com/collections/electricians-tools/products/tajima-gs-16bw-gs-lock%E2%84%A2-standard-scale-16-ft-x-1-in-steel-blade-tape-measure")</f>
        <v>https://edmondsonsupply.com/collections/electricians-tools/products/tajima-gs-16bw-gs-lock%E2%84%A2-standard-scale-16-ft-x-1-in-steel-blade-tape-measure</v>
      </c>
      <c r="B6311" s="3" t="str">
        <f>HYPERLINK("https://edmondsonsupply.com/products/tajima-gs-16bw-gs-lock%e2%84%a2-standard-scale-16-ft-x-1-in-steel-blade-tape-measure", "https://edmondsonsupply.com/products/tajima-gs-16bw-gs-lock%e2%84%a2-standard-scale-16-ft-x-1-in-steel-blade-tape-measure")</f>
        <v>https://edmondsonsupply.com/products/tajima-gs-16bw-gs-lock%e2%84%a2-standard-scale-16-ft-x-1-in-steel-blade-tape-measure</v>
      </c>
      <c r="C6311" t="s">
        <v>8419</v>
      </c>
      <c r="D6311" t="s">
        <v>8013</v>
      </c>
      <c r="E6311" s="3" t="str">
        <f>HYPERLINK("https://www.amazon.com/TAJIMA-GS-16-5MBW-Standard-Metric/dp/B07KK4HWTX/ref=sr_1_3?keywords=Tajima+GS-16BW+GS+Lock%E2%84%A2+Standard+Scale%2C+16+ft+x+1+in.+Steel+Blade+Tape+Measure&amp;qid=1695174200&amp;sr=8-3", "https://www.amazon.com/TAJIMA-GS-16-5MBW-Standard-Metric/dp/B07KK4HWTX/ref=sr_1_3?keywords=Tajima+GS-16BW+GS+Lock%E2%84%A2+Standard+Scale%2C+16+ft+x+1+in.+Steel+Blade+Tape+Measure&amp;qid=1695174200&amp;sr=8-3")</f>
        <v>https://www.amazon.com/TAJIMA-GS-16-5MBW-Standard-Metric/dp/B07KK4HWTX/ref=sr_1_3?keywords=Tajima+GS-16BW+GS+Lock%E2%84%A2+Standard+Scale%2C+16+ft+x+1+in.+Steel+Blade+Tape+Measure&amp;qid=1695174200&amp;sr=8-3</v>
      </c>
      <c r="F6311" t="s">
        <v>8014</v>
      </c>
      <c r="G6311" t="e">
        <f ca="1">_xludf.IMAGE("https://edmondsonsupply.com/cdn/shop/products/GS16BW.jpg?v=1655827309")</f>
        <v>#NAME?</v>
      </c>
      <c r="H6311" t="e">
        <f ca="1">_xludf.IMAGE("https://m.media-amazon.com/images/I/51vAY18AaEL._AC_UL320_.jpg")</f>
        <v>#NAME?</v>
      </c>
      <c r="I6311" t="s">
        <v>8016</v>
      </c>
      <c r="J6311">
        <v>27.92</v>
      </c>
      <c r="K6311" s="4">
        <v>-0.05</v>
      </c>
      <c r="L6311">
        <v>4</v>
      </c>
      <c r="M6311">
        <v>46</v>
      </c>
      <c r="O6311" t="s">
        <v>25</v>
      </c>
      <c r="P6311" t="s">
        <v>138</v>
      </c>
      <c r="Q6311" t="s">
        <v>8420</v>
      </c>
    </row>
    <row r="6312" spans="1:17" ht="15.5" x14ac:dyDescent="0.35">
      <c r="A6312" s="3" t="str">
        <f>HYPERLINK("https://edmondsonsupply.com/collections/electricians-tools/products/klein-tools-56402-cap-visor-light-led", "https://edmondsonsupply.com/collections/electricians-tools/products/klein-tools-56402-cap-visor-light-led")</f>
        <v>https://edmondsonsupply.com/collections/electricians-tools/products/klein-tools-56402-cap-visor-light-led</v>
      </c>
      <c r="B6312" s="3" t="str">
        <f>HYPERLINK("https://edmondsonsupply.com/products/klein-tools-56402-cap-visor-light-led", "https://edmondsonsupply.com/products/klein-tools-56402-cap-visor-light-led")</f>
        <v>https://edmondsonsupply.com/products/klein-tools-56402-cap-visor-light-led</v>
      </c>
      <c r="C6312" t="s">
        <v>4956</v>
      </c>
      <c r="D6312" t="s">
        <v>4957</v>
      </c>
      <c r="E6312" s="3" t="str">
        <f>HYPERLINK("https://www.amazon.com/Klein-Tools-56402-Pivoting-Batteries/dp/B07PST59RV/ref=sr_1_1?keywords=Klein+Tools+56402+Cap+Visor+LED+Light&amp;qid=1695173935&amp;sr=8-1", "https://www.amazon.com/Klein-Tools-56402-Pivoting-Batteries/dp/B07PST59RV/ref=sr_1_1?keywords=Klein+Tools+56402+Cap+Visor+LED+Light&amp;qid=1695173935&amp;sr=8-1")</f>
        <v>https://www.amazon.com/Klein-Tools-56402-Pivoting-Batteries/dp/B07PST59RV/ref=sr_1_1?keywords=Klein+Tools+56402+Cap+Visor+LED+Light&amp;qid=1695173935&amp;sr=8-1</v>
      </c>
      <c r="F6312" t="s">
        <v>4958</v>
      </c>
      <c r="G6312" t="e">
        <f ca="1">_xludf.IMAGE("https://edmondsonsupply.com/cdn/shop/products/56402.jpg?v=1587143311")</f>
        <v>#NAME?</v>
      </c>
      <c r="H6312" t="e">
        <f ca="1">_xludf.IMAGE("https://m.media-amazon.com/images/I/51Wj09Yog+L._AC_UL320_.jpg")</f>
        <v>#NAME?</v>
      </c>
      <c r="I6312" t="s">
        <v>893</v>
      </c>
      <c r="J6312">
        <v>18.97</v>
      </c>
      <c r="K6312" s="4">
        <v>-5.0099999999999999E-2</v>
      </c>
      <c r="L6312">
        <v>4.4000000000000004</v>
      </c>
      <c r="M6312">
        <v>1202</v>
      </c>
      <c r="O6312" t="s">
        <v>25</v>
      </c>
      <c r="P6312" t="s">
        <v>4959</v>
      </c>
      <c r="Q6312" t="s">
        <v>4960</v>
      </c>
    </row>
    <row r="6313" spans="1:17" ht="15.5" x14ac:dyDescent="0.35">
      <c r="A6313"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6313" s="3" t="str">
        <f>HYPERLINK("https://edmondsonsupply.com/products/fluke-62-max-mini-infrared-thermometer", "https://edmondsonsupply.com/products/fluke-62-max-mini-infrared-thermometer")</f>
        <v>https://edmondsonsupply.com/products/fluke-62-max-mini-infrared-thermometer</v>
      </c>
      <c r="C6313" t="s">
        <v>2312</v>
      </c>
      <c r="D6313" t="s">
        <v>4961</v>
      </c>
      <c r="E6313" s="3" t="str">
        <f>HYPERLINK("https://www.amazon.com/Fluke-MAX-Thermometer-Contact-Degree/dp/B008EW837S/ref=sr_1_1?keywords=Fluke+62+MAX+Mini+Infrared+Thermometer&amp;qid=1695173898&amp;sr=8-1", "https://www.amazon.com/Fluke-MAX-Thermometer-Contact-Degree/dp/B008EW837S/ref=sr_1_1?keywords=Fluke+62+MAX+Mini+Infrared+Thermometer&amp;qid=1695173898&amp;sr=8-1")</f>
        <v>https://www.amazon.com/Fluke-MAX-Thermometer-Contact-Degree/dp/B008EW837S/ref=sr_1_1?keywords=Fluke+62+MAX+Mini+Infrared+Thermometer&amp;qid=1695173898&amp;sr=8-1</v>
      </c>
      <c r="F6313" t="s">
        <v>4962</v>
      </c>
      <c r="G6313" t="e">
        <f ca="1">_xludf.IMAGE("https://edmondsonsupply.com/cdn/shop/products/62max.jpg?v=1633030769")</f>
        <v>#NAME?</v>
      </c>
      <c r="H6313" t="e">
        <f ca="1">_xludf.IMAGE("https://m.media-amazon.com/images/I/51QB7aenW8L._AC_UY218_.jpg")</f>
        <v>#NAME?</v>
      </c>
      <c r="I6313" t="s">
        <v>2315</v>
      </c>
      <c r="J6313">
        <v>116.8</v>
      </c>
      <c r="K6313" s="4">
        <v>-5.0299999999999997E-2</v>
      </c>
      <c r="L6313">
        <v>4.7</v>
      </c>
      <c r="M6313">
        <v>1713</v>
      </c>
      <c r="O6313" t="s">
        <v>171</v>
      </c>
      <c r="P6313" t="s">
        <v>460</v>
      </c>
      <c r="Q6313" t="s">
        <v>2316</v>
      </c>
    </row>
    <row r="6314" spans="1:17" ht="15.5" x14ac:dyDescent="0.35">
      <c r="A6314" s="3" t="str">
        <f>HYPERLINK("https://edmondsonsupply.com/collections/electricians-tools/products/klein-tools-56221-led-clip-light", "https://edmondsonsupply.com/collections/electricians-tools/products/klein-tools-56221-led-clip-light")</f>
        <v>https://edmondsonsupply.com/collections/electricians-tools/products/klein-tools-56221-led-clip-light</v>
      </c>
      <c r="B6314" s="3" t="str">
        <f>HYPERLINK("https://edmondsonsupply.com/products/klein-tools-56221-led-clip-light", "https://edmondsonsupply.com/products/klein-tools-56221-led-clip-light")</f>
        <v>https://edmondsonsupply.com/products/klein-tools-56221-led-clip-light</v>
      </c>
      <c r="C6314" t="s">
        <v>6707</v>
      </c>
      <c r="D6314" t="s">
        <v>4957</v>
      </c>
      <c r="E6314" s="3" t="str">
        <f>HYPERLINK("https://www.amazon.com/Klein-Tools-56402-Pivoting-Batteries/dp/B07PST59RV/ref=sr_1_3?keywords=Klein+Tools+56221+LED+Clip+Light&amp;qid=1695174297&amp;sr=8-3", "https://www.amazon.com/Klein-Tools-56402-Pivoting-Batteries/dp/B07PST59RV/ref=sr_1_3?keywords=Klein+Tools+56221+LED+Clip+Light&amp;qid=1695174297&amp;sr=8-3")</f>
        <v>https://www.amazon.com/Klein-Tools-56402-Pivoting-Batteries/dp/B07PST59RV/ref=sr_1_3?keywords=Klein+Tools+56221+LED+Clip+Light&amp;qid=1695174297&amp;sr=8-3</v>
      </c>
      <c r="F6314" t="s">
        <v>4958</v>
      </c>
      <c r="G6314" t="e">
        <f ca="1">_xludf.IMAGE("https://edmondsonsupply.com/cdn/shop/products/56221.jpg?v=1633030868")</f>
        <v>#NAME?</v>
      </c>
      <c r="H6314" t="e">
        <f ca="1">_xludf.IMAGE("https://m.media-amazon.com/images/I/51Wj09Yog+L._AC_UL320_.jpg")</f>
        <v>#NAME?</v>
      </c>
      <c r="I6314" t="s">
        <v>577</v>
      </c>
      <c r="J6314">
        <v>18.97</v>
      </c>
      <c r="K6314" s="4">
        <v>-5.0999999999999997E-2</v>
      </c>
      <c r="L6314">
        <v>4.4000000000000004</v>
      </c>
      <c r="M6314">
        <v>1202</v>
      </c>
      <c r="O6314" t="s">
        <v>25</v>
      </c>
      <c r="P6314" t="s">
        <v>6144</v>
      </c>
      <c r="Q6314" t="s">
        <v>6710</v>
      </c>
    </row>
    <row r="6315" spans="1:17" ht="15.5" x14ac:dyDescent="0.35">
      <c r="A6315" s="3" t="str">
        <f>HYPERLINK("https://edmondsonsupply.com/collections/electricians-tools/products/crescent-wiss-whn1n-8-3-4-hand-notcher", "https://edmondsonsupply.com/collections/electricians-tools/products/crescent-wiss-whn1n-8-3-4-hand-notcher")</f>
        <v>https://edmondsonsupply.com/collections/electricians-tools/products/crescent-wiss-whn1n-8-3-4-hand-notcher</v>
      </c>
      <c r="B6315" s="3" t="str">
        <f>HYPERLINK("https://edmondsonsupply.com/products/crescent-wiss-whn1n-8-3-4-hand-notcher", "https://edmondsonsupply.com/products/crescent-wiss-whn1n-8-3-4-hand-notcher")</f>
        <v>https://edmondsonsupply.com/products/crescent-wiss-whn1n-8-3-4-hand-notcher</v>
      </c>
      <c r="C6315" t="s">
        <v>8421</v>
      </c>
      <c r="D6315" t="s">
        <v>8422</v>
      </c>
      <c r="E6315" s="3" t="str">
        <f>HYPERLINK("https://www.amazon.com/Wiss-WHN1N-HVAC-Duct-Notcher/dp/B06XCD4DY3/ref=sr_1_1?keywords=Crescent+Wiss+WHN1N+8-3%2F4%22+Hand+Notcher&amp;qid=1695174036&amp;sr=8-1", "https://www.amazon.com/Wiss-WHN1N-HVAC-Duct-Notcher/dp/B06XCD4DY3/ref=sr_1_1?keywords=Crescent+Wiss+WHN1N+8-3%2F4%22+Hand+Notcher&amp;qid=1695174036&amp;sr=8-1")</f>
        <v>https://www.amazon.com/Wiss-WHN1N-HVAC-Duct-Notcher/dp/B06XCD4DY3/ref=sr_1_1?keywords=Crescent+Wiss+WHN1N+8-3%2F4%22+Hand+Notcher&amp;qid=1695174036&amp;sr=8-1</v>
      </c>
      <c r="F6315" t="s">
        <v>8423</v>
      </c>
      <c r="G6315" t="e">
        <f ca="1">_xludf.IMAGE("https://edmondsonsupply.com/cdn/shop/products/WIS_WHN1N_IMG-MAIN.jpg?v=1679677764")</f>
        <v>#NAME?</v>
      </c>
      <c r="H6315" t="e">
        <f ca="1">_xludf.IMAGE("https://m.media-amazon.com/images/I/81vaWRQbZiL._AC_UL320_.jpg")</f>
        <v>#NAME?</v>
      </c>
      <c r="I6315" t="s">
        <v>8424</v>
      </c>
      <c r="J6315">
        <v>44.99</v>
      </c>
      <c r="K6315" s="4">
        <v>-5.0999999999999997E-2</v>
      </c>
      <c r="L6315">
        <v>3.9</v>
      </c>
      <c r="M6315">
        <v>33</v>
      </c>
      <c r="O6315" t="s">
        <v>25</v>
      </c>
      <c r="P6315" t="s">
        <v>8425</v>
      </c>
      <c r="Q6315" t="s">
        <v>8426</v>
      </c>
    </row>
    <row r="6316" spans="1:17" ht="15.5" x14ac:dyDescent="0.35">
      <c r="A6316" s="3" t="str">
        <f>HYPERLINK("https://edmondsonsupply.com/collections/electricians-tools/products/klein-tools-jth6e12be", "https://edmondsonsupply.com/collections/electricians-tools/products/klein-tools-jth6e12be")</f>
        <v>https://edmondsonsupply.com/collections/electricians-tools/products/klein-tools-jth6e12be</v>
      </c>
      <c r="B6316" s="3" t="str">
        <f>HYPERLINK("https://edmondsonsupply.com/products/klein-tools-jth6e12be", "https://edmondsonsupply.com/products/klein-tools-jth6e12be")</f>
        <v>https://edmondsonsupply.com/products/klein-tools-jth6e12be</v>
      </c>
      <c r="C6316" t="s">
        <v>6914</v>
      </c>
      <c r="D6316" t="s">
        <v>7444</v>
      </c>
      <c r="E6316" s="3" t="str">
        <f>HYPERLINK("https://www.amazon.com/Journeyman-T-Handle-Klein-Tools-JTH6E12BE/dp/B004QW74L6/ref=sr_1_1?keywords=Klein+Tools+JTH6E12BE+7%2F32-Inch+Ball-End+Hex+Key%2C+Journeyman%E2%84%A2+T-Handle%2C+6-Inch&amp;qid=1695174135&amp;sr=8-1", "https://www.amazon.com/Journeyman-T-Handle-Klein-Tools-JTH6E12BE/dp/B004QW74L6/ref=sr_1_1?keywords=Klein+Tools+JTH6E12BE+7%2F32-Inch+Ball-End+Hex+Key%2C+Journeyman%E2%84%A2+T-Handle%2C+6-Inch&amp;qid=1695174135&amp;sr=8-1")</f>
        <v>https://www.amazon.com/Journeyman-T-Handle-Klein-Tools-JTH6E12BE/dp/B004QW74L6/ref=sr_1_1?keywords=Klein+Tools+JTH6E12BE+7%2F32-Inch+Ball-End+Hex+Key%2C+Journeyman%E2%84%A2+T-Handle%2C+6-Inch&amp;qid=1695174135&amp;sr=8-1</v>
      </c>
      <c r="F6316" t="s">
        <v>7445</v>
      </c>
      <c r="G6316" t="e">
        <f ca="1">_xludf.IMAGE("https://edmondsonsupply.com/cdn/shop/products/jth6e13be_a85bb43d-b61b-410b-8eb2-5915b239751a.jpg?v=1666110771")</f>
        <v>#NAME?</v>
      </c>
      <c r="H6316" t="e">
        <f ca="1">_xludf.IMAGE("https://m.media-amazon.com/images/I/51f9vBFVXgL._AC_UL320_.jpg")</f>
        <v>#NAME?</v>
      </c>
      <c r="I6316" t="s">
        <v>4617</v>
      </c>
      <c r="J6316">
        <v>6.15</v>
      </c>
      <c r="K6316" s="4">
        <v>-5.2400000000000002E-2</v>
      </c>
      <c r="L6316">
        <v>4.5</v>
      </c>
      <c r="M6316">
        <v>9</v>
      </c>
      <c r="O6316" t="s">
        <v>25</v>
      </c>
      <c r="P6316" t="s">
        <v>6917</v>
      </c>
      <c r="Q6316" t="s">
        <v>6918</v>
      </c>
    </row>
    <row r="6317" spans="1:17" ht="15.5" x14ac:dyDescent="0.35">
      <c r="A6317" s="3" t="str">
        <f>HYPERLINK("https://edmondsonsupply.com/collections/electricians-tools/products/klein-tools-630m-magnetic-nut-driver-set-3-inch-shafts-2-piece", "https://edmondsonsupply.com/collections/electricians-tools/products/klein-tools-630m-magnetic-nut-driver-set-3-inch-shafts-2-piece")</f>
        <v>https://edmondsonsupply.com/collections/electricians-tools/products/klein-tools-630m-magnetic-nut-driver-set-3-inch-shafts-2-piece</v>
      </c>
      <c r="B6317" s="3" t="str">
        <f>HYPERLINK("https://edmondsonsupply.com/products/klein-tools-630m-magnetic-nut-driver-set-3-inch-shafts-2-piece", "https://edmondsonsupply.com/products/klein-tools-630m-magnetic-nut-driver-set-3-inch-shafts-2-piece")</f>
        <v>https://edmondsonsupply.com/products/klein-tools-630m-magnetic-nut-driver-set-3-inch-shafts-2-piece</v>
      </c>
      <c r="C6317" t="s">
        <v>1690</v>
      </c>
      <c r="D6317" t="s">
        <v>4058</v>
      </c>
      <c r="E6317" s="3" t="str">
        <f>HYPERLINK("https://www.amazon.com/Klein-Tools-610M-16-Inch-Magnetic/dp/B00093DZO6/ref=sr_1_4?keywords=Klein+Tools+630M+Magnetic+Nut+Driver+Set%2C+3-Inch+Shafts%2C+2-Piece&amp;qid=1695173928&amp;sr=8-4", "https://www.amazon.com/Klein-Tools-610M-16-Inch-Magnetic/dp/B00093DZO6/ref=sr_1_4?keywords=Klein+Tools+630M+Magnetic+Nut+Driver+Set%2C+3-Inch+Shafts%2C+2-Piece&amp;qid=1695173928&amp;sr=8-4")</f>
        <v>https://www.amazon.com/Klein-Tools-610M-16-Inch-Magnetic/dp/B00093DZO6/ref=sr_1_4?keywords=Klein+Tools+630M+Magnetic+Nut+Driver+Set%2C+3-Inch+Shafts%2C+2-Piece&amp;qid=1695173928&amp;sr=8-4</v>
      </c>
      <c r="F6317" t="s">
        <v>4059</v>
      </c>
      <c r="G6317" t="e">
        <f ca="1">_xludf.IMAGE("https://edmondsonsupply.com/cdn/shop/products/630m.jpg?v=1587143237")</f>
        <v>#NAME?</v>
      </c>
      <c r="H6317" t="e">
        <f ca="1">_xludf.IMAGE("https://m.media-amazon.com/images/I/51lgiheW64L._AC_UL320_.jpg")</f>
        <v>#NAME?</v>
      </c>
      <c r="I6317" t="s">
        <v>1687</v>
      </c>
      <c r="J6317">
        <v>17.989999999999998</v>
      </c>
      <c r="K6317" s="4">
        <v>-5.2699999999999997E-2</v>
      </c>
      <c r="L6317">
        <v>4.8</v>
      </c>
      <c r="M6317">
        <v>559</v>
      </c>
      <c r="O6317" t="s">
        <v>25</v>
      </c>
      <c r="P6317" t="s">
        <v>1693</v>
      </c>
      <c r="Q6317" t="s">
        <v>1694</v>
      </c>
    </row>
    <row r="6318" spans="1:17" ht="15.5" x14ac:dyDescent="0.35">
      <c r="A6318"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6318" s="3" t="str">
        <f>HYPERLINK("https://edmondsonsupply.com/products/diablo-tools-d0760x-7-1-4-in-x-60-tooth-ultra-finish-saw-blade", "https://edmondsonsupply.com/products/diablo-tools-d0760x-7-1-4-in-x-60-tooth-ultra-finish-saw-blade")</f>
        <v>https://edmondsonsupply.com/products/diablo-tools-d0760x-7-1-4-in-x-60-tooth-ultra-finish-saw-blade</v>
      </c>
      <c r="C6318" t="s">
        <v>6011</v>
      </c>
      <c r="D6318" t="s">
        <v>8427</v>
      </c>
      <c r="E6318" s="3" t="str">
        <f>HYPERLINK("https://www.amazon.com/Freud-D0760X-Diablo-Finish-4-Inch/dp/B001CZEU0S/ref=sr_1_2?keywords=Diablo+Tools+D0760X+7-1%2F4+in.+x+60+Tooth+Ultra+Finish+Saw+Blade&amp;qid=1695174054&amp;sr=8-2", "https://www.amazon.com/Freud-D0760X-Diablo-Finish-4-Inch/dp/B001CZEU0S/ref=sr_1_2?keywords=Diablo+Tools+D0760X+7-1%2F4+in.+x+60+Tooth+Ultra+Finish+Saw+Blade&amp;qid=1695174054&amp;sr=8-2")</f>
        <v>https://www.amazon.com/Freud-D0760X-Diablo-Finish-4-Inch/dp/B001CZEU0S/ref=sr_1_2?keywords=Diablo+Tools+D0760X+7-1%2F4+in.+x+60+Tooth+Ultra+Finish+Saw+Blade&amp;qid=1695174054&amp;sr=8-2</v>
      </c>
      <c r="F6318" t="s">
        <v>8428</v>
      </c>
      <c r="G6318" t="e">
        <f ca="1">_xludf.IMAGE("https://edmondsonsupply.com/cdn/shop/products/vlfiqrihhfwf5bxirasx.webp?v=1678977162")</f>
        <v>#NAME?</v>
      </c>
      <c r="H6318" t="e">
        <f ca="1">_xludf.IMAGE("https://m.media-amazon.com/images/I/61aig0rMpZS._AC_UL320_.jpg")</f>
        <v>#NAME?</v>
      </c>
      <c r="I6318" t="s">
        <v>893</v>
      </c>
      <c r="J6318">
        <v>18.899999999999999</v>
      </c>
      <c r="K6318" s="4">
        <v>-5.3600000000000002E-2</v>
      </c>
      <c r="L6318">
        <v>4.8</v>
      </c>
      <c r="M6318">
        <v>1393</v>
      </c>
      <c r="O6318" t="s">
        <v>25</v>
      </c>
      <c r="P6318" t="s">
        <v>6014</v>
      </c>
      <c r="Q6318" t="s">
        <v>6015</v>
      </c>
    </row>
    <row r="6319" spans="1:17" ht="15.5" x14ac:dyDescent="0.35">
      <c r="A6319" s="3" t="str">
        <f>HYPERLINK("https://edmondsonsupply.com/collections/electricians-tools/products/klein-tools-29025-modular-battery-for-klein-tools-cat-no-60155-hard-hat-cooling-fan", "https://edmondsonsupply.com/collections/electricians-tools/products/klein-tools-29025-modular-battery-for-klein-tools-cat-no-60155-hard-hat-cooling-fan")</f>
        <v>https://edmondsonsupply.com/collections/electricians-tools/products/klein-tools-29025-modular-battery-for-klein-tools-cat-no-60155-hard-hat-cooling-fan</v>
      </c>
      <c r="B6319" s="3" t="str">
        <f>HYPERLINK("https://edmondsonsupply.com/products/klein-tools-29025-modular-battery-for-klein-tools-cat-no-60155-hard-hat-cooling-fan", "https://edmondsonsupply.com/products/klein-tools-29025-modular-battery-for-klein-tools-cat-no-60155-hard-hat-cooling-fan")</f>
        <v>https://edmondsonsupply.com/products/klein-tools-29025-modular-battery-for-klein-tools-cat-no-60155-hard-hat-cooling-fan</v>
      </c>
      <c r="C6319" t="s">
        <v>827</v>
      </c>
      <c r="D6319" t="s">
        <v>1258</v>
      </c>
      <c r="E6319" s="3" t="str">
        <f>HYPERLINK("https://www.amazon.com/Klein-Tools-29025-Rechargeable-Lithium-ion/dp/B09H3MYQ95/ref=sr_1_1?keywords=Klein+Tools+29025+Modular+Battery+for+Klein+Tools+Cat.+No.+60155+Hard+Hat+Cooling+Fan&amp;qid=1695174158&amp;sr=8-1", "https://www.amazon.com/Klein-Tools-29025-Rechargeable-Lithium-ion/dp/B09H3MYQ95/ref=sr_1_1?keywords=Klein+Tools+29025+Modular+Battery+for+Klein+Tools+Cat.+No.+60155+Hard+Hat+Cooling+Fan&amp;qid=1695174158&amp;sr=8-1")</f>
        <v>https://www.amazon.com/Klein-Tools-29025-Rechargeable-Lithium-ion/dp/B09H3MYQ95/ref=sr_1_1?keywords=Klein+Tools+29025+Modular+Battery+for+Klein+Tools+Cat.+No.+60155+Hard+Hat+Cooling+Fan&amp;qid=1695174158&amp;sr=8-1</v>
      </c>
      <c r="F6319" t="s">
        <v>1259</v>
      </c>
      <c r="G6319" t="e">
        <f ca="1">_xludf.IMAGE("https://edmondsonsupply.com/cdn/shop/products/29025.jpg?v=1664802987")</f>
        <v>#NAME?</v>
      </c>
      <c r="H6319" t="e">
        <f ca="1">_xludf.IMAGE("https://m.media-amazon.com/images/I/41+jmEnDWdL._AC_UL320_.jpg")</f>
        <v>#NAME?</v>
      </c>
      <c r="I6319" t="s">
        <v>830</v>
      </c>
      <c r="J6319">
        <v>34.99</v>
      </c>
      <c r="K6319" s="4">
        <v>-5.4100000000000002E-2</v>
      </c>
      <c r="L6319">
        <v>4</v>
      </c>
      <c r="M6319">
        <v>148</v>
      </c>
      <c r="O6319" t="s">
        <v>25</v>
      </c>
      <c r="P6319" t="s">
        <v>831</v>
      </c>
      <c r="Q6319" t="s">
        <v>832</v>
      </c>
    </row>
    <row r="6320" spans="1:17" ht="15.5" x14ac:dyDescent="0.35">
      <c r="A6320"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6320"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6320" t="s">
        <v>6861</v>
      </c>
      <c r="D6320" t="s">
        <v>8429</v>
      </c>
      <c r="E6320" s="3" t="str">
        <f>HYPERLINK("https://www.amazon.com/Klein-Tools-Digital-Clamp-Meter/dp/B07G7BZTV3/ref=sr_1_8?keywords=Klein+Tools+CL220+Digital+Clamp+Meter%2C+AC+Auto-Ranging+400+Amp+with+Temp&amp;qid=1695174305&amp;sr=8-8", "https://www.amazon.com/Klein-Tools-Digital-Clamp-Meter/dp/B07G7BZTV3/ref=sr_1_8?keywords=Klein+Tools+CL220+Digital+Clamp+Meter%2C+AC+Auto-Ranging+400+Amp+with+Temp&amp;qid=1695174305&amp;sr=8-8")</f>
        <v>https://www.amazon.com/Klein-Tools-Digital-Clamp-Meter/dp/B07G7BZTV3/ref=sr_1_8?keywords=Klein+Tools+CL220+Digital+Clamp+Meter%2C+AC+Auto-Ranging+400+Amp+with+Temp&amp;qid=1695174305&amp;sr=8-8</v>
      </c>
      <c r="F6320" t="s">
        <v>8430</v>
      </c>
      <c r="G6320" t="e">
        <f ca="1">_xludf.IMAGE("https://edmondsonsupply.com/cdn/shop/products/cl220.jpg?v=1633030821")</f>
        <v>#NAME?</v>
      </c>
      <c r="H6320" t="e">
        <f ca="1">_xludf.IMAGE("https://m.media-amazon.com/images/I/51Dx4d1AI-L._AC_UY218_.jpg")</f>
        <v>#NAME?</v>
      </c>
      <c r="I6320" t="s">
        <v>356</v>
      </c>
      <c r="J6320">
        <v>66.16</v>
      </c>
      <c r="K6320" s="4">
        <v>-5.45E-2</v>
      </c>
      <c r="L6320">
        <v>4.5999999999999996</v>
      </c>
      <c r="M6320">
        <v>73</v>
      </c>
      <c r="O6320" t="s">
        <v>25</v>
      </c>
      <c r="P6320" t="s">
        <v>6864</v>
      </c>
      <c r="Q6320" t="s">
        <v>6865</v>
      </c>
    </row>
    <row r="6321" spans="1:17" ht="15.5" x14ac:dyDescent="0.35">
      <c r="A6321"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6321"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6321" t="s">
        <v>7100</v>
      </c>
      <c r="D6321" t="s">
        <v>7662</v>
      </c>
      <c r="E6321" s="3" t="str">
        <f>HYPERLINK("https://www.amazon.com/Diablo-Freud-DOU125BF3-Universal-Oscillating/dp/B089KTHL1Z/ref=sr_1_7?keywords=Diablo+Tools+DOU125JBW+1-1%2F4+in.+Universal+Fit+Bi-Metal+Oscillating+Blades+for+Clean+Wood&amp;qid=1695174246&amp;sr=8-7", "https://www.amazon.com/Diablo-Freud-DOU125BF3-Universal-Oscillating/dp/B089KTHL1Z/ref=sr_1_7?keywords=Diablo+Tools+DOU125JBW+1-1%2F4+in.+Universal+Fit+Bi-Metal+Oscillating+Blades+for+Clean+Wood&amp;qid=1695174246&amp;sr=8-7")</f>
        <v>https://www.amazon.com/Diablo-Freud-DOU125BF3-Universal-Oscillating/dp/B089KTHL1Z/ref=sr_1_7?keywords=Diablo+Tools+DOU125JBW+1-1%2F4+in.+Universal+Fit+Bi-Metal+Oscillating+Blades+for+Clean+Wood&amp;qid=1695174246&amp;sr=8-7</v>
      </c>
      <c r="F6321" t="s">
        <v>7663</v>
      </c>
      <c r="G6321" t="e">
        <f ca="1">_xludf.IMAGE("https://edmondsonsupply.com/cdn/shop/products/DOU125JBW_Main-Image.png?v=1633638363")</f>
        <v>#NAME?</v>
      </c>
      <c r="H6321" t="e">
        <f ca="1">_xludf.IMAGE("https://m.media-amazon.com/images/I/61mZfXlj-XL._AC_UL320_.jpg")</f>
        <v>#NAME?</v>
      </c>
      <c r="I6321" t="s">
        <v>2586</v>
      </c>
      <c r="J6321">
        <v>16.989999999999998</v>
      </c>
      <c r="K6321" s="4">
        <v>-5.45E-2</v>
      </c>
      <c r="L6321">
        <v>4.2</v>
      </c>
      <c r="M6321">
        <v>14</v>
      </c>
      <c r="O6321" t="s">
        <v>25</v>
      </c>
      <c r="P6321" t="s">
        <v>6943</v>
      </c>
      <c r="Q6321" t="s">
        <v>7103</v>
      </c>
    </row>
    <row r="6322" spans="1:17" ht="15.5" x14ac:dyDescent="0.35">
      <c r="A6322"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6322"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6322" t="s">
        <v>6948</v>
      </c>
      <c r="D6322" t="s">
        <v>8254</v>
      </c>
      <c r="E6322" s="3" t="str">
        <f>HYPERLINK("https://www.amazon.com/Screwdriver-Terminal-Klein-Tools-612-4/dp/B0058I6VNE/ref=sr_1_10?keywords=Klein+Tools+602-4+1%2F4-Inch+Keystone+Screwdriver%2C+4-Inch+Round+Shank&amp;qid=1695174315&amp;sr=8-10", "https://www.amazon.com/Screwdriver-Terminal-Klein-Tools-612-4/dp/B0058I6VNE/ref=sr_1_10?keywords=Klein+Tools+602-4+1%2F4-Inch+Keystone+Screwdriver%2C+4-Inch+Round+Shank&amp;qid=1695174315&amp;sr=8-10")</f>
        <v>https://www.amazon.com/Screwdriver-Terminal-Klein-Tools-612-4/dp/B0058I6VNE/ref=sr_1_10?keywords=Klein+Tools+602-4+1%2F4-Inch+Keystone+Screwdriver%2C+4-Inch+Round+Shank&amp;qid=1695174315&amp;sr=8-10</v>
      </c>
      <c r="F6322" t="s">
        <v>8255</v>
      </c>
      <c r="G6322" t="e">
        <f ca="1">_xludf.IMAGE("https://edmondsonsupply.com/cdn/shop/products/602-6.jpg?v=1633030821")</f>
        <v>#NAME?</v>
      </c>
      <c r="H6322" t="e">
        <f ca="1">_xludf.IMAGE("https://m.media-amazon.com/images/I/51APfPlk95L._AC_UL320_.jpg")</f>
        <v>#NAME?</v>
      </c>
      <c r="I6322" t="s">
        <v>2433</v>
      </c>
      <c r="J6322">
        <v>8.9700000000000006</v>
      </c>
      <c r="K6322" s="4">
        <v>-5.4800000000000001E-2</v>
      </c>
      <c r="L6322">
        <v>4.8</v>
      </c>
      <c r="M6322">
        <v>1956</v>
      </c>
      <c r="O6322" t="s">
        <v>25</v>
      </c>
      <c r="P6322" t="s">
        <v>6949</v>
      </c>
      <c r="Q6322" t="s">
        <v>6950</v>
      </c>
    </row>
    <row r="6323" spans="1:17" ht="15.5" x14ac:dyDescent="0.35">
      <c r="A6323" s="3" t="str">
        <f>HYPERLINK("https://edmondsonsupply.com/collections/electricians-tools/products/diablo-tools-dou125bw", "https://edmondsonsupply.com/collections/electricians-tools/products/diablo-tools-dou125bw")</f>
        <v>https://edmondsonsupply.com/collections/electricians-tools/products/diablo-tools-dou125bw</v>
      </c>
      <c r="B6323" s="3" t="str">
        <f>HYPERLINK("https://edmondsonsupply.com/products/diablo-tools-dou125bw", "https://edmondsonsupply.com/products/diablo-tools-dou125bw")</f>
        <v>https://edmondsonsupply.com/products/diablo-tools-dou125bw</v>
      </c>
      <c r="C6323" t="s">
        <v>6906</v>
      </c>
      <c r="D6323" t="s">
        <v>5960</v>
      </c>
      <c r="E6323" s="3" t="str">
        <f>HYPERLINK("https://www.amazon.com/Diablo-Freud-DOU250BW-Oscillating-Nail-Embedded/dp/B089KWP5Z2/ref=sr_1_3?keywords=Diablo+Tools+DOU125BW+1-1%2F4+in.+Universal+Fit+Bi-Metal+Oscillating+Blade+for+Nail-Embedded+Wood&amp;qid=1695174264&amp;sr=8-3", "https://www.amazon.com/Diablo-Freud-DOU250BW-Oscillating-Nail-Embedded/dp/B089KWP5Z2/ref=sr_1_3?keywords=Diablo+Tools+DOU125BW+1-1%2F4+in.+Universal+Fit+Bi-Metal+Oscillating+Blade+for+Nail-Embedded+Wood&amp;qid=1695174264&amp;sr=8-3")</f>
        <v>https://www.amazon.com/Diablo-Freud-DOU250BW-Oscillating-Nail-Embedded/dp/B089KWP5Z2/ref=sr_1_3?keywords=Diablo+Tools+DOU125BW+1-1%2F4+in.+Universal+Fit+Bi-Metal+Oscillating+Blade+for+Nail-Embedded+Wood&amp;qid=1695174264&amp;sr=8-3</v>
      </c>
      <c r="F6323" t="s">
        <v>5961</v>
      </c>
      <c r="G6323" t="e">
        <f ca="1">_xludf.IMAGE("https://edmondsonsupply.com/cdn/shop/products/gnn0wpqc8veb3qhldcrb.webp?v=1676040020")</f>
        <v>#NAME?</v>
      </c>
      <c r="H6323" t="e">
        <f ca="1">_xludf.IMAGE("https://m.media-amazon.com/images/I/71fhfiK3NaL._AC_UL320_.jpg")</f>
        <v>#NAME?</v>
      </c>
      <c r="I6323" t="s">
        <v>2586</v>
      </c>
      <c r="J6323">
        <v>16.98</v>
      </c>
      <c r="K6323" s="4">
        <v>-5.5100000000000003E-2</v>
      </c>
      <c r="L6323">
        <v>4.5999999999999996</v>
      </c>
      <c r="M6323">
        <v>31</v>
      </c>
      <c r="O6323" t="s">
        <v>25</v>
      </c>
      <c r="P6323" t="s">
        <v>2152</v>
      </c>
      <c r="Q6323" t="s">
        <v>6909</v>
      </c>
    </row>
    <row r="6324" spans="1:17" ht="15.5" x14ac:dyDescent="0.35">
      <c r="A6324" s="3" t="str">
        <f>HYPERLINK("https://edmondsonsupply.com/collections/electricians-tools/products/fluke-tl220-suregrip%E2%84%A2-industrial-test-lead-set", "https://edmondsonsupply.com/collections/electricians-tools/products/fluke-tl220-suregrip%E2%84%A2-industrial-test-lead-set")</f>
        <v>https://edmondsonsupply.com/collections/electricians-tools/products/fluke-tl220-suregrip%E2%84%A2-industrial-test-lead-set</v>
      </c>
      <c r="B6324" s="3" t="str">
        <f>HYPERLINK("https://edmondsonsupply.com/products/fluke-tl220-suregrip%e2%84%a2-industrial-test-lead-set", "https://edmondsonsupply.com/products/fluke-tl220-suregrip%e2%84%a2-industrial-test-lead-set")</f>
        <v>https://edmondsonsupply.com/products/fluke-tl220-suregrip%e2%84%a2-industrial-test-lead-set</v>
      </c>
      <c r="C6324" t="s">
        <v>8431</v>
      </c>
      <c r="D6324" t="s">
        <v>8432</v>
      </c>
      <c r="E6324" s="3" t="str">
        <f>HYPERLINK("https://www.amazon.com/Fluke-Corporation-TL220-Industrial-Test/dp/B000FKBZFO/ref=sr_1_1?keywords=Fluke+TL220+SureGrip%E2%84%A2+Industrial+Test+Lead+Set&amp;qid=1695174242&amp;sr=8-1", "https://www.amazon.com/Fluke-Corporation-TL220-Industrial-Test/dp/B000FKBZFO/ref=sr_1_1?keywords=Fluke+TL220+SureGrip%E2%84%A2+Industrial+Test+Lead+Set&amp;qid=1695174242&amp;sr=8-1")</f>
        <v>https://www.amazon.com/Fluke-Corporation-TL220-Industrial-Test/dp/B000FKBZFO/ref=sr_1_1?keywords=Fluke+TL220+SureGrip%E2%84%A2+Industrial+Test+Lead+Set&amp;qid=1695174242&amp;sr=8-1</v>
      </c>
      <c r="F6324" t="s">
        <v>8433</v>
      </c>
      <c r="G6324" t="e">
        <f ca="1">_xludf.IMAGE("https://edmondsonsupply.com/cdn/shop/products/220.png?v=1633540209")</f>
        <v>#NAME?</v>
      </c>
      <c r="H6324" t="e">
        <f ca="1">_xludf.IMAGE("https://m.media-amazon.com/images/I/61Xe0Xbr4JL._AC_UY218_.jpg")</f>
        <v>#NAME?</v>
      </c>
      <c r="I6324" t="s">
        <v>8434</v>
      </c>
      <c r="J6324">
        <v>88.7</v>
      </c>
      <c r="K6324" s="4">
        <v>-5.6300000000000003E-2</v>
      </c>
      <c r="L6324">
        <v>4.8</v>
      </c>
      <c r="M6324">
        <v>1640</v>
      </c>
      <c r="O6324" t="s">
        <v>25</v>
      </c>
      <c r="P6324" t="s">
        <v>8435</v>
      </c>
      <c r="Q6324" t="s">
        <v>8436</v>
      </c>
    </row>
    <row r="6325" spans="1:17" ht="15.5" x14ac:dyDescent="0.35">
      <c r="A6325" s="3" t="str">
        <f>HYPERLINK("https://edmondsonsupply.com/collections/electricians-tools/products/fluke-179-true-rms-digital-multimeter", "https://edmondsonsupply.com/collections/electricians-tools/products/fluke-179-true-rms-digital-multimeter")</f>
        <v>https://edmondsonsupply.com/collections/electricians-tools/products/fluke-179-true-rms-digital-multimeter</v>
      </c>
      <c r="B6325" s="3" t="str">
        <f>HYPERLINK("https://edmondsonsupply.com/products/fluke-179-true-rms-digital-multimeter", "https://edmondsonsupply.com/products/fluke-179-true-rms-digital-multimeter")</f>
        <v>https://edmondsonsupply.com/products/fluke-179-true-rms-digital-multimeter</v>
      </c>
      <c r="C6325" t="s">
        <v>7311</v>
      </c>
      <c r="D6325" t="s">
        <v>8437</v>
      </c>
      <c r="E6325" s="3" t="str">
        <f>HYPERLINK("https://www.amazon.com/Fluke-ESFP-True-Multimeter-Backlight/dp/B00012Z0V6/ref=sr_1_1?keywords=Fluke+179+True-RMS+Digital+Multimeter&amp;qid=1695174291&amp;sr=8-1", "https://www.amazon.com/Fluke-ESFP-True-Multimeter-Backlight/dp/B00012Z0V6/ref=sr_1_1?keywords=Fluke+179+True-RMS+Digital+Multimeter&amp;qid=1695174291&amp;sr=8-1")</f>
        <v>https://www.amazon.com/Fluke-ESFP-True-Multimeter-Backlight/dp/B00012Z0V6/ref=sr_1_1?keywords=Fluke+179+True-RMS+Digital+Multimeter&amp;qid=1695174291&amp;sr=8-1</v>
      </c>
      <c r="F6325" t="s">
        <v>8438</v>
      </c>
      <c r="G6325" t="e">
        <f ca="1">_xludf.IMAGE("https://edmondsonsupply.com/cdn/shop/products/e0021116_431x600_31fa1fdc-90ee-45e4-8560-4be681a24cfe.jpg?v=1633030926")</f>
        <v>#NAME?</v>
      </c>
      <c r="H6325" t="e">
        <f ca="1">_xludf.IMAGE("https://m.media-amazon.com/images/I/61OkwIzYjBL._AC_UL320_.jpg")</f>
        <v>#NAME?</v>
      </c>
      <c r="I6325" t="s">
        <v>7314</v>
      </c>
      <c r="J6325">
        <v>370.99</v>
      </c>
      <c r="K6325" s="4">
        <v>-5.8900000000000001E-2</v>
      </c>
      <c r="L6325">
        <v>4.7</v>
      </c>
      <c r="M6325">
        <v>390</v>
      </c>
      <c r="O6325" t="s">
        <v>171</v>
      </c>
      <c r="P6325" t="s">
        <v>7315</v>
      </c>
      <c r="Q6325" t="s">
        <v>7316</v>
      </c>
    </row>
    <row r="6326" spans="1:17" ht="15.5" x14ac:dyDescent="0.35">
      <c r="A6326" s="3" t="str">
        <f>HYPERLINK("https://edmondsonsupply.com/collections/electricians-tools/products/klein-tools-55487-tradesman-pro%E2%84%A2-shoe-covers-medium", "https://edmondsonsupply.com/collections/electricians-tools/products/klein-tools-55487-tradesman-pro%E2%84%A2-shoe-covers-medium")</f>
        <v>https://edmondsonsupply.com/collections/electricians-tools/products/klein-tools-55487-tradesman-pro%E2%84%A2-shoe-covers-medium</v>
      </c>
      <c r="B6326" s="3" t="str">
        <f>HYPERLINK("https://edmondsonsupply.com/products/klein-tools-55487-tradesman-pro%e2%84%a2-shoe-covers-medium", "https://edmondsonsupply.com/products/klein-tools-55487-tradesman-pro%e2%84%a2-shoe-covers-medium")</f>
        <v>https://edmondsonsupply.com/products/klein-tools-55487-tradesman-pro%e2%84%a2-shoe-covers-medium</v>
      </c>
      <c r="C6326" t="s">
        <v>1264</v>
      </c>
      <c r="D6326" t="s">
        <v>1265</v>
      </c>
      <c r="E6326" s="3" t="str">
        <f>HYPERLINK("https://www.amazon.com/Tradesman-Covers-Klein-Tools-55487/dp/B075ZYTQHP/ref=sr_1_1?keywords=Klein+Tools+55487+Tradesman+Pro%E2%84%A2+Shoe+Covers%2C+Medium&amp;qid=1695174265&amp;sr=8-1", "https://www.amazon.com/Tradesman-Covers-Klein-Tools-55487/dp/B075ZYTQHP/ref=sr_1_1?keywords=Klein+Tools+55487+Tradesman+Pro%E2%84%A2+Shoe+Covers%2C+Medium&amp;qid=1695174265&amp;sr=8-1")</f>
        <v>https://www.amazon.com/Tradesman-Covers-Klein-Tools-55487/dp/B075ZYTQHP/ref=sr_1_1?keywords=Klein+Tools+55487+Tradesman+Pro%E2%84%A2+Shoe+Covers%2C+Medium&amp;qid=1695174265&amp;sr=8-1</v>
      </c>
      <c r="F6326" t="s">
        <v>1266</v>
      </c>
      <c r="G6326" t="e">
        <f ca="1">_xludf.IMAGE("https://edmondsonsupply.com/cdn/shop/products/57_1_01b2e386-9864-4289-a57c-b41e4b283567.jpg?v=1633031042")</f>
        <v>#NAME?</v>
      </c>
      <c r="H6326" t="e">
        <f ca="1">_xludf.IMAGE("https://m.media-amazon.com/images/I/71Sw-BaYREL._AC_UL320_.jpg")</f>
        <v>#NAME?</v>
      </c>
      <c r="I6326" t="s">
        <v>866</v>
      </c>
      <c r="J6326">
        <v>15.99</v>
      </c>
      <c r="K6326" s="4">
        <v>-5.8900000000000001E-2</v>
      </c>
      <c r="L6326">
        <v>4.7</v>
      </c>
      <c r="M6326">
        <v>257</v>
      </c>
      <c r="O6326" t="s">
        <v>25</v>
      </c>
      <c r="P6326" t="s">
        <v>996</v>
      </c>
      <c r="Q6326" t="s">
        <v>1267</v>
      </c>
    </row>
    <row r="6327" spans="1:17" ht="15.5" x14ac:dyDescent="0.35">
      <c r="A6327" s="3" t="str">
        <f>HYPERLINK("https://edmondsonsupply.com/collections/electricians-tools/products/channellock-428", "https://edmondsonsupply.com/collections/electricians-tools/products/channellock-428")</f>
        <v>https://edmondsonsupply.com/collections/electricians-tools/products/channellock-428</v>
      </c>
      <c r="B6327" s="3" t="str">
        <f>HYPERLINK("https://edmondsonsupply.com/products/channellock-428", "https://edmondsonsupply.com/products/channellock-428")</f>
        <v>https://edmondsonsupply.com/products/channellock-428</v>
      </c>
      <c r="C6327" t="s">
        <v>1791</v>
      </c>
      <c r="D6327" t="s">
        <v>4988</v>
      </c>
      <c r="E6327" s="3" t="str">
        <f>HYPERLINK("https://www.amazon.com/Channellock-426-8-Inch-Capacity-2-Inch/dp/B00004SBCS/ref=sr_1_3?keywords=Channellock+428+8-Inch+Straight+Jaw+Tongue+%26+Groove+Pliers&amp;qid=1695173963&amp;sr=8-3", "https://www.amazon.com/Channellock-426-8-Inch-Capacity-2-Inch/dp/B00004SBCS/ref=sr_1_3?keywords=Channellock+428+8-Inch+Straight+Jaw+Tongue+%26+Groove+Pliers&amp;qid=1695173963&amp;sr=8-3")</f>
        <v>https://www.amazon.com/Channellock-426-8-Inch-Capacity-2-Inch/dp/B00004SBCS/ref=sr_1_3?keywords=Channellock+428+8-Inch+Straight+Jaw+Tongue+%26+Groove+Pliers&amp;qid=1695173963&amp;sr=8-3</v>
      </c>
      <c r="F6327" t="s">
        <v>4989</v>
      </c>
      <c r="G6327" t="e">
        <f ca="1">_xludf.IMAGE("https://edmondsonsupply.com/cdn/shop/products/428-683x1024.jpg?v=1587145854")</f>
        <v>#NAME?</v>
      </c>
      <c r="H6327" t="e">
        <f ca="1">_xludf.IMAGE("https://m.media-amazon.com/images/I/713NYKlIyoL._AC_UL320_.jpg")</f>
        <v>#NAME?</v>
      </c>
      <c r="I6327" t="s">
        <v>1554</v>
      </c>
      <c r="J6327">
        <v>15.95</v>
      </c>
      <c r="K6327" s="4">
        <v>-5.8999999999999997E-2</v>
      </c>
      <c r="L6327">
        <v>4.7</v>
      </c>
      <c r="M6327">
        <v>1999</v>
      </c>
      <c r="O6327" t="s">
        <v>25</v>
      </c>
      <c r="P6327" t="s">
        <v>1794</v>
      </c>
      <c r="Q6327" t="s">
        <v>1795</v>
      </c>
    </row>
    <row r="6328" spans="1:17" ht="15.5" x14ac:dyDescent="0.35">
      <c r="A6328" s="3" t="str">
        <f>HYPERLINK("https://edmondsonsupply.com/collections/electricians-tools/products/channellock-428", "https://edmondsonsupply.com/collections/electricians-tools/products/channellock-428")</f>
        <v>https://edmondsonsupply.com/collections/electricians-tools/products/channellock-428</v>
      </c>
      <c r="B6328" s="3" t="str">
        <f>HYPERLINK("https://edmondsonsupply.com/products/channellock-428", "https://edmondsonsupply.com/products/channellock-428")</f>
        <v>https://edmondsonsupply.com/products/channellock-428</v>
      </c>
      <c r="C6328" t="s">
        <v>1791</v>
      </c>
      <c r="D6328" t="s">
        <v>4990</v>
      </c>
      <c r="E6328" s="3" t="str">
        <f>HYPERLINK("https://www.amazon.com/CHANNELLOCK-424-Adjustments-High-Carbon-Directions/dp/B00004SBCR/ref=sr_1_4?keywords=Channellock+428+8-Inch+Straight+Jaw+Tongue+%26+Groove+Pliers&amp;qid=1695173963&amp;sr=8-4", "https://www.amazon.com/CHANNELLOCK-424-Adjustments-High-Carbon-Directions/dp/B00004SBCR/ref=sr_1_4?keywords=Channellock+428+8-Inch+Straight+Jaw+Tongue+%26+Groove+Pliers&amp;qid=1695173963&amp;sr=8-4")</f>
        <v>https://www.amazon.com/CHANNELLOCK-424-Adjustments-High-Carbon-Directions/dp/B00004SBCR/ref=sr_1_4?keywords=Channellock+428+8-Inch+Straight+Jaw+Tongue+%26+Groove+Pliers&amp;qid=1695173963&amp;sr=8-4</v>
      </c>
      <c r="F6328" t="s">
        <v>4991</v>
      </c>
      <c r="G6328" t="e">
        <f ca="1">_xludf.IMAGE("https://edmondsonsupply.com/cdn/shop/products/428-683x1024.jpg?v=1587145854")</f>
        <v>#NAME?</v>
      </c>
      <c r="H6328" t="e">
        <f ca="1">_xludf.IMAGE("https://m.media-amazon.com/images/I/71txViLKvZL._AC_UL320_.jpg")</f>
        <v>#NAME?</v>
      </c>
      <c r="I6328" t="s">
        <v>1554</v>
      </c>
      <c r="J6328">
        <v>15.95</v>
      </c>
      <c r="K6328" s="4">
        <v>-5.8999999999999997E-2</v>
      </c>
      <c r="L6328">
        <v>4.7</v>
      </c>
      <c r="M6328">
        <v>1649</v>
      </c>
      <c r="O6328" t="s">
        <v>25</v>
      </c>
      <c r="P6328" t="s">
        <v>1794</v>
      </c>
      <c r="Q6328" t="s">
        <v>1795</v>
      </c>
    </row>
    <row r="6329" spans="1:17" ht="15.5" x14ac:dyDescent="0.35">
      <c r="A6329" s="3" t="str">
        <f>HYPERLINK("https://edmondsonsupply.com/collections/electricians-tools/products/klein-tools-32527-11-in-1-screwdriver-nut-driver-with-schrader%C2%AE-bit", "https://edmondsonsupply.com/collections/electricians-tools/products/klein-tools-32527-11-in-1-screwdriver-nut-driver-with-schrader%C2%AE-bit")</f>
        <v>https://edmondsonsupply.com/collections/electricians-tools/products/klein-tools-32527-11-in-1-screwdriver-nut-driver-with-schrader%C2%AE-bit</v>
      </c>
      <c r="B6329" s="3" t="str">
        <f>HYPERLINK("https://edmondsonsupply.com/products/klein-tools-32527-11-in-1-screwdriver-nut-driver-with-schrader%c2%ae-bit", "https://edmondsonsupply.com/products/klein-tools-32527-11-in-1-screwdriver-nut-driver-with-schrader%c2%ae-bit")</f>
        <v>https://edmondsonsupply.com/products/klein-tools-32527-11-in-1-screwdriver-nut-driver-with-schrader%c2%ae-bit</v>
      </c>
      <c r="C6329" t="s">
        <v>4714</v>
      </c>
      <c r="D6329" t="s">
        <v>3976</v>
      </c>
      <c r="E6329" s="3" t="str">
        <f>HYPERLINK("https://www.amazon.com/Klein-Tools-32557-Multi-Bit-Screwdriver/dp/B005FQDH9A/ref=sr_1_3?keywords=Klein+Tools+32527+Multi-Bit+Screwdriver+%2F+Nut+Driver%2C+11-in-1%2C+Ph%2C+Sl%2C+Sq%2C+Schrader+Bits&amp;qid=1695173951&amp;sr=8-3", "https://www.amazon.com/Klein-Tools-32557-Multi-Bit-Screwdriver/dp/B005FQDH9A/ref=sr_1_3?keywords=Klein+Tools+32527+Multi-Bit+Screwdriver+%2F+Nut+Driver%2C+11-in-1%2C+Ph%2C+Sl%2C+Sq%2C+Schrader+Bits&amp;qid=1695173951&amp;sr=8-3")</f>
        <v>https://www.amazon.com/Klein-Tools-32557-Multi-Bit-Screwdriver/dp/B005FQDH9A/ref=sr_1_3?keywords=Klein+Tools+32527+Multi-Bit+Screwdriver+%2F+Nut+Driver%2C+11-in-1%2C+Ph%2C+Sl%2C+Sq%2C+Schrader+Bits&amp;qid=1695173951&amp;sr=8-3</v>
      </c>
      <c r="F6329" t="s">
        <v>3977</v>
      </c>
      <c r="G6329" t="e">
        <f ca="1">_xludf.IMAGE("https://edmondsonsupply.com/cdn/shop/products/32527.jpg?v=1587146830")</f>
        <v>#NAME?</v>
      </c>
      <c r="H6329" t="e">
        <f ca="1">_xludf.IMAGE("https://m.media-amazon.com/images/I/41vMDiO0rOL._AC_UL320_.jpg")</f>
        <v>#NAME?</v>
      </c>
      <c r="I6329" t="s">
        <v>143</v>
      </c>
      <c r="J6329">
        <v>14.98</v>
      </c>
      <c r="K6329" s="4">
        <v>-6.2E-2</v>
      </c>
      <c r="L6329">
        <v>4.8</v>
      </c>
      <c r="M6329">
        <v>921</v>
      </c>
      <c r="O6329" t="s">
        <v>25</v>
      </c>
      <c r="P6329" t="s">
        <v>4717</v>
      </c>
      <c r="Q6329" t="s">
        <v>4718</v>
      </c>
    </row>
    <row r="6330" spans="1:17" ht="15.5" x14ac:dyDescent="0.35">
      <c r="A6330" s="3" t="str">
        <f>HYPERLINK("https://edmondsonsupply.com/collections/electricians-tools/products/fluke-377-fc-non-contact-voltage-true-rms-ac-dc-clamp-meter-with-iflex", "https://edmondsonsupply.com/collections/electricians-tools/products/fluke-377-fc-non-contact-voltage-true-rms-ac-dc-clamp-meter-with-iflex")</f>
        <v>https://edmondsonsupply.com/collections/electricians-tools/products/fluke-377-fc-non-contact-voltage-true-rms-ac-dc-clamp-meter-with-iflex</v>
      </c>
      <c r="B6330" s="3" t="str">
        <f>HYPERLINK("https://edmondsonsupply.com/products/fluke-377-fc-non-contact-voltage-true-rms-ac-dc-clamp-meter-with-iflex", "https://edmondsonsupply.com/products/fluke-377-fc-non-contact-voltage-true-rms-ac-dc-clamp-meter-with-iflex")</f>
        <v>https://edmondsonsupply.com/products/fluke-377-fc-non-contact-voltage-true-rms-ac-dc-clamp-meter-with-iflex</v>
      </c>
      <c r="C6330" t="s">
        <v>7466</v>
      </c>
      <c r="D6330" t="s">
        <v>5346</v>
      </c>
      <c r="E6330" s="3" t="str">
        <f>HYPERLINK("https://www.amazon.com/Fluke-377FC-Non-Contact-Voltage-Wireless/dp/B0916LXCWW/ref=sr_1_1?keywords=Fluke+377+FC+Non-Contact+Voltage+True-RMS+AC%2FDC+Clamp+Meter+with+iFlex&amp;qid=1695174253&amp;sr=8-1", "https://www.amazon.com/Fluke-377FC-Non-Contact-Voltage-Wireless/dp/B0916LXCWW/ref=sr_1_1?keywords=Fluke+377+FC+Non-Contact+Voltage+True-RMS+AC%2FDC+Clamp+Meter+with+iFlex&amp;qid=1695174253&amp;sr=8-1")</f>
        <v>https://www.amazon.com/Fluke-377FC-Non-Contact-Voltage-Wireless/dp/B0916LXCWW/ref=sr_1_1?keywords=Fluke+377+FC+Non-Contact+Voltage+True-RMS+AC%2FDC+Clamp+Meter+with+iFlex&amp;qid=1695174253&amp;sr=8-1</v>
      </c>
      <c r="F6330" t="s">
        <v>5347</v>
      </c>
      <c r="G6330" t="e">
        <f ca="1">_xludf.IMAGE("https://edmondsonsupply.com/cdn/shop/products/377_FC_72dpi_499x1024px_E_NR-27677.jpg?v=1633031119")</f>
        <v>#NAME?</v>
      </c>
      <c r="H6330" t="e">
        <f ca="1">_xludf.IMAGE("https://m.media-amazon.com/images/I/7112bqFKTjL._AC_UL320_.jpg")</f>
        <v>#NAME?</v>
      </c>
      <c r="I6330" t="s">
        <v>7467</v>
      </c>
      <c r="J6330">
        <v>600</v>
      </c>
      <c r="K6330" s="4">
        <v>-6.2300000000000001E-2</v>
      </c>
      <c r="L6330">
        <v>4.4000000000000004</v>
      </c>
      <c r="M6330">
        <v>39</v>
      </c>
      <c r="O6330" t="s">
        <v>171</v>
      </c>
      <c r="P6330" t="s">
        <v>7468</v>
      </c>
      <c r="Q6330" t="s">
        <v>7469</v>
      </c>
    </row>
    <row r="6331" spans="1:17" ht="15.5" x14ac:dyDescent="0.35">
      <c r="A6331"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6331"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6331" t="s">
        <v>919</v>
      </c>
      <c r="D6331" t="s">
        <v>956</v>
      </c>
      <c r="E6331" s="3" t="str">
        <f>HYPERLINK("https://www.amazon.com/Klein-60163-Professional-Protective-Resistant/dp/B08B48CZ5V/ref=sr_1_4?keywords=Klein+Tools+60470+Professional+Full-Frame+Gasket+Safety+Glasses%2C+Clear+Lens&amp;qid=1695174156&amp;sr=8-4", "https://www.amazon.com/Klein-60163-Professional-Protective-Resistant/dp/B08B48CZ5V/ref=sr_1_4?keywords=Klein+Tools+60470+Professional+Full-Frame+Gasket+Safety+Glasses%2C+Clear+Lens&amp;qid=1695174156&amp;sr=8-4")</f>
        <v>https://www.amazon.com/Klein-60163-Professional-Protective-Resistant/dp/B08B48CZ5V/ref=sr_1_4?keywords=Klein+Tools+60470+Professional+Full-Frame+Gasket+Safety+Glasses%2C+Clear+Lens&amp;qid=1695174156&amp;sr=8-4</v>
      </c>
      <c r="F6331" t="s">
        <v>957</v>
      </c>
      <c r="G6331" t="e">
        <f ca="1">_xludf.IMAGE("https://edmondsonsupply.com/cdn/shop/products/60470.jpg?v=1663260659")</f>
        <v>#NAME?</v>
      </c>
      <c r="H6331" t="e">
        <f ca="1">_xludf.IMAGE("https://m.media-amazon.com/images/I/41IY8K6EFLL._AC_UL320_.jpg")</f>
        <v>#NAME?</v>
      </c>
      <c r="I6331" t="s">
        <v>252</v>
      </c>
      <c r="J6331">
        <v>14.99</v>
      </c>
      <c r="K6331" s="4">
        <v>-6.25E-2</v>
      </c>
      <c r="L6331">
        <v>4.4000000000000004</v>
      </c>
      <c r="M6331">
        <v>198</v>
      </c>
      <c r="O6331" t="s">
        <v>25</v>
      </c>
      <c r="P6331" t="s">
        <v>854</v>
      </c>
      <c r="Q6331" t="s">
        <v>920</v>
      </c>
    </row>
    <row r="6332" spans="1:17" ht="15.5" x14ac:dyDescent="0.35">
      <c r="A6332" s="3" t="str">
        <f>HYPERLINK("https://edmondsonsupply.com/collections/electricians-tools/products/klein-tools-60470-professional-full-frame-gasket-safety-glasses-clear-lens", "https://edmondsonsupply.com/collections/electricians-tools/products/klein-tools-60470-professional-full-frame-gasket-safety-glasses-clear-lens")</f>
        <v>https://edmondsonsupply.com/collections/electricians-tools/products/klein-tools-60470-professional-full-frame-gasket-safety-glasses-clear-lens</v>
      </c>
      <c r="B6332" s="3" t="str">
        <f>HYPERLINK("https://edmondsonsupply.com/products/klein-tools-60470-professional-full-frame-gasket-safety-glasses-clear-lens", "https://edmondsonsupply.com/products/klein-tools-60470-professional-full-frame-gasket-safety-glasses-clear-lens")</f>
        <v>https://edmondsonsupply.com/products/klein-tools-60470-professional-full-frame-gasket-safety-glasses-clear-lens</v>
      </c>
      <c r="C6332" t="s">
        <v>919</v>
      </c>
      <c r="D6332" t="s">
        <v>958</v>
      </c>
      <c r="E6332" s="3" t="str">
        <f>HYPERLINK("https://www.amazon.com/Klein-60164-Professional-Protective-Resistant/dp/B08B4BNSHM/ref=sr_1_9?keywords=Klein+Tools+60470+Professional+Full-Frame+Gasket+Safety+Glasses%2C+Clear+Lens&amp;qid=1695174156&amp;sr=8-9", "https://www.amazon.com/Klein-60164-Professional-Protective-Resistant/dp/B08B4BNSHM/ref=sr_1_9?keywords=Klein+Tools+60470+Professional+Full-Frame+Gasket+Safety+Glasses%2C+Clear+Lens&amp;qid=1695174156&amp;sr=8-9")</f>
        <v>https://www.amazon.com/Klein-60164-Professional-Protective-Resistant/dp/B08B4BNSHM/ref=sr_1_9?keywords=Klein+Tools+60470+Professional+Full-Frame+Gasket+Safety+Glasses%2C+Clear+Lens&amp;qid=1695174156&amp;sr=8-9</v>
      </c>
      <c r="F6332" t="s">
        <v>959</v>
      </c>
      <c r="G6332" t="e">
        <f ca="1">_xludf.IMAGE("https://edmondsonsupply.com/cdn/shop/products/60470.jpg?v=1663260659")</f>
        <v>#NAME?</v>
      </c>
      <c r="H6332" t="e">
        <f ca="1">_xludf.IMAGE("https://m.media-amazon.com/images/I/41bNrH9NnFL._AC_UL320_.jpg")</f>
        <v>#NAME?</v>
      </c>
      <c r="I6332" t="s">
        <v>252</v>
      </c>
      <c r="J6332">
        <v>14.99</v>
      </c>
      <c r="K6332" s="4">
        <v>-6.25E-2</v>
      </c>
      <c r="L6332">
        <v>4.4000000000000004</v>
      </c>
      <c r="M6332">
        <v>463</v>
      </c>
      <c r="O6332" t="s">
        <v>25</v>
      </c>
      <c r="P6332" t="s">
        <v>854</v>
      </c>
      <c r="Q6332" t="s">
        <v>920</v>
      </c>
    </row>
    <row r="6333" spans="1:17" ht="15.5" x14ac:dyDescent="0.35">
      <c r="A6333"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6333"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6333" t="s">
        <v>853</v>
      </c>
      <c r="D6333" t="s">
        <v>958</v>
      </c>
      <c r="E6333" s="3" t="str">
        <f>HYPERLINK("https://www.amazon.com/Klein-60164-Professional-Protective-Resistant/dp/B08B4BNSHM/ref=sr_1_5?keywords=Klein+Tools+60471+Professional+Full-Frame+Gasket+Safety+Glasses%2C+Gray+Lens&amp;qid=1695174157&amp;sr=8-5", "https://www.amazon.com/Klein-60164-Professional-Protective-Resistant/dp/B08B4BNSHM/ref=sr_1_5?keywords=Klein+Tools+60471+Professional+Full-Frame+Gasket+Safety+Glasses%2C+Gray+Lens&amp;qid=1695174157&amp;sr=8-5")</f>
        <v>https://www.amazon.com/Klein-60164-Professional-Protective-Resistant/dp/B08B4BNSHM/ref=sr_1_5?keywords=Klein+Tools+60471+Professional+Full-Frame+Gasket+Safety+Glasses%2C+Gray+Lens&amp;qid=1695174157&amp;sr=8-5</v>
      </c>
      <c r="F6333" t="s">
        <v>959</v>
      </c>
      <c r="G6333" t="e">
        <f ca="1">_xludf.IMAGE("https://edmondsonsupply.com/cdn/shop/products/60471.jpg?v=1663257501")</f>
        <v>#NAME?</v>
      </c>
      <c r="H6333" t="e">
        <f ca="1">_xludf.IMAGE("https://m.media-amazon.com/images/I/41bNrH9NnFL._AC_UL320_.jpg")</f>
        <v>#NAME?</v>
      </c>
      <c r="I6333" t="s">
        <v>252</v>
      </c>
      <c r="J6333">
        <v>14.99</v>
      </c>
      <c r="K6333" s="4">
        <v>-6.25E-2</v>
      </c>
      <c r="L6333">
        <v>4.4000000000000004</v>
      </c>
      <c r="M6333">
        <v>463</v>
      </c>
      <c r="O6333" t="s">
        <v>25</v>
      </c>
      <c r="P6333" t="s">
        <v>854</v>
      </c>
      <c r="Q6333" t="s">
        <v>855</v>
      </c>
    </row>
    <row r="6334" spans="1:17" ht="15.5" x14ac:dyDescent="0.35">
      <c r="A6334" s="3" t="str">
        <f>HYPERLINK("https://edmondsonsupply.com/collections/electricians-tools/products/klein-tools-60471-professional-full-frame-gasket-safety-glasses-gray-lens", "https://edmondsonsupply.com/collections/electricians-tools/products/klein-tools-60471-professional-full-frame-gasket-safety-glasses-gray-lens")</f>
        <v>https://edmondsonsupply.com/collections/electricians-tools/products/klein-tools-60471-professional-full-frame-gasket-safety-glasses-gray-lens</v>
      </c>
      <c r="B6334" s="3" t="str">
        <f>HYPERLINK("https://edmondsonsupply.com/products/klein-tools-60471-professional-full-frame-gasket-safety-glasses-gray-lens", "https://edmondsonsupply.com/products/klein-tools-60471-professional-full-frame-gasket-safety-glasses-gray-lens")</f>
        <v>https://edmondsonsupply.com/products/klein-tools-60471-professional-full-frame-gasket-safety-glasses-gray-lens</v>
      </c>
      <c r="C6334" t="s">
        <v>853</v>
      </c>
      <c r="D6334" t="s">
        <v>956</v>
      </c>
      <c r="E6334" s="3" t="str">
        <f>HYPERLINK("https://www.amazon.com/Klein-60163-Professional-Protective-Resistant/dp/B08B48CZ5V/ref=sr_1_6?keywords=Klein+Tools+60471+Professional+Full-Frame+Gasket+Safety+Glasses%2C+Gray+Lens&amp;qid=1695174157&amp;sr=8-6", "https://www.amazon.com/Klein-60163-Professional-Protective-Resistant/dp/B08B48CZ5V/ref=sr_1_6?keywords=Klein+Tools+60471+Professional+Full-Frame+Gasket+Safety+Glasses%2C+Gray+Lens&amp;qid=1695174157&amp;sr=8-6")</f>
        <v>https://www.amazon.com/Klein-60163-Professional-Protective-Resistant/dp/B08B48CZ5V/ref=sr_1_6?keywords=Klein+Tools+60471+Professional+Full-Frame+Gasket+Safety+Glasses%2C+Gray+Lens&amp;qid=1695174157&amp;sr=8-6</v>
      </c>
      <c r="F6334" t="s">
        <v>957</v>
      </c>
      <c r="G6334" t="e">
        <f ca="1">_xludf.IMAGE("https://edmondsonsupply.com/cdn/shop/products/60471.jpg?v=1663257501")</f>
        <v>#NAME?</v>
      </c>
      <c r="H6334" t="e">
        <f ca="1">_xludf.IMAGE("https://m.media-amazon.com/images/I/41IY8K6EFLL._AC_UL320_.jpg")</f>
        <v>#NAME?</v>
      </c>
      <c r="I6334" t="s">
        <v>252</v>
      </c>
      <c r="J6334">
        <v>14.99</v>
      </c>
      <c r="K6334" s="4">
        <v>-6.25E-2</v>
      </c>
      <c r="L6334">
        <v>4.4000000000000004</v>
      </c>
      <c r="M6334">
        <v>198</v>
      </c>
      <c r="O6334" t="s">
        <v>25</v>
      </c>
      <c r="P6334" t="s">
        <v>854</v>
      </c>
      <c r="Q6334" t="s">
        <v>855</v>
      </c>
    </row>
    <row r="6335" spans="1:17" ht="15.5" x14ac:dyDescent="0.35">
      <c r="A6335" s="3" t="str">
        <f>HYPERLINK("https://edmondsonsupply.com/collections/electricians-tools/products/klein-tools-32314-14-in-1-precision-screwdriver-nut-driver", "https://edmondsonsupply.com/collections/electricians-tools/products/klein-tools-32314-14-in-1-precision-screwdriver-nut-driver")</f>
        <v>https://edmondsonsupply.com/collections/electricians-tools/products/klein-tools-32314-14-in-1-precision-screwdriver-nut-driver</v>
      </c>
      <c r="B6335" s="3" t="str">
        <f>HYPERLINK("https://edmondsonsupply.com/products/klein-tools-32314-14-in-1-precision-screwdriver-nut-driver", "https://edmondsonsupply.com/products/klein-tools-32314-14-in-1-precision-screwdriver-nut-driver")</f>
        <v>https://edmondsonsupply.com/products/klein-tools-32314-14-in-1-precision-screwdriver-nut-driver</v>
      </c>
      <c r="C6335" t="s">
        <v>1999</v>
      </c>
      <c r="D6335" t="s">
        <v>5001</v>
      </c>
      <c r="E6335" s="3" t="str">
        <f>HYPERLINK("https://www.amazon.com/Klein-Tools-32314-Screwdriver-Tamperproof/dp/B08J8GGQBL/ref=sr_1_1?keywords=Klein+Tools+32314+14-in-1+Precision+Screwdriver%2F+Nut+Driver&amp;qid=1695173878&amp;sr=8-1", "https://www.amazon.com/Klein-Tools-32314-Screwdriver-Tamperproof/dp/B08J8GGQBL/ref=sr_1_1?keywords=Klein+Tools+32314+14-in-1+Precision+Screwdriver%2F+Nut+Driver&amp;qid=1695173878&amp;sr=8-1")</f>
        <v>https://www.amazon.com/Klein-Tools-32314-Screwdriver-Tamperproof/dp/B08J8GGQBL/ref=sr_1_1?keywords=Klein+Tools+32314+14-in-1+Precision+Screwdriver%2F+Nut+Driver&amp;qid=1695173878&amp;sr=8-1</v>
      </c>
      <c r="F6335" t="s">
        <v>5002</v>
      </c>
      <c r="G6335" t="e">
        <f ca="1">_xludf.IMAGE("https://edmondsonsupply.com/cdn/shop/products/32314.jpg?v=1646593726")</f>
        <v>#NAME?</v>
      </c>
      <c r="H6335" t="e">
        <f ca="1">_xludf.IMAGE("https://m.media-amazon.com/images/I/51r5V2PttIL._AC_UL320_.jpg")</f>
        <v>#NAME?</v>
      </c>
      <c r="I6335" t="s">
        <v>143</v>
      </c>
      <c r="J6335">
        <v>14.97</v>
      </c>
      <c r="K6335" s="4">
        <v>-6.2600000000000003E-2</v>
      </c>
      <c r="L6335">
        <v>4.7</v>
      </c>
      <c r="M6335">
        <v>2894</v>
      </c>
      <c r="O6335" t="s">
        <v>25</v>
      </c>
      <c r="P6335" t="s">
        <v>2002</v>
      </c>
      <c r="Q6335" t="s">
        <v>2003</v>
      </c>
    </row>
    <row r="6336" spans="1:17" ht="15.5" x14ac:dyDescent="0.35">
      <c r="A6336" s="3" t="str">
        <f>HYPERLINK("https://edmondsonsupply.com/collections/electricians-tools/products/klein-tools-2138neeins-insulated-pliers-slim-handle-side-cutters-8-inch", "https://edmondsonsupply.com/collections/electricians-tools/products/klein-tools-2138neeins-insulated-pliers-slim-handle-side-cutters-8-inch")</f>
        <v>https://edmondsonsupply.com/collections/electricians-tools/products/klein-tools-2138neeins-insulated-pliers-slim-handle-side-cutters-8-inch</v>
      </c>
      <c r="B6336"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6336" t="s">
        <v>5004</v>
      </c>
      <c r="D6336" t="s">
        <v>5005</v>
      </c>
      <c r="E6336" s="3" t="str">
        <f>HYPERLINK("https://www.amazon.com/Klein-Tools-2139NEEINS-Cutting-Pliers/dp/B00JGG5RNE/ref=sr_1_1?keywords=Klein+Tools+2138NEEINS+Insulated+Pliers%2C+Slim+Handle+Side+Cutters%2C+8-Inch&amp;qid=1695173956&amp;sr=8-1", "https://www.amazon.com/Klein-Tools-2139NEEINS-Cutting-Pliers/dp/B00JGG5RNE/ref=sr_1_1?keywords=Klein+Tools+2138NEEINS+Insulated+Pliers%2C+Slim+Handle+Side+Cutters%2C+8-Inch&amp;qid=1695173956&amp;sr=8-1")</f>
        <v>https://www.amazon.com/Klein-Tools-2139NEEINS-Cutting-Pliers/dp/B00JGG5RNE/ref=sr_1_1?keywords=Klein+Tools+2138NEEINS+Insulated+Pliers%2C+Slim+Handle+Side+Cutters%2C+8-Inch&amp;qid=1695173956&amp;sr=8-1</v>
      </c>
      <c r="F6336" t="s">
        <v>5006</v>
      </c>
      <c r="G6336" t="e">
        <f ca="1">_xludf.IMAGE("https://edmondsonsupply.com/cdn/shop/files/2138neeins.jpg?v=1694611719")</f>
        <v>#NAME?</v>
      </c>
      <c r="H6336" t="e">
        <f ca="1">_xludf.IMAGE("https://m.media-amazon.com/images/I/51eEwVZhacL._AC_UL320_.jpg")</f>
        <v>#NAME?</v>
      </c>
      <c r="I6336" t="s">
        <v>588</v>
      </c>
      <c r="J6336">
        <v>65.599999999999994</v>
      </c>
      <c r="K6336" s="4">
        <v>-6.2700000000000006E-2</v>
      </c>
      <c r="L6336">
        <v>4.7</v>
      </c>
      <c r="M6336">
        <v>242</v>
      </c>
      <c r="O6336" t="s">
        <v>25</v>
      </c>
      <c r="P6336" t="s">
        <v>5007</v>
      </c>
      <c r="Q6336" t="s">
        <v>5008</v>
      </c>
    </row>
    <row r="6337" spans="1:17" ht="15.5" x14ac:dyDescent="0.35">
      <c r="A6337" s="3" t="str">
        <f>HYPERLINK("https://edmondsonsupply.com/collections/electricians-tools/products/milwaukee-2746-20-m18-fuel%E2%84%A2-18-gauge-brad-nailer-tool-only", "https://edmondsonsupply.com/collections/electricians-tools/products/milwaukee-2746-20-m18-fuel%E2%84%A2-18-gauge-brad-nailer-tool-only")</f>
        <v>https://edmondsonsupply.com/collections/electricians-tools/products/milwaukee-2746-20-m18-fuel%E2%84%A2-18-gauge-brad-nailer-tool-only</v>
      </c>
      <c r="B6337" s="3" t="str">
        <f>HYPERLINK("https://edmondsonsupply.com/products/milwaukee-2746-20-m18-fuel%e2%84%a2-18-gauge-brad-nailer-tool-only", "https://edmondsonsupply.com/products/milwaukee-2746-20-m18-fuel%e2%84%a2-18-gauge-brad-nailer-tool-only")</f>
        <v>https://edmondsonsupply.com/products/milwaukee-2746-20-m18-fuel%e2%84%a2-18-gauge-brad-nailer-tool-only</v>
      </c>
      <c r="C6337" t="s">
        <v>8439</v>
      </c>
      <c r="D6337" t="s">
        <v>8440</v>
      </c>
      <c r="E6337" s="3" t="str">
        <f>HYPERLINK("https://www.amazon.com/Milwaukee-2746-20-FUEL-Gauge-Nailer/dp/B07VYJQ1KP/ref=sr_1_1?keywords=Milwaukee+2746-20+M18+FUEL%E2%84%A2+18+Gauge+Brad+Nailer+%28TOOL+ONLY%29&amp;qid=1695174088&amp;sr=8-1", "https://www.amazon.com/Milwaukee-2746-20-FUEL-Gauge-Nailer/dp/B07VYJQ1KP/ref=sr_1_1?keywords=Milwaukee+2746-20+M18+FUEL%E2%84%A2+18+Gauge+Brad+Nailer+%28TOOL+ONLY%29&amp;qid=1695174088&amp;sr=8-1")</f>
        <v>https://www.amazon.com/Milwaukee-2746-20-FUEL-Gauge-Nailer/dp/B07VYJQ1KP/ref=sr_1_1?keywords=Milwaukee+2746-20+M18+FUEL%E2%84%A2+18+Gauge+Brad+Nailer+%28TOOL+ONLY%29&amp;qid=1695174088&amp;sr=8-1</v>
      </c>
      <c r="F6337" t="s">
        <v>8441</v>
      </c>
      <c r="G6337" t="e">
        <f ca="1">_xludf.IMAGE("https://edmondsonsupply.com/cdn/shop/products/2746-20_1.png?v=1672864388")</f>
        <v>#NAME?</v>
      </c>
      <c r="H6337" t="e">
        <f ca="1">_xludf.IMAGE("https://m.media-amazon.com/images/I/71UbSbRsStL._AC_UL320_.jpg")</f>
        <v>#NAME?</v>
      </c>
      <c r="I6337" t="s">
        <v>5012</v>
      </c>
      <c r="J6337">
        <v>280</v>
      </c>
      <c r="K6337" s="4">
        <v>-6.3500000000000001E-2</v>
      </c>
      <c r="L6337">
        <v>4.7</v>
      </c>
      <c r="M6337">
        <v>673</v>
      </c>
      <c r="O6337" t="s">
        <v>25</v>
      </c>
      <c r="P6337" t="s">
        <v>8442</v>
      </c>
      <c r="Q6337" t="s">
        <v>8443</v>
      </c>
    </row>
    <row r="6338" spans="1:17" ht="15.5" x14ac:dyDescent="0.35">
      <c r="A6338" s="3" t="str">
        <f>HYPERLINK("https://edmondsonsupply.com/collections/electricians-tools/products/klein-tools-et60-electronic-ac-dc-voltage-tester-12-to-600v", "https://edmondsonsupply.com/collections/electricians-tools/products/klein-tools-et60-electronic-ac-dc-voltage-tester-12-to-600v")</f>
        <v>https://edmondsonsupply.com/collections/electricians-tools/products/klein-tools-et60-electronic-ac-dc-voltage-tester-12-to-600v</v>
      </c>
      <c r="B6338" s="3" t="str">
        <f>HYPERLINK("https://edmondsonsupply.com/products/klein-tools-et60-electronic-ac-dc-voltage-tester-12-to-600v", "https://edmondsonsupply.com/products/klein-tools-et60-electronic-ac-dc-voltage-tester-12-to-600v")</f>
        <v>https://edmondsonsupply.com/products/klein-tools-et60-electronic-ac-dc-voltage-tester-12-to-600v</v>
      </c>
      <c r="C6338" t="s">
        <v>8444</v>
      </c>
      <c r="D6338" t="s">
        <v>6554</v>
      </c>
      <c r="E6338" s="3" t="str">
        <f>HYPERLINK("https://www.amazon.com/Electronic-Voltage-Klein-Tools-ET60/dp/B06WWFGHQZ/ref=sr_1_1?keywords=Klein+Tools+ET60+Electronic+AC%2FDC+Voltage+Tester%2C+12+to+600V&amp;qid=1695174278&amp;sr=8-1", "https://www.amazon.com/Electronic-Voltage-Klein-Tools-ET60/dp/B06WWFGHQZ/ref=sr_1_1?keywords=Klein+Tools+ET60+Electronic+AC%2FDC+Voltage+Tester%2C+12+to+600V&amp;qid=1695174278&amp;sr=8-1")</f>
        <v>https://www.amazon.com/Electronic-Voltage-Klein-Tools-ET60/dp/B06WWFGHQZ/ref=sr_1_1?keywords=Klein+Tools+ET60+Electronic+AC%2FDC+Voltage+Tester%2C+12+to+600V&amp;qid=1695174278&amp;sr=8-1</v>
      </c>
      <c r="F6338" t="s">
        <v>6555</v>
      </c>
      <c r="G6338" t="e">
        <f ca="1">_xludf.IMAGE("https://edmondsonsupply.com/cdn/shop/products/et60.jpg?v=1633030979")</f>
        <v>#NAME?</v>
      </c>
      <c r="H6338" t="e">
        <f ca="1">_xludf.IMAGE("https://m.media-amazon.com/images/I/61bFp93k0pL._AC_UL320_.jpg")</f>
        <v>#NAME?</v>
      </c>
      <c r="I6338" t="s">
        <v>824</v>
      </c>
      <c r="J6338">
        <v>28.05</v>
      </c>
      <c r="K6338" s="4">
        <v>-6.4100000000000004E-2</v>
      </c>
      <c r="L6338">
        <v>4.5999999999999996</v>
      </c>
      <c r="M6338">
        <v>1112</v>
      </c>
      <c r="O6338" t="s">
        <v>25</v>
      </c>
      <c r="P6338" t="s">
        <v>8445</v>
      </c>
      <c r="Q6338" t="s">
        <v>8446</v>
      </c>
    </row>
    <row r="6339" spans="1:17" ht="15.5" x14ac:dyDescent="0.35">
      <c r="A6339" s="3" t="str">
        <f>HYPERLINK("https://edmondsonsupply.com/collections/electricians-tools/products/milwaukee-2598-22-m12-fuel%E2%84%A2-2-tool-combo-kit-1-2-hammer-drill-and-1-4-hex-impact-driver", "https://edmondsonsupply.com/collections/electricians-tools/products/milwaukee-2598-22-m12-fuel%E2%84%A2-2-tool-combo-kit-1-2-hammer-drill-and-1-4-hex-impact-driver")</f>
        <v>https://edmondsonsupply.com/collections/electricians-tools/products/milwaukee-2598-22-m12-fuel%E2%84%A2-2-tool-combo-kit-1-2-hammer-drill-and-1-4-hex-impact-driver</v>
      </c>
      <c r="B6339" s="3" t="str">
        <f>HYPERLINK("https://edmondsonsupply.com/products/milwaukee-2598-22-m12-fuel%e2%84%a2-2-tool-combo-kit-1-2-hammer-drill-and-1-4-hex-impact-driver", "https://edmondsonsupply.com/products/milwaukee-2598-22-m12-fuel%e2%84%a2-2-tool-combo-kit-1-2-hammer-drill-and-1-4-hex-impact-driver")</f>
        <v>https://edmondsonsupply.com/products/milwaukee-2598-22-m12-fuel%e2%84%a2-2-tool-combo-kit-1-2-hammer-drill-and-1-4-hex-impact-driver</v>
      </c>
      <c r="C6339" t="s">
        <v>8447</v>
      </c>
      <c r="D6339" t="s">
        <v>5542</v>
      </c>
      <c r="E6339" s="3" t="str">
        <f>HYPERLINK("https://www.amazon.com/Milwaukee-2598-22-FUEL-2-Tool-Combo/dp/B07F9Q4H5S/ref=sr_1_1?keywords=Milwaukee+2598-22+M12+FUEL%E2%84%A2+2-Tool+Combo+Kit%3A+1%2F2%22+Hammer+Drill+and+1%2F4%22+Hex+Impact+Driver&amp;qid=1695174140&amp;sr=8-1", "https://www.amazon.com/Milwaukee-2598-22-FUEL-2-Tool-Combo/dp/B07F9Q4H5S/ref=sr_1_1?keywords=Milwaukee+2598-22+M12+FUEL%E2%84%A2+2-Tool+Combo+Kit%3A+1%2F2%22+Hammer+Drill+and+1%2F4%22+Hex+Impact+Driver&amp;qid=1695174140&amp;sr=8-1")</f>
        <v>https://www.amazon.com/Milwaukee-2598-22-FUEL-2-Tool-Combo/dp/B07F9Q4H5S/ref=sr_1_1?keywords=Milwaukee+2598-22+M12+FUEL%E2%84%A2+2-Tool+Combo+Kit%3A+1%2F2%22+Hammer+Drill+and+1%2F4%22+Hex+Impact+Driver&amp;qid=1695174140&amp;sr=8-1</v>
      </c>
      <c r="F6339" t="s">
        <v>5543</v>
      </c>
      <c r="G6339" t="e">
        <f ca="1">_xludf.IMAGE("https://edmondsonsupply.com/cdn/shop/products/2598-22_Kit.png?v=1668446772")</f>
        <v>#NAME?</v>
      </c>
      <c r="H6339" t="e">
        <f ca="1">_xludf.IMAGE("https://m.media-amazon.com/images/I/617O-7-wU2L._AC_UL320_.jpg")</f>
        <v>#NAME?</v>
      </c>
      <c r="I6339" t="s">
        <v>5220</v>
      </c>
      <c r="J6339">
        <v>213.99</v>
      </c>
      <c r="K6339" s="4">
        <v>-6.5500000000000003E-2</v>
      </c>
      <c r="L6339">
        <v>4.8</v>
      </c>
      <c r="M6339">
        <v>69</v>
      </c>
      <c r="O6339" t="s">
        <v>25</v>
      </c>
      <c r="P6339" t="s">
        <v>8448</v>
      </c>
      <c r="Q6339" t="s">
        <v>8449</v>
      </c>
    </row>
    <row r="6340" spans="1:17" ht="15.5" x14ac:dyDescent="0.35">
      <c r="A6340"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6340" s="3" t="str">
        <f>HYPERLINK("https://edmondsonsupply.com/products/fluke-325-true-rms-clamp-meter", "https://edmondsonsupply.com/products/fluke-325-true-rms-clamp-meter")</f>
        <v>https://edmondsonsupply.com/products/fluke-325-true-rms-clamp-meter</v>
      </c>
      <c r="C6340" t="s">
        <v>7585</v>
      </c>
      <c r="D6340" t="s">
        <v>8450</v>
      </c>
      <c r="E6340" s="3" t="str">
        <f>HYPERLINK("https://www.amazon.com/ITSPWR-containing-Residential-Electricians-High-Density/dp/B0C49MYVDZ/ref=sr_1_4?keywords=Fluke+325+True+RMS+Clamp+Meter&amp;qid=1695174241&amp;sr=8-4", "https://www.amazon.com/ITSPWR-containing-Residential-Electricians-High-Density/dp/B0C49MYVDZ/ref=sr_1_4?keywords=Fluke+325+True+RMS+Clamp+Meter&amp;qid=1695174241&amp;sr=8-4")</f>
        <v>https://www.amazon.com/ITSPWR-containing-Residential-Electricians-High-Density/dp/B0C49MYVDZ/ref=sr_1_4?keywords=Fluke+325+True+RMS+Clamp+Meter&amp;qid=1695174241&amp;sr=8-4</v>
      </c>
      <c r="F6340" t="s">
        <v>8451</v>
      </c>
      <c r="G6340" t="e">
        <f ca="1">_xludf.IMAGE("https://edmondsonsupply.com/cdn/shop/products/Fluke_325_clamp_meter_1280x873px_E_NR-14655.jpg?v=1688679209")</f>
        <v>#NAME?</v>
      </c>
      <c r="H6340" t="e">
        <f ca="1">_xludf.IMAGE("https://m.media-amazon.com/images/I/81D4lWc2YmL._AC_UY218_.jpg")</f>
        <v>#NAME?</v>
      </c>
      <c r="I6340" t="s">
        <v>7586</v>
      </c>
      <c r="J6340">
        <v>349</v>
      </c>
      <c r="K6340" s="4">
        <v>-6.5600000000000006E-2</v>
      </c>
      <c r="L6340">
        <v>5</v>
      </c>
      <c r="M6340">
        <v>1</v>
      </c>
      <c r="O6340" t="s">
        <v>25</v>
      </c>
      <c r="P6340" t="s">
        <v>4069</v>
      </c>
      <c r="Q6340" t="s">
        <v>7587</v>
      </c>
    </row>
    <row r="6341" spans="1:17" ht="15.5" x14ac:dyDescent="0.35">
      <c r="A6341"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6341"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6341" t="s">
        <v>8452</v>
      </c>
      <c r="D6341" t="s">
        <v>5887</v>
      </c>
      <c r="E6341" s="3" t="str">
        <f>HYPERLINK("https://www.amazon.com/Diablo-Freud-DOU125CGP3-Universal-Oscillating/dp/B089KW6C8Q/ref=sr_1_3?keywords=Diablo+Tools+DOU275RCGP+2-3%2F4+in.+Universal+Fit+Carbide+Oscillating+Blade+for+General+Purpose+Cuts&amp;qid=1695174011&amp;sr=8-3", "https://www.amazon.com/Diablo-Freud-DOU125CGP3-Universal-Oscillating/dp/B089KW6C8Q/ref=sr_1_3?keywords=Diablo+Tools+DOU275RCGP+2-3%2F4+in.+Universal+Fit+Carbide+Oscillating+Blade+for+General+Purpose+Cuts&amp;qid=1695174011&amp;sr=8-3")</f>
        <v>https://www.amazon.com/Diablo-Freud-DOU125CGP3-Universal-Oscillating/dp/B089KW6C8Q/ref=sr_1_3?keywords=Diablo+Tools+DOU275RCGP+2-3%2F4+in.+Universal+Fit+Carbide+Oscillating+Blade+for+General+Purpose+Cuts&amp;qid=1695174011&amp;sr=8-3</v>
      </c>
      <c r="F6341" t="s">
        <v>5888</v>
      </c>
      <c r="G6341" t="e">
        <f ca="1">_xludf.IMAGE("https://edmondsonsupply.com/cdn/shop/files/kukkli8nylq54bgtz0o5.webp?v=1685720266")</f>
        <v>#NAME?</v>
      </c>
      <c r="H6341" t="e">
        <f ca="1">_xludf.IMAGE("https://m.media-amazon.com/images/I/71lNEMXVnHL._AC_UL320_.jpg")</f>
        <v>#NAME?</v>
      </c>
      <c r="I6341" t="s">
        <v>824</v>
      </c>
      <c r="J6341">
        <v>27.99</v>
      </c>
      <c r="K6341" s="4">
        <v>-6.6100000000000006E-2</v>
      </c>
      <c r="L6341">
        <v>4.5</v>
      </c>
      <c r="M6341">
        <v>139</v>
      </c>
      <c r="O6341" t="s">
        <v>25</v>
      </c>
      <c r="P6341" t="s">
        <v>8453</v>
      </c>
      <c r="Q6341" t="s">
        <v>8454</v>
      </c>
    </row>
    <row r="6342" spans="1:17" ht="15.5" x14ac:dyDescent="0.35">
      <c r="A6342" s="3" t="str">
        <f>HYPERLINK("https://edmondsonsupply.com/collections/electricians-tools/products/fieldpiece-adk7-deluxe-silicone-test-lead-kit", "https://edmondsonsupply.com/collections/electricians-tools/products/fieldpiece-adk7-deluxe-silicone-test-lead-kit")</f>
        <v>https://edmondsonsupply.com/collections/electricians-tools/products/fieldpiece-adk7-deluxe-silicone-test-lead-kit</v>
      </c>
      <c r="B6342" s="3" t="str">
        <f>HYPERLINK("https://edmondsonsupply.com/products/fieldpiece-adk7-deluxe-silicone-test-lead-kit", "https://edmondsonsupply.com/products/fieldpiece-adk7-deluxe-silicone-test-lead-kit")</f>
        <v>https://edmondsonsupply.com/products/fieldpiece-adk7-deluxe-silicone-test-lead-kit</v>
      </c>
      <c r="C6342" t="s">
        <v>8455</v>
      </c>
      <c r="D6342" t="s">
        <v>8455</v>
      </c>
      <c r="E6342" s="3" t="str">
        <f>HYPERLINK("https://www.amazon.com/Fieldpiece-ADK7-Deluxe-Silicone-Test/dp/B0013NH6SM/ref=sr_1_1?keywords=Fieldpiece+ADK7+Deluxe+Silicone+Test+Lead+Kit&amp;qid=1695174263&amp;sr=8-1", "https://www.amazon.com/Fieldpiece-ADK7-Deluxe-Silicone-Test/dp/B0013NH6SM/ref=sr_1_1?keywords=Fieldpiece+ADK7+Deluxe+Silicone+Test+Lead+Kit&amp;qid=1695174263&amp;sr=8-1")</f>
        <v>https://www.amazon.com/Fieldpiece-ADK7-Deluxe-Silicone-Test/dp/B0013NH6SM/ref=sr_1_1?keywords=Fieldpiece+ADK7+Deluxe+Silicone+Test+Lead+Kit&amp;qid=1695174263&amp;sr=8-1</v>
      </c>
      <c r="F6342" t="s">
        <v>8456</v>
      </c>
      <c r="G6342" t="e">
        <f ca="1">_xludf.IMAGE("https://edmondsonsupply.com/cdn/shop/products/adk7.png?v=1633031044")</f>
        <v>#NAME?</v>
      </c>
      <c r="H6342" t="e">
        <f ca="1">_xludf.IMAGE("https://m.media-amazon.com/images/I/71v1bksaBZL._AC_UY218_.jpg")</f>
        <v>#NAME?</v>
      </c>
      <c r="I6342" t="s">
        <v>8457</v>
      </c>
      <c r="J6342">
        <v>36.5</v>
      </c>
      <c r="K6342" s="4">
        <v>-6.6500000000000004E-2</v>
      </c>
      <c r="L6342">
        <v>4.7</v>
      </c>
      <c r="M6342">
        <v>435</v>
      </c>
      <c r="O6342" t="s">
        <v>25</v>
      </c>
      <c r="P6342" t="s">
        <v>5662</v>
      </c>
      <c r="Q6342" t="s">
        <v>8458</v>
      </c>
    </row>
    <row r="6343" spans="1:17" ht="15.5" x14ac:dyDescent="0.35">
      <c r="A6343" s="3" t="str">
        <f>HYPERLINK("https://edmondsonsupply.com/collections/electricians-tools/products/klein-tools-56115-fiberglass-fish-tape-repair-kit", "https://edmondsonsupply.com/collections/electricians-tools/products/klein-tools-56115-fiberglass-fish-tape-repair-kit")</f>
        <v>https://edmondsonsupply.com/collections/electricians-tools/products/klein-tools-56115-fiberglass-fish-tape-repair-kit</v>
      </c>
      <c r="B6343" s="3" t="str">
        <f>HYPERLINK("https://edmondsonsupply.com/products/klein-tools-56115-fiberglass-fish-tape-repair-kit", "https://edmondsonsupply.com/products/klein-tools-56115-fiberglass-fish-tape-repair-kit")</f>
        <v>https://edmondsonsupply.com/products/klein-tools-56115-fiberglass-fish-tape-repair-kit</v>
      </c>
      <c r="C6343" t="s">
        <v>8459</v>
      </c>
      <c r="D6343" t="s">
        <v>8460</v>
      </c>
      <c r="E6343" s="3" t="str">
        <f>HYPERLINK("https://www.amazon.com/Fiberglass-Repair-Klein-Tools-56115/dp/B0061J53S8/ref=sr_1_1?keywords=Klein+Tools+56115+Fiberglass+Fish+Tape+Repair+Kit&amp;qid=1695174148&amp;sr=8-1", "https://www.amazon.com/Fiberglass-Repair-Klein-Tools-56115/dp/B0061J53S8/ref=sr_1_1?keywords=Klein+Tools+56115+Fiberglass+Fish+Tape+Repair+Kit&amp;qid=1695174148&amp;sr=8-1")</f>
        <v>https://www.amazon.com/Fiberglass-Repair-Klein-Tools-56115/dp/B0061J53S8/ref=sr_1_1?keywords=Klein+Tools+56115+Fiberglass+Fish+Tape+Repair+Kit&amp;qid=1695174148&amp;sr=8-1</v>
      </c>
      <c r="F6343" t="s">
        <v>8461</v>
      </c>
      <c r="G6343" t="e">
        <f ca="1">_xludf.IMAGE("https://edmondsonsupply.com/cdn/shop/products/56115.jpg?v=1666107209")</f>
        <v>#NAME?</v>
      </c>
      <c r="H6343" t="e">
        <f ca="1">_xludf.IMAGE("https://m.media-amazon.com/images/I/61mAtTm8KZL._AC_UL320_.jpg")</f>
        <v>#NAME?</v>
      </c>
      <c r="I6343" t="s">
        <v>4155</v>
      </c>
      <c r="J6343">
        <v>139.99</v>
      </c>
      <c r="K6343" s="4">
        <v>-6.6699999999999995E-2</v>
      </c>
      <c r="L6343">
        <v>4</v>
      </c>
      <c r="M6343">
        <v>28</v>
      </c>
      <c r="O6343" t="s">
        <v>25</v>
      </c>
      <c r="P6343" t="s">
        <v>8462</v>
      </c>
      <c r="Q6343" t="s">
        <v>8463</v>
      </c>
    </row>
    <row r="6344" spans="1:17" ht="15.5" x14ac:dyDescent="0.35">
      <c r="A6344"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344" s="3" t="str">
        <f>HYPERLINK("https://edmondsonsupply.com/products/klein-tools-d2000-28glw-diagonal-cutting-pliers-hi-viz-8-inch", "https://edmondsonsupply.com/products/klein-tools-d2000-28glw-diagonal-cutting-pliers-hi-viz-8-inch")</f>
        <v>https://edmondsonsupply.com/products/klein-tools-d2000-28glw-diagonal-cutting-pliers-hi-viz-8-inch</v>
      </c>
      <c r="C6344" t="s">
        <v>4233</v>
      </c>
      <c r="D6344" t="s">
        <v>8464</v>
      </c>
      <c r="E6344" s="3" t="str">
        <f>HYPERLINK("https://www.amazon.com/Journeyman-Diagonal-Cutting-Klein-Tools-J228-8/dp/B0009XCETI/ref=sr_1_10?keywords=Klein+Tools+D200028GLW+Diagonal+Cutting+Pliers%2C+High-Visibility%2C+8-Inch&amp;qid=1695173928&amp;sr=8-10", "https://www.amazon.com/Journeyman-Diagonal-Cutting-Klein-Tools-J228-8/dp/B0009XCETI/ref=sr_1_10?keywords=Klein+Tools+D200028GLW+Diagonal+Cutting+Pliers%2C+High-Visibility%2C+8-Inch&amp;qid=1695173928&amp;sr=8-10")</f>
        <v>https://www.amazon.com/Journeyman-Diagonal-Cutting-Klein-Tools-J228-8/dp/B0009XCETI/ref=sr_1_10?keywords=Klein+Tools+D200028GLW+Diagonal+Cutting+Pliers%2C+High-Visibility%2C+8-Inch&amp;qid=1695173928&amp;sr=8-10</v>
      </c>
      <c r="F6344" t="s">
        <v>8465</v>
      </c>
      <c r="G6344" t="e">
        <f ca="1">_xludf.IMAGE("https://edmondsonsupply.com/cdn/shop/products/d200028glw.jpg?v=1633030701")</f>
        <v>#NAME?</v>
      </c>
      <c r="H6344" t="e">
        <f ca="1">_xludf.IMAGE("https://m.media-amazon.com/images/I/41uYnLH+0mL._AC_UL320_.jpg")</f>
        <v>#NAME?</v>
      </c>
      <c r="I6344" t="s">
        <v>67</v>
      </c>
      <c r="J6344">
        <v>34.99</v>
      </c>
      <c r="K6344" s="4">
        <v>-6.6699999999999995E-2</v>
      </c>
      <c r="L6344">
        <v>4.8</v>
      </c>
      <c r="M6344">
        <v>558</v>
      </c>
      <c r="O6344" t="s">
        <v>25</v>
      </c>
      <c r="P6344" t="s">
        <v>4236</v>
      </c>
      <c r="Q6344" t="s">
        <v>4237</v>
      </c>
    </row>
    <row r="6345" spans="1:17" ht="15.5" x14ac:dyDescent="0.35">
      <c r="A6345"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6345" s="3" t="str">
        <f>HYPERLINK("https://edmondsonsupply.com/products/klein-tools-31948-bi-metal-hole-saw-3-inch", "https://edmondsonsupply.com/products/klein-tools-31948-bi-metal-hole-saw-3-inch")</f>
        <v>https://edmondsonsupply.com/products/klein-tools-31948-bi-metal-hole-saw-3-inch</v>
      </c>
      <c r="C6345" t="s">
        <v>6377</v>
      </c>
      <c r="D6345" t="s">
        <v>7386</v>
      </c>
      <c r="E6345" s="3" t="str">
        <f>HYPERLINK("https://www.amazon.com/Bi-Metal-8-Inch-Klein-Tools-31958/dp/B01987566S/ref=sr_1_2?keywords=Klein+Tools+31948+Bi-Metal+Hole+Saw%2C+3-Inch&amp;qid=1695174151&amp;sr=8-2", "https://www.amazon.com/Bi-Metal-8-Inch-Klein-Tools-31958/dp/B01987566S/ref=sr_1_2?keywords=Klein+Tools+31948+Bi-Metal+Hole+Saw%2C+3-Inch&amp;qid=1695174151&amp;sr=8-2")</f>
        <v>https://www.amazon.com/Bi-Metal-8-Inch-Klein-Tools-31958/dp/B01987566S/ref=sr_1_2?keywords=Klein+Tools+31948+Bi-Metal+Hole+Saw%2C+3-Inch&amp;qid=1695174151&amp;sr=8-2</v>
      </c>
      <c r="F6345" t="s">
        <v>7387</v>
      </c>
      <c r="G6345" t="e">
        <f ca="1">_xludf.IMAGE("https://edmondsonsupply.com/cdn/shop/products/31948.jpg?v=1663945105")</f>
        <v>#NAME?</v>
      </c>
      <c r="H6345" t="e">
        <f ca="1">_xludf.IMAGE("https://m.media-amazon.com/images/I/417oWF+SE6L._AC_UL320_.jpg")</f>
        <v>#NAME?</v>
      </c>
      <c r="I6345" t="s">
        <v>276</v>
      </c>
      <c r="J6345">
        <v>13.99</v>
      </c>
      <c r="K6345" s="4">
        <v>-6.6699999999999995E-2</v>
      </c>
      <c r="L6345">
        <v>4.5999999999999996</v>
      </c>
      <c r="M6345">
        <v>252</v>
      </c>
      <c r="O6345" t="s">
        <v>25</v>
      </c>
      <c r="P6345" t="s">
        <v>6378</v>
      </c>
      <c r="Q6345" t="s">
        <v>6379</v>
      </c>
    </row>
    <row r="6346" spans="1:17" ht="15.5" x14ac:dyDescent="0.35">
      <c r="A6346"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346"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346" t="s">
        <v>8213</v>
      </c>
      <c r="D6346" t="s">
        <v>7219</v>
      </c>
      <c r="E6346" s="3" t="str">
        <f>HYPERLINK("https://www.amazon.com/Klein-Tools-6984INS-Screwdriver-Cushion-Grip/dp/B09GPZ5P2M/ref=sr_1_9?keywords=Klein+Tools+6986INS+Slim-Tip+1000V+Insulated+Screwdriver%2C&amp;qid=1695174143&amp;sr=8-9", "https://www.amazon.com/Klein-Tools-6984INS-Screwdriver-Cushion-Grip/dp/B09GPZ5P2M/ref=sr_1_9?keywords=Klein+Tools+6986INS+Slim-Tip+1000V+Insulated+Screwdriver%2C&amp;qid=1695174143&amp;sr=8-9")</f>
        <v>https://www.amazon.com/Klein-Tools-6984INS-Screwdriver-Cushion-Grip/dp/B09GPZ5P2M/ref=sr_1_9?keywords=Klein+Tools+6986INS+Slim-Tip+1000V+Insulated+Screwdriver%2C&amp;qid=1695174143&amp;sr=8-9</v>
      </c>
      <c r="F6346" t="s">
        <v>7220</v>
      </c>
      <c r="G6346" t="e">
        <f ca="1">_xludf.IMAGE("https://edmondsonsupply.com/cdn/shop/products/6986ins.jpg?v=1664806830")</f>
        <v>#NAME?</v>
      </c>
      <c r="H6346" t="e">
        <f ca="1">_xludf.IMAGE("https://m.media-amazon.com/images/I/41uj4ogsy3L._AC_UL320_.jpg")</f>
        <v>#NAME?</v>
      </c>
      <c r="I6346" t="s">
        <v>276</v>
      </c>
      <c r="J6346">
        <v>13.99</v>
      </c>
      <c r="K6346" s="4">
        <v>-6.6699999999999995E-2</v>
      </c>
      <c r="L6346">
        <v>4.8</v>
      </c>
      <c r="M6346">
        <v>108</v>
      </c>
      <c r="O6346" t="s">
        <v>25</v>
      </c>
      <c r="P6346" t="s">
        <v>277</v>
      </c>
      <c r="Q6346" t="s">
        <v>8214</v>
      </c>
    </row>
    <row r="6347" spans="1:17" ht="15.5" x14ac:dyDescent="0.35">
      <c r="A6347"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347"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347" t="s">
        <v>8213</v>
      </c>
      <c r="D6347" t="s">
        <v>7215</v>
      </c>
      <c r="E6347" s="3" t="str">
        <f>HYPERLINK("https://www.amazon.com/Klein-Tools-6944INS-Screwdriver-Cushion-Grip/dp/B09GPYTZV3/ref=sr_1_7?keywords=Klein+Tools+6986INS+Slim-Tip+1000V+Insulated+Screwdriver%2C&amp;qid=1695174143&amp;sr=8-7", "https://www.amazon.com/Klein-Tools-6944INS-Screwdriver-Cushion-Grip/dp/B09GPYTZV3/ref=sr_1_7?keywords=Klein+Tools+6986INS+Slim-Tip+1000V+Insulated+Screwdriver%2C&amp;qid=1695174143&amp;sr=8-7")</f>
        <v>https://www.amazon.com/Klein-Tools-6944INS-Screwdriver-Cushion-Grip/dp/B09GPYTZV3/ref=sr_1_7?keywords=Klein+Tools+6986INS+Slim-Tip+1000V+Insulated+Screwdriver%2C&amp;qid=1695174143&amp;sr=8-7</v>
      </c>
      <c r="F6347" t="s">
        <v>7216</v>
      </c>
      <c r="G6347" t="e">
        <f ca="1">_xludf.IMAGE("https://edmondsonsupply.com/cdn/shop/products/6986ins.jpg?v=1664806830")</f>
        <v>#NAME?</v>
      </c>
      <c r="H6347" t="e">
        <f ca="1">_xludf.IMAGE("https://m.media-amazon.com/images/I/41PzygwLx+L._AC_UL320_.jpg")</f>
        <v>#NAME?</v>
      </c>
      <c r="I6347" t="s">
        <v>276</v>
      </c>
      <c r="J6347">
        <v>13.99</v>
      </c>
      <c r="K6347" s="4">
        <v>-6.6699999999999995E-2</v>
      </c>
      <c r="L6347">
        <v>4.7</v>
      </c>
      <c r="M6347">
        <v>95</v>
      </c>
      <c r="O6347" t="s">
        <v>25</v>
      </c>
      <c r="P6347" t="s">
        <v>277</v>
      </c>
      <c r="Q6347" t="s">
        <v>8214</v>
      </c>
    </row>
    <row r="6348" spans="1:17" ht="15.5" x14ac:dyDescent="0.35">
      <c r="A6348"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6348"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6348" t="s">
        <v>6076</v>
      </c>
      <c r="D6348" t="s">
        <v>7215</v>
      </c>
      <c r="E6348" s="3" t="str">
        <f>HYPERLINK("https://www.amazon.com/Klein-Tools-6944INS-Screwdriver-Cushion-Grip/dp/B09GPYTZV3/ref=sr_1_10?keywords=Klein+Tools+6926INS+Slim-Tip+1000V+Insulated+Screwdriver%2C+1%2F4-Inch+Cabinet%2C+6-Inch&amp;qid=1695174185&amp;sr=8-10", "https://www.amazon.com/Klein-Tools-6944INS-Screwdriver-Cushion-Grip/dp/B09GPYTZV3/ref=sr_1_10?keywords=Klein+Tools+6926INS+Slim-Tip+1000V+Insulated+Screwdriver%2C+1%2F4-Inch+Cabinet%2C+6-Inch&amp;qid=1695174185&amp;sr=8-10")</f>
        <v>https://www.amazon.com/Klein-Tools-6944INS-Screwdriver-Cushion-Grip/dp/B09GPYTZV3/ref=sr_1_10?keywords=Klein+Tools+6926INS+Slim-Tip+1000V+Insulated+Screwdriver%2C+1%2F4-Inch+Cabinet%2C+6-Inch&amp;qid=1695174185&amp;sr=8-10</v>
      </c>
      <c r="F6348" t="s">
        <v>7216</v>
      </c>
      <c r="G6348" t="e">
        <f ca="1">_xludf.IMAGE("https://edmondsonsupply.com/cdn/shop/products/6926ins.jpg?v=1664803626")</f>
        <v>#NAME?</v>
      </c>
      <c r="H6348" t="e">
        <f ca="1">_xludf.IMAGE("https://m.media-amazon.com/images/I/41PzygwLx+L._AC_UL320_.jpg")</f>
        <v>#NAME?</v>
      </c>
      <c r="I6348" t="s">
        <v>276</v>
      </c>
      <c r="J6348">
        <v>13.99</v>
      </c>
      <c r="K6348" s="4">
        <v>-6.6699999999999995E-2</v>
      </c>
      <c r="L6348">
        <v>4.7</v>
      </c>
      <c r="M6348">
        <v>95</v>
      </c>
      <c r="O6348" t="s">
        <v>25</v>
      </c>
      <c r="P6348" t="s">
        <v>277</v>
      </c>
      <c r="Q6348" t="s">
        <v>6079</v>
      </c>
    </row>
    <row r="6349" spans="1:17" ht="15.5" x14ac:dyDescent="0.35">
      <c r="A6349"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6349" s="3" t="str">
        <f>HYPERLINK("https://edmondsonsupply.com/products/klein-tools-31948-bi-metal-hole-saw-3-inch", "https://edmondsonsupply.com/products/klein-tools-31948-bi-metal-hole-saw-3-inch")</f>
        <v>https://edmondsonsupply.com/products/klein-tools-31948-bi-metal-hole-saw-3-inch</v>
      </c>
      <c r="C6349" t="s">
        <v>6377</v>
      </c>
      <c r="D6349" t="s">
        <v>8466</v>
      </c>
      <c r="E6349" s="3" t="str">
        <f>HYPERLINK("https://www.amazon.com/Bi-Metal-3-Inch-Klein-Tools-31948/dp/B0198751L8/ref=sr_1_1?keywords=Klein+Tools+31948+Bi-Metal+Hole+Saw%2C+3-Inch&amp;qid=1695174151&amp;sr=8-1", "https://www.amazon.com/Bi-Metal-3-Inch-Klein-Tools-31948/dp/B0198751L8/ref=sr_1_1?keywords=Klein+Tools+31948+Bi-Metal+Hole+Saw%2C+3-Inch&amp;qid=1695174151&amp;sr=8-1")</f>
        <v>https://www.amazon.com/Bi-Metal-3-Inch-Klein-Tools-31948/dp/B0198751L8/ref=sr_1_1?keywords=Klein+Tools+31948+Bi-Metal+Hole+Saw%2C+3-Inch&amp;qid=1695174151&amp;sr=8-1</v>
      </c>
      <c r="F6349" t="s">
        <v>8467</v>
      </c>
      <c r="G6349" t="e">
        <f ca="1">_xludf.IMAGE("https://edmondsonsupply.com/cdn/shop/products/31948.jpg?v=1663945105")</f>
        <v>#NAME?</v>
      </c>
      <c r="H6349" t="e">
        <f ca="1">_xludf.IMAGE("https://m.media-amazon.com/images/I/41htaCI9OJL._AC_UL320_.jpg")</f>
        <v>#NAME?</v>
      </c>
      <c r="I6349" t="s">
        <v>276</v>
      </c>
      <c r="J6349">
        <v>13.99</v>
      </c>
      <c r="K6349" s="4">
        <v>-6.6699999999999995E-2</v>
      </c>
      <c r="L6349">
        <v>4.5999999999999996</v>
      </c>
      <c r="M6349">
        <v>406</v>
      </c>
      <c r="O6349" t="s">
        <v>25</v>
      </c>
      <c r="P6349" t="s">
        <v>6378</v>
      </c>
      <c r="Q6349" t="s">
        <v>6379</v>
      </c>
    </row>
    <row r="6350" spans="1:17" ht="15.5" x14ac:dyDescent="0.35">
      <c r="A6350" s="3" t="str">
        <f>HYPERLINK("https://edmondsonsupply.com/collections/electricians-tools/products/fluke-tlk289-industrial-master-test-lead-set", "https://edmondsonsupply.com/collections/electricians-tools/products/fluke-tlk289-industrial-master-test-lead-set")</f>
        <v>https://edmondsonsupply.com/collections/electricians-tools/products/fluke-tlk289-industrial-master-test-lead-set</v>
      </c>
      <c r="B6350" s="3" t="str">
        <f>HYPERLINK("https://edmondsonsupply.com/products/fluke-tlk289-industrial-master-test-lead-set", "https://edmondsonsupply.com/products/fluke-tlk289-industrial-master-test-lead-set")</f>
        <v>https://edmondsonsupply.com/products/fluke-tlk289-industrial-master-test-lead-set</v>
      </c>
      <c r="C6350" t="s">
        <v>8310</v>
      </c>
      <c r="D6350" t="s">
        <v>8468</v>
      </c>
      <c r="E6350" s="3" t="str">
        <f>HYPERLINK("https://www.amazon.com/Fluke-TLK287-Electronics-Master-Test/dp/B003AHE96G/ref=sr_1_2?keywords=Fluke+TLK289+Industrial+Master+Test+Lead+Set&amp;qid=1695174240&amp;sr=8-2", "https://www.amazon.com/Fluke-TLK287-Electronics-Master-Test/dp/B003AHE96G/ref=sr_1_2?keywords=Fluke+TLK289+Industrial+Master+Test+Lead+Set&amp;qid=1695174240&amp;sr=8-2")</f>
        <v>https://www.amazon.com/Fluke-TLK287-Electronics-Master-Test/dp/B003AHE96G/ref=sr_1_2?keywords=Fluke+TLK289+Industrial+Master+Test+Lead+Set&amp;qid=1695174240&amp;sr=8-2</v>
      </c>
      <c r="F6350" t="s">
        <v>8469</v>
      </c>
      <c r="G6350" t="e">
        <f ca="1">_xludf.IMAGE("https://edmondsonsupply.com/cdn/shop/products/TLK289_1280x841px_E_NR-23772.jpg?v=1633031191")</f>
        <v>#NAME?</v>
      </c>
      <c r="H6350" t="e">
        <f ca="1">_xludf.IMAGE("https://m.media-amazon.com/images/I/61JEjFCnhtL._AC_UY218_.jpg")</f>
        <v>#NAME?</v>
      </c>
      <c r="I6350" t="s">
        <v>8312</v>
      </c>
      <c r="J6350">
        <v>177.29</v>
      </c>
      <c r="K6350" s="4">
        <v>-6.6799999999999998E-2</v>
      </c>
      <c r="L6350">
        <v>4.5999999999999996</v>
      </c>
      <c r="M6350">
        <v>91</v>
      </c>
      <c r="O6350" t="s">
        <v>25</v>
      </c>
      <c r="P6350" t="s">
        <v>454</v>
      </c>
      <c r="Q6350" t="s">
        <v>8313</v>
      </c>
    </row>
    <row r="6351" spans="1:17" ht="15.5" x14ac:dyDescent="0.35">
      <c r="A6351" s="3" t="str">
        <f>HYPERLINK("https://edmondsonsupply.com/collections/electricians-tools/products/milwaukee-2566-22-m12-fuel%E2%84%A2-1-4-high-speed-ratchet-kit", "https://edmondsonsupply.com/collections/electricians-tools/products/milwaukee-2566-22-m12-fuel%E2%84%A2-1-4-high-speed-ratchet-kit")</f>
        <v>https://edmondsonsupply.com/collections/electricians-tools/products/milwaukee-2566-22-m12-fuel%E2%84%A2-1-4-high-speed-ratchet-kit</v>
      </c>
      <c r="B6351" s="3" t="str">
        <f>HYPERLINK("https://edmondsonsupply.com/products/milwaukee-2566-22-m12-fuel%e2%84%a2-1-4-high-speed-ratchet-kit", "https://edmondsonsupply.com/products/milwaukee-2566-22-m12-fuel%e2%84%a2-1-4-high-speed-ratchet-kit")</f>
        <v>https://edmondsonsupply.com/products/milwaukee-2566-22-m12-fuel%e2%84%a2-1-4-high-speed-ratchet-kit</v>
      </c>
      <c r="C6351" t="s">
        <v>5009</v>
      </c>
      <c r="D6351" t="s">
        <v>5010</v>
      </c>
      <c r="E6351" s="3" t="str">
        <f>HYPERLINK("https://www.amazon.com/Milwaukee-FUEL-Speed-Cordless-Ratchet/dp/B08XB2SBDY/ref=sr_1_1?keywords=Milwaukee+2566-22+M12+FUEL%E2%84%A2+1%2F4%22+High+Speed+Ratchet+Kit&amp;qid=1695174029&amp;sr=8-1", "https://www.amazon.com/Milwaukee-FUEL-Speed-Cordless-Ratchet/dp/B08XB2SBDY/ref=sr_1_1?keywords=Milwaukee+2566-22+M12+FUEL%E2%84%A2+1%2F4%22+High+Speed+Ratchet+Kit&amp;qid=1695174029&amp;sr=8-1")</f>
        <v>https://www.amazon.com/Milwaukee-FUEL-Speed-Cordless-Ratchet/dp/B08XB2SBDY/ref=sr_1_1?keywords=Milwaukee+2566-22+M12+FUEL%E2%84%A2+1%2F4%22+High+Speed+Ratchet+Kit&amp;qid=1695174029&amp;sr=8-1</v>
      </c>
      <c r="F6351" t="s">
        <v>5011</v>
      </c>
      <c r="G6351" t="e">
        <f ca="1">_xludf.IMAGE("https://edmondsonsupply.com/cdn/shop/files/2566-22_Kit.png?v=1686936758")</f>
        <v>#NAME?</v>
      </c>
      <c r="H6351" t="e">
        <f ca="1">_xludf.IMAGE("https://m.media-amazon.com/images/I/410-8q8NgpL._AC_UL320_.jpg")</f>
        <v>#NAME?</v>
      </c>
      <c r="I6351" t="s">
        <v>5012</v>
      </c>
      <c r="J6351">
        <v>279</v>
      </c>
      <c r="K6351" s="4">
        <v>-6.6900000000000001E-2</v>
      </c>
      <c r="L6351">
        <v>4.7</v>
      </c>
      <c r="M6351">
        <v>80</v>
      </c>
      <c r="O6351" t="s">
        <v>25</v>
      </c>
      <c r="P6351" t="s">
        <v>5013</v>
      </c>
      <c r="Q6351" t="s">
        <v>5014</v>
      </c>
    </row>
    <row r="6352" spans="1:17" ht="15.5" x14ac:dyDescent="0.35">
      <c r="A6352"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352" s="3" t="str">
        <f>HYPERLINK("https://edmondsonsupply.com/products/klein-tools-d2000-28glw-diagonal-cutting-pliers-hi-viz-8-inch", "https://edmondsonsupply.com/products/klein-tools-d2000-28glw-diagonal-cutting-pliers-hi-viz-8-inch")</f>
        <v>https://edmondsonsupply.com/products/klein-tools-d2000-28glw-diagonal-cutting-pliers-hi-viz-8-inch</v>
      </c>
      <c r="C6352" t="s">
        <v>4233</v>
      </c>
      <c r="D6352" t="s">
        <v>5015</v>
      </c>
      <c r="E6352" s="3" t="str">
        <f>HYPERLINK("https://www.amazon.com/Diagonal-Linemans-Klein-Tools-D2000-48/dp/B0000302WZ/ref=sr_1_2?keywords=Klein+Tools+D200028GLW+Diagonal+Cutting+Pliers%2C+High-Visibility%2C+8-Inch&amp;qid=1695173928&amp;sr=8-2", "https://www.amazon.com/Diagonal-Linemans-Klein-Tools-D2000-48/dp/B0000302WZ/ref=sr_1_2?keywords=Klein+Tools+D200028GLW+Diagonal+Cutting+Pliers%2C+High-Visibility%2C+8-Inch&amp;qid=1695173928&amp;sr=8-2")</f>
        <v>https://www.amazon.com/Diagonal-Linemans-Klein-Tools-D2000-48/dp/B0000302WZ/ref=sr_1_2?keywords=Klein+Tools+D200028GLW+Diagonal+Cutting+Pliers%2C+High-Visibility%2C+8-Inch&amp;qid=1695173928&amp;sr=8-2</v>
      </c>
      <c r="F6352" t="s">
        <v>5016</v>
      </c>
      <c r="G6352" t="e">
        <f ca="1">_xludf.IMAGE("https://edmondsonsupply.com/cdn/shop/products/d200028glw.jpg?v=1633030701")</f>
        <v>#NAME?</v>
      </c>
      <c r="H6352" t="e">
        <f ca="1">_xludf.IMAGE("https://m.media-amazon.com/images/I/41Y+q+BsIsL._AC_UL320_.jpg")</f>
        <v>#NAME?</v>
      </c>
      <c r="I6352" t="s">
        <v>67</v>
      </c>
      <c r="J6352">
        <v>34.97</v>
      </c>
      <c r="K6352" s="4">
        <v>-6.7199999999999996E-2</v>
      </c>
      <c r="L6352">
        <v>4.7</v>
      </c>
      <c r="M6352">
        <v>530</v>
      </c>
      <c r="O6352" t="s">
        <v>25</v>
      </c>
      <c r="P6352" t="s">
        <v>4236</v>
      </c>
      <c r="Q6352" t="s">
        <v>4237</v>
      </c>
    </row>
    <row r="6353" spans="1:17" ht="15.5" x14ac:dyDescent="0.35">
      <c r="A6353" s="3" t="str">
        <f>HYPERLINK("https://edmondsonsupply.com/collections/electricians-tools/products/klein-tools-jth4e06-3-32-inch-hex-key-journeyman-t-handle-4-inch", "https://edmondsonsupply.com/collections/electricians-tools/products/klein-tools-jth4e06-3-32-inch-hex-key-journeyman-t-handle-4-inch")</f>
        <v>https://edmondsonsupply.com/collections/electricians-tools/products/klein-tools-jth4e06-3-32-inch-hex-key-journeyman-t-handle-4-inch</v>
      </c>
      <c r="B6353" s="3" t="str">
        <f>HYPERLINK("https://edmondsonsupply.com/products/klein-tools-jth4e06-3-32-inch-hex-key-journeyman-t-handle-4-inch", "https://edmondsonsupply.com/products/klein-tools-jth4e06-3-32-inch-hex-key-journeyman-t-handle-4-inch")</f>
        <v>https://edmondsonsupply.com/products/klein-tools-jth4e06-3-32-inch-hex-key-journeyman-t-handle-4-inch</v>
      </c>
      <c r="C6353" t="s">
        <v>6443</v>
      </c>
      <c r="D6353" t="s">
        <v>8470</v>
      </c>
      <c r="E6353" s="3" t="str">
        <f>HYPERLINK("https://www.amazon.com/Journeyman-T-Handle-Klein-Tools-JTH6E06BE/dp/B004QVX826/ref=sr_1_3?keywords=Klein+Tools+JTH4E06+3%2F32-Inch+Hex+Key%2C+Journeyman+T-Handle%2C+4-Inch&amp;qid=1695174228&amp;sr=8-3", "https://www.amazon.com/Journeyman-T-Handle-Klein-Tools-JTH6E06BE/dp/B004QVX826/ref=sr_1_3?keywords=Klein+Tools+JTH4E06+3%2F32-Inch+Hex+Key%2C+Journeyman+T-Handle%2C+4-Inch&amp;qid=1695174228&amp;sr=8-3")</f>
        <v>https://www.amazon.com/Journeyman-T-Handle-Klein-Tools-JTH6E06BE/dp/B004QVX826/ref=sr_1_3?keywords=Klein+Tools+JTH4E06+3%2F32-Inch+Hex+Key%2C+Journeyman+T-Handle%2C+4-Inch&amp;qid=1695174228&amp;sr=8-3</v>
      </c>
      <c r="F6353" t="s">
        <v>8471</v>
      </c>
      <c r="G6353" t="e">
        <f ca="1">_xludf.IMAGE("https://edmondsonsupply.com/cdn/shop/products/jth4e06.jpg?v=1635112029")</f>
        <v>#NAME?</v>
      </c>
      <c r="H6353" t="e">
        <f ca="1">_xludf.IMAGE("https://m.media-amazon.com/images/I/51f9vBFVXgL._AC_UL320_.jpg")</f>
        <v>#NAME?</v>
      </c>
      <c r="I6353" t="s">
        <v>6444</v>
      </c>
      <c r="J6353">
        <v>3.72</v>
      </c>
      <c r="K6353" s="4">
        <v>-6.7699999999999996E-2</v>
      </c>
      <c r="L6353">
        <v>4.8</v>
      </c>
      <c r="M6353">
        <v>456</v>
      </c>
      <c r="O6353" t="s">
        <v>25</v>
      </c>
      <c r="P6353" t="s">
        <v>2044</v>
      </c>
      <c r="Q6353" t="s">
        <v>6445</v>
      </c>
    </row>
    <row r="6354" spans="1:17" ht="15.5" x14ac:dyDescent="0.35">
      <c r="A6354" s="3" t="str">
        <f>HYPERLINK("https://edmondsonsupply.com/collections/electricians-tools/products/klein-tools-jth4e10-5-32-inch-hex-key-journeyman-t-handle-4-inch", "https://edmondsonsupply.com/collections/electricians-tools/products/klein-tools-jth4e10-5-32-inch-hex-key-journeyman-t-handle-4-inch")</f>
        <v>https://edmondsonsupply.com/collections/electricians-tools/products/klein-tools-jth4e10-5-32-inch-hex-key-journeyman-t-handle-4-inch</v>
      </c>
      <c r="B6354" s="3" t="str">
        <f>HYPERLINK("https://edmondsonsupply.com/products/klein-tools-jth4e10-5-32-inch-hex-key-journeyman-t-handle-4-inch", "https://edmondsonsupply.com/products/klein-tools-jth4e10-5-32-inch-hex-key-journeyman-t-handle-4-inch")</f>
        <v>https://edmondsonsupply.com/products/klein-tools-jth4e10-5-32-inch-hex-key-journeyman-t-handle-4-inch</v>
      </c>
      <c r="C6354" t="s">
        <v>6802</v>
      </c>
      <c r="D6354" t="s">
        <v>8472</v>
      </c>
      <c r="E6354" s="3" t="str">
        <f>HYPERLINK("https://www.amazon.com/Journeyman-T-Handle-Klein-Tools-JTH6E10BE/dp/B004QW4EPK/ref=sr_1_2?keywords=Klein+Tools+JTH4E10+5%2F32-Inch+Hex+Key%2C+Journeyman+T-Handle%2C+4-Inch&amp;qid=1695174219&amp;sr=8-2", "https://www.amazon.com/Journeyman-T-Handle-Klein-Tools-JTH6E10BE/dp/B004QW4EPK/ref=sr_1_2?keywords=Klein+Tools+JTH4E10+5%2F32-Inch+Hex+Key%2C+Journeyman+T-Handle%2C+4-Inch&amp;qid=1695174219&amp;sr=8-2")</f>
        <v>https://www.amazon.com/Journeyman-T-Handle-Klein-Tools-JTH6E10BE/dp/B004QW4EPK/ref=sr_1_2?keywords=Klein+Tools+JTH4E10+5%2F32-Inch+Hex+Key%2C+Journeyman+T-Handle%2C+4-Inch&amp;qid=1695174219&amp;sr=8-2</v>
      </c>
      <c r="F6354" t="s">
        <v>8473</v>
      </c>
      <c r="G6354" t="e">
        <f ca="1">_xludf.IMAGE("https://edmondsonsupply.com/cdn/shop/products/jth4e17_ce261606-f524-49c5-9cd5-8c9f52dd1e03.jpg?v=1645565342")</f>
        <v>#NAME?</v>
      </c>
      <c r="H6354" t="e">
        <f ca="1">_xludf.IMAGE("https://m.media-amazon.com/images/I/51f9vBFVXgL._AC_UL320_.jpg")</f>
        <v>#NAME?</v>
      </c>
      <c r="I6354" t="s">
        <v>6444</v>
      </c>
      <c r="J6354">
        <v>3.72</v>
      </c>
      <c r="K6354" s="4">
        <v>-6.7699999999999996E-2</v>
      </c>
      <c r="L6354">
        <v>4.8</v>
      </c>
      <c r="M6354">
        <v>456</v>
      </c>
      <c r="O6354" t="s">
        <v>25</v>
      </c>
      <c r="P6354" t="s">
        <v>2044</v>
      </c>
      <c r="Q6354" t="s">
        <v>6803</v>
      </c>
    </row>
    <row r="6355" spans="1:17" ht="15.5" x14ac:dyDescent="0.35">
      <c r="A6355"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6355" s="3" t="str">
        <f>HYPERLINK("https://edmondsonsupply.com/products/klein-tools-d507-8-adjustable-wrench-extra-capacity-8-inch", "https://edmondsonsupply.com/products/klein-tools-d507-8-adjustable-wrench-extra-capacity-8-inch")</f>
        <v>https://edmondsonsupply.com/products/klein-tools-d507-8-adjustable-wrench-extra-capacity-8-inch</v>
      </c>
      <c r="C6355" t="s">
        <v>6699</v>
      </c>
      <c r="D6355" t="s">
        <v>8474</v>
      </c>
      <c r="E6355" s="3" t="str">
        <f>HYPERLINK("https://www.amazon.com/Adjustable-Extra-Capacity-Klein-Tools-507-8/dp/B0002RI5SA/ref=sr_1_2?keywords=Klein+Tools+D507-8+Adjustable+Wrench%2C+Extra+Capacity+8-Inch&amp;qid=1695173949&amp;sr=8-2", "https://www.amazon.com/Adjustable-Extra-Capacity-Klein-Tools-507-8/dp/B0002RI5SA/ref=sr_1_2?keywords=Klein+Tools+D507-8+Adjustable+Wrench%2C+Extra+Capacity+8-Inch&amp;qid=1695173949&amp;sr=8-2")</f>
        <v>https://www.amazon.com/Adjustable-Extra-Capacity-Klein-Tools-507-8/dp/B0002RI5SA/ref=sr_1_2?keywords=Klein+Tools+D507-8+Adjustable+Wrench%2C+Extra+Capacity+8-Inch&amp;qid=1695173949&amp;sr=8-2</v>
      </c>
      <c r="F6355" t="s">
        <v>8475</v>
      </c>
      <c r="G6355" t="e">
        <f ca="1">_xludf.IMAGE("https://edmondsonsupply.com/cdn/shop/products/d5078_b.jpg?v=1666010497")</f>
        <v>#NAME?</v>
      </c>
      <c r="H6355" t="e">
        <f ca="1">_xludf.IMAGE("https://m.media-amazon.com/images/I/51neMDEiFVL._AC_UL320_.jpg")</f>
        <v>#NAME?</v>
      </c>
      <c r="I6355" t="s">
        <v>26</v>
      </c>
      <c r="J6355">
        <v>27.95</v>
      </c>
      <c r="K6355" s="4">
        <v>-6.8000000000000005E-2</v>
      </c>
      <c r="L6355">
        <v>4.3</v>
      </c>
      <c r="M6355">
        <v>26</v>
      </c>
      <c r="O6355" t="s">
        <v>25</v>
      </c>
      <c r="P6355" t="s">
        <v>1327</v>
      </c>
      <c r="Q6355" t="s">
        <v>6700</v>
      </c>
    </row>
    <row r="6356" spans="1:17" ht="15.5" x14ac:dyDescent="0.35">
      <c r="A6356" s="3" t="str">
        <f>HYPERLINK("https://edmondsonsupply.com/collections/electricians-tools/products/klein-tools-jth9e14-5-16-inch-hex-key-journeyman%E2%84%A2-t-handle-9-inch", "https://edmondsonsupply.com/collections/electricians-tools/products/klein-tools-jth9e14-5-16-inch-hex-key-journeyman%E2%84%A2-t-handle-9-inch")</f>
        <v>https://edmondsonsupply.com/collections/electricians-tools/products/klein-tools-jth9e14-5-16-inch-hex-key-journeyman%E2%84%A2-t-handle-9-inch</v>
      </c>
      <c r="B6356" s="3" t="str">
        <f>HYPERLINK("https://edmondsonsupply.com/products/klein-tools-jth9e14-5-16-inch-hex-key-journeyman%e2%84%a2-t-handle-9-inch", "https://edmondsonsupply.com/products/klein-tools-jth9e14-5-16-inch-hex-key-journeyman%e2%84%a2-t-handle-9-inch")</f>
        <v>https://edmondsonsupply.com/products/klein-tools-jth9e14-5-16-inch-hex-key-journeyman%e2%84%a2-t-handle-9-inch</v>
      </c>
      <c r="C6356" t="s">
        <v>6804</v>
      </c>
      <c r="D6356" t="s">
        <v>3163</v>
      </c>
      <c r="E6356" s="3" t="str">
        <f>HYPERLINK("https://www.amazon.com/Journeyman-T-Handle-Klein-Tools-JTH9E14/dp/B004QVAH4I/ref=sr_1_1?keywords=Klein+Tools+JTH9E14+5%2F16-Inch+Hex+Key%2C+Journeyman%E2%84%A2+T-Handle%2C+9-Inch&amp;qid=1695174141&amp;sr=8-1", "https://www.amazon.com/Journeyman-T-Handle-Klein-Tools-JTH9E14/dp/B004QVAH4I/ref=sr_1_1?keywords=Klein+Tools+JTH9E14+5%2F16-Inch+Hex+Key%2C+Journeyman%E2%84%A2+T-Handle%2C+9-Inch&amp;qid=1695174141&amp;sr=8-1")</f>
        <v>https://www.amazon.com/Journeyman-T-Handle-Klein-Tools-JTH9E14/dp/B004QVAH4I/ref=sr_1_1?keywords=Klein+Tools+JTH9E14+5%2F16-Inch+Hex+Key%2C+Journeyman%E2%84%A2+T-Handle%2C+9-Inch&amp;qid=1695174141&amp;sr=8-1</v>
      </c>
      <c r="F6356" t="s">
        <v>3164</v>
      </c>
      <c r="G6356" t="e">
        <f ca="1">_xludf.IMAGE("https://edmondsonsupply.com/cdn/shop/products/jth6e15_f4984146-222a-4a1f-9fb4-94d2ee6d0a9d.jpg?v=1665597420")</f>
        <v>#NAME?</v>
      </c>
      <c r="H6356" t="e">
        <f ca="1">_xludf.IMAGE("https://m.media-amazon.com/images/I/51Yb8h41vLL._AC_UL320_.jpg")</f>
        <v>#NAME?</v>
      </c>
      <c r="I6356" t="s">
        <v>1003</v>
      </c>
      <c r="J6356">
        <v>7.44</v>
      </c>
      <c r="K6356" s="4">
        <v>-6.88E-2</v>
      </c>
      <c r="L6356">
        <v>4.8</v>
      </c>
      <c r="M6356">
        <v>114</v>
      </c>
      <c r="O6356" t="s">
        <v>25</v>
      </c>
      <c r="P6356" t="s">
        <v>6024</v>
      </c>
      <c r="Q6356" t="s">
        <v>6805</v>
      </c>
    </row>
    <row r="6357" spans="1:17" ht="15.5" x14ac:dyDescent="0.35">
      <c r="A6357" s="3" t="str">
        <f>HYPERLINK("https://edmondsonsupply.com/collections/electricians-tools/products/klein-tools-69410-replacement-test-lead-set-right-angle", "https://edmondsonsupply.com/collections/electricians-tools/products/klein-tools-69410-replacement-test-lead-set-right-angle")</f>
        <v>https://edmondsonsupply.com/collections/electricians-tools/products/klein-tools-69410-replacement-test-lead-set-right-angle</v>
      </c>
      <c r="B6357" s="3" t="str">
        <f>HYPERLINK("https://edmondsonsupply.com/products/klein-tools-69410-replacement-test-lead-set-right-angle", "https://edmondsonsupply.com/products/klein-tools-69410-replacement-test-lead-set-right-angle")</f>
        <v>https://edmondsonsupply.com/products/klein-tools-69410-replacement-test-lead-set-right-angle</v>
      </c>
      <c r="C6357" t="s">
        <v>1463</v>
      </c>
      <c r="D6357" t="s">
        <v>1463</v>
      </c>
      <c r="E6357" s="3" t="str">
        <f>HYPERLINK("https://www.amazon.com/Replacement-Right-Klein-Tools-69410/dp/B003U2GONM/ref=sr_1_1?keywords=Klein+Tools+69410+Replacement+Test+Lead+Set%2C+Right+Angle&amp;qid=1695173944&amp;sr=8-1", "https://www.amazon.com/Replacement-Right-Klein-Tools-69410/dp/B003U2GONM/ref=sr_1_1?keywords=Klein+Tools+69410+Replacement+Test+Lead+Set%2C+Right+Angle&amp;qid=1695173944&amp;sr=8-1")</f>
        <v>https://www.amazon.com/Replacement-Right-Klein-Tools-69410/dp/B003U2GONM/ref=sr_1_1?keywords=Klein+Tools+69410+Replacement+Test+Lead+Set%2C+Right+Angle&amp;qid=1695173944&amp;sr=8-1</v>
      </c>
      <c r="F6357" t="s">
        <v>5022</v>
      </c>
      <c r="G6357" t="e">
        <f ca="1">_xludf.IMAGE("https://edmondsonsupply.com/cdn/shop/products/69410.jpg?v=1587143393")</f>
        <v>#NAME?</v>
      </c>
      <c r="H6357" t="e">
        <f ca="1">_xludf.IMAGE("https://m.media-amazon.com/images/I/61VbepdaATL._AC_UY218_.jpg")</f>
        <v>#NAME?</v>
      </c>
      <c r="I6357" t="s">
        <v>893</v>
      </c>
      <c r="J6357">
        <v>18.59</v>
      </c>
      <c r="K6357" s="4">
        <v>-6.9099999999999995E-2</v>
      </c>
      <c r="L6357">
        <v>4.7</v>
      </c>
      <c r="M6357">
        <v>2358</v>
      </c>
      <c r="O6357" t="s">
        <v>25</v>
      </c>
      <c r="P6357" t="s">
        <v>1466</v>
      </c>
      <c r="Q6357" t="s">
        <v>1467</v>
      </c>
    </row>
    <row r="6358" spans="1:17" ht="15.5" x14ac:dyDescent="0.35">
      <c r="A6358" s="3" t="str">
        <f>HYPERLINK("https://edmondsonsupply.com/collections/electricians-tools/products/klein-tools-44219-replacement-hawkbill-blade-for-44218-3-pack", "https://edmondsonsupply.com/collections/electricians-tools/products/klein-tools-44219-replacement-hawkbill-blade-for-44218-3-pack")</f>
        <v>https://edmondsonsupply.com/collections/electricians-tools/products/klein-tools-44219-replacement-hawkbill-blade-for-44218-3-pack</v>
      </c>
      <c r="B6358" s="3" t="str">
        <f>HYPERLINK("https://edmondsonsupply.com/products/klein-tools-44219-replacement-hawkbill-blade-for-44218-3-pack", "https://edmondsonsupply.com/products/klein-tools-44219-replacement-hawkbill-blade-for-44218-3-pack")</f>
        <v>https://edmondsonsupply.com/products/klein-tools-44219-replacement-hawkbill-blade-for-44218-3-pack</v>
      </c>
      <c r="C6358" t="s">
        <v>5174</v>
      </c>
      <c r="D6358" t="s">
        <v>5174</v>
      </c>
      <c r="E6358" s="3" t="str">
        <f>HYPERLINK("https://www.amazon.com/Replacement-Hawkbill-Klein-Tools-44219/dp/B072BQ6HGJ/ref=sr_1_1?keywords=Klein+Tools+44219+Replacement+Hawkbill+Blade+for+44218+3-Pack&amp;qid=1695173852&amp;sr=8-1", "https://www.amazon.com/Replacement-Hawkbill-Klein-Tools-44219/dp/B072BQ6HGJ/ref=sr_1_1?keywords=Klein+Tools+44219+Replacement+Hawkbill+Blade+for+44218+3-Pack&amp;qid=1695173852&amp;sr=8-1")</f>
        <v>https://www.amazon.com/Replacement-Hawkbill-Klein-Tools-44219/dp/B072BQ6HGJ/ref=sr_1_1?keywords=Klein+Tools+44219+Replacement+Hawkbill+Blade+for+44218+3-Pack&amp;qid=1695173852&amp;sr=8-1</v>
      </c>
      <c r="F6358" t="s">
        <v>5175</v>
      </c>
      <c r="G6358" t="e">
        <f ca="1">_xludf.IMAGE("https://edmondsonsupply.com/cdn/shop/products/44219.jpg?v=1587143534")</f>
        <v>#NAME?</v>
      </c>
      <c r="H6358" t="e">
        <f ca="1">_xludf.IMAGE("https://m.media-amazon.com/images/I/51+MvUsWHnL._AC_UL320_.jpg")</f>
        <v>#NAME?</v>
      </c>
      <c r="I6358" t="s">
        <v>288</v>
      </c>
      <c r="J6358">
        <v>12.99</v>
      </c>
      <c r="K6358" s="4">
        <v>-7.1499999999999994E-2</v>
      </c>
      <c r="L6358">
        <v>4.8</v>
      </c>
      <c r="M6358">
        <v>3348</v>
      </c>
      <c r="O6358" t="s">
        <v>25</v>
      </c>
      <c r="P6358" t="s">
        <v>5176</v>
      </c>
      <c r="Q6358" t="s">
        <v>5177</v>
      </c>
    </row>
    <row r="6359" spans="1:17" ht="15.5" x14ac:dyDescent="0.35">
      <c r="A6359"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6359"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6359" t="s">
        <v>2344</v>
      </c>
      <c r="D6359" t="s">
        <v>5025</v>
      </c>
      <c r="E6359" s="3" t="str">
        <f>HYPERLINK("https://www.amazon.com/Journeyman-T-Handle-Klein-Tools-JTH6E14/dp/B004ITSTL6/ref=sr_1_1?keywords=Klein+Tools+JTH6E14+5%2F16-Inch+Hex+Key+with+Journeyman+T-Handle%2C+6-Inch&amp;qid=1695173855&amp;sr=8-1", "https://www.amazon.com/Journeyman-T-Handle-Klein-Tools-JTH6E14/dp/B004ITSTL6/ref=sr_1_1?keywords=Klein+Tools+JTH6E14+5%2F16-Inch+Hex+Key+with+Journeyman+T-Handle%2C+6-Inch&amp;qid=1695173855&amp;sr=8-1")</f>
        <v>https://www.amazon.com/Journeyman-T-Handle-Klein-Tools-JTH6E14/dp/B004ITSTL6/ref=sr_1_1?keywords=Klein+Tools+JTH6E14+5%2F16-Inch+Hex+Key+with+Journeyman+T-Handle%2C+6-Inch&amp;qid=1695173855&amp;sr=8-1</v>
      </c>
      <c r="F6359" t="s">
        <v>5026</v>
      </c>
      <c r="G6359" t="e">
        <f ca="1">_xludf.IMAGE("https://edmondsonsupply.com/cdn/shop/products/jth6e15.jpg?v=1587148489")</f>
        <v>#NAME?</v>
      </c>
      <c r="H6359" t="e">
        <f ca="1">_xludf.IMAGE("https://m.media-amazon.com/images/I/51FYt5m7vZL._AC_UL320_.jpg")</f>
        <v>#NAME?</v>
      </c>
      <c r="I6359" t="s">
        <v>2347</v>
      </c>
      <c r="J6359">
        <v>6.49</v>
      </c>
      <c r="K6359" s="4">
        <v>-7.1499999999999994E-2</v>
      </c>
      <c r="L6359">
        <v>4.8</v>
      </c>
      <c r="M6359">
        <v>2479</v>
      </c>
      <c r="O6359" t="s">
        <v>25</v>
      </c>
      <c r="P6359" t="s">
        <v>1140</v>
      </c>
      <c r="Q6359" t="s">
        <v>2348</v>
      </c>
    </row>
    <row r="6360" spans="1:17" ht="15.5" x14ac:dyDescent="0.35">
      <c r="A6360" s="3" t="str">
        <f>HYPERLINK("https://edmondsonsupply.com/collections/electricians-tools/products/diablo-tools-dag", "https://edmondsonsupply.com/collections/electricians-tools/products/diablo-tools-dag")</f>
        <v>https://edmondsonsupply.com/collections/electricians-tools/products/diablo-tools-dag</v>
      </c>
      <c r="B6360" s="3" t="str">
        <f>HYPERLINK("https://edmondsonsupply.com/products/diablo-tools-dag", "https://edmondsonsupply.com/products/diablo-tools-dag")</f>
        <v>https://edmondsonsupply.com/products/diablo-tools-dag</v>
      </c>
      <c r="C6360" t="s">
        <v>6819</v>
      </c>
      <c r="D6360" t="s">
        <v>8476</v>
      </c>
      <c r="E6360" s="3" t="str">
        <f>HYPERLINK("https://www.amazon.com/Diablo-DAG3020-17-1-Auger-Bit/dp/B089LGWKFF/ref=sr_1_7?keywords=Diablo+Tools+DAG3010+3%2F8+in.+x+17-1%2F2+in.+Auger+Bit&amp;qid=1695174114&amp;sr=8-7", "https://www.amazon.com/Diablo-DAG3020-17-1-Auger-Bit/dp/B089LGWKFF/ref=sr_1_7?keywords=Diablo+Tools+DAG3010+3%2F8+in.+x+17-1%2F2+in.+Auger+Bit&amp;qid=1695174114&amp;sr=8-7")</f>
        <v>https://www.amazon.com/Diablo-DAG3020-17-1-Auger-Bit/dp/B089LGWKFF/ref=sr_1_7?keywords=Diablo+Tools+DAG3010+3%2F8+in.+x+17-1%2F2+in.+Auger+Bit&amp;qid=1695174114&amp;sr=8-7</v>
      </c>
      <c r="F6360" t="s">
        <v>8477</v>
      </c>
      <c r="G6360" t="e">
        <f ca="1">_xludf.IMAGE("https://edmondsonsupply.com/cdn/shop/products/xfctdbahz5wx3g461fm8.webp?v=1669991052")</f>
        <v>#NAME?</v>
      </c>
      <c r="H6360" t="e">
        <f ca="1">_xludf.IMAGE("https://m.media-amazon.com/images/I/61XUUNTev0L._AC_UL320_.jpg")</f>
        <v>#NAME?</v>
      </c>
      <c r="I6360" t="s">
        <v>5147</v>
      </c>
      <c r="J6360">
        <v>16.21</v>
      </c>
      <c r="K6360" s="4">
        <v>-7.2099999999999997E-2</v>
      </c>
      <c r="L6360">
        <v>5</v>
      </c>
      <c r="M6360">
        <v>2</v>
      </c>
      <c r="O6360" t="s">
        <v>25</v>
      </c>
      <c r="P6360" t="s">
        <v>6822</v>
      </c>
      <c r="Q6360" t="s">
        <v>6823</v>
      </c>
    </row>
    <row r="6361" spans="1:17" ht="15.5" x14ac:dyDescent="0.35">
      <c r="A6361" s="3" t="str">
        <f>HYPERLINK("https://edmondsonsupply.com/collections/electricians-tools/products/klein-tools-58888-12-pocket-tool-tote-with-shoulder-strap", "https://edmondsonsupply.com/collections/electricians-tools/products/klein-tools-58888-12-pocket-tool-tote-with-shoulder-strap")</f>
        <v>https://edmondsonsupply.com/collections/electricians-tools/products/klein-tools-58888-12-pocket-tool-tote-with-shoulder-strap</v>
      </c>
      <c r="B6361" s="3" t="str">
        <f>HYPERLINK("https://edmondsonsupply.com/products/klein-tools-58888-12-pocket-tool-tote-with-shoulder-strap", "https://edmondsonsupply.com/products/klein-tools-58888-12-pocket-tool-tote-with-shoulder-strap")</f>
        <v>https://edmondsonsupply.com/products/klein-tools-58888-12-pocket-tool-tote-with-shoulder-strap</v>
      </c>
      <c r="C6361" t="s">
        <v>445</v>
      </c>
      <c r="D6361" t="s">
        <v>670</v>
      </c>
      <c r="E6361" s="3" t="str">
        <f>HYPERLINK("https://www.amazon.com/Detachable-Shoulder-Klein-Tools-5102-14SP/dp/B007V8ZIG0/ref=sr_1_5?keywords=Klein+Tools+58888+12+Pocket+Tool+Tote+with+Shoulder+Strap&amp;qid=1695174176&amp;sr=8-5", "https://www.amazon.com/Detachable-Shoulder-Klein-Tools-5102-14SP/dp/B007V8ZIG0/ref=sr_1_5?keywords=Klein+Tools+58888+12+Pocket+Tool+Tote+with+Shoulder+Strap&amp;qid=1695174176&amp;sr=8-5")</f>
        <v>https://www.amazon.com/Detachable-Shoulder-Klein-Tools-5102-14SP/dp/B007V8ZIG0/ref=sr_1_5?keywords=Klein+Tools+58888+12+Pocket+Tool+Tote+with+Shoulder+Strap&amp;qid=1695174176&amp;sr=8-5</v>
      </c>
      <c r="F6361" t="s">
        <v>671</v>
      </c>
      <c r="G6361" t="e">
        <f ca="1">_xludf.IMAGE("https://edmondsonsupply.com/cdn/shop/products/58888.jpg?v=1660004615")</f>
        <v>#NAME?</v>
      </c>
      <c r="H6361" t="e">
        <f ca="1">_xludf.IMAGE("https://m.media-amazon.com/images/I/61IEFOdxt7L._AC_UL320_.jpg")</f>
        <v>#NAME?</v>
      </c>
      <c r="I6361" t="s">
        <v>448</v>
      </c>
      <c r="J6361">
        <v>76.989999999999995</v>
      </c>
      <c r="K6361" s="4">
        <v>-7.2300000000000003E-2</v>
      </c>
      <c r="L6361">
        <v>4.7</v>
      </c>
      <c r="M6361">
        <v>642</v>
      </c>
      <c r="O6361" t="s">
        <v>25</v>
      </c>
      <c r="P6361" t="s">
        <v>449</v>
      </c>
      <c r="Q6361" t="s">
        <v>450</v>
      </c>
    </row>
    <row r="6362" spans="1:17" ht="15.5" x14ac:dyDescent="0.35">
      <c r="A6362" s="3" t="str">
        <f>HYPERLINK("https://edmondsonsupply.com/collections/electricians-tools/products/diablo-tools-dhs0188dg-3-16-in-diamond-grit-hole-saws", "https://edmondsonsupply.com/collections/electricians-tools/products/diablo-tools-dhs0188dg-3-16-in-diamond-grit-hole-saws")</f>
        <v>https://edmondsonsupply.com/collections/electricians-tools/products/diablo-tools-dhs0188dg-3-16-in-diamond-grit-hole-saws</v>
      </c>
      <c r="B6362" s="3" t="str">
        <f>HYPERLINK("https://edmondsonsupply.com/products/diablo-tools-dhs0188dg-3-16-in-diamond-grit-hole-saws", "https://edmondsonsupply.com/products/diablo-tools-dhs0188dg-3-16-in-diamond-grit-hole-saws")</f>
        <v>https://edmondsonsupply.com/products/diablo-tools-dhs0188dg-3-16-in-diamond-grit-hole-saws</v>
      </c>
      <c r="C6362" t="s">
        <v>8478</v>
      </c>
      <c r="D6362" t="s">
        <v>8479</v>
      </c>
      <c r="E6362" s="3" t="str">
        <f>HYPERLINK("https://www.amazon.com/JINGLING-Diamond-Glass-Drill-Masonry/dp/B08FJBX9PD/ref=sr_1_6?keywords=Diablo+Tools+DHS0188DG+3%2F16+in.+Diamond+Grit+Hole+Saws&amp;qid=1695174109&amp;sr=8-6", "https://www.amazon.com/JINGLING-Diamond-Glass-Drill-Masonry/dp/B08FJBX9PD/ref=sr_1_6?keywords=Diablo+Tools+DHS0188DG+3%2F16+in.+Diamond+Grit+Hole+Saws&amp;qid=1695174109&amp;sr=8-6")</f>
        <v>https://www.amazon.com/JINGLING-Diamond-Glass-Drill-Masonry/dp/B08FJBX9PD/ref=sr_1_6?keywords=Diablo+Tools+DHS0188DG+3%2F16+in.+Diamond+Grit+Hole+Saws&amp;qid=1695174109&amp;sr=8-6</v>
      </c>
      <c r="F6362" t="s">
        <v>8480</v>
      </c>
      <c r="G6362" t="e">
        <f ca="1">_xludf.IMAGE("https://edmondsonsupply.com/cdn/shop/products/p5rk004y6neplsyvgnpq.webp?v=1670002824")</f>
        <v>#NAME?</v>
      </c>
      <c r="H6362" t="e">
        <f ca="1">_xludf.IMAGE("https://m.media-amazon.com/images/I/61tCqlBIdpL._AC_UL320_.jpg")</f>
        <v>#NAME?</v>
      </c>
      <c r="I6362" t="s">
        <v>865</v>
      </c>
      <c r="J6362">
        <v>11.99</v>
      </c>
      <c r="K6362" s="4">
        <v>-7.2700000000000001E-2</v>
      </c>
      <c r="L6362">
        <v>4.3</v>
      </c>
      <c r="M6362">
        <v>563</v>
      </c>
      <c r="O6362" t="s">
        <v>25</v>
      </c>
      <c r="P6362" t="s">
        <v>8481</v>
      </c>
      <c r="Q6362" t="s">
        <v>8482</v>
      </c>
    </row>
    <row r="6363" spans="1:17" ht="15.5" x14ac:dyDescent="0.35">
      <c r="A6363" s="3" t="str">
        <f>HYPERLINK("https://edmondsonsupply.com/collections/electricians-tools/products/milwaukee-2529-21xc-m12-fuel%E2%84%A2-compact-band-saw-kit", "https://edmondsonsupply.com/collections/electricians-tools/products/milwaukee-2529-21xc-m12-fuel%E2%84%A2-compact-band-saw-kit")</f>
        <v>https://edmondsonsupply.com/collections/electricians-tools/products/milwaukee-2529-21xc-m12-fuel%E2%84%A2-compact-band-saw-kit</v>
      </c>
      <c r="B6363" s="3" t="str">
        <f>HYPERLINK("https://edmondsonsupply.com/products/milwaukee-2529-21xc-m12-fuel%e2%84%a2-compact-band-saw-kit", "https://edmondsonsupply.com/products/milwaukee-2529-21xc-m12-fuel%e2%84%a2-compact-band-saw-kit")</f>
        <v>https://edmondsonsupply.com/products/milwaukee-2529-21xc-m12-fuel%e2%84%a2-compact-band-saw-kit</v>
      </c>
      <c r="C6363" t="s">
        <v>5027</v>
      </c>
      <c r="D6363" t="s">
        <v>5028</v>
      </c>
      <c r="E6363" s="3" t="str">
        <f>HYPERLINK("https://www.amazon.com/Milwaukee-2529-21XC-12-Volt-Lithium-Ion-Cordless/dp/B09MSRNQ3L/ref=sr_1_1?keywords=Milwaukee+2529-21XC+M12+FUEL%E2%84%A2+Compact+Band+Saw+Kit&amp;qid=1695173894&amp;sr=8-1", "https://www.amazon.com/Milwaukee-2529-21XC-12-Volt-Lithium-Ion-Cordless/dp/B09MSRNQ3L/ref=sr_1_1?keywords=Milwaukee+2529-21XC+M12+FUEL%E2%84%A2+Compact+Band+Saw+Kit&amp;qid=1695173894&amp;sr=8-1")</f>
        <v>https://www.amazon.com/Milwaukee-2529-21XC-12-Volt-Lithium-Ion-Cordless/dp/B09MSRNQ3L/ref=sr_1_1?keywords=Milwaukee+2529-21XC+M12+FUEL%E2%84%A2+Compact+Band+Saw+Kit&amp;qid=1695173894&amp;sr=8-1</v>
      </c>
      <c r="F6363" t="s">
        <v>5029</v>
      </c>
      <c r="G6363" t="e">
        <f ca="1">_xludf.IMAGE("https://edmondsonsupply.com/cdn/shop/files/2529-21XC_Kit.webp?v=1686234086")</f>
        <v>#NAME?</v>
      </c>
      <c r="H6363" t="e">
        <f ca="1">_xludf.IMAGE("https://m.media-amazon.com/images/I/81RfSgmbepL._AC_UL320_.jpg")</f>
        <v>#NAME?</v>
      </c>
      <c r="I6363" t="s">
        <v>5030</v>
      </c>
      <c r="J6363">
        <v>304.95</v>
      </c>
      <c r="K6363" s="4">
        <v>-7.3099999999999998E-2</v>
      </c>
      <c r="L6363">
        <v>4.7</v>
      </c>
      <c r="M6363">
        <v>40</v>
      </c>
      <c r="O6363" t="s">
        <v>25</v>
      </c>
      <c r="P6363" t="s">
        <v>5031</v>
      </c>
      <c r="Q6363" t="s">
        <v>5032</v>
      </c>
    </row>
    <row r="6364" spans="1:17" ht="15.5" x14ac:dyDescent="0.35">
      <c r="A6364"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6364" s="3" t="str">
        <f>HYPERLINK("https://edmondsonsupply.com/products/diablo-tools-d0760x-7-1-4-in-x-60-tooth-ultra-finish-saw-blade", "https://edmondsonsupply.com/products/diablo-tools-d0760x-7-1-4-in-x-60-tooth-ultra-finish-saw-blade")</f>
        <v>https://edmondsonsupply.com/products/diablo-tools-d0760x-7-1-4-in-x-60-tooth-ultra-finish-saw-blade</v>
      </c>
      <c r="C6364" t="s">
        <v>6011</v>
      </c>
      <c r="D6364" t="s">
        <v>7442</v>
      </c>
      <c r="E6364" s="3" t="str">
        <f>HYPERLINK("https://www.amazon.com/D0760A-Diablo-60-Tooth-Finishing-Circular/dp/B0062KI7BQ/ref=sr_1_5?keywords=Diablo+Tools+D0760X+7-1%2F4+in.+x+60+Tooth+Ultra+Finish+Saw+Blade&amp;qid=1695174054&amp;sr=8-5", "https://www.amazon.com/D0760A-Diablo-60-Tooth-Finishing-Circular/dp/B0062KI7BQ/ref=sr_1_5?keywords=Diablo+Tools+D0760X+7-1%2F4+in.+x+60+Tooth+Ultra+Finish+Saw+Blade&amp;qid=1695174054&amp;sr=8-5")</f>
        <v>https://www.amazon.com/D0760A-Diablo-60-Tooth-Finishing-Circular/dp/B0062KI7BQ/ref=sr_1_5?keywords=Diablo+Tools+D0760X+7-1%2F4+in.+x+60+Tooth+Ultra+Finish+Saw+Blade&amp;qid=1695174054&amp;sr=8-5</v>
      </c>
      <c r="F6364" t="s">
        <v>7443</v>
      </c>
      <c r="G6364" t="e">
        <f ca="1">_xludf.IMAGE("https://edmondsonsupply.com/cdn/shop/products/vlfiqrihhfwf5bxirasx.webp?v=1678977162")</f>
        <v>#NAME?</v>
      </c>
      <c r="H6364" t="e">
        <f ca="1">_xludf.IMAGE("https://m.media-amazon.com/images/I/71vYkbeqidL._AC_UL320_.jpg")</f>
        <v>#NAME?</v>
      </c>
      <c r="I6364" t="s">
        <v>893</v>
      </c>
      <c r="J6364">
        <v>18.5</v>
      </c>
      <c r="K6364" s="4">
        <v>-7.3599999999999999E-2</v>
      </c>
      <c r="L6364">
        <v>4.8</v>
      </c>
      <c r="M6364">
        <v>2928</v>
      </c>
      <c r="O6364" t="s">
        <v>25</v>
      </c>
      <c r="P6364" t="s">
        <v>6014</v>
      </c>
      <c r="Q6364" t="s">
        <v>6015</v>
      </c>
    </row>
    <row r="6365" spans="1:17" ht="15.5" x14ac:dyDescent="0.35">
      <c r="A6365" s="3" t="str">
        <f>HYPERLINK("https://edmondsonsupply.com/collections/electricians-tools/products/klein-tools-ncvt1xt-non-contact-voltage-tester-70-to-1000v-ac", "https://edmondsonsupply.com/collections/electricians-tools/products/klein-tools-ncvt1xt-non-contact-voltage-tester-70-to-1000v-ac")</f>
        <v>https://edmondsonsupply.com/collections/electricians-tools/products/klein-tools-ncvt1xt-non-contact-voltage-tester-70-to-1000v-ac</v>
      </c>
      <c r="B6365" s="3" t="str">
        <f>HYPERLINK("https://edmondsonsupply.com/products/klein-tools-ncvt1xt-non-contact-voltage-tester-70-to-1000v-ac", "https://edmondsonsupply.com/products/klein-tools-ncvt1xt-non-contact-voltage-tester-70-to-1000v-ac")</f>
        <v>https://edmondsonsupply.com/products/klein-tools-ncvt1xt-non-contact-voltage-tester-70-to-1000v-ac</v>
      </c>
      <c r="C6365" t="s">
        <v>6346</v>
      </c>
      <c r="D6365" t="s">
        <v>7063</v>
      </c>
      <c r="E6365" s="3" t="str">
        <f>HYPERLINK("https://www.amazon.com/Non-Contact-Detector-Klein-Tools-NCVT1P/dp/B099SJ6469/ref=sr_1_4?keywords=Klein+Tools+NCVT1XT+Non-Contact+Voltage+Tester%2C+70+to+1000V+AC&amp;qid=1695174075&amp;sr=8-4", "https://www.amazon.com/Non-Contact-Detector-Klein-Tools-NCVT1P/dp/B099SJ6469/ref=sr_1_4?keywords=Klein+Tools+NCVT1XT+Non-Contact+Voltage+Tester%2C+70+to+1000V+AC&amp;qid=1695174075&amp;sr=8-4")</f>
        <v>https://www.amazon.com/Non-Contact-Detector-Klein-Tools-NCVT1P/dp/B099SJ6469/ref=sr_1_4?keywords=Klein+Tools+NCVT1XT+Non-Contact+Voltage+Tester%2C+70+to+1000V+AC&amp;qid=1695174075&amp;sr=8-4</v>
      </c>
      <c r="F6365" t="s">
        <v>7064</v>
      </c>
      <c r="G6365" t="e">
        <f ca="1">_xludf.IMAGE("https://edmondsonsupply.com/cdn/shop/products/ncvt1xt.jpg?v=1674496568")</f>
        <v>#NAME?</v>
      </c>
      <c r="H6365" t="e">
        <f ca="1">_xludf.IMAGE("https://m.media-amazon.com/images/I/412nrsDmOxL._AC_UL320_.jpg")</f>
        <v>#NAME?</v>
      </c>
      <c r="I6365" t="s">
        <v>893</v>
      </c>
      <c r="J6365">
        <v>18.5</v>
      </c>
      <c r="K6365" s="4">
        <v>-7.3599999999999999E-2</v>
      </c>
      <c r="L6365">
        <v>4.5999999999999996</v>
      </c>
      <c r="M6365">
        <v>3435</v>
      </c>
      <c r="O6365" t="s">
        <v>25</v>
      </c>
      <c r="P6365" t="s">
        <v>6347</v>
      </c>
      <c r="Q6365" t="s">
        <v>6348</v>
      </c>
    </row>
    <row r="6366" spans="1:17" ht="15.5" x14ac:dyDescent="0.35">
      <c r="A6366" s="3" t="str">
        <f>HYPERLINK("https://edmondsonsupply.com/collections/electricians-tools/products/testo-0590-7701-770-1-hook-clamp-meter", "https://edmondsonsupply.com/collections/electricians-tools/products/testo-0590-7701-770-1-hook-clamp-meter")</f>
        <v>https://edmondsonsupply.com/collections/electricians-tools/products/testo-0590-7701-770-1-hook-clamp-meter</v>
      </c>
      <c r="B6366" s="3" t="str">
        <f>HYPERLINK("https://edmondsonsupply.com/products/testo-0590-7701-770-1-hook-clamp-meter", "https://edmondsonsupply.com/products/testo-0590-7701-770-1-hook-clamp-meter")</f>
        <v>https://edmondsonsupply.com/products/testo-0590-7701-770-1-hook-clamp-meter</v>
      </c>
      <c r="C6366" t="s">
        <v>5033</v>
      </c>
      <c r="D6366" t="s">
        <v>5034</v>
      </c>
      <c r="E6366" s="3" t="str">
        <f>HYPERLINK("https://www.amazon.com/Testo-770-1-Hook-Clamp-Digital-Multimeter/dp/B01F3MPN9M/ref=sr_1_1?keywords=Testo+0590+7701+770-1+-+Hook+clamp+meter&amp;qid=1695173989&amp;sr=8-1", "https://www.amazon.com/Testo-770-1-Hook-Clamp-Digital-Multimeter/dp/B01F3MPN9M/ref=sr_1_1?keywords=Testo+0590+7701+770-1+-+Hook+clamp+meter&amp;qid=1695173989&amp;sr=8-1")</f>
        <v>https://www.amazon.com/Testo-770-1-Hook-Clamp-Digital-Multimeter/dp/B01F3MPN9M/ref=sr_1_1?keywords=Testo+0590+7701+770-1+-+Hook+clamp+meter&amp;qid=1695173989&amp;sr=8-1</v>
      </c>
      <c r="F6366" t="s">
        <v>5035</v>
      </c>
      <c r="G6366" t="e">
        <f ca="1">_xludf.IMAGE("https://edmondsonsupply.com/cdn/shop/files/testo-770-1-11A-p-in-oth-005899_master.jpg?v=1688162964")</f>
        <v>#NAME?</v>
      </c>
      <c r="H6366" t="e">
        <f ca="1">_xludf.IMAGE("https://m.media-amazon.com/images/I/819sWSnbh4L._AC_UY218_.jpg")</f>
        <v>#NAME?</v>
      </c>
      <c r="I6366" t="s">
        <v>5036</v>
      </c>
      <c r="J6366">
        <v>184.84</v>
      </c>
      <c r="K6366" s="4">
        <v>-7.4300000000000005E-2</v>
      </c>
      <c r="L6366">
        <v>4.4000000000000004</v>
      </c>
      <c r="M6366">
        <v>23</v>
      </c>
      <c r="O6366" t="s">
        <v>25</v>
      </c>
      <c r="P6366" t="s">
        <v>5037</v>
      </c>
      <c r="Q6366" t="s">
        <v>5038</v>
      </c>
    </row>
    <row r="6367" spans="1:17" ht="15.5" x14ac:dyDescent="0.35">
      <c r="A6367" s="3" t="str">
        <f>HYPERLINK("https://edmondsonsupply.com/collections/electricians-tools/products/klein-tools-1010-long-nose-multi-purpose-tool", "https://edmondsonsupply.com/collections/electricians-tools/products/klein-tools-1010-long-nose-multi-purpose-tool")</f>
        <v>https://edmondsonsupply.com/collections/electricians-tools/products/klein-tools-1010-long-nose-multi-purpose-tool</v>
      </c>
      <c r="B6367" s="3" t="str">
        <f>HYPERLINK("https://edmondsonsupply.com/products/klein-tools-1010-long-nose-multi-purpose-tool", "https://edmondsonsupply.com/products/klein-tools-1010-long-nose-multi-purpose-tool")</f>
        <v>https://edmondsonsupply.com/products/klein-tools-1010-long-nose-multi-purpose-tool</v>
      </c>
      <c r="C6367" t="s">
        <v>5322</v>
      </c>
      <c r="D6367" t="s">
        <v>4166</v>
      </c>
      <c r="E6367" s="3" t="str">
        <f>HYPERLINK("https://www.amazon.com/Klein-Tools-1010-Crimper-Stripper/dp/B0000302WX/ref=sr_1_1?keywords=Klein+Tools+1010+Long+Nose+Multi+Tool+Wire+Stripper%2C+Wire+Cutters%2C+Crimping+Tool&amp;qid=1695173933&amp;sr=8-1", "https://www.amazon.com/Klein-Tools-1010-Crimper-Stripper/dp/B0000302WX/ref=sr_1_1?keywords=Klein+Tools+1010+Long+Nose+Multi+Tool+Wire+Stripper%2C+Wire+Cutters%2C+Crimping+Tool&amp;qid=1695173933&amp;sr=8-1")</f>
        <v>https://www.amazon.com/Klein-Tools-1010-Crimper-Stripper/dp/B0000302WX/ref=sr_1_1?keywords=Klein+Tools+1010+Long+Nose+Multi+Tool+Wire+Stripper%2C+Wire+Cutters%2C+Crimping+Tool&amp;qid=1695173933&amp;sr=8-1</v>
      </c>
      <c r="F6367" t="s">
        <v>4167</v>
      </c>
      <c r="G6367" t="e">
        <f ca="1">_xludf.IMAGE("https://edmondsonsupply.com/cdn/shop/products/1010.jpg?v=1587145604")</f>
        <v>#NAME?</v>
      </c>
      <c r="H6367" t="e">
        <f ca="1">_xludf.IMAGE("https://m.media-amazon.com/images/I/51hS7c2qzvL._AC_UL320_.jpg")</f>
        <v>#NAME?</v>
      </c>
      <c r="I6367" t="s">
        <v>859</v>
      </c>
      <c r="J6367">
        <v>23.11</v>
      </c>
      <c r="K6367" s="4">
        <v>-7.4499999999999997E-2</v>
      </c>
      <c r="L6367">
        <v>4.8</v>
      </c>
      <c r="M6367">
        <v>1507</v>
      </c>
      <c r="O6367" t="s">
        <v>25</v>
      </c>
      <c r="P6367" t="s">
        <v>5325</v>
      </c>
      <c r="Q6367" t="s">
        <v>5326</v>
      </c>
    </row>
    <row r="6368" spans="1:17" ht="15.5" x14ac:dyDescent="0.35">
      <c r="A6368" s="3" t="str">
        <f>HYPERLINK("https://edmondsonsupply.com/collections/electricians-tools/products/reed-mfg-dhr12-1-1-2npt-r12-drophead-1-1-2-npt", "https://edmondsonsupply.com/collections/electricians-tools/products/reed-mfg-dhr12-1-1-2npt-r12-drophead-1-1-2-npt")</f>
        <v>https://edmondsonsupply.com/collections/electricians-tools/products/reed-mfg-dhr12-1-1-2npt-r12-drophead-1-1-2-npt</v>
      </c>
      <c r="B6368" s="3" t="str">
        <f>HYPERLINK("https://edmondsonsupply.com/products/reed-mfg-dhr12-1-1-2npt-r12-drophead-1-1-2-npt", "https://edmondsonsupply.com/products/reed-mfg-dhr12-1-1-2npt-r12-drophead-1-1-2-npt")</f>
        <v>https://edmondsonsupply.com/products/reed-mfg-dhr12-1-1-2npt-r12-drophead-1-1-2-npt</v>
      </c>
      <c r="C6368" t="s">
        <v>7847</v>
      </c>
      <c r="D6368" t="s">
        <v>4385</v>
      </c>
      <c r="E6368" s="3" t="str">
        <f>HYPERLINK("https://www.amazon.com/Reed-Tool-DHR12-1NPT-Drophead/dp/B000ZGZ0PY/ref=sr_1_fkmr0_1?keywords=Reed+Mfg+DHR12+1+1%2F2NPT+R12%2B+Drophead%2C+1-1%2F2%22+NPT&amp;qid=1695174267&amp;sr=8-1-fkmr0", "https://www.amazon.com/Reed-Tool-DHR12-1NPT-Drophead/dp/B000ZGZ0PY/ref=sr_1_fkmr0_1?keywords=Reed+Mfg+DHR12+1+1%2F2NPT+R12%2B+Drophead%2C+1-1%2F2%22+NPT&amp;qid=1695174267&amp;sr=8-1-fkmr0")</f>
        <v>https://www.amazon.com/Reed-Tool-DHR12-1NPT-Drophead/dp/B000ZGZ0PY/ref=sr_1_fkmr0_1?keywords=Reed+Mfg+DHR12+1+1%2F2NPT+R12%2B+Drophead%2C+1-1%2F2%22+NPT&amp;qid=1695174267&amp;sr=8-1-fkmr0</v>
      </c>
      <c r="F6368" t="s">
        <v>4386</v>
      </c>
      <c r="G6368" t="e">
        <f ca="1">_xludf.IMAGE("https://edmondsonsupply.com/cdn/shop/products/57_1_43919434-23d1-4a38-ae34-862e7aaca453.jpg?v=1633031013")</f>
        <v>#NAME?</v>
      </c>
      <c r="H6368" t="e">
        <f ca="1">_xludf.IMAGE("https://m.media-amazon.com/images/I/61ePWvUMWkL._AC_UY218_.jpg")</f>
        <v>#NAME?</v>
      </c>
      <c r="I6368" t="s">
        <v>7848</v>
      </c>
      <c r="J6368">
        <v>157.93</v>
      </c>
      <c r="K6368" s="4">
        <v>-7.4800000000000005E-2</v>
      </c>
      <c r="L6368">
        <v>1</v>
      </c>
      <c r="M6368">
        <v>1</v>
      </c>
      <c r="O6368" t="s">
        <v>25</v>
      </c>
      <c r="P6368" t="s">
        <v>7849</v>
      </c>
      <c r="Q6368" t="s">
        <v>7850</v>
      </c>
    </row>
    <row r="6369" spans="1:17" ht="15.5" x14ac:dyDescent="0.35">
      <c r="A6369"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6369" s="3" t="str">
        <f>HYPERLINK("https://edmondsonsupply.com/products/klein-tools-d2000-9ne-linemans-pliers-9-inch", "https://edmondsonsupply.com/products/klein-tools-d2000-9ne-linemans-pliers-9-inch")</f>
        <v>https://edmondsonsupply.com/products/klein-tools-d2000-9ne-linemans-pliers-9-inch</v>
      </c>
      <c r="C6369" t="s">
        <v>6770</v>
      </c>
      <c r="D6369" t="s">
        <v>8483</v>
      </c>
      <c r="E6369" s="3" t="str">
        <f>HYPERLINK("https://www.amazon.com/Klein-Tools-D213-9-Linemans-Square/dp/B000LNK3OY/ref=sr_1_10?keywords=Klein+Tools+D2000-9NE+Linemans+Pliers%2C+9-Inch&amp;qid=1695174298&amp;sr=8-10", "https://www.amazon.com/Klein-Tools-D213-9-Linemans-Square/dp/B000LNK3OY/ref=sr_1_10?keywords=Klein+Tools+D2000-9NE+Linemans+Pliers%2C+9-Inch&amp;qid=1695174298&amp;sr=8-10")</f>
        <v>https://www.amazon.com/Klein-Tools-D213-9-Linemans-Square/dp/B000LNK3OY/ref=sr_1_10?keywords=Klein+Tools+D2000-9NE+Linemans+Pliers%2C+9-Inch&amp;qid=1695174298&amp;sr=8-10</v>
      </c>
      <c r="F6369" t="s">
        <v>8484</v>
      </c>
      <c r="G6369" t="e">
        <f ca="1">_xludf.IMAGE("https://edmondsonsupply.com/cdn/shop/products/d20009ne.jpg?v=1633030816")</f>
        <v>#NAME?</v>
      </c>
      <c r="H6369" t="e">
        <f ca="1">_xludf.IMAGE("https://m.media-amazon.com/images/I/51Z5USetZ4L._AC_UL320_.jpg")</f>
        <v>#NAME?</v>
      </c>
      <c r="I6369" t="s">
        <v>198</v>
      </c>
      <c r="J6369">
        <v>36.99</v>
      </c>
      <c r="K6369" s="4">
        <v>-7.4999999999999997E-2</v>
      </c>
      <c r="L6369">
        <v>4.5999999999999996</v>
      </c>
      <c r="M6369">
        <v>176</v>
      </c>
      <c r="O6369" t="s">
        <v>25</v>
      </c>
      <c r="P6369" t="s">
        <v>6773</v>
      </c>
      <c r="Q6369" t="s">
        <v>6774</v>
      </c>
    </row>
    <row r="6370" spans="1:17" ht="15.5" x14ac:dyDescent="0.35">
      <c r="A6370" s="3" t="str">
        <f>HYPERLINK("https://edmondsonsupply.com/collections/electricians-tools/products/klein-tools-6986ins-slim-tip-1000v-insulated-screwdriver-1-square-6-inch-round-shank", "https://edmondsonsupply.com/collections/electricians-tools/products/klein-tools-6986ins-slim-tip-1000v-insulated-screwdriver-1-square-6-inch-round-shank")</f>
        <v>https://edmondsonsupply.com/collections/electricians-tools/products/klein-tools-6986ins-slim-tip-1000v-insulated-screwdriver-1-square-6-inch-round-shank</v>
      </c>
      <c r="B6370" s="3" t="str">
        <f>HYPERLINK("https://edmondsonsupply.com/products/klein-tools-6986ins-slim-tip-1000v-insulated-screwdriver-1-square-6-inch-round-shank", "https://edmondsonsupply.com/products/klein-tools-6986ins-slim-tip-1000v-insulated-screwdriver-1-square-6-inch-round-shank")</f>
        <v>https://edmondsonsupply.com/products/klein-tools-6986ins-slim-tip-1000v-insulated-screwdriver-1-square-6-inch-round-shank</v>
      </c>
      <c r="C6370" t="s">
        <v>8213</v>
      </c>
      <c r="D6370" t="s">
        <v>3216</v>
      </c>
      <c r="E6370" s="3" t="str">
        <f>HYPERLINK("https://www.amazon.com/Klein-Tools-6916INS-Insulated-Screwdriver/dp/B089DR97MJ/ref=sr_1_2?keywords=Klein+Tools+6986INS+Slim-Tip+1000V+Insulated+Screwdriver%2C&amp;qid=1695174143&amp;sr=8-2", "https://www.amazon.com/Klein-Tools-6916INS-Insulated-Screwdriver/dp/B089DR97MJ/ref=sr_1_2?keywords=Klein+Tools+6986INS+Slim-Tip+1000V+Insulated+Screwdriver%2C&amp;qid=1695174143&amp;sr=8-2")</f>
        <v>https://www.amazon.com/Klein-Tools-6916INS-Insulated-Screwdriver/dp/B089DR97MJ/ref=sr_1_2?keywords=Klein+Tools+6986INS+Slim-Tip+1000V+Insulated+Screwdriver%2C&amp;qid=1695174143&amp;sr=8-2</v>
      </c>
      <c r="F6370" t="s">
        <v>3217</v>
      </c>
      <c r="G6370" t="e">
        <f ca="1">_xludf.IMAGE("https://edmondsonsupply.com/cdn/shop/products/6986ins.jpg?v=1664806830")</f>
        <v>#NAME?</v>
      </c>
      <c r="H6370" t="e">
        <f ca="1">_xludf.IMAGE("https://m.media-amazon.com/images/I/41JpJG+Jh0L._AC_UL320_.jpg")</f>
        <v>#NAME?</v>
      </c>
      <c r="I6370" t="s">
        <v>276</v>
      </c>
      <c r="J6370">
        <v>13.85</v>
      </c>
      <c r="K6370" s="4">
        <v>-7.6100000000000001E-2</v>
      </c>
      <c r="L6370">
        <v>4.8</v>
      </c>
      <c r="M6370">
        <v>1361</v>
      </c>
      <c r="O6370" t="s">
        <v>25</v>
      </c>
      <c r="P6370" t="s">
        <v>277</v>
      </c>
      <c r="Q6370" t="s">
        <v>8214</v>
      </c>
    </row>
    <row r="6371" spans="1:17" ht="15.5" x14ac:dyDescent="0.35">
      <c r="A6371"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6371"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6371" t="s">
        <v>6076</v>
      </c>
      <c r="D6371" t="s">
        <v>3216</v>
      </c>
      <c r="E6371" s="3" t="str">
        <f>HYPERLINK("https://www.amazon.com/Klein-Tools-6916INS-Insulated-Screwdriver/dp/B089DR97MJ/ref=sr_1_2?keywords=Klein+Tools+6926INS+Slim-Tip+1000V+Insulated+Screwdriver%2C+1%2F4-Inch+Cabinet%2C+6-Inch&amp;qid=1695174185&amp;sr=8-2", "https://www.amazon.com/Klein-Tools-6916INS-Insulated-Screwdriver/dp/B089DR97MJ/ref=sr_1_2?keywords=Klein+Tools+6926INS+Slim-Tip+1000V+Insulated+Screwdriver%2C+1%2F4-Inch+Cabinet%2C+6-Inch&amp;qid=1695174185&amp;sr=8-2")</f>
        <v>https://www.amazon.com/Klein-Tools-6916INS-Insulated-Screwdriver/dp/B089DR97MJ/ref=sr_1_2?keywords=Klein+Tools+6926INS+Slim-Tip+1000V+Insulated+Screwdriver%2C+1%2F4-Inch+Cabinet%2C+6-Inch&amp;qid=1695174185&amp;sr=8-2</v>
      </c>
      <c r="F6371" t="s">
        <v>3217</v>
      </c>
      <c r="G6371" t="e">
        <f ca="1">_xludf.IMAGE("https://edmondsonsupply.com/cdn/shop/products/6926ins.jpg?v=1664803626")</f>
        <v>#NAME?</v>
      </c>
      <c r="H6371" t="e">
        <f ca="1">_xludf.IMAGE("https://m.media-amazon.com/images/I/41JpJG+Jh0L._AC_UL320_.jpg")</f>
        <v>#NAME?</v>
      </c>
      <c r="I6371" t="s">
        <v>276</v>
      </c>
      <c r="J6371">
        <v>13.85</v>
      </c>
      <c r="K6371" s="4">
        <v>-7.6100000000000001E-2</v>
      </c>
      <c r="L6371">
        <v>4.8</v>
      </c>
      <c r="M6371">
        <v>1361</v>
      </c>
      <c r="O6371" t="s">
        <v>25</v>
      </c>
      <c r="P6371" t="s">
        <v>277</v>
      </c>
      <c r="Q6371" t="s">
        <v>6079</v>
      </c>
    </row>
    <row r="6372" spans="1:17" ht="15.5" x14ac:dyDescent="0.35">
      <c r="A6372"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6372" s="3" t="str">
        <f>HYPERLINK("https://edmondsonsupply.com/products/klein-tools-jth4e17-1-2-inch-hex-key-journeyman-t-handle-4-inch", "https://edmondsonsupply.com/products/klein-tools-jth4e17-1-2-inch-hex-key-journeyman-t-handle-4-inch")</f>
        <v>https://edmondsonsupply.com/products/klein-tools-jth4e17-1-2-inch-hex-key-journeyman-t-handle-4-inch</v>
      </c>
      <c r="C6372" t="s">
        <v>2385</v>
      </c>
      <c r="D6372" t="s">
        <v>5039</v>
      </c>
      <c r="E6372" s="3" t="str">
        <f>HYPERLINK("https://www.amazon.com/Journeyman-T-Handle-Klein-Tools-JTH4E11/dp/B004ITQHXI/ref=sr_1_1?keywords=Klein+Tools+JTH4E11+3%2F16-Inch+Hex+Key+with+Journeyman+T-Handle%2C+4-Inch&amp;qid=1695173897&amp;sr=8-1", "https://www.amazon.com/Journeyman-T-Handle-Klein-Tools-JTH4E11/dp/B004ITQHXI/ref=sr_1_1?keywords=Klein+Tools+JTH4E11+3%2F16-Inch+Hex+Key+with+Journeyman+T-Handle%2C+4-Inch&amp;qid=1695173897&amp;sr=8-1")</f>
        <v>https://www.amazon.com/Journeyman-T-Handle-Klein-Tools-JTH4E11/dp/B004ITQHXI/ref=sr_1_1?keywords=Klein+Tools+JTH4E11+3%2F16-Inch+Hex+Key+with+Journeyman+T-Handle%2C+4-Inch&amp;qid=1695173897&amp;sr=8-1</v>
      </c>
      <c r="F6372" t="s">
        <v>5040</v>
      </c>
      <c r="G6372" t="e">
        <f ca="1">_xludf.IMAGE("https://edmondsonsupply.com/cdn/shop/products/jth4e17.jpg?v=1587144836")</f>
        <v>#NAME?</v>
      </c>
      <c r="H6372" t="e">
        <f ca="1">_xludf.IMAGE("https://m.media-amazon.com/images/I/51Yb8h41vLL._AC_UL320_.jpg")</f>
        <v>#NAME?</v>
      </c>
      <c r="I6372" t="s">
        <v>2388</v>
      </c>
      <c r="J6372">
        <v>4.6100000000000003</v>
      </c>
      <c r="K6372" s="4">
        <v>-7.6200000000000004E-2</v>
      </c>
      <c r="L6372">
        <v>4.8</v>
      </c>
      <c r="M6372">
        <v>2479</v>
      </c>
      <c r="O6372" t="s">
        <v>25</v>
      </c>
      <c r="P6372" t="s">
        <v>2389</v>
      </c>
      <c r="Q6372" t="s">
        <v>2390</v>
      </c>
    </row>
    <row r="6373" spans="1:17" ht="15.5" x14ac:dyDescent="0.35">
      <c r="A6373" s="3" t="str">
        <f>HYPERLINK("https://edmondsonsupply.com/collections/electricians-tools/products/milwaukee-49-56-0233-4-1-2-hole-dozer%E2%84%A2-hole-saw-bi-metal-cup", "https://edmondsonsupply.com/collections/electricians-tools/products/milwaukee-49-56-0233-4-1-2-hole-dozer%E2%84%A2-hole-saw-bi-metal-cup")</f>
        <v>https://edmondsonsupply.com/collections/electricians-tools/products/milwaukee-49-56-0233-4-1-2-hole-dozer%E2%84%A2-hole-saw-bi-metal-cup</v>
      </c>
      <c r="B6373" s="3" t="str">
        <f>HYPERLINK("https://edmondsonsupply.com/products/milwaukee-49-56-0233-4-1-2-hole-dozer%e2%84%a2-hole-saw-bi-metal-cup", "https://edmondsonsupply.com/products/milwaukee-49-56-0233-4-1-2-hole-dozer%e2%84%a2-hole-saw-bi-metal-cup")</f>
        <v>https://edmondsonsupply.com/products/milwaukee-49-56-0233-4-1-2-hole-dozer%e2%84%a2-hole-saw-bi-metal-cup</v>
      </c>
      <c r="C6373" t="s">
        <v>8485</v>
      </c>
      <c r="D6373" t="s">
        <v>6189</v>
      </c>
      <c r="E6373" s="3" t="str">
        <f>HYPERLINK("https://www.amazon.com/Milwaukee-49-56-0233-2-Inch-Hardened-Hole/dp/B0017WPX5M/ref=sr_1_1?keywords=Milwaukee+49-56-0233+4-1%2F2%22+HOLE+DOZER%E2%84%A2+Hole+Saw+Bi-Metal+Cup&amp;qid=1695174061&amp;sr=8-1", "https://www.amazon.com/Milwaukee-49-56-0233-2-Inch-Hardened-Hole/dp/B0017WPX5M/ref=sr_1_1?keywords=Milwaukee+49-56-0233+4-1%2F2%22+HOLE+DOZER%E2%84%A2+Hole+Saw+Bi-Metal+Cup&amp;qid=1695174061&amp;sr=8-1")</f>
        <v>https://www.amazon.com/Milwaukee-49-56-0233-2-Inch-Hardened-Hole/dp/B0017WPX5M/ref=sr_1_1?keywords=Milwaukee+49-56-0233+4-1%2F2%22+HOLE+DOZER%E2%84%A2+Hole+Saw+Bi-Metal+Cup&amp;qid=1695174061&amp;sr=8-1</v>
      </c>
      <c r="F6373" t="s">
        <v>6190</v>
      </c>
      <c r="G6373" t="e">
        <f ca="1">_xludf.IMAGE("https://edmondsonsupply.com/cdn/shop/products/49-56-0052_101_1.webp?v=1678909204")</f>
        <v>#NAME?</v>
      </c>
      <c r="H6373" t="e">
        <f ca="1">_xludf.IMAGE("https://m.media-amazon.com/images/I/513LvIL5ILL._AC_UL320_.jpg")</f>
        <v>#NAME?</v>
      </c>
      <c r="I6373" t="s">
        <v>6282</v>
      </c>
      <c r="J6373">
        <v>29.99</v>
      </c>
      <c r="K6373" s="4">
        <v>-7.6899999999999996E-2</v>
      </c>
      <c r="L6373">
        <v>4.8</v>
      </c>
      <c r="M6373">
        <v>201</v>
      </c>
      <c r="O6373" t="s">
        <v>25</v>
      </c>
      <c r="P6373" t="s">
        <v>8486</v>
      </c>
      <c r="Q6373" t="s">
        <v>8487</v>
      </c>
    </row>
    <row r="6374" spans="1:17" ht="15.5" x14ac:dyDescent="0.35">
      <c r="A6374" s="3" t="str">
        <f>HYPERLINK("https://edmondsonsupply.com/collections/electricians-tools/products/wiha-tools-70298-7-piece-terminatorblue-impact-bit-set-2-inch-bits", "https://edmondsonsupply.com/collections/electricians-tools/products/wiha-tools-70298-7-piece-terminatorblue-impact-bit-set-2-inch-bits")</f>
        <v>https://edmondsonsupply.com/collections/electricians-tools/products/wiha-tools-70298-7-piece-terminatorblue-impact-bit-set-2-inch-bits</v>
      </c>
      <c r="B6374" s="3" t="str">
        <f>HYPERLINK("https://edmondsonsupply.com/products/wiha-tools-70298-7-piece-terminatorblue-impact-bit-set-2-inch-bits", "https://edmondsonsupply.com/products/wiha-tools-70298-7-piece-terminatorblue-impact-bit-set-2-inch-bits")</f>
        <v>https://edmondsonsupply.com/products/wiha-tools-70298-7-piece-terminatorblue-impact-bit-set-2-inch-bits</v>
      </c>
      <c r="C6374" t="s">
        <v>5041</v>
      </c>
      <c r="D6374" t="s">
        <v>5042</v>
      </c>
      <c r="E6374" s="3" t="str">
        <f>HYPERLINK("https://www.amazon.com/Wiha-Piece-TerminatorBlue-Impact-Bit/dp/B09FY9LM36/ref=sr_1_1?keywords=Wiha+Tools+70298+7+Piece+TerminatorBlue+Impact+Bit+Set+-+2+Inch+Bits&amp;qid=1695173986&amp;sr=8-1", "https://www.amazon.com/Wiha-Piece-TerminatorBlue-Impact-Bit/dp/B09FY9LM36/ref=sr_1_1?keywords=Wiha+Tools+70298+7+Piece+TerminatorBlue+Impact+Bit+Set+-+2+Inch+Bits&amp;qid=1695173986&amp;sr=8-1")</f>
        <v>https://www.amazon.com/Wiha-Piece-TerminatorBlue-Impact-Bit/dp/B09FY9LM36/ref=sr_1_1?keywords=Wiha+Tools+70298+7+Piece+TerminatorBlue+Impact+Bit+Set+-+2+Inch+Bits&amp;qid=1695173986&amp;sr=8-1</v>
      </c>
      <c r="F6374" t="s">
        <v>5043</v>
      </c>
      <c r="G6374" t="e">
        <f ca="1">_xludf.IMAGE("https://edmondsonsupply.com/cdn/shop/files/w6xdetv6bgqvrnalnaur_700x_fa994d71-03a0-405a-b336-3bdc4084c0da.webp?v=1690922757")</f>
        <v>#NAME?</v>
      </c>
      <c r="H6374" t="e">
        <f ca="1">_xludf.IMAGE("https://m.media-amazon.com/images/I/41A4BvIv4SL._AC_UL320_.jpg")</f>
        <v>#NAME?</v>
      </c>
      <c r="I6374" t="s">
        <v>834</v>
      </c>
      <c r="J6374">
        <v>11.99</v>
      </c>
      <c r="K6374" s="4">
        <v>-7.6999999999999999E-2</v>
      </c>
      <c r="L6374">
        <v>5</v>
      </c>
      <c r="M6374">
        <v>4</v>
      </c>
      <c r="O6374" t="s">
        <v>25</v>
      </c>
      <c r="P6374" t="s">
        <v>5044</v>
      </c>
      <c r="Q6374" t="s">
        <v>5045</v>
      </c>
    </row>
    <row r="6375" spans="1:17" ht="15.5" x14ac:dyDescent="0.35">
      <c r="A6375" s="3" t="str">
        <f>HYPERLINK("https://edmondsonsupply.com/collections/electricians-tools/products/klein-tools-d213-9neth-linemans-bolt-thread-holding-pliers-9-inch", "https://edmondsonsupply.com/collections/electricians-tools/products/klein-tools-d213-9neth-linemans-bolt-thread-holding-pliers-9-inch")</f>
        <v>https://edmondsonsupply.com/collections/electricians-tools/products/klein-tools-d213-9neth-linemans-bolt-thread-holding-pliers-9-inch</v>
      </c>
      <c r="B6375" s="3" t="str">
        <f>HYPERLINK("https://edmondsonsupply.com/products/klein-tools-d213-9neth-linemans-bolt-thread-holding-pliers-9-inch", "https://edmondsonsupply.com/products/klein-tools-d213-9neth-linemans-bolt-thread-holding-pliers-9-inch")</f>
        <v>https://edmondsonsupply.com/products/klein-tools-d213-9neth-linemans-bolt-thread-holding-pliers-9-inch</v>
      </c>
      <c r="C6375" t="s">
        <v>7579</v>
      </c>
      <c r="D6375" t="s">
        <v>8488</v>
      </c>
      <c r="E6375" s="3" t="str">
        <f>HYPERLINK("https://www.amazon.com/Linemans-Bolt-Thread-Klein-Tools-D213-9NETH/dp/B0002RI9LI/ref=sr_1_1?keywords=Klein+Tools+D213-9NETH+Lineman%27s+Bolt-Thread+Holding+Pliers%2C+9-Inch&amp;qid=1695174304&amp;sr=8-1", "https://www.amazon.com/Linemans-Bolt-Thread-Klein-Tools-D213-9NETH/dp/B0002RI9LI/ref=sr_1_1?keywords=Klein+Tools+D213-9NETH+Lineman%27s+Bolt-Thread+Holding+Pliers%2C+9-Inch&amp;qid=1695174304&amp;sr=8-1")</f>
        <v>https://www.amazon.com/Linemans-Bolt-Thread-Klein-Tools-D213-9NETH/dp/B0002RI9LI/ref=sr_1_1?keywords=Klein+Tools+D213-9NETH+Lineman%27s+Bolt-Thread+Holding+Pliers%2C+9-Inch&amp;qid=1695174304&amp;sr=8-1</v>
      </c>
      <c r="F6375" t="s">
        <v>8489</v>
      </c>
      <c r="G6375" t="e">
        <f ca="1">_xludf.IMAGE("https://edmondsonsupply.com/cdn/shop/products/d2139neth.jpg?v=1633030817")</f>
        <v>#NAME?</v>
      </c>
      <c r="H6375" t="e">
        <f ca="1">_xludf.IMAGE("https://m.media-amazon.com/images/I/41zLBRo7-aL._AC_UL320_.jpg")</f>
        <v>#NAME?</v>
      </c>
      <c r="I6375" t="s">
        <v>198</v>
      </c>
      <c r="J6375">
        <v>36.9</v>
      </c>
      <c r="K6375" s="4">
        <v>-7.7299999999999994E-2</v>
      </c>
      <c r="L6375">
        <v>4.8</v>
      </c>
      <c r="M6375">
        <v>4121</v>
      </c>
      <c r="O6375" t="s">
        <v>25</v>
      </c>
      <c r="P6375" t="s">
        <v>1310</v>
      </c>
      <c r="Q6375" t="s">
        <v>7582</v>
      </c>
    </row>
    <row r="6376" spans="1:17" ht="15.5" x14ac:dyDescent="0.35">
      <c r="A6376" s="3" t="str">
        <f>HYPERLINK("https://edmondsonsupply.com/collections/electricians-tools/products/diablo-tools-dou3bs-3-pc-universal-fit-bi-metal-oscillating-blade-set", "https://edmondsonsupply.com/collections/electricians-tools/products/diablo-tools-dou3bs-3-pc-universal-fit-bi-metal-oscillating-blade-set")</f>
        <v>https://edmondsonsupply.com/collections/electricians-tools/products/diablo-tools-dou3bs-3-pc-universal-fit-bi-metal-oscillating-blade-set</v>
      </c>
      <c r="B6376" s="3" t="str">
        <f>HYPERLINK("https://edmondsonsupply.com/products/diablo-tools-dou3bs-3-pc-universal-fit-bi-metal-oscillating-blade-set", "https://edmondsonsupply.com/products/diablo-tools-dou3bs-3-pc-universal-fit-bi-metal-oscillating-blade-set")</f>
        <v>https://edmondsonsupply.com/products/diablo-tools-dou3bs-3-pc-universal-fit-bi-metal-oscillating-blade-set</v>
      </c>
      <c r="C6376" t="s">
        <v>8490</v>
      </c>
      <c r="D6376" t="s">
        <v>8491</v>
      </c>
      <c r="E6376" s="3" t="str">
        <f>HYPERLINK("https://www.amazon.com/Diablo-Freud-DOU3CS-Universal-Oscillating/dp/B089LLB6C4/ref=sr_1_2?keywords=Diablo+Tools+DOU3BS+3+pc+Universal+Fit+Bi-Metal+Oscillating+Blade+Set&amp;qid=1695174049&amp;sr=8-2", "https://www.amazon.com/Diablo-Freud-DOU3CS-Universal-Oscillating/dp/B089LLB6C4/ref=sr_1_2?keywords=Diablo+Tools+DOU3BS+3+pc+Universal+Fit+Bi-Metal+Oscillating+Blade+Set&amp;qid=1695174049&amp;sr=8-2")</f>
        <v>https://www.amazon.com/Diablo-Freud-DOU3CS-Universal-Oscillating/dp/B089LLB6C4/ref=sr_1_2?keywords=Diablo+Tools+DOU3BS+3+pc+Universal+Fit+Bi-Metal+Oscillating+Blade+Set&amp;qid=1695174049&amp;sr=8-2</v>
      </c>
      <c r="F6376" t="s">
        <v>8492</v>
      </c>
      <c r="G6376" t="e">
        <f ca="1">_xludf.IMAGE("https://edmondsonsupply.com/cdn/shop/files/mhkfr9y3q3vrvammfqa0.webp?v=1685721273")</f>
        <v>#NAME?</v>
      </c>
      <c r="H6376" t="e">
        <f ca="1">_xludf.IMAGE("https://m.media-amazon.com/images/I/711kdXnfvhL._AC_UL320_.jpg")</f>
        <v>#NAME?</v>
      </c>
      <c r="I6376" t="s">
        <v>7854</v>
      </c>
      <c r="J6376">
        <v>34.99</v>
      </c>
      <c r="K6376" s="4">
        <v>-7.85E-2</v>
      </c>
      <c r="L6376">
        <v>4.5999999999999996</v>
      </c>
      <c r="M6376">
        <v>91</v>
      </c>
      <c r="O6376" t="s">
        <v>25</v>
      </c>
      <c r="P6376" t="s">
        <v>8493</v>
      </c>
      <c r="Q6376" t="s">
        <v>8494</v>
      </c>
    </row>
    <row r="6377" spans="1:17" ht="15.5" x14ac:dyDescent="0.35">
      <c r="A6377"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6377"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6377" t="s">
        <v>8495</v>
      </c>
      <c r="D6377" t="s">
        <v>8496</v>
      </c>
      <c r="E6377" s="3" t="str">
        <f>HYPERLINK("https://www.amazon.com/Non-Conductive-Fiberglass-Klein-Tools-56014/dp/B00BEZWIEQ/ref=sr_1_3?keywords=Klein+Tools+56014+Fiberglass+Fish+Tape+with+Spiral+Leader%2C+200-Foot&amp;qid=1695174145&amp;sr=8-3", "https://www.amazon.com/Non-Conductive-Fiberglass-Klein-Tools-56014/dp/B00BEZWIEQ/ref=sr_1_3?keywords=Klein+Tools+56014+Fiberglass+Fish+Tape+with+Spiral+Leader%2C+200-Foot&amp;qid=1695174145&amp;sr=8-3")</f>
        <v>https://www.amazon.com/Non-Conductive-Fiberglass-Klein-Tools-56014/dp/B00BEZWIEQ/ref=sr_1_3?keywords=Klein+Tools+56014+Fiberglass+Fish+Tape+with+Spiral+Leader%2C+200-Foot&amp;qid=1695174145&amp;sr=8-3</v>
      </c>
      <c r="F6377" t="s">
        <v>8497</v>
      </c>
      <c r="G6377" t="e">
        <f ca="1">_xludf.IMAGE("https://edmondsonsupply.com/cdn/shop/products/56014.jpg?v=1664478500")</f>
        <v>#NAME?</v>
      </c>
      <c r="H6377" t="e">
        <f ca="1">_xludf.IMAGE("https://m.media-amazon.com/images/I/51-1BP0IpAL._AC_UL320_.jpg")</f>
        <v>#NAME?</v>
      </c>
      <c r="I6377" t="s">
        <v>8498</v>
      </c>
      <c r="J6377">
        <v>325.22000000000003</v>
      </c>
      <c r="K6377" s="4">
        <v>-7.8700000000000006E-2</v>
      </c>
      <c r="L6377">
        <v>4.5999999999999996</v>
      </c>
      <c r="M6377">
        <v>161</v>
      </c>
      <c r="O6377" t="s">
        <v>25</v>
      </c>
      <c r="P6377" t="s">
        <v>8499</v>
      </c>
      <c r="Q6377" t="s">
        <v>8500</v>
      </c>
    </row>
    <row r="6378" spans="1:17" ht="15.5" x14ac:dyDescent="0.35">
      <c r="A6378" s="3" t="str">
        <f>HYPERLINK("https://edmondsonsupply.com/collections/electricians-tools/products/klein-tools-69407-tradesman-pro%E2%84%A2-carrying-case-medium", "https://edmondsonsupply.com/collections/electricians-tools/products/klein-tools-69407-tradesman-pro%E2%84%A2-carrying-case-medium")</f>
        <v>https://edmondsonsupply.com/collections/electricians-tools/products/klein-tools-69407-tradesman-pro%E2%84%A2-carrying-case-medium</v>
      </c>
      <c r="B6378" s="3" t="str">
        <f>HYPERLINK("https://edmondsonsupply.com/products/klein-tools-69407-tradesman-pro%e2%84%a2-carrying-case-medium", "https://edmondsonsupply.com/products/klein-tools-69407-tradesman-pro%e2%84%a2-carrying-case-medium")</f>
        <v>https://edmondsonsupply.com/products/klein-tools-69407-tradesman-pro%e2%84%a2-carrying-case-medium</v>
      </c>
      <c r="C6378" t="s">
        <v>8501</v>
      </c>
      <c r="D6378" t="s">
        <v>8502</v>
      </c>
      <c r="E6378" s="3" t="str">
        <f>HYPERLINK("https://www.amazon.com/Tradesman-Carrying-Klein-Tools-69407/dp/B00FZEO79Q/ref=sr_1_1?keywords=Klein+Tools+69407+Tradesman+Pro%E2%84%A2+Carrying+Case%2C+Medium&amp;qid=1695174249&amp;sr=8-1", "https://www.amazon.com/Tradesman-Carrying-Klein-Tools-69407/dp/B00FZEO79Q/ref=sr_1_1?keywords=Klein+Tools+69407+Tradesman+Pro%E2%84%A2+Carrying+Case%2C+Medium&amp;qid=1695174249&amp;sr=8-1")</f>
        <v>https://www.amazon.com/Tradesman-Carrying-Klein-Tools-69407/dp/B00FZEO79Q/ref=sr_1_1?keywords=Klein+Tools+69407+Tradesman+Pro%E2%84%A2+Carrying+Case%2C+Medium&amp;qid=1695174249&amp;sr=8-1</v>
      </c>
      <c r="F6378" t="s">
        <v>8503</v>
      </c>
      <c r="G6378" t="e">
        <f ca="1">_xludf.IMAGE("https://edmondsonsupply.com/cdn/shop/products/69407.jpg?v=1587148653")</f>
        <v>#NAME?</v>
      </c>
      <c r="H6378" t="e">
        <f ca="1">_xludf.IMAGE("https://m.media-amazon.com/images/I/61PYa7ecItL._AC_UL320_.jpg")</f>
        <v>#NAME?</v>
      </c>
      <c r="I6378" t="s">
        <v>3432</v>
      </c>
      <c r="J6378">
        <v>35</v>
      </c>
      <c r="K6378" s="4">
        <v>-7.8700000000000006E-2</v>
      </c>
      <c r="L6378">
        <v>4.7</v>
      </c>
      <c r="M6378">
        <v>191</v>
      </c>
      <c r="O6378" t="s">
        <v>25</v>
      </c>
      <c r="P6378" t="s">
        <v>8504</v>
      </c>
      <c r="Q6378" t="s">
        <v>8505</v>
      </c>
    </row>
    <row r="6379" spans="1:17" ht="15.5" x14ac:dyDescent="0.35">
      <c r="A6379" s="3" t="str">
        <f>HYPERLINK("https://edmondsonsupply.com/collections/electricians-tools/products/diablo-tools-ds0906cws3-9-in-demo-demon-carbide-recip-blade-for-nail-embedded-wood-3-pack", "https://edmondsonsupply.com/collections/electricians-tools/products/diablo-tools-ds0906cws3-9-in-demo-demon-carbide-recip-blade-for-nail-embedded-wood-3-pack")</f>
        <v>https://edmondsonsupply.com/collections/electricians-tools/products/diablo-tools-ds0906cws3-9-in-demo-demon-carbide-recip-blade-for-nail-embedded-wood-3-pack</v>
      </c>
      <c r="B6379" s="3" t="str">
        <f>HYPERLINK("https://edmondsonsupply.com/products/diablo-tools-ds0906cws3-9-in-demo-demon-carbide-recip-blade-for-nail-embedded-wood-3-pack", "https://edmondsonsupply.com/products/diablo-tools-ds0906cws3-9-in-demo-demon-carbide-recip-blade-for-nail-embedded-wood-3-pack")</f>
        <v>https://edmondsonsupply.com/products/diablo-tools-ds0906cws3-9-in-demo-demon-carbide-recip-blade-for-nail-embedded-wood-3-pack</v>
      </c>
      <c r="C6379" t="s">
        <v>5052</v>
      </c>
      <c r="D6379" t="s">
        <v>5053</v>
      </c>
      <c r="E6379" s="3" t="str">
        <f>HYPERLINK("https://www.amazon.com/Diablo-DS0705CWR3-Demo%E2%80%91Demon-Scrolling-Reciprocating/dp/B083YTKSVM/ref=sr_1_1?keywords=Diablo+Tools+DS0705CWR3+7-3%2F8+in.+Demo-Demon+Rough-In%2FScrolling+Carbide+Reciprocating+Blade+%283-Pack%29&amp;qid=1695173927&amp;sr=8-1", "https://www.amazon.com/Diablo-DS0705CWR3-Demo%E2%80%91Demon-Scrolling-Reciprocating/dp/B083YTKSVM/ref=sr_1_1?keywords=Diablo+Tools+DS0705CWR3+7-3%2F8+in.+Demo-Demon+Rough-In%2FScrolling+Carbide+Reciprocating+Blade+%283-Pack%29&amp;qid=1695173927&amp;sr=8-1")</f>
        <v>https://www.amazon.com/Diablo-DS0705CWR3-Demo%E2%80%91Demon-Scrolling-Reciprocating/dp/B083YTKSVM/ref=sr_1_1?keywords=Diablo+Tools+DS0705CWR3+7-3%2F8+in.+Demo-Demon+Rough-In%2FScrolling+Carbide+Reciprocating+Blade+%283-Pack%29&amp;qid=1695173927&amp;sr=8-1</v>
      </c>
      <c r="F6379" t="s">
        <v>5054</v>
      </c>
      <c r="G6379" t="e">
        <f ca="1">_xludf.IMAGE("https://edmondsonsupply.com/cdn/shop/products/DS0705CWR3_Main-Image.png?v=1633030237")</f>
        <v>#NAME?</v>
      </c>
      <c r="H6379" t="e">
        <f ca="1">_xludf.IMAGE("https://m.media-amazon.com/images/I/51aVNFoBlfL._AC_UL320_.jpg")</f>
        <v>#NAME?</v>
      </c>
      <c r="I6379" t="s">
        <v>859</v>
      </c>
      <c r="J6379">
        <v>22.99</v>
      </c>
      <c r="K6379" s="4">
        <v>-7.9299999999999995E-2</v>
      </c>
      <c r="L6379">
        <v>4</v>
      </c>
      <c r="M6379">
        <v>12</v>
      </c>
      <c r="O6379" t="s">
        <v>25</v>
      </c>
      <c r="P6379" t="s">
        <v>4475</v>
      </c>
      <c r="Q6379" t="s">
        <v>5055</v>
      </c>
    </row>
    <row r="6380" spans="1:17" ht="15.5" x14ac:dyDescent="0.35">
      <c r="A6380" s="3" t="str">
        <f>HYPERLINK("https://edmondsonsupply.com/collections/electricians-tools/products/klein-tools-55599-high-visibility-zipper-bags-2-pack", "https://edmondsonsupply.com/collections/electricians-tools/products/klein-tools-55599-high-visibility-zipper-bags-2-pack")</f>
        <v>https://edmondsonsupply.com/collections/electricians-tools/products/klein-tools-55599-high-visibility-zipper-bags-2-pack</v>
      </c>
      <c r="B6380" s="3" t="str">
        <f>HYPERLINK("https://edmondsonsupply.com/products/klein-tools-55599-high-visibility-zipper-bags-2-pack", "https://edmondsonsupply.com/products/klein-tools-55599-high-visibility-zipper-bags-2-pack")</f>
        <v>https://edmondsonsupply.com/products/klein-tools-55599-high-visibility-zipper-bags-2-pack</v>
      </c>
      <c r="C6380" t="s">
        <v>672</v>
      </c>
      <c r="D6380" t="s">
        <v>673</v>
      </c>
      <c r="E6380" s="3" t="str">
        <f>HYPERLINK("https://www.amazon.com/Visibility-Zipper-Klein-Tools-55599/dp/B01N674AXT/ref=sr_1_1?keywords=Klein+Tools+55599+Zipper+Bags%2C+High+Visibility+Tool+Pouches%2C+2-Pack&amp;qid=1695173950&amp;sr=8-1", "https://www.amazon.com/Visibility-Zipper-Klein-Tools-55599/dp/B01N674AXT/ref=sr_1_1?keywords=Klein+Tools+55599+Zipper+Bags%2C+High+Visibility+Tool+Pouches%2C+2-Pack&amp;qid=1695173950&amp;sr=8-1")</f>
        <v>https://www.amazon.com/Visibility-Zipper-Klein-Tools-55599/dp/B01N674AXT/ref=sr_1_1?keywords=Klein+Tools+55599+Zipper+Bags%2C+High+Visibility+Tool+Pouches%2C+2-Pack&amp;qid=1695173950&amp;sr=8-1</v>
      </c>
      <c r="F6380" t="s">
        <v>674</v>
      </c>
      <c r="G6380" t="e">
        <f ca="1">_xludf.IMAGE("https://edmondsonsupply.com/cdn/shop/products/55599.jpg?v=1587143455")</f>
        <v>#NAME?</v>
      </c>
      <c r="H6380" t="e">
        <f ca="1">_xludf.IMAGE("https://m.media-amazon.com/images/I/71DB02D9dUL._AC_UL320_.jpg")</f>
        <v>#NAME?</v>
      </c>
      <c r="I6380" t="s">
        <v>471</v>
      </c>
      <c r="J6380">
        <v>23</v>
      </c>
      <c r="K6380" s="4">
        <v>-7.9600000000000004E-2</v>
      </c>
      <c r="L6380">
        <v>4.8</v>
      </c>
      <c r="M6380">
        <v>386</v>
      </c>
      <c r="O6380" t="s">
        <v>25</v>
      </c>
      <c r="P6380" t="s">
        <v>675</v>
      </c>
      <c r="Q6380" t="s">
        <v>676</v>
      </c>
    </row>
    <row r="6381" spans="1:17" ht="15.5" x14ac:dyDescent="0.35">
      <c r="A6381"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6381"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6381" t="s">
        <v>5852</v>
      </c>
      <c r="D6381" t="s">
        <v>8506</v>
      </c>
      <c r="E6381" s="3" t="str">
        <f>HYPERLINK("https://www.amazon.com/Diablo-Freud-DMAPL4230-SDS-Plus-4-Cutter/dp/B089LCN234/ref=sr_1_7?keywords=Diablo+Tools+DMAPL4250+3%2F4+in.+x+8+in.+x+10+in.+Rebar+Demon%E2%84%A2+SDS-Plus+4-Cutter+Full+Carbide+Head+Hammer+Drill+Bit&amp;qid=1695174039&amp;sr=8-7", "https://www.amazon.com/Diablo-Freud-DMAPL4230-SDS-Plus-4-Cutter/dp/B089LCN234/ref=sr_1_7?keywords=Diablo+Tools+DMAPL4250+3%2F4+in.+x+8+in.+x+10+in.+Rebar+Demon%E2%84%A2+SDS-Plus+4-Cutter+Full+Carbide+Head+Hammer+Drill+Bit&amp;qid=1695174039&amp;sr=8-7")</f>
        <v>https://www.amazon.com/Diablo-Freud-DMAPL4230-SDS-Plus-4-Cutter/dp/B089LCN234/ref=sr_1_7?keywords=Diablo+Tools+DMAPL4250+3%2F4+in.+x+8+in.+x+10+in.+Rebar+Demon%E2%84%A2+SDS-Plus+4-Cutter+Full+Carbide+Head+Hammer+Drill+Bit&amp;qid=1695174039&amp;sr=8-7</v>
      </c>
      <c r="F6381" t="s">
        <v>8507</v>
      </c>
      <c r="G6381" t="e">
        <f ca="1">_xludf.IMAGE("https://edmondsonsupply.com/cdn/shop/files/rltcbi253wmfv6otmtz6.webp?v=1686576913")</f>
        <v>#NAME?</v>
      </c>
      <c r="H6381" t="e">
        <f ca="1">_xludf.IMAGE("https://m.media-amazon.com/images/I/61r649wmyhL._AC_UL320_.jpg")</f>
        <v>#NAME?</v>
      </c>
      <c r="I6381" t="s">
        <v>5853</v>
      </c>
      <c r="J6381">
        <v>22.5</v>
      </c>
      <c r="K6381" s="4">
        <v>-8.0500000000000002E-2</v>
      </c>
      <c r="L6381">
        <v>4.7</v>
      </c>
      <c r="M6381">
        <v>47</v>
      </c>
      <c r="O6381" t="s">
        <v>25</v>
      </c>
      <c r="P6381" t="s">
        <v>5854</v>
      </c>
      <c r="Q6381" t="s">
        <v>5855</v>
      </c>
    </row>
    <row r="6382" spans="1:17" ht="15.5" x14ac:dyDescent="0.35">
      <c r="A6382" s="3" t="str">
        <f>HYPERLINK("https://edmondsonsupply.com/collections/electricians-tools/products/milwaukee-2729-22-m18-fuel%E2%84%A2-deep-cut-band-saw-kit", "https://edmondsonsupply.com/collections/electricians-tools/products/milwaukee-2729-22-m18-fuel%E2%84%A2-deep-cut-band-saw-kit")</f>
        <v>https://edmondsonsupply.com/collections/electricians-tools/products/milwaukee-2729-22-m18-fuel%E2%84%A2-deep-cut-band-saw-kit</v>
      </c>
      <c r="B6382" s="3" t="str">
        <f>HYPERLINK("https://edmondsonsupply.com/products/milwaukee-2729-22-m18-fuel%e2%84%a2-deep-cut-band-saw-kit", "https://edmondsonsupply.com/products/milwaukee-2729-22-m18-fuel%e2%84%a2-deep-cut-band-saw-kit")</f>
        <v>https://edmondsonsupply.com/products/milwaukee-2729-22-m18-fuel%e2%84%a2-deep-cut-band-saw-kit</v>
      </c>
      <c r="C6382" t="s">
        <v>8508</v>
      </c>
      <c r="D6382" t="s">
        <v>8509</v>
      </c>
      <c r="E6382" s="3" t="str">
        <f>HYPERLINK("https://www.amazon.com/Milwaukee-2729-21-Fuel-Deep-Band/dp/B00LBHVG6I/ref=sr_1_1?keywords=Milwaukee+2729-22+M18+FUEL%E2%84%A2+Deep+Cut+Band+Saw+Kit&amp;qid=1695174171&amp;sr=8-1", "https://www.amazon.com/Milwaukee-2729-21-Fuel-Deep-Band/dp/B00LBHVG6I/ref=sr_1_1?keywords=Milwaukee+2729-22+M18+FUEL%E2%84%A2+Deep+Cut+Band+Saw+Kit&amp;qid=1695174171&amp;sr=8-1")</f>
        <v>https://www.amazon.com/Milwaukee-2729-21-Fuel-Deep-Band/dp/B00LBHVG6I/ref=sr_1_1?keywords=Milwaukee+2729-22+M18+FUEL%E2%84%A2+Deep+Cut+Band+Saw+Kit&amp;qid=1695174171&amp;sr=8-1</v>
      </c>
      <c r="F6382" t="s">
        <v>8510</v>
      </c>
      <c r="G6382" t="e">
        <f ca="1">_xludf.IMAGE("https://edmondsonsupply.com/cdn/shop/products/190813alex272922XC50Kit.webp?v=1661701754")</f>
        <v>#NAME?</v>
      </c>
      <c r="H6382" t="e">
        <f ca="1">_xludf.IMAGE("https://m.media-amazon.com/images/I/91PaU7HdenL._AC_UL320_.jpg")</f>
        <v>#NAME?</v>
      </c>
      <c r="I6382" t="s">
        <v>8511</v>
      </c>
      <c r="J6382">
        <v>669.99</v>
      </c>
      <c r="K6382" s="4">
        <v>-8.09E-2</v>
      </c>
      <c r="L6382">
        <v>4.7</v>
      </c>
      <c r="M6382">
        <v>167</v>
      </c>
      <c r="O6382" t="s">
        <v>25</v>
      </c>
      <c r="P6382" t="s">
        <v>8512</v>
      </c>
      <c r="Q6382" t="s">
        <v>8513</v>
      </c>
    </row>
    <row r="6383" spans="1:17" ht="15.5" x14ac:dyDescent="0.35">
      <c r="A6383" s="3" t="str">
        <f>HYPERLINK("https://edmondsonsupply.com/collections/electricians-tools/products/klein-tools-60113rl-hard-hat-vented-cap-style-with-rechargeable-headlamp-white", "https://edmondsonsupply.com/collections/electricians-tools/products/klein-tools-60113rl-hard-hat-vented-cap-style-with-rechargeable-headlamp-white")</f>
        <v>https://edmondsonsupply.com/collections/electricians-tools/products/klein-tools-60113rl-hard-hat-vented-cap-style-with-rechargeable-headlamp-white</v>
      </c>
      <c r="B6383" s="3" t="str">
        <f>HYPERLINK("https://edmondsonsupply.com/products/klein-tools-60113rl-hard-hat-vented-cap-style-with-rechargeable-headlamp-white", "https://edmondsonsupply.com/products/klein-tools-60113rl-hard-hat-vented-cap-style-with-rechargeable-headlamp-white")</f>
        <v>https://edmondsonsupply.com/products/klein-tools-60113rl-hard-hat-vented-cap-style-with-rechargeable-headlamp-white</v>
      </c>
      <c r="C6383" t="s">
        <v>1044</v>
      </c>
      <c r="D6383" t="s">
        <v>1280</v>
      </c>
      <c r="E6383" s="3" t="str">
        <f>HYPERLINK("https://www.amazon.com/Klein-Tools-60107RL-Rechargeable-Odor-Resistant/dp/B08FC2DMCY/ref=sr_1_2?keywords=Klein+Tools+60113RL+Hard+Hat%2C+Vented%2C+Cap+Style+with+Rechargeable+Headlamp%2C+White&amp;qid=1695174220&amp;sr=8-2", "https://www.amazon.com/Klein-Tools-60107RL-Rechargeable-Odor-Resistant/dp/B08FC2DMCY/ref=sr_1_2?keywords=Klein+Tools+60113RL+Hard+Hat%2C+Vented%2C+Cap+Style+with+Rechargeable+Headlamp%2C+White&amp;qid=1695174220&amp;sr=8-2")</f>
        <v>https://www.amazon.com/Klein-Tools-60107RL-Rechargeable-Odor-Resistant/dp/B08FC2DMCY/ref=sr_1_2?keywords=Klein+Tools+60113RL+Hard+Hat%2C+Vented%2C+Cap+Style+with+Rechargeable+Headlamp%2C+White&amp;qid=1695174220&amp;sr=8-2</v>
      </c>
      <c r="F6383" t="s">
        <v>1281</v>
      </c>
      <c r="G6383" t="e">
        <f ca="1">_xludf.IMAGE("https://edmondsonsupply.com/cdn/shop/products/60113rl_c.jpg?v=1647891186")</f>
        <v>#NAME?</v>
      </c>
      <c r="H6383" t="e">
        <f ca="1">_xludf.IMAGE("https://m.media-amazon.com/images/I/51q6h8gGqXL._AC_UL320_.jpg")</f>
        <v>#NAME?</v>
      </c>
      <c r="I6383" t="s">
        <v>905</v>
      </c>
      <c r="J6383">
        <v>54.99</v>
      </c>
      <c r="K6383" s="4">
        <v>-8.3299999999999999E-2</v>
      </c>
      <c r="L6383">
        <v>4.5999999999999996</v>
      </c>
      <c r="M6383">
        <v>101</v>
      </c>
      <c r="O6383" t="s">
        <v>25</v>
      </c>
      <c r="P6383" t="s">
        <v>1047</v>
      </c>
      <c r="Q6383" t="s">
        <v>1048</v>
      </c>
    </row>
    <row r="6384" spans="1:17" ht="15.5" x14ac:dyDescent="0.35">
      <c r="A6384"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6384"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6384" t="s">
        <v>6595</v>
      </c>
      <c r="D6384" t="s">
        <v>7927</v>
      </c>
      <c r="E6384" s="3" t="str">
        <f>HYPERLINK("https://www.amazon.com/Ethernet-Connections-Klein-Tools-VDV526-200/dp/B0925826M2/ref=sr_1_3?keywords=Klein+Tools+VDV526-052+Cable+Tester%2C+LAN+Scout%C2%AE+Jr.+Continuity+Tester&amp;qid=1695174034&amp;sr=8-3", "https://www.amazon.com/Ethernet-Connections-Klein-Tools-VDV526-200/dp/B0925826M2/ref=sr_1_3?keywords=Klein+Tools+VDV526-052+Cable+Tester%2C+LAN+Scout%C2%AE+Jr.+Continuity+Tester&amp;qid=1695174034&amp;sr=8-3")</f>
        <v>https://www.amazon.com/Ethernet-Connections-Klein-Tools-VDV526-200/dp/B0925826M2/ref=sr_1_3?keywords=Klein+Tools+VDV526-052+Cable+Tester%2C+LAN+Scout%C2%AE+Jr.+Continuity+Tester&amp;qid=1695174034&amp;sr=8-3</v>
      </c>
      <c r="F6384" t="s">
        <v>7928</v>
      </c>
      <c r="G6384" t="e">
        <f ca="1">_xludf.IMAGE("https://edmondsonsupply.com/cdn/shop/files/vdv526-052.jpg?v=1685032494")</f>
        <v>#NAME?</v>
      </c>
      <c r="H6384" t="e">
        <f ca="1">_xludf.IMAGE("https://m.media-amazon.com/images/I/519D2efRZyL._AC_UY218_.jpg")</f>
        <v>#NAME?</v>
      </c>
      <c r="I6384" t="s">
        <v>5197</v>
      </c>
      <c r="J6384">
        <v>54.97</v>
      </c>
      <c r="K6384" s="4">
        <v>-8.3400000000000002E-2</v>
      </c>
      <c r="L6384">
        <v>4.8</v>
      </c>
      <c r="M6384">
        <v>889</v>
      </c>
      <c r="O6384" t="s">
        <v>25</v>
      </c>
      <c r="P6384" t="s">
        <v>6596</v>
      </c>
      <c r="Q6384" t="s">
        <v>6597</v>
      </c>
    </row>
    <row r="6385" spans="1:17" ht="15.5" x14ac:dyDescent="0.35">
      <c r="A6385" s="3" t="str">
        <f>HYPERLINK("https://edmondsonsupply.com/collections/electricians-tools/products/diablo-tools-dag1130-1-in-x-7-1-2-in-auger-bit", "https://edmondsonsupply.com/collections/electricians-tools/products/diablo-tools-dag1130-1-in-x-7-1-2-in-auger-bit")</f>
        <v>https://edmondsonsupply.com/collections/electricians-tools/products/diablo-tools-dag1130-1-in-x-7-1-2-in-auger-bit</v>
      </c>
      <c r="B6385" s="3" t="str">
        <f>HYPERLINK("https://edmondsonsupply.com/products/diablo-tools-dag1130-1-in-x-7-1-2-in-auger-bit", "https://edmondsonsupply.com/products/diablo-tools-dag1130-1-in-x-7-1-2-in-auger-bit")</f>
        <v>https://edmondsonsupply.com/products/diablo-tools-dag1130-1-in-x-7-1-2-in-auger-bit</v>
      </c>
      <c r="C6385" t="s">
        <v>3530</v>
      </c>
      <c r="D6385" t="s">
        <v>5067</v>
      </c>
      <c r="E6385" s="3" t="str">
        <f>HYPERLINK("https://www.amazon.com/Diablo-7-1-Auger-Bit/dp/B089LCPNWX/ref=sr_1_10?keywords=Diablo+Tools+DAG1130+1+in.+x+7-1%2F2+in.+Auger+Bit&amp;qid=1695173913&amp;sr=8-10", "https://www.amazon.com/Diablo-7-1-Auger-Bit/dp/B089LCPNWX/ref=sr_1_10?keywords=Diablo+Tools+DAG1130+1+in.+x+7-1%2F2+in.+Auger+Bit&amp;qid=1695173913&amp;sr=8-10")</f>
        <v>https://www.amazon.com/Diablo-7-1-Auger-Bit/dp/B089LCPNWX/ref=sr_1_10?keywords=Diablo+Tools+DAG1130+1+in.+x+7-1%2F2+in.+Auger+Bit&amp;qid=1695173913&amp;sr=8-10</v>
      </c>
      <c r="F6385" t="s">
        <v>5068</v>
      </c>
      <c r="G6385" t="e">
        <f ca="1">_xludf.IMAGE("https://edmondsonsupply.com/cdn/shop/products/DAG1130_Main-Image20200712.png?v=1633031124")</f>
        <v>#NAME?</v>
      </c>
      <c r="H6385" t="e">
        <f ca="1">_xludf.IMAGE("https://m.media-amazon.com/images/I/61zUoLZQ5OL._AC_UL320_.jpg")</f>
        <v>#NAME?</v>
      </c>
      <c r="I6385" t="s">
        <v>3533</v>
      </c>
      <c r="J6385">
        <v>14.99</v>
      </c>
      <c r="K6385" s="4">
        <v>-8.43E-2</v>
      </c>
      <c r="L6385">
        <v>4.7</v>
      </c>
      <c r="M6385">
        <v>9</v>
      </c>
      <c r="O6385" t="s">
        <v>25</v>
      </c>
      <c r="P6385" t="s">
        <v>3534</v>
      </c>
      <c r="Q6385" t="s">
        <v>3535</v>
      </c>
    </row>
    <row r="6386" spans="1:17" ht="15.5" x14ac:dyDescent="0.35">
      <c r="A6386"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386" s="3" t="str">
        <f>HYPERLINK("https://edmondsonsupply.com/products/klein-tools-d2000-28glw-diagonal-cutting-pliers-hi-viz-8-inch", "https://edmondsonsupply.com/products/klein-tools-d2000-28glw-diagonal-cutting-pliers-hi-viz-8-inch")</f>
        <v>https://edmondsonsupply.com/products/klein-tools-d2000-28glw-diagonal-cutting-pliers-hi-viz-8-inch</v>
      </c>
      <c r="C6386" t="s">
        <v>4233</v>
      </c>
      <c r="D6386" t="s">
        <v>5069</v>
      </c>
      <c r="E6386" s="3" t="str">
        <f>HYPERLINK("https://www.amazon.com/Journeyman-Diagonal-Klein-Tools-J2000-28/dp/B00093DY2O/ref=sr_1_4?keywords=Klein+Tools+D200028GLW+Diagonal+Cutting+Pliers%2C+High-Visibility%2C+8-Inch&amp;qid=1695173928&amp;sr=8-4", "https://www.amazon.com/Journeyman-Diagonal-Klein-Tools-J2000-28/dp/B00093DY2O/ref=sr_1_4?keywords=Klein+Tools+D200028GLW+Diagonal+Cutting+Pliers%2C+High-Visibility%2C+8-Inch&amp;qid=1695173928&amp;sr=8-4")</f>
        <v>https://www.amazon.com/Journeyman-Diagonal-Klein-Tools-J2000-28/dp/B00093DY2O/ref=sr_1_4?keywords=Klein+Tools+D200028GLW+Diagonal+Cutting+Pliers%2C+High-Visibility%2C+8-Inch&amp;qid=1695173928&amp;sr=8-4</v>
      </c>
      <c r="F6386" t="s">
        <v>5070</v>
      </c>
      <c r="G6386" t="e">
        <f ca="1">_xludf.IMAGE("https://edmondsonsupply.com/cdn/shop/products/d200028glw.jpg?v=1633030701")</f>
        <v>#NAME?</v>
      </c>
      <c r="H6386" t="e">
        <f ca="1">_xludf.IMAGE("https://m.media-amazon.com/images/I/41gMQiPYMQL._AC_UL320_.jpg")</f>
        <v>#NAME?</v>
      </c>
      <c r="I6386" t="s">
        <v>67</v>
      </c>
      <c r="J6386">
        <v>34.32</v>
      </c>
      <c r="K6386" s="4">
        <v>-8.4599999999999995E-2</v>
      </c>
      <c r="L6386">
        <v>4.5999999999999996</v>
      </c>
      <c r="M6386">
        <v>102</v>
      </c>
      <c r="O6386" t="s">
        <v>25</v>
      </c>
      <c r="P6386" t="s">
        <v>4236</v>
      </c>
      <c r="Q6386" t="s">
        <v>4237</v>
      </c>
    </row>
    <row r="6387" spans="1:17" ht="15.5" x14ac:dyDescent="0.35">
      <c r="A6387" s="3" t="str">
        <f>HYPERLINK("https://edmondsonsupply.com/collections/electricians-tools/products/fluke-tl223-suregrip%E2%84%A2-electrical-test-lead-set", "https://edmondsonsupply.com/collections/electricians-tools/products/fluke-tl223-suregrip%E2%84%A2-electrical-test-lead-set")</f>
        <v>https://edmondsonsupply.com/collections/electricians-tools/products/fluke-tl223-suregrip%E2%84%A2-electrical-test-lead-set</v>
      </c>
      <c r="B6387" s="3" t="str">
        <f>HYPERLINK("https://edmondsonsupply.com/products/fluke-tl223-suregrip%e2%84%a2-electrical-test-lead-set", "https://edmondsonsupply.com/products/fluke-tl223-suregrip%e2%84%a2-electrical-test-lead-set")</f>
        <v>https://edmondsonsupply.com/products/fluke-tl223-suregrip%e2%84%a2-electrical-test-lead-set</v>
      </c>
      <c r="C6387" t="s">
        <v>8514</v>
      </c>
      <c r="D6387" t="s">
        <v>8515</v>
      </c>
      <c r="E6387" s="3" t="str">
        <f>HYPERLINK("https://www.amazon.com/Fluke-TL223-SureGrip-Electrical-Test/dp/B0000WU0BC/ref=sr_1_1?keywords=Fluke+TL223+SureGrip%E2%84%A2+Electrical+Test+Lead+Set&amp;qid=1695174242&amp;sr=8-1", "https://www.amazon.com/Fluke-TL223-SureGrip-Electrical-Test/dp/B0000WU0BC/ref=sr_1_1?keywords=Fluke+TL223+SureGrip%E2%84%A2+Electrical+Test+Lead+Set&amp;qid=1695174242&amp;sr=8-1")</f>
        <v>https://www.amazon.com/Fluke-TL223-SureGrip-Electrical-Test/dp/B0000WU0BC/ref=sr_1_1?keywords=Fluke+TL223+SureGrip%E2%84%A2+Electrical+Test+Lead+Set&amp;qid=1695174242&amp;sr=8-1</v>
      </c>
      <c r="F6387" t="s">
        <v>8516</v>
      </c>
      <c r="G6387" t="e">
        <f ca="1">_xludf.IMAGE("https://edmondsonsupply.com/cdn/shop/products/223.png?v=1633540843")</f>
        <v>#NAME?</v>
      </c>
      <c r="H6387" t="e">
        <f ca="1">_xludf.IMAGE("https://m.media-amazon.com/images/I/510-LG82JfL._AC_UY218_.jpg")</f>
        <v>#NAME?</v>
      </c>
      <c r="I6387" t="s">
        <v>8517</v>
      </c>
      <c r="J6387">
        <v>94.99</v>
      </c>
      <c r="K6387" s="4">
        <v>-8.48E-2</v>
      </c>
      <c r="L6387">
        <v>4.8</v>
      </c>
      <c r="M6387">
        <v>66</v>
      </c>
      <c r="O6387" t="s">
        <v>25</v>
      </c>
      <c r="P6387" t="s">
        <v>138</v>
      </c>
      <c r="Q6387" t="s">
        <v>8518</v>
      </c>
    </row>
    <row r="6388" spans="1:17" ht="15.5" x14ac:dyDescent="0.35">
      <c r="A6388"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6388"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6388" t="s">
        <v>8519</v>
      </c>
      <c r="D6388" t="s">
        <v>6941</v>
      </c>
      <c r="E6388" s="3" t="str">
        <f>HYPERLINK("https://www.amazon.com/Diablo-Freud-DOU125CF3-Universal-Oscillating/dp/B089LKXD7L/ref=sr_1_8?keywords=Diablo+Tools+DOU125JBW3+1-1%2F4+in.+Universal+Fit+Bi-Metal+Oscillating+Blades+for+Clean+Wood&amp;qid=1695174271&amp;sr=8-8", "https://www.amazon.com/Diablo-Freud-DOU125CF3-Universal-Oscillating/dp/B089LKXD7L/ref=sr_1_8?keywords=Diablo+Tools+DOU125JBW3+1-1%2F4+in.+Universal+Fit+Bi-Metal+Oscillating+Blades+for+Clean+Wood&amp;qid=1695174271&amp;sr=8-8")</f>
        <v>https://www.amazon.com/Diablo-Freud-DOU125CF3-Universal-Oscillating/dp/B089LKXD7L/ref=sr_1_8?keywords=Diablo+Tools+DOU125JBW3+1-1%2F4+in.+Universal+Fit+Bi-Metal+Oscillating+Blades+for+Clean+Wood&amp;qid=1695174271&amp;sr=8-8</v>
      </c>
      <c r="F6388" t="s">
        <v>6942</v>
      </c>
      <c r="G6388" t="e">
        <f ca="1">_xludf.IMAGE("https://edmondsonsupply.com/cdn/shop/products/DOU125JBW3_Main-Image.png?v=1633031095")</f>
        <v>#NAME?</v>
      </c>
      <c r="H6388" t="e">
        <f ca="1">_xludf.IMAGE("https://m.media-amazon.com/images/I/71izb0UUOkL._AC_UL320_.jpg")</f>
        <v>#NAME?</v>
      </c>
      <c r="I6388" t="s">
        <v>340</v>
      </c>
      <c r="J6388">
        <v>32</v>
      </c>
      <c r="K6388" s="4">
        <v>-8.4900000000000003E-2</v>
      </c>
      <c r="L6388">
        <v>4.5</v>
      </c>
      <c r="M6388">
        <v>164</v>
      </c>
      <c r="O6388" t="s">
        <v>25</v>
      </c>
      <c r="P6388" t="s">
        <v>8520</v>
      </c>
      <c r="Q6388" t="s">
        <v>8521</v>
      </c>
    </row>
    <row r="6389" spans="1:17" ht="15.5" x14ac:dyDescent="0.35">
      <c r="A6389"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6389"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6389" t="s">
        <v>8522</v>
      </c>
      <c r="D6389" t="s">
        <v>6941</v>
      </c>
      <c r="E6389" s="3" t="str">
        <f>HYPERLINK("https://www.amazon.com/Diablo-Freud-DOU125CF3-Universal-Oscillating/dp/B089LKXD7L/ref=sr_1_7?keywords=Diablo+Tools+DOU125BF3+1-1%2F4+in.+Universal+Fit+Bi-Metal+Oscillating+Blade+for+Metal+%283+pack%29&amp;qid=1695174014&amp;sr=8-7", "https://www.amazon.com/Diablo-Freud-DOU125CF3-Universal-Oscillating/dp/B089LKXD7L/ref=sr_1_7?keywords=Diablo+Tools+DOU125BF3+1-1%2F4+in.+Universal+Fit+Bi-Metal+Oscillating+Blade+for+Metal+%283+pack%29&amp;qid=1695174014&amp;sr=8-7")</f>
        <v>https://www.amazon.com/Diablo-Freud-DOU125CF3-Universal-Oscillating/dp/B089LKXD7L/ref=sr_1_7?keywords=Diablo+Tools+DOU125BF3+1-1%2F4+in.+Universal+Fit+Bi-Metal+Oscillating+Blade+for+Metal+%283+pack%29&amp;qid=1695174014&amp;sr=8-7</v>
      </c>
      <c r="F6389" t="s">
        <v>6942</v>
      </c>
      <c r="G6389" t="e">
        <f ca="1">_xludf.IMAGE("https://edmondsonsupply.com/cdn/shop/files/k1d1qiwmm4npznsdbwtg_4dc7bdf3-43a4-4863-8a1d-f71b60bc7c6d.webp?v=1685468179")</f>
        <v>#NAME?</v>
      </c>
      <c r="H6389" t="e">
        <f ca="1">_xludf.IMAGE("https://m.media-amazon.com/images/I/71izb0UUOkL._AC_UL320_.jpg")</f>
        <v>#NAME?</v>
      </c>
      <c r="I6389" t="s">
        <v>340</v>
      </c>
      <c r="J6389">
        <v>32</v>
      </c>
      <c r="K6389" s="4">
        <v>-8.4900000000000003E-2</v>
      </c>
      <c r="L6389">
        <v>4.5</v>
      </c>
      <c r="M6389">
        <v>164</v>
      </c>
      <c r="O6389" t="s">
        <v>25</v>
      </c>
      <c r="P6389" t="s">
        <v>8520</v>
      </c>
      <c r="Q6389" t="s">
        <v>8523</v>
      </c>
    </row>
    <row r="6390" spans="1:17" ht="15.5" x14ac:dyDescent="0.35">
      <c r="A6390"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6390" s="3" t="str">
        <f>HYPERLINK("https://edmondsonsupply.com/products/diablo-tools-dag3070-3-4-in-x-17-1-2-in-auger-bit", "https://edmondsonsupply.com/products/diablo-tools-dag3070-3-4-in-x-17-1-2-in-auger-bit")</f>
        <v>https://edmondsonsupply.com/products/diablo-tools-dag3070-3-4-in-x-17-1-2-in-auger-bit</v>
      </c>
      <c r="C6390" t="s">
        <v>7783</v>
      </c>
      <c r="D6390" t="s">
        <v>7408</v>
      </c>
      <c r="E6390" s="3" t="str">
        <f>HYPERLINK("https://www.amazon.com/Diablo-Freud-DAG3010-17-1-Auger/dp/B089KY885C/ref=sr_1_8?keywords=Diablo+Tools+DAG3070+3%2F4+in.+x+17-1%2F2+in.+Auger+Bit&amp;qid=1695174104&amp;sr=8-8", "https://www.amazon.com/Diablo-Freud-DAG3010-17-1-Auger/dp/B089KY885C/ref=sr_1_8?keywords=Diablo+Tools+DAG3070+3%2F4+in.+x+17-1%2F2+in.+Auger+Bit&amp;qid=1695174104&amp;sr=8-8")</f>
        <v>https://www.amazon.com/Diablo-Freud-DAG3010-17-1-Auger/dp/B089KY885C/ref=sr_1_8?keywords=Diablo+Tools+DAG3070+3%2F4+in.+x+17-1%2F2+in.+Auger+Bit&amp;qid=1695174104&amp;sr=8-8</v>
      </c>
      <c r="F6390" t="s">
        <v>7409</v>
      </c>
      <c r="G6390" t="e">
        <f ca="1">_xludf.IMAGE("https://edmondsonsupply.com/cdn/shop/products/ljatbudptj8xmo1m7sg7.webp?v=1669994151")</f>
        <v>#NAME?</v>
      </c>
      <c r="H6390" t="e">
        <f ca="1">_xludf.IMAGE("https://m.media-amazon.com/images/I/61cpdlwqiHL._AC_UL320_.jpg")</f>
        <v>#NAME?</v>
      </c>
      <c r="I6390" t="s">
        <v>3472</v>
      </c>
      <c r="J6390">
        <v>21.95</v>
      </c>
      <c r="K6390" s="4">
        <v>-8.5000000000000006E-2</v>
      </c>
      <c r="L6390">
        <v>4.5</v>
      </c>
      <c r="M6390">
        <v>4</v>
      </c>
      <c r="O6390" t="s">
        <v>25</v>
      </c>
      <c r="P6390" t="s">
        <v>7784</v>
      </c>
      <c r="Q6390" t="s">
        <v>7785</v>
      </c>
    </row>
    <row r="6391" spans="1:17" ht="15.5" x14ac:dyDescent="0.35">
      <c r="A6391"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6391"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6391" t="s">
        <v>7206</v>
      </c>
      <c r="D6391" t="s">
        <v>5071</v>
      </c>
      <c r="E6391" s="3" t="str">
        <f>HYPERLINK("https://www.amazon.com/Milwaukee-Mid-Torque-Lithium-Ion-Brushless-Batteries/dp/B09SJ6THNK/ref=sr_1_4?keywords=Milwaukee+2960-22+M18+FUEL%E2%84%A2+3%2F8+%22+Mid-Torque+Impact+Wrench+w%2F+Friction+Ring+Kit&amp;qid=1695174167&amp;sr=8-4", "https://www.amazon.com/Milwaukee-Mid-Torque-Lithium-Ion-Brushless-Batteries/dp/B09SJ6THNK/ref=sr_1_4?keywords=Milwaukee+2960-22+M18+FUEL%E2%84%A2+3%2F8+%22+Mid-Torque+Impact+Wrench+w%2F+Friction+Ring+Kit&amp;qid=1695174167&amp;sr=8-4")</f>
        <v>https://www.amazon.com/Milwaukee-Mid-Torque-Lithium-Ion-Brushless-Batteries/dp/B09SJ6THNK/ref=sr_1_4?keywords=Milwaukee+2960-22+M18+FUEL%E2%84%A2+3%2F8+%22+Mid-Torque+Impact+Wrench+w%2F+Friction+Ring+Kit&amp;qid=1695174167&amp;sr=8-4</v>
      </c>
      <c r="F6391" t="s">
        <v>5072</v>
      </c>
      <c r="G6391" t="e">
        <f ca="1">_xludf.IMAGE("https://edmondsonsupply.com/cdn/shop/products/2960-22_Kit_1.png?v=1661616340")</f>
        <v>#NAME?</v>
      </c>
      <c r="H6391" t="e">
        <f ca="1">_xludf.IMAGE("https://m.media-amazon.com/images/I/71kKMvvnS+L._AC_UL320_.jpg")</f>
        <v>#NAME?</v>
      </c>
      <c r="I6391" t="s">
        <v>4404</v>
      </c>
      <c r="J6391">
        <v>419.9</v>
      </c>
      <c r="K6391" s="4">
        <v>-8.5199999999999998E-2</v>
      </c>
      <c r="L6391">
        <v>4.7</v>
      </c>
      <c r="M6391">
        <v>102</v>
      </c>
      <c r="O6391" t="s">
        <v>25</v>
      </c>
      <c r="P6391" t="s">
        <v>7209</v>
      </c>
      <c r="Q6391" t="s">
        <v>7210</v>
      </c>
    </row>
    <row r="6392" spans="1:17" ht="15.5" x14ac:dyDescent="0.35">
      <c r="A6392" s="3" t="str">
        <f>HYPERLINK("https://edmondsonsupply.com/collections/electricians-tools/products/milwaukee-2962p-22-m18-fuel%E2%84%A2-1-2-mid-torque-impact-wrench-w-pin-detent-kit", "https://edmondsonsupply.com/collections/electricians-tools/products/milwaukee-2962p-22-m18-fuel%E2%84%A2-1-2-mid-torque-impact-wrench-w-pin-detent-kit")</f>
        <v>https://edmondsonsupply.com/collections/electricians-tools/products/milwaukee-2962p-22-m18-fuel%E2%84%A2-1-2-mid-torque-impact-wrench-w-pin-detent-kit</v>
      </c>
      <c r="B6392" s="3" t="str">
        <f>HYPERLINK("https://edmondsonsupply.com/products/milwaukee-2962p-22-m18-fuel%e2%84%a2-1-2-mid-torque-impact-wrench-w-pin-detent-kit", "https://edmondsonsupply.com/products/milwaukee-2962p-22-m18-fuel%e2%84%a2-1-2-mid-torque-impact-wrench-w-pin-detent-kit")</f>
        <v>https://edmondsonsupply.com/products/milwaukee-2962p-22-m18-fuel%e2%84%a2-1-2-mid-torque-impact-wrench-w-pin-detent-kit</v>
      </c>
      <c r="C6392" t="s">
        <v>4401</v>
      </c>
      <c r="D6392" t="s">
        <v>5071</v>
      </c>
      <c r="E6392" s="3" t="str">
        <f>HYPERLINK("https://www.amazon.com/Milwaukee-Mid-Torque-Lithium-Ion-Brushless-Batteries/dp/B09SJ6THNK/ref=sr_1_4?keywords=Milwaukee+2962P-22+M18+FUEL%E2%84%A2+1%2F2+%22+Mid-Torque+Impact+Wrench+w%2F+Pin+Detent+Kit&amp;qid=1695173981&amp;sr=8-4", "https://www.amazon.com/Milwaukee-Mid-Torque-Lithium-Ion-Brushless-Batteries/dp/B09SJ6THNK/ref=sr_1_4?keywords=Milwaukee+2962P-22+M18+FUEL%E2%84%A2+1%2F2+%22+Mid-Torque+Impact+Wrench+w%2F+Pin+Detent+Kit&amp;qid=1695173981&amp;sr=8-4")</f>
        <v>https://www.amazon.com/Milwaukee-Mid-Torque-Lithium-Ion-Brushless-Batteries/dp/B09SJ6THNK/ref=sr_1_4?keywords=Milwaukee+2962P-22+M18+FUEL%E2%84%A2+1%2F2+%22+Mid-Torque+Impact+Wrench+w%2F+Pin+Detent+Kit&amp;qid=1695173981&amp;sr=8-4</v>
      </c>
      <c r="F6392" t="s">
        <v>5072</v>
      </c>
      <c r="G6392" t="e">
        <f ca="1">_xludf.IMAGE("https://edmondsonsupply.com/cdn/shop/files/2962P-22_Kit_1.png?v=1690295413")</f>
        <v>#NAME?</v>
      </c>
      <c r="H6392" t="e">
        <f ca="1">_xludf.IMAGE("https://m.media-amazon.com/images/I/71kKMvvnS+L._AC_UL320_.jpg")</f>
        <v>#NAME?</v>
      </c>
      <c r="I6392" t="s">
        <v>4404</v>
      </c>
      <c r="J6392">
        <v>419.9</v>
      </c>
      <c r="K6392" s="4">
        <v>-8.5199999999999998E-2</v>
      </c>
      <c r="L6392">
        <v>4.7</v>
      </c>
      <c r="M6392">
        <v>102</v>
      </c>
      <c r="O6392" t="s">
        <v>25</v>
      </c>
      <c r="P6392" t="s">
        <v>4405</v>
      </c>
      <c r="Q6392" t="s">
        <v>4406</v>
      </c>
    </row>
    <row r="6393" spans="1:17" ht="15.5" x14ac:dyDescent="0.35">
      <c r="A6393" s="3" t="str">
        <f>HYPERLINK("https://edmondsonsupply.com/collections/electricians-tools/products/diablo-tools-d0624x-6-1-2-in-24-tooth-framing-saw-blade", "https://edmondsonsupply.com/collections/electricians-tools/products/diablo-tools-d0624x-6-1-2-in-24-tooth-framing-saw-blade")</f>
        <v>https://edmondsonsupply.com/collections/electricians-tools/products/diablo-tools-d0624x-6-1-2-in-24-tooth-framing-saw-blade</v>
      </c>
      <c r="B6393" s="3" t="str">
        <f>HYPERLINK("https://edmondsonsupply.com/products/diablo-tools-d0624x-6-1-2-in-24-tooth-framing-saw-blade", "https://edmondsonsupply.com/products/diablo-tools-d0624x-6-1-2-in-24-tooth-framing-saw-blade")</f>
        <v>https://edmondsonsupply.com/products/diablo-tools-d0624x-6-1-2-in-24-tooth-framing-saw-blade</v>
      </c>
      <c r="C6393" t="s">
        <v>6070</v>
      </c>
      <c r="D6393" t="s">
        <v>8524</v>
      </c>
      <c r="E6393" s="3" t="str">
        <f>HYPERLINK("https://www.amazon.com/D0624X-Diablo-2-Inch-24-Tooth-Framing/dp/B00008WQ2P/ref=sr_1_1?keywords=Diablo+Tools+D0624X+6-1%2F2+in.+24-Tooth+Framing+Saw+Blade&amp;qid=1695174066&amp;sr=8-1", "https://www.amazon.com/D0624X-Diablo-2-Inch-24-Tooth-Framing/dp/B00008WQ2P/ref=sr_1_1?keywords=Diablo+Tools+D0624X+6-1%2F2+in.+24-Tooth+Framing+Saw+Blade&amp;qid=1695174066&amp;sr=8-1")</f>
        <v>https://www.amazon.com/D0624X-Diablo-2-Inch-24-Tooth-Framing/dp/B00008WQ2P/ref=sr_1_1?keywords=Diablo+Tools+D0624X+6-1%2F2+in.+24-Tooth+Framing+Saw+Blade&amp;qid=1695174066&amp;sr=8-1</v>
      </c>
      <c r="F6393" t="s">
        <v>8525</v>
      </c>
      <c r="G6393" t="e">
        <f ca="1">_xludf.IMAGE("https://edmondsonsupply.com/cdn/shop/products/mfin0gl4ono6qztsnrth.webp?v=1678982694")</f>
        <v>#NAME?</v>
      </c>
      <c r="H6393" t="e">
        <f ca="1">_xludf.IMAGE("https://m.media-amazon.com/images/I/710QLWtKtLL._AC_UL320_.jpg")</f>
        <v>#NAME?</v>
      </c>
      <c r="I6393" t="s">
        <v>6073</v>
      </c>
      <c r="J6393">
        <v>10.94</v>
      </c>
      <c r="K6393" s="4">
        <v>-8.5999999999999993E-2</v>
      </c>
      <c r="L6393">
        <v>4.8</v>
      </c>
      <c r="M6393">
        <v>1501</v>
      </c>
      <c r="O6393" t="s">
        <v>25</v>
      </c>
      <c r="P6393" t="s">
        <v>6074</v>
      </c>
      <c r="Q6393" t="s">
        <v>6075</v>
      </c>
    </row>
    <row r="6394" spans="1:17" ht="15.5" x14ac:dyDescent="0.35">
      <c r="A6394"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6394"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6394" t="s">
        <v>8170</v>
      </c>
      <c r="D6394" t="s">
        <v>8526</v>
      </c>
      <c r="E6394" s="3" t="str">
        <f>HYPERLINK("https://www.amazon.com/Klein-Tools-2288RINS-Insulated-Induction/dp/B0BG1JPVMM/ref=sr_1_1?keywords=Klein+Tools+2288RINS+Diagonal+Cutting+Pliers%2C+Insulated%2C+High+Leverage%2C+8-Inch&amp;qid=1695174127&amp;sr=8-1", "https://www.amazon.com/Klein-Tools-2288RINS-Insulated-Induction/dp/B0BG1JPVMM/ref=sr_1_1?keywords=Klein+Tools+2288RINS+Diagonal+Cutting+Pliers%2C+Insulated%2C+High+Leverage%2C+8-Inch&amp;qid=1695174127&amp;sr=8-1")</f>
        <v>https://www.amazon.com/Klein-Tools-2288RINS-Insulated-Induction/dp/B0BG1JPVMM/ref=sr_1_1?keywords=Klein+Tools+2288RINS+Diagonal+Cutting+Pliers%2C+Insulated%2C+High+Leverage%2C+8-Inch&amp;qid=1695174127&amp;sr=8-1</v>
      </c>
      <c r="F6394" t="s">
        <v>8527</v>
      </c>
      <c r="G6394" t="e">
        <f ca="1">_xludf.IMAGE("https://edmondsonsupply.com/cdn/shop/products/2288rins.jpg?v=1667238570")</f>
        <v>#NAME?</v>
      </c>
      <c r="H6394" t="e">
        <f ca="1">_xludf.IMAGE("https://m.media-amazon.com/images/I/41AzeY3t1LL._AC_UL320_.jpg")</f>
        <v>#NAME?</v>
      </c>
      <c r="I6394" t="s">
        <v>246</v>
      </c>
      <c r="J6394">
        <v>36.49</v>
      </c>
      <c r="K6394" s="4">
        <v>-8.7099999999999997E-2</v>
      </c>
      <c r="L6394">
        <v>4.5999999999999996</v>
      </c>
      <c r="M6394">
        <v>55</v>
      </c>
      <c r="O6394" t="s">
        <v>25</v>
      </c>
      <c r="P6394" t="s">
        <v>1027</v>
      </c>
      <c r="Q6394" t="s">
        <v>8171</v>
      </c>
    </row>
    <row r="6395" spans="1:17" ht="15.5" x14ac:dyDescent="0.35">
      <c r="A6395" s="3" t="str">
        <f>HYPERLINK("https://edmondsonsupply.com/collections/electricians-tools/products/fluke-179-true-rms-digital-multimeter", "https://edmondsonsupply.com/collections/electricians-tools/products/fluke-179-true-rms-digital-multimeter")</f>
        <v>https://edmondsonsupply.com/collections/electricians-tools/products/fluke-179-true-rms-digital-multimeter</v>
      </c>
      <c r="B6395" s="3" t="str">
        <f>HYPERLINK("https://edmondsonsupply.com/products/fluke-179-true-rms-digital-multimeter", "https://edmondsonsupply.com/products/fluke-179-true-rms-digital-multimeter")</f>
        <v>https://edmondsonsupply.com/products/fluke-179-true-rms-digital-multimeter</v>
      </c>
      <c r="C6395" t="s">
        <v>7311</v>
      </c>
      <c r="D6395" t="s">
        <v>8528</v>
      </c>
      <c r="E6395" s="3" t="str">
        <f>HYPERLINK("https://www.amazon.com/Fluke-177-ESFP-Digital-Multimeter/dp/B005WFW26S/ref=sr_1_3?keywords=Fluke+179+True-RMS+Digital+Multimeter&amp;qid=1695174291&amp;sr=8-3", "https://www.amazon.com/Fluke-177-ESFP-Digital-Multimeter/dp/B005WFW26S/ref=sr_1_3?keywords=Fluke+179+True-RMS+Digital+Multimeter&amp;qid=1695174291&amp;sr=8-3")</f>
        <v>https://www.amazon.com/Fluke-177-ESFP-Digital-Multimeter/dp/B005WFW26S/ref=sr_1_3?keywords=Fluke+179+True-RMS+Digital+Multimeter&amp;qid=1695174291&amp;sr=8-3</v>
      </c>
      <c r="F6395" t="s">
        <v>8529</v>
      </c>
      <c r="G6395" t="e">
        <f ca="1">_xludf.IMAGE("https://edmondsonsupply.com/cdn/shop/products/e0021116_431x600_31fa1fdc-90ee-45e4-8560-4be681a24cfe.jpg?v=1633030926")</f>
        <v>#NAME?</v>
      </c>
      <c r="H6395" t="e">
        <f ca="1">_xludf.IMAGE("https://m.media-amazon.com/images/I/81+6ClCEkYL._AC_UL320_.jpg")</f>
        <v>#NAME?</v>
      </c>
      <c r="I6395" t="s">
        <v>7314</v>
      </c>
      <c r="J6395">
        <v>359.73</v>
      </c>
      <c r="K6395" s="4">
        <v>-8.7400000000000005E-2</v>
      </c>
      <c r="L6395">
        <v>4.5</v>
      </c>
      <c r="M6395">
        <v>143</v>
      </c>
      <c r="O6395" t="s">
        <v>171</v>
      </c>
      <c r="P6395" t="s">
        <v>7315</v>
      </c>
      <c r="Q6395" t="s">
        <v>7316</v>
      </c>
    </row>
    <row r="6396" spans="1:17" ht="15.5" x14ac:dyDescent="0.35">
      <c r="A6396" s="3" t="str">
        <f>HYPERLINK("https://edmondsonsupply.com/collections/electricians-tools/products/klein-tools-9230-tape-measure-30-foot-magnetic-double-hook", "https://edmondsonsupply.com/collections/electricians-tools/products/klein-tools-9230-tape-measure-30-foot-magnetic-double-hook")</f>
        <v>https://edmondsonsupply.com/collections/electricians-tools/products/klein-tools-9230-tape-measure-30-foot-magnetic-double-hook</v>
      </c>
      <c r="B6396" s="3" t="str">
        <f>HYPERLINK("https://edmondsonsupply.com/products/klein-tools-9230-tape-measure-30-foot-magnetic-double-hook", "https://edmondsonsupply.com/products/klein-tools-9230-tape-measure-30-foot-magnetic-double-hook")</f>
        <v>https://edmondsonsupply.com/products/klein-tools-9230-tape-measure-30-foot-magnetic-double-hook</v>
      </c>
      <c r="C6396" t="s">
        <v>5073</v>
      </c>
      <c r="D6396" t="s">
        <v>5074</v>
      </c>
      <c r="E6396" s="3" t="str">
        <f>HYPERLINK("https://www.amazon.com/Klein-Tools-Magnetic-Double-Hook-9230KLE/dp/B07WD63HT7/ref=sr_1_1?keywords=Klein+Tools+9230+Tape+Measure%2C+30-Foot+Magnetic+Double-Hook&amp;qid=1695173934&amp;sr=8-1", "https://www.amazon.com/Klein-Tools-Magnetic-Double-Hook-9230KLE/dp/B07WD63HT7/ref=sr_1_1?keywords=Klein+Tools+9230+Tape+Measure%2C+30-Foot+Magnetic+Double-Hook&amp;qid=1695173934&amp;sr=8-1")</f>
        <v>https://www.amazon.com/Klein-Tools-Magnetic-Double-Hook-9230KLE/dp/B07WD63HT7/ref=sr_1_1?keywords=Klein+Tools+9230+Tape+Measure%2C+30-Foot+Magnetic+Double-Hook&amp;qid=1695173934&amp;sr=8-1</v>
      </c>
      <c r="F6396" t="s">
        <v>5075</v>
      </c>
      <c r="G6396" t="e">
        <f ca="1">_xludf.IMAGE("https://edmondsonsupply.com/cdn/shop/products/9230_photo.jpg?v=1587150845")</f>
        <v>#NAME?</v>
      </c>
      <c r="H6396" t="e">
        <f ca="1">_xludf.IMAGE("https://m.media-amazon.com/images/I/51s8pyLU6TL._AC_UL320_.jpg")</f>
        <v>#NAME?</v>
      </c>
      <c r="I6396" t="s">
        <v>4310</v>
      </c>
      <c r="J6396">
        <v>30.99</v>
      </c>
      <c r="K6396" s="4">
        <v>-8.8300000000000003E-2</v>
      </c>
      <c r="L6396">
        <v>4.5999999999999996</v>
      </c>
      <c r="M6396">
        <v>465</v>
      </c>
      <c r="O6396" t="s">
        <v>25</v>
      </c>
      <c r="P6396" t="s">
        <v>5076</v>
      </c>
      <c r="Q6396" t="s">
        <v>5077</v>
      </c>
    </row>
    <row r="6397" spans="1:17" ht="15.5" x14ac:dyDescent="0.35">
      <c r="A6397"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6397"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6397" t="s">
        <v>7067</v>
      </c>
      <c r="D6397" t="s">
        <v>7541</v>
      </c>
      <c r="E6397" s="3" t="str">
        <f>HYPERLINK("https://www.amazon.com/Diablo-DOU350RBGP-Universal-Bi-Metal-Oscillating/dp/B089LLG8ZQ/ref=sr_1_8?keywords=Diablo+Tools+DOU250BW+2-1%2F2+in.+Universal+Fit+Bi-Metal+Oscillating+Blade+for+Nail-Embedded+Wood&amp;qid=1695174021&amp;sr=8-8", "https://www.amazon.com/Diablo-DOU350RBGP-Universal-Bi-Metal-Oscillating/dp/B089LLG8ZQ/ref=sr_1_8?keywords=Diablo+Tools+DOU250BW+2-1%2F2+in.+Universal+Fit+Bi-Metal+Oscillating+Blade+for+Nail-Embedded+Wood&amp;qid=1695174021&amp;sr=8-8")</f>
        <v>https://www.amazon.com/Diablo-DOU350RBGP-Universal-Bi-Metal-Oscillating/dp/B089LLG8ZQ/ref=sr_1_8?keywords=Diablo+Tools+DOU250BW+2-1%2F2+in.+Universal+Fit+Bi-Metal+Oscillating+Blade+for+Nail-Embedded+Wood&amp;qid=1695174021&amp;sr=8-8</v>
      </c>
      <c r="F6397" t="s">
        <v>7542</v>
      </c>
      <c r="G6397" t="e">
        <f ca="1">_xludf.IMAGE("https://edmondsonsupply.com/cdn/shop/files/xcched1uye7bv2s0ryod.webp?v=1685717397")</f>
        <v>#NAME?</v>
      </c>
      <c r="H6397" t="e">
        <f ca="1">_xludf.IMAGE("https://m.media-amazon.com/images/I/71xBW7MA1oL._AC_UL320_.jpg")</f>
        <v>#NAME?</v>
      </c>
      <c r="I6397" t="s">
        <v>893</v>
      </c>
      <c r="J6397">
        <v>18.2</v>
      </c>
      <c r="K6397" s="4">
        <v>-8.8599999999999998E-2</v>
      </c>
      <c r="L6397">
        <v>4.4000000000000004</v>
      </c>
      <c r="M6397">
        <v>8</v>
      </c>
      <c r="O6397" t="s">
        <v>25</v>
      </c>
      <c r="P6397" t="s">
        <v>6936</v>
      </c>
      <c r="Q6397" t="s">
        <v>7068</v>
      </c>
    </row>
    <row r="6398" spans="1:17" ht="15.5" x14ac:dyDescent="0.35">
      <c r="A6398" s="3" t="str">
        <f>HYPERLINK("https://edmondsonsupply.com/collections/electricians-tools/products/klein-tools-646-1-4-1-4-inch-nut-driver-with-6-inch-hollow-shaft", "https://edmondsonsupply.com/collections/electricians-tools/products/klein-tools-646-1-4-1-4-inch-nut-driver-with-6-inch-hollow-shaft")</f>
        <v>https://edmondsonsupply.com/collections/electricians-tools/products/klein-tools-646-1-4-1-4-inch-nut-driver-with-6-inch-hollow-shaft</v>
      </c>
      <c r="B6398" s="3" t="str">
        <f>HYPERLINK("https://edmondsonsupply.com/products/klein-tools-646-1-4-1-4-inch-nut-driver-with-6-inch-hollow-shaft", "https://edmondsonsupply.com/products/klein-tools-646-1-4-1-4-inch-nut-driver-with-6-inch-hollow-shaft")</f>
        <v>https://edmondsonsupply.com/products/klein-tools-646-1-4-1-4-inch-nut-driver-with-6-inch-hollow-shaft</v>
      </c>
      <c r="C6398" t="s">
        <v>1478</v>
      </c>
      <c r="D6398" t="s">
        <v>5078</v>
      </c>
      <c r="E6398" s="3" t="str">
        <f>HYPERLINK("https://www.amazon.com/Klein-S8-4-Inch-Hollow-Shank-Driver/dp/B0000302VS/ref=sr_1_8?keywords=Klein+Tools+646-1%2F4+1%2F4-Inch+Nut+Driver+with+6-Inch+Hollow+Shaft&amp;qid=1695173897&amp;sr=8-8", "https://www.amazon.com/Klein-S8-4-Inch-Hollow-Shank-Driver/dp/B0000302VS/ref=sr_1_8?keywords=Klein+Tools+646-1%2F4+1%2F4-Inch+Nut+Driver+with+6-Inch+Hollow+Shaft&amp;qid=1695173897&amp;sr=8-8")</f>
        <v>https://www.amazon.com/Klein-S8-4-Inch-Hollow-Shank-Driver/dp/B0000302VS/ref=sr_1_8?keywords=Klein+Tools+646-1%2F4+1%2F4-Inch+Nut+Driver+with+6-Inch+Hollow+Shaft&amp;qid=1695173897&amp;sr=8-8</v>
      </c>
      <c r="F6398" t="s">
        <v>5079</v>
      </c>
      <c r="G6398" t="e">
        <f ca="1">_xludf.IMAGE("https://edmondsonsupply.com/cdn/shop/products/646-1-2_08d87fa9-eac4-4869-8d3b-bb680d4b1d53.jpg?v=1587150676")</f>
        <v>#NAME?</v>
      </c>
      <c r="H6398" t="e">
        <f ca="1">_xludf.IMAGE("https://m.media-amazon.com/images/I/41LI6wTa36L._AC_UL320_.jpg")</f>
        <v>#NAME?</v>
      </c>
      <c r="I6398" t="s">
        <v>1003</v>
      </c>
      <c r="J6398">
        <v>7.28</v>
      </c>
      <c r="K6398" s="4">
        <v>-8.8900000000000007E-2</v>
      </c>
      <c r="L6398">
        <v>4.5</v>
      </c>
      <c r="M6398">
        <v>225</v>
      </c>
      <c r="O6398" t="s">
        <v>25</v>
      </c>
      <c r="P6398" t="s">
        <v>1481</v>
      </c>
      <c r="Q6398" t="s">
        <v>1482</v>
      </c>
    </row>
    <row r="6399" spans="1:17" ht="15.5" x14ac:dyDescent="0.35">
      <c r="A6399"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399" s="3" t="str">
        <f>HYPERLINK("https://edmondsonsupply.com/products/klein-tools-635-1-4-1-4-inch-nut-driver-magnetic-tip-4-inch-shaft", "https://edmondsonsupply.com/products/klein-tools-635-1-4-1-4-inch-nut-driver-magnetic-tip-4-inch-shaft")</f>
        <v>https://edmondsonsupply.com/products/klein-tools-635-1-4-1-4-inch-nut-driver-magnetic-tip-4-inch-shaft</v>
      </c>
      <c r="C6399" t="s">
        <v>6817</v>
      </c>
      <c r="D6399" t="s">
        <v>3438</v>
      </c>
      <c r="E6399" s="3" t="str">
        <f>HYPERLINK("https://www.amazon.com/4-Inch-Magnetic-Cushion-Klein-Tools/dp/B01D6DZRFA/ref=sr_1_1?keywords=Klein+Tools+635-1%2F4+1%2F4-Inch+Nut+Driver%2C+Magnetic+Tip%2C+4-Inch+Shaft&amp;qid=1695174156&amp;sr=8-1", "https://www.amazon.com/4-Inch-Magnetic-Cushion-Klein-Tools/dp/B01D6DZRFA/ref=sr_1_1?keywords=Klein+Tools+635-1%2F4+1%2F4-Inch+Nut+Driver%2C+Magnetic+Tip%2C+4-Inch+Shaft&amp;qid=1695174156&amp;sr=8-1")</f>
        <v>https://www.amazon.com/4-Inch-Magnetic-Cushion-Klein-Tools/dp/B01D6DZRFA/ref=sr_1_1?keywords=Klein+Tools+635-1%2F4+1%2F4-Inch+Nut+Driver%2C+Magnetic+Tip%2C+4-Inch+Shaft&amp;qid=1695174156&amp;sr=8-1</v>
      </c>
      <c r="F6399" t="s">
        <v>3439</v>
      </c>
      <c r="G6399" t="e">
        <f ca="1">_xludf.IMAGE("https://edmondsonsupply.com/cdn/shop/products/635-1-4.jpg?v=1666811523")</f>
        <v>#NAME?</v>
      </c>
      <c r="H6399" t="e">
        <f ca="1">_xludf.IMAGE("https://m.media-amazon.com/images/I/41DrStZKvjL._AC_UL320_.jpg")</f>
        <v>#NAME?</v>
      </c>
      <c r="I6399" t="s">
        <v>2337</v>
      </c>
      <c r="J6399">
        <v>10.91</v>
      </c>
      <c r="K6399" s="4">
        <v>-9.01E-2</v>
      </c>
      <c r="L6399">
        <v>4.7</v>
      </c>
      <c r="M6399">
        <v>971</v>
      </c>
      <c r="O6399" t="s">
        <v>25</v>
      </c>
      <c r="P6399" t="s">
        <v>1212</v>
      </c>
      <c r="Q6399" t="s">
        <v>6818</v>
      </c>
    </row>
    <row r="6400" spans="1:17" ht="15.5" x14ac:dyDescent="0.35">
      <c r="A6400" s="3" t="str">
        <f>HYPERLINK("https://edmondsonsupply.com/collections/electricians-tools/products/channellock-87", "https://edmondsonsupply.com/collections/electricians-tools/products/channellock-87")</f>
        <v>https://edmondsonsupply.com/collections/electricians-tools/products/channellock-87</v>
      </c>
      <c r="B6400" s="3" t="str">
        <f>HYPERLINK("https://edmondsonsupply.com/products/channellock-87", "https://edmondsonsupply.com/products/channellock-87")</f>
        <v>https://edmondsonsupply.com/products/channellock-87</v>
      </c>
      <c r="C6400" t="s">
        <v>5085</v>
      </c>
      <c r="D6400" t="s">
        <v>5086</v>
      </c>
      <c r="E6400" s="3" t="str">
        <f>HYPERLINK("https://www.amazon.com/Channellock-86-Spring-Loaded-Compact/dp/B00X3WJ50S/ref=sr_1_2?keywords=Channellock+87+9%22+Rescue+Tool&amp;qid=1695173922&amp;sr=8-2", "https://www.amazon.com/Channellock-86-Spring-Loaded-Compact/dp/B00X3WJ50S/ref=sr_1_2?keywords=Channellock+87+9%22+Rescue+Tool&amp;qid=1695173922&amp;sr=8-2")</f>
        <v>https://www.amazon.com/Channellock-86-Spring-Loaded-Compact/dp/B00X3WJ50S/ref=sr_1_2?keywords=Channellock+87+9%22+Rescue+Tool&amp;qid=1695173922&amp;sr=8-2</v>
      </c>
      <c r="F6400" t="s">
        <v>5087</v>
      </c>
      <c r="G6400" t="e">
        <f ca="1">_xludf.IMAGE("https://edmondsonsupply.com/cdn/shop/products/87.png?v=1587151315")</f>
        <v>#NAME?</v>
      </c>
      <c r="H6400" t="e">
        <f ca="1">_xludf.IMAGE("https://m.media-amazon.com/images/I/7192vROD+kL._AC_UL320_.jpg")</f>
        <v>#NAME?</v>
      </c>
      <c r="I6400" t="s">
        <v>5088</v>
      </c>
      <c r="J6400">
        <v>49.99</v>
      </c>
      <c r="K6400" s="4">
        <v>-9.0300000000000005E-2</v>
      </c>
      <c r="L6400">
        <v>4.7</v>
      </c>
      <c r="M6400">
        <v>1031</v>
      </c>
      <c r="O6400" t="s">
        <v>25</v>
      </c>
      <c r="P6400" t="s">
        <v>5089</v>
      </c>
      <c r="Q6400" t="s">
        <v>5090</v>
      </c>
    </row>
    <row r="6401" spans="1:17" ht="15.5" x14ac:dyDescent="0.35">
      <c r="A6401" s="3" t="str">
        <f>HYPERLINK("https://edmondsonsupply.com/collections/electricians-tools/products/diablo-tools-d0536x-5-3-8-in-x-36-tooth-finish-trim-saw-blade", "https://edmondsonsupply.com/collections/electricians-tools/products/diablo-tools-d0536x-5-3-8-in-x-36-tooth-finish-trim-saw-blade")</f>
        <v>https://edmondsonsupply.com/collections/electricians-tools/products/diablo-tools-d0536x-5-3-8-in-x-36-tooth-finish-trim-saw-blade</v>
      </c>
      <c r="B6401" s="3" t="str">
        <f>HYPERLINK("https://edmondsonsupply.com/products/diablo-tools-d0536x-5-3-8-in-x-36-tooth-finish-trim-saw-blade", "https://edmondsonsupply.com/products/diablo-tools-d0536x-5-3-8-in-x-36-tooth-finish-trim-saw-blade")</f>
        <v>https://edmondsonsupply.com/products/diablo-tools-d0536x-5-3-8-in-x-36-tooth-finish-trim-saw-blade</v>
      </c>
      <c r="C6401" t="s">
        <v>6538</v>
      </c>
      <c r="D6401" t="s">
        <v>7813</v>
      </c>
      <c r="E6401" s="3" t="str">
        <f>HYPERLINK("https://www.amazon.com/Freud-D0436X-Cordless-20-Millimeter-Reducer/dp/B0002TUFAO/ref=sr_1_8?keywords=Diablo+Tools+D0536X+5-3%2F8+in.+x+36+Tooth+Finish+Trim+Saw+Blade&amp;qid=1695174052&amp;sr=8-8", "https://www.amazon.com/Freud-D0436X-Cordless-20-Millimeter-Reducer/dp/B0002TUFAO/ref=sr_1_8?keywords=Diablo+Tools+D0536X+5-3%2F8+in.+x+36+Tooth+Finish+Trim+Saw+Blade&amp;qid=1695174052&amp;sr=8-8")</f>
        <v>https://www.amazon.com/Freud-D0436X-Cordless-20-Millimeter-Reducer/dp/B0002TUFAO/ref=sr_1_8?keywords=Diablo+Tools+D0536X+5-3%2F8+in.+x+36+Tooth+Finish+Trim+Saw+Blade&amp;qid=1695174052&amp;sr=8-8</v>
      </c>
      <c r="F6401" t="s">
        <v>7814</v>
      </c>
      <c r="G6401" t="e">
        <f ca="1">_xludf.IMAGE("https://edmondsonsupply.com/cdn/shop/products/tlu1mfykudka2gxayxql.webp?v=1679326425")</f>
        <v>#NAME?</v>
      </c>
      <c r="H6401" t="e">
        <f ca="1">_xludf.IMAGE("https://m.media-amazon.com/images/I/81ODrvwzTbL._AC_UL320_.jpg")</f>
        <v>#NAME?</v>
      </c>
      <c r="I6401" t="s">
        <v>4985</v>
      </c>
      <c r="J6401">
        <v>15.43</v>
      </c>
      <c r="K6401" s="4">
        <v>-9.0700000000000003E-2</v>
      </c>
      <c r="L6401">
        <v>4.7</v>
      </c>
      <c r="M6401">
        <v>1258</v>
      </c>
      <c r="O6401" t="s">
        <v>25</v>
      </c>
      <c r="P6401" t="s">
        <v>6541</v>
      </c>
      <c r="Q6401" t="s">
        <v>6542</v>
      </c>
    </row>
    <row r="6402" spans="1:17" ht="15.5" x14ac:dyDescent="0.35">
      <c r="A6402" s="3" t="str">
        <f>HYPERLINK("https://edmondsonsupply.com/collections/electricians-tools/products/diablo-tools-dag3040-9-16-in-x-17-1-2-in-auger-bit", "https://edmondsonsupply.com/collections/electricians-tools/products/diablo-tools-dag3040-9-16-in-x-17-1-2-in-auger-bit")</f>
        <v>https://edmondsonsupply.com/collections/electricians-tools/products/diablo-tools-dag3040-9-16-in-x-17-1-2-in-auger-bit</v>
      </c>
      <c r="B6402" s="3" t="str">
        <f>HYPERLINK("https://edmondsonsupply.com/products/diablo-tools-dag3040-9-16-in-x-17-1-2-in-auger-bit", "https://edmondsonsupply.com/products/diablo-tools-dag3040-9-16-in-x-17-1-2-in-auger-bit")</f>
        <v>https://edmondsonsupply.com/products/diablo-tools-dag3040-9-16-in-x-17-1-2-in-auger-bit</v>
      </c>
      <c r="C6402" t="s">
        <v>7382</v>
      </c>
      <c r="D6402" t="s">
        <v>8476</v>
      </c>
      <c r="E6402" s="3" t="str">
        <f>HYPERLINK("https://www.amazon.com/Diablo-DAG3020-17-1-Auger-Bit/dp/B089LGWKFF/ref=sr_1_7?keywords=Diablo+Tools+DAG3040+9%2F16+in.+x+17-1%2F2+in.+Auger+Bit&amp;qid=1695174106&amp;sr=8-7", "https://www.amazon.com/Diablo-DAG3020-17-1-Auger-Bit/dp/B089LGWKFF/ref=sr_1_7?keywords=Diablo+Tools+DAG3040+9%2F16+in.+x+17-1%2F2+in.+Auger+Bit&amp;qid=1695174106&amp;sr=8-7")</f>
        <v>https://www.amazon.com/Diablo-DAG3020-17-1-Auger-Bit/dp/B089LGWKFF/ref=sr_1_7?keywords=Diablo+Tools+DAG3040+9%2F16+in.+x+17-1%2F2+in.+Auger+Bit&amp;qid=1695174106&amp;sr=8-7</v>
      </c>
      <c r="F6402" t="s">
        <v>8477</v>
      </c>
      <c r="G6402" t="e">
        <f ca="1">_xludf.IMAGE("https://edmondsonsupply.com/cdn/shop/products/fmfcptadhtney3owwa7y.webp?v=1669993222")</f>
        <v>#NAME?</v>
      </c>
      <c r="H6402" t="e">
        <f ca="1">_xludf.IMAGE("https://m.media-amazon.com/images/I/61XUUNTev0L._AC_UL320_.jpg")</f>
        <v>#NAME?</v>
      </c>
      <c r="I6402" t="s">
        <v>7383</v>
      </c>
      <c r="J6402">
        <v>16.21</v>
      </c>
      <c r="K6402" s="4">
        <v>-9.0899999999999995E-2</v>
      </c>
      <c r="L6402">
        <v>5</v>
      </c>
      <c r="M6402">
        <v>2</v>
      </c>
      <c r="O6402" t="s">
        <v>25</v>
      </c>
      <c r="P6402" t="s">
        <v>7384</v>
      </c>
      <c r="Q6402" t="s">
        <v>7385</v>
      </c>
    </row>
    <row r="6403" spans="1:17" ht="15.5" x14ac:dyDescent="0.35">
      <c r="A6403" s="3" t="str">
        <f>HYPERLINK("https://edmondsonsupply.com/collections/electricians-tools/products/klein-tools-69358-lead-adapters-20-foot", "https://edmondsonsupply.com/collections/electricians-tools/products/klein-tools-69358-lead-adapters-20-foot")</f>
        <v>https://edmondsonsupply.com/collections/electricians-tools/products/klein-tools-69358-lead-adapters-20-foot</v>
      </c>
      <c r="B6403" s="3" t="str">
        <f>HYPERLINK("https://edmondsonsupply.com/products/klein-tools-69358-lead-adapters-20-foot", "https://edmondsonsupply.com/products/klein-tools-69358-lead-adapters-20-foot")</f>
        <v>https://edmondsonsupply.com/products/klein-tools-69358-lead-adapters-20-foot</v>
      </c>
      <c r="C6403" t="s">
        <v>8530</v>
      </c>
      <c r="D6403" t="s">
        <v>8180</v>
      </c>
      <c r="E6403" s="3" t="str">
        <f>HYPERLINK("https://www.amazon.com/Klein-Tools-69359-Banana-Type-Connectors/dp/B0BN2HNCLV/ref=sr_1_2?keywords=Klein+Tools+69358+Lead+Adapters%2C+20-Foot&amp;qid=1695174080&amp;sr=8-2", "https://www.amazon.com/Klein-Tools-69359-Banana-Type-Connectors/dp/B0BN2HNCLV/ref=sr_1_2?keywords=Klein+Tools+69358+Lead+Adapters%2C+20-Foot&amp;qid=1695174080&amp;sr=8-2")</f>
        <v>https://www.amazon.com/Klein-Tools-69359-Banana-Type-Connectors/dp/B0BN2HNCLV/ref=sr_1_2?keywords=Klein+Tools+69358+Lead+Adapters%2C+20-Foot&amp;qid=1695174080&amp;sr=8-2</v>
      </c>
      <c r="F6403" t="s">
        <v>8181</v>
      </c>
      <c r="G6403" t="e">
        <f ca="1">_xludf.IMAGE("https://edmondsonsupply.com/cdn/shop/products/69358.jpg?v=1674489737")</f>
        <v>#NAME?</v>
      </c>
      <c r="H6403" t="e">
        <f ca="1">_xludf.IMAGE("https://m.media-amazon.com/images/I/51TpShexYpL._AC_UL320_.jpg")</f>
        <v>#NAME?</v>
      </c>
      <c r="I6403" t="s">
        <v>1158</v>
      </c>
      <c r="J6403">
        <v>19.989999999999998</v>
      </c>
      <c r="K6403" s="4">
        <v>-9.0999999999999998E-2</v>
      </c>
      <c r="L6403">
        <v>5</v>
      </c>
      <c r="M6403">
        <v>1</v>
      </c>
      <c r="O6403" t="s">
        <v>25</v>
      </c>
      <c r="P6403" t="s">
        <v>8531</v>
      </c>
      <c r="Q6403" t="s">
        <v>8532</v>
      </c>
    </row>
    <row r="6404" spans="1:17" ht="15.5" x14ac:dyDescent="0.35">
      <c r="A6404" s="3" t="str">
        <f>HYPERLINK("https://edmondsonsupply.com/collections/electricians-tools/products/klein-tools-56414-rechargeable-2-color-led-headlamp-with-adjustable-strap", "https://edmondsonsupply.com/collections/electricians-tools/products/klein-tools-56414-rechargeable-2-color-led-headlamp-with-adjustable-strap")</f>
        <v>https://edmondsonsupply.com/collections/electricians-tools/products/klein-tools-56414-rechargeable-2-color-led-headlamp-with-adjustable-strap</v>
      </c>
      <c r="B6404" s="3" t="str">
        <f>HYPERLINK("https://edmondsonsupply.com/products/klein-tools-56414-rechargeable-2-color-led-headlamp-with-adjustable-strap", "https://edmondsonsupply.com/products/klein-tools-56414-rechargeable-2-color-led-headlamp-with-adjustable-strap")</f>
        <v>https://edmondsonsupply.com/products/klein-tools-56414-rechargeable-2-color-led-headlamp-with-adjustable-strap</v>
      </c>
      <c r="C6404" t="s">
        <v>8533</v>
      </c>
      <c r="D6404" t="s">
        <v>8534</v>
      </c>
      <c r="E6404" s="3" t="str">
        <f>HYPERLINK("https://www.amazon.com/Klein-Tools-56414-Rechargeable-Floodlight/dp/B09482MPPZ/ref=sr_1_1?keywords=Klein+Tools+56414+Rechargeable+2-Color+LED+Headlamp+with+Adjustable+Strap&amp;qid=1695174150&amp;sr=8-1", "https://www.amazon.com/Klein-Tools-56414-Rechargeable-Floodlight/dp/B09482MPPZ/ref=sr_1_1?keywords=Klein+Tools+56414+Rechargeable+2-Color+LED+Headlamp+with+Adjustable+Strap&amp;qid=1695174150&amp;sr=8-1")</f>
        <v>https://www.amazon.com/Klein-Tools-56414-Rechargeable-Floodlight/dp/B09482MPPZ/ref=sr_1_1?keywords=Klein+Tools+56414+Rechargeable+2-Color+LED+Headlamp+with+Adjustable+Strap&amp;qid=1695174150&amp;sr=8-1</v>
      </c>
      <c r="F6404" t="s">
        <v>8535</v>
      </c>
      <c r="G6404" t="e">
        <f ca="1">_xludf.IMAGE("https://edmondsonsupply.com/cdn/shop/products/56414.jpg?v=1663954728")</f>
        <v>#NAME?</v>
      </c>
      <c r="H6404" t="e">
        <f ca="1">_xludf.IMAGE("https://m.media-amazon.com/images/I/51qWbdOxpNS._AC_UL320_.jpg")</f>
        <v>#NAME?</v>
      </c>
      <c r="I6404" t="s">
        <v>3359</v>
      </c>
      <c r="J6404">
        <v>49.97</v>
      </c>
      <c r="K6404" s="4">
        <v>-9.0999999999999998E-2</v>
      </c>
      <c r="L6404">
        <v>4.3</v>
      </c>
      <c r="M6404">
        <v>247</v>
      </c>
      <c r="O6404" t="s">
        <v>25</v>
      </c>
      <c r="P6404" t="s">
        <v>8536</v>
      </c>
      <c r="Q6404" t="s">
        <v>8537</v>
      </c>
    </row>
    <row r="6405" spans="1:17" ht="15.5" x14ac:dyDescent="0.35">
      <c r="A6405" s="3" t="str">
        <f>HYPERLINK("https://edmondsonsupply.com/collections/electricians-tools/products/klein-tools-85073ins-screwdriver-set-1000v-insulated-3-piece", "https://edmondsonsupply.com/collections/electricians-tools/products/klein-tools-85073ins-screwdriver-set-1000v-insulated-3-piece")</f>
        <v>https://edmondsonsupply.com/collections/electricians-tools/products/klein-tools-85073ins-screwdriver-set-1000v-insulated-3-piece</v>
      </c>
      <c r="B6405" s="3" t="str">
        <f>HYPERLINK("https://edmondsonsupply.com/products/klein-tools-85073ins-screwdriver-set-1000v-insulated-3-piece", "https://edmondsonsupply.com/products/klein-tools-85073ins-screwdriver-set-1000v-insulated-3-piece")</f>
        <v>https://edmondsonsupply.com/products/klein-tools-85073ins-screwdriver-set-1000v-insulated-3-piece</v>
      </c>
      <c r="C6405" t="s">
        <v>2244</v>
      </c>
      <c r="D6405" t="s">
        <v>5091</v>
      </c>
      <c r="E6405" s="3" t="str">
        <f>HYPERLINK("https://www.amazon.com/Klein-Tools-85073INS-Insulated-Screwdriver/dp/B0BF79WQZX/ref=sr_1_1?keywords=Klein+Tools+85073INS+Screwdriver+Set%2C+1000V+Insulated%2C+3-Piece&amp;qid=1695173857&amp;sr=8-1", "https://www.amazon.com/Klein-Tools-85073INS-Insulated-Screwdriver/dp/B0BF79WQZX/ref=sr_1_1?keywords=Klein+Tools+85073INS+Screwdriver+Set%2C+1000V+Insulated%2C+3-Piece&amp;qid=1695173857&amp;sr=8-1")</f>
        <v>https://www.amazon.com/Klein-Tools-85073INS-Insulated-Screwdriver/dp/B0BF79WQZX/ref=sr_1_1?keywords=Klein+Tools+85073INS+Screwdriver+Set%2C+1000V+Insulated%2C+3-Piece&amp;qid=1695173857&amp;sr=8-1</v>
      </c>
      <c r="F6405" t="s">
        <v>5092</v>
      </c>
      <c r="G6405" t="e">
        <f ca="1">_xludf.IMAGE("https://edmondsonsupply.com/cdn/shop/products/85073ins.jpg?v=1664890503")</f>
        <v>#NAME?</v>
      </c>
      <c r="H6405" t="e">
        <f ca="1">_xludf.IMAGE("https://m.media-amazon.com/images/I/51dL7msUIqL._AC_UL320_.jpg")</f>
        <v>#NAME?</v>
      </c>
      <c r="I6405" t="s">
        <v>2247</v>
      </c>
      <c r="J6405">
        <v>19.97</v>
      </c>
      <c r="K6405" s="4">
        <v>-9.0999999999999998E-2</v>
      </c>
      <c r="L6405">
        <v>4.9000000000000004</v>
      </c>
      <c r="M6405">
        <v>205</v>
      </c>
      <c r="O6405" t="s">
        <v>25</v>
      </c>
      <c r="P6405" t="s">
        <v>2158</v>
      </c>
      <c r="Q6405" t="s">
        <v>2248</v>
      </c>
    </row>
    <row r="6406" spans="1:17" ht="15.5" x14ac:dyDescent="0.35">
      <c r="A6406" s="3" t="str">
        <f>HYPERLINK("https://edmondsonsupply.com/collections/electricians-tools/products/channellock-432", "https://edmondsonsupply.com/collections/electricians-tools/products/channellock-432")</f>
        <v>https://edmondsonsupply.com/collections/electricians-tools/products/channellock-432</v>
      </c>
      <c r="B6406" s="3" t="str">
        <f>HYPERLINK("https://edmondsonsupply.com/products/channellock-432", "https://edmondsonsupply.com/products/channellock-432")</f>
        <v>https://edmondsonsupply.com/products/channellock-432</v>
      </c>
      <c r="C6406" t="s">
        <v>2472</v>
      </c>
      <c r="D6406" t="s">
        <v>3909</v>
      </c>
      <c r="E6406" s="3" t="str">
        <f>HYPERLINK("https://www.amazon.com/Channellock-430-Straight-Heat-Treated-Reinforcing/dp/B00002N5JF/ref=sr_1_6?keywords=Channellock+440+12%22+Straight+Jaw+Tongue+%26+Groove+Pliers&amp;qid=1695173955&amp;sr=8-6", "https://www.amazon.com/Channellock-430-Straight-Heat-Treated-Reinforcing/dp/B00002N5JF/ref=sr_1_6?keywords=Channellock+440+12%22+Straight+Jaw+Tongue+%26+Groove+Pliers&amp;qid=1695173955&amp;sr=8-6")</f>
        <v>https://www.amazon.com/Channellock-430-Straight-Heat-Treated-Reinforcing/dp/B00002N5JF/ref=sr_1_6?keywords=Channellock+440+12%22+Straight+Jaw+Tongue+%26+Groove+Pliers&amp;qid=1695173955&amp;sr=8-6</v>
      </c>
      <c r="F6406" t="s">
        <v>3910</v>
      </c>
      <c r="G6406" t="e">
        <f ca="1">_xludf.IMAGE("https://edmondsonsupply.com/cdn/shop/products/440-546x1024.jpg?v=1587148892")</f>
        <v>#NAME?</v>
      </c>
      <c r="H6406" t="e">
        <f ca="1">_xludf.IMAGE("https://m.media-amazon.com/images/I/71JqgqffnnL._AC_UL320_.jpg")</f>
        <v>#NAME?</v>
      </c>
      <c r="I6406" t="s">
        <v>2475</v>
      </c>
      <c r="J6406">
        <v>19.95</v>
      </c>
      <c r="K6406" s="4">
        <v>-9.11E-2</v>
      </c>
      <c r="L6406">
        <v>4.8</v>
      </c>
      <c r="M6406">
        <v>2191</v>
      </c>
      <c r="O6406" t="s">
        <v>25</v>
      </c>
      <c r="P6406" t="s">
        <v>2476</v>
      </c>
      <c r="Q6406" t="s">
        <v>2477</v>
      </c>
    </row>
    <row r="6407" spans="1:17" ht="15.5" x14ac:dyDescent="0.35">
      <c r="A6407"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6407" s="3" t="str">
        <f>HYPERLINK("https://edmondsonsupply.com/products/klein-tools-j203-8-pliers-needle-nose-side-cutters-8-inch", "https://edmondsonsupply.com/products/klein-tools-j203-8-pliers-needle-nose-side-cutters-8-inch")</f>
        <v>https://edmondsonsupply.com/products/klein-tools-j203-8-pliers-needle-nose-side-cutters-8-inch</v>
      </c>
      <c r="C6407" t="s">
        <v>6516</v>
      </c>
      <c r="D6407" t="s">
        <v>8538</v>
      </c>
      <c r="E6407" s="3" t="str">
        <f>HYPERLINK("https://www.amazon.com/J203-8N-Pliers-Side-Cutters-Stripping-8-Inch/dp/B0006M6Y9I/ref=sr_1_1?keywords=Klein+Tools+J203-8+Pliers%2C+Needle+Nose+Side-Cutters%2C+8-Inch&amp;qid=1695174221&amp;sr=8-1", "https://www.amazon.com/J203-8N-Pliers-Side-Cutters-Stripping-8-Inch/dp/B0006M6Y9I/ref=sr_1_1?keywords=Klein+Tools+J203-8+Pliers%2C+Needle+Nose+Side-Cutters%2C+8-Inch&amp;qid=1695174221&amp;sr=8-1")</f>
        <v>https://www.amazon.com/J203-8N-Pliers-Side-Cutters-Stripping-8-Inch/dp/B0006M6Y9I/ref=sr_1_1?keywords=Klein+Tools+J203-8+Pliers%2C+Needle+Nose+Side-Cutters%2C+8-Inch&amp;qid=1695174221&amp;sr=8-1</v>
      </c>
      <c r="F6407" t="s">
        <v>8539</v>
      </c>
      <c r="G6407" t="e">
        <f ca="1">_xludf.IMAGE("https://edmondsonsupply.com/cdn/shop/products/j2038.jpg?v=1644709677")</f>
        <v>#NAME?</v>
      </c>
      <c r="H6407" t="e">
        <f ca="1">_xludf.IMAGE("https://m.media-amazon.com/images/I/511XF+VkgwL._AC_UL320_.jpg")</f>
        <v>#NAME?</v>
      </c>
      <c r="I6407" t="s">
        <v>6519</v>
      </c>
      <c r="J6407">
        <v>34.97</v>
      </c>
      <c r="K6407" s="4">
        <v>-9.1499999999999998E-2</v>
      </c>
      <c r="L6407">
        <v>4.8</v>
      </c>
      <c r="M6407">
        <v>1333</v>
      </c>
      <c r="O6407" t="s">
        <v>25</v>
      </c>
      <c r="P6407" t="s">
        <v>6520</v>
      </c>
      <c r="Q6407" t="s">
        <v>6521</v>
      </c>
    </row>
    <row r="6408" spans="1:17" ht="15.5" x14ac:dyDescent="0.35">
      <c r="A6408"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6408"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6408" t="s">
        <v>3118</v>
      </c>
      <c r="D6408" t="s">
        <v>5099</v>
      </c>
      <c r="E6408" s="3" t="str">
        <f>HYPERLINK("https://www.amazon.com/Journeyman-T-Handle-Klein-Tools-JTH6T40/dp/B005G3B500/ref=sr_1_8?keywords=Klein+Tools+JTH4E17+1%2F2-Inch+Hex+Key%2C+Journeyman+T-Handle%2C+4-Inch&amp;qid=1695173921&amp;sr=8-8", "https://www.amazon.com/Journeyman-T-Handle-Klein-Tools-JTH6T40/dp/B005G3B500/ref=sr_1_8?keywords=Klein+Tools+JTH4E17+1%2F2-Inch+Hex+Key%2C+Journeyman+T-Handle%2C+4-Inch&amp;qid=1695173921&amp;sr=8-8")</f>
        <v>https://www.amazon.com/Journeyman-T-Handle-Klein-Tools-JTH6T40/dp/B005G3B500/ref=sr_1_8?keywords=Klein+Tools+JTH4E17+1%2F2-Inch+Hex+Key%2C+Journeyman+T-Handle%2C+4-Inch&amp;qid=1695173921&amp;sr=8-8</v>
      </c>
      <c r="F6408" t="s">
        <v>5100</v>
      </c>
      <c r="G6408" t="e">
        <f ca="1">_xludf.IMAGE("https://edmondsonsupply.com/cdn/shop/products/jth4e17_583549be-7b42-43c7-9c3d-a92f2416ede5.jpg?v=1610655610")</f>
        <v>#NAME?</v>
      </c>
      <c r="H6408" t="e">
        <f ca="1">_xludf.IMAGE("https://m.media-amazon.com/images/I/51Xj0Vsb-EL._AC_UL320_.jpg")</f>
        <v>#NAME?</v>
      </c>
      <c r="I6408" t="s">
        <v>252</v>
      </c>
      <c r="J6408">
        <v>14.51</v>
      </c>
      <c r="K6408" s="4">
        <v>-9.2600000000000002E-2</v>
      </c>
      <c r="L6408">
        <v>4.8</v>
      </c>
      <c r="M6408">
        <v>1544</v>
      </c>
      <c r="O6408" t="s">
        <v>25</v>
      </c>
      <c r="P6408" t="s">
        <v>3121</v>
      </c>
      <c r="Q6408" t="s">
        <v>3122</v>
      </c>
    </row>
    <row r="6409" spans="1:17" ht="15.5" x14ac:dyDescent="0.35">
      <c r="A6409"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409" s="3" t="str">
        <f>HYPERLINK("https://edmondsonsupply.com/products/klein-tools-d2000-28glw-diagonal-cutting-pliers-hi-viz-8-inch", "https://edmondsonsupply.com/products/klein-tools-d2000-28glw-diagonal-cutting-pliers-hi-viz-8-inch")</f>
        <v>https://edmondsonsupply.com/products/klein-tools-d2000-28glw-diagonal-cutting-pliers-hi-viz-8-inch</v>
      </c>
      <c r="C6409" t="s">
        <v>4233</v>
      </c>
      <c r="D6409" t="s">
        <v>5101</v>
      </c>
      <c r="E6409" s="3" t="str">
        <f>HYPERLINK("https://www.amazon.com/Diagonal-Cutting-Klein-Tools-D248-8-GLW/dp/B00LMM39TY/ref=sr_1_3?keywords=Klein+Tools+D200028GLW+Diagonal+Cutting+Pliers%2C+High-Visibility%2C+8-Inch&amp;qid=1695173928&amp;sr=8-3", "https://www.amazon.com/Diagonal-Cutting-Klein-Tools-D248-8-GLW/dp/B00LMM39TY/ref=sr_1_3?keywords=Klein+Tools+D200028GLW+Diagonal+Cutting+Pliers%2C+High-Visibility%2C+8-Inch&amp;qid=1695173928&amp;sr=8-3")</f>
        <v>https://www.amazon.com/Diagonal-Cutting-Klein-Tools-D248-8-GLW/dp/B00LMM39TY/ref=sr_1_3?keywords=Klein+Tools+D200028GLW+Diagonal+Cutting+Pliers%2C+High-Visibility%2C+8-Inch&amp;qid=1695173928&amp;sr=8-3</v>
      </c>
      <c r="F6409" t="s">
        <v>5102</v>
      </c>
      <c r="G6409" t="e">
        <f ca="1">_xludf.IMAGE("https://edmondsonsupply.com/cdn/shop/products/d200028glw.jpg?v=1633030701")</f>
        <v>#NAME?</v>
      </c>
      <c r="H6409" t="e">
        <f ca="1">_xludf.IMAGE("https://m.media-amazon.com/images/I/41HSLnsbFiL._AC_UL320_.jpg")</f>
        <v>#NAME?</v>
      </c>
      <c r="I6409" t="s">
        <v>67</v>
      </c>
      <c r="J6409">
        <v>33.99</v>
      </c>
      <c r="K6409" s="4">
        <v>-9.3399999999999997E-2</v>
      </c>
      <c r="L6409">
        <v>4.9000000000000004</v>
      </c>
      <c r="M6409">
        <v>634</v>
      </c>
      <c r="O6409" t="s">
        <v>25</v>
      </c>
      <c r="P6409" t="s">
        <v>4236</v>
      </c>
      <c r="Q6409" t="s">
        <v>4237</v>
      </c>
    </row>
    <row r="6410" spans="1:17" ht="15.5" x14ac:dyDescent="0.35">
      <c r="A6410" s="3" t="str">
        <f>HYPERLINK("https://edmondsonsupply.com/collections/electricians-tools/products/greenlee-1923a-wire-stripper", "https://edmondsonsupply.com/collections/electricians-tools/products/greenlee-1923a-wire-stripper")</f>
        <v>https://edmondsonsupply.com/collections/electricians-tools/products/greenlee-1923a-wire-stripper</v>
      </c>
      <c r="B6410" s="3" t="str">
        <f>HYPERLINK("https://edmondsonsupply.com/products/greenlee-1923a-wire-stripper", "https://edmondsonsupply.com/products/greenlee-1923a-wire-stripper")</f>
        <v>https://edmondsonsupply.com/products/greenlee-1923a-wire-stripper</v>
      </c>
      <c r="C6410" t="s">
        <v>5103</v>
      </c>
      <c r="D6410" t="s">
        <v>5104</v>
      </c>
      <c r="E6410" s="3" t="str">
        <f>HYPERLINK("https://www.amazon.com/Greenlee-1955-SS-Stainless-Stripper-7-5-Inches/dp/B00GFXD22E/ref=sr_1_3?keywords=Greenlee+1923A+Wire+Stripper%2FCutter%2FCrimper&amp;qid=1695173991&amp;sr=8-3", "https://www.amazon.com/Greenlee-1955-SS-Stainless-Stripper-7-5-Inches/dp/B00GFXD22E/ref=sr_1_3?keywords=Greenlee+1923A+Wire+Stripper%2FCutter%2FCrimper&amp;qid=1695173991&amp;sr=8-3")</f>
        <v>https://www.amazon.com/Greenlee-1955-SS-Stainless-Stripper-7-5-Inches/dp/B00GFXD22E/ref=sr_1_3?keywords=Greenlee+1923A+Wire+Stripper%2FCutter%2FCrimper&amp;qid=1695173991&amp;sr=8-3</v>
      </c>
      <c r="F6410" t="s">
        <v>5105</v>
      </c>
      <c r="G6410" t="e">
        <f ca="1">_xludf.IMAGE("https://edmondsonsupply.com/cdn/shop/files/1923A_72dpi.jpg?v=1687453415")</f>
        <v>#NAME?</v>
      </c>
      <c r="H6410" t="e">
        <f ca="1">_xludf.IMAGE("https://m.media-amazon.com/images/I/818sDIaL7HL._AC_UL320_.jpg")</f>
        <v>#NAME?</v>
      </c>
      <c r="I6410" t="s">
        <v>5106</v>
      </c>
      <c r="J6410">
        <v>25.64</v>
      </c>
      <c r="K6410" s="4">
        <v>-9.3700000000000006E-2</v>
      </c>
      <c r="L6410">
        <v>4.7</v>
      </c>
      <c r="M6410">
        <v>521</v>
      </c>
      <c r="O6410" t="s">
        <v>25</v>
      </c>
      <c r="P6410" t="s">
        <v>5107</v>
      </c>
      <c r="Q6410" t="s">
        <v>5108</v>
      </c>
    </row>
    <row r="6411" spans="1:17" ht="15.5" x14ac:dyDescent="0.35">
      <c r="A6411"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6411" s="3" t="str">
        <f>HYPERLINK("https://edmondsonsupply.com/products/klein-tools-s10-5-16-inch-nut-driver-3-inch-hollow-shaft", "https://edmondsonsupply.com/products/klein-tools-s10-5-16-inch-nut-driver-3-inch-hollow-shaft")</f>
        <v>https://edmondsonsupply.com/products/klein-tools-s10-5-16-inch-nut-driver-3-inch-hollow-shaft</v>
      </c>
      <c r="C6411" t="s">
        <v>7432</v>
      </c>
      <c r="D6411" t="s">
        <v>8540</v>
      </c>
      <c r="E6411" s="3" t="str">
        <f>HYPERLINK("https://www.amazon.com/16-Inch-Comfordome-Klein-Tools-S10/dp/B0000302VV/ref=sr_1_1?keywords=Klein+Tools+S10+5%2F16-Inch+Nut+Driver+3-Inch+Hollow+Shaft&amp;qid=1695174298&amp;sr=8-1", "https://www.amazon.com/16-Inch-Comfordome-Klein-Tools-S10/dp/B0000302VV/ref=sr_1_1?keywords=Klein+Tools+S10+5%2F16-Inch+Nut+Driver+3-Inch+Hollow+Shaft&amp;qid=1695174298&amp;sr=8-1")</f>
        <v>https://www.amazon.com/16-Inch-Comfordome-Klein-Tools-S10/dp/B0000302VV/ref=sr_1_1?keywords=Klein+Tools+S10+5%2F16-Inch+Nut+Driver+3-Inch+Hollow+Shaft&amp;qid=1695174298&amp;sr=8-1</v>
      </c>
      <c r="F6411" t="s">
        <v>8541</v>
      </c>
      <c r="G6411" t="e">
        <f ca="1">_xludf.IMAGE("https://edmondsonsupply.com/cdn/shop/products/s10_38acacb8-6c8e-49ef-8ed3-7160ab53875a.jpg?v=1633030893")</f>
        <v>#NAME?</v>
      </c>
      <c r="H6411" t="e">
        <f ca="1">_xludf.IMAGE("https://m.media-amazon.com/images/I/41Nb5OKrySL._AC_UL320_.jpg")</f>
        <v>#NAME?</v>
      </c>
      <c r="I6411" t="s">
        <v>1003</v>
      </c>
      <c r="J6411">
        <v>7.24</v>
      </c>
      <c r="K6411" s="4">
        <v>-9.3899999999999997E-2</v>
      </c>
      <c r="L6411">
        <v>4.5</v>
      </c>
      <c r="M6411">
        <v>225</v>
      </c>
      <c r="O6411" t="s">
        <v>25</v>
      </c>
      <c r="P6411" t="s">
        <v>7433</v>
      </c>
      <c r="Q6411" t="s">
        <v>7434</v>
      </c>
    </row>
    <row r="6412" spans="1:17" ht="15.5" x14ac:dyDescent="0.35">
      <c r="A6412" s="3" t="str">
        <f>HYPERLINK("https://edmondsonsupply.com/collections/electricians-tools/products/klein-tools-646-5-16-5-16-inch-nut-driver-6-inch-hollow-shaft", "https://edmondsonsupply.com/collections/electricians-tools/products/klein-tools-646-5-16-5-16-inch-nut-driver-6-inch-hollow-shaft")</f>
        <v>https://edmondsonsupply.com/collections/electricians-tools/products/klein-tools-646-5-16-5-16-inch-nut-driver-6-inch-hollow-shaft</v>
      </c>
      <c r="B6412" s="3" t="str">
        <f>HYPERLINK("https://edmondsonsupply.com/products/klein-tools-646-5-16-5-16-inch-nut-driver-6-inch-hollow-shaft", "https://edmondsonsupply.com/products/klein-tools-646-5-16-5-16-inch-nut-driver-6-inch-hollow-shaft")</f>
        <v>https://edmondsonsupply.com/products/klein-tools-646-5-16-5-16-inch-nut-driver-6-inch-hollow-shaft</v>
      </c>
      <c r="C6412" t="s">
        <v>1893</v>
      </c>
      <c r="D6412" t="s">
        <v>8540</v>
      </c>
      <c r="E6412" s="3" t="str">
        <f>HYPERLINK("https://www.amazon.com/16-Inch-Comfordome-Klein-Tools-S10/dp/B0000302VV/ref=sr_1_8?keywords=Klein+Tools+646-5%2F16+5%2F16-Inch+Nut+Driver%2C+6-Inch+Hollow+Shaft&amp;qid=1695173904&amp;sr=8-8", "https://www.amazon.com/16-Inch-Comfordome-Klein-Tools-S10/dp/B0000302VV/ref=sr_1_8?keywords=Klein+Tools+646-5%2F16+5%2F16-Inch+Nut+Driver%2C+6-Inch+Hollow+Shaft&amp;qid=1695173904&amp;sr=8-8")</f>
        <v>https://www.amazon.com/16-Inch-Comfordome-Klein-Tools-S10/dp/B0000302VV/ref=sr_1_8?keywords=Klein+Tools+646-5%2F16+5%2F16-Inch+Nut+Driver%2C+6-Inch+Hollow+Shaft&amp;qid=1695173904&amp;sr=8-8</v>
      </c>
      <c r="F6412" t="s">
        <v>8541</v>
      </c>
      <c r="G6412" t="e">
        <f ca="1">_xludf.IMAGE("https://edmondsonsupply.com/cdn/shop/products/646-1-2_e1540905-f750-4509-90c5-74ff653e4d83.jpg?v=1587145119")</f>
        <v>#NAME?</v>
      </c>
      <c r="H6412" t="e">
        <f ca="1">_xludf.IMAGE("https://m.media-amazon.com/images/I/41Nb5OKrySL._AC_UL320_.jpg")</f>
        <v>#NAME?</v>
      </c>
      <c r="I6412" t="s">
        <v>1003</v>
      </c>
      <c r="J6412">
        <v>7.24</v>
      </c>
      <c r="K6412" s="4">
        <v>-9.3899999999999997E-2</v>
      </c>
      <c r="L6412">
        <v>4.5</v>
      </c>
      <c r="M6412">
        <v>225</v>
      </c>
      <c r="O6412" t="s">
        <v>25</v>
      </c>
      <c r="P6412" t="s">
        <v>1481</v>
      </c>
      <c r="Q6412" t="s">
        <v>1896</v>
      </c>
    </row>
    <row r="6413" spans="1:17" ht="15.5" x14ac:dyDescent="0.35">
      <c r="A6413"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6413"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6413" t="s">
        <v>6276</v>
      </c>
      <c r="D6413" t="s">
        <v>3905</v>
      </c>
      <c r="E6413" s="3" t="str">
        <f>HYPERLINK("https://www.amazon.com/Journeyman-T-Handle-Klein-Tools-JTH9M3/dp/B005G3HJ28/ref=sr_1_8?keywords=Klein+Tools+JTH9E13+1%2F4-Inch+Hex+Key+with+Journeyman+T-Handle%2C+9-Inch&amp;qid=1695174307&amp;sr=8-8", "https://www.amazon.com/Journeyman-T-Handle-Klein-Tools-JTH9M3/dp/B005G3HJ28/ref=sr_1_8?keywords=Klein+Tools+JTH9E13+1%2F4-Inch+Hex+Key+with+Journeyman+T-Handle%2C+9-Inch&amp;qid=1695174307&amp;sr=8-8")</f>
        <v>https://www.amazon.com/Journeyman-T-Handle-Klein-Tools-JTH9M3/dp/B005G3HJ28/ref=sr_1_8?keywords=Klein+Tools+JTH9E13+1%2F4-Inch+Hex+Key+with+Journeyman+T-Handle%2C+9-Inch&amp;qid=1695174307&amp;sr=8-8</v>
      </c>
      <c r="F6413" t="s">
        <v>3906</v>
      </c>
      <c r="G6413" t="e">
        <f ca="1">_xludf.IMAGE("https://edmondsonsupply.com/cdn/shop/products/jth9e12_7dcdbf9a-5acd-4824-8919-6aeb4a790072.jpg?v=1604060723")</f>
        <v>#NAME?</v>
      </c>
      <c r="H6413" t="e">
        <f ca="1">_xludf.IMAGE("https://m.media-amazon.com/images/I/51MZtGjDOtL._AC_UL320_.jpg")</f>
        <v>#NAME?</v>
      </c>
      <c r="I6413" t="s">
        <v>4617</v>
      </c>
      <c r="J6413">
        <v>5.88</v>
      </c>
      <c r="K6413" s="4">
        <v>-9.4E-2</v>
      </c>
      <c r="L6413">
        <v>4.5999999999999996</v>
      </c>
      <c r="M6413">
        <v>179</v>
      </c>
      <c r="O6413" t="s">
        <v>25</v>
      </c>
      <c r="P6413" t="s">
        <v>6277</v>
      </c>
      <c r="Q6413" t="s">
        <v>6278</v>
      </c>
    </row>
    <row r="6414" spans="1:17" ht="15.5" x14ac:dyDescent="0.35">
      <c r="A6414"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6414" s="3" t="str">
        <f>HYPERLINK("https://edmondsonsupply.com/products/klein-tools-vaco-s10m-5-16-magnetic-nut-driver-3-hollow-shaft", "https://edmondsonsupply.com/products/klein-tools-vaco-s10m-5-16-magnetic-nut-driver-3-hollow-shaft")</f>
        <v>https://edmondsonsupply.com/products/klein-tools-vaco-s10m-5-16-magnetic-nut-driver-3-hollow-shaft</v>
      </c>
      <c r="C6414" t="s">
        <v>6468</v>
      </c>
      <c r="D6414" t="s">
        <v>4434</v>
      </c>
      <c r="E6414" s="3" t="str">
        <f>HYPERLINK("https://www.amazon.com/Magnetic-Comfordome-Klein-Tools-S10M/dp/B000936PCU/ref=sr_1_1?keywords=Klein+Tools+S10M+5%2F16-Inch+Magnetic+Nut+Driver+3-Inch+Shaft&amp;qid=1695174019&amp;sr=8-1", "https://www.amazon.com/Magnetic-Comfordome-Klein-Tools-S10M/dp/B000936PCU/ref=sr_1_1?keywords=Klein+Tools+S10M+5%2F16-Inch+Magnetic+Nut+Driver+3-Inch+Shaft&amp;qid=1695174019&amp;sr=8-1")</f>
        <v>https://www.amazon.com/Magnetic-Comfordome-Klein-Tools-S10M/dp/B000936PCU/ref=sr_1_1?keywords=Klein+Tools+S10M+5%2F16-Inch+Magnetic+Nut+Driver+3-Inch+Shaft&amp;qid=1695174019&amp;sr=8-1</v>
      </c>
      <c r="F6414" t="s">
        <v>4435</v>
      </c>
      <c r="G6414" t="e">
        <f ca="1">_xludf.IMAGE("https://edmondsonsupply.com/cdn/shop/products/s10m_alt2.jpg?v=1587143022")</f>
        <v>#NAME?</v>
      </c>
      <c r="H6414" t="e">
        <f ca="1">_xludf.IMAGE("https://m.media-amazon.com/images/I/51wT5Rnu5GL._AC_UL320_.jpg")</f>
        <v>#NAME?</v>
      </c>
      <c r="I6414" t="s">
        <v>2577</v>
      </c>
      <c r="J6414">
        <v>9.0500000000000007</v>
      </c>
      <c r="K6414" s="4">
        <v>-9.4100000000000003E-2</v>
      </c>
      <c r="L6414">
        <v>4.5999999999999996</v>
      </c>
      <c r="M6414">
        <v>231</v>
      </c>
      <c r="O6414" t="s">
        <v>25</v>
      </c>
      <c r="P6414" t="s">
        <v>6469</v>
      </c>
      <c r="Q6414" t="s">
        <v>6470</v>
      </c>
    </row>
    <row r="6415" spans="1:17" ht="15.5" x14ac:dyDescent="0.35">
      <c r="A6415" s="3" t="str">
        <f>HYPERLINK("https://edmondsonsupply.com/collections/electricians-tools/products/channellock-gs-1x-2pc-speedgrip%E2%84%A2-tongue-groove-pliers-set", "https://edmondsonsupply.com/collections/electricians-tools/products/channellock-gs-1x-2pc-speedgrip%E2%84%A2-tongue-groove-pliers-set")</f>
        <v>https://edmondsonsupply.com/collections/electricians-tools/products/channellock-gs-1x-2pc-speedgrip%E2%84%A2-tongue-groove-pliers-set</v>
      </c>
      <c r="B6415" s="3" t="str">
        <f>HYPERLINK("https://edmondsonsupply.com/products/channellock-gs-1x-2pc-speedgrip%e2%84%a2-tongue-groove-pliers-set", "https://edmondsonsupply.com/products/channellock-gs-1x-2pc-speedgrip%e2%84%a2-tongue-groove-pliers-set")</f>
        <v>https://edmondsonsupply.com/products/channellock-gs-1x-2pc-speedgrip%e2%84%a2-tongue-groove-pliers-set</v>
      </c>
      <c r="C6415" t="s">
        <v>7027</v>
      </c>
      <c r="D6415" t="s">
        <v>8542</v>
      </c>
      <c r="E6415" s="3" t="str">
        <f>HYPERLINK("https://www.amazon.com/Channellock-GS-1X-2Piece-Speedgrip-Tongue/dp/B07QTLKZZW/ref=sr_1_1?keywords=Channellock+GS-1X+2PC+SPEEDGRIP%E2%84%A2+Tongue+%26+Groove+Pliers+Set&amp;qid=1695174214&amp;sr=8-1", "https://www.amazon.com/Channellock-GS-1X-2Piece-Speedgrip-Tongue/dp/B07QTLKZZW/ref=sr_1_1?keywords=Channellock+GS-1X+2PC+SPEEDGRIP%E2%84%A2+Tongue+%26+Groove+Pliers+Set&amp;qid=1695174214&amp;sr=8-1")</f>
        <v>https://www.amazon.com/Channellock-GS-1X-2Piece-Speedgrip-Tongue/dp/B07QTLKZZW/ref=sr_1_1?keywords=Channellock+GS-1X+2PC+SPEEDGRIP%E2%84%A2+Tongue+%26+Groove+Pliers+Set&amp;qid=1695174214&amp;sr=8-1</v>
      </c>
      <c r="F6415" t="s">
        <v>8543</v>
      </c>
      <c r="G6415" t="e">
        <f ca="1">_xludf.IMAGE("https://edmondsonsupply.com/cdn/shop/products/GS1X.jpg?v=1647106166")</f>
        <v>#NAME?</v>
      </c>
      <c r="H6415" t="e">
        <f ca="1">_xludf.IMAGE("https://m.media-amazon.com/images/I/71l9KVNLPlS._AC_UL320_.jpg")</f>
        <v>#NAME?</v>
      </c>
      <c r="I6415" t="s">
        <v>540</v>
      </c>
      <c r="J6415">
        <v>45.25</v>
      </c>
      <c r="K6415" s="4">
        <v>-9.4100000000000003E-2</v>
      </c>
      <c r="L6415">
        <v>4.5</v>
      </c>
      <c r="M6415">
        <v>196</v>
      </c>
      <c r="O6415" t="s">
        <v>25</v>
      </c>
      <c r="P6415" t="s">
        <v>7030</v>
      </c>
      <c r="Q6415" t="s">
        <v>7031</v>
      </c>
    </row>
    <row r="6416" spans="1:17" ht="15.5" x14ac:dyDescent="0.35">
      <c r="A6416" s="3" t="str">
        <f>HYPERLINK("https://edmondsonsupply.com/collections/electricians-tools/products/tajima-gp-25bw-g-plus%E2%84%A2-standard-scale-25-ft-x-1-in-steel-blade-tape-measure", "https://edmondsonsupply.com/collections/electricians-tools/products/tajima-gp-25bw-g-plus%E2%84%A2-standard-scale-25-ft-x-1-in-steel-blade-tape-measure")</f>
        <v>https://edmondsonsupply.com/collections/electricians-tools/products/tajima-gp-25bw-g-plus%E2%84%A2-standard-scale-25-ft-x-1-in-steel-blade-tape-measure</v>
      </c>
      <c r="B6416" s="3" t="str">
        <f>HYPERLINK("https://edmondsonsupply.com/products/tajima-gp-25bw-g-plus%e2%84%a2-standard-scale-25-ft-x-1-in-steel-blade-tape-measure", "https://edmondsonsupply.com/products/tajima-gp-25bw-g-plus%e2%84%a2-standard-scale-25-ft-x-1-in-steel-blade-tape-measure")</f>
        <v>https://edmondsonsupply.com/products/tajima-gp-25bw-g-plus%e2%84%a2-standard-scale-25-ft-x-1-in-steel-blade-tape-measure</v>
      </c>
      <c r="C6416" t="s">
        <v>8414</v>
      </c>
      <c r="D6416" t="s">
        <v>8544</v>
      </c>
      <c r="E6416" s="3" t="str">
        <f>HYPERLINK("https://www.amazon.com/Tajima-SSSF-25BW-Standard-Measure-Safety/dp/B08J5ML1ZM/ref=sr_1_5?keywords=Tajima+GP-25BW+G-PLUS%E2%84%A2+Standard+Scale%2C+25+ft+x+1+in.+Steel+Blade+Tape+Measure&amp;qid=1695174184&amp;sr=8-5", "https://www.amazon.com/Tajima-SSSF-25BW-Standard-Measure-Safety/dp/B08J5ML1ZM/ref=sr_1_5?keywords=Tajima+GP-25BW+G-PLUS%E2%84%A2+Standard+Scale%2C+25+ft+x+1+in.+Steel+Blade+Tape+Measure&amp;qid=1695174184&amp;sr=8-5")</f>
        <v>https://www.amazon.com/Tajima-SSSF-25BW-Standard-Measure-Safety/dp/B08J5ML1ZM/ref=sr_1_5?keywords=Tajima+GP-25BW+G-PLUS%E2%84%A2+Standard+Scale%2C+25+ft+x+1+in.+Steel+Blade+Tape+Measure&amp;qid=1695174184&amp;sr=8-5</v>
      </c>
      <c r="F6416" t="s">
        <v>8545</v>
      </c>
      <c r="G6416" t="e">
        <f ca="1">_xludf.IMAGE("https://edmondsonsupply.com/cdn/shop/products/GP-25BW.jpg?v=1655821525")</f>
        <v>#NAME?</v>
      </c>
      <c r="H6416" t="e">
        <f ca="1">_xludf.IMAGE("https://m.media-amazon.com/images/I/51oDpFYnqaL._AC_UL320_.jpg")</f>
        <v>#NAME?</v>
      </c>
      <c r="I6416" t="s">
        <v>8417</v>
      </c>
      <c r="J6416">
        <v>31.82</v>
      </c>
      <c r="K6416" s="4">
        <v>-9.5799999999999996E-2</v>
      </c>
      <c r="L6416">
        <v>4.5999999999999996</v>
      </c>
      <c r="M6416">
        <v>138</v>
      </c>
      <c r="O6416" t="s">
        <v>25</v>
      </c>
      <c r="P6416" t="s">
        <v>8417</v>
      </c>
      <c r="Q6416" t="s">
        <v>8418</v>
      </c>
    </row>
    <row r="6417" spans="1:17" ht="15.5" x14ac:dyDescent="0.35">
      <c r="A6417" s="3" t="str">
        <f>HYPERLINK("https://edmondsonsupply.com/collections/electricians-tools/products/klein-tools-ir07-dual-ir-probe-thermometer", "https://edmondsonsupply.com/collections/electricians-tools/products/klein-tools-ir07-dual-ir-probe-thermometer")</f>
        <v>https://edmondsonsupply.com/collections/electricians-tools/products/klein-tools-ir07-dual-ir-probe-thermometer</v>
      </c>
      <c r="B6417" s="3" t="str">
        <f>HYPERLINK("https://edmondsonsupply.com/products/klein-tools-ir07-dual-ir-probe-thermometer", "https://edmondsonsupply.com/products/klein-tools-ir07-dual-ir-probe-thermometer")</f>
        <v>https://edmondsonsupply.com/products/klein-tools-ir07-dual-ir-probe-thermometer</v>
      </c>
      <c r="C6417" t="s">
        <v>2948</v>
      </c>
      <c r="D6417" t="s">
        <v>1860</v>
      </c>
      <c r="E6417" s="3" t="str">
        <f>HYPERLINK("https://www.amazon.com/Klein-Tools-IR07-Infrared-Thermometer/dp/B07P9WM69C/ref=sr_1_1?keywords=Klein+Tools+IR07+Dual+IR%2FProbe+Thermometer&amp;qid=1695173956&amp;sr=8-1", "https://www.amazon.com/Klein-Tools-IR07-Infrared-Thermometer/dp/B07P9WM69C/ref=sr_1_1?keywords=Klein+Tools+IR07+Dual+IR%2FProbe+Thermometer&amp;qid=1695173956&amp;sr=8-1")</f>
        <v>https://www.amazon.com/Klein-Tools-IR07-Infrared-Thermometer/dp/B07P9WM69C/ref=sr_1_1?keywords=Klein+Tools+IR07+Dual+IR%2FProbe+Thermometer&amp;qid=1695173956&amp;sr=8-1</v>
      </c>
      <c r="F6417" t="s">
        <v>1861</v>
      </c>
      <c r="G6417" t="e">
        <f ca="1">_xludf.IMAGE("https://edmondsonsupply.com/cdn/shop/products/ir07.jpg?v=1599003623")</f>
        <v>#NAME?</v>
      </c>
      <c r="H6417" t="e">
        <f ca="1">_xludf.IMAGE("https://m.media-amazon.com/images/I/51JBUtWpWuS._AC_UY218_.jpg")</f>
        <v>#NAME?</v>
      </c>
      <c r="I6417" t="s">
        <v>2951</v>
      </c>
      <c r="J6417">
        <v>51.97</v>
      </c>
      <c r="K6417" s="4">
        <v>-9.6000000000000002E-2</v>
      </c>
      <c r="L6417">
        <v>4.7</v>
      </c>
      <c r="M6417">
        <v>779</v>
      </c>
      <c r="O6417" t="s">
        <v>25</v>
      </c>
      <c r="P6417" t="s">
        <v>2952</v>
      </c>
      <c r="Q6417" t="s">
        <v>2953</v>
      </c>
    </row>
    <row r="6418" spans="1:17" ht="15.5" x14ac:dyDescent="0.35">
      <c r="A6418" s="3" t="str">
        <f>HYPERLINK("https://edmondsonsupply.com/collections/electricians-tools/products/klein-tools-56116-fiberglass-fish-tape-replacement-eyelets-6-pack", "https://edmondsonsupply.com/collections/electricians-tools/products/klein-tools-56116-fiberglass-fish-tape-replacement-eyelets-6-pack")</f>
        <v>https://edmondsonsupply.com/collections/electricians-tools/products/klein-tools-56116-fiberglass-fish-tape-replacement-eyelets-6-pack</v>
      </c>
      <c r="B6418" s="3" t="str">
        <f>HYPERLINK("https://edmondsonsupply.com/products/klein-tools-56116-fiberglass-fish-tape-replacement-eyelets-6-pack", "https://edmondsonsupply.com/products/klein-tools-56116-fiberglass-fish-tape-replacement-eyelets-6-pack")</f>
        <v>https://edmondsonsupply.com/products/klein-tools-56116-fiberglass-fish-tape-replacement-eyelets-6-pack</v>
      </c>
      <c r="C6418" t="s">
        <v>8546</v>
      </c>
      <c r="D6418" t="s">
        <v>8546</v>
      </c>
      <c r="E6418" s="3" t="str">
        <f>HYPERLINK("https://www.amazon.com/Fiberglass-Replacement-Klein-Tools-56116/dp/B007CU7SPG/ref=sr_1_1?keywords=Klein+Tools+56116+Fiberglass+Fish+Tape+Replacement+Eyelets%2C+6-Pack&amp;qid=1695174136&amp;sr=8-1", "https://www.amazon.com/Fiberglass-Replacement-Klein-Tools-56116/dp/B007CU7SPG/ref=sr_1_1?keywords=Klein+Tools+56116+Fiberglass+Fish+Tape+Replacement+Eyelets%2C+6-Pack&amp;qid=1695174136&amp;sr=8-1")</f>
        <v>https://www.amazon.com/Fiberglass-Replacement-Klein-Tools-56116/dp/B007CU7SPG/ref=sr_1_1?keywords=Klein+Tools+56116+Fiberglass+Fish+Tape+Replacement+Eyelets%2C+6-Pack&amp;qid=1695174136&amp;sr=8-1</v>
      </c>
      <c r="F6418" t="s">
        <v>8547</v>
      </c>
      <c r="G6418" t="e">
        <f ca="1">_xludf.IMAGE("https://edmondsonsupply.com/cdn/shop/products/56116.jpg?v=1666107722")</f>
        <v>#NAME?</v>
      </c>
      <c r="H6418" t="e">
        <f ca="1">_xludf.IMAGE("https://m.media-amazon.com/images/I/51RKS8n-qZL._AC_UL320_.jpg")</f>
        <v>#NAME?</v>
      </c>
      <c r="I6418" t="s">
        <v>198</v>
      </c>
      <c r="J6418">
        <v>36.130000000000003</v>
      </c>
      <c r="K6418" s="4">
        <v>-9.6500000000000002E-2</v>
      </c>
      <c r="L6418">
        <v>4.5</v>
      </c>
      <c r="M6418">
        <v>69</v>
      </c>
      <c r="O6418" t="s">
        <v>25</v>
      </c>
      <c r="P6418" t="s">
        <v>1310</v>
      </c>
      <c r="Q6418" t="s">
        <v>8548</v>
      </c>
    </row>
    <row r="6419" spans="1:17" ht="15.5" x14ac:dyDescent="0.35">
      <c r="A6419"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6419" s="3" t="str">
        <f>HYPERLINK("https://edmondsonsupply.com/products/fluke-st120-gfci-socket-tester", "https://edmondsonsupply.com/products/fluke-st120-gfci-socket-tester")</f>
        <v>https://edmondsonsupply.com/products/fluke-st120-gfci-socket-tester</v>
      </c>
      <c r="C6419" t="s">
        <v>8351</v>
      </c>
      <c r="D6419" t="s">
        <v>8549</v>
      </c>
      <c r="E6419" s="3" t="str">
        <f>HYPERLINK("https://www.amazon.com/Tourmate-Compatible-Fluke-Socket-Tester/dp/B0BPXRYTQQ/ref=sr_1_5?keywords=Fluke+ST120+Socket+Tester+with+GFCI&amp;qid=1695174173&amp;sr=8-5", "https://www.amazon.com/Tourmate-Compatible-Fluke-Socket-Tester/dp/B0BPXRYTQQ/ref=sr_1_5?keywords=Fluke+ST120+Socket+Tester+with+GFCI&amp;qid=1695174173&amp;sr=8-5")</f>
        <v>https://www.amazon.com/Tourmate-Compatible-Fluke-Socket-Tester/dp/B0BPXRYTQQ/ref=sr_1_5?keywords=Fluke+ST120+Socket+Tester+with+GFCI&amp;qid=1695174173&amp;sr=8-5</v>
      </c>
      <c r="F6419" t="s">
        <v>8550</v>
      </c>
      <c r="G6419" t="e">
        <f ca="1">_xludf.IMAGE("https://edmondsonsupply.com/cdn/shop/products/F-st120_01a_w.webp?v=1662582102")</f>
        <v>#NAME?</v>
      </c>
      <c r="H6419" t="e">
        <f ca="1">_xludf.IMAGE("https://m.media-amazon.com/images/I/7120nRtCXWL._AC_UL320_.jpg")</f>
        <v>#NAME?</v>
      </c>
      <c r="I6419" t="s">
        <v>4229</v>
      </c>
      <c r="J6419">
        <v>13.99</v>
      </c>
      <c r="K6419" s="4">
        <v>-9.6799999999999997E-2</v>
      </c>
      <c r="L6419">
        <v>3.4</v>
      </c>
      <c r="M6419">
        <v>3</v>
      </c>
      <c r="O6419" t="s">
        <v>25</v>
      </c>
      <c r="P6419" t="s">
        <v>866</v>
      </c>
      <c r="Q6419" t="s">
        <v>8354</v>
      </c>
    </row>
    <row r="6420" spans="1:17" ht="15.5" x14ac:dyDescent="0.35">
      <c r="A6420"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6420" s="3" t="str">
        <f>HYPERLINK("https://edmondsonsupply.com/products/fluke-st120-gfci-socket-tester", "https://edmondsonsupply.com/products/fluke-st120-gfci-socket-tester")</f>
        <v>https://edmondsonsupply.com/products/fluke-st120-gfci-socket-tester</v>
      </c>
      <c r="C6420" t="s">
        <v>8351</v>
      </c>
      <c r="D6420" t="s">
        <v>8551</v>
      </c>
      <c r="E6420" s="3" t="str">
        <f>HYPERLINK("https://www.amazon.com/FBLFOBELI-Carrying-Compatible-Audible-Beeper%EF%BC%8CShockproof/dp/B0BN4XRLXJ/ref=sr_1_6?keywords=Fluke+ST120+Socket+Tester+with+GFCI&amp;qid=1695174173&amp;sr=8-6", "https://www.amazon.com/FBLFOBELI-Carrying-Compatible-Audible-Beeper%EF%BC%8CShockproof/dp/B0BN4XRLXJ/ref=sr_1_6?keywords=Fluke+ST120+Socket+Tester+with+GFCI&amp;qid=1695174173&amp;sr=8-6")</f>
        <v>https://www.amazon.com/FBLFOBELI-Carrying-Compatible-Audible-Beeper%EF%BC%8CShockproof/dp/B0BN4XRLXJ/ref=sr_1_6?keywords=Fluke+ST120+Socket+Tester+with+GFCI&amp;qid=1695174173&amp;sr=8-6</v>
      </c>
      <c r="F6420" t="s">
        <v>8552</v>
      </c>
      <c r="G6420" t="e">
        <f ca="1">_xludf.IMAGE("https://edmondsonsupply.com/cdn/shop/products/F-st120_01a_w.webp?v=1662582102")</f>
        <v>#NAME?</v>
      </c>
      <c r="H6420" t="e">
        <f ca="1">_xludf.IMAGE("https://m.media-amazon.com/images/I/719YjA+Nx8L._AC_UL320_.jpg")</f>
        <v>#NAME?</v>
      </c>
      <c r="I6420" t="s">
        <v>4229</v>
      </c>
      <c r="J6420">
        <v>13.99</v>
      </c>
      <c r="K6420" s="4">
        <v>-9.6799999999999997E-2</v>
      </c>
      <c r="L6420">
        <v>5</v>
      </c>
      <c r="M6420">
        <v>1</v>
      </c>
      <c r="O6420" t="s">
        <v>25</v>
      </c>
      <c r="P6420" t="s">
        <v>866</v>
      </c>
      <c r="Q6420" t="s">
        <v>8354</v>
      </c>
    </row>
    <row r="6421" spans="1:17" ht="15.5" x14ac:dyDescent="0.35">
      <c r="A6421" s="3" t="str">
        <f>HYPERLINK("https://edmondsonsupply.com/collections/electricians-tools/products/klein-tools-602-4-1-4-inch-keystone-screwdriver-4-inch-round-shank", "https://edmondsonsupply.com/collections/electricians-tools/products/klein-tools-602-4-1-4-inch-keystone-screwdriver-4-inch-round-shank")</f>
        <v>https://edmondsonsupply.com/collections/electricians-tools/products/klein-tools-602-4-1-4-inch-keystone-screwdriver-4-inch-round-shank</v>
      </c>
      <c r="B6421" s="3" t="str">
        <f>HYPERLINK("https://edmondsonsupply.com/products/klein-tools-602-4-1-4-inch-keystone-screwdriver-4-inch-round-shank", "https://edmondsonsupply.com/products/klein-tools-602-4-1-4-inch-keystone-screwdriver-4-inch-round-shank")</f>
        <v>https://edmondsonsupply.com/products/klein-tools-602-4-1-4-inch-keystone-screwdriver-4-inch-round-shank</v>
      </c>
      <c r="C6421" t="s">
        <v>6948</v>
      </c>
      <c r="D6421" t="s">
        <v>8401</v>
      </c>
      <c r="E6421" s="3" t="str">
        <f>HYPERLINK("https://www.amazon.com/Cabinet-Screwdriver-Klein-Tools-605-4/dp/B000BQWOO8/ref=sr_1_5?keywords=Klein+Tools+602-4+1%2F4-Inch+Keystone+Screwdriver%2C+4-Inch+Round+Shank&amp;qid=1695174315&amp;sr=8-5", "https://www.amazon.com/Cabinet-Screwdriver-Klein-Tools-605-4/dp/B000BQWOO8/ref=sr_1_5?keywords=Klein+Tools+602-4+1%2F4-Inch+Keystone+Screwdriver%2C+4-Inch+Round+Shank&amp;qid=1695174315&amp;sr=8-5")</f>
        <v>https://www.amazon.com/Cabinet-Screwdriver-Klein-Tools-605-4/dp/B000BQWOO8/ref=sr_1_5?keywords=Klein+Tools+602-4+1%2F4-Inch+Keystone+Screwdriver%2C+4-Inch+Round+Shank&amp;qid=1695174315&amp;sr=8-5</v>
      </c>
      <c r="F6421" t="s">
        <v>8402</v>
      </c>
      <c r="G6421" t="e">
        <f ca="1">_xludf.IMAGE("https://edmondsonsupply.com/cdn/shop/products/602-6.jpg?v=1633030821")</f>
        <v>#NAME?</v>
      </c>
      <c r="H6421" t="e">
        <f ca="1">_xludf.IMAGE("https://m.media-amazon.com/images/I/41WLDr2SP+L._AC_UL320_.jpg")</f>
        <v>#NAME?</v>
      </c>
      <c r="I6421" t="s">
        <v>2433</v>
      </c>
      <c r="J6421">
        <v>8.57</v>
      </c>
      <c r="K6421" s="4">
        <v>-9.69E-2</v>
      </c>
      <c r="L6421">
        <v>4.8</v>
      </c>
      <c r="M6421">
        <v>1227</v>
      </c>
      <c r="O6421" t="s">
        <v>25</v>
      </c>
      <c r="P6421" t="s">
        <v>6949</v>
      </c>
      <c r="Q6421" t="s">
        <v>6950</v>
      </c>
    </row>
    <row r="6422" spans="1:17" ht="15.5" x14ac:dyDescent="0.35">
      <c r="A6422" s="3" t="str">
        <f>HYPERLINK("https://edmondsonsupply.com/collections/electricians-tools/products/greenlee-1927-ss-stainless-steel-7-5-wire-stripper-cutter-crimper", "https://edmondsonsupply.com/collections/electricians-tools/products/greenlee-1927-ss-stainless-steel-7-5-wire-stripper-cutter-crimper")</f>
        <v>https://edmondsonsupply.com/collections/electricians-tools/products/greenlee-1927-ss-stainless-steel-7-5-wire-stripper-cutter-crimper</v>
      </c>
      <c r="B6422" s="3" t="str">
        <f>HYPERLINK("https://edmondsonsupply.com/products/greenlee-1927-ss-stainless-steel-7-5-wire-stripper-cutter-crimper", "https://edmondsonsupply.com/products/greenlee-1927-ss-stainless-steel-7-5-wire-stripper-cutter-crimper")</f>
        <v>https://edmondsonsupply.com/products/greenlee-1927-ss-stainless-steel-7-5-wire-stripper-cutter-crimper</v>
      </c>
      <c r="C6422" t="s">
        <v>8553</v>
      </c>
      <c r="D6422" t="s">
        <v>5104</v>
      </c>
      <c r="E6422" s="3" t="str">
        <f>HYPERLINK("https://www.amazon.com/Greenlee-1955-SS-Stainless-Stripper-7-5-Inches/dp/B00GFXD22E/ref=sr_1_3?keywords=Greenlee+1927-SS+Stainless+Steel+7.5%22+Wire+Stripper%2FCutter%2FCrimper&amp;qid=1695174305&amp;sr=8-3", "https://www.amazon.com/Greenlee-1955-SS-Stainless-Stripper-7-5-Inches/dp/B00GFXD22E/ref=sr_1_3?keywords=Greenlee+1927-SS+Stainless+Steel+7.5%22+Wire+Stripper%2FCutter%2FCrimper&amp;qid=1695174305&amp;sr=8-3")</f>
        <v>https://www.amazon.com/Greenlee-1955-SS-Stainless-Stripper-7-5-Inches/dp/B00GFXD22E/ref=sr_1_3?keywords=Greenlee+1927-SS+Stainless+Steel+7.5%22+Wire+Stripper%2FCutter%2FCrimper&amp;qid=1695174305&amp;sr=8-3</v>
      </c>
      <c r="F6422" t="s">
        <v>5105</v>
      </c>
      <c r="G6422" t="e">
        <f ca="1">_xludf.IMAGE("https://edmondsonsupply.com/cdn/shop/products/1927-SS_side_closed.jpg?v=1633030807")</f>
        <v>#NAME?</v>
      </c>
      <c r="H6422" t="e">
        <f ca="1">_xludf.IMAGE("https://m.media-amazon.com/images/I/818sDIaL7HL._AC_UL320_.jpg")</f>
        <v>#NAME?</v>
      </c>
      <c r="I6422" t="s">
        <v>8554</v>
      </c>
      <c r="J6422">
        <v>22.8</v>
      </c>
      <c r="K6422" s="4">
        <v>-9.8799999999999999E-2</v>
      </c>
      <c r="L6422">
        <v>4.7</v>
      </c>
      <c r="M6422">
        <v>521</v>
      </c>
      <c r="O6422" t="s">
        <v>25</v>
      </c>
      <c r="P6422" t="s">
        <v>8555</v>
      </c>
      <c r="Q6422" t="s">
        <v>8556</v>
      </c>
    </row>
    <row r="6423" spans="1:17" ht="15.5" x14ac:dyDescent="0.35">
      <c r="A6423"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6423"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6423" t="s">
        <v>7104</v>
      </c>
      <c r="D6423" t="s">
        <v>4054</v>
      </c>
      <c r="E6423" s="3" t="str">
        <f>HYPERLINK("https://www.amazon.com/Driver-2-Inch-Klein-Tools-65131/dp/B071LCCGT1/ref=sr_1_2?keywords=Klein+Tools+65129+2-in-1+Nut+Driver%2C+Hex+Head+Slide+Drive%E2%84%A2%2C+6-Inch&amp;qid=1695174155&amp;sr=8-2", "https://www.amazon.com/Driver-2-Inch-Klein-Tools-65131/dp/B071LCCGT1/ref=sr_1_2?keywords=Klein+Tools+65129+2-in-1+Nut+Driver%2C+Hex+Head+Slide+Drive%E2%84%A2%2C+6-Inch&amp;qid=1695174155&amp;sr=8-2")</f>
        <v>https://www.amazon.com/Driver-2-Inch-Klein-Tools-65131/dp/B071LCCGT1/ref=sr_1_2?keywords=Klein+Tools+65129+2-in-1+Nut+Driver%2C+Hex+Head+Slide+Drive%E2%84%A2%2C+6-Inch&amp;qid=1695174155&amp;sr=8-2</v>
      </c>
      <c r="F6423" t="s">
        <v>4055</v>
      </c>
      <c r="G6423" t="e">
        <f ca="1">_xludf.IMAGE("https://edmondsonsupply.com/cdn/shop/products/65129.jpg?v=1664459800")</f>
        <v>#NAME?</v>
      </c>
      <c r="H6423" t="e">
        <f ca="1">_xludf.IMAGE("https://m.media-amazon.com/images/I/51SI9ktOe4L._AC_UL320_.jpg")</f>
        <v>#NAME?</v>
      </c>
      <c r="I6423" t="s">
        <v>893</v>
      </c>
      <c r="J6423">
        <v>17.989999999999998</v>
      </c>
      <c r="K6423" s="4">
        <v>-9.9099999999999994E-2</v>
      </c>
      <c r="L6423">
        <v>4.8</v>
      </c>
      <c r="M6423">
        <v>909</v>
      </c>
      <c r="O6423" t="s">
        <v>25</v>
      </c>
      <c r="P6423" t="s">
        <v>7105</v>
      </c>
      <c r="Q6423" t="s">
        <v>7106</v>
      </c>
    </row>
    <row r="6424" spans="1:17" ht="15.5" x14ac:dyDescent="0.35">
      <c r="A6424"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6424"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6424" t="s">
        <v>7055</v>
      </c>
      <c r="D6424" t="s">
        <v>3625</v>
      </c>
      <c r="E6424" s="3" t="str">
        <f>HYPERLINK("https://www.amazon.com/Klein-Tools-11055GLW-Stripper-Klein-Kurve/dp/B09FVTWPQV/ref=sr_1_7?keywords=Klein+Tools+11055RINS+Insulated+Klein-Kurve%C2%AE+Wire+Stripper+and+Cutter&amp;qid=1695174134&amp;sr=8-7", "https://www.amazon.com/Klein-Tools-11055GLW-Stripper-Klein-Kurve/dp/B09FVTWPQV/ref=sr_1_7?keywords=Klein+Tools+11055RINS+Insulated+Klein-Kurve%C2%AE+Wire+Stripper+and+Cutter&amp;qid=1695174134&amp;sr=8-7")</f>
        <v>https://www.amazon.com/Klein-Tools-11055GLW-Stripper-Klein-Kurve/dp/B09FVTWPQV/ref=sr_1_7?keywords=Klein+Tools+11055RINS+Insulated+Klein-Kurve%C2%AE+Wire+Stripper+and+Cutter&amp;qid=1695174134&amp;sr=8-7</v>
      </c>
      <c r="F6424" t="s">
        <v>3626</v>
      </c>
      <c r="G6424" t="e">
        <f ca="1">_xludf.IMAGE("https://edmondsonsupply.com/cdn/shop/products/11055rins.jpg?v=1667236979")</f>
        <v>#NAME?</v>
      </c>
      <c r="H6424" t="e">
        <f ca="1">_xludf.IMAGE("https://m.media-amazon.com/images/I/41qRg9375VL._AC_UL320_.jpg")</f>
        <v>#NAME?</v>
      </c>
      <c r="I6424" t="s">
        <v>824</v>
      </c>
      <c r="J6424">
        <v>26.99</v>
      </c>
      <c r="K6424" s="4">
        <v>-9.9400000000000002E-2</v>
      </c>
      <c r="L6424">
        <v>4.8</v>
      </c>
      <c r="M6424">
        <v>7596</v>
      </c>
      <c r="O6424" t="s">
        <v>25</v>
      </c>
      <c r="P6424" t="s">
        <v>562</v>
      </c>
      <c r="Q6424" t="s">
        <v>7056</v>
      </c>
    </row>
    <row r="6425" spans="1:17" ht="15.5" x14ac:dyDescent="0.35">
      <c r="A6425" s="3" t="str">
        <f>HYPERLINK("https://edmondsonsupply.com/collections/electricians-tools/products/klein-tools-56411-rechargeable-waterproof-led-pocket-light-with-lanyard", "https://edmondsonsupply.com/collections/electricians-tools/products/klein-tools-56411-rechargeable-waterproof-led-pocket-light-with-lanyard")</f>
        <v>https://edmondsonsupply.com/collections/electricians-tools/products/klein-tools-56411-rechargeable-waterproof-led-pocket-light-with-lanyard</v>
      </c>
      <c r="B6425" s="3" t="str">
        <f>HYPERLINK("https://edmondsonsupply.com/products/klein-tools-56411-rechargeable-waterproof-led-pocket-light-with-lanyard", "https://edmondsonsupply.com/products/klein-tools-56411-rechargeable-waterproof-led-pocket-light-with-lanyard")</f>
        <v>https://edmondsonsupply.com/products/klein-tools-56411-rechargeable-waterproof-led-pocket-light-with-lanyard</v>
      </c>
      <c r="C6425" t="s">
        <v>6693</v>
      </c>
      <c r="D6425" t="s">
        <v>7870</v>
      </c>
      <c r="E6425" s="3" t="str">
        <f>HYPERLINK("https://www.amazon.com/Blackfire-Rechargeable-Waterproof-BBM6411-Dual-Direction/dp/B0973SR954/ref=sr_1_2?keywords=Klein+Tools+56411+Rechargeable+Waterproof+LED+Pocket+Light+with+Lanyard&amp;qid=1695174156&amp;sr=8-2", "https://www.amazon.com/Blackfire-Rechargeable-Waterproof-BBM6411-Dual-Direction/dp/B0973SR954/ref=sr_1_2?keywords=Klein+Tools+56411+Rechargeable+Waterproof+LED+Pocket+Light+with+Lanyard&amp;qid=1695174156&amp;sr=8-2")</f>
        <v>https://www.amazon.com/Blackfire-Rechargeable-Waterproof-BBM6411-Dual-Direction/dp/B0973SR954/ref=sr_1_2?keywords=Klein+Tools+56411+Rechargeable+Waterproof+LED+Pocket+Light+with+Lanyard&amp;qid=1695174156&amp;sr=8-2</v>
      </c>
      <c r="F6425" t="s">
        <v>7871</v>
      </c>
      <c r="G6425" t="e">
        <f ca="1">_xludf.IMAGE("https://edmondsonsupply.com/cdn/shop/products/56411.jpg?v=1663952448")</f>
        <v>#NAME?</v>
      </c>
      <c r="H6425" t="e">
        <f ca="1">_xludf.IMAGE("https://m.media-amazon.com/images/I/61lqPHvKTUL._AC_UL320_.jpg")</f>
        <v>#NAME?</v>
      </c>
      <c r="I6425" t="s">
        <v>824</v>
      </c>
      <c r="J6425">
        <v>26.99</v>
      </c>
      <c r="K6425" s="4">
        <v>-9.9400000000000002E-2</v>
      </c>
      <c r="L6425">
        <v>4.3</v>
      </c>
      <c r="M6425">
        <v>26</v>
      </c>
      <c r="O6425" t="s">
        <v>25</v>
      </c>
      <c r="P6425" t="s">
        <v>825</v>
      </c>
      <c r="Q6425" t="s">
        <v>6696</v>
      </c>
    </row>
    <row r="6426" spans="1:17" ht="15.5" x14ac:dyDescent="0.35">
      <c r="A6426" s="3" t="str">
        <f>HYPERLINK("https://edmondsonsupply.com/collections/electricians-tools/products/klein-tools-60186-work-gloves-cut-level-4-touchscreen-large-2-pair", "https://edmondsonsupply.com/collections/electricians-tools/products/klein-tools-60186-work-gloves-cut-level-4-touchscreen-large-2-pair")</f>
        <v>https://edmondsonsupply.com/collections/electricians-tools/products/klein-tools-60186-work-gloves-cut-level-4-touchscreen-large-2-pair</v>
      </c>
      <c r="B6426" s="3" t="str">
        <f>HYPERLINK("https://edmondsonsupply.com/products/klein-tools-60186-work-gloves-cut-level-4-touchscreen-large-2-pair", "https://edmondsonsupply.com/products/klein-tools-60186-work-gloves-cut-level-4-touchscreen-large-2-pair")</f>
        <v>https://edmondsonsupply.com/products/klein-tools-60186-work-gloves-cut-level-4-touchscreen-large-2-pair</v>
      </c>
      <c r="C6426" t="s">
        <v>1284</v>
      </c>
      <c r="D6426" t="s">
        <v>1285</v>
      </c>
      <c r="E6426" s="3" t="str">
        <f>HYPERLINK("https://www.amazon.com/Klein-60186-Gloves-Cut-Resistant-Touchscreen/dp/B086V5W257/ref=sr_1_1?keywords=Klein+Tools+60186+Work+Gloves%2C+Cut+Level+4%2C+Touchscreen%2C+Large%2C+2-Pair&amp;qid=1695173924&amp;sr=8-1", "https://www.amazon.com/Klein-60186-Gloves-Cut-Resistant-Touchscreen/dp/B086V5W257/ref=sr_1_1?keywords=Klein+Tools+60186+Work+Gloves%2C+Cut+Level+4%2C+Touchscreen%2C+Large%2C+2-Pair&amp;qid=1695173924&amp;sr=8-1")</f>
        <v>https://www.amazon.com/Klein-60186-Gloves-Cut-Resistant-Touchscreen/dp/B086V5W257/ref=sr_1_1?keywords=Klein+Tools+60186+Work+Gloves%2C+Cut+Level+4%2C+Touchscreen%2C+Large%2C+2-Pair&amp;qid=1695173924&amp;sr=8-1</v>
      </c>
      <c r="F6426" t="s">
        <v>1286</v>
      </c>
      <c r="G6426" t="e">
        <f ca="1">_xludf.IMAGE("https://edmondsonsupply.com/cdn/shop/products/60186.jpg?v=1633030303")</f>
        <v>#NAME?</v>
      </c>
      <c r="H6426" t="e">
        <f ca="1">_xludf.IMAGE("https://m.media-amazon.com/images/I/71lOoZmdSgL._AC_UL320_.jpg")</f>
        <v>#NAME?</v>
      </c>
      <c r="I6426" t="s">
        <v>1287</v>
      </c>
      <c r="J6426">
        <v>16.989999999999998</v>
      </c>
      <c r="K6426" s="4">
        <v>-9.9599999999999994E-2</v>
      </c>
      <c r="L6426">
        <v>4.5999999999999996</v>
      </c>
      <c r="M6426">
        <v>135</v>
      </c>
      <c r="O6426" t="s">
        <v>25</v>
      </c>
      <c r="P6426" t="s">
        <v>1288</v>
      </c>
      <c r="Q6426" t="s">
        <v>1289</v>
      </c>
    </row>
    <row r="6427" spans="1:17" ht="15.5" x14ac:dyDescent="0.35">
      <c r="A6427"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427" s="3" t="str">
        <f>HYPERLINK("https://edmondsonsupply.com/products/klein-tools-d2000-28glw-diagonal-cutting-pliers-hi-viz-8-inch", "https://edmondsonsupply.com/products/klein-tools-d2000-28glw-diagonal-cutting-pliers-hi-viz-8-inch")</f>
        <v>https://edmondsonsupply.com/products/klein-tools-d2000-28glw-diagonal-cutting-pliers-hi-viz-8-inch</v>
      </c>
      <c r="C6427" t="s">
        <v>4233</v>
      </c>
      <c r="D6427" t="s">
        <v>5113</v>
      </c>
      <c r="E6427" s="3" t="str">
        <f>HYPERLINK("https://www.amazon.com/Klein-Tools-D200028GLW-Pliers-Diagonal-Cutters/dp/B00H7PIB66/ref=sr_1_1?keywords=Klein+Tools+D200028GLW+Diagonal+Cutting+Pliers%2C+High-Visibility%2C+8-Inch&amp;qid=1695173928&amp;sr=8-1", "https://www.amazon.com/Klein-Tools-D200028GLW-Pliers-Diagonal-Cutters/dp/B00H7PIB66/ref=sr_1_1?keywords=Klein+Tools+D200028GLW+Diagonal+Cutting+Pliers%2C+High-Visibility%2C+8-Inch&amp;qid=1695173928&amp;sr=8-1")</f>
        <v>https://www.amazon.com/Klein-Tools-D200028GLW-Pliers-Diagonal-Cutters/dp/B00H7PIB66/ref=sr_1_1?keywords=Klein+Tools+D200028GLW+Diagonal+Cutting+Pliers%2C+High-Visibility%2C+8-Inch&amp;qid=1695173928&amp;sr=8-1</v>
      </c>
      <c r="F6427" t="s">
        <v>5114</v>
      </c>
      <c r="G6427" t="e">
        <f ca="1">_xludf.IMAGE("https://edmondsonsupply.com/cdn/shop/products/d200028glw.jpg?v=1633030701")</f>
        <v>#NAME?</v>
      </c>
      <c r="H6427" t="e">
        <f ca="1">_xludf.IMAGE("https://m.media-amazon.com/images/I/41wGfd897cL._AC_UL320_.jpg")</f>
        <v>#NAME?</v>
      </c>
      <c r="I6427" t="s">
        <v>67</v>
      </c>
      <c r="J6427">
        <v>33.75</v>
      </c>
      <c r="K6427" s="4">
        <v>-9.98E-2</v>
      </c>
      <c r="L6427">
        <v>4.7</v>
      </c>
      <c r="M6427">
        <v>497</v>
      </c>
      <c r="O6427" t="s">
        <v>25</v>
      </c>
      <c r="P6427" t="s">
        <v>4236</v>
      </c>
      <c r="Q6427" t="s">
        <v>4237</v>
      </c>
    </row>
    <row r="6428" spans="1:17" ht="15.5" x14ac:dyDescent="0.35">
      <c r="A6428" s="3" t="str">
        <f>HYPERLINK("https://edmondsonsupply.com/collections/electricians-tools/products/klein-tools-j2000-9necr-linemans-pliers-crimping-9-inch", "https://edmondsonsupply.com/collections/electricians-tools/products/klein-tools-j2000-9necr-linemans-pliers-crimping-9-inch")</f>
        <v>https://edmondsonsupply.com/collections/electricians-tools/products/klein-tools-j2000-9necr-linemans-pliers-crimping-9-inch</v>
      </c>
      <c r="B6428" s="3" t="str">
        <f>HYPERLINK("https://edmondsonsupply.com/products/klein-tools-j2000-9necr-linemans-pliers-crimping-9-inch", "https://edmondsonsupply.com/products/klein-tools-j2000-9necr-linemans-pliers-crimping-9-inch")</f>
        <v>https://edmondsonsupply.com/products/klein-tools-j2000-9necr-linemans-pliers-crimping-9-inch</v>
      </c>
      <c r="C6428" t="s">
        <v>8557</v>
      </c>
      <c r="D6428" t="s">
        <v>8558</v>
      </c>
      <c r="E6428" s="3" t="str">
        <f>HYPERLINK("https://www.amazon.com/Leverage-Crimping-Klein-Tools-J2000-9NECR/dp/B001D1KZ0A/ref=sr_1_1?keywords=Klein+Tools+J2000-9NECR+Linemans+Pliers%2C+Crimping%2C+9-Inch&amp;qid=1695174223&amp;sr=8-1", "https://www.amazon.com/Leverage-Crimping-Klein-Tools-J2000-9NECR/dp/B001D1KZ0A/ref=sr_1_1?keywords=Klein+Tools+J2000-9NECR+Linemans+Pliers%2C+Crimping%2C+9-Inch&amp;qid=1695174223&amp;sr=8-1")</f>
        <v>https://www.amazon.com/Leverage-Crimping-Klein-Tools-J2000-9NECR/dp/B001D1KZ0A/ref=sr_1_1?keywords=Klein+Tools+J2000-9NECR+Linemans+Pliers%2C+Crimping%2C+9-Inch&amp;qid=1695174223&amp;sr=8-1</v>
      </c>
      <c r="F6428" t="s">
        <v>8559</v>
      </c>
      <c r="G6428" t="e">
        <f ca="1">_xludf.IMAGE("https://edmondsonsupply.com/cdn/shop/products/j20009necr.jpg?v=1642121245")</f>
        <v>#NAME?</v>
      </c>
      <c r="H6428" t="e">
        <f ca="1">_xludf.IMAGE("https://m.media-amazon.com/images/I/512SCXAAqRL._AC_UL320_.jpg")</f>
        <v>#NAME?</v>
      </c>
      <c r="I6428" t="s">
        <v>905</v>
      </c>
      <c r="J6428">
        <v>53.99</v>
      </c>
      <c r="K6428" s="4">
        <v>-0.1</v>
      </c>
      <c r="L6428">
        <v>4.8</v>
      </c>
      <c r="M6428">
        <v>1616</v>
      </c>
      <c r="O6428" t="s">
        <v>25</v>
      </c>
      <c r="P6428" t="s">
        <v>8560</v>
      </c>
      <c r="Q6428" t="s">
        <v>8561</v>
      </c>
    </row>
    <row r="6429" spans="1:17" ht="15.5" x14ac:dyDescent="0.35">
      <c r="A6429"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6429" s="3" t="str">
        <f>HYPERLINK("https://edmondsonsupply.com/products/klein-tools-44005c-hawkbill-lockback-knife-with-clip", "https://edmondsonsupply.com/products/klein-tools-44005c-hawkbill-lockback-knife-with-clip")</f>
        <v>https://edmondsonsupply.com/products/klein-tools-44005c-hawkbill-lockback-knife-with-clip</v>
      </c>
      <c r="C6429" t="s">
        <v>7808</v>
      </c>
      <c r="D6429" t="s">
        <v>8562</v>
      </c>
      <c r="E6429" s="3" t="str">
        <f>HYPERLINK("https://www.amazon.com/Hawkbill-Lockback-Klein-Tools-44005C/dp/B077TJF895/ref=sr_1_1?keywords=Klein+Tools+44005C+Hawkbill+Lockback+Knife+with+Clip&amp;qid=1695174149&amp;sr=8-1", "https://www.amazon.com/Hawkbill-Lockback-Klein-Tools-44005C/dp/B077TJF895/ref=sr_1_1?keywords=Klein+Tools+44005C+Hawkbill+Lockback+Knife+with+Clip&amp;qid=1695174149&amp;sr=8-1")</f>
        <v>https://www.amazon.com/Hawkbill-Lockback-Klein-Tools-44005C/dp/B077TJF895/ref=sr_1_1?keywords=Klein+Tools+44005C+Hawkbill+Lockback+Knife+with+Clip&amp;qid=1695174149&amp;sr=8-1</v>
      </c>
      <c r="F6429" t="s">
        <v>8563</v>
      </c>
      <c r="G6429" t="e">
        <f ca="1">_xludf.IMAGE("https://edmondsonsupply.com/cdn/shop/products/44005c.jpg?v=1664810854")</f>
        <v>#NAME?</v>
      </c>
      <c r="H6429" t="e">
        <f ca="1">_xludf.IMAGE("https://m.media-amazon.com/images/I/41uFQxfj4YL._AC_UL320_.jpg")</f>
        <v>#NAME?</v>
      </c>
      <c r="I6429" t="s">
        <v>1931</v>
      </c>
      <c r="J6429">
        <v>44.99</v>
      </c>
      <c r="K6429" s="4">
        <v>-0.1</v>
      </c>
      <c r="L6429">
        <v>4.2</v>
      </c>
      <c r="M6429">
        <v>142</v>
      </c>
      <c r="O6429" t="s">
        <v>25</v>
      </c>
      <c r="P6429" t="s">
        <v>7811</v>
      </c>
      <c r="Q6429" t="s">
        <v>7812</v>
      </c>
    </row>
    <row r="6430" spans="1:17" ht="15.5" x14ac:dyDescent="0.35">
      <c r="A6430" s="3" t="str">
        <f>HYPERLINK("https://edmondsonsupply.com/collections/electricians-tools/products/klein-tools-31922-bi-metal-hole-saw-1-3-8-inch", "https://edmondsonsupply.com/collections/electricians-tools/products/klein-tools-31922-bi-metal-hole-saw-1-3-8-inch")</f>
        <v>https://edmondsonsupply.com/collections/electricians-tools/products/klein-tools-31922-bi-metal-hole-saw-1-3-8-inch</v>
      </c>
      <c r="B6430" s="3" t="str">
        <f>HYPERLINK("https://edmondsonsupply.com/products/klein-tools-31922-bi-metal-hole-saw-1-3-8-inch", "https://edmondsonsupply.com/products/klein-tools-31922-bi-metal-hole-saw-1-3-8-inch")</f>
        <v>https://edmondsonsupply.com/products/klein-tools-31922-bi-metal-hole-saw-1-3-8-inch</v>
      </c>
      <c r="C6430" t="s">
        <v>6049</v>
      </c>
      <c r="D6430" t="s">
        <v>6049</v>
      </c>
      <c r="E6430" s="3" t="str">
        <f>HYPERLINK("https://www.amazon.com/Bi-Metal-8-Inch-Klein-Tools-31922/dp/B019874Q0K/ref=sr_1_1?keywords=Klein+Tools+31922+Bi-Metal+Hole+Saw%2C+1-3%2F8-Inch&amp;qid=1695174231&amp;sr=8-1", "https://www.amazon.com/Bi-Metal-8-Inch-Klein-Tools-31922/dp/B019874Q0K/ref=sr_1_1?keywords=Klein+Tools+31922+Bi-Metal+Hole+Saw%2C+1-3%2F8-Inch&amp;qid=1695174231&amp;sr=8-1")</f>
        <v>https://www.amazon.com/Bi-Metal-8-Inch-Klein-Tools-31922/dp/B019874Q0K/ref=sr_1_1?keywords=Klein+Tools+31922+Bi-Metal+Hole+Saw%2C+1-3%2F8-Inch&amp;qid=1695174231&amp;sr=8-1</v>
      </c>
      <c r="F6430" t="s">
        <v>7576</v>
      </c>
      <c r="G6430" t="e">
        <f ca="1">_xludf.IMAGE("https://edmondsonsupply.com/cdn/shop/products/31922.jpg?v=1663943738")</f>
        <v>#NAME?</v>
      </c>
      <c r="H6430" t="e">
        <f ca="1">_xludf.IMAGE("https://m.media-amazon.com/images/I/41GAmyLoB4L._AC_UL320_.jpg")</f>
        <v>#NAME?</v>
      </c>
      <c r="I6430" t="s">
        <v>2577</v>
      </c>
      <c r="J6430">
        <v>8.99</v>
      </c>
      <c r="K6430" s="4">
        <v>-0.10009999999999999</v>
      </c>
      <c r="L6430">
        <v>4.5</v>
      </c>
      <c r="M6430">
        <v>366</v>
      </c>
      <c r="O6430" t="s">
        <v>25</v>
      </c>
      <c r="P6430" t="s">
        <v>1271</v>
      </c>
      <c r="Q6430" t="s">
        <v>6050</v>
      </c>
    </row>
    <row r="6431" spans="1:17" ht="15.5" x14ac:dyDescent="0.35">
      <c r="A6431" s="3" t="str">
        <f>HYPERLINK("https://edmondsonsupply.com/collections/electricians-tools/products/klein-tools-jth4e17-1-2-inch-hex-key-journeyman-t-handle-4-inch", "https://edmondsonsupply.com/collections/electricians-tools/products/klein-tools-jth4e17-1-2-inch-hex-key-journeyman-t-handle-4-inch")</f>
        <v>https://edmondsonsupply.com/collections/electricians-tools/products/klein-tools-jth4e17-1-2-inch-hex-key-journeyman-t-handle-4-inch</v>
      </c>
      <c r="B6431" s="3" t="str">
        <f>HYPERLINK("https://edmondsonsupply.com/products/klein-tools-jth4e17-1-2-inch-hex-key-journeyman-t-handle-4-inch", "https://edmondsonsupply.com/products/klein-tools-jth4e17-1-2-inch-hex-key-journeyman-t-handle-4-inch")</f>
        <v>https://edmondsonsupply.com/products/klein-tools-jth4e17-1-2-inch-hex-key-journeyman-t-handle-4-inch</v>
      </c>
      <c r="C6431" t="s">
        <v>2385</v>
      </c>
      <c r="D6431" t="s">
        <v>5118</v>
      </c>
      <c r="E6431" s="3" t="str">
        <f>HYPERLINK("https://www.amazon.com/Journeyman-T-Handle-Klein-Tools-JTH9E10/dp/B004QV8H90/ref=sr_1_3?keywords=Klein+Tools+JTH4E11+3%2F16-Inch+Hex+Key+with+Journeyman+T-Handle%2C+4-Inch&amp;qid=1695173897&amp;sr=8-3", "https://www.amazon.com/Journeyman-T-Handle-Klein-Tools-JTH9E10/dp/B004QV8H90/ref=sr_1_3?keywords=Klein+Tools+JTH4E11+3%2F16-Inch+Hex+Key+with+Journeyman+T-Handle%2C+4-Inch&amp;qid=1695173897&amp;sr=8-3")</f>
        <v>https://www.amazon.com/Journeyman-T-Handle-Klein-Tools-JTH9E10/dp/B004QV8H90/ref=sr_1_3?keywords=Klein+Tools+JTH4E11+3%2F16-Inch+Hex+Key+with+Journeyman+T-Handle%2C+4-Inch&amp;qid=1695173897&amp;sr=8-3</v>
      </c>
      <c r="F6431" t="s">
        <v>5119</v>
      </c>
      <c r="G6431" t="e">
        <f ca="1">_xludf.IMAGE("https://edmondsonsupply.com/cdn/shop/products/jth4e17.jpg?v=1587144836")</f>
        <v>#NAME?</v>
      </c>
      <c r="H6431" t="e">
        <f ca="1">_xludf.IMAGE("https://m.media-amazon.com/images/I/51Yb8h41vLL._AC_UL320_.jpg")</f>
        <v>#NAME?</v>
      </c>
      <c r="I6431" t="s">
        <v>2388</v>
      </c>
      <c r="J6431">
        <v>4.49</v>
      </c>
      <c r="K6431" s="4">
        <v>-0.1002</v>
      </c>
      <c r="L6431">
        <v>4.8</v>
      </c>
      <c r="M6431">
        <v>294</v>
      </c>
      <c r="O6431" t="s">
        <v>25</v>
      </c>
      <c r="P6431" t="s">
        <v>2389</v>
      </c>
      <c r="Q6431" t="s">
        <v>2390</v>
      </c>
    </row>
    <row r="6432" spans="1:17" ht="15.5" x14ac:dyDescent="0.35">
      <c r="A6432" s="3" t="str">
        <f>HYPERLINK("https://edmondsonsupply.com/collections/electricians-tools/products/klein-tools-jth9m5-5-mm-hex-key-journeyman-t-handle-9-inch", "https://edmondsonsupply.com/collections/electricians-tools/products/klein-tools-jth9m5-5-mm-hex-key-journeyman-t-handle-9-inch")</f>
        <v>https://edmondsonsupply.com/collections/electricians-tools/products/klein-tools-jth9m5-5-mm-hex-key-journeyman-t-handle-9-inch</v>
      </c>
      <c r="B6432" s="3" t="str">
        <f>HYPERLINK("https://edmondsonsupply.com/products/klein-tools-jth9m5-5-mm-hex-key-journeyman-t-handle-9-inch", "https://edmondsonsupply.com/products/klein-tools-jth9m5-5-mm-hex-key-journeyman-t-handle-9-inch")</f>
        <v>https://edmondsonsupply.com/products/klein-tools-jth9m5-5-mm-hex-key-journeyman-t-handle-9-inch</v>
      </c>
      <c r="C6432" t="s">
        <v>6167</v>
      </c>
      <c r="D6432" t="s">
        <v>5118</v>
      </c>
      <c r="E6432" s="3" t="str">
        <f>HYPERLINK("https://www.amazon.com/Journeyman-T-Handle-Klein-Tools-JTH9E10/dp/B004QV8H90/ref=sr_1_6?keywords=Klein+Tools+JTH9M5+5+mm+Hex+Key%2C+Journeyman+T-Handle+9-Inch&amp;qid=1695174264&amp;sr=8-6", "https://www.amazon.com/Journeyman-T-Handle-Klein-Tools-JTH9E10/dp/B004QV8H90/ref=sr_1_6?keywords=Klein+Tools+JTH9M5+5+mm+Hex+Key%2C+Journeyman+T-Handle+9-Inch&amp;qid=1695174264&amp;sr=8-6")</f>
        <v>https://www.amazon.com/Journeyman-T-Handle-Klein-Tools-JTH9E10/dp/B004QV8H90/ref=sr_1_6?keywords=Klein+Tools+JTH9M5+5+mm+Hex+Key%2C+Journeyman+T-Handle+9-Inch&amp;qid=1695174264&amp;sr=8-6</v>
      </c>
      <c r="F6432" t="s">
        <v>5119</v>
      </c>
      <c r="G6432" t="e">
        <f ca="1">_xludf.IMAGE("https://edmondsonsupply.com/cdn/shop/products/jth9m_84ad507b-889a-4b5c-80a2-9633c898cd48.jpg?v=1633031048")</f>
        <v>#NAME?</v>
      </c>
      <c r="H6432" t="e">
        <f ca="1">_xludf.IMAGE("https://m.media-amazon.com/images/I/51Yb8h41vLL._AC_UL320_.jpg")</f>
        <v>#NAME?</v>
      </c>
      <c r="I6432" t="s">
        <v>2388</v>
      </c>
      <c r="J6432">
        <v>4.49</v>
      </c>
      <c r="K6432" s="4">
        <v>-0.1002</v>
      </c>
      <c r="L6432">
        <v>4.8</v>
      </c>
      <c r="M6432">
        <v>294</v>
      </c>
      <c r="O6432" t="s">
        <v>25</v>
      </c>
      <c r="P6432" t="s">
        <v>6168</v>
      </c>
      <c r="Q6432" t="s">
        <v>6169</v>
      </c>
    </row>
    <row r="6433" spans="1:17" ht="15.5" x14ac:dyDescent="0.35">
      <c r="A6433" s="3" t="str">
        <f>HYPERLINK("https://edmondsonsupply.com/collections/electricians-tools/products/klein-tools-6824ins-insulated-screwdriver-1-4-inch-cabinet-tip-4-inch-round-shank", "https://edmondsonsupply.com/collections/electricians-tools/products/klein-tools-6824ins-insulated-screwdriver-1-4-inch-cabinet-tip-4-inch-round-shank")</f>
        <v>https://edmondsonsupply.com/collections/electricians-tools/products/klein-tools-6824ins-insulated-screwdriver-1-4-inch-cabinet-tip-4-inch-round-shank</v>
      </c>
      <c r="B6433" s="3" t="str">
        <f>HYPERLINK("https://edmondsonsupply.com/products/klein-tools-6824ins-insulated-screwdriver-1-4-inch-cabinet-tip-4-inch-round-shank", "https://edmondsonsupply.com/products/klein-tools-6824ins-insulated-screwdriver-1-4-inch-cabinet-tip-4-inch-round-shank")</f>
        <v>https://edmondsonsupply.com/products/klein-tools-6824ins-insulated-screwdriver-1-4-inch-cabinet-tip-4-inch-round-shank</v>
      </c>
      <c r="C6433" t="s">
        <v>6812</v>
      </c>
      <c r="D6433" t="s">
        <v>8254</v>
      </c>
      <c r="E6433" s="3" t="str">
        <f>HYPERLINK("https://www.amazon.com/Screwdriver-Terminal-Klein-Tools-612-4/dp/B0058I6VNE/ref=sr_1_6?keywords=Klein+Tools+6824INS+Insulated+Screwdriver%2C+1%2F4-Inch+Cabinet+Tip%2C+4-Inch+Round+Shank&amp;qid=1695174148&amp;sr=8-6", "https://www.amazon.com/Screwdriver-Terminal-Klein-Tools-612-4/dp/B0058I6VNE/ref=sr_1_6?keywords=Klein+Tools+6824INS+Insulated+Screwdriver%2C+1%2F4-Inch+Cabinet+Tip%2C+4-Inch+Round+Shank&amp;qid=1695174148&amp;sr=8-6")</f>
        <v>https://www.amazon.com/Screwdriver-Terminal-Klein-Tools-612-4/dp/B0058I6VNE/ref=sr_1_6?keywords=Klein+Tools+6824INS+Insulated+Screwdriver%2C+1%2F4-Inch+Cabinet+Tip%2C+4-Inch+Round+Shank&amp;qid=1695174148&amp;sr=8-6</v>
      </c>
      <c r="F6433" t="s">
        <v>8255</v>
      </c>
      <c r="G6433" t="e">
        <f ca="1">_xludf.IMAGE("https://edmondsonsupply.com/cdn/shop/products/6824ins.jpg?v=1664813487")</f>
        <v>#NAME?</v>
      </c>
      <c r="H6433" t="e">
        <f ca="1">_xludf.IMAGE("https://m.media-amazon.com/images/I/51APfPlk95L._AC_UL320_.jpg")</f>
        <v>#NAME?</v>
      </c>
      <c r="I6433" t="s">
        <v>1427</v>
      </c>
      <c r="J6433">
        <v>8.9700000000000006</v>
      </c>
      <c r="K6433" s="4">
        <v>-0.1003</v>
      </c>
      <c r="L6433">
        <v>4.8</v>
      </c>
      <c r="M6433">
        <v>1956</v>
      </c>
      <c r="O6433" t="s">
        <v>25</v>
      </c>
      <c r="P6433" t="s">
        <v>6813</v>
      </c>
      <c r="Q6433" t="s">
        <v>6814</v>
      </c>
    </row>
    <row r="6434" spans="1:17" ht="15.5" x14ac:dyDescent="0.35">
      <c r="A6434" s="3" t="str">
        <f>HYPERLINK("https://edmondsonsupply.com/collections/electricians-tools/products/diablo-tools-dsc-s24-24-pc-screwdriving-set", "https://edmondsonsupply.com/collections/electricians-tools/products/diablo-tools-dsc-s24-24-pc-screwdriving-set")</f>
        <v>https://edmondsonsupply.com/collections/electricians-tools/products/diablo-tools-dsc-s24-24-pc-screwdriving-set</v>
      </c>
      <c r="B6434" s="3" t="str">
        <f>HYPERLINK("https://edmondsonsupply.com/products/diablo-tools-dsc-s24-24-pc-screwdriving-set", "https://edmondsonsupply.com/products/diablo-tools-dsc-s24-24-pc-screwdriving-set")</f>
        <v>https://edmondsonsupply.com/products/diablo-tools-dsc-s24-24-pc-screwdriving-set</v>
      </c>
      <c r="C6434" t="s">
        <v>8564</v>
      </c>
      <c r="D6434" t="s">
        <v>8565</v>
      </c>
      <c r="E6434" s="3" t="str">
        <f>HYPERLINK("https://www.amazon.com/Diablo-DSC-S24-Screwdriving-Set-24-Piece/dp/B089KMKTNT/ref=sr_1_1?keywords=Diablo+Tools+DSC-S24+24+pc+Screwdriving+Set&amp;qid=1695174065&amp;sr=8-1", "https://www.amazon.com/Diablo-DSC-S24-Screwdriving-Set-24-Piece/dp/B089KMKTNT/ref=sr_1_1?keywords=Diablo+Tools+DSC-S24+24+pc+Screwdriving+Set&amp;qid=1695174065&amp;sr=8-1")</f>
        <v>https://www.amazon.com/Diablo-DSC-S24-Screwdriving-Set-24-Piece/dp/B089KMKTNT/ref=sr_1_1?keywords=Diablo+Tools+DSC-S24+24+pc+Screwdriving+Set&amp;qid=1695174065&amp;sr=8-1</v>
      </c>
      <c r="F6434" t="s">
        <v>8566</v>
      </c>
      <c r="G6434" t="e">
        <f ca="1">_xludf.IMAGE("https://edmondsonsupply.com/cdn/shop/products/jzusdiqrmdplkny7o0gq.webp?v=1678464202")</f>
        <v>#NAME?</v>
      </c>
      <c r="H6434" t="e">
        <f ca="1">_xludf.IMAGE("https://m.media-amazon.com/images/I/81KQZtvYotL._AC_UL320_.jpg")</f>
        <v>#NAME?</v>
      </c>
      <c r="I6434" t="s">
        <v>893</v>
      </c>
      <c r="J6434">
        <v>17.95</v>
      </c>
      <c r="K6434" s="4">
        <v>-0.1012</v>
      </c>
      <c r="L6434">
        <v>4</v>
      </c>
      <c r="M6434">
        <v>8</v>
      </c>
      <c r="O6434" t="s">
        <v>25</v>
      </c>
      <c r="P6434" t="s">
        <v>8567</v>
      </c>
      <c r="Q6434" t="s">
        <v>8568</v>
      </c>
    </row>
    <row r="6435" spans="1:17" ht="15.5" x14ac:dyDescent="0.35">
      <c r="A6435" s="3" t="str">
        <f>HYPERLINK("https://edmondsonsupply.com/collections/electricians-tools/products/diablo-tools-dsf2125-2-1-8-dia-speedemon%E2%84%A2-self-feed-bit", "https://edmondsonsupply.com/collections/electricians-tools/products/diablo-tools-dsf2125-2-1-8-dia-speedemon%E2%84%A2-self-feed-bit")</f>
        <v>https://edmondsonsupply.com/collections/electricians-tools/products/diablo-tools-dsf2125-2-1-8-dia-speedemon%E2%84%A2-self-feed-bit</v>
      </c>
      <c r="B6435" s="3" t="str">
        <f>HYPERLINK("https://edmondsonsupply.com/products/diablo-tools-dsf2125-2-1-8-dia-speedemon%e2%84%a2-self-feed-bit", "https://edmondsonsupply.com/products/diablo-tools-dsf2125-2-1-8-dia-speedemon%e2%84%a2-self-feed-bit")</f>
        <v>https://edmondsonsupply.com/products/diablo-tools-dsf2125-2-1-8-dia-speedemon%e2%84%a2-self-feed-bit</v>
      </c>
      <c r="C6435" t="s">
        <v>8569</v>
      </c>
      <c r="D6435" t="s">
        <v>8570</v>
      </c>
      <c r="E6435" s="3" t="str">
        <f>HYPERLINK("https://www.amazon.com/Diablo-2-1-Self-Feed-DSF2125/dp/B07YKXNLKK/ref=sr_1_1?keywords=Diablo+Tools+DSF2125+2-1%2F8%22+Dia.+SPEEDemon%E2%84%A2+Self+Feed+Bit&amp;qid=1695174254&amp;sr=8-1", "https://www.amazon.com/Diablo-2-1-Self-Feed-DSF2125/dp/B07YKXNLKK/ref=sr_1_1?keywords=Diablo+Tools+DSF2125+2-1%2F8%22+Dia.+SPEEDemon%E2%84%A2+Self+Feed+Bit&amp;qid=1695174254&amp;sr=8-1")</f>
        <v>https://www.amazon.com/Diablo-2-1-Self-Feed-DSF2125/dp/B07YKXNLKK/ref=sr_1_1?keywords=Diablo+Tools+DSF2125+2-1%2F8%22+Dia.+SPEEDemon%E2%84%A2+Self+Feed+Bit&amp;qid=1695174254&amp;sr=8-1</v>
      </c>
      <c r="F6435" t="s">
        <v>8571</v>
      </c>
      <c r="G6435" t="e">
        <f ca="1">_xludf.IMAGE("https://edmondsonsupply.com/cdn/shop/products/DSF2125_Main-Image.png?v=1633031104")</f>
        <v>#NAME?</v>
      </c>
      <c r="H6435" t="e">
        <f ca="1">_xludf.IMAGE("https://m.media-amazon.com/images/I/51iM6LPEMcL._AC_UL320_.jpg")</f>
        <v>#NAME?</v>
      </c>
      <c r="I6435" t="s">
        <v>8572</v>
      </c>
      <c r="J6435">
        <v>44</v>
      </c>
      <c r="K6435" s="4">
        <v>-0.10150000000000001</v>
      </c>
      <c r="L6435">
        <v>4.7</v>
      </c>
      <c r="M6435">
        <v>3</v>
      </c>
      <c r="O6435" t="s">
        <v>25</v>
      </c>
      <c r="P6435" t="s">
        <v>8573</v>
      </c>
      <c r="Q6435" t="s">
        <v>8574</v>
      </c>
    </row>
    <row r="6436" spans="1:17" ht="15.5" x14ac:dyDescent="0.35">
      <c r="A6436"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6436"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6436" t="s">
        <v>7470</v>
      </c>
      <c r="D6436" t="s">
        <v>8575</v>
      </c>
      <c r="E6436" s="3" t="str">
        <f>HYPERLINK("https://www.amazon.com/Crescent-Lufkin-Command-Control-Measure/dp/B09PGZJR23/ref=sr_1_1?keywords=Crescent+Lufkin+L1025C-02+1-3%2F16%22+x+25%27+Command+Control+Series%E2%84%A2+Yellow+Clad+Tape+Measure&amp;qid=1695174033&amp;sr=8-1", "https://www.amazon.com/Crescent-Lufkin-Command-Control-Measure/dp/B09PGZJR23/ref=sr_1_1?keywords=Crescent+Lufkin+L1025C-02+1-3%2F16%22+x+25%27+Command+Control+Series%E2%84%A2+Yellow+Clad+Tape+Measure&amp;qid=1695174033&amp;sr=8-1")</f>
        <v>https://www.amazon.com/Crescent-Lufkin-Command-Control-Measure/dp/B09PGZJR23/ref=sr_1_1?keywords=Crescent+Lufkin+L1025C-02+1-3%2F16%22+x+25%27+Command+Control+Series%E2%84%A2+Yellow+Clad+Tape+Measure&amp;qid=1695174033&amp;sr=8-1</v>
      </c>
      <c r="F6436" t="s">
        <v>8576</v>
      </c>
      <c r="G6436" t="e">
        <f ca="1">_xludf.IMAGE("https://edmondsonsupply.com/cdn/shop/products/LFK_L1025C_4-SIDES_IMG-MAIN1.jpg?v=1680013140")</f>
        <v>#NAME?</v>
      </c>
      <c r="H6436" t="e">
        <f ca="1">_xludf.IMAGE("https://m.media-amazon.com/images/I/71PfA+jPHAL._AC_UL320_.jpg")</f>
        <v>#NAME?</v>
      </c>
      <c r="I6436" t="s">
        <v>7473</v>
      </c>
      <c r="J6436">
        <v>13.99</v>
      </c>
      <c r="K6436" s="4">
        <v>-0.1026</v>
      </c>
      <c r="L6436">
        <v>3.9</v>
      </c>
      <c r="M6436">
        <v>19</v>
      </c>
      <c r="O6436" t="s">
        <v>25</v>
      </c>
      <c r="P6436" t="s">
        <v>6822</v>
      </c>
      <c r="Q6436" t="s">
        <v>7474</v>
      </c>
    </row>
    <row r="6437" spans="1:17" ht="15.5" x14ac:dyDescent="0.35">
      <c r="A6437" s="3" t="str">
        <f>HYPERLINK("https://edmondsonsupply.com/collections/electricians-tools/products/klein-tools-450-410-self-adhesive-cable-mounting-clips-3-slot-10-pack", "https://edmondsonsupply.com/collections/electricians-tools/products/klein-tools-450-410-self-adhesive-cable-mounting-clips-3-slot-10-pack")</f>
        <v>https://edmondsonsupply.com/collections/electricians-tools/products/klein-tools-450-410-self-adhesive-cable-mounting-clips-3-slot-10-pack</v>
      </c>
      <c r="B6437" s="3" t="str">
        <f>HYPERLINK("https://edmondsonsupply.com/products/klein-tools-450-410-self-adhesive-cable-mounting-clips-3-slot-10-pack", "https://edmondsonsupply.com/products/klein-tools-450-410-self-adhesive-cable-mounting-clips-3-slot-10-pack")</f>
        <v>https://edmondsonsupply.com/products/klein-tools-450-410-self-adhesive-cable-mounting-clips-3-slot-10-pack</v>
      </c>
      <c r="C6437" t="s">
        <v>8577</v>
      </c>
      <c r="D6437" t="s">
        <v>8578</v>
      </c>
      <c r="E6437" s="3" t="str">
        <f>HYPERLINK("https://www.amazon.com/Self-Adhesive-Management-Permanent-Klein-Tools/dp/B095N6FDKY/ref=sr_1_1?keywords=Klein+Tools+450-410+Self-Adhesive+Cable+Mounting+Clips%2C+3-Slot+%2810-Pack%29&amp;qid=1695174162&amp;sr=8-1", "https://www.amazon.com/Self-Adhesive-Management-Permanent-Klein-Tools/dp/B095N6FDKY/ref=sr_1_1?keywords=Klein+Tools+450-410+Self-Adhesive+Cable+Mounting+Clips%2C+3-Slot+%2810-Pack%29&amp;qid=1695174162&amp;sr=8-1")</f>
        <v>https://www.amazon.com/Self-Adhesive-Management-Permanent-Klein-Tools/dp/B095N6FDKY/ref=sr_1_1?keywords=Klein+Tools+450-410+Self-Adhesive+Cable+Mounting+Clips%2C+3-Slot+%2810-Pack%29&amp;qid=1695174162&amp;sr=8-1</v>
      </c>
      <c r="F6437" t="s">
        <v>8579</v>
      </c>
      <c r="G6437" t="e">
        <f ca="1">_xludf.IMAGE("https://edmondsonsupply.com/cdn/shop/products/450410.jpg?v=1663950084")</f>
        <v>#NAME?</v>
      </c>
      <c r="H6437" t="e">
        <f ca="1">_xludf.IMAGE("https://m.media-amazon.com/images/I/51N22kCupdL._AC_UY218_.jpg")</f>
        <v>#NAME?</v>
      </c>
      <c r="I6437" t="s">
        <v>2577</v>
      </c>
      <c r="J6437">
        <v>8.9600000000000009</v>
      </c>
      <c r="K6437" s="4">
        <v>-0.1031</v>
      </c>
      <c r="L6437">
        <v>3.9</v>
      </c>
      <c r="M6437">
        <v>22</v>
      </c>
      <c r="O6437" t="s">
        <v>25</v>
      </c>
      <c r="P6437" t="s">
        <v>7222</v>
      </c>
      <c r="Q6437" t="s">
        <v>8580</v>
      </c>
    </row>
    <row r="6438" spans="1:17" ht="15.5" x14ac:dyDescent="0.35">
      <c r="A6438"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6438"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6438" t="s">
        <v>5880</v>
      </c>
      <c r="D6438" t="s">
        <v>5920</v>
      </c>
      <c r="E6438" s="3" t="str">
        <f>HYPERLINK("https://www.amazon.com/Diablo-DMAMXCC5040-SDS-Max-Carbide-Tipped/dp/B089M9SDDV/ref=sr_1_3?keywords=Diablo+Tools+DMAMXCC5030+3-1%2F4+in.+x+7+in.+SDS-Max+Carbide+Tipped+Core+Bit&amp;qid=1695174010&amp;sr=8-3", "https://www.amazon.com/Diablo-DMAMXCC5040-SDS-Max-Carbide-Tipped/dp/B089M9SDDV/ref=sr_1_3?keywords=Diablo+Tools+DMAMXCC5030+3-1%2F4+in.+x+7+in.+SDS-Max+Carbide+Tipped+Core+Bit&amp;qid=1695174010&amp;sr=8-3")</f>
        <v>https://www.amazon.com/Diablo-DMAMXCC5040-SDS-Max-Carbide-Tipped/dp/B089M9SDDV/ref=sr_1_3?keywords=Diablo+Tools+DMAMXCC5030+3-1%2F4+in.+x+7+in.+SDS-Max+Carbide+Tipped+Core+Bit&amp;qid=1695174010&amp;sr=8-3</v>
      </c>
      <c r="F6438" t="s">
        <v>5921</v>
      </c>
      <c r="G6438" t="e">
        <f ca="1">_xludf.IMAGE("https://edmondsonsupply.com/cdn/shop/files/gtygiwnduxetozty2qne.webp?v=1686585332")</f>
        <v>#NAME?</v>
      </c>
      <c r="H6438" t="e">
        <f ca="1">_xludf.IMAGE("https://m.media-amazon.com/images/I/71hVl4OIfrL._AC_UL320_.jpg")</f>
        <v>#NAME?</v>
      </c>
      <c r="I6438" t="s">
        <v>5883</v>
      </c>
      <c r="J6438">
        <v>112.99</v>
      </c>
      <c r="K6438" s="4">
        <v>-0.1032</v>
      </c>
      <c r="L6438">
        <v>4</v>
      </c>
      <c r="M6438">
        <v>1</v>
      </c>
      <c r="O6438" t="s">
        <v>25</v>
      </c>
      <c r="P6438" t="s">
        <v>5884</v>
      </c>
      <c r="Q6438" t="s">
        <v>5885</v>
      </c>
    </row>
    <row r="6439" spans="1:17" ht="15.5" x14ac:dyDescent="0.35">
      <c r="A6439"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6439"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6439" t="s">
        <v>8581</v>
      </c>
      <c r="D6439" t="s">
        <v>8582</v>
      </c>
      <c r="E6439" s="3" t="str">
        <f>HYPERLINK("https://www.amazon.com/Milwaukee-2767-20-Torque-Friction-Renewed/dp/B07X1N4XHX/ref=sr_1_3?keywords=Milwaukee+2767-20+M18+FUEL%E2%84%A2+1%2F2%22+High+Torque+Impact+Wrench+with+Friction+Ring+%28Tool+Only%29&amp;qid=1695174206&amp;sr=8-3", "https://www.amazon.com/Milwaukee-2767-20-Torque-Friction-Renewed/dp/B07X1N4XHX/ref=sr_1_3?keywords=Milwaukee+2767-20+M18+FUEL%E2%84%A2+1%2F2%22+High+Torque+Impact+Wrench+with+Friction+Ring+%28Tool+Only%29&amp;qid=1695174206&amp;sr=8-3")</f>
        <v>https://www.amazon.com/Milwaukee-2767-20-Torque-Friction-Renewed/dp/B07X1N4XHX/ref=sr_1_3?keywords=Milwaukee+2767-20+M18+FUEL%E2%84%A2+1%2F2%22+High+Torque+Impact+Wrench+with+Friction+Ring+%28Tool+Only%29&amp;qid=1695174206&amp;sr=8-3</v>
      </c>
      <c r="F6439" t="s">
        <v>8583</v>
      </c>
      <c r="G6439" t="e">
        <f ca="1">_xludf.IMAGE("https://edmondsonsupply.com/cdn/shop/products/2767-20_1.webp?v=1668441181")</f>
        <v>#NAME?</v>
      </c>
      <c r="H6439" t="e">
        <f ca="1">_xludf.IMAGE("https://m.media-amazon.com/images/I/71LQmW-OGaL._AC_UL320_.jpg")</f>
        <v>#NAME?</v>
      </c>
      <c r="I6439" t="s">
        <v>698</v>
      </c>
      <c r="J6439">
        <v>249.95</v>
      </c>
      <c r="K6439" s="4">
        <v>-0.1041</v>
      </c>
      <c r="L6439">
        <v>4.8</v>
      </c>
      <c r="M6439">
        <v>21</v>
      </c>
      <c r="O6439" t="s">
        <v>25</v>
      </c>
      <c r="P6439" t="s">
        <v>8584</v>
      </c>
      <c r="Q6439" t="s">
        <v>8585</v>
      </c>
    </row>
    <row r="6440" spans="1:17" ht="15.5" x14ac:dyDescent="0.35">
      <c r="A6440"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6440"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6440" t="s">
        <v>6940</v>
      </c>
      <c r="D6440" t="s">
        <v>8586</v>
      </c>
      <c r="E6440" s="3" t="str">
        <f>HYPERLINK("https://www.amazon.com/Diablo-Universal-Carbide-Oscillating-Blade/dp/B089LHKRPN/ref=sr_1_7?keywords=Diablo+Tools+DOU125BF+1-1%2F4+in.+Universal+Fit+Bi-Metal+Oscillating+Blade+for+Metal&amp;qid=1695174025&amp;sr=8-7", "https://www.amazon.com/Diablo-Universal-Carbide-Oscillating-Blade/dp/B089LHKRPN/ref=sr_1_7?keywords=Diablo+Tools+DOU125BF+1-1%2F4+in.+Universal+Fit+Bi-Metal+Oscillating+Blade+for+Metal&amp;qid=1695174025&amp;sr=8-7")</f>
        <v>https://www.amazon.com/Diablo-Universal-Carbide-Oscillating-Blade/dp/B089LHKRPN/ref=sr_1_7?keywords=Diablo+Tools+DOU125BF+1-1%2F4+in.+Universal+Fit+Bi-Metal+Oscillating+Blade+for+Metal&amp;qid=1695174025&amp;sr=8-7</v>
      </c>
      <c r="F6440" t="s">
        <v>8587</v>
      </c>
      <c r="G6440" t="e">
        <f ca="1">_xludf.IMAGE("https://edmondsonsupply.com/cdn/shop/files/k1d1qiwmm4npznsdbwtg.webp?v=1685467858")</f>
        <v>#NAME?</v>
      </c>
      <c r="H6440" t="e">
        <f ca="1">_xludf.IMAGE("https://m.media-amazon.com/images/I/71izb0UUOkL._AC_UL320_.jpg")</f>
        <v>#NAME?</v>
      </c>
      <c r="I6440" t="s">
        <v>6164</v>
      </c>
      <c r="J6440">
        <v>16.989999999999998</v>
      </c>
      <c r="K6440" s="4">
        <v>-0.10440000000000001</v>
      </c>
      <c r="L6440">
        <v>4.3</v>
      </c>
      <c r="M6440">
        <v>19</v>
      </c>
      <c r="O6440" t="s">
        <v>25</v>
      </c>
      <c r="P6440" t="s">
        <v>6943</v>
      </c>
      <c r="Q6440" t="s">
        <v>6944</v>
      </c>
    </row>
    <row r="6441" spans="1:17" ht="15.5" x14ac:dyDescent="0.35">
      <c r="A6441"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6441"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6441" t="s">
        <v>6940</v>
      </c>
      <c r="D6441" t="s">
        <v>7662</v>
      </c>
      <c r="E6441" s="3" t="str">
        <f>HYPERLINK("https://www.amazon.com/Diablo-Freud-DOU125BF3-Universal-Oscillating/dp/B089KTHL1Z/ref=sr_1_3?keywords=Diablo+Tools+DOU125BF+1-1%2F4+in.+Universal+Fit+Bi-Metal+Oscillating+Blade+for+Metal&amp;qid=1695174025&amp;sr=8-3", "https://www.amazon.com/Diablo-Freud-DOU125BF3-Universal-Oscillating/dp/B089KTHL1Z/ref=sr_1_3?keywords=Diablo+Tools+DOU125BF+1-1%2F4+in.+Universal+Fit+Bi-Metal+Oscillating+Blade+for+Metal&amp;qid=1695174025&amp;sr=8-3")</f>
        <v>https://www.amazon.com/Diablo-Freud-DOU125BF3-Universal-Oscillating/dp/B089KTHL1Z/ref=sr_1_3?keywords=Diablo+Tools+DOU125BF+1-1%2F4+in.+Universal+Fit+Bi-Metal+Oscillating+Blade+for+Metal&amp;qid=1695174025&amp;sr=8-3</v>
      </c>
      <c r="F6441" t="s">
        <v>7663</v>
      </c>
      <c r="G6441" t="e">
        <f ca="1">_xludf.IMAGE("https://edmondsonsupply.com/cdn/shop/files/k1d1qiwmm4npznsdbwtg.webp?v=1685467858")</f>
        <v>#NAME?</v>
      </c>
      <c r="H6441" t="e">
        <f ca="1">_xludf.IMAGE("https://m.media-amazon.com/images/I/61mZfXlj-XL._AC_UL320_.jpg")</f>
        <v>#NAME?</v>
      </c>
      <c r="I6441" t="s">
        <v>6164</v>
      </c>
      <c r="J6441">
        <v>16.989999999999998</v>
      </c>
      <c r="K6441" s="4">
        <v>-0.10440000000000001</v>
      </c>
      <c r="L6441">
        <v>4.2</v>
      </c>
      <c r="M6441">
        <v>14</v>
      </c>
      <c r="O6441" t="s">
        <v>25</v>
      </c>
      <c r="P6441" t="s">
        <v>6943</v>
      </c>
      <c r="Q6441" t="s">
        <v>6944</v>
      </c>
    </row>
    <row r="6442" spans="1:17" ht="15.5" x14ac:dyDescent="0.35">
      <c r="A6442" s="3" t="str">
        <f>HYPERLINK("https://edmondsonsupply.com/collections/electricians-tools/products/klein-tools-29250-60w-portable-solar-panel", "https://edmondsonsupply.com/collections/electricians-tools/products/klein-tools-29250-60w-portable-solar-panel")</f>
        <v>https://edmondsonsupply.com/collections/electricians-tools/products/klein-tools-29250-60w-portable-solar-panel</v>
      </c>
      <c r="B6442" s="3" t="str">
        <f>HYPERLINK("https://edmondsonsupply.com/products/klein-tools-29250-60w-portable-solar-panel", "https://edmondsonsupply.com/products/klein-tools-29250-60w-portable-solar-panel")</f>
        <v>https://edmondsonsupply.com/products/klein-tools-29250-60w-portable-solar-panel</v>
      </c>
      <c r="C6442" t="s">
        <v>8393</v>
      </c>
      <c r="D6442" t="s">
        <v>8588</v>
      </c>
      <c r="E6442" s="3" t="str">
        <f>HYPERLINK("https://www.amazon.com/Blackfire-Portable-FSP60W-Generator-Tailgaiting/dp/B0973QVFC4/ref=sr_1_2?keywords=Klein+Tools+29250+60W+Portable+Solar+Panel&amp;qid=1695174153&amp;sr=8-2", "https://www.amazon.com/Blackfire-Portable-FSP60W-Generator-Tailgaiting/dp/B0973QVFC4/ref=sr_1_2?keywords=Klein+Tools+29250+60W+Portable+Solar+Panel&amp;qid=1695174153&amp;sr=8-2")</f>
        <v>https://www.amazon.com/Blackfire-Portable-FSP60W-Generator-Tailgaiting/dp/B0973QVFC4/ref=sr_1_2?keywords=Klein+Tools+29250+60W+Portable+Solar+Panel&amp;qid=1695174153&amp;sr=8-2</v>
      </c>
      <c r="F6442" t="s">
        <v>8589</v>
      </c>
      <c r="G6442" t="e">
        <f ca="1">_xludf.IMAGE("https://edmondsonsupply.com/cdn/shop/products/29250.jpg?v=1664396962")</f>
        <v>#NAME?</v>
      </c>
      <c r="H6442" t="e">
        <f ca="1">_xludf.IMAGE("https://m.media-amazon.com/images/I/51y9MhGMKJL._AC_UY218_.jpg")</f>
        <v>#NAME?</v>
      </c>
      <c r="I6442" t="s">
        <v>400</v>
      </c>
      <c r="J6442">
        <v>179.1</v>
      </c>
      <c r="K6442" s="4">
        <v>-0.1045</v>
      </c>
      <c r="L6442">
        <v>5</v>
      </c>
      <c r="M6442">
        <v>1</v>
      </c>
      <c r="O6442" t="s">
        <v>25</v>
      </c>
      <c r="P6442" t="s">
        <v>8396</v>
      </c>
      <c r="Q6442" t="s">
        <v>8397</v>
      </c>
    </row>
    <row r="6443" spans="1:17" ht="15.5" x14ac:dyDescent="0.35">
      <c r="A6443" s="3" t="str">
        <f>HYPERLINK("https://edmondsonsupply.com/collections/electricians-tools/products/klein-tools-46037-cable-splicers-kit", "https://edmondsonsupply.com/collections/electricians-tools/products/klein-tools-46037-cable-splicers-kit")</f>
        <v>https://edmondsonsupply.com/collections/electricians-tools/products/klein-tools-46037-cable-splicers-kit</v>
      </c>
      <c r="B6443" s="3" t="str">
        <f>HYPERLINK("https://edmondsonsupply.com/products/klein-tools-46037-cable-splicers-kit", "https://edmondsonsupply.com/products/klein-tools-46037-cable-splicers-kit")</f>
        <v>https://edmondsonsupply.com/products/klein-tools-46037-cable-splicers-kit</v>
      </c>
      <c r="C6443" t="s">
        <v>6545</v>
      </c>
      <c r="D6443" t="s">
        <v>8590</v>
      </c>
      <c r="E6443" s="3" t="str">
        <f>HYPERLINK("https://www.amazon.com/Cable-Splicers-Klein-Tools-46037/dp/B0006M6Y5W/ref=sr_1_1?keywords=Klein+Tools+46037+Cable+Splicer%27s+Kit&amp;qid=1695174157&amp;sr=8-1", "https://www.amazon.com/Cable-Splicers-Klein-Tools-46037/dp/B0006M6Y5W/ref=sr_1_1?keywords=Klein+Tools+46037+Cable+Splicer%27s+Kit&amp;qid=1695174157&amp;sr=8-1")</f>
        <v>https://www.amazon.com/Cable-Splicers-Klein-Tools-46037/dp/B0006M6Y5W/ref=sr_1_1?keywords=Klein+Tools+46037+Cable+Splicer%27s+Kit&amp;qid=1695174157&amp;sr=8-1</v>
      </c>
      <c r="F6443" t="s">
        <v>8591</v>
      </c>
      <c r="G6443" t="e">
        <f ca="1">_xludf.IMAGE("https://edmondsonsupply.com/cdn/shop/products/46037.jpg?v=1663351986")</f>
        <v>#NAME?</v>
      </c>
      <c r="H6443" t="e">
        <f ca="1">_xludf.IMAGE("https://m.media-amazon.com/images/I/513CYnYadKS._AC_UL320_.jpg")</f>
        <v>#NAME?</v>
      </c>
      <c r="I6443" t="s">
        <v>246</v>
      </c>
      <c r="J6443">
        <v>35.79</v>
      </c>
      <c r="K6443" s="4">
        <v>-0.1046</v>
      </c>
      <c r="L6443">
        <v>4.8</v>
      </c>
      <c r="M6443">
        <v>530</v>
      </c>
      <c r="O6443" t="s">
        <v>25</v>
      </c>
      <c r="P6443" t="s">
        <v>6548</v>
      </c>
      <c r="Q6443" t="s">
        <v>6549</v>
      </c>
    </row>
    <row r="6444" spans="1:17" ht="15.5" x14ac:dyDescent="0.35">
      <c r="A6444" s="3" t="str">
        <f>HYPERLINK("https://edmondsonsupply.com/collections/electricians-tools/products/diablo-tools-dmapl9920-s7-7pc-rebar-demon%E2%84%A2-sds-plus-4-cutter-full-carbide-head-hammer-bit-set", "https://edmondsonsupply.com/collections/electricians-tools/products/diablo-tools-dmapl9920-s7-7pc-rebar-demon%E2%84%A2-sds-plus-4-cutter-full-carbide-head-hammer-bit-set")</f>
        <v>https://edmondsonsupply.com/collections/electricians-tools/products/diablo-tools-dmapl9920-s7-7pc-rebar-demon%E2%84%A2-sds-plus-4-cutter-full-carbide-head-hammer-bit-set</v>
      </c>
      <c r="B6444" s="3" t="str">
        <f>HYPERLINK("https://edmondsonsupply.com/products/diablo-tools-dmapl9920-s7-7pc-rebar-demon%e2%84%a2-sds-plus-4-cutter-full-carbide-head-hammer-bit-set", "https://edmondsonsupply.com/products/diablo-tools-dmapl9920-s7-7pc-rebar-demon%e2%84%a2-sds-plus-4-cutter-full-carbide-head-hammer-bit-set")</f>
        <v>https://edmondsonsupply.com/products/diablo-tools-dmapl9920-s7-7pc-rebar-demon%e2%84%a2-sds-plus-4-cutter-full-carbide-head-hammer-bit-set</v>
      </c>
      <c r="C6444" t="s">
        <v>7851</v>
      </c>
      <c r="D6444" t="s">
        <v>5560</v>
      </c>
      <c r="E6444" s="3" t="str">
        <f>HYPERLINK("https://www.amazon.com/Diablo-Freud-DMAPL4300-SDS-Plus-4-Cutter/dp/B089LL8JD8/ref=sr_1_5?keywords=Diablo+Tools+DMAPL9920-S7+7pc+Rebar+Demon%E2%84%A2+SDS-Plus+4-Cutter+Full+Carbide+Head+Hammer+Bit+Set&amp;qid=1695174050&amp;sr=8-5", "https://www.amazon.com/Diablo-Freud-DMAPL4300-SDS-Plus-4-Cutter/dp/B089LL8JD8/ref=sr_1_5?keywords=Diablo+Tools+DMAPL9920-S7+7pc+Rebar+Demon%E2%84%A2+SDS-Plus+4-Cutter+Full+Carbide+Head+Hammer+Bit+Set&amp;qid=1695174050&amp;sr=8-5")</f>
        <v>https://www.amazon.com/Diablo-Freud-DMAPL4300-SDS-Plus-4-Cutter/dp/B089LL8JD8/ref=sr_1_5?keywords=Diablo+Tools+DMAPL9920-S7+7pc+Rebar+Demon%E2%84%A2+SDS-Plus+4-Cutter+Full+Carbide+Head+Hammer+Bit+Set&amp;qid=1695174050&amp;sr=8-5</v>
      </c>
      <c r="F6444" t="s">
        <v>5561</v>
      </c>
      <c r="G6444" t="e">
        <f ca="1">_xludf.IMAGE("https://edmondsonsupply.com/cdn/shop/products/vgtm2xrrra4yfevsszgf.webp?v=1679328619")</f>
        <v>#NAME?</v>
      </c>
      <c r="H6444" t="e">
        <f ca="1">_xludf.IMAGE("https://m.media-amazon.com/images/I/616UiJGsK1L._AC_UL320_.jpg")</f>
        <v>#NAME?</v>
      </c>
      <c r="I6444" t="s">
        <v>7854</v>
      </c>
      <c r="J6444">
        <v>33.99</v>
      </c>
      <c r="K6444" s="4">
        <v>-0.1048</v>
      </c>
      <c r="L6444">
        <v>4.5</v>
      </c>
      <c r="M6444">
        <v>16</v>
      </c>
      <c r="O6444" t="s">
        <v>25</v>
      </c>
      <c r="P6444" t="s">
        <v>7855</v>
      </c>
      <c r="Q6444" t="s">
        <v>7856</v>
      </c>
    </row>
    <row r="6445" spans="1:17" ht="15.5" x14ac:dyDescent="0.35">
      <c r="A6445" s="3" t="str">
        <f>HYPERLINK("https://edmondsonsupply.com/collections/electricians-tools/products/diablo-tools-dmapl9920-s7-7pc-rebar-demon%E2%84%A2-sds-plus-4-cutter-full-carbide-head-hammer-bit-set", "https://edmondsonsupply.com/collections/electricians-tools/products/diablo-tools-dmapl9920-s7-7pc-rebar-demon%E2%84%A2-sds-plus-4-cutter-full-carbide-head-hammer-bit-set")</f>
        <v>https://edmondsonsupply.com/collections/electricians-tools/products/diablo-tools-dmapl9920-s7-7pc-rebar-demon%E2%84%A2-sds-plus-4-cutter-full-carbide-head-hammer-bit-set</v>
      </c>
      <c r="B6445" s="3" t="str">
        <f>HYPERLINK("https://edmondsonsupply.com/products/diablo-tools-dmapl9920-s7-7pc-rebar-demon%e2%84%a2-sds-plus-4-cutter-full-carbide-head-hammer-bit-set", "https://edmondsonsupply.com/products/diablo-tools-dmapl9920-s7-7pc-rebar-demon%e2%84%a2-sds-plus-4-cutter-full-carbide-head-hammer-bit-set")</f>
        <v>https://edmondsonsupply.com/products/diablo-tools-dmapl9920-s7-7pc-rebar-demon%e2%84%a2-sds-plus-4-cutter-full-carbide-head-hammer-bit-set</v>
      </c>
      <c r="C6445" t="s">
        <v>7851</v>
      </c>
      <c r="D6445" t="s">
        <v>8592</v>
      </c>
      <c r="E6445" s="3" t="str">
        <f>HYPERLINK("https://www.amazon.com/Diablo-SDS-Plus-4-Cutter-Carbide-Hammer/dp/B089LDNZSN/ref=sr_1_8?keywords=Diablo+Tools+DMAPL9920-S7+7pc+Rebar+Demon%E2%84%A2+SDS-Plus+4-Cutter+Full+Carbide+Head+Hammer+Bit+Set&amp;qid=1695174050&amp;sr=8-8", "https://www.amazon.com/Diablo-SDS-Plus-4-Cutter-Carbide-Hammer/dp/B089LDNZSN/ref=sr_1_8?keywords=Diablo+Tools+DMAPL9920-S7+7pc+Rebar+Demon%E2%84%A2+SDS-Plus+4-Cutter+Full+Carbide+Head+Hammer+Bit+Set&amp;qid=1695174050&amp;sr=8-8")</f>
        <v>https://www.amazon.com/Diablo-SDS-Plus-4-Cutter-Carbide-Hammer/dp/B089LDNZSN/ref=sr_1_8?keywords=Diablo+Tools+DMAPL9920-S7+7pc+Rebar+Demon%E2%84%A2+SDS-Plus+4-Cutter+Full+Carbide+Head+Hammer+Bit+Set&amp;qid=1695174050&amp;sr=8-8</v>
      </c>
      <c r="F6445" t="s">
        <v>8593</v>
      </c>
      <c r="G6445" t="e">
        <f ca="1">_xludf.IMAGE("https://edmondsonsupply.com/cdn/shop/products/vgtm2xrrra4yfevsszgf.webp?v=1679328619")</f>
        <v>#NAME?</v>
      </c>
      <c r="H6445" t="e">
        <f ca="1">_xludf.IMAGE("https://m.media-amazon.com/images/I/61Vv8Hsfp5L._AC_UL320_.jpg")</f>
        <v>#NAME?</v>
      </c>
      <c r="I6445" t="s">
        <v>7854</v>
      </c>
      <c r="J6445">
        <v>33.979999999999997</v>
      </c>
      <c r="K6445" s="4">
        <v>-0.1051</v>
      </c>
      <c r="L6445">
        <v>4.5999999999999996</v>
      </c>
      <c r="M6445">
        <v>10</v>
      </c>
      <c r="O6445" t="s">
        <v>25</v>
      </c>
      <c r="P6445" t="s">
        <v>7855</v>
      </c>
      <c r="Q6445" t="s">
        <v>7856</v>
      </c>
    </row>
    <row r="6446" spans="1:17" ht="15.5" x14ac:dyDescent="0.35">
      <c r="A6446"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6446"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6446" t="s">
        <v>6940</v>
      </c>
      <c r="D6446" t="s">
        <v>5960</v>
      </c>
      <c r="E6446" s="3" t="str">
        <f>HYPERLINK("https://www.amazon.com/Diablo-Freud-DOU250BW-Oscillating-Nail-Embedded/dp/B089KWP5Z2/ref=sr_1_10?keywords=Diablo+Tools+DOU125BF+1-1%2F4+in.+Universal+Fit+Bi-Metal+Oscillating+Blade+for+Metal&amp;qid=1695174025&amp;sr=8-10", "https://www.amazon.com/Diablo-Freud-DOU250BW-Oscillating-Nail-Embedded/dp/B089KWP5Z2/ref=sr_1_10?keywords=Diablo+Tools+DOU125BF+1-1%2F4+in.+Universal+Fit+Bi-Metal+Oscillating+Blade+for+Metal&amp;qid=1695174025&amp;sr=8-10")</f>
        <v>https://www.amazon.com/Diablo-Freud-DOU250BW-Oscillating-Nail-Embedded/dp/B089KWP5Z2/ref=sr_1_10?keywords=Diablo+Tools+DOU125BF+1-1%2F4+in.+Universal+Fit+Bi-Metal+Oscillating+Blade+for+Metal&amp;qid=1695174025&amp;sr=8-10</v>
      </c>
      <c r="F6446" t="s">
        <v>5961</v>
      </c>
      <c r="G6446" t="e">
        <f ca="1">_xludf.IMAGE("https://edmondsonsupply.com/cdn/shop/files/k1d1qiwmm4npznsdbwtg.webp?v=1685467858")</f>
        <v>#NAME?</v>
      </c>
      <c r="H6446" t="e">
        <f ca="1">_xludf.IMAGE("https://m.media-amazon.com/images/I/71fhfiK3NaL._AC_UL320_.jpg")</f>
        <v>#NAME?</v>
      </c>
      <c r="I6446" t="s">
        <v>6164</v>
      </c>
      <c r="J6446">
        <v>16.96</v>
      </c>
      <c r="K6446" s="4">
        <v>-0.106</v>
      </c>
      <c r="L6446">
        <v>4.5999999999999996</v>
      </c>
      <c r="M6446">
        <v>31</v>
      </c>
      <c r="O6446" t="s">
        <v>25</v>
      </c>
      <c r="P6446" t="s">
        <v>6943</v>
      </c>
      <c r="Q6446" t="s">
        <v>6944</v>
      </c>
    </row>
    <row r="6447" spans="1:17" ht="15.5" x14ac:dyDescent="0.35">
      <c r="A6447" s="3" t="str">
        <f>HYPERLINK("https://edmondsonsupply.com/collections/electricians-tools/products/diablo-tools-dou3bs-3-pc-universal-fit-bi-metal-oscillating-blade-set", "https://edmondsonsupply.com/collections/electricians-tools/products/diablo-tools-dou3bs-3-pc-universal-fit-bi-metal-oscillating-blade-set")</f>
        <v>https://edmondsonsupply.com/collections/electricians-tools/products/diablo-tools-dou3bs-3-pc-universal-fit-bi-metal-oscillating-blade-set</v>
      </c>
      <c r="B6447" s="3" t="str">
        <f>HYPERLINK("https://edmondsonsupply.com/products/diablo-tools-dou3bs-3-pc-universal-fit-bi-metal-oscillating-blade-set", "https://edmondsonsupply.com/products/diablo-tools-dou3bs-3-pc-universal-fit-bi-metal-oscillating-blade-set")</f>
        <v>https://edmondsonsupply.com/products/diablo-tools-dou3bs-3-pc-universal-fit-bi-metal-oscillating-blade-set</v>
      </c>
      <c r="C6447" t="s">
        <v>8490</v>
      </c>
      <c r="D6447" t="s">
        <v>8594</v>
      </c>
      <c r="E6447" s="3" t="str">
        <f>HYPERLINK("https://www.amazon.com/Diablo-Freud-DOU3BS-Universal-Oscillating/dp/B089LKV4R1/ref=sr_1_1?keywords=Diablo+Tools+DOU3BS+3+pc+Universal+Fit+Bi-Metal+Oscillating+Blade+Set&amp;qid=1695174049&amp;sr=8-1", "https://www.amazon.com/Diablo-Freud-DOU3BS-Universal-Oscillating/dp/B089LKV4R1/ref=sr_1_1?keywords=Diablo+Tools+DOU3BS+3+pc+Universal+Fit+Bi-Metal+Oscillating+Blade+Set&amp;qid=1695174049&amp;sr=8-1")</f>
        <v>https://www.amazon.com/Diablo-Freud-DOU3BS-Universal-Oscillating/dp/B089LKV4R1/ref=sr_1_1?keywords=Diablo+Tools+DOU3BS+3+pc+Universal+Fit+Bi-Metal+Oscillating+Blade+Set&amp;qid=1695174049&amp;sr=8-1</v>
      </c>
      <c r="F6447" t="s">
        <v>8595</v>
      </c>
      <c r="G6447" t="e">
        <f ca="1">_xludf.IMAGE("https://edmondsonsupply.com/cdn/shop/files/mhkfr9y3q3vrvammfqa0.webp?v=1685721273")</f>
        <v>#NAME?</v>
      </c>
      <c r="H6447" t="e">
        <f ca="1">_xludf.IMAGE("https://m.media-amazon.com/images/I/71Kp5BKb9OL._AC_UL320_.jpg")</f>
        <v>#NAME?</v>
      </c>
      <c r="I6447" t="s">
        <v>7854</v>
      </c>
      <c r="J6447">
        <v>33.89</v>
      </c>
      <c r="K6447" s="4">
        <v>-0.1075</v>
      </c>
      <c r="L6447">
        <v>4.5</v>
      </c>
      <c r="M6447">
        <v>29</v>
      </c>
      <c r="O6447" t="s">
        <v>25</v>
      </c>
      <c r="P6447" t="s">
        <v>8493</v>
      </c>
      <c r="Q6447" t="s">
        <v>8494</v>
      </c>
    </row>
    <row r="6448" spans="1:17" ht="15.5" x14ac:dyDescent="0.35">
      <c r="A6448" s="3" t="str">
        <f>HYPERLINK("https://edmondsonsupply.com/collections/electricians-tools/products/klein-tools-203-7-eins-long-nose-side-cut-pliers-7-inch-slim-insulated", "https://edmondsonsupply.com/collections/electricians-tools/products/klein-tools-203-7-eins-long-nose-side-cut-pliers-7-inch-slim-insulated")</f>
        <v>https://edmondsonsupply.com/collections/electricians-tools/products/klein-tools-203-7-eins-long-nose-side-cut-pliers-7-inch-slim-insulated</v>
      </c>
      <c r="B6448" s="3" t="str">
        <f>HYPERLINK("https://edmondsonsupply.com/products/klein-tools-203-7-eins-long-nose-side-cut-pliers-7-inch-slim-insulated", "https://edmondsonsupply.com/products/klein-tools-203-7-eins-long-nose-side-cut-pliers-7-inch-slim-insulated")</f>
        <v>https://edmondsonsupply.com/products/klein-tools-203-7-eins-long-nose-side-cut-pliers-7-inch-slim-insulated</v>
      </c>
      <c r="C6448" t="s">
        <v>5130</v>
      </c>
      <c r="D6448" t="s">
        <v>5131</v>
      </c>
      <c r="E6448" s="3" t="str">
        <f>HYPERLINK("https://www.amazon.com/Klein-Tools-2037EINS-Linemans-Insulated/dp/B00JGG5OZA/ref=sr_1_1?keywords=Klein+Tools+2037EINS+Long+Nose+Side+Cut+Pliers%2C+7-Inch+Slim+Insulated+%28203-7-EINS%29&amp;qid=1695173934&amp;sr=8-1", "https://www.amazon.com/Klein-Tools-2037EINS-Linemans-Insulated/dp/B00JGG5OZA/ref=sr_1_1?keywords=Klein+Tools+2037EINS+Long+Nose+Side+Cut+Pliers%2C+7-Inch+Slim+Insulated+%28203-7-EINS%29&amp;qid=1695173934&amp;sr=8-1")</f>
        <v>https://www.amazon.com/Klein-Tools-2037EINS-Linemans-Insulated/dp/B00JGG5OZA/ref=sr_1_1?keywords=Klein+Tools+2037EINS+Long+Nose+Side+Cut+Pliers%2C+7-Inch+Slim+Insulated+%28203-7-EINS%29&amp;qid=1695173934&amp;sr=8-1</v>
      </c>
      <c r="F6448" t="s">
        <v>5132</v>
      </c>
      <c r="G6448" t="e">
        <f ca="1">_xludf.IMAGE("https://edmondsonsupply.com/cdn/shop/products/2037eins.jpg?v=1587146909")</f>
        <v>#NAME?</v>
      </c>
      <c r="H6448" t="e">
        <f ca="1">_xludf.IMAGE("https://m.media-amazon.com/images/I/51StGSqtZUL._AC_UL320_.jpg")</f>
        <v>#NAME?</v>
      </c>
      <c r="I6448" t="s">
        <v>1931</v>
      </c>
      <c r="J6448">
        <v>44.6</v>
      </c>
      <c r="K6448" s="4">
        <v>-0.10780000000000001</v>
      </c>
      <c r="L6448">
        <v>4.9000000000000004</v>
      </c>
      <c r="M6448">
        <v>348</v>
      </c>
      <c r="O6448" t="s">
        <v>25</v>
      </c>
      <c r="P6448" t="s">
        <v>4509</v>
      </c>
      <c r="Q6448" t="s">
        <v>5133</v>
      </c>
    </row>
    <row r="6449" spans="1:17" ht="15.5" x14ac:dyDescent="0.35">
      <c r="A6449"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6449"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6449" t="s">
        <v>4105</v>
      </c>
      <c r="D6449" t="s">
        <v>5136</v>
      </c>
      <c r="E6449" s="3" t="str">
        <f>HYPERLINK("https://www.amazon.com/Linemans-Streamlined-Klein-Tools-J213-9NE/dp/B001TKF1BS/ref=sr_1_7?keywords=Klein+Tools+D20009NEGLW+High-Visibility+Side-Cutting+Pliers+High-Leverage&amp;qid=1695173949&amp;sr=8-7", "https://www.amazon.com/Linemans-Streamlined-Klein-Tools-J213-9NE/dp/B001TKF1BS/ref=sr_1_7?keywords=Klein+Tools+D20009NEGLW+High-Visibility+Side-Cutting+Pliers+High-Leverage&amp;qid=1695173949&amp;sr=8-7")</f>
        <v>https://www.amazon.com/Linemans-Streamlined-Klein-Tools-J213-9NE/dp/B001TKF1BS/ref=sr_1_7?keywords=Klein+Tools+D20009NEGLW+High-Visibility+Side-Cutting+Pliers+High-Leverage&amp;qid=1695173949&amp;sr=8-7</v>
      </c>
      <c r="F6449" t="s">
        <v>5137</v>
      </c>
      <c r="G6449" t="e">
        <f ca="1">_xludf.IMAGE("https://edmondsonsupply.com/cdn/shop/products/d20009neglw.jpg?v=1587144933")</f>
        <v>#NAME?</v>
      </c>
      <c r="H6449" t="e">
        <f ca="1">_xludf.IMAGE("https://m.media-amazon.com/images/I/41zk0Z6-1BL._AC_UL320_.jpg")</f>
        <v>#NAME?</v>
      </c>
      <c r="I6449" t="s">
        <v>4108</v>
      </c>
      <c r="J6449">
        <v>39.99</v>
      </c>
      <c r="K6449" s="4">
        <v>-0.11070000000000001</v>
      </c>
      <c r="L6449">
        <v>4.8</v>
      </c>
      <c r="M6449">
        <v>746</v>
      </c>
      <c r="O6449" t="s">
        <v>25</v>
      </c>
      <c r="P6449" t="s">
        <v>4109</v>
      </c>
      <c r="Q6449" t="s">
        <v>4110</v>
      </c>
    </row>
    <row r="6450" spans="1:17" ht="15.5" x14ac:dyDescent="0.35">
      <c r="A6450"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6450" s="3" t="str">
        <f>HYPERLINK("https://edmondsonsupply.com/products/klein-tools-5165-10-pocket-tool-pouch-knife-snap", "https://edmondsonsupply.com/products/klein-tools-5165-10-pocket-tool-pouch-knife-snap")</f>
        <v>https://edmondsonsupply.com/products/klein-tools-5165-10-pocket-tool-pouch-knife-snap</v>
      </c>
      <c r="C6450" t="s">
        <v>700</v>
      </c>
      <c r="D6450" t="s">
        <v>701</v>
      </c>
      <c r="E6450" s="3" t="str">
        <f>HYPERLINK("https://www.amazon.com/Pocket-Pouch-Klein-Tools-5165/dp/B000BU4CRG/ref=sr_1_1?keywords=Klein+Tools+5165+10+Pocket+Leather+Tool+Pouch+with+Knife+Snap&amp;qid=1695173934&amp;sr=8-1", "https://www.amazon.com/Pocket-Pouch-Klein-Tools-5165/dp/B000BU4CRG/ref=sr_1_1?keywords=Klein+Tools+5165+10+Pocket+Leather+Tool+Pouch+with+Knife+Snap&amp;qid=1695173934&amp;sr=8-1")</f>
        <v>https://www.amazon.com/Pocket-Pouch-Klein-Tools-5165/dp/B000BU4CRG/ref=sr_1_1?keywords=Klein+Tools+5165+10+Pocket+Leather+Tool+Pouch+with+Knife+Snap&amp;qid=1695173934&amp;sr=8-1</v>
      </c>
      <c r="F6450" t="s">
        <v>702</v>
      </c>
      <c r="G6450" t="e">
        <f ca="1">_xludf.IMAGE("https://edmondsonsupply.com/cdn/shop/products/5165.jpg?v=1587145507")</f>
        <v>#NAME?</v>
      </c>
      <c r="H6450" t="e">
        <f ca="1">_xludf.IMAGE("https://m.media-amazon.com/images/I/51SVjpn5QEL._AC_UL320_.jpg")</f>
        <v>#NAME?</v>
      </c>
      <c r="I6450" t="s">
        <v>703</v>
      </c>
      <c r="J6450">
        <v>56</v>
      </c>
      <c r="K6450" s="4">
        <v>-0.111</v>
      </c>
      <c r="L6450">
        <v>4.5</v>
      </c>
      <c r="M6450">
        <v>167</v>
      </c>
      <c r="O6450" t="s">
        <v>25</v>
      </c>
      <c r="P6450" t="s">
        <v>704</v>
      </c>
      <c r="Q6450" t="s">
        <v>705</v>
      </c>
    </row>
    <row r="6451" spans="1:17" ht="15.5" x14ac:dyDescent="0.35">
      <c r="A6451" s="3" t="str">
        <f>HYPERLINK("https://edmondsonsupply.com/collections/electricians-tools/products/klein-tools-jth9m5-4-mm-hex-key-journeyman-t-handle-9-inch", "https://edmondsonsupply.com/collections/electricians-tools/products/klein-tools-jth9m5-4-mm-hex-key-journeyman-t-handle-9-inch")</f>
        <v>https://edmondsonsupply.com/collections/electricians-tools/products/klein-tools-jth9m5-4-mm-hex-key-journeyman-t-handle-9-inch</v>
      </c>
      <c r="B6451" s="3" t="str">
        <f>HYPERLINK("https://edmondsonsupply.com/products/klein-tools-jth9m5-4-mm-hex-key-journeyman-t-handle-9-inch", "https://edmondsonsupply.com/products/klein-tools-jth9m5-4-mm-hex-key-journeyman-t-handle-9-inch")</f>
        <v>https://edmondsonsupply.com/products/klein-tools-jth9m5-4-mm-hex-key-journeyman-t-handle-9-inch</v>
      </c>
      <c r="C6451" t="s">
        <v>6121</v>
      </c>
      <c r="D6451" t="s">
        <v>5678</v>
      </c>
      <c r="E6451" s="3" t="str">
        <f>HYPERLINK("https://www.amazon.com/Journeyman-T-Handle-Klein-Tools-JTH6M4/dp/B005G394YO/ref=sr_1_3?keywords=Klein+Tools+JTH9M4+4+mm+Hex+Key%2C+Journeyman+T-Handle%2C+9-Inch&amp;qid=1695174234&amp;sr=8-3", "https://www.amazon.com/Journeyman-T-Handle-Klein-Tools-JTH6M4/dp/B005G394YO/ref=sr_1_3?keywords=Klein+Tools+JTH9M4+4+mm+Hex+Key%2C+Journeyman+T-Handle%2C+9-Inch&amp;qid=1695174234&amp;sr=8-3")</f>
        <v>https://www.amazon.com/Journeyman-T-Handle-Klein-Tools-JTH6M4/dp/B005G394YO/ref=sr_1_3?keywords=Klein+Tools+JTH9M4+4+mm+Hex+Key%2C+Journeyman+T-Handle%2C+9-Inch&amp;qid=1695174234&amp;sr=8-3</v>
      </c>
      <c r="F6451" t="s">
        <v>5679</v>
      </c>
      <c r="G6451" t="e">
        <f ca="1">_xludf.IMAGE("https://edmondsonsupply.com/cdn/shop/products/jth9m_fa8a641d-d03f-4191-ab24-b9045963e4f7.jpg?v=1640191121")</f>
        <v>#NAME?</v>
      </c>
      <c r="H6451" t="e">
        <f ca="1">_xludf.IMAGE("https://m.media-amazon.com/images/I/51+1x0vz9XL._AC_UL320_.jpg")</f>
        <v>#NAME?</v>
      </c>
      <c r="I6451" t="s">
        <v>6122</v>
      </c>
      <c r="J6451">
        <v>3.99</v>
      </c>
      <c r="K6451" s="4">
        <v>-0.1114</v>
      </c>
      <c r="L6451">
        <v>4.8</v>
      </c>
      <c r="M6451">
        <v>1532</v>
      </c>
      <c r="O6451" t="s">
        <v>25</v>
      </c>
      <c r="P6451" t="s">
        <v>6123</v>
      </c>
      <c r="Q6451" t="s">
        <v>6124</v>
      </c>
    </row>
    <row r="6452" spans="1:17" ht="15.5" x14ac:dyDescent="0.35">
      <c r="A6452" s="3" t="str">
        <f>HYPERLINK("https://edmondsonsupply.com/collections/electricians-tools/products/klein-tools-jth6t20-t20-torx-hex-key-with-journeyman-t-handle-6-inch", "https://edmondsonsupply.com/collections/electricians-tools/products/klein-tools-jth6t20-t20-torx-hex-key-with-journeyman-t-handle-6-inch")</f>
        <v>https://edmondsonsupply.com/collections/electricians-tools/products/klein-tools-jth6t20-t20-torx-hex-key-with-journeyman-t-handle-6-inch</v>
      </c>
      <c r="B6452" s="3" t="str">
        <f>HYPERLINK("https://edmondsonsupply.com/products/klein-tools-jth6t20-t20-torx-hex-key-with-journeyman-t-handle-6-inch", "https://edmondsonsupply.com/products/klein-tools-jth6t20-t20-torx-hex-key-with-journeyman-t-handle-6-inch")</f>
        <v>https://edmondsonsupply.com/products/klein-tools-jth6t20-t20-torx-hex-key-with-journeyman-t-handle-6-inch</v>
      </c>
      <c r="C6452" t="s">
        <v>7543</v>
      </c>
      <c r="D6452" t="s">
        <v>8596</v>
      </c>
      <c r="E6452" s="3" t="str">
        <f>HYPERLINK("https://www.amazon.com/Journeyman-T-Handle-Klein-Tools-JTH6T20/dp/B005G3B4A6/ref=sr_1_1?keywords=Klein+Tools+JTH6T20+T20+Torx+Hex+Key+with+Journeyman+T-Handle%2C+6-Inch&amp;qid=1695174296&amp;sr=8-1", "https://www.amazon.com/Journeyman-T-Handle-Klein-Tools-JTH6T20/dp/B005G3B4A6/ref=sr_1_1?keywords=Klein+Tools+JTH6T20+T20+Torx+Hex+Key+with+Journeyman+T-Handle%2C+6-Inch&amp;qid=1695174296&amp;sr=8-1")</f>
        <v>https://www.amazon.com/Journeyman-T-Handle-Klein-Tools-JTH6T20/dp/B005G3B4A6/ref=sr_1_1?keywords=Klein+Tools+JTH6T20+T20+Torx+Hex+Key+with+Journeyman+T-Handle%2C+6-Inch&amp;qid=1695174296&amp;sr=8-1</v>
      </c>
      <c r="F6452" t="s">
        <v>8597</v>
      </c>
      <c r="G6452" t="e">
        <f ca="1">_xludf.IMAGE("https://edmondsonsupply.com/cdn/shop/products/jth6t40_239e6af9-df98-4759-b03a-1003afe41d97.jpg?v=1606265228")</f>
        <v>#NAME?</v>
      </c>
      <c r="H6452" t="e">
        <f ca="1">_xludf.IMAGE("https://m.media-amazon.com/images/I/51Xj0Vsb-EL._AC_UL320_.jpg")</f>
        <v>#NAME?</v>
      </c>
      <c r="I6452" t="s">
        <v>6890</v>
      </c>
      <c r="J6452">
        <v>8.06</v>
      </c>
      <c r="K6452" s="4">
        <v>-0.1123</v>
      </c>
      <c r="L6452">
        <v>4.8</v>
      </c>
      <c r="M6452">
        <v>1544</v>
      </c>
      <c r="O6452" t="s">
        <v>25</v>
      </c>
      <c r="P6452" t="s">
        <v>138</v>
      </c>
      <c r="Q6452" t="s">
        <v>7544</v>
      </c>
    </row>
    <row r="6453" spans="1:17" ht="15.5" x14ac:dyDescent="0.35">
      <c r="A6453" s="3" t="str">
        <f>HYPERLINK("https://edmondsonsupply.com/collections/electricians-tools/products/klein-tools-vdv770-126-carrying-case-for-scout%C2%AE-pro-3-tester-and-locator-remotes", "https://edmondsonsupply.com/collections/electricians-tools/products/klein-tools-vdv770-126-carrying-case-for-scout%C2%AE-pro-3-tester-and-locator-remotes")</f>
        <v>https://edmondsonsupply.com/collections/electricians-tools/products/klein-tools-vdv770-126-carrying-case-for-scout%C2%AE-pro-3-tester-and-locator-remotes</v>
      </c>
      <c r="B6453" s="3" t="str">
        <f>HYPERLINK("https://edmondsonsupply.com/products/klein-tools-vdv770-126-carrying-case-for-scout%c2%ae-pro-3-tester-and-locator-remotes", "https://edmondsonsupply.com/products/klein-tools-vdv770-126-carrying-case-for-scout%c2%ae-pro-3-tester-and-locator-remotes")</f>
        <v>https://edmondsonsupply.com/products/klein-tools-vdv770-126-carrying-case-for-scout%c2%ae-pro-3-tester-and-locator-remotes</v>
      </c>
      <c r="C6453" t="s">
        <v>6279</v>
      </c>
      <c r="D6453" t="s">
        <v>8598</v>
      </c>
      <c r="E6453" s="3" t="str">
        <f>HYPERLINK("https://www.amazon.com/Klein-Tools-VDV770-126-Replacement-Carrying/dp/B08C4B1VLY/ref=sr_1_1?keywords=Klein+Tools+VDV770-126+Carrying+Case+for+Scout%C2%AE+Pro+3+Tester+and+Locator+Remotes&amp;qid=1695174229&amp;sr=8-1", "https://www.amazon.com/Klein-Tools-VDV770-126-Replacement-Carrying/dp/B08C4B1VLY/ref=sr_1_1?keywords=Klein+Tools+VDV770-126+Carrying+Case+for+Scout%C2%AE+Pro+3+Tester+and+Locator+Remotes&amp;qid=1695174229&amp;sr=8-1")</f>
        <v>https://www.amazon.com/Klein-Tools-VDV770-126-Replacement-Carrying/dp/B08C4B1VLY/ref=sr_1_1?keywords=Klein+Tools+VDV770-126+Carrying+Case+for+Scout%C2%AE+Pro+3+Tester+and+Locator+Remotes&amp;qid=1695174229&amp;sr=8-1</v>
      </c>
      <c r="F6453" t="s">
        <v>8599</v>
      </c>
      <c r="G6453" t="e">
        <f ca="1">_xludf.IMAGE("https://edmondsonsupply.com/cdn/shop/products/vdv770126.jpg?v=1646011163")</f>
        <v>#NAME?</v>
      </c>
      <c r="H6453" t="e">
        <f ca="1">_xludf.IMAGE("https://m.media-amazon.com/images/I/61dgehlrxfL._AC_UL320_.jpg")</f>
        <v>#NAME?</v>
      </c>
      <c r="I6453" t="s">
        <v>6282</v>
      </c>
      <c r="J6453">
        <v>28.76</v>
      </c>
      <c r="K6453" s="4">
        <v>-0.1148</v>
      </c>
      <c r="L6453">
        <v>4.8</v>
      </c>
      <c r="M6453">
        <v>149</v>
      </c>
      <c r="O6453" t="s">
        <v>25</v>
      </c>
      <c r="P6453" t="s">
        <v>6283</v>
      </c>
      <c r="Q6453" t="s">
        <v>6284</v>
      </c>
    </row>
    <row r="6454" spans="1:17" ht="15.5" x14ac:dyDescent="0.35">
      <c r="A6454"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6454" s="3" t="str">
        <f>HYPERLINK("https://edmondsonsupply.com/products/klein-tools-610-stubby-nut-driver-set-1-1-2-inch-shafts-2-piece", "https://edmondsonsupply.com/products/klein-tools-610-stubby-nut-driver-set-1-1-2-inch-shafts-2-piece")</f>
        <v>https://edmondsonsupply.com/products/klein-tools-610-stubby-nut-driver-set-1-1-2-inch-shafts-2-piece</v>
      </c>
      <c r="C6454" t="s">
        <v>3030</v>
      </c>
      <c r="D6454" t="s">
        <v>5140</v>
      </c>
      <c r="E6454" s="3" t="str">
        <f>HYPERLINK("https://www.amazon.com/Klein-Tools-610-16-Inch-2-Piece/dp/B000CSKRCQ/ref=sr_1_2?keywords=Klein+Tools+610+Stubby+Nut+Driver+Set+1-1%2F2-Inch+Shafts+2-Piece&amp;qid=1695173958&amp;sr=8-2", "https://www.amazon.com/Klein-Tools-610-16-Inch-2-Piece/dp/B000CSKRCQ/ref=sr_1_2?keywords=Klein+Tools+610+Stubby+Nut+Driver+Set+1-1%2F2-Inch+Shafts+2-Piece&amp;qid=1695173958&amp;sr=8-2")</f>
        <v>https://www.amazon.com/Klein-Tools-610-16-Inch-2-Piece/dp/B000CSKRCQ/ref=sr_1_2?keywords=Klein+Tools+610+Stubby+Nut+Driver+Set+1-1%2F2-Inch+Shafts+2-Piece&amp;qid=1695173958&amp;sr=8-2</v>
      </c>
      <c r="F6454" t="s">
        <v>5141</v>
      </c>
      <c r="G6454" t="e">
        <f ca="1">_xludf.IMAGE("https://edmondsonsupply.com/cdn/shop/products/610m_169714eb-6816-4f42-aa86-ea17ea5fcbbb.jpg?v=1633030110")</f>
        <v>#NAME?</v>
      </c>
      <c r="H6454" t="e">
        <f ca="1">_xludf.IMAGE("https://m.media-amazon.com/images/I/51+8QhofFWL._AC_UL320_.jpg")</f>
        <v>#NAME?</v>
      </c>
      <c r="I6454" t="s">
        <v>252</v>
      </c>
      <c r="J6454">
        <v>14.14</v>
      </c>
      <c r="K6454" s="4">
        <v>-0.1157</v>
      </c>
      <c r="L6454">
        <v>4.9000000000000004</v>
      </c>
      <c r="M6454">
        <v>19</v>
      </c>
      <c r="O6454" t="s">
        <v>25</v>
      </c>
      <c r="P6454" t="s">
        <v>3031</v>
      </c>
      <c r="Q6454" t="s">
        <v>3032</v>
      </c>
    </row>
    <row r="6455" spans="1:17" ht="15.5" x14ac:dyDescent="0.35">
      <c r="A6455"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6455"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6455" t="s">
        <v>4105</v>
      </c>
      <c r="D6455" t="s">
        <v>5138</v>
      </c>
      <c r="E6455" s="3" t="str">
        <f>HYPERLINK("https://www.amazon.com/Journeyman-Diagonal-Cut-Klein-Tools-J2000-59/dp/B075XG1DFD/ref=sr_1_8?keywords=Klein+Tools+D20009NEGLW+High-Visibility+Side-Cutting+Pliers+High-Leverage&amp;qid=1695173949&amp;sr=8-8", "https://www.amazon.com/Journeyman-Diagonal-Cut-Klein-Tools-J2000-59/dp/B075XG1DFD/ref=sr_1_8?keywords=Klein+Tools+D20009NEGLW+High-Visibility+Side-Cutting+Pliers+High-Leverage&amp;qid=1695173949&amp;sr=8-8")</f>
        <v>https://www.amazon.com/Journeyman-Diagonal-Cut-Klein-Tools-J2000-59/dp/B075XG1DFD/ref=sr_1_8?keywords=Klein+Tools+D20009NEGLW+High-Visibility+Side-Cutting+Pliers+High-Leverage&amp;qid=1695173949&amp;sr=8-8</v>
      </c>
      <c r="F6455" t="s">
        <v>5139</v>
      </c>
      <c r="G6455" t="e">
        <f ca="1">_xludf.IMAGE("https://edmondsonsupply.com/cdn/shop/products/d20009neglw.jpg?v=1587144933")</f>
        <v>#NAME?</v>
      </c>
      <c r="H6455" t="e">
        <f ca="1">_xludf.IMAGE("https://m.media-amazon.com/images/I/41d2z7PlSnL._AC_UL320_.jpg")</f>
        <v>#NAME?</v>
      </c>
      <c r="I6455" t="s">
        <v>4108</v>
      </c>
      <c r="J6455">
        <v>39.76</v>
      </c>
      <c r="K6455" s="4">
        <v>-0.1159</v>
      </c>
      <c r="L6455">
        <v>4.7</v>
      </c>
      <c r="M6455">
        <v>491</v>
      </c>
      <c r="O6455" t="s">
        <v>25</v>
      </c>
      <c r="P6455" t="s">
        <v>4109</v>
      </c>
      <c r="Q6455" t="s">
        <v>4110</v>
      </c>
    </row>
    <row r="6456" spans="1:17" ht="15.5" x14ac:dyDescent="0.35">
      <c r="A6456"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6456" s="3" t="str">
        <f>HYPERLINK("https://edmondsonsupply.com/products/diablo-tools-dag1110-7-8-in-x-7-1-2-in-auger-bit", "https://edmondsonsupply.com/products/diablo-tools-dag1110-7-8-in-x-7-1-2-in-auger-bit")</f>
        <v>https://edmondsonsupply.com/products/diablo-tools-dag1110-7-8-in-x-7-1-2-in-auger-bit</v>
      </c>
      <c r="C6456" t="s">
        <v>6839</v>
      </c>
      <c r="D6456" t="s">
        <v>5067</v>
      </c>
      <c r="E6456" s="3" t="str">
        <f>HYPERLINK("https://www.amazon.com/Diablo-7-1-Auger-Bit/dp/B089LCPNWX/ref=sr_1_10?keywords=Diablo+Tools+DAG1110+7%2F8+in.+x+7-1%2F2+in.+Auger+Bit&amp;qid=1695174030&amp;sr=8-10", "https://www.amazon.com/Diablo-7-1-Auger-Bit/dp/B089LCPNWX/ref=sr_1_10?keywords=Diablo+Tools+DAG1110+7%2F8+in.+x+7-1%2F2+in.+Auger+Bit&amp;qid=1695174030&amp;sr=8-10")</f>
        <v>https://www.amazon.com/Diablo-7-1-Auger-Bit/dp/B089LCPNWX/ref=sr_1_10?keywords=Diablo+Tools+DAG1110+7%2F8+in.+x+7-1%2F2+in.+Auger+Bit&amp;qid=1695174030&amp;sr=8-10</v>
      </c>
      <c r="F6456" t="s">
        <v>5068</v>
      </c>
      <c r="G6456" t="e">
        <f ca="1">_xludf.IMAGE("https://edmondsonsupply.com/cdn/shop/products/yel7mbaiyy08ii0assd5.webp?v=1680187136")</f>
        <v>#NAME?</v>
      </c>
      <c r="H6456" t="e">
        <f ca="1">_xludf.IMAGE("https://m.media-amazon.com/images/I/61zUoLZQ5OL._AC_UL320_.jpg")</f>
        <v>#NAME?</v>
      </c>
      <c r="I6456" t="s">
        <v>4985</v>
      </c>
      <c r="J6456">
        <v>15</v>
      </c>
      <c r="K6456" s="4">
        <v>-0.11609999999999999</v>
      </c>
      <c r="L6456">
        <v>4.7</v>
      </c>
      <c r="M6456">
        <v>9</v>
      </c>
      <c r="O6456" t="s">
        <v>25</v>
      </c>
      <c r="P6456" t="s">
        <v>6840</v>
      </c>
      <c r="Q6456" t="s">
        <v>6841</v>
      </c>
    </row>
    <row r="6457" spans="1:17" ht="15.5" x14ac:dyDescent="0.35">
      <c r="A6457"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6457" s="3" t="str">
        <f>HYPERLINK("https://edmondsonsupply.com/products/klein-tools-d504-10-classic-klaw%e2%84%a2-pump-pliers-10-inch", "https://edmondsonsupply.com/products/klein-tools-d504-10-classic-klaw%e2%84%a2-pump-pliers-10-inch")</f>
        <v>https://edmondsonsupply.com/products/klein-tools-d504-10-classic-klaw%e2%84%a2-pump-pliers-10-inch</v>
      </c>
      <c r="C6457" t="s">
        <v>3718</v>
      </c>
      <c r="D6457" t="s">
        <v>4490</v>
      </c>
      <c r="E6457" s="3" t="str">
        <f>HYPERLINK("https://www.amazon.com/Classic-Pliers-Klein-Tools-D504-7/dp/B00BJ4OSTA/ref=sr_1_2?keywords=Klein+Tools+D504-10+Classic+Klaw%E2%84%A2+Pump+Pliers%2C+10-Inch&amp;qid=1695173948&amp;sr=8-2", "https://www.amazon.com/Classic-Pliers-Klein-Tools-D504-7/dp/B00BJ4OSTA/ref=sr_1_2?keywords=Klein+Tools+D504-10+Classic+Klaw%E2%84%A2+Pump+Pliers%2C+10-Inch&amp;qid=1695173948&amp;sr=8-2")</f>
        <v>https://www.amazon.com/Classic-Pliers-Klein-Tools-D504-7/dp/B00BJ4OSTA/ref=sr_1_2?keywords=Klein+Tools+D504-10+Classic+Klaw%E2%84%A2+Pump+Pliers%2C+10-Inch&amp;qid=1695173948&amp;sr=8-2</v>
      </c>
      <c r="F6457" t="s">
        <v>4491</v>
      </c>
      <c r="G6457" t="e">
        <f ca="1">_xludf.IMAGE("https://edmondsonsupply.com/cdn/shop/products/d504-10.jpg?v=1587142942")</f>
        <v>#NAME?</v>
      </c>
      <c r="H6457" t="e">
        <f ca="1">_xludf.IMAGE("https://m.media-amazon.com/images/I/51kiGD+1-6L._AC_UL320_.jpg")</f>
        <v>#NAME?</v>
      </c>
      <c r="I6457" t="s">
        <v>3721</v>
      </c>
      <c r="J6457">
        <v>29.99</v>
      </c>
      <c r="K6457" s="4">
        <v>-0.1172</v>
      </c>
      <c r="L6457">
        <v>4.5999999999999996</v>
      </c>
      <c r="M6457">
        <v>391</v>
      </c>
      <c r="O6457" t="s">
        <v>25</v>
      </c>
      <c r="P6457" t="s">
        <v>3722</v>
      </c>
      <c r="Q6457" t="s">
        <v>3723</v>
      </c>
    </row>
    <row r="6458" spans="1:17" ht="15.5" x14ac:dyDescent="0.35">
      <c r="A6458" s="3" t="str">
        <f>HYPERLINK("https://edmondsonsupply.com/collections/electricians-tools/products/dewalt-dg5142-led-pro-contractor-business-portfolio", "https://edmondsonsupply.com/collections/electricians-tools/products/dewalt-dg5142-led-pro-contractor-business-portfolio")</f>
        <v>https://edmondsonsupply.com/collections/electricians-tools/products/dewalt-dg5142-led-pro-contractor-business-portfolio</v>
      </c>
      <c r="B6458" s="3" t="str">
        <f>HYPERLINK("https://edmondsonsupply.com/products/dewalt-dg5142-led-pro-contractor-business-portfolio", "https://edmondsonsupply.com/products/dewalt-dg5142-led-pro-contractor-business-portfolio")</f>
        <v>https://edmondsonsupply.com/products/dewalt-dg5142-led-pro-contractor-business-portfolio</v>
      </c>
      <c r="C6458" t="s">
        <v>8600</v>
      </c>
      <c r="D6458" t="s">
        <v>8601</v>
      </c>
      <c r="E6458" s="3" t="str">
        <f>HYPERLINK("https://www.amazon.com/DEWALT-DG5140-Contractors-Business-Portfolio/dp/B004JF51EC/ref=sr_1_2?keywords=DeWalt+DG5142+LED+Pro+Contractor+Business+Portfolio&amp;qid=1695174259&amp;sr=8-2", "https://www.amazon.com/DEWALT-DG5140-Contractors-Business-Portfolio/dp/B004JF51EC/ref=sr_1_2?keywords=DeWalt+DG5142+LED+Pro+Contractor+Business+Portfolio&amp;qid=1695174259&amp;sr=8-2")</f>
        <v>https://www.amazon.com/DEWALT-DG5140-Contractors-Business-Portfolio/dp/B004JF51EC/ref=sr_1_2?keywords=DeWalt+DG5142+LED+Pro+Contractor+Business+Portfolio&amp;qid=1695174259&amp;sr=8-2</v>
      </c>
      <c r="F6458" t="s">
        <v>8602</v>
      </c>
      <c r="G6458" t="e">
        <f ca="1">_xludf.IMAGE("https://edmondsonsupply.com/cdn/shop/products/Screenshot2021-07-17133543.png?v=1633031080")</f>
        <v>#NAME?</v>
      </c>
      <c r="H6458" t="e">
        <f ca="1">_xludf.IMAGE("https://m.media-amazon.com/images/I/91vh9J0B3DS._AC_UL320_.jpg")</f>
        <v>#NAME?</v>
      </c>
      <c r="I6458" t="s">
        <v>1307</v>
      </c>
      <c r="J6458">
        <v>35.25</v>
      </c>
      <c r="K6458" s="4">
        <v>-0.1176</v>
      </c>
      <c r="L6458">
        <v>4.7</v>
      </c>
      <c r="M6458">
        <v>2156</v>
      </c>
      <c r="O6458" t="s">
        <v>25</v>
      </c>
      <c r="P6458" t="s">
        <v>618</v>
      </c>
      <c r="Q6458" t="s">
        <v>8603</v>
      </c>
    </row>
    <row r="6459" spans="1:17" ht="15.5" x14ac:dyDescent="0.35">
      <c r="A6459" s="3" t="str">
        <f>HYPERLINK("https://edmondsonsupply.com/collections/electricians-tools/products/klein-tools-44002-lightweight-lockback-knife-2-3-8-inch-drop-point-blade-black-handle", "https://edmondsonsupply.com/collections/electricians-tools/products/klein-tools-44002-lightweight-lockback-knife-2-3-8-inch-drop-point-blade-black-handle")</f>
        <v>https://edmondsonsupply.com/collections/electricians-tools/products/klein-tools-44002-lightweight-lockback-knife-2-3-8-inch-drop-point-blade-black-handle</v>
      </c>
      <c r="B6459" s="3" t="str">
        <f>HYPERLINK("https://edmondsonsupply.com/products/klein-tools-44002-lightweight-lockback-knife-2-3-8-inch-drop-point-blade-black-handle", "https://edmondsonsupply.com/products/klein-tools-44002-lightweight-lockback-knife-2-3-8-inch-drop-point-blade-black-handle")</f>
        <v>https://edmondsonsupply.com/products/klein-tools-44002-lightweight-lockback-knife-2-3-8-inch-drop-point-blade-black-handle</v>
      </c>
      <c r="C6459" t="s">
        <v>8280</v>
      </c>
      <c r="D6459" t="s">
        <v>8604</v>
      </c>
      <c r="E6459" s="3" t="str">
        <f>HYPERLINK("https://www.amazon.com/Lightweight-Sheepsfoot-Klein-Tools-44004/dp/B00093GDFO/ref=sr_1_4?keywords=Klein+Tools+44002+Lightweight+Lockback+Knife%2C+2-3%2F8-Inch+Drop+Point+Blade%2C+Black+Handle&amp;qid=1695174232&amp;sr=8-4", "https://www.amazon.com/Lightweight-Sheepsfoot-Klein-Tools-44004/dp/B00093GDFO/ref=sr_1_4?keywords=Klein+Tools+44002+Lightweight+Lockback+Knife%2C+2-3%2F8-Inch+Drop+Point+Blade%2C+Black+Handle&amp;qid=1695174232&amp;sr=8-4")</f>
        <v>https://www.amazon.com/Lightweight-Sheepsfoot-Klein-Tools-44004/dp/B00093GDFO/ref=sr_1_4?keywords=Klein+Tools+44002+Lightweight+Lockback+Knife%2C+2-3%2F8-Inch+Drop+Point+Blade%2C+Black+Handle&amp;qid=1695174232&amp;sr=8-4</v>
      </c>
      <c r="F6459" t="s">
        <v>8605</v>
      </c>
      <c r="G6459" t="e">
        <f ca="1">_xludf.IMAGE("https://edmondsonsupply.com/cdn/shop/products/44002.jpg?v=1633900433")</f>
        <v>#NAME?</v>
      </c>
      <c r="H6459" t="e">
        <f ca="1">_xludf.IMAGE("https://m.media-amazon.com/images/I/41ejFxItVEL._AC_UL320_.jpg")</f>
        <v>#NAME?</v>
      </c>
      <c r="I6459" t="s">
        <v>4310</v>
      </c>
      <c r="J6459">
        <v>29.99</v>
      </c>
      <c r="K6459" s="4">
        <v>-0.1177</v>
      </c>
      <c r="L6459">
        <v>4.7</v>
      </c>
      <c r="M6459">
        <v>46</v>
      </c>
      <c r="O6459" t="s">
        <v>25</v>
      </c>
      <c r="P6459" t="s">
        <v>8283</v>
      </c>
      <c r="Q6459" t="s">
        <v>8284</v>
      </c>
    </row>
    <row r="6460" spans="1:17" ht="15.5" x14ac:dyDescent="0.35">
      <c r="A6460"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6460" s="3" t="str">
        <f>HYPERLINK("https://edmondsonsupply.com/products/klein-tools-d504-10-classic-klaw%e2%84%a2-pump-pliers-10-inch", "https://edmondsonsupply.com/products/klein-tools-d504-10-classic-klaw%e2%84%a2-pump-pliers-10-inch")</f>
        <v>https://edmondsonsupply.com/products/klein-tools-d504-10-classic-klaw%e2%84%a2-pump-pliers-10-inch</v>
      </c>
      <c r="C6460" t="s">
        <v>3718</v>
      </c>
      <c r="D6460" t="s">
        <v>5142</v>
      </c>
      <c r="E6460" s="3" t="str">
        <f>HYPERLINK("https://www.amazon.com/Adjustable-Material-Klein-Tools-J502-10/dp/B00093D51Y/ref=sr_1_4?keywords=Klein+Tools+D504-10+Classic+Klaw%E2%84%A2+Pump+Pliers%2C+10-Inch&amp;qid=1695173948&amp;sr=8-4", "https://www.amazon.com/Adjustable-Material-Klein-Tools-J502-10/dp/B00093D51Y/ref=sr_1_4?keywords=Klein+Tools+D504-10+Classic+Klaw%E2%84%A2+Pump+Pliers%2C+10-Inch&amp;qid=1695173948&amp;sr=8-4")</f>
        <v>https://www.amazon.com/Adjustable-Material-Klein-Tools-J502-10/dp/B00093D51Y/ref=sr_1_4?keywords=Klein+Tools+D504-10+Classic+Klaw%E2%84%A2+Pump+Pliers%2C+10-Inch&amp;qid=1695173948&amp;sr=8-4</v>
      </c>
      <c r="F6460" t="s">
        <v>5143</v>
      </c>
      <c r="G6460" t="e">
        <f ca="1">_xludf.IMAGE("https://edmondsonsupply.com/cdn/shop/products/d504-10.jpg?v=1587142942")</f>
        <v>#NAME?</v>
      </c>
      <c r="H6460" t="e">
        <f ca="1">_xludf.IMAGE("https://m.media-amazon.com/images/I/51+llp-35wL._AC_UL320_.jpg")</f>
        <v>#NAME?</v>
      </c>
      <c r="I6460" t="s">
        <v>3721</v>
      </c>
      <c r="J6460">
        <v>29.97</v>
      </c>
      <c r="K6460" s="4">
        <v>-0.1178</v>
      </c>
      <c r="L6460">
        <v>4.5999999999999996</v>
      </c>
      <c r="M6460">
        <v>365</v>
      </c>
      <c r="O6460" t="s">
        <v>25</v>
      </c>
      <c r="P6460" t="s">
        <v>3722</v>
      </c>
      <c r="Q6460" t="s">
        <v>3723</v>
      </c>
    </row>
    <row r="6461" spans="1:17" ht="15.5" x14ac:dyDescent="0.35">
      <c r="A6461"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6461"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6461" t="s">
        <v>6852</v>
      </c>
      <c r="D6461" t="s">
        <v>8606</v>
      </c>
      <c r="E6461" s="3" t="str">
        <f>HYPERLINK("https://www.amazon.com/Blackfire-Rechargeable-Weatherproof-Flashlight-BBM6413/dp/B0973NX35N/ref=sr_1_5?keywords=Klein+Tools+56413+Rechargeable+2-Color+LED+Flashlight+with+Holster&amp;qid=1695174149&amp;sr=8-5", "https://www.amazon.com/Blackfire-Rechargeable-Weatherproof-Flashlight-BBM6413/dp/B0973NX35N/ref=sr_1_5?keywords=Klein+Tools+56413+Rechargeable+2-Color+LED+Flashlight+with+Holster&amp;qid=1695174149&amp;sr=8-5")</f>
        <v>https://www.amazon.com/Blackfire-Rechargeable-Weatherproof-Flashlight-BBM6413/dp/B0973NX35N/ref=sr_1_5?keywords=Klein+Tools+56413+Rechargeable+2-Color+LED+Flashlight+with+Holster&amp;qid=1695174149&amp;sr=8-5</v>
      </c>
      <c r="F6461" t="s">
        <v>8607</v>
      </c>
      <c r="G6461" t="e">
        <f ca="1">_xludf.IMAGE("https://edmondsonsupply.com/cdn/shop/products/56413.jpg?v=1663954210")</f>
        <v>#NAME?</v>
      </c>
      <c r="H6461" t="e">
        <f ca="1">_xludf.IMAGE("https://m.media-amazon.com/images/I/71Yi-hSAfiL._AC_UL320_.jpg")</f>
        <v>#NAME?</v>
      </c>
      <c r="I6461" t="s">
        <v>380</v>
      </c>
      <c r="J6461">
        <v>44</v>
      </c>
      <c r="K6461" s="4">
        <v>-0.1195</v>
      </c>
      <c r="L6461">
        <v>4.2</v>
      </c>
      <c r="M6461">
        <v>41</v>
      </c>
      <c r="O6461" t="s">
        <v>25</v>
      </c>
      <c r="P6461" t="s">
        <v>6855</v>
      </c>
      <c r="Q6461" t="s">
        <v>6856</v>
      </c>
    </row>
    <row r="6462" spans="1:17" ht="15.5" x14ac:dyDescent="0.35">
      <c r="A6462"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462" s="3" t="str">
        <f>HYPERLINK("https://edmondsonsupply.com/products/klein-tools-d2000-28glw-diagonal-cutting-pliers-hi-viz-8-inch", "https://edmondsonsupply.com/products/klein-tools-d2000-28glw-diagonal-cutting-pliers-hi-viz-8-inch")</f>
        <v>https://edmondsonsupply.com/products/klein-tools-d2000-28glw-diagonal-cutting-pliers-hi-viz-8-inch</v>
      </c>
      <c r="C6462" t="s">
        <v>4233</v>
      </c>
      <c r="D6462" t="s">
        <v>8054</v>
      </c>
      <c r="E6462" s="3" t="str">
        <f>HYPERLINK("https://www.amazon.com/Leverage-Diagonal-Klein-Tools-D228-8TT/dp/B01K76W5UE/ref=sr_1_9?keywords=Klein+Tools+D200028GLW+Diagonal+Cutting+Pliers%2C+High-Visibility%2C+8-Inch&amp;qid=1695173928&amp;sr=8-9", "https://www.amazon.com/Leverage-Diagonal-Klein-Tools-D228-8TT/dp/B01K76W5UE/ref=sr_1_9?keywords=Klein+Tools+D200028GLW+Diagonal+Cutting+Pliers%2C+High-Visibility%2C+8-Inch&amp;qid=1695173928&amp;sr=8-9")</f>
        <v>https://www.amazon.com/Leverage-Diagonal-Klein-Tools-D228-8TT/dp/B01K76W5UE/ref=sr_1_9?keywords=Klein+Tools+D200028GLW+Diagonal+Cutting+Pliers%2C+High-Visibility%2C+8-Inch&amp;qid=1695173928&amp;sr=8-9</v>
      </c>
      <c r="F6462" t="s">
        <v>8055</v>
      </c>
      <c r="G6462" t="e">
        <f ca="1">_xludf.IMAGE("https://edmondsonsupply.com/cdn/shop/products/d200028glw.jpg?v=1633030701")</f>
        <v>#NAME?</v>
      </c>
      <c r="H6462" t="e">
        <f ca="1">_xludf.IMAGE("https://m.media-amazon.com/images/I/41Jkh6uEiRL._AC_UL320_.jpg")</f>
        <v>#NAME?</v>
      </c>
      <c r="I6462" t="s">
        <v>67</v>
      </c>
      <c r="J6462">
        <v>32.99</v>
      </c>
      <c r="K6462" s="4">
        <v>-0.12</v>
      </c>
      <c r="L6462">
        <v>5</v>
      </c>
      <c r="M6462">
        <v>16</v>
      </c>
      <c r="O6462" t="s">
        <v>25</v>
      </c>
      <c r="P6462" t="s">
        <v>4236</v>
      </c>
      <c r="Q6462" t="s">
        <v>4237</v>
      </c>
    </row>
    <row r="6463" spans="1:17" ht="15.5" x14ac:dyDescent="0.35">
      <c r="A6463" s="3" t="str">
        <f>HYPERLINK("https://edmondsonsupply.com/collections/electricians-tools/products/diablo-tools-dmarg1020-p5-5-32-in-x-3-in-x-6-in-speedemon%E2%84%A2-red-granite-carbide-tipped-hammer-drill-bit-5-pack", "https://edmondsonsupply.com/collections/electricians-tools/products/diablo-tools-dmarg1020-p5-5-32-in-x-3-in-x-6-in-speedemon%E2%84%A2-red-granite-carbide-tipped-hammer-drill-bit-5-pack")</f>
        <v>https://edmondsonsupply.com/collections/electricians-tools/products/diablo-tools-dmarg1020-p5-5-32-in-x-3-in-x-6-in-speedemon%E2%84%A2-red-granite-carbide-tipped-hammer-drill-bit-5-pack</v>
      </c>
      <c r="B6463" s="3" t="str">
        <f>HYPERLINK("https://edmondsonsupply.com/products/diablo-tools-dmarg1020-p5-5-32-in-x-3-in-x-6-in-speedemon%e2%84%a2-red-granite-carbide-tipped-hammer-drill-bit-5-pack", "https://edmondsonsupply.com/products/diablo-tools-dmarg1020-p5-5-32-in-x-3-in-x-6-in-speedemon%e2%84%a2-red-granite-carbide-tipped-hammer-drill-bit-5-pack")</f>
        <v>https://edmondsonsupply.com/products/diablo-tools-dmarg1020-p5-5-32-in-x-3-in-x-6-in-speedemon%e2%84%a2-red-granite-carbide-tipped-hammer-drill-bit-5-pack</v>
      </c>
      <c r="C6463" t="s">
        <v>5144</v>
      </c>
      <c r="D6463" t="s">
        <v>5145</v>
      </c>
      <c r="E6463" s="3" t="str">
        <f>HYPERLINK("https://www.amazon.com/Diablo-SPEEDemon-Granite-Carbide-Tipped/dp/B089KX38FF/ref=sr_1_1?keywords=Diablo+Tools+DMARG1020-P5+5%2F32+in.+x+3+in.+x+6+in.+SPEEDemon%E2%84%A2+Red+Granite+Carbide+Tipped+Hammer+Drill+Bit+%285+Pack%29&amp;qid=1695173994&amp;sr=8-1", "https://www.amazon.com/Diablo-SPEEDemon-Granite-Carbide-Tipped/dp/B089KX38FF/ref=sr_1_1?keywords=Diablo+Tools+DMARG1020-P5+5%2F32+in.+x+3+in.+x+6+in.+SPEEDemon%E2%84%A2+Red+Granite+Carbide+Tipped+Hammer+Drill+Bit+%285+Pack%29&amp;qid=1695173994&amp;sr=8-1")</f>
        <v>https://www.amazon.com/Diablo-SPEEDemon-Granite-Carbide-Tipped/dp/B089KX38FF/ref=sr_1_1?keywords=Diablo+Tools+DMARG1020-P5+5%2F32+in.+x+3+in.+x+6+in.+SPEEDemon%E2%84%A2+Red+Granite+Carbide+Tipped+Hammer+Drill+Bit+%285+Pack%29&amp;qid=1695173994&amp;sr=8-1</v>
      </c>
      <c r="F6463" t="s">
        <v>5146</v>
      </c>
      <c r="G6463" t="e">
        <f ca="1">_xludf.IMAGE("https://edmondsonsupply.com/cdn/shop/products/DMARG1020-P5_Main-Image20200513.png?v=1633030508")</f>
        <v>#NAME?</v>
      </c>
      <c r="H6463" t="e">
        <f ca="1">_xludf.IMAGE("https://m.media-amazon.com/images/I/61BDYFEnTRL._AC_UL320_.jpg")</f>
        <v>#NAME?</v>
      </c>
      <c r="I6463" t="s">
        <v>5147</v>
      </c>
      <c r="J6463">
        <v>15.36</v>
      </c>
      <c r="K6463" s="4">
        <v>-0.1208</v>
      </c>
      <c r="L6463">
        <v>4.5999999999999996</v>
      </c>
      <c r="M6463">
        <v>27</v>
      </c>
      <c r="O6463" t="s">
        <v>171</v>
      </c>
      <c r="P6463" t="s">
        <v>138</v>
      </c>
      <c r="Q6463" t="s">
        <v>5148</v>
      </c>
    </row>
    <row r="6464" spans="1:17" ht="15.5" x14ac:dyDescent="0.35">
      <c r="A6464" s="3" t="str">
        <f>HYPERLINK("https://edmondsonsupply.com/collections/electricians-tools/products/reed-mfg-dhr12-1-1-4npt-r12-drophead-1-1-4-npt", "https://edmondsonsupply.com/collections/electricians-tools/products/reed-mfg-dhr12-1-1-4npt-r12-drophead-1-1-4-npt")</f>
        <v>https://edmondsonsupply.com/collections/electricians-tools/products/reed-mfg-dhr12-1-1-4npt-r12-drophead-1-1-4-npt</v>
      </c>
      <c r="B6464" s="3" t="str">
        <f>HYPERLINK("https://edmondsonsupply.com/products/reed-mfg-dhr12-1-1-4npt-r12-drophead-1-1-4-npt", "https://edmondsonsupply.com/products/reed-mfg-dhr12-1-1-4npt-r12-drophead-1-1-4-npt")</f>
        <v>https://edmondsonsupply.com/products/reed-mfg-dhr12-1-1-4npt-r12-drophead-1-1-4-npt</v>
      </c>
      <c r="C6464" t="s">
        <v>4384</v>
      </c>
      <c r="D6464" t="s">
        <v>5149</v>
      </c>
      <c r="E6464" s="3" t="str">
        <f>HYPERLINK("https://www.amazon.com/Reed-Tool-DHR12-4NPT-Drophead/dp/B000ZH8QVI/ref=sr_1_1?keywords=Reed+Mfg+DHR12+1+1%2F4NPT+R12%2B+Drophead%2C+1-1%2F4%22+NPT&amp;qid=1695173914&amp;sr=8-1", "https://www.amazon.com/Reed-Tool-DHR12-4NPT-Drophead/dp/B000ZH8QVI/ref=sr_1_1?keywords=Reed+Mfg+DHR12+1+1%2F4NPT+R12%2B+Drophead%2C+1-1%2F4%22+NPT&amp;qid=1695173914&amp;sr=8-1")</f>
        <v>https://www.amazon.com/Reed-Tool-DHR12-4NPT-Drophead/dp/B000ZH8QVI/ref=sr_1_1?keywords=Reed+Mfg+DHR12+1+1%2F4NPT+R12%2B+Drophead%2C+1-1%2F4%22+NPT&amp;qid=1695173914&amp;sr=8-1</v>
      </c>
      <c r="F6464" t="s">
        <v>5150</v>
      </c>
      <c r="G6464" t="e">
        <f ca="1">_xludf.IMAGE("https://edmondsonsupply.com/cdn/shop/products/05632-DHR121-1-4NPT-RGB.jpg?v=1633031013")</f>
        <v>#NAME?</v>
      </c>
      <c r="H6464" t="e">
        <f ca="1">_xludf.IMAGE("https://m.media-amazon.com/images/I/61ePWvUMWkL._AC_UY218_.jpg")</f>
        <v>#NAME?</v>
      </c>
      <c r="I6464" t="s">
        <v>4387</v>
      </c>
      <c r="J6464">
        <v>135.76</v>
      </c>
      <c r="K6464" s="4">
        <v>-0.12330000000000001</v>
      </c>
      <c r="L6464">
        <v>1</v>
      </c>
      <c r="M6464">
        <v>1</v>
      </c>
      <c r="O6464" t="s">
        <v>25</v>
      </c>
      <c r="P6464" t="s">
        <v>4388</v>
      </c>
      <c r="Q6464" t="s">
        <v>4389</v>
      </c>
    </row>
    <row r="6465" spans="1:17" ht="15.5" x14ac:dyDescent="0.35">
      <c r="A6465" s="3" t="str">
        <f>HYPERLINK("https://edmondsonsupply.com/collections/electricians-tools/products/klein-tools-6816ins-insulated-screwdriver-3-16-inch-cabinet-tip-6-inch-round-shank", "https://edmondsonsupply.com/collections/electricians-tools/products/klein-tools-6816ins-insulated-screwdriver-3-16-inch-cabinet-tip-6-inch-round-shank")</f>
        <v>https://edmondsonsupply.com/collections/electricians-tools/products/klein-tools-6816ins-insulated-screwdriver-3-16-inch-cabinet-tip-6-inch-round-shank</v>
      </c>
      <c r="B6465" s="3" t="str">
        <f>HYPERLINK("https://edmondsonsupply.com/products/klein-tools-6816ins-insulated-screwdriver-3-16-inch-cabinet-tip-6-inch-round-shank", "https://edmondsonsupply.com/products/klein-tools-6816ins-insulated-screwdriver-3-16-inch-cabinet-tip-6-inch-round-shank")</f>
        <v>https://edmondsonsupply.com/products/klein-tools-6816ins-insulated-screwdriver-3-16-inch-cabinet-tip-6-inch-round-shank</v>
      </c>
      <c r="C6465" t="s">
        <v>7204</v>
      </c>
      <c r="D6465" t="s">
        <v>4123</v>
      </c>
      <c r="E6465" s="3" t="str">
        <f>HYPERLINK("https://www.amazon.com/Klein-Tools-670-6-Screwdriver-Rapi-Driv/dp/B000BO9T3Y/ref=sr_1_7?keywords=Klein+Tools+6816INS+Insulated+Screwdriver%2C+3%2F16-Inch+Cabinet+Tip%2C+6-Inch+Round+Shank&amp;qid=1695174141&amp;sr=8-7", "https://www.amazon.com/Klein-Tools-670-6-Screwdriver-Rapi-Driv/dp/B000BO9T3Y/ref=sr_1_7?keywords=Klein+Tools+6816INS+Insulated+Screwdriver%2C+3%2F16-Inch+Cabinet+Tip%2C+6-Inch+Round+Shank&amp;qid=1695174141&amp;sr=8-7")</f>
        <v>https://www.amazon.com/Klein-Tools-670-6-Screwdriver-Rapi-Driv/dp/B000BO9T3Y/ref=sr_1_7?keywords=Klein+Tools+6816INS+Insulated+Screwdriver%2C+3%2F16-Inch+Cabinet+Tip%2C+6-Inch+Round+Shank&amp;qid=1695174141&amp;sr=8-7</v>
      </c>
      <c r="F6465" t="s">
        <v>4124</v>
      </c>
      <c r="G6465" t="e">
        <f ca="1">_xludf.IMAGE("https://edmondsonsupply.com/cdn/shop/products/6816ins.jpg?v=1664812840")</f>
        <v>#NAME?</v>
      </c>
      <c r="H6465" t="e">
        <f ca="1">_xludf.IMAGE("https://m.media-amazon.com/images/I/31+1RSUdZ+S._AC_UL320_.jpg")</f>
        <v>#NAME?</v>
      </c>
      <c r="I6465" t="s">
        <v>6073</v>
      </c>
      <c r="J6465">
        <v>10.49</v>
      </c>
      <c r="K6465" s="4">
        <v>-0.1236</v>
      </c>
      <c r="L6465">
        <v>4.8</v>
      </c>
      <c r="M6465">
        <v>1607</v>
      </c>
      <c r="O6465" t="s">
        <v>25</v>
      </c>
      <c r="P6465" t="s">
        <v>6728</v>
      </c>
      <c r="Q6465" t="s">
        <v>7205</v>
      </c>
    </row>
    <row r="6466" spans="1:17" ht="15.5" x14ac:dyDescent="0.35">
      <c r="A6466" s="3" t="str">
        <f>HYPERLINK("https://edmondsonsupply.com/collections/electricians-tools/products/klein-tools-6866ins-insulated-screwdriver-5-16-inch-cabinet-tip-6-inch-shank", "https://edmondsonsupply.com/collections/electricians-tools/products/klein-tools-6866ins-insulated-screwdriver-5-16-inch-cabinet-tip-6-inch-shank")</f>
        <v>https://edmondsonsupply.com/collections/electricians-tools/products/klein-tools-6866ins-insulated-screwdriver-5-16-inch-cabinet-tip-6-inch-shank</v>
      </c>
      <c r="B6466" s="3" t="str">
        <f>HYPERLINK("https://edmondsonsupply.com/products/klein-tools-6866ins-insulated-screwdriver-5-16-inch-cabinet-tip-6-inch-shank", "https://edmondsonsupply.com/products/klein-tools-6866ins-insulated-screwdriver-5-16-inch-cabinet-tip-6-inch-shank")</f>
        <v>https://edmondsonsupply.com/products/klein-tools-6866ins-insulated-screwdriver-5-16-inch-cabinet-tip-6-inch-shank</v>
      </c>
      <c r="C6466" t="s">
        <v>6781</v>
      </c>
      <c r="D6466" t="s">
        <v>4123</v>
      </c>
      <c r="E6466" s="3" t="str">
        <f>HYPERLINK("https://www.amazon.com/Klein-Tools-670-6-Screwdriver-Rapi-Driv/dp/B000BO9T3Y/ref=sr_1_8?keywords=Klein+Tools+6866INS+Insulated+Screwdriver%2C+5%2F16-Inch+Cabinet+Tip%2C+6-Inch+Shank&amp;qid=1695174142&amp;sr=8-8", "https://www.amazon.com/Klein-Tools-670-6-Screwdriver-Rapi-Driv/dp/B000BO9T3Y/ref=sr_1_8?keywords=Klein+Tools+6866INS+Insulated+Screwdriver%2C+5%2F16-Inch+Cabinet+Tip%2C+6-Inch+Shank&amp;qid=1695174142&amp;sr=8-8")</f>
        <v>https://www.amazon.com/Klein-Tools-670-6-Screwdriver-Rapi-Driv/dp/B000BO9T3Y/ref=sr_1_8?keywords=Klein+Tools+6866INS+Insulated+Screwdriver%2C+5%2F16-Inch+Cabinet+Tip%2C+6-Inch+Shank&amp;qid=1695174142&amp;sr=8-8</v>
      </c>
      <c r="F6466" t="s">
        <v>4124</v>
      </c>
      <c r="G6466" t="e">
        <f ca="1">_xludf.IMAGE("https://edmondsonsupply.com/cdn/shop/products/6866ins.jpg?v=1664818689")</f>
        <v>#NAME?</v>
      </c>
      <c r="H6466" t="e">
        <f ca="1">_xludf.IMAGE("https://m.media-amazon.com/images/I/31+1RSUdZ+S._AC_UL320_.jpg")</f>
        <v>#NAME?</v>
      </c>
      <c r="I6466" t="s">
        <v>6073</v>
      </c>
      <c r="J6466">
        <v>10.49</v>
      </c>
      <c r="K6466" s="4">
        <v>-0.1236</v>
      </c>
      <c r="L6466">
        <v>4.8</v>
      </c>
      <c r="M6466">
        <v>1607</v>
      </c>
      <c r="O6466" t="s">
        <v>25</v>
      </c>
      <c r="P6466" t="s">
        <v>6728</v>
      </c>
      <c r="Q6466" t="s">
        <v>6784</v>
      </c>
    </row>
    <row r="6467" spans="1:17" ht="15.5" x14ac:dyDescent="0.35">
      <c r="A6467"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6467"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6467" t="s">
        <v>6870</v>
      </c>
      <c r="D6467" t="s">
        <v>3163</v>
      </c>
      <c r="E6467" s="3" t="str">
        <f>HYPERLINK("https://www.amazon.com/Journeyman-T-Handle-Klein-Tools-JTH9E14/dp/B004QVAH4I/ref=sr_1_5?keywords=Klein+Tools+JTH6E14BE+5%2F16-Inch+Ball+End+Hex+Key+with+T-Handle%2C+6-Inch&amp;qid=1695174246&amp;sr=8-5", "https://www.amazon.com/Journeyman-T-Handle-Klein-Tools-JTH9E14/dp/B004QVAH4I/ref=sr_1_5?keywords=Klein+Tools+JTH6E14BE+5%2F16-Inch+Ball+End+Hex+Key+with+T-Handle%2C+6-Inch&amp;qid=1695174246&amp;sr=8-5")</f>
        <v>https://www.amazon.com/Journeyman-T-Handle-Klein-Tools-JTH9E14/dp/B004QVAH4I/ref=sr_1_5?keywords=Klein+Tools+JTH6E14BE+5%2F16-Inch+Ball+End+Hex+Key+with+T-Handle%2C+6-Inch&amp;qid=1695174246&amp;sr=8-5</v>
      </c>
      <c r="F6467" t="s">
        <v>3164</v>
      </c>
      <c r="G6467" t="e">
        <f ca="1">_xludf.IMAGE("https://edmondsonsupply.com/cdn/shop/products/jth6e13be_0da4cca6-ce15-419c-bc75-cd610bd9637f.jpg?v=1629825198")</f>
        <v>#NAME?</v>
      </c>
      <c r="H6467" t="e">
        <f ca="1">_xludf.IMAGE("https://m.media-amazon.com/images/I/51Yb8h41vLL._AC_UL320_.jpg")</f>
        <v>#NAME?</v>
      </c>
      <c r="I6467" t="s">
        <v>6394</v>
      </c>
      <c r="J6467">
        <v>7.44</v>
      </c>
      <c r="K6467" s="4">
        <v>-0.1237</v>
      </c>
      <c r="L6467">
        <v>4.8</v>
      </c>
      <c r="M6467">
        <v>114</v>
      </c>
      <c r="O6467" t="s">
        <v>25</v>
      </c>
      <c r="P6467" t="s">
        <v>6871</v>
      </c>
      <c r="Q6467" t="s">
        <v>6872</v>
      </c>
    </row>
    <row r="6468" spans="1:17" ht="15.5" x14ac:dyDescent="0.35">
      <c r="A6468" s="3" t="str">
        <f>HYPERLINK("https://edmondsonsupply.com/collections/electricians-tools/products/channellock-87", "https://edmondsonsupply.com/collections/electricians-tools/products/channellock-87")</f>
        <v>https://edmondsonsupply.com/collections/electricians-tools/products/channellock-87</v>
      </c>
      <c r="B6468" s="3" t="str">
        <f>HYPERLINK("https://edmondsonsupply.com/products/channellock-87", "https://edmondsonsupply.com/products/channellock-87")</f>
        <v>https://edmondsonsupply.com/products/channellock-87</v>
      </c>
      <c r="C6468" t="s">
        <v>5085</v>
      </c>
      <c r="D6468" t="s">
        <v>5151</v>
      </c>
      <c r="E6468" s="3" t="str">
        <f>HYPERLINK("https://www.amazon.com/Channellock-87-8-88-Inch-Compact-Rescue/dp/B0057UMN3A/ref=sr_1_1?keywords=Channellock+87+9%22+Rescue+Tool&amp;qid=1695173922&amp;sr=8-1", "https://www.amazon.com/Channellock-87-8-88-Inch-Compact-Rescue/dp/B0057UMN3A/ref=sr_1_1?keywords=Channellock+87+9%22+Rescue+Tool&amp;qid=1695173922&amp;sr=8-1")</f>
        <v>https://www.amazon.com/Channellock-87-8-88-Inch-Compact-Rescue/dp/B0057UMN3A/ref=sr_1_1?keywords=Channellock+87+9%22+Rescue+Tool&amp;qid=1695173922&amp;sr=8-1</v>
      </c>
      <c r="F6468" t="s">
        <v>5152</v>
      </c>
      <c r="G6468" t="e">
        <f ca="1">_xludf.IMAGE("https://edmondsonsupply.com/cdn/shop/products/87.png?v=1587151315")</f>
        <v>#NAME?</v>
      </c>
      <c r="H6468" t="e">
        <f ca="1">_xludf.IMAGE("https://m.media-amazon.com/images/I/817vvWRPWLL._AC_UL320_.jpg")</f>
        <v>#NAME?</v>
      </c>
      <c r="I6468" t="s">
        <v>5088</v>
      </c>
      <c r="J6468">
        <v>48.15</v>
      </c>
      <c r="K6468" s="4">
        <v>-0.1237</v>
      </c>
      <c r="L6468">
        <v>4.8</v>
      </c>
      <c r="M6468">
        <v>1926</v>
      </c>
      <c r="O6468" t="s">
        <v>25</v>
      </c>
      <c r="P6468" t="s">
        <v>5089</v>
      </c>
      <c r="Q6468" t="s">
        <v>5090</v>
      </c>
    </row>
    <row r="6469" spans="1:17" ht="15.5" x14ac:dyDescent="0.35">
      <c r="A6469"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6469"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6469" t="s">
        <v>6969</v>
      </c>
      <c r="D6469" t="s">
        <v>8608</v>
      </c>
      <c r="E6469" s="3" t="str">
        <f>HYPERLINK("https://www.amazon.com/Pocket-2-Inch-Klein-Tools-1550-2/dp/B00176H2DE/ref=sr_1_1?keywords=Klein+Tools+1550-2+2+Blade+Pocket+Knife%2C+Steel%2C+2-1%2F2-Inch+Blade&amp;qid=1695174176&amp;sr=8-1", "https://www.amazon.com/Pocket-2-Inch-Klein-Tools-1550-2/dp/B00176H2DE/ref=sr_1_1?keywords=Klein+Tools+1550-2+2+Blade+Pocket+Knife%2C+Steel%2C+2-1%2F2-Inch+Blade&amp;qid=1695174176&amp;sr=8-1")</f>
        <v>https://www.amazon.com/Pocket-2-Inch-Klein-Tools-1550-2/dp/B00176H2DE/ref=sr_1_1?keywords=Klein+Tools+1550-2+2+Blade+Pocket+Knife%2C+Steel%2C+2-1%2F2-Inch+Blade&amp;qid=1695174176&amp;sr=8-1</v>
      </c>
      <c r="F6469" t="s">
        <v>8609</v>
      </c>
      <c r="G6469" t="e">
        <f ca="1">_xludf.IMAGE("https://edmondsonsupply.com/cdn/shop/products/15502_b.jpg?v=1658020543")</f>
        <v>#NAME?</v>
      </c>
      <c r="H6469" t="e">
        <f ca="1">_xludf.IMAGE("https://m.media-amazon.com/images/I/41-3gskqqhL._AC_UL320_.jpg")</f>
        <v>#NAME?</v>
      </c>
      <c r="I6469" t="s">
        <v>26</v>
      </c>
      <c r="J6469">
        <v>26.27</v>
      </c>
      <c r="K6469" s="4">
        <v>-0.124</v>
      </c>
      <c r="L6469">
        <v>4.5</v>
      </c>
      <c r="M6469">
        <v>237</v>
      </c>
      <c r="O6469" t="s">
        <v>25</v>
      </c>
      <c r="P6469" t="s">
        <v>6972</v>
      </c>
      <c r="Q6469" t="s">
        <v>6973</v>
      </c>
    </row>
    <row r="6470" spans="1:17" ht="15.5" x14ac:dyDescent="0.35">
      <c r="A6470" s="3" t="str">
        <f>HYPERLINK("https://edmondsonsupply.com/collections/electricians-tools/products/klein-tools-69445-rare-earth-magnetic-hanger-no-strap", "https://edmondsonsupply.com/collections/electricians-tools/products/klein-tools-69445-rare-earth-magnetic-hanger-no-strap")</f>
        <v>https://edmondsonsupply.com/collections/electricians-tools/products/klein-tools-69445-rare-earth-magnetic-hanger-no-strap</v>
      </c>
      <c r="B6470" s="3" t="str">
        <f>HYPERLINK("https://edmondsonsupply.com/products/klein-tools-69445-rare-earth-magnetic-hanger-no-strap", "https://edmondsonsupply.com/products/klein-tools-69445-rare-earth-magnetic-hanger-no-strap")</f>
        <v>https://edmondsonsupply.com/products/klein-tools-69445-rare-earth-magnetic-hanger-no-strap</v>
      </c>
      <c r="C6470" t="s">
        <v>1408</v>
      </c>
      <c r="D6470" t="s">
        <v>4526</v>
      </c>
      <c r="E6470" s="3" t="str">
        <f>HYPERLINK("https://www.amazon.com/Magnetic-Hanger-Klein-Tools-69417/dp/B01B7RBXZ0/ref=sr_1_2?keywords=Klein+Tools+69445+Rare+Earth+Magnetic+Hanger%2C+no+Strap&amp;qid=1695173881&amp;sr=8-2", "https://www.amazon.com/Magnetic-Hanger-Klein-Tools-69417/dp/B01B7RBXZ0/ref=sr_1_2?keywords=Klein+Tools+69445+Rare+Earth+Magnetic+Hanger%2C+no+Strap&amp;qid=1695173881&amp;sr=8-2")</f>
        <v>https://www.amazon.com/Magnetic-Hanger-Klein-Tools-69417/dp/B01B7RBXZ0/ref=sr_1_2?keywords=Klein+Tools+69445+Rare+Earth+Magnetic+Hanger%2C+no+Strap&amp;qid=1695173881&amp;sr=8-2</v>
      </c>
      <c r="F6470" t="s">
        <v>4527</v>
      </c>
      <c r="G6470" t="e">
        <f ca="1">_xludf.IMAGE("https://edmondsonsupply.com/cdn/shop/products/69445.jpg?v=1633030859")</f>
        <v>#NAME?</v>
      </c>
      <c r="H6470" t="e">
        <f ca="1">_xludf.IMAGE("https://m.media-amazon.com/images/I/51yfJbP4XCL._AC_UL320_.jpg")</f>
        <v>#NAME?</v>
      </c>
      <c r="I6470" t="s">
        <v>252</v>
      </c>
      <c r="J6470">
        <v>13.99</v>
      </c>
      <c r="K6470" s="4">
        <v>-0.12509999999999999</v>
      </c>
      <c r="L6470">
        <v>4.8</v>
      </c>
      <c r="M6470">
        <v>3757</v>
      </c>
      <c r="O6470" t="s">
        <v>25</v>
      </c>
      <c r="P6470" t="s">
        <v>1411</v>
      </c>
      <c r="Q6470" t="s">
        <v>1412</v>
      </c>
    </row>
    <row r="6471" spans="1:17" ht="15.5" x14ac:dyDescent="0.35">
      <c r="A6471"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6471"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6471" t="s">
        <v>8170</v>
      </c>
      <c r="D6471" t="s">
        <v>5015</v>
      </c>
      <c r="E6471" s="3" t="str">
        <f>HYPERLINK("https://www.amazon.com/Diagonal-Linemans-Klein-Tools-D2000-48/dp/B0000302WZ/ref=sr_1_3?keywords=Klein+Tools+2288RINS+Diagonal+Cutting+Pliers%2C+Insulated%2C+High+Leverage%2C+8-Inch&amp;qid=1695174127&amp;sr=8-3", "https://www.amazon.com/Diagonal-Linemans-Klein-Tools-D2000-48/dp/B0000302WZ/ref=sr_1_3?keywords=Klein+Tools+2288RINS+Diagonal+Cutting+Pliers%2C+Insulated%2C+High+Leverage%2C+8-Inch&amp;qid=1695174127&amp;sr=8-3")</f>
        <v>https://www.amazon.com/Diagonal-Linemans-Klein-Tools-D2000-48/dp/B0000302WZ/ref=sr_1_3?keywords=Klein+Tools+2288RINS+Diagonal+Cutting+Pliers%2C+Insulated%2C+High+Leverage%2C+8-Inch&amp;qid=1695174127&amp;sr=8-3</v>
      </c>
      <c r="F6471" t="s">
        <v>5016</v>
      </c>
      <c r="G6471" t="e">
        <f ca="1">_xludf.IMAGE("https://edmondsonsupply.com/cdn/shop/products/2288rins.jpg?v=1667238570")</f>
        <v>#NAME?</v>
      </c>
      <c r="H6471" t="e">
        <f ca="1">_xludf.IMAGE("https://m.media-amazon.com/images/I/41Y+q+BsIsL._AC_UL320_.jpg")</f>
        <v>#NAME?</v>
      </c>
      <c r="I6471" t="s">
        <v>246</v>
      </c>
      <c r="J6471">
        <v>34.97</v>
      </c>
      <c r="K6471" s="4">
        <v>-0.12509999999999999</v>
      </c>
      <c r="L6471">
        <v>4.7</v>
      </c>
      <c r="M6471">
        <v>530</v>
      </c>
      <c r="O6471" t="s">
        <v>25</v>
      </c>
      <c r="P6471" t="s">
        <v>1027</v>
      </c>
      <c r="Q6471" t="s">
        <v>8171</v>
      </c>
    </row>
    <row r="6472" spans="1:17" ht="15.5" x14ac:dyDescent="0.35">
      <c r="A6472"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472" s="3" t="str">
        <f>HYPERLINK("https://edmondsonsupply.com/products/klein-tools-635-1-4-1-4-inch-nut-driver-magnetic-tip-4-inch-shaft", "https://edmondsonsupply.com/products/klein-tools-635-1-4-1-4-inch-nut-driver-magnetic-tip-4-inch-shaft")</f>
        <v>https://edmondsonsupply.com/products/klein-tools-635-1-4-1-4-inch-nut-driver-magnetic-tip-4-inch-shaft</v>
      </c>
      <c r="C6472" t="s">
        <v>6817</v>
      </c>
      <c r="D6472" t="s">
        <v>3943</v>
      </c>
      <c r="E6472" s="3" t="str">
        <f>HYPERLINK("https://www.amazon.com/Magnetic-Klein-Tools-646-1-4M/dp/B00093GEC6/ref=sr_1_3?keywords=Klein+Tools+635-1%2F4+1%2F4-Inch+Nut+Driver%2C+Magnetic+Tip%2C+4-Inch+Shaft&amp;qid=1695174156&amp;sr=8-3", "https://www.amazon.com/Magnetic-Klein-Tools-646-1-4M/dp/B00093GEC6/ref=sr_1_3?keywords=Klein+Tools+635-1%2F4+1%2F4-Inch+Nut+Driver%2C+Magnetic+Tip%2C+4-Inch+Shaft&amp;qid=1695174156&amp;sr=8-3")</f>
        <v>https://www.amazon.com/Magnetic-Klein-Tools-646-1-4M/dp/B00093GEC6/ref=sr_1_3?keywords=Klein+Tools+635-1%2F4+1%2F4-Inch+Nut+Driver%2C+Magnetic+Tip%2C+4-Inch+Shaft&amp;qid=1695174156&amp;sr=8-3</v>
      </c>
      <c r="F6472" t="s">
        <v>3944</v>
      </c>
      <c r="G6472" t="e">
        <f ca="1">_xludf.IMAGE("https://edmondsonsupply.com/cdn/shop/products/635-1-4.jpg?v=1666811523")</f>
        <v>#NAME?</v>
      </c>
      <c r="H6472" t="e">
        <f ca="1">_xludf.IMAGE("https://m.media-amazon.com/images/I/418bbEGck1L._AC_UL320_.jpg")</f>
        <v>#NAME?</v>
      </c>
      <c r="I6472" t="s">
        <v>2337</v>
      </c>
      <c r="J6472">
        <v>10.49</v>
      </c>
      <c r="K6472" s="4">
        <v>-0.12509999999999999</v>
      </c>
      <c r="L6472">
        <v>4.8</v>
      </c>
      <c r="M6472">
        <v>2497</v>
      </c>
      <c r="O6472" t="s">
        <v>25</v>
      </c>
      <c r="P6472" t="s">
        <v>1212</v>
      </c>
      <c r="Q6472" t="s">
        <v>6818</v>
      </c>
    </row>
    <row r="6473" spans="1:17" ht="15.5" x14ac:dyDescent="0.35">
      <c r="A6473"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473" s="3" t="str">
        <f>HYPERLINK("https://edmondsonsupply.com/products/klein-tools-635-1-4-1-4-inch-nut-driver-magnetic-tip-4-inch-shaft", "https://edmondsonsupply.com/products/klein-tools-635-1-4-1-4-inch-nut-driver-magnetic-tip-4-inch-shaft")</f>
        <v>https://edmondsonsupply.com/products/klein-tools-635-1-4-1-4-inch-nut-driver-magnetic-tip-4-inch-shaft</v>
      </c>
      <c r="C6473" t="s">
        <v>6817</v>
      </c>
      <c r="D6473" t="s">
        <v>3528</v>
      </c>
      <c r="E6473" s="3" t="str">
        <f>HYPERLINK("https://www.amazon.com/4-Inch-Cushion-Klein-Tools-630-1/dp/B00093DZR8/ref=sr_1_7?keywords=Klein+Tools+635-1%2F4+1%2F4-Inch+Nut+Driver%2C+Magnetic+Tip%2C+4-Inch+Shaft&amp;qid=1695174156&amp;sr=8-7", "https://www.amazon.com/4-Inch-Cushion-Klein-Tools-630-1/dp/B00093DZR8/ref=sr_1_7?keywords=Klein+Tools+635-1%2F4+1%2F4-Inch+Nut+Driver%2C+Magnetic+Tip%2C+4-Inch+Shaft&amp;qid=1695174156&amp;sr=8-7")</f>
        <v>https://www.amazon.com/4-Inch-Cushion-Klein-Tools-630-1/dp/B00093DZR8/ref=sr_1_7?keywords=Klein+Tools+635-1%2F4+1%2F4-Inch+Nut+Driver%2C+Magnetic+Tip%2C+4-Inch+Shaft&amp;qid=1695174156&amp;sr=8-7</v>
      </c>
      <c r="F6473" t="s">
        <v>3529</v>
      </c>
      <c r="G6473" t="e">
        <f ca="1">_xludf.IMAGE("https://edmondsonsupply.com/cdn/shop/products/635-1-4.jpg?v=1666811523")</f>
        <v>#NAME?</v>
      </c>
      <c r="H6473" t="e">
        <f ca="1">_xludf.IMAGE("https://m.media-amazon.com/images/I/41gchQgPtfL._AC_UL320_.jpg")</f>
        <v>#NAME?</v>
      </c>
      <c r="I6473" t="s">
        <v>2337</v>
      </c>
      <c r="J6473">
        <v>10.49</v>
      </c>
      <c r="K6473" s="4">
        <v>-0.12509999999999999</v>
      </c>
      <c r="L6473">
        <v>4.8</v>
      </c>
      <c r="M6473">
        <v>59</v>
      </c>
      <c r="O6473" t="s">
        <v>25</v>
      </c>
      <c r="P6473" t="s">
        <v>1212</v>
      </c>
      <c r="Q6473" t="s">
        <v>6818</v>
      </c>
    </row>
    <row r="6474" spans="1:17" ht="15.5" x14ac:dyDescent="0.35">
      <c r="A6474" s="3" t="str">
        <f>HYPERLINK("https://edmondsonsupply.com/collections/electricians-tools/products/klein-tools-s10-5-16-inch-nut-driver-3-inch-hollow-shaft", "https://edmondsonsupply.com/collections/electricians-tools/products/klein-tools-s10-5-16-inch-nut-driver-3-inch-hollow-shaft")</f>
        <v>https://edmondsonsupply.com/collections/electricians-tools/products/klein-tools-s10-5-16-inch-nut-driver-3-inch-hollow-shaft</v>
      </c>
      <c r="B6474" s="3" t="str">
        <f>HYPERLINK("https://edmondsonsupply.com/products/klein-tools-s10-5-16-inch-nut-driver-3-inch-hollow-shaft", "https://edmondsonsupply.com/products/klein-tools-s10-5-16-inch-nut-driver-3-inch-hollow-shaft")</f>
        <v>https://edmondsonsupply.com/products/klein-tools-s10-5-16-inch-nut-driver-3-inch-hollow-shaft</v>
      </c>
      <c r="C6474" t="s">
        <v>7432</v>
      </c>
      <c r="D6474" t="s">
        <v>8610</v>
      </c>
      <c r="E6474" s="3" t="str">
        <f>HYPERLINK("https://www.amazon.com/Driver-Cushion-Klein-Tools-630-5MM/dp/B0009OODG4/ref=sr_1_10?keywords=Klein+Tools+S10+5%2F16-Inch+Nut+Driver+3-Inch+Hollow+Shaft&amp;qid=1695174298&amp;sr=8-10", "https://www.amazon.com/Driver-Cushion-Klein-Tools-630-5MM/dp/B0009OODG4/ref=sr_1_10?keywords=Klein+Tools+S10+5%2F16-Inch+Nut+Driver+3-Inch+Hollow+Shaft&amp;qid=1695174298&amp;sr=8-10")</f>
        <v>https://www.amazon.com/Driver-Cushion-Klein-Tools-630-5MM/dp/B0009OODG4/ref=sr_1_10?keywords=Klein+Tools+S10+5%2F16-Inch+Nut+Driver+3-Inch+Hollow+Shaft&amp;qid=1695174298&amp;sr=8-10</v>
      </c>
      <c r="F6474" t="s">
        <v>8611</v>
      </c>
      <c r="G6474" t="e">
        <f ca="1">_xludf.IMAGE("https://edmondsonsupply.com/cdn/shop/products/s10_38acacb8-6c8e-49ef-8ed3-7160ab53875a.jpg?v=1633030893")</f>
        <v>#NAME?</v>
      </c>
      <c r="H6474" t="e">
        <f ca="1">_xludf.IMAGE("https://m.media-amazon.com/images/I/51oyTa9LLJL._AC_UL320_.jpg")</f>
        <v>#NAME?</v>
      </c>
      <c r="I6474" t="s">
        <v>1003</v>
      </c>
      <c r="J6474">
        <v>6.99</v>
      </c>
      <c r="K6474" s="4">
        <v>-0.12520000000000001</v>
      </c>
      <c r="L6474">
        <v>4.8</v>
      </c>
      <c r="M6474">
        <v>1117</v>
      </c>
      <c r="O6474" t="s">
        <v>25</v>
      </c>
      <c r="P6474" t="s">
        <v>7433</v>
      </c>
      <c r="Q6474" t="s">
        <v>7434</v>
      </c>
    </row>
    <row r="6475" spans="1:17" ht="15.5" x14ac:dyDescent="0.35">
      <c r="A6475" s="3" t="str">
        <f>HYPERLINK("https://edmondsonsupply.com/collections/electricians-tools/products/klein-tools-d2000-9ne-linemans-pliers-9-inch", "https://edmondsonsupply.com/collections/electricians-tools/products/klein-tools-d2000-9ne-linemans-pliers-9-inch")</f>
        <v>https://edmondsonsupply.com/collections/electricians-tools/products/klein-tools-d2000-9ne-linemans-pliers-9-inch</v>
      </c>
      <c r="B6475" s="3" t="str">
        <f>HYPERLINK("https://edmondsonsupply.com/products/klein-tools-d2000-9ne-linemans-pliers-9-inch", "https://edmondsonsupply.com/products/klein-tools-d2000-9ne-linemans-pliers-9-inch")</f>
        <v>https://edmondsonsupply.com/products/klein-tools-d2000-9ne-linemans-pliers-9-inch</v>
      </c>
      <c r="C6475" t="s">
        <v>6770</v>
      </c>
      <c r="D6475" t="s">
        <v>5332</v>
      </c>
      <c r="E6475" s="3" t="str">
        <f>HYPERLINK("https://www.amazon.com/Leverage-46-Percent-Gripping-Klein-Tools/dp/B0000302W6/ref=sr_1_5?keywords=Klein+Tools+D2000-9NE+Linemans+Pliers%2C+9-Inch&amp;qid=1695174298&amp;sr=8-5", "https://www.amazon.com/Leverage-46-Percent-Gripping-Klein-Tools/dp/B0000302W6/ref=sr_1_5?keywords=Klein+Tools+D2000-9NE+Linemans+Pliers%2C+9-Inch&amp;qid=1695174298&amp;sr=8-5")</f>
        <v>https://www.amazon.com/Leverage-46-Percent-Gripping-Klein-Tools/dp/B0000302W6/ref=sr_1_5?keywords=Klein+Tools+D2000-9NE+Linemans+Pliers%2C+9-Inch&amp;qid=1695174298&amp;sr=8-5</v>
      </c>
      <c r="F6475" t="s">
        <v>5333</v>
      </c>
      <c r="G6475" t="e">
        <f ca="1">_xludf.IMAGE("https://edmondsonsupply.com/cdn/shop/products/d20009ne.jpg?v=1633030816")</f>
        <v>#NAME?</v>
      </c>
      <c r="H6475" t="e">
        <f ca="1">_xludf.IMAGE("https://m.media-amazon.com/images/I/51D7tdNTj7L._AC_UL320_.jpg")</f>
        <v>#NAME?</v>
      </c>
      <c r="I6475" t="s">
        <v>198</v>
      </c>
      <c r="J6475">
        <v>34.97</v>
      </c>
      <c r="K6475" s="4">
        <v>-0.1255</v>
      </c>
      <c r="L6475">
        <v>4.8</v>
      </c>
      <c r="M6475">
        <v>4121</v>
      </c>
      <c r="O6475" t="s">
        <v>25</v>
      </c>
      <c r="P6475" t="s">
        <v>6773</v>
      </c>
      <c r="Q6475" t="s">
        <v>6774</v>
      </c>
    </row>
    <row r="6476" spans="1:17" ht="15.5" x14ac:dyDescent="0.35">
      <c r="A6476" s="3" t="str">
        <f>HYPERLINK("https://edmondsonsupply.com/collections/electricians-tools/products/klein-tools-d213-9nett-pliers-high-leverage-side-cutters-tether-ring", "https://edmondsonsupply.com/collections/electricians-tools/products/klein-tools-d213-9nett-pliers-high-leverage-side-cutters-tether-ring")</f>
        <v>https://edmondsonsupply.com/collections/electricians-tools/products/klein-tools-d213-9nett-pliers-high-leverage-side-cutters-tether-ring</v>
      </c>
      <c r="B6476" s="3" t="str">
        <f>HYPERLINK("https://edmondsonsupply.com/products/klein-tools-d213-9nett-pliers-high-leverage-side-cutters-tether-ring", "https://edmondsonsupply.com/products/klein-tools-d213-9nett-pliers-high-leverage-side-cutters-tether-ring")</f>
        <v>https://edmondsonsupply.com/products/klein-tools-d213-9nett-pliers-high-leverage-side-cutters-tether-ring</v>
      </c>
      <c r="C6476" t="s">
        <v>8289</v>
      </c>
      <c r="D6476" t="s">
        <v>5332</v>
      </c>
      <c r="E6476" s="3" t="str">
        <f>HYPERLINK("https://www.amazon.com/Leverage-46-Percent-Gripping-Klein-Tools/dp/B0000302W6/ref=sr_1_2?keywords=Klein+Tools+D213-9NETT+Pliers%2C+High-Leverage+Side+Cutters%2C+Tether+Ring&amp;qid=1695174214&amp;sr=8-2", "https://www.amazon.com/Leverage-46-Percent-Gripping-Klein-Tools/dp/B0000302W6/ref=sr_1_2?keywords=Klein+Tools+D213-9NETT+Pliers%2C+High-Leverage+Side+Cutters%2C+Tether+Ring&amp;qid=1695174214&amp;sr=8-2")</f>
        <v>https://www.amazon.com/Leverage-46-Percent-Gripping-Klein-Tools/dp/B0000302W6/ref=sr_1_2?keywords=Klein+Tools+D213-9NETT+Pliers%2C+High-Leverage+Side+Cutters%2C+Tether+Ring&amp;qid=1695174214&amp;sr=8-2</v>
      </c>
      <c r="F6476" t="s">
        <v>5333</v>
      </c>
      <c r="G6476" t="e">
        <f ca="1">_xludf.IMAGE("https://edmondsonsupply.com/cdn/shop/products/d2139nett.jpg?v=1647394939")</f>
        <v>#NAME?</v>
      </c>
      <c r="H6476" t="e">
        <f ca="1">_xludf.IMAGE("https://m.media-amazon.com/images/I/51D7tdNTj7L._AC_UL320_.jpg")</f>
        <v>#NAME?</v>
      </c>
      <c r="I6476" t="s">
        <v>198</v>
      </c>
      <c r="J6476">
        <v>34.97</v>
      </c>
      <c r="K6476" s="4">
        <v>-0.1255</v>
      </c>
      <c r="L6476">
        <v>4.8</v>
      </c>
      <c r="M6476">
        <v>4121</v>
      </c>
      <c r="O6476" t="s">
        <v>25</v>
      </c>
      <c r="P6476" t="s">
        <v>8292</v>
      </c>
      <c r="Q6476" t="s">
        <v>8293</v>
      </c>
    </row>
    <row r="6477" spans="1:17" ht="15.5" x14ac:dyDescent="0.35">
      <c r="A6477" s="3" t="str">
        <f>HYPERLINK("https://edmondsonsupply.com/collections/electricians-tools/products/diablo-tools-dmamxcc5030-3-1-4-in-x-7-in-sds-max-carbide-tipped-core-bit", "https://edmondsonsupply.com/collections/electricians-tools/products/diablo-tools-dmamxcc5030-3-1-4-in-x-7-in-sds-max-carbide-tipped-core-bit")</f>
        <v>https://edmondsonsupply.com/collections/electricians-tools/products/diablo-tools-dmamxcc5030-3-1-4-in-x-7-in-sds-max-carbide-tipped-core-bit</v>
      </c>
      <c r="B6477" s="3" t="str">
        <f>HYPERLINK("https://edmondsonsupply.com/products/diablo-tools-dmamxcc5030-3-1-4-in-x-7-in-sds-max-carbide-tipped-core-bit", "https://edmondsonsupply.com/products/diablo-tools-dmamxcc5030-3-1-4-in-x-7-in-sds-max-carbide-tipped-core-bit")</f>
        <v>https://edmondsonsupply.com/products/diablo-tools-dmamxcc5030-3-1-4-in-x-7-in-sds-max-carbide-tipped-core-bit</v>
      </c>
      <c r="C6477" t="s">
        <v>5880</v>
      </c>
      <c r="D6477" t="s">
        <v>5900</v>
      </c>
      <c r="E6477" s="3" t="str">
        <f>HYPERLINK("https://www.amazon.com/Diablo-DMAMXCC5030-SDS-Max-Carbide-Tipped/dp/B089M8K3HG/ref=sr_1_1?keywords=Diablo+Tools+DMAMXCC5030+3-1%2F4+in.+x+7+in.+SDS-Max+Carbide+Tipped+Core+Bit&amp;qid=1695174010&amp;sr=8-1", "https://www.amazon.com/Diablo-DMAMXCC5030-SDS-Max-Carbide-Tipped/dp/B089M8K3HG/ref=sr_1_1?keywords=Diablo+Tools+DMAMXCC5030+3-1%2F4+in.+x+7+in.+SDS-Max+Carbide+Tipped+Core+Bit&amp;qid=1695174010&amp;sr=8-1")</f>
        <v>https://www.amazon.com/Diablo-DMAMXCC5030-SDS-Max-Carbide-Tipped/dp/B089M8K3HG/ref=sr_1_1?keywords=Diablo+Tools+DMAMXCC5030+3-1%2F4+in.+x+7+in.+SDS-Max+Carbide+Tipped+Core+Bit&amp;qid=1695174010&amp;sr=8-1</v>
      </c>
      <c r="F6477" t="s">
        <v>5901</v>
      </c>
      <c r="G6477" t="e">
        <f ca="1">_xludf.IMAGE("https://edmondsonsupply.com/cdn/shop/files/gtygiwnduxetozty2qne.webp?v=1686585332")</f>
        <v>#NAME?</v>
      </c>
      <c r="H6477" t="e">
        <f ca="1">_xludf.IMAGE("https://m.media-amazon.com/images/I/71U1Um--OXL._AC_UL320_.jpg")</f>
        <v>#NAME?</v>
      </c>
      <c r="I6477" t="s">
        <v>5883</v>
      </c>
      <c r="J6477">
        <v>110</v>
      </c>
      <c r="K6477" s="4">
        <v>-0.12690000000000001</v>
      </c>
      <c r="L6477">
        <v>5</v>
      </c>
      <c r="M6477">
        <v>3</v>
      </c>
      <c r="O6477" t="s">
        <v>25</v>
      </c>
      <c r="P6477" t="s">
        <v>5884</v>
      </c>
      <c r="Q6477" t="s">
        <v>5885</v>
      </c>
    </row>
    <row r="6478" spans="1:17" ht="15.5" x14ac:dyDescent="0.35">
      <c r="A6478"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6478"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6478" t="s">
        <v>7824</v>
      </c>
      <c r="D6478" t="s">
        <v>5101</v>
      </c>
      <c r="E6478" s="3" t="str">
        <f>HYPERLINK("https://www.amazon.com/Diagonal-Cutting-Klein-Tools-D248-8-GLW/dp/B00LMM39TY/ref=sr_1_10?keywords=Klein+Tools+D2000-49+Diagonal+Cutting+Pliers%2C+Angled+Head%2C+9-Inch&amp;qid=1695174302&amp;sr=8-10", "https://www.amazon.com/Diagonal-Cutting-Klein-Tools-D248-8-GLW/dp/B00LMM39TY/ref=sr_1_10?keywords=Klein+Tools+D2000-49+Diagonal+Cutting+Pliers%2C+Angled+Head%2C+9-Inch&amp;qid=1695174302&amp;sr=8-10")</f>
        <v>https://www.amazon.com/Diagonal-Cutting-Klein-Tools-D248-8-GLW/dp/B00LMM39TY/ref=sr_1_10?keywords=Klein+Tools+D2000-49+Diagonal+Cutting+Pliers%2C+Angled+Head%2C+9-Inch&amp;qid=1695174302&amp;sr=8-10</v>
      </c>
      <c r="F6478" t="s">
        <v>5102</v>
      </c>
      <c r="G6478" t="e">
        <f ca="1">_xludf.IMAGE("https://edmondsonsupply.com/cdn/shop/products/d2000-49.jpg?v=1633030811")</f>
        <v>#NAME?</v>
      </c>
      <c r="H6478" t="e">
        <f ca="1">_xludf.IMAGE("https://m.media-amazon.com/images/I/41HSLnsbFiL._AC_UL320_.jpg")</f>
        <v>#NAME?</v>
      </c>
      <c r="I6478" t="s">
        <v>3930</v>
      </c>
      <c r="J6478">
        <v>33.99</v>
      </c>
      <c r="K6478" s="4">
        <v>-0.12820000000000001</v>
      </c>
      <c r="L6478">
        <v>4.9000000000000004</v>
      </c>
      <c r="M6478">
        <v>634</v>
      </c>
      <c r="O6478" t="s">
        <v>25</v>
      </c>
      <c r="P6478" t="s">
        <v>7825</v>
      </c>
      <c r="Q6478" t="s">
        <v>7826</v>
      </c>
    </row>
    <row r="6479" spans="1:17" ht="15.5" x14ac:dyDescent="0.35">
      <c r="A6479"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6479" s="3" t="str">
        <f>HYPERLINK("https://edmondsonsupply.com/products/fluke-st120-gfci-socket-tester", "https://edmondsonsupply.com/products/fluke-st120-gfci-socket-tester")</f>
        <v>https://edmondsonsupply.com/products/fluke-st120-gfci-socket-tester</v>
      </c>
      <c r="C6479" t="s">
        <v>8351</v>
      </c>
      <c r="D6479" t="s">
        <v>8612</v>
      </c>
      <c r="E6479" s="3" t="str">
        <f>HYPERLINK("https://www.amazon.com/Aenllosi-Carrying-Replacement-Socket-Tester/dp/B0BD7JLMCB/ref=sr_1_3?keywords=Fluke+ST120+Socket+Tester+with+GFCI&amp;qid=1695174173&amp;sr=8-3", "https://www.amazon.com/Aenllosi-Carrying-Replacement-Socket-Tester/dp/B0BD7JLMCB/ref=sr_1_3?keywords=Fluke+ST120+Socket+Tester+with+GFCI&amp;qid=1695174173&amp;sr=8-3")</f>
        <v>https://www.amazon.com/Aenllosi-Carrying-Replacement-Socket-Tester/dp/B0BD7JLMCB/ref=sr_1_3?keywords=Fluke+ST120+Socket+Tester+with+GFCI&amp;qid=1695174173&amp;sr=8-3</v>
      </c>
      <c r="F6479" t="s">
        <v>8613</v>
      </c>
      <c r="G6479" t="e">
        <f ca="1">_xludf.IMAGE("https://edmondsonsupply.com/cdn/shop/products/F-st120_01a_w.webp?v=1662582102")</f>
        <v>#NAME?</v>
      </c>
      <c r="H6479" t="e">
        <f ca="1">_xludf.IMAGE("https://m.media-amazon.com/images/I/81I3g-w5eLL._AC_UL320_.jpg")</f>
        <v>#NAME?</v>
      </c>
      <c r="I6479" t="s">
        <v>4229</v>
      </c>
      <c r="J6479">
        <v>13.49</v>
      </c>
      <c r="K6479" s="4">
        <v>-0.12909999999999999</v>
      </c>
      <c r="L6479">
        <v>4.8</v>
      </c>
      <c r="M6479">
        <v>62</v>
      </c>
      <c r="O6479" t="s">
        <v>25</v>
      </c>
      <c r="P6479" t="s">
        <v>866</v>
      </c>
      <c r="Q6479" t="s">
        <v>8354</v>
      </c>
    </row>
    <row r="6480" spans="1:17" ht="15.5" x14ac:dyDescent="0.35">
      <c r="A6480" s="3" t="str">
        <f>HYPERLINK("https://edmondsonsupply.com/collections/electricians-tools/products/sensible-products-hrf-2-high-beam-rechargeable-flashlight-2-black", "https://edmondsonsupply.com/collections/electricians-tools/products/sensible-products-hrf-2-high-beam-rechargeable-flashlight-2-black")</f>
        <v>https://edmondsonsupply.com/collections/electricians-tools/products/sensible-products-hrf-2-high-beam-rechargeable-flashlight-2-black</v>
      </c>
      <c r="B6480" s="3" t="str">
        <f>HYPERLINK("https://edmondsonsupply.com/products/sensible-products-hrf-2-high-beam-rechargeable-flashlight-2-black", "https://edmondsonsupply.com/products/sensible-products-hrf-2-high-beam-rechargeable-flashlight-2-black")</f>
        <v>https://edmondsonsupply.com/products/sensible-products-hrf-2-high-beam-rechargeable-flashlight-2-black</v>
      </c>
      <c r="C6480" t="s">
        <v>4050</v>
      </c>
      <c r="D6480" t="s">
        <v>4152</v>
      </c>
      <c r="E6480" s="3" t="str">
        <f>HYPERLINK("https://www.amazon.com/Sold-Each-High-Beam-Rechargeable-Flashlight/dp/B07QV3HVKP/ref=sr_1_2?keywords=Sensible+Products+HRF-2+High-Beam+Rechargeable+Flashlight-2%2C+Black&amp;qid=1695173897&amp;sr=8-2", "https://www.amazon.com/Sold-Each-High-Beam-Rechargeable-Flashlight/dp/B07QV3HVKP/ref=sr_1_2?keywords=Sensible+Products+HRF-2+High-Beam+Rechargeable+Flashlight-2%2C+Black&amp;qid=1695173897&amp;sr=8-2")</f>
        <v>https://www.amazon.com/Sold-Each-High-Beam-Rechargeable-Flashlight/dp/B07QV3HVKP/ref=sr_1_2?keywords=Sensible+Products+HRF-2+High-Beam+Rechargeable+Flashlight-2%2C+Black&amp;qid=1695173897&amp;sr=8-2</v>
      </c>
      <c r="F6480" t="s">
        <v>4153</v>
      </c>
      <c r="G6480" t="e">
        <f ca="1">_xludf.IMAGE("https://edmondsonsupply.com/cdn/shop/files/hrf2.jpg?v=1693231375")</f>
        <v>#NAME?</v>
      </c>
      <c r="H6480" t="e">
        <f ca="1">_xludf.IMAGE("https://m.media-amazon.com/images/I/31tIPF-TUsL._AC_UL320_.jpg")</f>
        <v>#NAME?</v>
      </c>
      <c r="I6480" t="s">
        <v>1297</v>
      </c>
      <c r="J6480">
        <v>29.99</v>
      </c>
      <c r="K6480" s="4">
        <v>-0.1305</v>
      </c>
      <c r="L6480">
        <v>4</v>
      </c>
      <c r="M6480">
        <v>14</v>
      </c>
      <c r="O6480" t="s">
        <v>25</v>
      </c>
      <c r="P6480" t="s">
        <v>138</v>
      </c>
      <c r="Q6480" t="s">
        <v>4051</v>
      </c>
    </row>
    <row r="6481" spans="1:17" ht="15.5" x14ac:dyDescent="0.35">
      <c r="A6481" s="3" t="str">
        <f>HYPERLINK("https://edmondsonsupply.com/collections/electricians-tools/products/klein-tools-jth6t25-t25-torx%C2%AE-hex-key-with-journeyman-t-handle-6-inch", "https://edmondsonsupply.com/collections/electricians-tools/products/klein-tools-jth6t25-t25-torx%C2%AE-hex-key-with-journeyman-t-handle-6-inch")</f>
        <v>https://edmondsonsupply.com/collections/electricians-tools/products/klein-tools-jth6t25-t25-torx%C2%AE-hex-key-with-journeyman-t-handle-6-inch</v>
      </c>
      <c r="B6481" s="3" t="str">
        <f>HYPERLINK("https://edmondsonsupply.com/products/klein-tools-jth6t25-t25-torx%c2%ae-hex-key-with-journeyman-t-handle-6-inch", "https://edmondsonsupply.com/products/klein-tools-jth6t25-t25-torx%c2%ae-hex-key-with-journeyman-t-handle-6-inch")</f>
        <v>https://edmondsonsupply.com/products/klein-tools-jth6t25-t25-torx%c2%ae-hex-key-with-journeyman-t-handle-6-inch</v>
      </c>
      <c r="C6481" t="s">
        <v>3078</v>
      </c>
      <c r="D6481" t="s">
        <v>2386</v>
      </c>
      <c r="E6481" s="3" t="str">
        <f>HYPERLINK("https://www.amazon.com/Journeyman-T-Handle-Klein-Tools-JTH6E13BE/dp/B004QW52YW/ref=sr_1_4?keywords=Klein+Tools+JTH6T25+T25+Torx%C2%AE+Hex+Key+with+Journeyman+T-Handle%2C+6-Inch&amp;qid=1695173879&amp;sr=8-4", "https://www.amazon.com/Journeyman-T-Handle-Klein-Tools-JTH6E13BE/dp/B004QW52YW/ref=sr_1_4?keywords=Klein+Tools+JTH6T25+T25+Torx%C2%AE+Hex+Key+with+Journeyman+T-Handle%2C+6-Inch&amp;qid=1695173879&amp;sr=8-4")</f>
        <v>https://www.amazon.com/Journeyman-T-Handle-Klein-Tools-JTH6E13BE/dp/B004QW52YW/ref=sr_1_4?keywords=Klein+Tools+JTH6T25+T25+Torx%C2%AE+Hex+Key+with+Journeyman+T-Handle%2C+6-Inch&amp;qid=1695173879&amp;sr=8-4</v>
      </c>
      <c r="F6481" t="s">
        <v>2387</v>
      </c>
      <c r="G6481" t="e">
        <f ca="1">_xludf.IMAGE("https://edmondsonsupply.com/cdn/shop/products/jth6t40_f27d4256-4343-44f4-afb3-5989c8c8fc7b.jpg?v=1613168190")</f>
        <v>#NAME?</v>
      </c>
      <c r="H6481" t="e">
        <f ca="1">_xludf.IMAGE("https://m.media-amazon.com/images/I/51f9vBFVXgL._AC_UL320_.jpg")</f>
        <v>#NAME?</v>
      </c>
      <c r="I6481" t="s">
        <v>3081</v>
      </c>
      <c r="J6481">
        <v>10.55</v>
      </c>
      <c r="K6481" s="4">
        <v>-0.13100000000000001</v>
      </c>
      <c r="L6481">
        <v>4.7</v>
      </c>
      <c r="M6481">
        <v>32</v>
      </c>
      <c r="O6481" t="s">
        <v>25</v>
      </c>
      <c r="P6481" t="s">
        <v>138</v>
      </c>
      <c r="Q6481" t="s">
        <v>3082</v>
      </c>
    </row>
    <row r="6482" spans="1:17" ht="15.5" x14ac:dyDescent="0.35">
      <c r="A6482" s="3" t="str">
        <f>HYPERLINK("https://edmondsonsupply.com/collections/electricians-tools/products/klein-tools-63215-high-leverage-compact-cable-cutter", "https://edmondsonsupply.com/collections/electricians-tools/products/klein-tools-63215-high-leverage-compact-cable-cutter")</f>
        <v>https://edmondsonsupply.com/collections/electricians-tools/products/klein-tools-63215-high-leverage-compact-cable-cutter</v>
      </c>
      <c r="B6482" s="3" t="str">
        <f>HYPERLINK("https://edmondsonsupply.com/products/klein-tools-63215-high-leverage-compact-cable-cutter", "https://edmondsonsupply.com/products/klein-tools-63215-high-leverage-compact-cable-cutter")</f>
        <v>https://edmondsonsupply.com/products/klein-tools-63215-high-leverage-compact-cable-cutter</v>
      </c>
      <c r="C6482" t="s">
        <v>8614</v>
      </c>
      <c r="D6482" t="s">
        <v>8615</v>
      </c>
      <c r="E6482" s="3" t="str">
        <f>HYPERLINK("https://www.amazon.com/Klein-Tools-63215-High-Leverage-Aluminum/dp/B088NR2Q2Y/ref=sr_1_1?keywords=Klein+Tools+63215+High-Leverage+Compact+Cable+Cutter&amp;qid=1695174305&amp;sr=8-1", "https://www.amazon.com/Klein-Tools-63215-High-Leverage-Aluminum/dp/B088NR2Q2Y/ref=sr_1_1?keywords=Klein+Tools+63215+High-Leverage+Compact+Cable+Cutter&amp;qid=1695174305&amp;sr=8-1")</f>
        <v>https://www.amazon.com/Klein-Tools-63215-High-Leverage-Aluminum/dp/B088NR2Q2Y/ref=sr_1_1?keywords=Klein+Tools+63215+High-Leverage+Compact+Cable+Cutter&amp;qid=1695174305&amp;sr=8-1</v>
      </c>
      <c r="F6482" t="s">
        <v>8616</v>
      </c>
      <c r="G6482" t="e">
        <f ca="1">_xludf.IMAGE("https://edmondsonsupply.com/cdn/shop/products/63215.jpg?v=1633030808")</f>
        <v>#NAME?</v>
      </c>
      <c r="H6482" t="e">
        <f ca="1">_xludf.IMAGE("https://m.media-amazon.com/images/I/61NOJnun2xL._AC_UL320_.jpg")</f>
        <v>#NAME?</v>
      </c>
      <c r="I6482" t="s">
        <v>1589</v>
      </c>
      <c r="J6482">
        <v>19.97</v>
      </c>
      <c r="K6482" s="4">
        <v>-0.13139999999999999</v>
      </c>
      <c r="L6482">
        <v>4.7</v>
      </c>
      <c r="M6482">
        <v>428</v>
      </c>
      <c r="O6482" t="s">
        <v>25</v>
      </c>
      <c r="P6482" t="s">
        <v>8617</v>
      </c>
      <c r="Q6482" t="s">
        <v>8618</v>
      </c>
    </row>
    <row r="6483" spans="1:17" ht="15.5" x14ac:dyDescent="0.35">
      <c r="A6483" s="3" t="str">
        <f>HYPERLINK("https://edmondsonsupply.com/collections/electricians-tools/products/klein-tools-44138-coping-replacement-blades-for-44218-3-pack", "https://edmondsonsupply.com/collections/electricians-tools/products/klein-tools-44138-coping-replacement-blades-for-44218-3-pack")</f>
        <v>https://edmondsonsupply.com/collections/electricians-tools/products/klein-tools-44138-coping-replacement-blades-for-44218-3-pack</v>
      </c>
      <c r="B6483" s="3" t="str">
        <f>HYPERLINK("https://edmondsonsupply.com/products/klein-tools-44138-coping-replacement-blades-for-44218-3-pack", "https://edmondsonsupply.com/products/klein-tools-44138-coping-replacement-blades-for-44218-3-pack")</f>
        <v>https://edmondsonsupply.com/products/klein-tools-44138-coping-replacement-blades-for-44218-3-pack</v>
      </c>
      <c r="C6483" t="s">
        <v>8619</v>
      </c>
      <c r="D6483" t="s">
        <v>8620</v>
      </c>
      <c r="E6483" s="3" t="str">
        <f>HYPERLINK("https://www.amazon.com/Replacement-Klein-Tools-Folding-44138/dp/B07D7RTNZH/ref=sr_1_1?keywords=Klein+Tools+44138+Coping+Replacement+Blades+for+44218+3-Pack&amp;qid=1695174237&amp;sr=8-1", "https://www.amazon.com/Replacement-Klein-Tools-Folding-44138/dp/B07D7RTNZH/ref=sr_1_1?keywords=Klein+Tools+44138+Coping+Replacement+Blades+for+44218+3-Pack&amp;qid=1695174237&amp;sr=8-1")</f>
        <v>https://www.amazon.com/Replacement-Klein-Tools-Folding-44138/dp/B07D7RTNZH/ref=sr_1_1?keywords=Klein+Tools+44138+Coping+Replacement+Blades+for+44218+3-Pack&amp;qid=1695174237&amp;sr=8-1</v>
      </c>
      <c r="F6483" t="s">
        <v>8621</v>
      </c>
      <c r="G6483" t="e">
        <f ca="1">_xludf.IMAGE("https://edmondsonsupply.com/cdn/shop/products/44138.jpg?v=1635633218")</f>
        <v>#NAME?</v>
      </c>
      <c r="H6483" t="e">
        <f ca="1">_xludf.IMAGE("https://m.media-amazon.com/images/I/510kReenLDL._AC_UL320_.jpg")</f>
        <v>#NAME?</v>
      </c>
      <c r="I6483" t="s">
        <v>834</v>
      </c>
      <c r="J6483">
        <v>11.27</v>
      </c>
      <c r="K6483" s="4">
        <v>-0.13239999999999999</v>
      </c>
      <c r="L6483">
        <v>4.8</v>
      </c>
      <c r="M6483">
        <v>3348</v>
      </c>
      <c r="O6483" t="s">
        <v>25</v>
      </c>
      <c r="P6483" t="s">
        <v>1212</v>
      </c>
      <c r="Q6483" t="s">
        <v>8622</v>
      </c>
    </row>
    <row r="6484" spans="1:17" ht="15.5" x14ac:dyDescent="0.35">
      <c r="A6484"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6484" s="3" t="str">
        <f>HYPERLINK("https://edmondsonsupply.com/products/klein-tools-12098-eins-combination-pliers-insulated", "https://edmondsonsupply.com/products/klein-tools-12098-eins-combination-pliers-insulated")</f>
        <v>https://edmondsonsupply.com/products/klein-tools-12098-eins-combination-pliers-insulated</v>
      </c>
      <c r="C6484" t="s">
        <v>8623</v>
      </c>
      <c r="D6484" t="s">
        <v>2612</v>
      </c>
      <c r="E6484" s="3" t="str">
        <f>HYPERLINK("https://www.amazon.com/Insulated-Combination-Klein-Tools-12098-INS/dp/B0002RI4V8/ref=sr_1_1?keywords=Klein+Tools+12098-EINS+Combination+Pliers%2C+Insulated&amp;qid=1695174273&amp;sr=8-1", "https://www.amazon.com/Insulated-Combination-Klein-Tools-12098-INS/dp/B0002RI4V8/ref=sr_1_1?keywords=Klein+Tools+12098-EINS+Combination+Pliers%2C+Insulated&amp;qid=1695174273&amp;sr=8-1")</f>
        <v>https://www.amazon.com/Insulated-Combination-Klein-Tools-12098-INS/dp/B0002RI4V8/ref=sr_1_1?keywords=Klein+Tools+12098-EINS+Combination+Pliers%2C+Insulated&amp;qid=1695174273&amp;sr=8-1</v>
      </c>
      <c r="F6484" t="s">
        <v>2613</v>
      </c>
      <c r="G6484" t="e">
        <f ca="1">_xludf.IMAGE("https://edmondsonsupply.com/cdn/shop/products/12098eins.jpg?v=1633031039")</f>
        <v>#NAME?</v>
      </c>
      <c r="H6484" t="e">
        <f ca="1">_xludf.IMAGE("https://m.media-amazon.com/images/I/51I3JjFrgcL._AC_UL320_.jpg")</f>
        <v>#NAME?</v>
      </c>
      <c r="I6484" t="s">
        <v>320</v>
      </c>
      <c r="J6484">
        <v>64.989999999999995</v>
      </c>
      <c r="K6484" s="4">
        <v>-0.13339999999999999</v>
      </c>
      <c r="L6484">
        <v>5</v>
      </c>
      <c r="M6484">
        <v>10</v>
      </c>
      <c r="O6484" t="s">
        <v>25</v>
      </c>
      <c r="P6484" t="s">
        <v>8624</v>
      </c>
      <c r="Q6484" t="s">
        <v>8625</v>
      </c>
    </row>
    <row r="6485" spans="1:17" ht="15.5" x14ac:dyDescent="0.35">
      <c r="A6485" s="3" t="str">
        <f>HYPERLINK("https://edmondsonsupply.com/collections/electricians-tools/products/crescent-wiss-ws46n-6-straight-handle-hand-seamer", "https://edmondsonsupply.com/collections/electricians-tools/products/crescent-wiss-ws46n-6-straight-handle-hand-seamer")</f>
        <v>https://edmondsonsupply.com/collections/electricians-tools/products/crescent-wiss-ws46n-6-straight-handle-hand-seamer</v>
      </c>
      <c r="B6485" s="3" t="str">
        <f>HYPERLINK("https://edmondsonsupply.com/products/crescent-wiss-ws46n-6-straight-handle-hand-seamer", "https://edmondsonsupply.com/products/crescent-wiss-ws46n-6-straight-handle-hand-seamer")</f>
        <v>https://edmondsonsupply.com/products/crescent-wiss-ws46n-6-straight-handle-hand-seamer</v>
      </c>
      <c r="C6485" t="s">
        <v>8626</v>
      </c>
      <c r="D6485" t="s">
        <v>8627</v>
      </c>
      <c r="E6485" s="3" t="str">
        <f>HYPERLINK("https://www.amazon.com/Wiss-WS6N-6-Straight-Handle/dp/B06XC1LGGL/ref=sr_1_1?keywords=Crescent+Wiss+WS6N+6%22+Straight+Handle+Hand+Seamer&amp;qid=1695174042&amp;sr=8-1", "https://www.amazon.com/Wiss-WS6N-6-Straight-Handle/dp/B06XC1LGGL/ref=sr_1_1?keywords=Crescent+Wiss+WS6N+6%22+Straight+Handle+Hand+Seamer&amp;qid=1695174042&amp;sr=8-1")</f>
        <v>https://www.amazon.com/Wiss-WS6N-6-Straight-Handle/dp/B06XC1LGGL/ref=sr_1_1?keywords=Crescent+Wiss+WS6N+6%22+Straight+Handle+Hand+Seamer&amp;qid=1695174042&amp;sr=8-1</v>
      </c>
      <c r="F6485" t="s">
        <v>8628</v>
      </c>
      <c r="G6485" t="e">
        <f ca="1">_xludf.IMAGE("https://edmondsonsupply.com/cdn/shop/products/WIS_WS3N_IMG-MAIN_1.jpg?v=1679679422")</f>
        <v>#NAME?</v>
      </c>
      <c r="H6485" t="e">
        <f ca="1">_xludf.IMAGE("https://m.media-amazon.com/images/I/51GLUjHEnvS._AC_UL320_.jpg")</f>
        <v>#NAME?</v>
      </c>
      <c r="I6485" t="s">
        <v>8629</v>
      </c>
      <c r="J6485">
        <v>53.99</v>
      </c>
      <c r="K6485" s="4">
        <v>-0.1348</v>
      </c>
      <c r="L6485">
        <v>4.4000000000000004</v>
      </c>
      <c r="M6485">
        <v>74</v>
      </c>
      <c r="O6485" t="s">
        <v>25</v>
      </c>
      <c r="P6485" t="s">
        <v>8630</v>
      </c>
      <c r="Q6485" t="s">
        <v>8631</v>
      </c>
    </row>
    <row r="6486" spans="1:17" ht="15.5" x14ac:dyDescent="0.35">
      <c r="A6486" s="3" t="str">
        <f>HYPERLINK("https://edmondsonsupply.com/collections/electricians-tools/products/klein-tools-50611ml-magnetic-wire-puller-replacement-leader", "https://edmondsonsupply.com/collections/electricians-tools/products/klein-tools-50611ml-magnetic-wire-puller-replacement-leader")</f>
        <v>https://edmondsonsupply.com/collections/electricians-tools/products/klein-tools-50611ml-magnetic-wire-puller-replacement-leader</v>
      </c>
      <c r="B6486" s="3" t="str">
        <f>HYPERLINK("https://edmondsonsupply.com/products/klein-tools-50611ml-magnetic-wire-puller-replacement-leader", "https://edmondsonsupply.com/products/klein-tools-50611ml-magnetic-wire-puller-replacement-leader")</f>
        <v>https://edmondsonsupply.com/products/klein-tools-50611ml-magnetic-wire-puller-replacement-leader</v>
      </c>
      <c r="C6486" t="s">
        <v>6397</v>
      </c>
      <c r="D6486" t="s">
        <v>8632</v>
      </c>
      <c r="E6486" s="3" t="str">
        <f>HYPERLINK("https://www.amazon.com/Klein-Tools-50611ML-Replacement-Stainless-Steel/dp/B09C6RH3Z9/ref=sr_1_1?keywords=Klein+Tools+50611ML+Magnetic+Wire+Puller+Replacement+Leader&amp;qid=1695174150&amp;sr=8-1", "https://www.amazon.com/Klein-Tools-50611ML-Replacement-Stainless-Steel/dp/B09C6RH3Z9/ref=sr_1_1?keywords=Klein+Tools+50611ML+Magnetic+Wire+Puller+Replacement+Leader&amp;qid=1695174150&amp;sr=8-1")</f>
        <v>https://www.amazon.com/Klein-Tools-50611ML-Replacement-Stainless-Steel/dp/B09C6RH3Z9/ref=sr_1_1?keywords=Klein+Tools+50611ML+Magnetic+Wire+Puller+Replacement+Leader&amp;qid=1695174150&amp;sr=8-1</v>
      </c>
      <c r="F6486" t="s">
        <v>8633</v>
      </c>
      <c r="G6486" t="e">
        <f ca="1">_xludf.IMAGE("https://edmondsonsupply.com/cdn/shop/products/50611ml.jpg?v=1664399271")</f>
        <v>#NAME?</v>
      </c>
      <c r="H6486" t="e">
        <f ca="1">_xludf.IMAGE("https://m.media-amazon.com/images/I/31ni9F4mVRL._AC_UL320_.jpg")</f>
        <v>#NAME?</v>
      </c>
      <c r="I6486" t="s">
        <v>471</v>
      </c>
      <c r="J6486">
        <v>21.61</v>
      </c>
      <c r="K6486" s="4">
        <v>-0.1353</v>
      </c>
      <c r="L6486">
        <v>4</v>
      </c>
      <c r="M6486">
        <v>8</v>
      </c>
      <c r="O6486" t="s">
        <v>25</v>
      </c>
      <c r="P6486" t="s">
        <v>6400</v>
      </c>
      <c r="Q6486" t="s">
        <v>6401</v>
      </c>
    </row>
    <row r="6487" spans="1:17" ht="15.5" x14ac:dyDescent="0.35">
      <c r="A6487" s="3" t="str">
        <f>HYPERLINK("https://edmondsonsupply.com/collections/electricians-tools/products/klein-tools-450-002-staples-5-16-inch-x-5-16-inch-insulated", "https://edmondsonsupply.com/collections/electricians-tools/products/klein-tools-450-002-staples-5-16-inch-x-5-16-inch-insulated")</f>
        <v>https://edmondsonsupply.com/collections/electricians-tools/products/klein-tools-450-002-staples-5-16-inch-x-5-16-inch-insulated</v>
      </c>
      <c r="B6487" s="3" t="str">
        <f>HYPERLINK("https://edmondsonsupply.com/products/klein-tools-450-002-staples-5-16-inch-x-5-16-inch-insulated", "https://edmondsonsupply.com/products/klein-tools-450-002-staples-5-16-inch-x-5-16-inch-insulated")</f>
        <v>https://edmondsonsupply.com/products/klein-tools-450-002-staples-5-16-inch-x-5-16-inch-insulated</v>
      </c>
      <c r="C6487" t="s">
        <v>6159</v>
      </c>
      <c r="D6487" t="s">
        <v>8634</v>
      </c>
      <c r="E6487" s="3" t="str">
        <f>HYPERLINK("https://www.amazon.com/Klein-Tools-450-002-Staples-Insulated/dp/B085TCGCK7/ref=sr_1_1?keywords=Klein+Tools+450-002+Staples%2C+5%2F16-Inch+x+5%2F16-Inch+Insulated&amp;qid=1695173921&amp;sr=8-1", "https://www.amazon.com/Klein-Tools-450-002-Staples-Insulated/dp/B085TCGCK7/ref=sr_1_1?keywords=Klein+Tools+450-002+Staples%2C+5%2F16-Inch+x+5%2F16-Inch+Insulated&amp;qid=1695173921&amp;sr=8-1")</f>
        <v>https://www.amazon.com/Klein-Tools-450-002-Staples-Insulated/dp/B085TCGCK7/ref=sr_1_1?keywords=Klein+Tools+450-002+Staples%2C+5%2F16-Inch+x+5%2F16-Inch+Insulated&amp;qid=1695173921&amp;sr=8-1</v>
      </c>
      <c r="F6487" t="s">
        <v>8635</v>
      </c>
      <c r="G6487" t="e">
        <f ca="1">_xludf.IMAGE("https://edmondsonsupply.com/cdn/shop/products/450002.jpg?v=1633030471")</f>
        <v>#NAME?</v>
      </c>
      <c r="H6487" t="e">
        <f ca="1">_xludf.IMAGE("https://m.media-amazon.com/images/I/613jG6JSbkL._AC_UL320_.jpg")</f>
        <v>#NAME?</v>
      </c>
      <c r="I6487" t="s">
        <v>2577</v>
      </c>
      <c r="J6487">
        <v>8.6300000000000008</v>
      </c>
      <c r="K6487" s="4">
        <v>-0.1361</v>
      </c>
      <c r="L6487">
        <v>4.0999999999999996</v>
      </c>
      <c r="M6487">
        <v>652</v>
      </c>
      <c r="O6487" t="s">
        <v>25</v>
      </c>
      <c r="P6487" t="s">
        <v>2434</v>
      </c>
      <c r="Q6487" t="s">
        <v>6160</v>
      </c>
    </row>
    <row r="6488" spans="1:17" ht="15.5" x14ac:dyDescent="0.35">
      <c r="A6488" s="3" t="str">
        <f>HYPERLINK("https://edmondsonsupply.com/collections/electricians-tools/products/klein-tools-50031-ratcheting-pvc-cutter", "https://edmondsonsupply.com/collections/electricians-tools/products/klein-tools-50031-ratcheting-pvc-cutter")</f>
        <v>https://edmondsonsupply.com/collections/electricians-tools/products/klein-tools-50031-ratcheting-pvc-cutter</v>
      </c>
      <c r="B6488" s="3" t="str">
        <f>HYPERLINK("https://edmondsonsupply.com/products/klein-tools-50031-ratcheting-pvc-cutter", "https://edmondsonsupply.com/products/klein-tools-50031-ratcheting-pvc-cutter")</f>
        <v>https://edmondsonsupply.com/products/klein-tools-50031-ratcheting-pvc-cutter</v>
      </c>
      <c r="C6488" t="s">
        <v>6649</v>
      </c>
      <c r="D6488" t="s">
        <v>6649</v>
      </c>
      <c r="E6488" s="3" t="str">
        <f>HYPERLINK("https://www.amazon.com/Ratcheting-Cutter-Klein-Tools-50031/dp/B00ITF4U0Y/ref=sr_1_1?keywords=Klein+Tools+50031+Ratcheting+PVC+Cutter&amp;qid=1695174227&amp;sr=8-1", "https://www.amazon.com/Ratcheting-Cutter-Klein-Tools-50031/dp/B00ITF4U0Y/ref=sr_1_1?keywords=Klein+Tools+50031+Ratcheting+PVC+Cutter&amp;qid=1695174227&amp;sr=8-1")</f>
        <v>https://www.amazon.com/Ratcheting-Cutter-Klein-Tools-50031/dp/B00ITF4U0Y/ref=sr_1_1?keywords=Klein+Tools+50031+Ratcheting+PVC+Cutter&amp;qid=1695174227&amp;sr=8-1</v>
      </c>
      <c r="F6488" t="s">
        <v>8636</v>
      </c>
      <c r="G6488" t="e">
        <f ca="1">_xludf.IMAGE("https://edmondsonsupply.com/cdn/shop/products/50031.jpg?v=1587145344")</f>
        <v>#NAME?</v>
      </c>
      <c r="H6488" t="e">
        <f ca="1">_xludf.IMAGE("https://m.media-amazon.com/images/I/51Ztl0mReHL._AC_UL320_.jpg")</f>
        <v>#NAME?</v>
      </c>
      <c r="I6488" t="s">
        <v>626</v>
      </c>
      <c r="J6488">
        <v>82.02</v>
      </c>
      <c r="K6488" s="4">
        <v>-0.13650000000000001</v>
      </c>
      <c r="L6488">
        <v>4.8</v>
      </c>
      <c r="M6488">
        <v>55</v>
      </c>
      <c r="O6488" t="s">
        <v>25</v>
      </c>
      <c r="P6488" t="s">
        <v>6652</v>
      </c>
      <c r="Q6488" t="s">
        <v>6653</v>
      </c>
    </row>
    <row r="6489" spans="1:17" ht="15.5" x14ac:dyDescent="0.35">
      <c r="A6489"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6489" s="3" t="str">
        <f>HYPERLINK("https://edmondsonsupply.com/products/klein-tools-31870-carbide-hole-cutter-2-1-2-inch", "https://edmondsonsupply.com/products/klein-tools-31870-carbide-hole-cutter-2-1-2-inch")</f>
        <v>https://edmondsonsupply.com/products/klein-tools-31870-carbide-hole-cutter-2-1-2-inch</v>
      </c>
      <c r="C6489" t="s">
        <v>6295</v>
      </c>
      <c r="D6489" t="s">
        <v>8637</v>
      </c>
      <c r="E6489" s="3" t="str">
        <f>HYPERLINK("https://www.amazon.com/Greenlee-625-2-1-Carbide-Tipped-Cutter-2-Inch/dp/B00204CCLO/ref=sr_1_10?keywords=Klein+Tools+31870+Carbide+Hole+Cutter%2C+2-1%2F2-Inch&amp;qid=1695174279&amp;sr=8-10", "https://www.amazon.com/Greenlee-625-2-1-Carbide-Tipped-Cutter-2-Inch/dp/B00204CCLO/ref=sr_1_10?keywords=Klein+Tools+31870+Carbide+Hole+Cutter%2C+2-1%2F2-Inch&amp;qid=1695174279&amp;sr=8-10")</f>
        <v>https://www.amazon.com/Greenlee-625-2-1-Carbide-Tipped-Cutter-2-Inch/dp/B00204CCLO/ref=sr_1_10?keywords=Klein+Tools+31870+Carbide+Hole+Cutter%2C+2-1%2F2-Inch&amp;qid=1695174279&amp;sr=8-10</v>
      </c>
      <c r="F6489" t="s">
        <v>8638</v>
      </c>
      <c r="G6489" t="e">
        <f ca="1">_xludf.IMAGE("https://edmondsonsupply.com/cdn/shop/products/31870_alt1.jpg?v=1633030999")</f>
        <v>#NAME?</v>
      </c>
      <c r="H6489" t="e">
        <f ca="1">_xludf.IMAGE("https://m.media-amazon.com/images/I/91Gh0g8+Y-L._AC_UL320_.jpg")</f>
        <v>#NAME?</v>
      </c>
      <c r="I6489" t="s">
        <v>300</v>
      </c>
      <c r="J6489">
        <v>69</v>
      </c>
      <c r="K6489" s="4">
        <v>-0.13739999999999999</v>
      </c>
      <c r="L6489">
        <v>4.5</v>
      </c>
      <c r="M6489">
        <v>122</v>
      </c>
      <c r="O6489" t="s">
        <v>25</v>
      </c>
      <c r="P6489" t="s">
        <v>6296</v>
      </c>
      <c r="Q6489" t="s">
        <v>6297</v>
      </c>
    </row>
    <row r="6490" spans="1:17" ht="15.5" x14ac:dyDescent="0.35">
      <c r="A6490"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6490" s="3" t="str">
        <f>HYPERLINK("https://edmondsonsupply.com/products/veto-pro-pac-tech-pac-backpack-tool-bag-1", "https://edmondsonsupply.com/products/veto-pro-pac-tech-pac-backpack-tool-bag-1")</f>
        <v>https://edmondsonsupply.com/products/veto-pro-pac-tech-pac-backpack-tool-bag-1</v>
      </c>
      <c r="C6490" t="s">
        <v>8235</v>
      </c>
      <c r="D6490" t="s">
        <v>684</v>
      </c>
      <c r="E6490" s="3" t="str">
        <f>HYPERLINK("https://www.amazon.com/Veto-Tech-XL-Tool-1-Pack/dp/B00DYRFEJI/ref=sr_1_4?keywords=Veto+Pro+Pac+TECH+PAC+LT+Laptop+Backpack+Tool+Bag&amp;qid=1695174263&amp;sr=8-4", "https://www.amazon.com/Veto-Tech-XL-Tool-1-Pack/dp/B00DYRFEJI/ref=sr_1_4?keywords=Veto+Pro+Pac+TECH+PAC+LT+Laptop+Backpack+Tool+Bag&amp;qid=1695174263&amp;sr=8-4")</f>
        <v>https://www.amazon.com/Veto-Tech-XL-Tool-1-Pack/dp/B00DYRFEJI/ref=sr_1_4?keywords=Veto+Pro+Pac+TECH+PAC+LT+Laptop+Backpack+Tool+Bag&amp;qid=1695174263&amp;sr=8-4</v>
      </c>
      <c r="F6490" t="s">
        <v>685</v>
      </c>
      <c r="G6490" t="e">
        <f ca="1">_xludf.IMAGE("https://edmondsonsupply.com/cdn/shop/products/LT_1.jpg?v=1587146035")</f>
        <v>#NAME?</v>
      </c>
      <c r="H6490" t="e">
        <f ca="1">_xludf.IMAGE("https://m.media-amazon.com/images/I/71suRnmtVZL._AC_UL320_.jpg")</f>
        <v>#NAME?</v>
      </c>
      <c r="I6490" t="s">
        <v>8236</v>
      </c>
      <c r="J6490">
        <v>249.95</v>
      </c>
      <c r="K6490" s="4">
        <v>-0.1381</v>
      </c>
      <c r="L6490">
        <v>4.8</v>
      </c>
      <c r="M6490">
        <v>763</v>
      </c>
      <c r="O6490" t="s">
        <v>25</v>
      </c>
      <c r="P6490" t="s">
        <v>138</v>
      </c>
      <c r="Q6490" t="s">
        <v>8237</v>
      </c>
    </row>
    <row r="6491" spans="1:17" ht="15.5" x14ac:dyDescent="0.35">
      <c r="A6491" s="3" t="str">
        <f>HYPERLINK("https://edmondsonsupply.com/collections/electricians-tools/products/reed-mfg-cw18-18-chrome-adjustable-wrench", "https://edmondsonsupply.com/collections/electricians-tools/products/reed-mfg-cw18-18-chrome-adjustable-wrench")</f>
        <v>https://edmondsonsupply.com/collections/electricians-tools/products/reed-mfg-cw18-18-chrome-adjustable-wrench</v>
      </c>
      <c r="B6491" s="3" t="str">
        <f>HYPERLINK("https://edmondsonsupply.com/products/reed-mfg-cw18-18-chrome-adjustable-wrench", "https://edmondsonsupply.com/products/reed-mfg-cw18-18-chrome-adjustable-wrench")</f>
        <v>https://edmondsonsupply.com/products/reed-mfg-cw18-18-chrome-adjustable-wrench</v>
      </c>
      <c r="C6491" t="s">
        <v>8639</v>
      </c>
      <c r="D6491" t="s">
        <v>8640</v>
      </c>
      <c r="E6491" s="3" t="str">
        <f>HYPERLINK("https://www.amazon.com/Reed-Tool-CW18-Adjustable-18-Inch/dp/B001H4K7BU/ref=sr_1_1?keywords=Reed+Mfg+CW18+18%22+Chrome+Adjustable+Wrench&amp;qid=1695174273&amp;sr=8-1", "https://www.amazon.com/Reed-Tool-CW18-Adjustable-18-Inch/dp/B001H4K7BU/ref=sr_1_1?keywords=Reed+Mfg+CW18+18%22+Chrome+Adjustable+Wrench&amp;qid=1695174273&amp;sr=8-1")</f>
        <v>https://www.amazon.com/Reed-Tool-CW18-Adjustable-18-Inch/dp/B001H4K7BU/ref=sr_1_1?keywords=Reed+Mfg+CW18+18%22+Chrome+Adjustable+Wrench&amp;qid=1695174273&amp;sr=8-1</v>
      </c>
      <c r="F6491" t="s">
        <v>8641</v>
      </c>
      <c r="G6491" t="e">
        <f ca="1">_xludf.IMAGE("https://edmondsonsupply.com/cdn/shop/products/02211-CW18-RGB.jpg?v=1633031009")</f>
        <v>#NAME?</v>
      </c>
      <c r="H6491" t="e">
        <f ca="1">_xludf.IMAGE("https://m.media-amazon.com/images/I/31QNPkG+h6L._AC_UL320_.jpg")</f>
        <v>#NAME?</v>
      </c>
      <c r="I6491" t="s">
        <v>8642</v>
      </c>
      <c r="J6491">
        <v>70.989999999999995</v>
      </c>
      <c r="K6491" s="4">
        <v>-0.14099999999999999</v>
      </c>
      <c r="L6491">
        <v>5</v>
      </c>
      <c r="M6491">
        <v>1</v>
      </c>
      <c r="O6491" t="s">
        <v>25</v>
      </c>
      <c r="P6491" t="s">
        <v>8643</v>
      </c>
      <c r="Q6491" t="s">
        <v>8644</v>
      </c>
    </row>
    <row r="6492" spans="1:17" ht="15.5" x14ac:dyDescent="0.35">
      <c r="A6492" s="3" t="str">
        <f>HYPERLINK("https://edmondsonsupply.com/collections/electricians-tools/products/crescent-wiss-wc5ln-10-5-blade-hand-crimper", "https://edmondsonsupply.com/collections/electricians-tools/products/crescent-wiss-wc5ln-10-5-blade-hand-crimper")</f>
        <v>https://edmondsonsupply.com/collections/electricians-tools/products/crescent-wiss-wc5ln-10-5-blade-hand-crimper</v>
      </c>
      <c r="B6492" s="3" t="str">
        <f>HYPERLINK("https://edmondsonsupply.com/products/crescent-wiss-wc5ln-10-5-blade-hand-crimper", "https://edmondsonsupply.com/products/crescent-wiss-wc5ln-10-5-blade-hand-crimper")</f>
        <v>https://edmondsonsupply.com/products/crescent-wiss-wc5ln-10-5-blade-hand-crimper</v>
      </c>
      <c r="C6492" t="s">
        <v>8645</v>
      </c>
      <c r="D6492" t="s">
        <v>8646</v>
      </c>
      <c r="E6492" s="3" t="str">
        <f>HYPERLINK("https://www.amazon.com/Wiss-WC5LN-5-Blade-1-5-Depth/dp/B06XCF2KP7/ref=sr_1_1?keywords=Crescent+Wiss+WC5LN+10%22+5-Blade+Hand+Crimper&amp;qid=1695174039&amp;sr=8-1", "https://www.amazon.com/Wiss-WC5LN-5-Blade-1-5-Depth/dp/B06XCF2KP7/ref=sr_1_1?keywords=Crescent+Wiss+WC5LN+10%22+5-Blade+Hand+Crimper&amp;qid=1695174039&amp;sr=8-1")</f>
        <v>https://www.amazon.com/Wiss-WC5LN-5-Blade-1-5-Depth/dp/B06XCF2KP7/ref=sr_1_1?keywords=Crescent+Wiss+WC5LN+10%22+5-Blade+Hand+Crimper&amp;qid=1695174039&amp;sr=8-1</v>
      </c>
      <c r="F6492" t="s">
        <v>8647</v>
      </c>
      <c r="G6492" t="e">
        <f ca="1">_xludf.IMAGE("https://edmondsonsupply.com/cdn/shop/products/WIS_WC5SN_IMG-MAIN.jpg?v=1679676845")</f>
        <v>#NAME?</v>
      </c>
      <c r="H6492" t="e">
        <f ca="1">_xludf.IMAGE("https://m.media-amazon.com/images/I/51yE81qV1rS._AC_UL320_.jpg")</f>
        <v>#NAME?</v>
      </c>
      <c r="I6492" t="s">
        <v>5940</v>
      </c>
      <c r="J6492">
        <v>26.89</v>
      </c>
      <c r="K6492" s="4">
        <v>-0.1414</v>
      </c>
      <c r="L6492">
        <v>4.5</v>
      </c>
      <c r="M6492">
        <v>246</v>
      </c>
      <c r="O6492" t="s">
        <v>25</v>
      </c>
      <c r="P6492" t="s">
        <v>8648</v>
      </c>
      <c r="Q6492" t="s">
        <v>8649</v>
      </c>
    </row>
    <row r="6493" spans="1:17" ht="15.5" x14ac:dyDescent="0.35">
      <c r="A6493" s="3" t="str">
        <f>HYPERLINK("https://edmondsonsupply.com/collections/electricians-tools/products/klein-tools-vdv427-104-dura-blade%E2%84%A2-66-110-cut-punchdown-blade", "https://edmondsonsupply.com/collections/electricians-tools/products/klein-tools-vdv427-104-dura-blade%E2%84%A2-66-110-cut-punchdown-blade")</f>
        <v>https://edmondsonsupply.com/collections/electricians-tools/products/klein-tools-vdv427-104-dura-blade%E2%84%A2-66-110-cut-punchdown-blade</v>
      </c>
      <c r="B6493" s="3" t="str">
        <f>HYPERLINK("https://edmondsonsupply.com/products/klein-tools-vdv427-104-dura-blade%e2%84%a2-66-110-cut-punchdown-blade", "https://edmondsonsupply.com/products/klein-tools-vdv427-104-dura-blade%e2%84%a2-66-110-cut-punchdown-blade")</f>
        <v>https://edmondsonsupply.com/products/klein-tools-vdv427-104-dura-blade%e2%84%a2-66-110-cut-punchdown-blade</v>
      </c>
      <c r="C6493" t="s">
        <v>8650</v>
      </c>
      <c r="D6493" t="s">
        <v>8651</v>
      </c>
      <c r="E6493" s="3" t="str">
        <f>HYPERLINK("https://www.amazon.com/Dura-Blade-Punchdown-Klein-Tools-VDV427-104/dp/B00J496ACU/ref=sr_1_1?keywords=Klein+Tools+VDV427-104+Dura-Blade%E2%84%A2+66%2F110+Cut+Punchdown+Blade&amp;qid=1695173923&amp;sr=8-1", "https://www.amazon.com/Dura-Blade-Punchdown-Klein-Tools-VDV427-104/dp/B00J496ACU/ref=sr_1_1?keywords=Klein+Tools+VDV427-104+Dura-Blade%E2%84%A2+66%2F110+Cut+Punchdown+Blade&amp;qid=1695173923&amp;sr=8-1")</f>
        <v>https://www.amazon.com/Dura-Blade-Punchdown-Klein-Tools-VDV427-104/dp/B00J496ACU/ref=sr_1_1?keywords=Klein+Tools+VDV427-104+Dura-Blade%E2%84%A2+66%2F110+Cut+Punchdown+Blade&amp;qid=1695173923&amp;sr=8-1</v>
      </c>
      <c r="F6493" t="s">
        <v>8652</v>
      </c>
      <c r="G6493" t="e">
        <f ca="1">_xludf.IMAGE("https://edmondsonsupply.com/cdn/shop/products/vdv427-104.jpg?v=1633030778")</f>
        <v>#NAME?</v>
      </c>
      <c r="H6493" t="e">
        <f ca="1">_xludf.IMAGE("https://m.media-amazon.com/images/I/41Gkt8P38gS._AC_UL320_.jpg")</f>
        <v>#NAME?</v>
      </c>
      <c r="I6493" t="s">
        <v>288</v>
      </c>
      <c r="J6493">
        <v>12.01</v>
      </c>
      <c r="K6493" s="4">
        <v>-0.14149999999999999</v>
      </c>
      <c r="L6493">
        <v>4.5999999999999996</v>
      </c>
      <c r="M6493">
        <v>329</v>
      </c>
      <c r="O6493" t="s">
        <v>25</v>
      </c>
      <c r="P6493" t="s">
        <v>8653</v>
      </c>
      <c r="Q6493" t="s">
        <v>8654</v>
      </c>
    </row>
    <row r="6494" spans="1:17" ht="15.5" x14ac:dyDescent="0.35">
      <c r="A6494" s="3" t="str">
        <f>HYPERLINK("https://edmondsonsupply.com/collections/electricians-tools/products/fluke-117-electricians-multimeter-with-non-contact-voltage", "https://edmondsonsupply.com/collections/electricians-tools/products/fluke-117-electricians-multimeter-with-non-contact-voltage")</f>
        <v>https://edmondsonsupply.com/collections/electricians-tools/products/fluke-117-electricians-multimeter-with-non-contact-voltage</v>
      </c>
      <c r="B6494" s="3" t="str">
        <f>HYPERLINK("https://edmondsonsupply.com/products/fluke-117-electricians-multimeter-with-non-contact-voltage", "https://edmondsonsupply.com/products/fluke-117-electricians-multimeter-with-non-contact-voltage")</f>
        <v>https://edmondsonsupply.com/products/fluke-117-electricians-multimeter-with-non-contact-voltage</v>
      </c>
      <c r="C6494" t="s">
        <v>5166</v>
      </c>
      <c r="D6494" t="s">
        <v>5167</v>
      </c>
      <c r="E6494" s="3" t="str">
        <f>HYPERLINK("https://www.amazon.com/Fluke-117-Electricians-True-Multimeter/dp/B000O3LUEI/ref=sr_1_1?keywords=Fluke+117+Electrician%27s+Multimeter+with+Non-Contact+Voltage&amp;qid=1695173868&amp;sr=8-1", "https://www.amazon.com/Fluke-117-Electricians-True-Multimeter/dp/B000O3LUEI/ref=sr_1_1?keywords=Fluke+117+Electrician%27s+Multimeter+with+Non-Contact+Voltage&amp;qid=1695173868&amp;sr=8-1")</f>
        <v>https://www.amazon.com/Fluke-117-Electricians-True-Multimeter/dp/B000O3LUEI/ref=sr_1_1?keywords=Fluke+117+Electrician%27s+Multimeter+with+Non-Contact+Voltage&amp;qid=1695173868&amp;sr=8-1</v>
      </c>
      <c r="F6494" t="s">
        <v>5168</v>
      </c>
      <c r="G6494" t="e">
        <f ca="1">_xludf.IMAGE("https://edmondsonsupply.com/cdn/shop/products/117_72dpi_731x1024px_E_NR-6399.jpg?v=1633030929")</f>
        <v>#NAME?</v>
      </c>
      <c r="H6494" t="e">
        <f ca="1">_xludf.IMAGE("https://m.media-amazon.com/images/I/5113LeQ45iL._AC_UL320_.jpg")</f>
        <v>#NAME?</v>
      </c>
      <c r="I6494" t="s">
        <v>5169</v>
      </c>
      <c r="J6494">
        <v>217.8</v>
      </c>
      <c r="K6494" s="4">
        <v>-0.14180000000000001</v>
      </c>
      <c r="L6494">
        <v>4.8</v>
      </c>
      <c r="M6494">
        <v>4416</v>
      </c>
      <c r="O6494" t="s">
        <v>25</v>
      </c>
      <c r="P6494" t="s">
        <v>5170</v>
      </c>
      <c r="Q6494" t="s">
        <v>5171</v>
      </c>
    </row>
    <row r="6495" spans="1:17" ht="15.5" x14ac:dyDescent="0.35">
      <c r="A6495"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6495" s="3" t="str">
        <f>HYPERLINK("https://edmondsonsupply.com/products/klein-tools-5165-10-pocket-tool-pouch-knife-snap", "https://edmondsonsupply.com/products/klein-tools-5165-10-pocket-tool-pouch-knife-snap")</f>
        <v>https://edmondsonsupply.com/products/klein-tools-5165-10-pocket-tool-pouch-knife-snap</v>
      </c>
      <c r="C6495" t="s">
        <v>700</v>
      </c>
      <c r="D6495" t="s">
        <v>717</v>
      </c>
      <c r="E6495" s="3" t="str">
        <f>HYPERLINK("https://www.amazon.com/Lineman-5-Pocket-Klein-Tools-5118P5/dp/B004M2RE06/ref=sr_1_2?keywords=Klein+Tools+5165+10+Pocket+Leather+Tool+Pouch+with+Knife+Snap&amp;qid=1695173934&amp;sr=8-2", "https://www.amazon.com/Lineman-5-Pocket-Klein-Tools-5118P5/dp/B004M2RE06/ref=sr_1_2?keywords=Klein+Tools+5165+10+Pocket+Leather+Tool+Pouch+with+Knife+Snap&amp;qid=1695173934&amp;sr=8-2")</f>
        <v>https://www.amazon.com/Lineman-5-Pocket-Klein-Tools-5118P5/dp/B004M2RE06/ref=sr_1_2?keywords=Klein+Tools+5165+10+Pocket+Leather+Tool+Pouch+with+Knife+Snap&amp;qid=1695173934&amp;sr=8-2</v>
      </c>
      <c r="F6495" t="s">
        <v>718</v>
      </c>
      <c r="G6495" t="e">
        <f ca="1">_xludf.IMAGE("https://edmondsonsupply.com/cdn/shop/products/5165.jpg?v=1587145507")</f>
        <v>#NAME?</v>
      </c>
      <c r="H6495" t="e">
        <f ca="1">_xludf.IMAGE("https://m.media-amazon.com/images/I/71ayOfz4qBL._AC_UL320_.jpg")</f>
        <v>#NAME?</v>
      </c>
      <c r="I6495" t="s">
        <v>703</v>
      </c>
      <c r="J6495">
        <v>54</v>
      </c>
      <c r="K6495" s="4">
        <v>-0.14269999999999999</v>
      </c>
      <c r="L6495">
        <v>4.4000000000000004</v>
      </c>
      <c r="M6495">
        <v>374</v>
      </c>
      <c r="O6495" t="s">
        <v>25</v>
      </c>
      <c r="P6495" t="s">
        <v>704</v>
      </c>
      <c r="Q6495" t="s">
        <v>705</v>
      </c>
    </row>
    <row r="6496" spans="1:17" ht="15.5" x14ac:dyDescent="0.35">
      <c r="A6496"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6496" s="3" t="str">
        <f>HYPERLINK("https://edmondsonsupply.com/products/fluke-325-true-rms-clamp-meter", "https://edmondsonsupply.com/products/fluke-325-true-rms-clamp-meter")</f>
        <v>https://edmondsonsupply.com/products/fluke-325-true-rms-clamp-meter</v>
      </c>
      <c r="C6496" t="s">
        <v>7585</v>
      </c>
      <c r="D6496" t="s">
        <v>8655</v>
      </c>
      <c r="E6496" s="3" t="str">
        <f>HYPERLINK("https://www.amazon.com/Fluke-FC-True-RMS-Clamp-Meter/dp/B01BENTS7M/ref=sr_1_9?keywords=Fluke+325+True+RMS+Clamp+Meter&amp;qid=1695174241&amp;sr=8-9", "https://www.amazon.com/Fluke-FC-True-RMS-Clamp-Meter/dp/B01BENTS7M/ref=sr_1_9?keywords=Fluke+325+True+RMS+Clamp+Meter&amp;qid=1695174241&amp;sr=8-9")</f>
        <v>https://www.amazon.com/Fluke-FC-True-RMS-Clamp-Meter/dp/B01BENTS7M/ref=sr_1_9?keywords=Fluke+325+True+RMS+Clamp+Meter&amp;qid=1695174241&amp;sr=8-9</v>
      </c>
      <c r="F6496" t="s">
        <v>8656</v>
      </c>
      <c r="G6496" t="e">
        <f ca="1">_xludf.IMAGE("https://edmondsonsupply.com/cdn/shop/products/Fluke_325_clamp_meter_1280x873px_E_NR-14655.jpg?v=1688679209")</f>
        <v>#NAME?</v>
      </c>
      <c r="H6496" t="e">
        <f ca="1">_xludf.IMAGE("https://m.media-amazon.com/images/I/71uOt4rDo0L._AC_UY218_.jpg")</f>
        <v>#NAME?</v>
      </c>
      <c r="I6496" t="s">
        <v>7586</v>
      </c>
      <c r="J6496">
        <v>320.14999999999998</v>
      </c>
      <c r="K6496" s="4">
        <v>-0.14280000000000001</v>
      </c>
      <c r="L6496">
        <v>4.7</v>
      </c>
      <c r="M6496">
        <v>370</v>
      </c>
      <c r="O6496" t="s">
        <v>25</v>
      </c>
      <c r="P6496" t="s">
        <v>4069</v>
      </c>
      <c r="Q6496" t="s">
        <v>7587</v>
      </c>
    </row>
    <row r="6497" spans="1:17" ht="15.5" x14ac:dyDescent="0.35">
      <c r="A6497" s="3" t="str">
        <f>HYPERLINK("https://edmondsonsupply.com/collections/electricians-tools/products/klein-tools-60407rl-hard-hat-vented-full-brim-with-rechargeable-headlamp-white", "https://edmondsonsupply.com/collections/electricians-tools/products/klein-tools-60407rl-hard-hat-vented-full-brim-with-rechargeable-headlamp-white")</f>
        <v>https://edmondsonsupply.com/collections/electricians-tools/products/klein-tools-60407rl-hard-hat-vented-full-brim-with-rechargeable-headlamp-white</v>
      </c>
      <c r="B6497" s="3" t="str">
        <f>HYPERLINK("https://edmondsonsupply.com/products/klein-tools-60407rl-hard-hat-vented-full-brim-with-rechargeable-headlamp-white", "https://edmondsonsupply.com/products/klein-tools-60407rl-hard-hat-vented-full-brim-with-rechargeable-headlamp-white")</f>
        <v>https://edmondsonsupply.com/products/klein-tools-60407rl-hard-hat-vented-full-brim-with-rechargeable-headlamp-white</v>
      </c>
      <c r="C6497" t="s">
        <v>8220</v>
      </c>
      <c r="D6497" t="s">
        <v>900</v>
      </c>
      <c r="E6497" s="3" t="str">
        <f>HYPERLINK("https://www.amazon.com/Klein-Tools-60407RL-Rechargeable-Odor-Resistant/dp/B08DDTV9M3/ref=sr_1_1?keywords=Klein+Tools+60407RL+Hard+Hat%2C+Vented%2C+Full+Brim+with+Rechargeable+Headlamp%2C+White&amp;qid=1695174144&amp;sr=8-1", "https://www.amazon.com/Klein-Tools-60407RL-Rechargeable-Odor-Resistant/dp/B08DDTV9M3/ref=sr_1_1?keywords=Klein+Tools+60407RL+Hard+Hat%2C+Vented%2C+Full+Brim+with+Rechargeable+Headlamp%2C+White&amp;qid=1695174144&amp;sr=8-1")</f>
        <v>https://www.amazon.com/Klein-Tools-60407RL-Rechargeable-Odor-Resistant/dp/B08DDTV9M3/ref=sr_1_1?keywords=Klein+Tools+60407RL+Hard+Hat%2C+Vented%2C+Full+Brim+with+Rechargeable+Headlamp%2C+White&amp;qid=1695174144&amp;sr=8-1</v>
      </c>
      <c r="F6497" t="s">
        <v>901</v>
      </c>
      <c r="G6497" t="e">
        <f ca="1">_xludf.IMAGE("https://edmondsonsupply.com/cdn/shop/products/60407rl_d.jpg?v=1665589857")</f>
        <v>#NAME?</v>
      </c>
      <c r="H6497" t="e">
        <f ca="1">_xludf.IMAGE("https://m.media-amazon.com/images/I/61w2MM+yDgL._AC_UL320_.jpg")</f>
        <v>#NAME?</v>
      </c>
      <c r="I6497" t="s">
        <v>588</v>
      </c>
      <c r="J6497">
        <v>59.99</v>
      </c>
      <c r="K6497" s="4">
        <v>-0.1429</v>
      </c>
      <c r="L6497">
        <v>4.7</v>
      </c>
      <c r="M6497">
        <v>1577</v>
      </c>
      <c r="O6497" t="s">
        <v>25</v>
      </c>
      <c r="P6497" t="s">
        <v>1135</v>
      </c>
      <c r="Q6497" t="s">
        <v>8221</v>
      </c>
    </row>
    <row r="6498" spans="1:17" ht="15.5" x14ac:dyDescent="0.35">
      <c r="A6498" s="3" t="str">
        <f>HYPERLINK("https://edmondsonsupply.com/collections/electricians-tools/products/klein-tools-60406rl-hard-hat-non-vented-full-brim-with-rechargeable-headlamp-white", "https://edmondsonsupply.com/collections/electricians-tools/products/klein-tools-60406rl-hard-hat-non-vented-full-brim-with-rechargeable-headlamp-white")</f>
        <v>https://edmondsonsupply.com/collections/electricians-tools/products/klein-tools-60406rl-hard-hat-non-vented-full-brim-with-rechargeable-headlamp-white</v>
      </c>
      <c r="B6498" s="3" t="str">
        <f>HYPERLINK("https://edmondsonsupply.com/products/klein-tools-60406rl-hard-hat-non-vented-full-brim-with-rechargeable-headlamp-white", "https://edmondsonsupply.com/products/klein-tools-60406rl-hard-hat-non-vented-full-brim-with-rechargeable-headlamp-white")</f>
        <v>https://edmondsonsupply.com/products/klein-tools-60406rl-hard-hat-non-vented-full-brim-with-rechargeable-headlamp-white</v>
      </c>
      <c r="C6498" t="s">
        <v>1134</v>
      </c>
      <c r="D6498" t="s">
        <v>900</v>
      </c>
      <c r="E6498" s="3" t="str">
        <f>HYPERLINK("https://www.amazon.com/Klein-Tools-60407RL-Rechargeable-Odor-Resistant/dp/B08DDTV9M3/ref=sr_1_2?keywords=Klein+Tools+60406RL+Hard+Hat%2C+Non-Vented%2C+Full+Brim+with+Rechargeable+Headlamp%2C+White&amp;qid=1695174144&amp;sr=8-2", "https://www.amazon.com/Klein-Tools-60407RL-Rechargeable-Odor-Resistant/dp/B08DDTV9M3/ref=sr_1_2?keywords=Klein+Tools+60406RL+Hard+Hat%2C+Non-Vented%2C+Full+Brim+with+Rechargeable+Headlamp%2C+White&amp;qid=1695174144&amp;sr=8-2")</f>
        <v>https://www.amazon.com/Klein-Tools-60407RL-Rechargeable-Odor-Resistant/dp/B08DDTV9M3/ref=sr_1_2?keywords=Klein+Tools+60406RL+Hard+Hat%2C+Non-Vented%2C+Full+Brim+with+Rechargeable+Headlamp%2C+White&amp;qid=1695174144&amp;sr=8-2</v>
      </c>
      <c r="F6498" t="s">
        <v>901</v>
      </c>
      <c r="G6498" t="e">
        <f ca="1">_xludf.IMAGE("https://edmondsonsupply.com/cdn/shop/products/60406rl_c.jpg?v=1665606616")</f>
        <v>#NAME?</v>
      </c>
      <c r="H6498" t="e">
        <f ca="1">_xludf.IMAGE("https://m.media-amazon.com/images/I/61w2MM+yDgL._AC_UL320_.jpg")</f>
        <v>#NAME?</v>
      </c>
      <c r="I6498" t="s">
        <v>588</v>
      </c>
      <c r="J6498">
        <v>59.99</v>
      </c>
      <c r="K6498" s="4">
        <v>-0.1429</v>
      </c>
      <c r="L6498">
        <v>4.7</v>
      </c>
      <c r="M6498">
        <v>1577</v>
      </c>
      <c r="O6498" t="s">
        <v>25</v>
      </c>
      <c r="P6498" t="s">
        <v>1135</v>
      </c>
      <c r="Q6498" t="s">
        <v>1136</v>
      </c>
    </row>
    <row r="6499" spans="1:17" ht="15.5" x14ac:dyDescent="0.35">
      <c r="A6499" s="3" t="str">
        <f>HYPERLINK("https://edmondsonsupply.com/collections/electricians-tools/products/klein-tools-j12098-8-journeyman-high-leverage-universal-combination-pliers", "https://edmondsonsupply.com/collections/electricians-tools/products/klein-tools-j12098-8-journeyman-high-leverage-universal-combination-pliers")</f>
        <v>https://edmondsonsupply.com/collections/electricians-tools/products/klein-tools-j12098-8-journeyman-high-leverage-universal-combination-pliers</v>
      </c>
      <c r="B6499" s="3" t="str">
        <f>HYPERLINK("https://edmondsonsupply.com/products/klein-tools-j12098-8-journeyman-high-leverage-universal-combination-pliers", "https://edmondsonsupply.com/products/klein-tools-j12098-8-journeyman-high-leverage-universal-combination-pliers")</f>
        <v>https://edmondsonsupply.com/products/klein-tools-j12098-8-journeyman-high-leverage-universal-combination-pliers</v>
      </c>
      <c r="C6499" t="s">
        <v>2611</v>
      </c>
      <c r="D6499" t="s">
        <v>5172</v>
      </c>
      <c r="E6499" s="3" t="str">
        <f>HYPERLINK("https://www.amazon.com/Universal-Combination-Pliers-Klein-Tools/dp/B0002RI4UY/ref=sr_1_1?keywords=Klein+Tools+J12098+Journeyman+Universal+Combination+Pliers&amp;qid=1695173909&amp;sr=8-1", "https://www.amazon.com/Universal-Combination-Pliers-Klein-Tools/dp/B0002RI4UY/ref=sr_1_1?keywords=Klein+Tools+J12098+Journeyman+Universal+Combination+Pliers&amp;qid=1695173909&amp;sr=8-1")</f>
        <v>https://www.amazon.com/Universal-Combination-Pliers-Klein-Tools/dp/B0002RI4UY/ref=sr_1_1?keywords=Klein+Tools+J12098+Journeyman+Universal+Combination+Pliers&amp;qid=1695173909&amp;sr=8-1</v>
      </c>
      <c r="F6499" t="s">
        <v>5173</v>
      </c>
      <c r="G6499" t="e">
        <f ca="1">_xludf.IMAGE("https://edmondsonsupply.com/cdn/shop/products/j12098.jpg?v=1587142847")</f>
        <v>#NAME?</v>
      </c>
      <c r="H6499" t="e">
        <f ca="1">_xludf.IMAGE("https://m.media-amazon.com/images/I/51OlZryAiaL._AC_UL320_.jpg")</f>
        <v>#NAME?</v>
      </c>
      <c r="I6499" t="s">
        <v>571</v>
      </c>
      <c r="J6499">
        <v>29.99</v>
      </c>
      <c r="K6499" s="4">
        <v>-0.1429</v>
      </c>
      <c r="L6499">
        <v>4.5999999999999996</v>
      </c>
      <c r="M6499">
        <v>162</v>
      </c>
      <c r="O6499" t="s">
        <v>25</v>
      </c>
      <c r="P6499" t="s">
        <v>2614</v>
      </c>
      <c r="Q6499" t="s">
        <v>2615</v>
      </c>
    </row>
    <row r="6500" spans="1:17" ht="15.5" x14ac:dyDescent="0.35">
      <c r="A6500"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6500"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6500" t="s">
        <v>6797</v>
      </c>
      <c r="D6500" t="s">
        <v>5457</v>
      </c>
      <c r="E6500" s="3" t="str">
        <f>HYPERLINK("https://www.amazon.com/Diagonal-Ironworker-Klein-Tools-D248-9ST/dp/B0009ZAT1G/ref=sr_1_8?keywords=Klein+Tools+D2000-48+Diagonal+Cutting+Pliers%2C+Angled+Head%2C+8-Inch&amp;qid=1695174171&amp;sr=8-8", "https://www.amazon.com/Diagonal-Ironworker-Klein-Tools-D248-9ST/dp/B0009ZAT1G/ref=sr_1_8?keywords=Klein+Tools+D2000-48+Diagonal+Cutting+Pliers%2C+Angled+Head%2C+8-Inch&amp;qid=1695174171&amp;sr=8-8")</f>
        <v>https://www.amazon.com/Diagonal-Ironworker-Klein-Tools-D248-9ST/dp/B0009ZAT1G/ref=sr_1_8?keywords=Klein+Tools+D2000-48+Diagonal+Cutting+Pliers%2C+Angled+Head%2C+8-Inch&amp;qid=1695174171&amp;sr=8-8</v>
      </c>
      <c r="F6500" t="s">
        <v>5458</v>
      </c>
      <c r="G6500" t="e">
        <f ca="1">_xludf.IMAGE("https://edmondsonsupply.com/cdn/shop/products/d200048.jpg?v=1660920588")</f>
        <v>#NAME?</v>
      </c>
      <c r="H6500" t="e">
        <f ca="1">_xludf.IMAGE("https://m.media-amazon.com/images/I/41QcUzpmIlL._AC_UL320_.jpg")</f>
        <v>#NAME?</v>
      </c>
      <c r="I6500" t="s">
        <v>340</v>
      </c>
      <c r="J6500">
        <v>29.97</v>
      </c>
      <c r="K6500" s="4">
        <v>-0.14299999999999999</v>
      </c>
      <c r="L6500">
        <v>4.8</v>
      </c>
      <c r="M6500">
        <v>5530</v>
      </c>
      <c r="O6500" t="s">
        <v>25</v>
      </c>
      <c r="P6500" t="s">
        <v>6800</v>
      </c>
      <c r="Q6500" t="s">
        <v>6801</v>
      </c>
    </row>
    <row r="6501" spans="1:17" ht="15.5" x14ac:dyDescent="0.35">
      <c r="A6501" s="3" t="str">
        <f>HYPERLINK("https://edmondsonsupply.com/collections/electricians-tools/products/klein-tools-k12035-klein-kurve%C2%AE-heavy-duty-wire-stripper-8-20-awg", "https://edmondsonsupply.com/collections/electricians-tools/products/klein-tools-k12035-klein-kurve%C2%AE-heavy-duty-wire-stripper-8-20-awg")</f>
        <v>https://edmondsonsupply.com/collections/electricians-tools/products/klein-tools-k12035-klein-kurve%C2%AE-heavy-duty-wire-stripper-8-20-awg</v>
      </c>
      <c r="B6501" s="3" t="str">
        <f>HYPERLINK("https://edmondsonsupply.com/products/klein-tools-k12035-klein-kurve%c2%ae-heavy-duty-wire-stripper-8-20-awg", "https://edmondsonsupply.com/products/klein-tools-k12035-klein-kurve%c2%ae-heavy-duty-wire-stripper-8-20-awg")</f>
        <v>https://edmondsonsupply.com/products/klein-tools-k12035-klein-kurve%c2%ae-heavy-duty-wire-stripper-8-20-awg</v>
      </c>
      <c r="C6501" t="s">
        <v>3632</v>
      </c>
      <c r="D6501" t="s">
        <v>5178</v>
      </c>
      <c r="E6501" s="3" t="str">
        <f>HYPERLINK("https://www.amazon.com/Stripper-Electrical-Klein-Tools-11063W/dp/B00BC39YFQ/ref=sr_1_8?keywords=Klein+Tools+K12035+Klein-Kurve%C2%AE+Heavy-Duty+Wire+Stripper+8-20+AWG&amp;qid=1695173967&amp;sr=8-8", "https://www.amazon.com/Stripper-Electrical-Klein-Tools-11063W/dp/B00BC39YFQ/ref=sr_1_8?keywords=Klein+Tools+K12035+Klein-Kurve%C2%AE+Heavy-Duty+Wire+Stripper+8-20+AWG&amp;qid=1695173967&amp;sr=8-8")</f>
        <v>https://www.amazon.com/Stripper-Electrical-Klein-Tools-11063W/dp/B00BC39YFQ/ref=sr_1_8?keywords=Klein+Tools+K12035+Klein-Kurve%C2%AE+Heavy-Duty+Wire+Stripper+8-20+AWG&amp;qid=1695173967&amp;sr=8-8</v>
      </c>
      <c r="F6501" t="s">
        <v>5179</v>
      </c>
      <c r="G6501" t="e">
        <f ca="1">_xludf.IMAGE("https://edmondsonsupply.com/cdn/shop/products/k12035_c.jpg?v=1678970768")</f>
        <v>#NAME?</v>
      </c>
      <c r="H6501" t="e">
        <f ca="1">_xludf.IMAGE("https://m.media-amazon.com/images/I/51cWJR-r31L._AC_UL320_.jpg")</f>
        <v>#NAME?</v>
      </c>
      <c r="I6501" t="s">
        <v>340</v>
      </c>
      <c r="J6501">
        <v>29.97</v>
      </c>
      <c r="K6501" s="4">
        <v>-0.14299999999999999</v>
      </c>
      <c r="L6501">
        <v>4.8</v>
      </c>
      <c r="M6501">
        <v>9121</v>
      </c>
      <c r="O6501" t="s">
        <v>25</v>
      </c>
      <c r="P6501" t="s">
        <v>3635</v>
      </c>
      <c r="Q6501" t="s">
        <v>3636</v>
      </c>
    </row>
    <row r="6502" spans="1:17" ht="15.5" x14ac:dyDescent="0.35">
      <c r="A6502"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6502"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6502" t="s">
        <v>6797</v>
      </c>
      <c r="D6502" t="s">
        <v>5314</v>
      </c>
      <c r="E6502" s="3" t="str">
        <f>HYPERLINK("https://www.amazon.com/Klein-Tools-D248-8-Leverage-Diagonal/dp/B0000302W8/ref=sr_1_5?keywords=Klein+Tools+D2000-48+Diagonal+Cutting+Pliers%2C+Angled+Head%2C+8-Inch&amp;qid=1695174171&amp;sr=8-5", "https://www.amazon.com/Klein-Tools-D248-8-Leverage-Diagonal/dp/B0000302W8/ref=sr_1_5?keywords=Klein+Tools+D2000-48+Diagonal+Cutting+Pliers%2C+Angled+Head%2C+8-Inch&amp;qid=1695174171&amp;sr=8-5")</f>
        <v>https://www.amazon.com/Klein-Tools-D248-8-Leverage-Diagonal/dp/B0000302W8/ref=sr_1_5?keywords=Klein+Tools+D2000-48+Diagonal+Cutting+Pliers%2C+Angled+Head%2C+8-Inch&amp;qid=1695174171&amp;sr=8-5</v>
      </c>
      <c r="F6502" t="s">
        <v>5315</v>
      </c>
      <c r="G6502" t="e">
        <f ca="1">_xludf.IMAGE("https://edmondsonsupply.com/cdn/shop/products/d200048.jpg?v=1660920588")</f>
        <v>#NAME?</v>
      </c>
      <c r="H6502" t="e">
        <f ca="1">_xludf.IMAGE("https://m.media-amazon.com/images/I/41KAmcIzVBL._AC_UL320_.jpg")</f>
        <v>#NAME?</v>
      </c>
      <c r="I6502" t="s">
        <v>340</v>
      </c>
      <c r="J6502">
        <v>29.96</v>
      </c>
      <c r="K6502" s="4">
        <v>-0.14330000000000001</v>
      </c>
      <c r="L6502">
        <v>4.8</v>
      </c>
      <c r="M6502">
        <v>2417</v>
      </c>
      <c r="O6502" t="s">
        <v>25</v>
      </c>
      <c r="P6502" t="s">
        <v>6800</v>
      </c>
      <c r="Q6502" t="s">
        <v>6801</v>
      </c>
    </row>
    <row r="6503" spans="1:17" ht="15.5" x14ac:dyDescent="0.35">
      <c r="A6503"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6503" s="3" t="str">
        <f>HYPERLINK("https://edmondsonsupply.com/products/klein-tools-31940-bi-metal-hole-saw-2-1-2-inch", "https://edmondsonsupply.com/products/klein-tools-31940-bi-metal-hole-saw-2-1-2-inch")</f>
        <v>https://edmondsonsupply.com/products/klein-tools-31940-bi-metal-hole-saw-2-1-2-inch</v>
      </c>
      <c r="C6503" t="s">
        <v>6842</v>
      </c>
      <c r="D6503" t="s">
        <v>8657</v>
      </c>
      <c r="E6503" s="3" t="str">
        <f>HYPERLINK("https://www.amazon.com/Bi-Metal-2-Inch-Klein-Tools-31940/dp/B0171X0J7W/ref=sr_1_1?keywords=Klein+Tools+31940+Bi-Metal+Hole+Saw%2C+2-1%2F2-Inch&amp;qid=1695174215&amp;sr=8-1", "https://www.amazon.com/Bi-Metal-2-Inch-Klein-Tools-31940/dp/B0171X0J7W/ref=sr_1_1?keywords=Klein+Tools+31940+Bi-Metal+Hole+Saw%2C+2-1%2F2-Inch&amp;qid=1695174215&amp;sr=8-1")</f>
        <v>https://www.amazon.com/Bi-Metal-2-Inch-Klein-Tools-31940/dp/B0171X0J7W/ref=sr_1_1?keywords=Klein+Tools+31940+Bi-Metal+Hole+Saw%2C+2-1%2F2-Inch&amp;qid=1695174215&amp;sr=8-1</v>
      </c>
      <c r="F6503" t="s">
        <v>8658</v>
      </c>
      <c r="G6503" t="e">
        <f ca="1">_xludf.IMAGE("https://edmondsonsupply.com/cdn/shop/products/31940.jpg?v=1649380086")</f>
        <v>#NAME?</v>
      </c>
      <c r="H6503" t="e">
        <f ca="1">_xludf.IMAGE("https://m.media-amazon.com/images/I/41Jwj0FSz4L._AC_UL320_.jpg")</f>
        <v>#NAME?</v>
      </c>
      <c r="I6503" t="s">
        <v>288</v>
      </c>
      <c r="J6503">
        <v>11.98</v>
      </c>
      <c r="K6503" s="4">
        <v>-0.14369999999999999</v>
      </c>
      <c r="L6503">
        <v>4.5999999999999996</v>
      </c>
      <c r="M6503">
        <v>406</v>
      </c>
      <c r="O6503" t="s">
        <v>25</v>
      </c>
      <c r="P6503" t="s">
        <v>6845</v>
      </c>
      <c r="Q6503" t="s">
        <v>6846</v>
      </c>
    </row>
    <row r="6504" spans="1:17" ht="15.5" x14ac:dyDescent="0.35">
      <c r="A6504"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6504"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6504" t="s">
        <v>6355</v>
      </c>
      <c r="D6504" t="s">
        <v>7734</v>
      </c>
      <c r="E6504" s="3" t="str">
        <f>HYPERLINK("https://www.amazon.com/Journeyman-T-Handle-Klein-Tools-JTH9E06/dp/B004QV4A50/ref=sr_1_5?keywords=Klein+Tools+JTH6E06BE+3%2F32-Inch+Ball+End+Hex+Key+with+T-Handle%2C+6-Inch&amp;qid=1695174255&amp;sr=8-5", "https://www.amazon.com/Journeyman-T-Handle-Klein-Tools-JTH9E06/dp/B004QV4A50/ref=sr_1_5?keywords=Klein+Tools+JTH6E06BE+3%2F32-Inch+Ball+End+Hex+Key+with+T-Handle%2C+6-Inch&amp;qid=1695174255&amp;sr=8-5")</f>
        <v>https://www.amazon.com/Journeyman-T-Handle-Klein-Tools-JTH9E06/dp/B004QV4A50/ref=sr_1_5?keywords=Klein+Tools+JTH6E06BE+3%2F32-Inch+Ball+End+Hex+Key+with+T-Handle%2C+6-Inch&amp;qid=1695174255&amp;sr=8-5</v>
      </c>
      <c r="F6504" t="s">
        <v>7735</v>
      </c>
      <c r="G6504" t="e">
        <f ca="1">_xludf.IMAGE("https://edmondsonsupply.com/cdn/shop/products/jth6e13be_f61308c8-99eb-44df-aac2-25c9159d6b6d.jpg?v=1633031148")</f>
        <v>#NAME?</v>
      </c>
      <c r="H6504" t="e">
        <f ca="1">_xludf.IMAGE("https://m.media-amazon.com/images/I/51Yb8h41vLL._AC_UL320_.jpg")</f>
        <v>#NAME?</v>
      </c>
      <c r="I6504" t="s">
        <v>2388</v>
      </c>
      <c r="J6504">
        <v>4.2699999999999996</v>
      </c>
      <c r="K6504" s="4">
        <v>-0.14430000000000001</v>
      </c>
      <c r="L6504">
        <v>4.5999999999999996</v>
      </c>
      <c r="M6504">
        <v>393</v>
      </c>
      <c r="O6504" t="s">
        <v>25</v>
      </c>
      <c r="P6504" t="s">
        <v>6356</v>
      </c>
      <c r="Q6504" t="s">
        <v>6357</v>
      </c>
    </row>
    <row r="6505" spans="1:17" ht="15.5" x14ac:dyDescent="0.35">
      <c r="A6505" s="3" t="str">
        <f>HYPERLINK("https://edmondsonsupply.com/collections/electricians-tools/products/milwaukee-2730-20-m18-fuel%E2%84%A2-6-1-2-circular-saw-tool-only", "https://edmondsonsupply.com/collections/electricians-tools/products/milwaukee-2730-20-m18-fuel%E2%84%A2-6-1-2-circular-saw-tool-only")</f>
        <v>https://edmondsonsupply.com/collections/electricians-tools/products/milwaukee-2730-20-m18-fuel%E2%84%A2-6-1-2-circular-saw-tool-only</v>
      </c>
      <c r="B6505" s="3" t="str">
        <f>HYPERLINK("https://edmondsonsupply.com/products/milwaukee-2730-20-m18-fuel%e2%84%a2-6-1-2-circular-saw-tool-only", "https://edmondsonsupply.com/products/milwaukee-2730-20-m18-fuel%e2%84%a2-6-1-2-circular-saw-tool-only")</f>
        <v>https://edmondsonsupply.com/products/milwaukee-2730-20-m18-fuel%e2%84%a2-6-1-2-circular-saw-tool-only</v>
      </c>
      <c r="C6505" t="s">
        <v>8659</v>
      </c>
      <c r="D6505" t="s">
        <v>8660</v>
      </c>
      <c r="E6505" s="3" t="str">
        <f>HYPERLINK("https://www.amazon.com/Milwaukee-2730-20-Fuel-Circular-Brushless/dp/B00G0GLZF2/ref=sr_1_1?keywords=Milwaukee+2730-20+M18+FUEL%E2%84%A2+6-1%2F2%22+Circular+Saw+%28Tool+Only%29&amp;qid=1695174120&amp;sr=8-1", "https://www.amazon.com/Milwaukee-2730-20-Fuel-Circular-Brushless/dp/B00G0GLZF2/ref=sr_1_1?keywords=Milwaukee+2730-20+M18+FUEL%E2%84%A2+6-1%2F2%22+Circular+Saw+%28Tool+Only%29&amp;qid=1695174120&amp;sr=8-1")</f>
        <v>https://www.amazon.com/Milwaukee-2730-20-Fuel-Circular-Brushless/dp/B00G0GLZF2/ref=sr_1_1?keywords=Milwaukee+2730-20+M18+FUEL%E2%84%A2+6-1%2F2%22+Circular+Saw+%28Tool+Only%29&amp;qid=1695174120&amp;sr=8-1</v>
      </c>
      <c r="F6505" t="s">
        <v>8661</v>
      </c>
      <c r="G6505" t="e">
        <f ca="1">_xludf.IMAGE("https://edmondsonsupply.com/cdn/shop/products/2730-20A.webp?v=1668015043")</f>
        <v>#NAME?</v>
      </c>
      <c r="H6505" t="e">
        <f ca="1">_xludf.IMAGE("https://m.media-amazon.com/images/I/81w3cRan7-L._AC_UL320_.jpg")</f>
        <v>#NAME?</v>
      </c>
      <c r="I6505" t="s">
        <v>710</v>
      </c>
      <c r="J6505">
        <v>186.9</v>
      </c>
      <c r="K6505" s="4">
        <v>-0.14660000000000001</v>
      </c>
      <c r="L6505">
        <v>4.5999999999999996</v>
      </c>
      <c r="M6505">
        <v>922</v>
      </c>
      <c r="O6505" t="s">
        <v>25</v>
      </c>
      <c r="P6505" t="s">
        <v>8662</v>
      </c>
      <c r="Q6505" t="s">
        <v>8663</v>
      </c>
    </row>
    <row r="6506" spans="1:17" ht="15.5" x14ac:dyDescent="0.35">
      <c r="A6506"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6506" s="3" t="str">
        <f>HYPERLINK("https://edmondsonsupply.com/products/diablo-tools-d0660x-6-1-2-in-x-60-tooth-ultra-finish-saw-blade", "https://edmondsonsupply.com/products/diablo-tools-d0660x-6-1-2-in-x-60-tooth-ultra-finish-saw-blade")</f>
        <v>https://edmondsonsupply.com/products/diablo-tools-d0660x-6-1-2-in-x-60-tooth-ultra-finish-saw-blade</v>
      </c>
      <c r="C6506" t="s">
        <v>6681</v>
      </c>
      <c r="D6506" t="s">
        <v>7339</v>
      </c>
      <c r="E6506" s="3" t="str">
        <f>HYPERLINK("https://www.amazon.com/Diablo-Ultra-Finish-Circular-Blade/dp/B071X5DBWR/ref=sr_1_8?keywords=Diablo+Tools+D0660X+6-1%2F2+in.+x+60+Tooth+Ultra+Finish+Saw+Blade&amp;qid=1695174055&amp;sr=8-8", "https://www.amazon.com/Diablo-Ultra-Finish-Circular-Blade/dp/B071X5DBWR/ref=sr_1_8?keywords=Diablo+Tools+D0660X+6-1%2F2+in.+x+60+Tooth+Ultra+Finish+Saw+Blade&amp;qid=1695174055&amp;sr=8-8")</f>
        <v>https://www.amazon.com/Diablo-Ultra-Finish-Circular-Blade/dp/B071X5DBWR/ref=sr_1_8?keywords=Diablo+Tools+D0660X+6-1%2F2+in.+x+60+Tooth+Ultra+Finish+Saw+Blade&amp;qid=1695174055&amp;sr=8-8</v>
      </c>
      <c r="F6506" t="s">
        <v>7340</v>
      </c>
      <c r="G6506" t="e">
        <f ca="1">_xludf.IMAGE("https://edmondsonsupply.com/cdn/shop/products/ma8p1gcmhxpwwhymtiim.webp?v=1678983644")</f>
        <v>#NAME?</v>
      </c>
      <c r="H6506" t="e">
        <f ca="1">_xludf.IMAGE("https://m.media-amazon.com/images/I/61JlPZnNLWL._AC_UL320_.jpg")</f>
        <v>#NAME?</v>
      </c>
      <c r="I6506" t="s">
        <v>1716</v>
      </c>
      <c r="J6506">
        <v>19.600000000000001</v>
      </c>
      <c r="K6506" s="4">
        <v>-0.1467</v>
      </c>
      <c r="L6506">
        <v>4.8</v>
      </c>
      <c r="M6506">
        <v>145</v>
      </c>
      <c r="O6506" t="s">
        <v>25</v>
      </c>
      <c r="P6506" t="s">
        <v>6682</v>
      </c>
      <c r="Q6506" t="s">
        <v>6683</v>
      </c>
    </row>
    <row r="6507" spans="1:17" ht="15.5" x14ac:dyDescent="0.35">
      <c r="A6507" s="3" t="str">
        <f>HYPERLINK("https://edmondsonsupply.com/collections/electricians-tools/products/klein-tools-mm400-digital-multimeter-auto-ranging-600v", "https://edmondsonsupply.com/collections/electricians-tools/products/klein-tools-mm400-digital-multimeter-auto-ranging-600v")</f>
        <v>https://edmondsonsupply.com/collections/electricians-tools/products/klein-tools-mm400-digital-multimeter-auto-ranging-600v</v>
      </c>
      <c r="B6507" s="3" t="str">
        <f>HYPERLINK("https://edmondsonsupply.com/products/klein-tools-mm400-digital-multimeter-auto-ranging-600v", "https://edmondsonsupply.com/products/klein-tools-mm400-digital-multimeter-auto-ranging-600v")</f>
        <v>https://edmondsonsupply.com/products/klein-tools-mm400-digital-multimeter-auto-ranging-600v</v>
      </c>
      <c r="C6507" t="s">
        <v>3356</v>
      </c>
      <c r="D6507" t="s">
        <v>5182</v>
      </c>
      <c r="E6507" s="3" t="str">
        <f>HYPERLINK("https://www.amazon.com/Multimeter-Auto-Ranging-Klein-Tools-MM400/dp/B018EXZO8M/ref=sr_1_1?keywords=Klein+Tools+MM400+Digital+Multimeter%2C+Auto-Ranging%2C+600V&amp;qid=1695173884&amp;sr=8-1", "https://www.amazon.com/Multimeter-Auto-Ranging-Klein-Tools-MM400/dp/B018EXZO8M/ref=sr_1_1?keywords=Klein+Tools+MM400+Digital+Multimeter%2C+Auto-Ranging%2C+600V&amp;qid=1695173884&amp;sr=8-1")</f>
        <v>https://www.amazon.com/Multimeter-Auto-Ranging-Klein-Tools-MM400/dp/B018EXZO8M/ref=sr_1_1?keywords=Klein+Tools+MM400+Digital+Multimeter%2C+Auto-Ranging%2C+600V&amp;qid=1695173884&amp;sr=8-1</v>
      </c>
      <c r="F6507" t="s">
        <v>5183</v>
      </c>
      <c r="G6507" t="e">
        <f ca="1">_xludf.IMAGE("https://edmondsonsupply.com/cdn/shop/products/mm400_alt1.jpg?v=1633030778")</f>
        <v>#NAME?</v>
      </c>
      <c r="H6507" t="e">
        <f ca="1">_xludf.IMAGE("https://m.media-amazon.com/images/I/61I4o1GeoZL._AC_UL320_.jpg")</f>
        <v>#NAME?</v>
      </c>
      <c r="I6507" t="s">
        <v>3359</v>
      </c>
      <c r="J6507">
        <v>46.9</v>
      </c>
      <c r="K6507" s="4">
        <v>-0.14680000000000001</v>
      </c>
      <c r="L6507">
        <v>4.7</v>
      </c>
      <c r="M6507">
        <v>3817</v>
      </c>
      <c r="O6507" t="s">
        <v>25</v>
      </c>
      <c r="P6507" t="s">
        <v>3360</v>
      </c>
      <c r="Q6507" t="s">
        <v>3361</v>
      </c>
    </row>
    <row r="6508" spans="1:17" ht="15.5" x14ac:dyDescent="0.35">
      <c r="A6508" s="3" t="str">
        <f>HYPERLINK("https://edmondsonsupply.com/collections/electricians-tools/products/klein-tools-mm420", "https://edmondsonsupply.com/collections/electricians-tools/products/klein-tools-mm420")</f>
        <v>https://edmondsonsupply.com/collections/electricians-tools/products/klein-tools-mm420</v>
      </c>
      <c r="B6508" s="3" t="str">
        <f>HYPERLINK("https://edmondsonsupply.com/products/klein-tools-mm420", "https://edmondsonsupply.com/products/klein-tools-mm420")</f>
        <v>https://edmondsonsupply.com/products/klein-tools-mm420</v>
      </c>
      <c r="C6508" t="s">
        <v>7602</v>
      </c>
      <c r="D6508" t="s">
        <v>8664</v>
      </c>
      <c r="E6508" s="3" t="str">
        <f>HYPERLINK("https://www.amazon.com/Multimeter-Auto-Ranging-Klein-Tools-MM420/dp/B0B57PFFYX/ref=sr_1_1?keywords=Klein+Tools+MM420+Digital+Multimeter%2C+TRMS+Auto-Ranging%2C+600V%2C+Temp&amp;qid=1695174159&amp;sr=8-1", "https://www.amazon.com/Multimeter-Auto-Ranging-Klein-Tools-MM420/dp/B0B57PFFYX/ref=sr_1_1?keywords=Klein+Tools+MM420+Digital+Multimeter%2C+TRMS+Auto-Ranging%2C+600V%2C+Temp&amp;qid=1695174159&amp;sr=8-1")</f>
        <v>https://www.amazon.com/Multimeter-Auto-Ranging-Klein-Tools-MM420/dp/B0B57PFFYX/ref=sr_1_1?keywords=Klein+Tools+MM420+Digital+Multimeter%2C+TRMS+Auto-Ranging%2C+600V%2C+Temp&amp;qid=1695174159&amp;sr=8-1</v>
      </c>
      <c r="F6508" t="s">
        <v>8665</v>
      </c>
      <c r="G6508" t="e">
        <f ca="1">_xludf.IMAGE("https://edmondsonsupply.com/cdn/shop/products/mm420.jpg?v=1663610900")</f>
        <v>#NAME?</v>
      </c>
      <c r="H6508" t="e">
        <f ca="1">_xludf.IMAGE("https://m.media-amazon.com/images/I/51+Q3wZJ2ZL._AC_UL320_.jpg")</f>
        <v>#NAME?</v>
      </c>
      <c r="I6508" t="s">
        <v>3359</v>
      </c>
      <c r="J6508">
        <v>46.9</v>
      </c>
      <c r="K6508" s="4">
        <v>-0.14680000000000001</v>
      </c>
      <c r="L6508">
        <v>4.7</v>
      </c>
      <c r="M6508">
        <v>3817</v>
      </c>
      <c r="O6508" t="s">
        <v>25</v>
      </c>
      <c r="P6508" t="s">
        <v>7603</v>
      </c>
      <c r="Q6508" t="s">
        <v>7604</v>
      </c>
    </row>
    <row r="6509" spans="1:17" ht="15.5" x14ac:dyDescent="0.35">
      <c r="A6509"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6509" s="3" t="str">
        <f>HYPERLINK("https://edmondsonsupply.com/products/klein-tools-935dagl-digital-level-with-programmable-angles", "https://edmondsonsupply.com/products/klein-tools-935dagl-digital-level-with-programmable-angles")</f>
        <v>https://edmondsonsupply.com/products/klein-tools-935dagl-digital-level-with-programmable-angles</v>
      </c>
      <c r="C6509" t="s">
        <v>7122</v>
      </c>
      <c r="D6509" t="s">
        <v>2821</v>
      </c>
      <c r="E6509" s="3" t="str">
        <f>HYPERLINK("https://www.amazon.com/Klein-Tools-Electronic-Measures-Protractor/dp/B09P843CWF/ref=sr_1_7?keywords=Klein+Tools+935DAGL+Digital+Level+with+Programmable+Angles&amp;qid=1695174178&amp;sr=8-7", "https://www.amazon.com/Klein-Tools-Electronic-Measures-Protractor/dp/B09P843CWF/ref=sr_1_7?keywords=Klein+Tools+935DAGL+Digital+Level+with+Programmable+Angles&amp;qid=1695174178&amp;sr=8-7")</f>
        <v>https://www.amazon.com/Klein-Tools-Electronic-Measures-Protractor/dp/B09P843CWF/ref=sr_1_7?keywords=Klein+Tools+935DAGL+Digital+Level+with+Programmable+Angles&amp;qid=1695174178&amp;sr=8-7</v>
      </c>
      <c r="F6509" t="s">
        <v>2822</v>
      </c>
      <c r="G6509" t="e">
        <f ca="1">_xludf.IMAGE("https://edmondsonsupply.com/cdn/shop/products/935dagl.jpg?v=1660749694")</f>
        <v>#NAME?</v>
      </c>
      <c r="H6509" t="e">
        <f ca="1">_xludf.IMAGE("https://m.media-amazon.com/images/I/51nqC5OG7xL._AC_UL320_.jpg")</f>
        <v>#NAME?</v>
      </c>
      <c r="I6509" t="s">
        <v>5197</v>
      </c>
      <c r="J6509">
        <v>51.04</v>
      </c>
      <c r="K6509" s="4">
        <v>-0.1489</v>
      </c>
      <c r="L6509">
        <v>4.8</v>
      </c>
      <c r="M6509">
        <v>29</v>
      </c>
      <c r="O6509" t="s">
        <v>25</v>
      </c>
      <c r="P6509" t="s">
        <v>7123</v>
      </c>
      <c r="Q6509" t="s">
        <v>7124</v>
      </c>
    </row>
    <row r="6510" spans="1:17" ht="15.5" x14ac:dyDescent="0.35">
      <c r="A6510" s="3" t="str">
        <f>HYPERLINK("https://edmondsonsupply.com/collections/electricians-tools/products/clc-1100-3", "https://edmondsonsupply.com/collections/electricians-tools/products/clc-1100-3")</f>
        <v>https://edmondsonsupply.com/collections/electricians-tools/products/clc-1100-3</v>
      </c>
      <c r="B6510" s="3" t="str">
        <f>HYPERLINK("https://edmondsonsupply.com/products/clc-1100-3", "https://edmondsonsupply.com/products/clc-1100-3")</f>
        <v>https://edmondsonsupply.com/products/clc-1100-3</v>
      </c>
      <c r="C6510" t="s">
        <v>231</v>
      </c>
      <c r="D6510" t="s">
        <v>724</v>
      </c>
      <c r="E6510" s="3" t="str">
        <f>HYPERLINK("https://www.amazon.com/Custom-Leathercraft-1100-Multi-Purpose-Zippered/dp/B0002YVBC0/ref=sr_1_1?keywords=CLC+1100+3+Multi-Purpose%2C+Clip-on%2C+Zippered+Bags&amp;qid=1695173929&amp;sr=8-1", "https://www.amazon.com/Custom-Leathercraft-1100-Multi-Purpose-Zippered/dp/B0002YVBC0/ref=sr_1_1?keywords=CLC+1100+3+Multi-Purpose%2C+Clip-on%2C+Zippered+Bags&amp;qid=1695173929&amp;sr=8-1")</f>
        <v>https://www.amazon.com/Custom-Leathercraft-1100-Multi-Purpose-Zippered/dp/B0002YVBC0/ref=sr_1_1?keywords=CLC+1100+3+Multi-Purpose%2C+Clip-on%2C+Zippered+Bags&amp;qid=1695173929&amp;sr=8-1</v>
      </c>
      <c r="F6510" t="s">
        <v>725</v>
      </c>
      <c r="G6510" t="e">
        <f ca="1">_xludf.IMAGE("https://edmondsonsupply.com/cdn/shop/products/1100_REV17_2.jpg?v=1633030333")</f>
        <v>#NAME?</v>
      </c>
      <c r="H6510" t="e">
        <f ca="1">_xludf.IMAGE("https://m.media-amazon.com/images/I/71gW8tFrwtL._AC_UL320_.jpg")</f>
        <v>#NAME?</v>
      </c>
      <c r="I6510" t="s">
        <v>234</v>
      </c>
      <c r="J6510">
        <v>9.99</v>
      </c>
      <c r="K6510" s="4">
        <v>-0.14979999999999999</v>
      </c>
      <c r="L6510">
        <v>4.5999999999999996</v>
      </c>
      <c r="M6510">
        <v>5532</v>
      </c>
      <c r="O6510" t="s">
        <v>25</v>
      </c>
      <c r="P6510" t="s">
        <v>235</v>
      </c>
      <c r="Q6510" t="s">
        <v>236</v>
      </c>
    </row>
    <row r="6511" spans="1:17" ht="15.5" x14ac:dyDescent="0.35">
      <c r="A6511"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6511"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6511" t="s">
        <v>6921</v>
      </c>
      <c r="D6511" t="s">
        <v>8666</v>
      </c>
      <c r="E6511" s="3" t="str">
        <f>HYPERLINK("https://www.amazon.com/M7R-Metalmaster-Offset-Snips-Straight/dp/B00002N5LS/ref=sr_1_3?keywords=Crescent+Wiss+M2P+9-3%2F4%22+Compound+Action+Straight+and+Right+Cut+Aviation+Snips&amp;qid=1695174052&amp;sr=8-3", "https://www.amazon.com/M7R-Metalmaster-Offset-Snips-Straight/dp/B00002N5LS/ref=sr_1_3?keywords=Crescent+Wiss+M2P+9-3%2F4%22+Compound+Action+Straight+and+Right+Cut+Aviation+Snips&amp;qid=1695174052&amp;sr=8-3")</f>
        <v>https://www.amazon.com/M7R-Metalmaster-Offset-Snips-Straight/dp/B00002N5LS/ref=sr_1_3?keywords=Crescent+Wiss+M2P+9-3%2F4%22+Compound+Action+Straight+and+Right+Cut+Aviation+Snips&amp;qid=1695174052&amp;sr=8-3</v>
      </c>
      <c r="F6511" t="s">
        <v>8667</v>
      </c>
      <c r="G6511" t="e">
        <f ca="1">_xludf.IMAGE("https://edmondsonsupply.com/cdn/shop/products/WIS_M2P_IMG_ANG_01.jpg?v=1679674099")</f>
        <v>#NAME?</v>
      </c>
      <c r="H6511" t="e">
        <f ca="1">_xludf.IMAGE("https://m.media-amazon.com/images/I/518irscT5TL._AC_UL320_.jpg")</f>
        <v>#NAME?</v>
      </c>
      <c r="I6511" t="s">
        <v>577</v>
      </c>
      <c r="J6511">
        <v>16.989999999999998</v>
      </c>
      <c r="K6511" s="4">
        <v>-0.15010000000000001</v>
      </c>
      <c r="L6511">
        <v>4.4000000000000004</v>
      </c>
      <c r="M6511">
        <v>1401</v>
      </c>
      <c r="O6511" t="s">
        <v>25</v>
      </c>
      <c r="P6511" t="s">
        <v>6924</v>
      </c>
      <c r="Q6511" t="s">
        <v>6925</v>
      </c>
    </row>
    <row r="6512" spans="1:17" ht="15.5" x14ac:dyDescent="0.35">
      <c r="A6512"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6512"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6512" t="s">
        <v>6587</v>
      </c>
      <c r="D6512" t="s">
        <v>5294</v>
      </c>
      <c r="E6512" s="3" t="str">
        <f>HYPERLINK("https://www.amazon.com/Klein-Tools-NCVT2P-12-1000V-Flashing/dp/B07L5N8ZWS/ref=sr_1_1?keywords=Klein+Tools+NCVT-2P+Dual+Range+Non-Contact+Voltage+Tester+12+-+1000V+AC&amp;qid=1695174301&amp;sr=8-1", "https://www.amazon.com/Klein-Tools-NCVT2P-12-1000V-Flashing/dp/B07L5N8ZWS/ref=sr_1_1?keywords=Klein+Tools+NCVT-2P+Dual+Range+Non-Contact+Voltage+Tester+12+-+1000V+AC&amp;qid=1695174301&amp;sr=8-1")</f>
        <v>https://www.amazon.com/Klein-Tools-NCVT2P-12-1000V-Flashing/dp/B07L5N8ZWS/ref=sr_1_1?keywords=Klein+Tools+NCVT-2P+Dual+Range+Non-Contact+Voltage+Tester+12+-+1000V+AC&amp;qid=1695174301&amp;sr=8-1</v>
      </c>
      <c r="F6512" t="s">
        <v>5295</v>
      </c>
      <c r="G6512" t="e">
        <f ca="1">_xludf.IMAGE("https://edmondsonsupply.com/cdn/shop/products/ncvt2p.jpg?v=1633030824")</f>
        <v>#NAME?</v>
      </c>
      <c r="H6512" t="e">
        <f ca="1">_xludf.IMAGE("https://m.media-amazon.com/images/I/51GASnKpZ1L._AC_UL320_.jpg")</f>
        <v>#NAME?</v>
      </c>
      <c r="I6512" t="s">
        <v>6588</v>
      </c>
      <c r="J6512">
        <v>23.76</v>
      </c>
      <c r="K6512" s="4">
        <v>-0.15049999999999999</v>
      </c>
      <c r="L6512">
        <v>4.7</v>
      </c>
      <c r="M6512">
        <v>639</v>
      </c>
      <c r="O6512" t="s">
        <v>25</v>
      </c>
      <c r="P6512" t="s">
        <v>6589</v>
      </c>
      <c r="Q6512" t="s">
        <v>6590</v>
      </c>
    </row>
    <row r="6513" spans="1:17" ht="15.5" x14ac:dyDescent="0.35">
      <c r="A6513" s="3" t="str">
        <f>HYPERLINK("https://edmondsonsupply.com/collections/electricians-tools/products/edge-eyewear-sr116-reclus-black-frame-smoke-lens-safety-glasses", "https://edmondsonsupply.com/collections/electricians-tools/products/edge-eyewear-sr116-reclus-black-frame-smoke-lens-safety-glasses")</f>
        <v>https://edmondsonsupply.com/collections/electricians-tools/products/edge-eyewear-sr116-reclus-black-frame-smoke-lens-safety-glasses</v>
      </c>
      <c r="B6513"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6513" t="s">
        <v>985</v>
      </c>
      <c r="D6513" t="s">
        <v>1300</v>
      </c>
      <c r="E6513" s="3" t="str">
        <f>HYPERLINK("https://www.amazon.com/SR116-Wrap-Around-Anti-Scratch-Non-Slip-Compliant/dp/B002R98J1E/ref=sr_1_1?keywords=Edge+Eyewear+SR116+Reclus+-+Black+Frame%2FSmoke+Lens%2C+Safety+Glasses&amp;qid=1695174291&amp;sr=8-1", "https://www.amazon.com/SR116-Wrap-Around-Anti-Scratch-Non-Slip-Compliant/dp/B002R98J1E/ref=sr_1_1?keywords=Edge+Eyewear+SR116+Reclus+-+Black+Frame%2FSmoke+Lens%2C+Safety+Glasses&amp;qid=1695174291&amp;sr=8-1")</f>
        <v>https://www.amazon.com/SR116-Wrap-Around-Anti-Scratch-Non-Slip-Compliant/dp/B002R98J1E/ref=sr_1_1?keywords=Edge+Eyewear+SR116+Reclus+-+Black+Frame%2FSmoke+Lens%2C+Safety+Glasses&amp;qid=1695174291&amp;sr=8-1</v>
      </c>
      <c r="F6513" t="s">
        <v>1301</v>
      </c>
      <c r="G6513" t="e">
        <f ca="1">_xludf.IMAGE("https://edmondsonsupply.com/cdn/shop/products/SR116_1512x_cc8649c7-14e6-4c1c-9513-7dd61f5f7eb9.png?v=1633030940")</f>
        <v>#NAME?</v>
      </c>
      <c r="H6513" t="e">
        <f ca="1">_xludf.IMAGE("https://m.media-amazon.com/images/I/41LN-T2NQaL._AC_UL320_.jpg")</f>
        <v>#NAME?</v>
      </c>
      <c r="I6513" t="s">
        <v>988</v>
      </c>
      <c r="J6513">
        <v>13.99</v>
      </c>
      <c r="K6513" s="4">
        <v>-0.15060000000000001</v>
      </c>
      <c r="L6513">
        <v>4.3</v>
      </c>
      <c r="M6513">
        <v>2672</v>
      </c>
      <c r="O6513" t="s">
        <v>25</v>
      </c>
      <c r="P6513" t="s">
        <v>989</v>
      </c>
      <c r="Q6513" t="s">
        <v>990</v>
      </c>
    </row>
    <row r="6514" spans="1:17" ht="15.5" x14ac:dyDescent="0.35">
      <c r="A6514"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6514"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6514" t="s">
        <v>7067</v>
      </c>
      <c r="D6514" t="s">
        <v>5960</v>
      </c>
      <c r="E6514" s="3" t="str">
        <f>HYPERLINK("https://www.amazon.com/Diablo-Freud-DOU250BW-Oscillating-Nail-Embedded/dp/B089KWP5Z2/ref=sr_1_1?keywords=Diablo+Tools+DOU250BW+2-1%2F2+in.+Universal+Fit+Bi-Metal+Oscillating+Blade+for+Nail-Embedded+Wood&amp;qid=1695174021&amp;sr=8-1", "https://www.amazon.com/Diablo-Freud-DOU250BW-Oscillating-Nail-Embedded/dp/B089KWP5Z2/ref=sr_1_1?keywords=Diablo+Tools+DOU250BW+2-1%2F2+in.+Universal+Fit+Bi-Metal+Oscillating+Blade+for+Nail-Embedded+Wood&amp;qid=1695174021&amp;sr=8-1")</f>
        <v>https://www.amazon.com/Diablo-Freud-DOU250BW-Oscillating-Nail-Embedded/dp/B089KWP5Z2/ref=sr_1_1?keywords=Diablo+Tools+DOU250BW+2-1%2F2+in.+Universal+Fit+Bi-Metal+Oscillating+Blade+for+Nail-Embedded+Wood&amp;qid=1695174021&amp;sr=8-1</v>
      </c>
      <c r="F6514" t="s">
        <v>5961</v>
      </c>
      <c r="G6514" t="e">
        <f ca="1">_xludf.IMAGE("https://edmondsonsupply.com/cdn/shop/files/xcched1uye7bv2s0ryod.webp?v=1685717397")</f>
        <v>#NAME?</v>
      </c>
      <c r="H6514" t="e">
        <f ca="1">_xludf.IMAGE("https://m.media-amazon.com/images/I/71fhfiK3NaL._AC_UL320_.jpg")</f>
        <v>#NAME?</v>
      </c>
      <c r="I6514" t="s">
        <v>893</v>
      </c>
      <c r="J6514">
        <v>16.96</v>
      </c>
      <c r="K6514" s="4">
        <v>-0.1507</v>
      </c>
      <c r="L6514">
        <v>4.5999999999999996</v>
      </c>
      <c r="M6514">
        <v>31</v>
      </c>
      <c r="O6514" t="s">
        <v>25</v>
      </c>
      <c r="P6514" t="s">
        <v>6936</v>
      </c>
      <c r="Q6514" t="s">
        <v>7068</v>
      </c>
    </row>
    <row r="6515" spans="1:17" ht="15.5" x14ac:dyDescent="0.35">
      <c r="A6515" s="3" t="str">
        <f>HYPERLINK("https://edmondsonsupply.com/collections/electricians-tools/products/john-boy-grass-face-guard", "https://edmondsonsupply.com/collections/electricians-tools/products/john-boy-grass-face-guard")</f>
        <v>https://edmondsonsupply.com/collections/electricians-tools/products/john-boy-grass-face-guard</v>
      </c>
      <c r="B6515" s="3" t="str">
        <f>HYPERLINK("https://edmondsonsupply.com/products/john-boy-grass-face-guard", "https://edmondsonsupply.com/products/john-boy-grass-face-guard")</f>
        <v>https://edmondsonsupply.com/products/john-boy-grass-face-guard</v>
      </c>
      <c r="C6515" t="s">
        <v>1065</v>
      </c>
      <c r="D6515" t="s">
        <v>1302</v>
      </c>
      <c r="E6515" s="3" t="str">
        <f>HYPERLINK("https://www.amazon.com/JOHN-BOY-Racing-Face-Guard/dp/B0842ZPD8B/ref=sr_1_3?keywords=John+Boy+GRASS+Face+Guard&amp;qid=1695174296&amp;sr=8-3", "https://www.amazon.com/JOHN-BOY-Racing-Face-Guard/dp/B0842ZPD8B/ref=sr_1_3?keywords=John+Boy+GRASS+Face+Guard&amp;qid=1695174296&amp;sr=8-3")</f>
        <v>https://www.amazon.com/JOHN-BOY-Racing-Face-Guard/dp/B0842ZPD8B/ref=sr_1_3?keywords=John+Boy+GRASS+Face+Guard&amp;qid=1695174296&amp;sr=8-3</v>
      </c>
      <c r="F6515" t="s">
        <v>1303</v>
      </c>
      <c r="G6515" t="e">
        <f ca="1">_xludf.IMAGE("https://edmondsonsupply.com/cdn/shop/products/grassMUcopy_900x_3dbec2e2-1ea2-46e7-b806-f05c0b3108b5.jpg?v=1633030897")</f>
        <v>#NAME?</v>
      </c>
      <c r="H6515" t="e">
        <f ca="1">_xludf.IMAGE("https://m.media-amazon.com/images/I/71yOG1wKzSL._AC_UL320_.jpg")</f>
        <v>#NAME?</v>
      </c>
      <c r="I6515" t="s">
        <v>1039</v>
      </c>
      <c r="J6515">
        <v>8.49</v>
      </c>
      <c r="K6515" s="4">
        <v>-0.151</v>
      </c>
      <c r="L6515">
        <v>4.2</v>
      </c>
      <c r="M6515">
        <v>6</v>
      </c>
      <c r="O6515" t="s">
        <v>25</v>
      </c>
      <c r="P6515" t="s">
        <v>138</v>
      </c>
      <c r="Q6515" t="s">
        <v>1066</v>
      </c>
    </row>
    <row r="6516" spans="1:17" ht="15.5" x14ac:dyDescent="0.35">
      <c r="A6516" s="3" t="str">
        <f>HYPERLINK("https://edmondsonsupply.com/collections/electricians-tools/products/john-boy-tree-face-guard", "https://edmondsonsupply.com/collections/electricians-tools/products/john-boy-tree-face-guard")</f>
        <v>https://edmondsonsupply.com/collections/electricians-tools/products/john-boy-tree-face-guard</v>
      </c>
      <c r="B6516" s="3" t="str">
        <f>HYPERLINK("https://edmondsonsupply.com/products/john-boy-tree-face-guard", "https://edmondsonsupply.com/products/john-boy-tree-face-guard")</f>
        <v>https://edmondsonsupply.com/products/john-boy-tree-face-guard</v>
      </c>
      <c r="C6516" t="s">
        <v>1228</v>
      </c>
      <c r="D6516" t="s">
        <v>1302</v>
      </c>
      <c r="E6516" s="3" t="str">
        <f>HYPERLINK("https://www.amazon.com/JOHN-BOY-Racing-Face-Guard/dp/B0842ZPD8B/ref=sr_1_2?keywords=John+Boy+TREE+Face+Guard&amp;qid=1695174306&amp;sr=8-2", "https://www.amazon.com/JOHN-BOY-Racing-Face-Guard/dp/B0842ZPD8B/ref=sr_1_2?keywords=John+Boy+TREE+Face+Guard&amp;qid=1695174306&amp;sr=8-2")</f>
        <v>https://www.amazon.com/JOHN-BOY-Racing-Face-Guard/dp/B0842ZPD8B/ref=sr_1_2?keywords=John+Boy+TREE+Face+Guard&amp;qid=1695174306&amp;sr=8-2</v>
      </c>
      <c r="F6516" t="s">
        <v>1303</v>
      </c>
      <c r="G6516" t="e">
        <f ca="1">_xludf.IMAGE("https://edmondsonsupply.com/cdn/shop/products/tree-mockup.jpg?v=1633030898")</f>
        <v>#NAME?</v>
      </c>
      <c r="H6516" t="e">
        <f ca="1">_xludf.IMAGE("https://m.media-amazon.com/images/I/71yOG1wKzSL._AC_UL320_.jpg")</f>
        <v>#NAME?</v>
      </c>
      <c r="I6516" t="s">
        <v>1039</v>
      </c>
      <c r="J6516">
        <v>8.49</v>
      </c>
      <c r="K6516" s="4">
        <v>-0.151</v>
      </c>
      <c r="L6516">
        <v>4.2</v>
      </c>
      <c r="M6516">
        <v>6</v>
      </c>
      <c r="O6516" t="s">
        <v>25</v>
      </c>
      <c r="P6516" t="s">
        <v>138</v>
      </c>
      <c r="Q6516" t="s">
        <v>1229</v>
      </c>
    </row>
    <row r="6517" spans="1:17" ht="15.5" x14ac:dyDescent="0.35">
      <c r="A6517" s="3" t="str">
        <f>HYPERLINK("https://edmondsonsupply.com/collections/electricians-tools/products/milwaukee-48-11-1850-m18%E2%84%A2-redlithium%E2%84%A2-xc5-0-extended-capacity-battery-pack", "https://edmondsonsupply.com/collections/electricians-tools/products/milwaukee-48-11-1850-m18%E2%84%A2-redlithium%E2%84%A2-xc5-0-extended-capacity-battery-pack")</f>
        <v>https://edmondsonsupply.com/collections/electricians-tools/products/milwaukee-48-11-1850-m18%E2%84%A2-redlithium%E2%84%A2-xc5-0-extended-capacity-battery-pack</v>
      </c>
      <c r="B6517" s="3" t="str">
        <f>HYPERLINK("https://edmondsonsupply.com/products/milwaukee-48-11-1850-m18%e2%84%a2-redlithium%e2%84%a2-xc5-0-extended-capacity-battery-pack", "https://edmondsonsupply.com/products/milwaukee-48-11-1850-m18%e2%84%a2-redlithium%e2%84%a2-xc5-0-extended-capacity-battery-pack")</f>
        <v>https://edmondsonsupply.com/products/milwaukee-48-11-1850-m18%e2%84%a2-redlithium%e2%84%a2-xc5-0-extended-capacity-battery-pack</v>
      </c>
      <c r="C6517" t="s">
        <v>8668</v>
      </c>
      <c r="D6517" t="s">
        <v>8669</v>
      </c>
      <c r="E6517" s="3" t="str">
        <f>HYPERLINK("https://www.amazon.com/Milwaukee-48-11-1850R-Extended-Resistant-48-11-1850Rx2/dp/B0B8TDYXBP/ref=sr_1_3?keywords=Milwaukee+48-11-1850+M18%E2%84%A2+REDLITHIUM%E2%84%A2+XC5.0+Extended+Capacity+Battery+Pack&amp;qid=1695174200&amp;sr=8-3", "https://www.amazon.com/Milwaukee-48-11-1850R-Extended-Resistant-48-11-1850Rx2/dp/B0B8TDYXBP/ref=sr_1_3?keywords=Milwaukee+48-11-1850+M18%E2%84%A2+REDLITHIUM%E2%84%A2+XC5.0+Extended+Capacity+Battery+Pack&amp;qid=1695174200&amp;sr=8-3")</f>
        <v>https://www.amazon.com/Milwaukee-48-11-1850R-Extended-Resistant-48-11-1850Rx2/dp/B0B8TDYXBP/ref=sr_1_3?keywords=Milwaukee+48-11-1850+M18%E2%84%A2+REDLITHIUM%E2%84%A2+XC5.0+Extended+Capacity+Battery+Pack&amp;qid=1695174200&amp;sr=8-3</v>
      </c>
      <c r="F6517" t="s">
        <v>8670</v>
      </c>
      <c r="G6517" t="e">
        <f ca="1">_xludf.IMAGE("https://edmondsonsupply.com/cdn/shop/products/48-11-1850_1.webp?v=1655482517")</f>
        <v>#NAME?</v>
      </c>
      <c r="H6517" t="e">
        <f ca="1">_xludf.IMAGE("https://m.media-amazon.com/images/I/71KKu6oh+8L._AC_UL320_.jpg")</f>
        <v>#NAME?</v>
      </c>
      <c r="I6517" t="s">
        <v>431</v>
      </c>
      <c r="J6517">
        <v>134.87</v>
      </c>
      <c r="K6517" s="4">
        <v>-0.15179999999999999</v>
      </c>
      <c r="L6517">
        <v>4.8</v>
      </c>
      <c r="M6517">
        <v>155</v>
      </c>
      <c r="O6517" t="s">
        <v>171</v>
      </c>
      <c r="P6517" t="s">
        <v>6331</v>
      </c>
      <c r="Q6517" t="s">
        <v>8671</v>
      </c>
    </row>
    <row r="6518" spans="1:17" ht="15.5" x14ac:dyDescent="0.35">
      <c r="A6518" s="3" t="str">
        <f>HYPERLINK("https://edmondsonsupply.com/collections/electricians-tools/products/klein-tools-25964-step-drill-bit-spiral-double-fluted-1-8-inch-to-1-2-inch-vaco", "https://edmondsonsupply.com/collections/electricians-tools/products/klein-tools-25964-step-drill-bit-spiral-double-fluted-1-8-inch-to-1-2-inch-vaco")</f>
        <v>https://edmondsonsupply.com/collections/electricians-tools/products/klein-tools-25964-step-drill-bit-spiral-double-fluted-1-8-inch-to-1-2-inch-vaco</v>
      </c>
      <c r="B6518" s="3" t="str">
        <f>HYPERLINK("https://edmondsonsupply.com/products/klein-tools-25964-step-drill-bit-spiral-double-fluted-1-8-inch-to-1-2-inch-vaco", "https://edmondsonsupply.com/products/klein-tools-25964-step-drill-bit-spiral-double-fluted-1-8-inch-to-1-2-inch-vaco")</f>
        <v>https://edmondsonsupply.com/products/klein-tools-25964-step-drill-bit-spiral-double-fluted-1-8-inch-to-1-2-inch-vaco</v>
      </c>
      <c r="C6518" t="s">
        <v>6143</v>
      </c>
      <c r="D6518" t="s">
        <v>5180</v>
      </c>
      <c r="E6518" s="3" t="str">
        <f>HYPERLINK("https://www.amazon.com/Jerax-tools-Drilling-Stainless-Aluminum/dp/B094VCMB17/ref=sr_1_6?keywords=Klein+Tools+25964+Step+Drill+Bit%2C+Spiral+Double-Fluted%2C+1%2F8-Inch+to+1%2F2-Inch%2C+VACO&amp;qid=1695174098&amp;sr=8-6", "https://www.amazon.com/Jerax-tools-Drilling-Stainless-Aluminum/dp/B094VCMB17/ref=sr_1_6?keywords=Klein+Tools+25964+Step+Drill+Bit%2C+Spiral+Double-Fluted%2C+1%2F8-Inch+to+1%2F2-Inch%2C+VACO&amp;qid=1695174098&amp;sr=8-6")</f>
        <v>https://www.amazon.com/Jerax-tools-Drilling-Stainless-Aluminum/dp/B094VCMB17/ref=sr_1_6?keywords=Klein+Tools+25964+Step+Drill+Bit%2C+Spiral+Double-Fluted%2C+1%2F8-Inch+to+1%2F2-Inch%2C+VACO&amp;qid=1695174098&amp;sr=8-6</v>
      </c>
      <c r="F6518" t="s">
        <v>5181</v>
      </c>
      <c r="G6518" t="e">
        <f ca="1">_xludf.IMAGE("https://edmondsonsupply.com/cdn/shop/products/25964_b.jpg?v=1670940646")</f>
        <v>#NAME?</v>
      </c>
      <c r="H6518" t="e">
        <f ca="1">_xludf.IMAGE("https://m.media-amazon.com/images/I/51fvUl5tapL._AC_UY218_.jpg")</f>
        <v>#NAME?</v>
      </c>
      <c r="I6518" t="s">
        <v>577</v>
      </c>
      <c r="J6518">
        <v>16.95</v>
      </c>
      <c r="K6518" s="4">
        <v>-0.15210000000000001</v>
      </c>
      <c r="L6518">
        <v>4.5</v>
      </c>
      <c r="M6518">
        <v>713</v>
      </c>
      <c r="O6518" t="s">
        <v>25</v>
      </c>
      <c r="P6518" t="s">
        <v>6144</v>
      </c>
      <c r="Q6518" t="s">
        <v>6145</v>
      </c>
    </row>
    <row r="6519" spans="1:17" ht="15.5" x14ac:dyDescent="0.35">
      <c r="A6519"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6519"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6519" t="s">
        <v>6231</v>
      </c>
      <c r="D6519" t="s">
        <v>5192</v>
      </c>
      <c r="E6519" s="3" t="str">
        <f>HYPERLINK("https://www.amazon.com/Klein-Tools-80041-Receptacle-Stripper/dp/B0977QNC3X/ref=sr_1_4?keywords=Klein+Tools+NCVT1PKIT+Non-Contact+Voltage+and+GFCI+Receptacle+Test+Kit&amp;qid=1695174067&amp;sr=8-4", "https://www.amazon.com/Klein-Tools-80041-Receptacle-Stripper/dp/B0977QNC3X/ref=sr_1_4?keywords=Klein+Tools+NCVT1PKIT+Non-Contact+Voltage+and+GFCI+Receptacle+Test+Kit&amp;qid=1695174067&amp;sr=8-4")</f>
        <v>https://www.amazon.com/Klein-Tools-80041-Receptacle-Stripper/dp/B0977QNC3X/ref=sr_1_4?keywords=Klein+Tools+NCVT1PKIT+Non-Contact+Voltage+and+GFCI+Receptacle+Test+Kit&amp;qid=1695174067&amp;sr=8-4</v>
      </c>
      <c r="F6519" t="s">
        <v>5193</v>
      </c>
      <c r="G6519" t="e">
        <f ca="1">_xludf.IMAGE("https://edmondsonsupply.com/cdn/shop/products/ncvt1pkit.jpg?v=1677682920")</f>
        <v>#NAME?</v>
      </c>
      <c r="H6519" t="e">
        <f ca="1">_xludf.IMAGE("https://m.media-amazon.com/images/I/61swpb0jNLS._AC_UL320_.jpg")</f>
        <v>#NAME?</v>
      </c>
      <c r="I6519" t="s">
        <v>859</v>
      </c>
      <c r="J6519">
        <v>21.17</v>
      </c>
      <c r="K6519" s="4">
        <v>-0.1522</v>
      </c>
      <c r="L6519">
        <v>4.8</v>
      </c>
      <c r="M6519">
        <v>7966</v>
      </c>
      <c r="O6519" t="s">
        <v>25</v>
      </c>
      <c r="P6519" t="s">
        <v>6234</v>
      </c>
      <c r="Q6519" t="s">
        <v>6235</v>
      </c>
    </row>
    <row r="6520" spans="1:17" ht="15.5" x14ac:dyDescent="0.35">
      <c r="A6520" s="3" t="str">
        <f>HYPERLINK("https://edmondsonsupply.com/collections/electricians-tools/products/fluke-80pk-1-bead-probe", "https://edmondsonsupply.com/collections/electricians-tools/products/fluke-80pk-1-bead-probe")</f>
        <v>https://edmondsonsupply.com/collections/electricians-tools/products/fluke-80pk-1-bead-probe</v>
      </c>
      <c r="B6520" s="3" t="str">
        <f>HYPERLINK("https://edmondsonsupply.com/products/fluke-80pk-1-bead-probe", "https://edmondsonsupply.com/products/fluke-80pk-1-bead-probe")</f>
        <v>https://edmondsonsupply.com/products/fluke-80pk-1-bead-probe</v>
      </c>
      <c r="C6520" t="s">
        <v>8672</v>
      </c>
      <c r="D6520" t="s">
        <v>8673</v>
      </c>
      <c r="E6520" s="3" t="str">
        <f>HYPERLINK("https://www.amazon.com/Fluke-80PJ-1-Bead-Probe/dp/B000VRHCL2/ref=sr_1_10?keywords=Fluke+80PK-1+Bead+Probe&amp;qid=1695174239&amp;sr=8-10", "https://www.amazon.com/Fluke-80PJ-1-Bead-Probe/dp/B000VRHCL2/ref=sr_1_10?keywords=Fluke+80PK-1+Bead+Probe&amp;qid=1695174239&amp;sr=8-10")</f>
        <v>https://www.amazon.com/Fluke-80PJ-1-Bead-Probe/dp/B000VRHCL2/ref=sr_1_10?keywords=Fluke+80PK-1+Bead+Probe&amp;qid=1695174239&amp;sr=8-10</v>
      </c>
      <c r="F6520" t="s">
        <v>8674</v>
      </c>
      <c r="G6520" t="e">
        <f ca="1">_xludf.IMAGE("https://edmondsonsupply.com/cdn/shop/products/80pk-1a.png?v=1633466414")</f>
        <v>#NAME?</v>
      </c>
      <c r="H6520" t="e">
        <f ca="1">_xludf.IMAGE("https://m.media-amazon.com/images/I/514RPwm50eL._AC_UY218_.jpg")</f>
        <v>#NAME?</v>
      </c>
      <c r="I6520" t="s">
        <v>1765</v>
      </c>
      <c r="J6520">
        <v>48.31</v>
      </c>
      <c r="K6520" s="4">
        <v>-0.15229999999999999</v>
      </c>
      <c r="L6520">
        <v>4</v>
      </c>
      <c r="M6520">
        <v>1</v>
      </c>
      <c r="O6520" t="s">
        <v>25</v>
      </c>
      <c r="P6520" t="s">
        <v>905</v>
      </c>
      <c r="Q6520" t="s">
        <v>8675</v>
      </c>
    </row>
    <row r="6521" spans="1:17" ht="15.5" x14ac:dyDescent="0.35">
      <c r="A6521"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6521"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6521" t="s">
        <v>2155</v>
      </c>
      <c r="D6521" t="s">
        <v>5192</v>
      </c>
      <c r="E6521" s="3" t="str">
        <f>HYPERLINK("https://www.amazon.com/Klein-Tools-80041-Receptacle-Stripper/dp/B0977QNC3X/ref=sr_1_4?keywords=Klein+Tools+NCVT1XTKIT+Non-Contact+Voltage+and+GFCI+Receptacle+Premium+Test+Kit&amp;qid=1695173872&amp;sr=8-4", "https://www.amazon.com/Klein-Tools-80041-Receptacle-Stripper/dp/B0977QNC3X/ref=sr_1_4?keywords=Klein+Tools+NCVT1XTKIT+Non-Contact+Voltage+and+GFCI+Receptacle+Premium+Test+Kit&amp;qid=1695173872&amp;sr=8-4")</f>
        <v>https://www.amazon.com/Klein-Tools-80041-Receptacle-Stripper/dp/B0977QNC3X/ref=sr_1_4?keywords=Klein+Tools+NCVT1XTKIT+Non-Contact+Voltage+and+GFCI+Receptacle+Premium+Test+Kit&amp;qid=1695173872&amp;sr=8-4</v>
      </c>
      <c r="F6521" t="s">
        <v>5193</v>
      </c>
      <c r="G6521" t="e">
        <f ca="1">_xludf.IMAGE("https://edmondsonsupply.com/cdn/shop/products/ncvt1xtkit.jpg?v=1674497102")</f>
        <v>#NAME?</v>
      </c>
      <c r="H6521" t="e">
        <f ca="1">_xludf.IMAGE("https://m.media-amazon.com/images/I/61swpb0jNLS._AC_UL320_.jpg")</f>
        <v>#NAME?</v>
      </c>
      <c r="I6521" t="s">
        <v>471</v>
      </c>
      <c r="J6521">
        <v>21.17</v>
      </c>
      <c r="K6521" s="4">
        <v>-0.15290000000000001</v>
      </c>
      <c r="L6521">
        <v>4.8</v>
      </c>
      <c r="M6521">
        <v>7966</v>
      </c>
      <c r="O6521" t="s">
        <v>25</v>
      </c>
      <c r="P6521" t="s">
        <v>2158</v>
      </c>
      <c r="Q6521" t="s">
        <v>2159</v>
      </c>
    </row>
    <row r="6522" spans="1:17" ht="15.5" x14ac:dyDescent="0.35">
      <c r="A6522" s="3" t="str">
        <f>HYPERLINK("https://edmondsonsupply.com/collections/electricians-tools/products/milwaukee-48-40-4515-8-circular-saw-metal-cutting-blade-42t", "https://edmondsonsupply.com/collections/electricians-tools/products/milwaukee-48-40-4515-8-circular-saw-metal-cutting-blade-42t")</f>
        <v>https://edmondsonsupply.com/collections/electricians-tools/products/milwaukee-48-40-4515-8-circular-saw-metal-cutting-blade-42t</v>
      </c>
      <c r="B6522" s="3" t="str">
        <f>HYPERLINK("https://edmondsonsupply.com/products/milwaukee-48-40-4515-8-circular-saw-metal-cutting-blade-42t", "https://edmondsonsupply.com/products/milwaukee-48-40-4515-8-circular-saw-metal-cutting-blade-42t")</f>
        <v>https://edmondsonsupply.com/products/milwaukee-48-40-4515-8-circular-saw-metal-cutting-blade-42t</v>
      </c>
      <c r="C6522" t="s">
        <v>5194</v>
      </c>
      <c r="D6522" t="s">
        <v>5195</v>
      </c>
      <c r="E6522" s="3" t="str">
        <f>HYPERLINK("https://www.amazon.com/Milwaukee-48-40-4205-Carbide-Stainless-Circular/dp/B0B4PBQ93R/ref=sr_1_7?keywords=Milwaukee+48-40-4515+8%22+Circular+Saw+Metal+Cutting+Blade-+42T&amp;qid=1695174000&amp;sr=8-7", "https://www.amazon.com/Milwaukee-48-40-4205-Carbide-Stainless-Circular/dp/B0B4PBQ93R/ref=sr_1_7?keywords=Milwaukee+48-40-4515+8%22+Circular+Saw+Metal+Cutting+Blade-+42T&amp;qid=1695174000&amp;sr=8-7")</f>
        <v>https://www.amazon.com/Milwaukee-48-40-4205-Carbide-Stainless-Circular/dp/B0B4PBQ93R/ref=sr_1_7?keywords=Milwaukee+48-40-4515+8%22+Circular+Saw+Metal+Cutting+Blade-+42T&amp;qid=1695174000&amp;sr=8-7</v>
      </c>
      <c r="F6522" t="s">
        <v>5196</v>
      </c>
      <c r="G6522" t="e">
        <f ca="1">_xludf.IMAGE("https://edmondsonsupply.com/cdn/shop/files/48-40-4515_1.png?v=1687444386")</f>
        <v>#NAME?</v>
      </c>
      <c r="H6522" t="e">
        <f ca="1">_xludf.IMAGE("https://m.media-amazon.com/images/I/71iJWk1JV7L._AC_UL320_.jpg")</f>
        <v>#NAME?</v>
      </c>
      <c r="I6522" t="s">
        <v>5197</v>
      </c>
      <c r="J6522">
        <v>50.79</v>
      </c>
      <c r="K6522" s="4">
        <v>-0.15310000000000001</v>
      </c>
      <c r="L6522">
        <v>5</v>
      </c>
      <c r="M6522">
        <v>11</v>
      </c>
      <c r="O6522" t="s">
        <v>25</v>
      </c>
      <c r="P6522" t="s">
        <v>5198</v>
      </c>
      <c r="Q6522" t="s">
        <v>5199</v>
      </c>
    </row>
    <row r="6523" spans="1:17" ht="15.5" x14ac:dyDescent="0.35">
      <c r="A6523"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6523" s="3" t="str">
        <f>HYPERLINK("https://edmondsonsupply.com/products/diablo-tools-dmapl2530-1-in-x-16-in-x-18-in-sds-plus-2-cutter", "https://edmondsonsupply.com/products/diablo-tools-dmapl2530-1-in-x-16-in-x-18-in-sds-plus-2-cutter")</f>
        <v>https://edmondsonsupply.com/products/diablo-tools-dmapl2530-1-in-x-16-in-x-18-in-sds-plus-2-cutter</v>
      </c>
      <c r="C6523" t="s">
        <v>7435</v>
      </c>
      <c r="D6523" t="s">
        <v>7556</v>
      </c>
      <c r="E6523" s="3" t="str">
        <f>HYPERLINK("https://www.amazon.com/Diablo-16-18-SDS-Plus-2-Cutter/dp/B089KW5TV6/ref=sr_1_7?keywords=Diablo+Tools+DMAPL2530+1+in.+x+16+in.+x+18+in.+SDS-Plus+2-Cutter&amp;qid=1695174263&amp;sr=8-7", "https://www.amazon.com/Diablo-16-18-SDS-Plus-2-Cutter/dp/B089KW5TV6/ref=sr_1_7?keywords=Diablo+Tools+DMAPL2530+1+in.+x+16+in.+x+18+in.+SDS-Plus+2-Cutter&amp;qid=1695174263&amp;sr=8-7")</f>
        <v>https://www.amazon.com/Diablo-16-18-SDS-Plus-2-Cutter/dp/B089KW5TV6/ref=sr_1_7?keywords=Diablo+Tools+DMAPL2530+1+in.+x+16+in.+x+18+in.+SDS-Plus+2-Cutter&amp;qid=1695174263&amp;sr=8-7</v>
      </c>
      <c r="F6523" t="s">
        <v>7557</v>
      </c>
      <c r="G6523" t="e">
        <f ca="1">_xludf.IMAGE("https://edmondsonsupply.com/cdn/shop/products/DMAPL2530_Main-Image20200703.png?v=1627068300")</f>
        <v>#NAME?</v>
      </c>
      <c r="H6523" t="e">
        <f ca="1">_xludf.IMAGE("https://m.media-amazon.com/images/I/61LIeXBPR+L._AC_UL320_.jpg")</f>
        <v>#NAME?</v>
      </c>
      <c r="I6523" t="s">
        <v>7436</v>
      </c>
      <c r="J6523">
        <v>32.99</v>
      </c>
      <c r="K6523" s="4">
        <v>-0.1535</v>
      </c>
      <c r="L6523">
        <v>3.3</v>
      </c>
      <c r="M6523">
        <v>7</v>
      </c>
      <c r="O6523" t="s">
        <v>25</v>
      </c>
      <c r="P6523" t="s">
        <v>7437</v>
      </c>
      <c r="Q6523" t="s">
        <v>7438</v>
      </c>
    </row>
    <row r="6524" spans="1:17" ht="15.5" x14ac:dyDescent="0.35">
      <c r="A6524" s="3" t="str">
        <f>HYPERLINK("https://edmondsonsupply.com/collections/electricians-tools/products/milwaukee-2880-22-m18-fuel%E2%84%A2-4-1-2-5-grinder-paddle-switch-no-lock-kit", "https://edmondsonsupply.com/collections/electricians-tools/products/milwaukee-2880-22-m18-fuel%E2%84%A2-4-1-2-5-grinder-paddle-switch-no-lock-kit")</f>
        <v>https://edmondsonsupply.com/collections/electricians-tools/products/milwaukee-2880-22-m18-fuel%E2%84%A2-4-1-2-5-grinder-paddle-switch-no-lock-kit</v>
      </c>
      <c r="B6524" s="3" t="str">
        <f>HYPERLINK("https://edmondsonsupply.com/products/milwaukee-2880-22-m18-fuel%e2%84%a2-4-1-2-5-grinder-paddle-switch-no-lock-kit", "https://edmondsonsupply.com/products/milwaukee-2880-22-m18-fuel%e2%84%a2-4-1-2-5-grinder-paddle-switch-no-lock-kit")</f>
        <v>https://edmondsonsupply.com/products/milwaukee-2880-22-m18-fuel%e2%84%a2-4-1-2-5-grinder-paddle-switch-no-lock-kit</v>
      </c>
      <c r="C6524" t="s">
        <v>7129</v>
      </c>
      <c r="D6524" t="s">
        <v>6741</v>
      </c>
      <c r="E6524" s="3" t="str">
        <f>HYPERLINK("https://www.amazon.com/MilwaukeeTool-Milwaukee-Grinder-No-Lock-2880-22/dp/B09FBJL179/ref=sr_1_1?keywords=Milwaukee+2880-22+M18+FUEL%E2%84%A2+4-1%2F2%22+%2F+5%22+Grinder+Paddle+Switch%2C+No-Lock+%28Kit%29&amp;qid=1695174132&amp;sr=8-1", "https://www.amazon.com/MilwaukeeTool-Milwaukee-Grinder-No-Lock-2880-22/dp/B09FBJL179/ref=sr_1_1?keywords=Milwaukee+2880-22+M18+FUEL%E2%84%A2+4-1%2F2%22+%2F+5%22+Grinder+Paddle+Switch%2C+No-Lock+%28Kit%29&amp;qid=1695174132&amp;sr=8-1")</f>
        <v>https://www.amazon.com/MilwaukeeTool-Milwaukee-Grinder-No-Lock-2880-22/dp/B09FBJL179/ref=sr_1_1?keywords=Milwaukee+2880-22+M18+FUEL%E2%84%A2+4-1%2F2%22+%2F+5%22+Grinder+Paddle+Switch%2C+No-Lock+%28Kit%29&amp;qid=1695174132&amp;sr=8-1</v>
      </c>
      <c r="F6524" t="s">
        <v>6742</v>
      </c>
      <c r="G6524" t="e">
        <f ca="1">_xludf.IMAGE("https://edmondsonsupply.com/cdn/shop/products/2880-22_1.png?v=1668015986")</f>
        <v>#NAME?</v>
      </c>
      <c r="H6524" t="e">
        <f ca="1">_xludf.IMAGE("https://m.media-amazon.com/images/I/61Vmp8uxgHL._AC_UL320_.jpg")</f>
        <v>#NAME?</v>
      </c>
      <c r="I6524" t="s">
        <v>7130</v>
      </c>
      <c r="J6524">
        <v>379.94</v>
      </c>
      <c r="K6524" s="4">
        <v>-0.15379999999999999</v>
      </c>
      <c r="L6524">
        <v>4.8</v>
      </c>
      <c r="M6524">
        <v>8</v>
      </c>
      <c r="O6524" t="s">
        <v>171</v>
      </c>
      <c r="P6524" t="s">
        <v>7131</v>
      </c>
      <c r="Q6524" t="s">
        <v>7132</v>
      </c>
    </row>
    <row r="6525" spans="1:17" ht="15.5" x14ac:dyDescent="0.35">
      <c r="A6525"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6525"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6525" t="s">
        <v>8676</v>
      </c>
      <c r="D6525" t="s">
        <v>6933</v>
      </c>
      <c r="E6525" s="3" t="str">
        <f>HYPERLINK("https://www.amazon.com/Diablo-Freud-DOU125JBW3-Universal-Oscillating/dp/B089KX3SWM/ref=sr_1_2?keywords=Diablo+Tools+DOU250JBW3+2-1%2F2+in.+Universal+Fit+Bi-Metal+Oscillating+Blade+for+Clean+Wood+%283+pk%29&amp;qid=1695174010&amp;sr=8-2", "https://www.amazon.com/Diablo-Freud-DOU125JBW3-Universal-Oscillating/dp/B089KX3SWM/ref=sr_1_2?keywords=Diablo+Tools+DOU250JBW3+2-1%2F2+in.+Universal+Fit+Bi-Metal+Oscillating+Blade+for+Clean+Wood+%283+pk%29&amp;qid=1695174010&amp;sr=8-2")</f>
        <v>https://www.amazon.com/Diablo-Freud-DOU125JBW3-Universal-Oscillating/dp/B089KX3SWM/ref=sr_1_2?keywords=Diablo+Tools+DOU250JBW3+2-1%2F2+in.+Universal+Fit+Bi-Metal+Oscillating+Blade+for+Clean+Wood+%283+pk%29&amp;qid=1695174010&amp;sr=8-2</v>
      </c>
      <c r="F6525" t="s">
        <v>6934</v>
      </c>
      <c r="G6525" t="e">
        <f ca="1">_xludf.IMAGE("https://edmondsonsupply.com/cdn/shop/files/pycnap4eb1urn2hxvudq_1.webp?v=1685719587")</f>
        <v>#NAME?</v>
      </c>
      <c r="H6525" t="e">
        <f ca="1">_xludf.IMAGE("https://m.media-amazon.com/images/I/61wFHtmEH5L._AC_UL320_.jpg")</f>
        <v>#NAME?</v>
      </c>
      <c r="I6525" t="s">
        <v>5940</v>
      </c>
      <c r="J6525">
        <v>26.5</v>
      </c>
      <c r="K6525" s="4">
        <v>-0.15390000000000001</v>
      </c>
      <c r="L6525">
        <v>4.5</v>
      </c>
      <c r="M6525">
        <v>48</v>
      </c>
      <c r="O6525" t="s">
        <v>25</v>
      </c>
      <c r="P6525" t="s">
        <v>8677</v>
      </c>
      <c r="Q6525" t="s">
        <v>8678</v>
      </c>
    </row>
    <row r="6526" spans="1:17" ht="15.5" x14ac:dyDescent="0.35">
      <c r="A6526"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6526" s="3" t="str">
        <f>HYPERLINK("https://edmondsonsupply.com/products/klein-tools-32307-27-in-1-multi-bit-tamperproof-screwdriver", "https://edmondsonsupply.com/products/klein-tools-32307-27-in-1-multi-bit-tamperproof-screwdriver")</f>
        <v>https://edmondsonsupply.com/products/klein-tools-32307-27-in-1-multi-bit-tamperproof-screwdriver</v>
      </c>
      <c r="C6526" t="s">
        <v>6847</v>
      </c>
      <c r="D6526" t="s">
        <v>7777</v>
      </c>
      <c r="E6526" s="3" t="str">
        <f>HYPERLINK("https://www.amazon.com/Klein-Tools-32500HD-Multi-Bit-Screwdriver/dp/B0C9V6NYZ4/ref=sr_1_10?keywords=Klein+Tools+32307+27-in-1+Multi-Bit+Tamperproof+Screwdriver&amp;qid=1695174232&amp;sr=8-10", "https://www.amazon.com/Klein-Tools-32500HD-Multi-Bit-Screwdriver/dp/B0C9V6NYZ4/ref=sr_1_10?keywords=Klein+Tools+32307+27-in-1+Multi-Bit+Tamperproof+Screwdriver&amp;qid=1695174232&amp;sr=8-10")</f>
        <v>https://www.amazon.com/Klein-Tools-32500HD-Multi-Bit-Screwdriver/dp/B0C9V6NYZ4/ref=sr_1_10?keywords=Klein+Tools+32307+27-in-1+Multi-Bit+Tamperproof+Screwdriver&amp;qid=1695174232&amp;sr=8-10</v>
      </c>
      <c r="F6526" t="s">
        <v>7778</v>
      </c>
      <c r="G6526" t="e">
        <f ca="1">_xludf.IMAGE("https://edmondsonsupply.com/cdn/shop/products/32307.jpg?v=1647347524")</f>
        <v>#NAME?</v>
      </c>
      <c r="H6526" t="e">
        <f ca="1">_xludf.IMAGE("https://m.media-amazon.com/images/I/41OcyKmA3fL._AC_UL320_.jpg")</f>
        <v>#NAME?</v>
      </c>
      <c r="I6526" t="s">
        <v>911</v>
      </c>
      <c r="J6526">
        <v>21.97</v>
      </c>
      <c r="K6526" s="4">
        <v>-0.154</v>
      </c>
      <c r="L6526">
        <v>4.7</v>
      </c>
      <c r="M6526">
        <v>52</v>
      </c>
      <c r="O6526" t="s">
        <v>25</v>
      </c>
      <c r="P6526" t="s">
        <v>6850</v>
      </c>
      <c r="Q6526" t="s">
        <v>6851</v>
      </c>
    </row>
    <row r="6527" spans="1:17" ht="15.5" x14ac:dyDescent="0.35">
      <c r="A6527"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6527" s="3" t="str">
        <f>HYPERLINK("https://edmondsonsupply.com/products/klein-tools-32307-27-in-1-multi-bit-tamperproof-screwdriver", "https://edmondsonsupply.com/products/klein-tools-32307-27-in-1-multi-bit-tamperproof-screwdriver")</f>
        <v>https://edmondsonsupply.com/products/klein-tools-32307-27-in-1-multi-bit-tamperproof-screwdriver</v>
      </c>
      <c r="C6527" t="s">
        <v>6847</v>
      </c>
      <c r="D6527" t="s">
        <v>8102</v>
      </c>
      <c r="E6527" s="3" t="str">
        <f>HYPERLINK("https://www.amazon.com/Klein-Tools-32305-Ratcheting-Screwdriver/dp/B08KFMHQCP/ref=sr_1_5?keywords=Klein+Tools+32307+27-in-1+Multi-Bit+Tamperproof+Screwdriver&amp;qid=1695174232&amp;sr=8-5", "https://www.amazon.com/Klein-Tools-32305-Ratcheting-Screwdriver/dp/B08KFMHQCP/ref=sr_1_5?keywords=Klein+Tools+32307+27-in-1+Multi-Bit+Tamperproof+Screwdriver&amp;qid=1695174232&amp;sr=8-5")</f>
        <v>https://www.amazon.com/Klein-Tools-32305-Ratcheting-Screwdriver/dp/B08KFMHQCP/ref=sr_1_5?keywords=Klein+Tools+32307+27-in-1+Multi-Bit+Tamperproof+Screwdriver&amp;qid=1695174232&amp;sr=8-5</v>
      </c>
      <c r="F6527" t="s">
        <v>8103</v>
      </c>
      <c r="G6527" t="e">
        <f ca="1">_xludf.IMAGE("https://edmondsonsupply.com/cdn/shop/products/32307.jpg?v=1647347524")</f>
        <v>#NAME?</v>
      </c>
      <c r="H6527" t="e">
        <f ca="1">_xludf.IMAGE("https://m.media-amazon.com/images/I/51jA6YSPgmL._AC_UL320_.jpg")</f>
        <v>#NAME?</v>
      </c>
      <c r="I6527" t="s">
        <v>911</v>
      </c>
      <c r="J6527">
        <v>21.97</v>
      </c>
      <c r="K6527" s="4">
        <v>-0.154</v>
      </c>
      <c r="L6527">
        <v>4.7</v>
      </c>
      <c r="M6527">
        <v>6069</v>
      </c>
      <c r="O6527" t="s">
        <v>25</v>
      </c>
      <c r="P6527" t="s">
        <v>6850</v>
      </c>
      <c r="Q6527" t="s">
        <v>6851</v>
      </c>
    </row>
    <row r="6528" spans="1:17" ht="15.5" x14ac:dyDescent="0.35">
      <c r="A6528" s="3" t="str">
        <f>HYPERLINK("https://edmondsonsupply.com/collections/electricians-tools/products/klein-tools-55580-tradesman-tumbler", "https://edmondsonsupply.com/collections/electricians-tools/products/klein-tools-55580-tradesman-tumbler")</f>
        <v>https://edmondsonsupply.com/collections/electricians-tools/products/klein-tools-55580-tradesman-tumbler</v>
      </c>
      <c r="B6528" s="3" t="str">
        <f>HYPERLINK("https://edmondsonsupply.com/products/klein-tools-55580-tradesman-tumbler", "https://edmondsonsupply.com/products/klein-tools-55580-tradesman-tumbler")</f>
        <v>https://edmondsonsupply.com/products/klein-tools-55580-tradesman-tumbler</v>
      </c>
      <c r="C6528" t="s">
        <v>1947</v>
      </c>
      <c r="D6528" t="s">
        <v>5200</v>
      </c>
      <c r="E6528" s="3" t="str">
        <f>HYPERLINK("https://www.amazon.com/Klein-Tools-KLEBE-55580-Slip-resistant/dp/B08DDWFFPW/ref=sr_1_1?keywords=Klein+Tools+55580+Tradesman+Tumbler&amp;qid=1695173884&amp;sr=8-1", "https://www.amazon.com/Klein-Tools-KLEBE-55580-Slip-resistant/dp/B08DDWFFPW/ref=sr_1_1?keywords=Klein+Tools+55580+Tradesman+Tumbler&amp;qid=1695173884&amp;sr=8-1")</f>
        <v>https://www.amazon.com/Klein-Tools-KLEBE-55580-Slip-resistant/dp/B08DDWFFPW/ref=sr_1_1?keywords=Klein+Tools+55580+Tradesman+Tumbler&amp;qid=1695173884&amp;sr=8-1</v>
      </c>
      <c r="F6528" t="s">
        <v>5201</v>
      </c>
      <c r="G6528" t="e">
        <f ca="1">_xludf.IMAGE("https://edmondsonsupply.com/cdn/shop/products/55580.jpg?v=1633030612")</f>
        <v>#NAME?</v>
      </c>
      <c r="H6528" t="e">
        <f ca="1">_xludf.IMAGE("https://m.media-amazon.com/images/I/51N6slkt0eL._AC_UL320_.jpg")</f>
        <v>#NAME?</v>
      </c>
      <c r="I6528" t="s">
        <v>824</v>
      </c>
      <c r="J6528">
        <v>25.33</v>
      </c>
      <c r="K6528" s="4">
        <v>-0.15479999999999999</v>
      </c>
      <c r="L6528">
        <v>4.8</v>
      </c>
      <c r="M6528">
        <v>2155</v>
      </c>
      <c r="O6528" t="s">
        <v>25</v>
      </c>
      <c r="P6528" t="s">
        <v>562</v>
      </c>
      <c r="Q6528" t="s">
        <v>1950</v>
      </c>
    </row>
    <row r="6529" spans="1:17" ht="15.5" x14ac:dyDescent="0.35">
      <c r="A6529"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6529" s="3" t="str">
        <f>HYPERLINK("https://edmondsonsupply.com/products/amprobe-thwd-3-relative-humidity-temperature-meter", "https://edmondsonsupply.com/products/amprobe-thwd-3-relative-humidity-temperature-meter")</f>
        <v>https://edmondsonsupply.com/products/amprobe-thwd-3-relative-humidity-temperature-meter</v>
      </c>
      <c r="C6529" t="s">
        <v>7258</v>
      </c>
      <c r="D6529" t="s">
        <v>8679</v>
      </c>
      <c r="E6529" s="3" t="str">
        <f>HYPERLINK("https://www.amazon.com/Amprobe-TH-3-Relative-Humidity-Temperature/dp/B0029XMTJ6/ref=sr_1_2?keywords=Amprobe+THWD-3+Relative+Humidity+Temperature+Meter&amp;qid=1695174239&amp;sr=8-2", "https://www.amazon.com/Amprobe-TH-3-Relative-Humidity-Temperature/dp/B0029XMTJ6/ref=sr_1_2?keywords=Amprobe+THWD-3+Relative+Humidity+Temperature+Meter&amp;qid=1695174239&amp;sr=8-2")</f>
        <v>https://www.amazon.com/Amprobe-TH-3-Relative-Humidity-Temperature/dp/B0029XMTJ6/ref=sr_1_2?keywords=Amprobe+THWD-3+Relative+Humidity+Temperature+Meter&amp;qid=1695174239&amp;sr=8-2</v>
      </c>
      <c r="F6529" t="s">
        <v>8680</v>
      </c>
      <c r="G6529" t="e">
        <f ca="1">_xludf.IMAGE("https://edmondsonsupply.com/cdn/shop/products/THWD-3.png?v=1633526329")</f>
        <v>#NAME?</v>
      </c>
      <c r="H6529" t="e">
        <f ca="1">_xludf.IMAGE("https://m.media-amazon.com/images/I/51Bf-3J0HbL._AC_UY218_.jpg")</f>
        <v>#NAME?</v>
      </c>
      <c r="I6529" t="s">
        <v>7261</v>
      </c>
      <c r="J6529">
        <v>149</v>
      </c>
      <c r="K6529" s="4">
        <v>-0.15509999999999999</v>
      </c>
      <c r="L6529">
        <v>4.2</v>
      </c>
      <c r="M6529">
        <v>28</v>
      </c>
      <c r="O6529" t="s">
        <v>25</v>
      </c>
      <c r="P6529" t="s">
        <v>4452</v>
      </c>
      <c r="Q6529" t="s">
        <v>7262</v>
      </c>
    </row>
    <row r="6530" spans="1:17" ht="15.5" x14ac:dyDescent="0.35">
      <c r="A6530"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530"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530" t="s">
        <v>2903</v>
      </c>
      <c r="D6530" t="s">
        <v>5202</v>
      </c>
      <c r="E6530" s="3" t="str">
        <f>HYPERLINK("https://www.amazon.com/Diablo-SDS-Max-4-Cutter-Carbide-Hammer/dp/B089LN5QN7/ref=sr_1_1?keywords=Diablo+Tools+DMAMX1300+1-1%2F4+in.+x+16+in.+x+21+in.+Rebar+Demon%E2%84%A2+SDS-Max+4-Cutter+Full+Carbide+Head+Hammer+Drill+Bit&amp;qid=1695173871&amp;sr=8-1", "https://www.amazon.com/Diablo-SDS-Max-4-Cutter-Carbide-Hammer/dp/B089LN5QN7/ref=sr_1_1?keywords=Diablo+Tools+DMAMX1300+1-1%2F4+in.+x+16+in.+x+21+in.+Rebar+Demon%E2%84%A2+SDS-Max+4-Cutter+Full+Carbide+Head+Hammer+Drill+Bit&amp;qid=1695173871&amp;sr=8-1")</f>
        <v>https://www.amazon.com/Diablo-SDS-Max-4-Cutter-Carbide-Hammer/dp/B089LN5QN7/ref=sr_1_1?keywords=Diablo+Tools+DMAMX1300+1-1%2F4+in.+x+16+in.+x+21+in.+Rebar+Demon%E2%84%A2+SDS-Max+4-Cutter+Full+Carbide+Head+Hammer+Drill+Bit&amp;qid=1695173871&amp;sr=8-1</v>
      </c>
      <c r="F6530" t="s">
        <v>5203</v>
      </c>
      <c r="G6530" t="e">
        <f ca="1">_xludf.IMAGE("https://edmondsonsupply.com/cdn/shop/files/immoyh7jjmbau4fzhuq6_7dd7fd73-2865-4c12-9443-da45b48dbd51.webp?v=1685465465")</f>
        <v>#NAME?</v>
      </c>
      <c r="H6530" t="e">
        <f ca="1">_xludf.IMAGE("https://m.media-amazon.com/images/I/6182PTqKZGL._AC_UL320_.jpg")</f>
        <v>#NAME?</v>
      </c>
      <c r="I6530" t="s">
        <v>2906</v>
      </c>
      <c r="J6530">
        <v>55.99</v>
      </c>
      <c r="K6530" s="4">
        <v>-0.15679999999999999</v>
      </c>
      <c r="L6530">
        <v>3.6</v>
      </c>
      <c r="M6530">
        <v>4</v>
      </c>
      <c r="O6530" t="s">
        <v>171</v>
      </c>
      <c r="P6530" t="s">
        <v>2907</v>
      </c>
      <c r="Q6530" t="s">
        <v>2908</v>
      </c>
    </row>
    <row r="6531" spans="1:17" ht="15.5" x14ac:dyDescent="0.35">
      <c r="A6531" s="3" t="str">
        <f>HYPERLINK("https://edmondsonsupply.com/collections/electricians-tools/products/diablo-tools-dou5-5-pc-universal-fit-general-purpose-oscillating-blade-set", "https://edmondsonsupply.com/collections/electricians-tools/products/diablo-tools-dou5-5-pc-universal-fit-general-purpose-oscillating-blade-set")</f>
        <v>https://edmondsonsupply.com/collections/electricians-tools/products/diablo-tools-dou5-5-pc-universal-fit-general-purpose-oscillating-blade-set</v>
      </c>
      <c r="B6531" s="3" t="str">
        <f>HYPERLINK("https://edmondsonsupply.com/products/diablo-tools-dou5-5-pc-universal-fit-general-purpose-oscillating-blade-set", "https://edmondsonsupply.com/products/diablo-tools-dou5-5-pc-universal-fit-general-purpose-oscillating-blade-set")</f>
        <v>https://edmondsonsupply.com/products/diablo-tools-dou5-5-pc-universal-fit-general-purpose-oscillating-blade-set</v>
      </c>
      <c r="C6531" t="s">
        <v>8681</v>
      </c>
      <c r="D6531" t="s">
        <v>8682</v>
      </c>
      <c r="E6531" s="3" t="str">
        <f>HYPERLINK("https://www.amazon.com/Diablo-Universal-General-Purpose-Oscillating/dp/B089LGBDQZ/ref=sr_1_2?keywords=Diablo+Tools+DOU5S+5+pc+Universal+Fit+General+Purpose+Oscillating+Blade+Set&amp;qid=1695174254&amp;sr=8-2", "https://www.amazon.com/Diablo-Universal-General-Purpose-Oscillating/dp/B089LGBDQZ/ref=sr_1_2?keywords=Diablo+Tools+DOU5S+5+pc+Universal+Fit+General+Purpose+Oscillating+Blade+Set&amp;qid=1695174254&amp;sr=8-2")</f>
        <v>https://www.amazon.com/Diablo-Universal-General-Purpose-Oscillating/dp/B089LGBDQZ/ref=sr_1_2?keywords=Diablo+Tools+DOU5S+5+pc+Universal+Fit+General+Purpose+Oscillating+Blade+Set&amp;qid=1695174254&amp;sr=8-2</v>
      </c>
      <c r="F6531" t="s">
        <v>8683</v>
      </c>
      <c r="G6531" t="e">
        <f ca="1">_xludf.IMAGE("https://edmondsonsupply.com/cdn/shop/products/DOU5S_Main-Image.png?v=1633031102")</f>
        <v>#NAME?</v>
      </c>
      <c r="H6531" t="e">
        <f ca="1">_xludf.IMAGE("https://m.media-amazon.com/images/I/71lYBgp1z8L._AC_UL320_.jpg")</f>
        <v>#NAME?</v>
      </c>
      <c r="I6531" t="s">
        <v>380</v>
      </c>
      <c r="J6531">
        <v>42</v>
      </c>
      <c r="K6531" s="4">
        <v>-0.1595</v>
      </c>
      <c r="L6531">
        <v>4.7</v>
      </c>
      <c r="M6531">
        <v>538</v>
      </c>
      <c r="O6531" t="s">
        <v>25</v>
      </c>
      <c r="P6531" t="s">
        <v>8684</v>
      </c>
      <c r="Q6531" t="s">
        <v>8685</v>
      </c>
    </row>
    <row r="6532" spans="1:17" ht="15.5" x14ac:dyDescent="0.35">
      <c r="A6532"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6532"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6532" t="s">
        <v>7545</v>
      </c>
      <c r="D6532" t="s">
        <v>8686</v>
      </c>
      <c r="E6532" s="3" t="str">
        <f>HYPERLINK("https://www.amazon.com/Klein-Tools-80124-Electrical-Thermocouple/dp/B0BDMTGCD3/ref=sr_1_8?keywords=Klein+Tools+CL320KIT+HVAC+Digital+Clamp+Meter+Electrical+Test+Kit&amp;qid=1695174178&amp;sr=8-8", "https://www.amazon.com/Klein-Tools-80124-Electrical-Thermocouple/dp/B0BDMTGCD3/ref=sr_1_8?keywords=Klein+Tools+CL320KIT+HVAC+Digital+Clamp+Meter+Electrical+Test+Kit&amp;qid=1695174178&amp;sr=8-8")</f>
        <v>https://www.amazon.com/Klein-Tools-80124-Electrical-Thermocouple/dp/B0BDMTGCD3/ref=sr_1_8?keywords=Klein+Tools+CL320KIT+HVAC+Digital+Clamp+Meter+Electrical+Test+Kit&amp;qid=1695174178&amp;sr=8-8</v>
      </c>
      <c r="F6532" t="s">
        <v>8687</v>
      </c>
      <c r="G6532" t="e">
        <f ca="1">_xludf.IMAGE("https://edmondsonsupply.com/cdn/shop/products/cl320kit_photo.jpg?v=1660753251")</f>
        <v>#NAME?</v>
      </c>
      <c r="H6532" t="e">
        <f ca="1">_xludf.IMAGE("https://m.media-amazon.com/images/I/61kj1vi1GeL._AC_UY218_.jpg")</f>
        <v>#NAME?</v>
      </c>
      <c r="I6532" t="s">
        <v>7548</v>
      </c>
      <c r="J6532">
        <v>99.99</v>
      </c>
      <c r="K6532" s="4">
        <v>-0.15970000000000001</v>
      </c>
      <c r="L6532">
        <v>4.7</v>
      </c>
      <c r="M6532">
        <v>15</v>
      </c>
      <c r="O6532" t="s">
        <v>25</v>
      </c>
      <c r="P6532" t="s">
        <v>7549</v>
      </c>
      <c r="Q6532" t="s">
        <v>7550</v>
      </c>
    </row>
    <row r="6533" spans="1:17" ht="15.5" x14ac:dyDescent="0.35">
      <c r="A6533"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6533" s="3" t="str">
        <f>HYPERLINK("https://edmondsonsupply.com/products/milwaukee-49-90-1900-hepa-filter", "https://edmondsonsupply.com/products/milwaukee-49-90-1900-hepa-filter")</f>
        <v>https://edmondsonsupply.com/products/milwaukee-49-90-1900-hepa-filter</v>
      </c>
      <c r="C6533" t="s">
        <v>5831</v>
      </c>
      <c r="D6533" t="s">
        <v>5928</v>
      </c>
      <c r="E6533" s="3" t="str">
        <f>HYPERLINK("https://www.amazon.com/Cabiclean-Replacement-Compatible-Milwaukee-49-90-1900/dp/B081V5362Z/ref=sr_1_1?keywords=Milwaukee+49-90-1900+HEPA+Filter&amp;qid=1695174010&amp;sr=8-1", "https://www.amazon.com/Cabiclean-Replacement-Compatible-Milwaukee-49-90-1900/dp/B081V5362Z/ref=sr_1_1?keywords=Milwaukee+49-90-1900+HEPA+Filter&amp;qid=1695174010&amp;sr=8-1")</f>
        <v>https://www.amazon.com/Cabiclean-Replacement-Compatible-Milwaukee-49-90-1900/dp/B081V5362Z/ref=sr_1_1?keywords=Milwaukee+49-90-1900+HEPA+Filter&amp;qid=1695174010&amp;sr=8-1</v>
      </c>
      <c r="F6533" t="s">
        <v>5929</v>
      </c>
      <c r="G6533" t="e">
        <f ca="1">_xludf.IMAGE("https://edmondsonsupply.com/cdn/shop/files/49-90-1900_1.png?v=1686234774")</f>
        <v>#NAME?</v>
      </c>
      <c r="H6533" t="e">
        <f ca="1">_xludf.IMAGE("https://m.media-amazon.com/images/I/617tGPzavaL._AC_UL320_.jpg")</f>
        <v>#NAME?</v>
      </c>
      <c r="I6533" t="s">
        <v>2170</v>
      </c>
      <c r="J6533">
        <v>20.96</v>
      </c>
      <c r="K6533" s="4">
        <v>-0.16089999999999999</v>
      </c>
      <c r="L6533">
        <v>4.7</v>
      </c>
      <c r="M6533">
        <v>724</v>
      </c>
      <c r="O6533" t="s">
        <v>25</v>
      </c>
      <c r="P6533" t="s">
        <v>2470</v>
      </c>
      <c r="Q6533" t="s">
        <v>5834</v>
      </c>
    </row>
    <row r="6534" spans="1:17" ht="15.5" x14ac:dyDescent="0.35">
      <c r="A6534" s="3" t="str">
        <f>HYPERLINK("https://edmondsonsupply.com/collections/electricians-tools/products/klein-tools-d213-9nett-pliers-high-leverage-side-cutters-tether-ring", "https://edmondsonsupply.com/collections/electricians-tools/products/klein-tools-d213-9nett-pliers-high-leverage-side-cutters-tether-ring")</f>
        <v>https://edmondsonsupply.com/collections/electricians-tools/products/klein-tools-d213-9nett-pliers-high-leverage-side-cutters-tether-ring</v>
      </c>
      <c r="B6534" s="3" t="str">
        <f>HYPERLINK("https://edmondsonsupply.com/products/klein-tools-d213-9nett-pliers-high-leverage-side-cutters-tether-ring", "https://edmondsonsupply.com/products/klein-tools-d213-9nett-pliers-high-leverage-side-cutters-tether-ring")</f>
        <v>https://edmondsonsupply.com/products/klein-tools-d213-9nett-pliers-high-leverage-side-cutters-tether-ring</v>
      </c>
      <c r="C6534" t="s">
        <v>8289</v>
      </c>
      <c r="D6534" t="s">
        <v>8688</v>
      </c>
      <c r="E6534" s="3" t="str">
        <f>HYPERLINK("https://www.amazon.com/Klein-Tools-D213-8NE-Linemans-Pliers/dp/B000UQ5QW6/ref=sr_1_6?keywords=Klein+Tools+D213-9NETT+Pliers%2C+High-Leverage+Side+Cutters%2C+Tether+Ring&amp;qid=1695174214&amp;sr=8-6", "https://www.amazon.com/Klein-Tools-D213-8NE-Linemans-Pliers/dp/B000UQ5QW6/ref=sr_1_6?keywords=Klein+Tools+D213-9NETT+Pliers%2C+High-Leverage+Side+Cutters%2C+Tether+Ring&amp;qid=1695174214&amp;sr=8-6")</f>
        <v>https://www.amazon.com/Klein-Tools-D213-8NE-Linemans-Pliers/dp/B000UQ5QW6/ref=sr_1_6?keywords=Klein+Tools+D213-9NETT+Pliers%2C+High-Leverage+Side+Cutters%2C+Tether+Ring&amp;qid=1695174214&amp;sr=8-6</v>
      </c>
      <c r="F6534" t="s">
        <v>8689</v>
      </c>
      <c r="G6534" t="e">
        <f ca="1">_xludf.IMAGE("https://edmondsonsupply.com/cdn/shop/products/d2139nett.jpg?v=1647394939")</f>
        <v>#NAME?</v>
      </c>
      <c r="H6534" t="e">
        <f ca="1">_xludf.IMAGE("https://m.media-amazon.com/images/I/51QNEEU4fsL._AC_UL320_.jpg")</f>
        <v>#NAME?</v>
      </c>
      <c r="I6534" t="s">
        <v>198</v>
      </c>
      <c r="J6534">
        <v>33.49</v>
      </c>
      <c r="K6534" s="4">
        <v>-0.16250000000000001</v>
      </c>
      <c r="L6534">
        <v>4.5999999999999996</v>
      </c>
      <c r="M6534">
        <v>417</v>
      </c>
      <c r="O6534" t="s">
        <v>25</v>
      </c>
      <c r="P6534" t="s">
        <v>8292</v>
      </c>
      <c r="Q6534" t="s">
        <v>8293</v>
      </c>
    </row>
    <row r="6535" spans="1:17" ht="15.5" x14ac:dyDescent="0.35">
      <c r="A6535"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6535" s="3" t="str">
        <f>HYPERLINK("https://edmondsonsupply.com/products/fluke-325-true-rms-clamp-meter", "https://edmondsonsupply.com/products/fluke-325-true-rms-clamp-meter")</f>
        <v>https://edmondsonsupply.com/products/fluke-325-true-rms-clamp-meter</v>
      </c>
      <c r="C6535" t="s">
        <v>7585</v>
      </c>
      <c r="D6535" t="s">
        <v>8690</v>
      </c>
      <c r="E6535" s="3" t="str">
        <f>HYPERLINK("https://www.amazon.com/Fluke-Clamp-Multimeter-AC-DC-TRMS/dp/B0091EXB2A/ref=sr_1_1?keywords=Fluke+325+True+RMS+Clamp+Meter&amp;qid=1695174241&amp;sr=8-1", "https://www.amazon.com/Fluke-Clamp-Multimeter-AC-DC-TRMS/dp/B0091EXB2A/ref=sr_1_1?keywords=Fluke+325+True+RMS+Clamp+Meter&amp;qid=1695174241&amp;sr=8-1")</f>
        <v>https://www.amazon.com/Fluke-Clamp-Multimeter-AC-DC-TRMS/dp/B0091EXB2A/ref=sr_1_1?keywords=Fluke+325+True+RMS+Clamp+Meter&amp;qid=1695174241&amp;sr=8-1</v>
      </c>
      <c r="F6535" t="s">
        <v>8691</v>
      </c>
      <c r="G6535" t="e">
        <f ca="1">_xludf.IMAGE("https://edmondsonsupply.com/cdn/shop/products/Fluke_325_clamp_meter_1280x873px_E_NR-14655.jpg?v=1688679209")</f>
        <v>#NAME?</v>
      </c>
      <c r="H6535" t="e">
        <f ca="1">_xludf.IMAGE("https://m.media-amazon.com/images/I/51VwXbOhWjL._AC_UY218_.jpg")</f>
        <v>#NAME?</v>
      </c>
      <c r="I6535" t="s">
        <v>7586</v>
      </c>
      <c r="J6535">
        <v>312.45999999999998</v>
      </c>
      <c r="K6535" s="4">
        <v>-0.16339999999999999</v>
      </c>
      <c r="L6535">
        <v>4.7</v>
      </c>
      <c r="M6535">
        <v>931</v>
      </c>
      <c r="O6535" t="s">
        <v>25</v>
      </c>
      <c r="P6535" t="s">
        <v>4069</v>
      </c>
      <c r="Q6535" t="s">
        <v>7587</v>
      </c>
    </row>
    <row r="6536" spans="1:17" ht="15.5" x14ac:dyDescent="0.35">
      <c r="A6536" s="3" t="str">
        <f>HYPERLINK("https://edmondsonsupply.com/collections/electricians-tools/products/klein-tools-6846ins-insulated-screwdriver-2-square-tip-6-inch-round-shank", "https://edmondsonsupply.com/collections/electricians-tools/products/klein-tools-6846ins-insulated-screwdriver-2-square-tip-6-inch-round-shank")</f>
        <v>https://edmondsonsupply.com/collections/electricians-tools/products/klein-tools-6846ins-insulated-screwdriver-2-square-tip-6-inch-round-shank</v>
      </c>
      <c r="B6536" s="3" t="str">
        <f>HYPERLINK("https://edmondsonsupply.com/products/klein-tools-6846ins-insulated-screwdriver-2-square-tip-6-inch-round-shank", "https://edmondsonsupply.com/products/klein-tools-6846ins-insulated-screwdriver-2-square-tip-6-inch-round-shank")</f>
        <v>https://edmondsonsupply.com/products/klein-tools-6846ins-insulated-screwdriver-2-square-tip-6-inch-round-shank</v>
      </c>
      <c r="C6536" t="s">
        <v>7423</v>
      </c>
      <c r="D6536" t="s">
        <v>7864</v>
      </c>
      <c r="E6536" s="3" t="str">
        <f>HYPERLINK("https://www.amazon.com/Klein-Tools-6844INS-Screwdriver-Cushion-Grip/dp/B0BF7L6BZ6/ref=sr_1_3?keywords=Klein+Tools+6846INS+Insulated+Screwdriver%2C+%232+Square+Tip%2C+6-Inch+Round+Shank&amp;qid=1695174148&amp;sr=8-3", "https://www.amazon.com/Klein-Tools-6844INS-Screwdriver-Cushion-Grip/dp/B0BF7L6BZ6/ref=sr_1_3?keywords=Klein+Tools+6846INS+Insulated+Screwdriver%2C+%232+Square+Tip%2C+6-Inch+Round+Shank&amp;qid=1695174148&amp;sr=8-3")</f>
        <v>https://www.amazon.com/Klein-Tools-6844INS-Screwdriver-Cushion-Grip/dp/B0BF7L6BZ6/ref=sr_1_3?keywords=Klein+Tools+6846INS+Insulated+Screwdriver%2C+%232+Square+Tip%2C+6-Inch+Round+Shank&amp;qid=1695174148&amp;sr=8-3</v>
      </c>
      <c r="F6536" t="s">
        <v>7865</v>
      </c>
      <c r="G6536" t="e">
        <f ca="1">_xludf.IMAGE("https://edmondsonsupply.com/cdn/shop/products/6846ins.jpg?v=1664817571")</f>
        <v>#NAME?</v>
      </c>
      <c r="H6536" t="e">
        <f ca="1">_xludf.IMAGE("https://m.media-amazon.com/images/I/41RKewAXjvL._AC_UL320_.jpg")</f>
        <v>#NAME?</v>
      </c>
      <c r="I6536" t="s">
        <v>6073</v>
      </c>
      <c r="J6536">
        <v>9.99</v>
      </c>
      <c r="K6536" s="4">
        <v>-0.16539999999999999</v>
      </c>
      <c r="L6536">
        <v>4.9000000000000004</v>
      </c>
      <c r="M6536">
        <v>205</v>
      </c>
      <c r="O6536" t="s">
        <v>25</v>
      </c>
      <c r="P6536" t="s">
        <v>6728</v>
      </c>
      <c r="Q6536" t="s">
        <v>7424</v>
      </c>
    </row>
    <row r="6537" spans="1:17" ht="15.5" x14ac:dyDescent="0.35">
      <c r="A6537" s="3" t="str">
        <f>HYPERLINK("https://edmondsonsupply.com/collections/electricians-tools/products/klein-tools-6826ins-insulated-screwdriver-1-4-inch-cabinet-tip-6-inch-shank", "https://edmondsonsupply.com/collections/electricians-tools/products/klein-tools-6826ins-insulated-screwdriver-1-4-inch-cabinet-tip-6-inch-shank")</f>
        <v>https://edmondsonsupply.com/collections/electricians-tools/products/klein-tools-6826ins-insulated-screwdriver-1-4-inch-cabinet-tip-6-inch-shank</v>
      </c>
      <c r="B6537" s="3" t="str">
        <f>HYPERLINK("https://edmondsonsupply.com/products/klein-tools-6826ins-insulated-screwdriver-1-4-inch-cabinet-tip-6-inch-shank", "https://edmondsonsupply.com/products/klein-tools-6826ins-insulated-screwdriver-1-4-inch-cabinet-tip-6-inch-shank")</f>
        <v>https://edmondsonsupply.com/products/klein-tools-6826ins-insulated-screwdriver-1-4-inch-cabinet-tip-6-inch-shank</v>
      </c>
      <c r="C6537" t="s">
        <v>6725</v>
      </c>
      <c r="D6537" t="s">
        <v>7866</v>
      </c>
      <c r="E6537" s="3" t="str">
        <f>HYPERLINK("https://www.amazon.com/Klein-Tools-6824INS-Screwdriver-Cushion-Grip/dp/B0BF78XBPX/ref=sr_1_3?keywords=Klein+Tools+6826INS+Insulated+Screwdriver%2C+1%2F4-Inch+Cabinet+Tip%2C+6-Inch+Shank&amp;qid=1695174154&amp;sr=8-3", "https://www.amazon.com/Klein-Tools-6824INS-Screwdriver-Cushion-Grip/dp/B0BF78XBPX/ref=sr_1_3?keywords=Klein+Tools+6826INS+Insulated+Screwdriver%2C+1%2F4-Inch+Cabinet+Tip%2C+6-Inch+Shank&amp;qid=1695174154&amp;sr=8-3")</f>
        <v>https://www.amazon.com/Klein-Tools-6824INS-Screwdriver-Cushion-Grip/dp/B0BF78XBPX/ref=sr_1_3?keywords=Klein+Tools+6826INS+Insulated+Screwdriver%2C+1%2F4-Inch+Cabinet+Tip%2C+6-Inch+Shank&amp;qid=1695174154&amp;sr=8-3</v>
      </c>
      <c r="F6537" t="s">
        <v>7867</v>
      </c>
      <c r="G6537" t="e">
        <f ca="1">_xludf.IMAGE("https://edmondsonsupply.com/cdn/shop/products/6826ins.jpg?v=1664814069")</f>
        <v>#NAME?</v>
      </c>
      <c r="H6537" t="e">
        <f ca="1">_xludf.IMAGE("https://m.media-amazon.com/images/I/410Gu3snLdL._AC_UL320_.jpg")</f>
        <v>#NAME?</v>
      </c>
      <c r="I6537" t="s">
        <v>6073</v>
      </c>
      <c r="J6537">
        <v>9.99</v>
      </c>
      <c r="K6537" s="4">
        <v>-0.16539999999999999</v>
      </c>
      <c r="L6537">
        <v>4.9000000000000004</v>
      </c>
      <c r="M6537">
        <v>205</v>
      </c>
      <c r="O6537" t="s">
        <v>25</v>
      </c>
      <c r="P6537" t="s">
        <v>6728</v>
      </c>
      <c r="Q6537" t="s">
        <v>6729</v>
      </c>
    </row>
    <row r="6538" spans="1:17" ht="15.5" x14ac:dyDescent="0.35">
      <c r="A6538" s="3" t="str">
        <f>HYPERLINK("https://edmondsonsupply.com/collections/electricians-tools/products/klein-tools-66050e-2-in-1-metric-impact-socket-set-12-point-5-piece", "https://edmondsonsupply.com/collections/electricians-tools/products/klein-tools-66050e-2-in-1-metric-impact-socket-set-12-point-5-piece")</f>
        <v>https://edmondsonsupply.com/collections/electricians-tools/products/klein-tools-66050e-2-in-1-metric-impact-socket-set-12-point-5-piece</v>
      </c>
      <c r="B6538" s="3" t="str">
        <f>HYPERLINK("https://edmondsonsupply.com/products/klein-tools-66050e-2-in-1-metric-impact-socket-set-12-point-5-piece", "https://edmondsonsupply.com/products/klein-tools-66050e-2-in-1-metric-impact-socket-set-12-point-5-piece")</f>
        <v>https://edmondsonsupply.com/products/klein-tools-66050e-2-in-1-metric-impact-socket-set-12-point-5-piece</v>
      </c>
      <c r="C6538" t="s">
        <v>7273</v>
      </c>
      <c r="D6538" t="s">
        <v>7974</v>
      </c>
      <c r="E6538" s="3" t="str">
        <f>HYPERLINK("https://www.amazon.com/Klein-Tools-5-Piece-6-Point-Sockets/dp/B08363H71P/ref=sr_1_2?keywords=Klein+Tools+66050E+2-in-1+Metric+Impact+Socket+Set%2C+12-Point%2C+5-Piece&amp;qid=1695174176&amp;sr=8-2", "https://www.amazon.com/Klein-Tools-5-Piece-6-Point-Sockets/dp/B08363H71P/ref=sr_1_2?keywords=Klein+Tools+66050E+2-in-1+Metric+Impact+Socket+Set%2C+12-Point%2C+5-Piece&amp;qid=1695174176&amp;sr=8-2")</f>
        <v>https://www.amazon.com/Klein-Tools-5-Piece-6-Point-Sockets/dp/B08363H71P/ref=sr_1_2?keywords=Klein+Tools+66050E+2-in-1+Metric+Impact+Socket+Set%2C+12-Point%2C+5-Piece&amp;qid=1695174176&amp;sr=8-2</v>
      </c>
      <c r="F6538" t="s">
        <v>7975</v>
      </c>
      <c r="G6538" t="e">
        <f ca="1">_xludf.IMAGE("https://edmondsonsupply.com/cdn/shop/products/66050e.jpg?v=1659120052")</f>
        <v>#NAME?</v>
      </c>
      <c r="H6538" t="e">
        <f ca="1">_xludf.IMAGE("https://m.media-amazon.com/images/I/618QcMhYqSL._AC_UL320_.jpg")</f>
        <v>#NAME?</v>
      </c>
      <c r="I6538" t="s">
        <v>7274</v>
      </c>
      <c r="J6538">
        <v>124.79</v>
      </c>
      <c r="K6538" s="4">
        <v>-0.16550000000000001</v>
      </c>
      <c r="L6538">
        <v>4.8</v>
      </c>
      <c r="M6538">
        <v>1158</v>
      </c>
      <c r="O6538" t="s">
        <v>25</v>
      </c>
      <c r="P6538" t="s">
        <v>7275</v>
      </c>
      <c r="Q6538" t="s">
        <v>7276</v>
      </c>
    </row>
    <row r="6539" spans="1:17" ht="15.5" x14ac:dyDescent="0.35">
      <c r="A6539" s="3" t="str">
        <f>HYPERLINK("https://edmondsonsupply.com/collections/electricians-tools/products/milwaukee-2553-22", "https://edmondsonsupply.com/collections/electricians-tools/products/milwaukee-2553-22")</f>
        <v>https://edmondsonsupply.com/collections/electricians-tools/products/milwaukee-2553-22</v>
      </c>
      <c r="B6539" s="3" t="str">
        <f>HYPERLINK("https://edmondsonsupply.com/products/milwaukee-2553-22", "https://edmondsonsupply.com/products/milwaukee-2553-22")</f>
        <v>https://edmondsonsupply.com/products/milwaukee-2553-22</v>
      </c>
      <c r="C6539" t="s">
        <v>6686</v>
      </c>
      <c r="D6539" t="s">
        <v>8692</v>
      </c>
      <c r="E6539" s="3" t="str">
        <f>HYPERLINK("https://www.amazon.com/Milwaukee-3453-22-Cordless-Lithium-Batteries/dp/B0BLT6PSKS/ref=sr_1_2?keywords=Milwaukee+2553-22+M12+FUEL%E2%84%A2+1%2F4%22+Hex+Impact+Driver+Kit&amp;qid=1695174118&amp;sr=8-2", "https://www.amazon.com/Milwaukee-3453-22-Cordless-Lithium-Batteries/dp/B0BLT6PSKS/ref=sr_1_2?keywords=Milwaukee+2553-22+M12+FUEL%E2%84%A2+1%2F4%22+Hex+Impact+Driver+Kit&amp;qid=1695174118&amp;sr=8-2")</f>
        <v>https://www.amazon.com/Milwaukee-3453-22-Cordless-Lithium-Batteries/dp/B0BLT6PSKS/ref=sr_1_2?keywords=Milwaukee+2553-22+M12+FUEL%E2%84%A2+1%2F4%22+Hex+Impact+Driver+Kit&amp;qid=1695174118&amp;sr=8-2</v>
      </c>
      <c r="F6539" t="s">
        <v>8693</v>
      </c>
      <c r="G6539" t="e">
        <f ca="1">_xludf.IMAGE("https://edmondsonsupply.com/cdn/shop/products/2553-22_Kit.webp?v=1668445129")</f>
        <v>#NAME?</v>
      </c>
      <c r="H6539" t="e">
        <f ca="1">_xludf.IMAGE("https://m.media-amazon.com/images/I/71EfdWfKpQL._AC_UL320_.jpg")</f>
        <v>#NAME?</v>
      </c>
      <c r="I6539" t="s">
        <v>6689</v>
      </c>
      <c r="J6539">
        <v>140.99</v>
      </c>
      <c r="K6539" s="4">
        <v>-0.16569999999999999</v>
      </c>
      <c r="L6539">
        <v>4.7</v>
      </c>
      <c r="M6539">
        <v>51</v>
      </c>
      <c r="O6539" t="s">
        <v>25</v>
      </c>
      <c r="P6539" t="s">
        <v>5012</v>
      </c>
      <c r="Q6539" t="s">
        <v>6690</v>
      </c>
    </row>
    <row r="6540" spans="1:17" ht="15.5" x14ac:dyDescent="0.35">
      <c r="A6540" s="3" t="str">
        <f>HYPERLINK("https://edmondsonsupply.com/collections/electricians-tools/products/klein-tools-ktsb15-step-drill-bit-15-double-fluted-7-8-to-1-3-8-inch", "https://edmondsonsupply.com/collections/electricians-tools/products/klein-tools-ktsb15-step-drill-bit-15-double-fluted-7-8-to-1-3-8-inch")</f>
        <v>https://edmondsonsupply.com/collections/electricians-tools/products/klein-tools-ktsb15-step-drill-bit-15-double-fluted-7-8-to-1-3-8-inch</v>
      </c>
      <c r="B6540" s="3" t="str">
        <f>HYPERLINK("https://edmondsonsupply.com/products/klein-tools-ktsb15-step-drill-bit-15-double-fluted-7-8-to-1-3-8-inch", "https://edmondsonsupply.com/products/klein-tools-ktsb15-step-drill-bit-15-double-fluted-7-8-to-1-3-8-inch")</f>
        <v>https://edmondsonsupply.com/products/klein-tools-ktsb15-step-drill-bit-15-double-fluted-7-8-to-1-3-8-inch</v>
      </c>
      <c r="C6540" t="s">
        <v>8694</v>
      </c>
      <c r="D6540" t="s">
        <v>8695</v>
      </c>
      <c r="E6540" s="3" t="str">
        <f>HYPERLINK("https://www.amazon.com/Klein-Tools-KTSB15-Double-Fluted/dp/B0171X0S0A/ref=sr_1_1?keywords=Klein+Tools+KTSB15+Step+Drill+Bit&amp;qid=1695174298&amp;sr=8-1", "https://www.amazon.com/Klein-Tools-KTSB15-Double-Fluted/dp/B0171X0S0A/ref=sr_1_1?keywords=Klein+Tools+KTSB15+Step+Drill+Bit&amp;qid=1695174298&amp;sr=8-1")</f>
        <v>https://www.amazon.com/Klein-Tools-KTSB15-Double-Fluted/dp/B0171X0S0A/ref=sr_1_1?keywords=Klein+Tools+KTSB15+Step+Drill+Bit&amp;qid=1695174298&amp;sr=8-1</v>
      </c>
      <c r="F6540" t="s">
        <v>8696</v>
      </c>
      <c r="G6540" t="e">
        <f ca="1">_xludf.IMAGE("https://edmondsonsupply.com/cdn/shop/products/ktsb15.jpg?v=1633030886")</f>
        <v>#NAME?</v>
      </c>
      <c r="H6540" t="e">
        <f ca="1">_xludf.IMAGE("https://m.media-amazon.com/images/I/511QhROPNmL._AC_UY218_.jpg")</f>
        <v>#NAME?</v>
      </c>
      <c r="I6540" t="s">
        <v>5197</v>
      </c>
      <c r="J6540">
        <v>49.99</v>
      </c>
      <c r="K6540" s="4">
        <v>-0.16639999999999999</v>
      </c>
      <c r="L6540">
        <v>4.7</v>
      </c>
      <c r="M6540">
        <v>1773</v>
      </c>
      <c r="O6540" t="s">
        <v>25</v>
      </c>
      <c r="P6540" t="s">
        <v>8697</v>
      </c>
      <c r="Q6540" t="s">
        <v>8698</v>
      </c>
    </row>
    <row r="6541" spans="1:17" ht="15.5" x14ac:dyDescent="0.35">
      <c r="A6541" s="3" t="str">
        <f>HYPERLINK("https://edmondsonsupply.com/collections/electricians-tools/products/copy-of-klein-tools-55918-tradesman-pro%E2%84%A2-modular-tool-belt", "https://edmondsonsupply.com/collections/electricians-tools/products/copy-of-klein-tools-55918-tradesman-pro%E2%84%A2-modular-tool-belt")</f>
        <v>https://edmondsonsupply.com/collections/electricians-tools/products/copy-of-klein-tools-55918-tradesman-pro%E2%84%A2-modular-tool-belt</v>
      </c>
      <c r="B6541" s="3" t="str">
        <f>HYPERLINK("https://edmondsonsupply.com/products/copy-of-klein-tools-55918-tradesman-pro%e2%84%a2-modular-tool-belt", "https://edmondsonsupply.com/products/copy-of-klein-tools-55918-tradesman-pro%e2%84%a2-modular-tool-belt")</f>
        <v>https://edmondsonsupply.com/products/copy-of-klein-tools-55918-tradesman-pro%e2%84%a2-modular-tool-belt</v>
      </c>
      <c r="C6541" t="s">
        <v>1873</v>
      </c>
      <c r="D6541" t="s">
        <v>5204</v>
      </c>
      <c r="E6541" s="3" t="str">
        <f>HYPERLINK("https://www.amazon.com/Klein-Tools-Maintenance-Adjustable-Electrician/dp/B0BGJ61V5H/ref=sr_1_3?keywords=Klein+Tools+55919+Tradesman+Pro%E2%84%A2+Modular+Tool+Belt+-+L&amp;qid=1695173932&amp;sr=8-3", "https://www.amazon.com/Klein-Tools-Maintenance-Adjustable-Electrician/dp/B0BGJ61V5H/ref=sr_1_3?keywords=Klein+Tools+55919+Tradesman+Pro%E2%84%A2+Modular+Tool+Belt+-+L&amp;qid=1695173932&amp;sr=8-3")</f>
        <v>https://www.amazon.com/Klein-Tools-Maintenance-Adjustable-Electrician/dp/B0BGJ61V5H/ref=sr_1_3?keywords=Klein+Tools+55919+Tradesman+Pro%E2%84%A2+Modular+Tool+Belt+-+L&amp;qid=1695173932&amp;sr=8-3</v>
      </c>
      <c r="F6541" t="s">
        <v>5205</v>
      </c>
      <c r="G6541" t="e">
        <f ca="1">_xludf.IMAGE("https://edmondsonsupply.com/cdn/shop/products/55919_6b1c1646-91d8-4915-b7bf-b52c8c6994c7.jpg?v=1587143413")</f>
        <v>#NAME?</v>
      </c>
      <c r="H6541" t="e">
        <f ca="1">_xludf.IMAGE("https://m.media-amazon.com/images/I/514kIoy1IWL._AC_UL320_.jpg")</f>
        <v>#NAME?</v>
      </c>
      <c r="I6541" t="s">
        <v>261</v>
      </c>
      <c r="J6541">
        <v>30</v>
      </c>
      <c r="K6541" s="4">
        <v>-0.16639999999999999</v>
      </c>
      <c r="L6541">
        <v>4.5999999999999996</v>
      </c>
      <c r="M6541">
        <v>3</v>
      </c>
      <c r="O6541" t="s">
        <v>25</v>
      </c>
      <c r="P6541" t="s">
        <v>1876</v>
      </c>
      <c r="Q6541" t="s">
        <v>1877</v>
      </c>
    </row>
    <row r="6542" spans="1:17" ht="15.5" x14ac:dyDescent="0.35">
      <c r="A6542" s="3" t="str">
        <f>HYPERLINK("https://edmondsonsupply.com/collections/electricians-tools/products/klein-tools-631-nut-driver-set-3-inch-shafts-cushion-grip-7-piece", "https://edmondsonsupply.com/collections/electricians-tools/products/klein-tools-631-nut-driver-set-3-inch-shafts-cushion-grip-7-piece")</f>
        <v>https://edmondsonsupply.com/collections/electricians-tools/products/klein-tools-631-nut-driver-set-3-inch-shafts-cushion-grip-7-piece</v>
      </c>
      <c r="B6542" s="3" t="str">
        <f>HYPERLINK("https://edmondsonsupply.com/products/klein-tools-631-nut-driver-set-3-inch-shafts-cushion-grip-7-piece", "https://edmondsonsupply.com/products/klein-tools-631-nut-driver-set-3-inch-shafts-cushion-grip-7-piece")</f>
        <v>https://edmondsonsupply.com/products/klein-tools-631-nut-driver-set-3-inch-shafts-cushion-grip-7-piece</v>
      </c>
      <c r="C6542" t="s">
        <v>7296</v>
      </c>
      <c r="D6542" t="s">
        <v>2054</v>
      </c>
      <c r="E6542" s="3" t="str">
        <f>HYPERLINK("https://www.amazon.com/Driver-Metric-3-Inch-7-Piece-Klein/dp/B0009ORXQQ/ref=sr_1_5?keywords=Klein+Tools+631+Nut+Driver+Set%2C+3-Inch+Shafts%2C+Cushion+Grip%2C+7-Piece&amp;qid=1695174239&amp;sr=8-5", "https://www.amazon.com/Driver-Metric-3-Inch-7-Piece-Klein/dp/B0009ORXQQ/ref=sr_1_5?keywords=Klein+Tools+631+Nut+Driver+Set%2C+3-Inch+Shafts%2C+Cushion+Grip%2C+7-Piece&amp;qid=1695174239&amp;sr=8-5")</f>
        <v>https://www.amazon.com/Driver-Metric-3-Inch-7-Piece-Klein/dp/B0009ORXQQ/ref=sr_1_5?keywords=Klein+Tools+631+Nut+Driver+Set%2C+3-Inch+Shafts%2C+Cushion+Grip%2C+7-Piece&amp;qid=1695174239&amp;sr=8-5</v>
      </c>
      <c r="F6542" t="s">
        <v>2055</v>
      </c>
      <c r="G6542" t="e">
        <f ca="1">_xludf.IMAGE("https://edmondsonsupply.com/cdn/shop/products/631.jpg?v=1632441079")</f>
        <v>#NAME?</v>
      </c>
      <c r="H6542" t="e">
        <f ca="1">_xludf.IMAGE("https://m.media-amazon.com/images/I/61CnDJJyViL._AC_UL320_.jpg")</f>
        <v>#NAME?</v>
      </c>
      <c r="I6542" t="s">
        <v>905</v>
      </c>
      <c r="J6542">
        <v>49.99</v>
      </c>
      <c r="K6542" s="4">
        <v>-0.16669999999999999</v>
      </c>
      <c r="L6542">
        <v>4.8</v>
      </c>
      <c r="M6542">
        <v>588</v>
      </c>
      <c r="O6542" t="s">
        <v>25</v>
      </c>
      <c r="P6542" t="s">
        <v>7297</v>
      </c>
      <c r="Q6542" t="s">
        <v>7298</v>
      </c>
    </row>
    <row r="6543" spans="1:17" ht="15.5" x14ac:dyDescent="0.35">
      <c r="A6543"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6543"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6543" t="s">
        <v>8022</v>
      </c>
      <c r="D6543" t="s">
        <v>8381</v>
      </c>
      <c r="E6543" s="3" t="str">
        <f>HYPERLINK("https://www.amazon.com/Klein-Tools-32307-Tamperproof-Screwdriver/dp/B08KFL4QD4/ref=sr_1_3?keywords=Klein+Tools+32510+Magnetic+Screwdriver+with+32+Tamperproof+Bits&amp;qid=1695174211&amp;sr=8-3", "https://www.amazon.com/Klein-Tools-32307-Tamperproof-Screwdriver/dp/B08KFL4QD4/ref=sr_1_3?keywords=Klein+Tools+32510+Magnetic+Screwdriver+with+32+Tamperproof+Bits&amp;qid=1695174211&amp;sr=8-3")</f>
        <v>https://www.amazon.com/Klein-Tools-32307-Tamperproof-Screwdriver/dp/B08KFL4QD4/ref=sr_1_3?keywords=Klein+Tools+32510+Magnetic+Screwdriver+with+32+Tamperproof+Bits&amp;qid=1695174211&amp;sr=8-3</v>
      </c>
      <c r="F6543" t="s">
        <v>8382</v>
      </c>
      <c r="G6543" t="e">
        <f ca="1">_xludf.IMAGE("https://edmondsonsupply.com/cdn/shop/products/32510_alt2.jpg?v=1653267434")</f>
        <v>#NAME?</v>
      </c>
      <c r="H6543" t="e">
        <f ca="1">_xludf.IMAGE("https://m.media-amazon.com/images/I/51VWsu+sN9L._AC_UL320_.jpg")</f>
        <v>#NAME?</v>
      </c>
      <c r="I6543" t="s">
        <v>824</v>
      </c>
      <c r="J6543">
        <v>24.97</v>
      </c>
      <c r="K6543" s="4">
        <v>-0.1668</v>
      </c>
      <c r="L6543">
        <v>4.8</v>
      </c>
      <c r="M6543">
        <v>1628</v>
      </c>
      <c r="O6543" t="s">
        <v>25</v>
      </c>
      <c r="P6543" t="s">
        <v>8025</v>
      </c>
      <c r="Q6543" t="s">
        <v>8026</v>
      </c>
    </row>
    <row r="6544" spans="1:17" ht="15.5" x14ac:dyDescent="0.35">
      <c r="A6544"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6544" s="3" t="str">
        <f>HYPERLINK("https://edmondsonsupply.com/products/klein-tools-630-3-8-3-8-inch-nut-driver-with-3-inch-hollow-shaft", "https://edmondsonsupply.com/products/klein-tools-630-3-8-3-8-inch-nut-driver-with-3-inch-hollow-shaft")</f>
        <v>https://edmondsonsupply.com/products/klein-tools-630-3-8-3-8-inch-nut-driver-with-3-inch-hollow-shaft</v>
      </c>
      <c r="C6544" t="s">
        <v>6150</v>
      </c>
      <c r="D6544" t="s">
        <v>8699</v>
      </c>
      <c r="E6544" s="3" t="str">
        <f>HYPERLINK("https://www.amazon.com/8-Inch-Plastic-Klein-Tools-S12/dp/B00093D5J6/ref=sr_1_3?keywords=Klein+Tools+630-3%2F8+3%2F8-Inch+Nut+Driver+with+3-Inch+Hollow+Shaft&amp;qid=1695174289&amp;sr=8-3", "https://www.amazon.com/8-Inch-Plastic-Klein-Tools-S12/dp/B00093D5J6/ref=sr_1_3?keywords=Klein+Tools+630-3%2F8+3%2F8-Inch+Nut+Driver+with+3-Inch+Hollow+Shaft&amp;qid=1695174289&amp;sr=8-3")</f>
        <v>https://www.amazon.com/8-Inch-Plastic-Klein-Tools-S12/dp/B00093D5J6/ref=sr_1_3?keywords=Klein+Tools+630-3%2F8+3%2F8-Inch+Nut+Driver+with+3-Inch+Hollow+Shaft&amp;qid=1695174289&amp;sr=8-3</v>
      </c>
      <c r="F6544" t="s">
        <v>8700</v>
      </c>
      <c r="G6544" t="e">
        <f ca="1">_xludf.IMAGE("https://edmondsonsupply.com/cdn/shop/products/630-1-2_e23f9fbd-a282-44d7-b743-2cfe0f84edfa.jpg?v=1633030906")</f>
        <v>#NAME?</v>
      </c>
      <c r="H6544" t="e">
        <f ca="1">_xludf.IMAGE("https://m.media-amazon.com/images/I/51rLJLucC-L._AC_UL320_.jpg")</f>
        <v>#NAME?</v>
      </c>
      <c r="I6544" t="s">
        <v>924</v>
      </c>
      <c r="J6544">
        <v>7.49</v>
      </c>
      <c r="K6544" s="4">
        <v>-0.16689999999999999</v>
      </c>
      <c r="L6544">
        <v>4.5</v>
      </c>
      <c r="M6544">
        <v>225</v>
      </c>
      <c r="O6544" t="s">
        <v>25</v>
      </c>
      <c r="P6544" t="s">
        <v>6153</v>
      </c>
      <c r="Q6544" t="s">
        <v>6154</v>
      </c>
    </row>
    <row r="6545" spans="1:17" ht="15.5" x14ac:dyDescent="0.35">
      <c r="A6545" s="3" t="str">
        <f>HYPERLINK("https://edmondsonsupply.com/collections/electricians-tools/products/klein-tools-630-3-8-3-8-inch-nut-driver-with-3-inch-hollow-shaft", "https://edmondsonsupply.com/collections/electricians-tools/products/klein-tools-630-3-8-3-8-inch-nut-driver-with-3-inch-hollow-shaft")</f>
        <v>https://edmondsonsupply.com/collections/electricians-tools/products/klein-tools-630-3-8-3-8-inch-nut-driver-with-3-inch-hollow-shaft</v>
      </c>
      <c r="B6545" s="3" t="str">
        <f>HYPERLINK("https://edmondsonsupply.com/products/klein-tools-630-3-8-3-8-inch-nut-driver-with-3-inch-hollow-shaft", "https://edmondsonsupply.com/products/klein-tools-630-3-8-3-8-inch-nut-driver-with-3-inch-hollow-shaft")</f>
        <v>https://edmondsonsupply.com/products/klein-tools-630-3-8-3-8-inch-nut-driver-with-3-inch-hollow-shaft</v>
      </c>
      <c r="C6545" t="s">
        <v>6150</v>
      </c>
      <c r="D6545" t="s">
        <v>8701</v>
      </c>
      <c r="E6545" s="3" t="str">
        <f>HYPERLINK("https://www.amazon.com/8-Inch-Comfordome-Klein-Tools-S126/dp/B000936PDY/ref=sr_1_4?keywords=Klein+Tools+630-3%2F8+3%2F8-Inch+Nut+Driver+with+3-Inch+Hollow+Shaft&amp;qid=1695174289&amp;sr=8-4", "https://www.amazon.com/8-Inch-Comfordome-Klein-Tools-S126/dp/B000936PDY/ref=sr_1_4?keywords=Klein+Tools+630-3%2F8+3%2F8-Inch+Nut+Driver+with+3-Inch+Hollow+Shaft&amp;qid=1695174289&amp;sr=8-4")</f>
        <v>https://www.amazon.com/8-Inch-Comfordome-Klein-Tools-S126/dp/B000936PDY/ref=sr_1_4?keywords=Klein+Tools+630-3%2F8+3%2F8-Inch+Nut+Driver+with+3-Inch+Hollow+Shaft&amp;qid=1695174289&amp;sr=8-4</v>
      </c>
      <c r="F6545" t="s">
        <v>8702</v>
      </c>
      <c r="G6545" t="e">
        <f ca="1">_xludf.IMAGE("https://edmondsonsupply.com/cdn/shop/products/630-1-2_e23f9fbd-a282-44d7-b743-2cfe0f84edfa.jpg?v=1633030906")</f>
        <v>#NAME?</v>
      </c>
      <c r="H6545" t="e">
        <f ca="1">_xludf.IMAGE("https://m.media-amazon.com/images/I/414jM2ApGiL._AC_UL320_.jpg")</f>
        <v>#NAME?</v>
      </c>
      <c r="I6545" t="s">
        <v>924</v>
      </c>
      <c r="J6545">
        <v>7.49</v>
      </c>
      <c r="K6545" s="4">
        <v>-0.16689999999999999</v>
      </c>
      <c r="L6545">
        <v>4.5</v>
      </c>
      <c r="M6545">
        <v>151</v>
      </c>
      <c r="O6545" t="s">
        <v>25</v>
      </c>
      <c r="P6545" t="s">
        <v>6153</v>
      </c>
      <c r="Q6545" t="s">
        <v>6154</v>
      </c>
    </row>
    <row r="6546" spans="1:17" ht="15.5" x14ac:dyDescent="0.35">
      <c r="A6546" s="3" t="str">
        <f>HYPERLINK("https://edmondsonsupply.com/collections/electricians-tools/products/wiha-tools-66991-13-piece-magicring-ball-end-hex-l-key-set-inch", "https://edmondsonsupply.com/collections/electricians-tools/products/wiha-tools-66991-13-piece-magicring-ball-end-hex-l-key-set-inch")</f>
        <v>https://edmondsonsupply.com/collections/electricians-tools/products/wiha-tools-66991-13-piece-magicring-ball-end-hex-l-key-set-inch</v>
      </c>
      <c r="B6546" s="3" t="str">
        <f>HYPERLINK("https://edmondsonsupply.com/products/wiha-tools-66991-13-piece-magicring-ball-end-hex-l-key-set-inch", "https://edmondsonsupply.com/products/wiha-tools-66991-13-piece-magicring-ball-end-hex-l-key-set-inch")</f>
        <v>https://edmondsonsupply.com/products/wiha-tools-66991-13-piece-magicring-ball-end-hex-l-key-set-inch</v>
      </c>
      <c r="C6546" t="s">
        <v>6959</v>
      </c>
      <c r="D6546" t="s">
        <v>5358</v>
      </c>
      <c r="E6546" s="3" t="str">
        <f>HYPERLINK("https://www.amazon.com/Wiha-66988-ErgoStar-L-Key-13-Piece/dp/B00CJC51MO/ref=sr_1_2?keywords=Wiha+Tools+66991+13+Piece+MagicRing+Ball+End+Hex+L-Key+Set+-+Inch&amp;qid=1695173986&amp;sr=8-2", "https://www.amazon.com/Wiha-66988-ErgoStar-L-Key-13-Piece/dp/B00CJC51MO/ref=sr_1_2?keywords=Wiha+Tools+66991+13+Piece+MagicRing+Ball+End+Hex+L-Key+Set+-+Inch&amp;qid=1695173986&amp;sr=8-2")</f>
        <v>https://www.amazon.com/Wiha-66988-ErgoStar-L-Key-13-Piece/dp/B00CJC51MO/ref=sr_1_2?keywords=Wiha+Tools+66991+13+Piece+MagicRing+Ball+End+Hex+L-Key+Set+-+Inch&amp;qid=1695173986&amp;sr=8-2</v>
      </c>
      <c r="F6546" t="s">
        <v>5359</v>
      </c>
      <c r="G6546" t="e">
        <f ca="1">_xludf.IMAGE("https://edmondsonsupply.com/cdn/shop/files/203e9943d7bc6da0913f39b14430d97570f6257a_1000x_25f5521b-5db2-4e3a-9496-a87eed5e7da1.webp?v=1690841742")</f>
        <v>#NAME?</v>
      </c>
      <c r="H6546" t="e">
        <f ca="1">_xludf.IMAGE("https://m.media-amazon.com/images/I/61pC3xkuvsL._AC_UL320_.jpg")</f>
        <v>#NAME?</v>
      </c>
      <c r="I6546" t="s">
        <v>6960</v>
      </c>
      <c r="J6546">
        <v>40.39</v>
      </c>
      <c r="K6546" s="4">
        <v>-0.1691</v>
      </c>
      <c r="L6546">
        <v>4.7</v>
      </c>
      <c r="M6546">
        <v>152</v>
      </c>
      <c r="O6546" t="s">
        <v>25</v>
      </c>
      <c r="P6546" t="s">
        <v>6961</v>
      </c>
      <c r="Q6546" t="s">
        <v>6962</v>
      </c>
    </row>
    <row r="6547" spans="1:17" ht="15.5" x14ac:dyDescent="0.35">
      <c r="A6547"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6547" s="3" t="str">
        <f>HYPERLINK("https://edmondsonsupply.com/products/fluke-1587-fc-insulation-multimeter", "https://edmondsonsupply.com/products/fluke-1587-fc-insulation-multimeter")</f>
        <v>https://edmondsonsupply.com/products/fluke-1587-fc-insulation-multimeter</v>
      </c>
      <c r="C6547" t="s">
        <v>4074</v>
      </c>
      <c r="D6547" t="s">
        <v>5206</v>
      </c>
      <c r="E6547" s="3" t="str">
        <f>HYPERLINK("https://www.amazon.com/Fluke-Fluke-1587-2-Insulation-Multimeter/dp/B097RJ5RFC/ref=sr_1_3?keywords=Fluke+1587+FC+Insulation+Multimeter&amp;qid=1695173858&amp;sr=8-3", "https://www.amazon.com/Fluke-Fluke-1587-2-Insulation-Multimeter/dp/B097RJ5RFC/ref=sr_1_3?keywords=Fluke+1587+FC+Insulation+Multimeter&amp;qid=1695173858&amp;sr=8-3")</f>
        <v>https://www.amazon.com/Fluke-Fluke-1587-2-Insulation-Multimeter/dp/B097RJ5RFC/ref=sr_1_3?keywords=Fluke+1587+FC+Insulation+Multimeter&amp;qid=1695173858&amp;sr=8-3</v>
      </c>
      <c r="F6547" t="s">
        <v>5207</v>
      </c>
      <c r="G6547" t="e">
        <f ca="1">_xludf.IMAGE("https://edmondsonsupply.com/cdn/shop/products/Fluke_1587_FC_True-rms_Insulation_Multimeter__1280x1006px_E_NR-20298.jpg?v=1633031188")</f>
        <v>#NAME?</v>
      </c>
      <c r="H6547" t="e">
        <f ca="1">_xludf.IMAGE("https://m.media-amazon.com/images/I/61imMzzqBHS._AC_UL320_.jpg")</f>
        <v>#NAME?</v>
      </c>
      <c r="I6547" t="s">
        <v>4077</v>
      </c>
      <c r="J6547">
        <v>770.95</v>
      </c>
      <c r="K6547" s="4">
        <v>-0.17100000000000001</v>
      </c>
      <c r="L6547">
        <v>4.7</v>
      </c>
      <c r="M6547">
        <v>45</v>
      </c>
      <c r="O6547" t="s">
        <v>25</v>
      </c>
      <c r="P6547" t="s">
        <v>4078</v>
      </c>
      <c r="Q6547" t="s">
        <v>4079</v>
      </c>
    </row>
    <row r="6548" spans="1:17" ht="15.5" x14ac:dyDescent="0.35">
      <c r="A6548"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6548"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6548" t="s">
        <v>6529</v>
      </c>
      <c r="D6548" t="s">
        <v>4912</v>
      </c>
      <c r="E6548" s="3" t="str">
        <f>HYPERLINK("https://www.amazon.com/Klein-Tools-NCVT2PKIT-Non-Contact-Application/dp/B08FPHS6HL/ref=sr_1_9?keywords=Klein+Tools+NCVT3PKIT+Dual+Range+NCVT+and+AC%2FDC+Voltage+Tester+Electrical+Test+Kit&amp;qid=1695174124&amp;sr=8-9", "https://www.amazon.com/Klein-Tools-NCVT2PKIT-Non-Contact-Application/dp/B08FPHS6HL/ref=sr_1_9?keywords=Klein+Tools+NCVT3PKIT+Dual+Range+NCVT+and+AC%2FDC+Voltage+Tester+Electrical+Test+Kit&amp;qid=1695174124&amp;sr=8-9")</f>
        <v>https://www.amazon.com/Klein-Tools-NCVT2PKIT-Non-Contact-Application/dp/B08FPHS6HL/ref=sr_1_9?keywords=Klein+Tools+NCVT3PKIT+Dual+Range+NCVT+and+AC%2FDC+Voltage+Tester+Electrical+Test+Kit&amp;qid=1695174124&amp;sr=8-9</v>
      </c>
      <c r="F6548" t="s">
        <v>4913</v>
      </c>
      <c r="G6548" t="e">
        <f ca="1">_xludf.IMAGE("https://edmondsonsupply.com/cdn/shop/products/ncvt3pkit.jpg?v=1667228452")</f>
        <v>#NAME?</v>
      </c>
      <c r="H6548" t="e">
        <f ca="1">_xludf.IMAGE("https://m.media-amazon.com/images/I/511RscwJPxL._AC_UL320_.jpg")</f>
        <v>#NAME?</v>
      </c>
      <c r="I6548" t="s">
        <v>571</v>
      </c>
      <c r="J6548">
        <v>28.99</v>
      </c>
      <c r="K6548" s="4">
        <v>-0.17150000000000001</v>
      </c>
      <c r="L6548">
        <v>4.8</v>
      </c>
      <c r="M6548">
        <v>3262</v>
      </c>
      <c r="O6548" t="s">
        <v>25</v>
      </c>
      <c r="P6548" t="s">
        <v>6532</v>
      </c>
      <c r="Q6548" t="s">
        <v>6533</v>
      </c>
    </row>
    <row r="6549" spans="1:17" ht="15.5" x14ac:dyDescent="0.35">
      <c r="A6549" s="3" t="str">
        <f>HYPERLINK("https://edmondsonsupply.com/collections/electricians-tools/products/klein-tools-jth9e09-9-64-inch-hex-key-journeyman%E2%84%A2-t-handle-9-inch", "https://edmondsonsupply.com/collections/electricians-tools/products/klein-tools-jth9e09-9-64-inch-hex-key-journeyman%E2%84%A2-t-handle-9-inch")</f>
        <v>https://edmondsonsupply.com/collections/electricians-tools/products/klein-tools-jth9e09-9-64-inch-hex-key-journeyman%E2%84%A2-t-handle-9-inch</v>
      </c>
      <c r="B6549" s="3" t="str">
        <f>HYPERLINK("https://edmondsonsupply.com/products/klein-tools-jth9e09-9-64-inch-hex-key-journeyman%e2%84%a2-t-handle-9-inch", "https://edmondsonsupply.com/products/klein-tools-jth9e09-9-64-inch-hex-key-journeyman%e2%84%a2-t-handle-9-inch")</f>
        <v>https://edmondsonsupply.com/products/klein-tools-jth9e09-9-64-inch-hex-key-journeyman%e2%84%a2-t-handle-9-inch</v>
      </c>
      <c r="C6549" t="s">
        <v>6344</v>
      </c>
      <c r="D6549" t="s">
        <v>8314</v>
      </c>
      <c r="E6549" s="3" t="str">
        <f>HYPERLINK("https://www.amazon.com/Journeyman-T-Handle-Klein-Tools-JTH4E09/dp/B004ITO3H0/ref=sr_1_4?keywords=Klein+Tools+JTH9E09+9%2F64-Inch+Hex+Key%2C+Journeyman%E2%84%A2+T-Handle%2C+9-Inch&amp;qid=1695174053&amp;sr=8-4", "https://www.amazon.com/Journeyman-T-Handle-Klein-Tools-JTH4E09/dp/B004ITO3H0/ref=sr_1_4?keywords=Klein+Tools+JTH9E09+9%2F64-Inch+Hex+Key%2C+Journeyman%E2%84%A2+T-Handle%2C+9-Inch&amp;qid=1695174053&amp;sr=8-4")</f>
        <v>https://www.amazon.com/Journeyman-T-Handle-Klein-Tools-JTH4E09/dp/B004ITO3H0/ref=sr_1_4?keywords=Klein+Tools+JTH9E09+9%2F64-Inch+Hex+Key%2C+Journeyman%E2%84%A2+T-Handle%2C+9-Inch&amp;qid=1695174053&amp;sr=8-4</v>
      </c>
      <c r="F6549" t="s">
        <v>8315</v>
      </c>
      <c r="G6549" t="e">
        <f ca="1">_xludf.IMAGE("https://edmondsonsupply.com/cdn/shop/files/jth6e15_a82bd56b-ad18-4460-9ae1-33c48a111839.jpg?v=1684942468")</f>
        <v>#NAME?</v>
      </c>
      <c r="H6549" t="e">
        <f ca="1">_xludf.IMAGE("https://m.media-amazon.com/images/I/413bgBCbQLL._AC_UL320_.jpg")</f>
        <v>#NAME?</v>
      </c>
      <c r="I6549" t="s">
        <v>6122</v>
      </c>
      <c r="J6549">
        <v>3.72</v>
      </c>
      <c r="K6549" s="4">
        <v>-0.17150000000000001</v>
      </c>
      <c r="L6549">
        <v>4.8</v>
      </c>
      <c r="M6549">
        <v>2479</v>
      </c>
      <c r="O6549" t="s">
        <v>25</v>
      </c>
      <c r="P6549" t="s">
        <v>6123</v>
      </c>
      <c r="Q6549" t="s">
        <v>6345</v>
      </c>
    </row>
    <row r="6550" spans="1:17" ht="15.5" x14ac:dyDescent="0.35">
      <c r="A6550"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550"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550" t="s">
        <v>2903</v>
      </c>
      <c r="D6550" t="s">
        <v>8703</v>
      </c>
      <c r="E6550" s="3" t="str">
        <f>HYPERLINK("https://www.amazon.com/Diablo-SDS-Max-4-Cutter-Carbide-Hammer/dp/B089LG76YL/ref=sr_1_7?keywords=Diablo+Tools+DMAMX1300+1-1%2F4+in.+x+16+in.+x+21+in.+Rebar+Demon%E2%84%A2+SDS-Max+4-Cutter+Full+Carbide+Head+Hammer+Drill+Bit&amp;qid=1695173871&amp;sr=8-7", "https://www.amazon.com/Diablo-SDS-Max-4-Cutter-Carbide-Hammer/dp/B089LG76YL/ref=sr_1_7?keywords=Diablo+Tools+DMAMX1300+1-1%2F4+in.+x+16+in.+x+21+in.+Rebar+Demon%E2%84%A2+SDS-Max+4-Cutter+Full+Carbide+Head+Hammer+Drill+Bit&amp;qid=1695173871&amp;sr=8-7")</f>
        <v>https://www.amazon.com/Diablo-SDS-Max-4-Cutter-Carbide-Hammer/dp/B089LG76YL/ref=sr_1_7?keywords=Diablo+Tools+DMAMX1300+1-1%2F4+in.+x+16+in.+x+21+in.+Rebar+Demon%E2%84%A2+SDS-Max+4-Cutter+Full+Carbide+Head+Hammer+Drill+Bit&amp;qid=1695173871&amp;sr=8-7</v>
      </c>
      <c r="F6550" t="s">
        <v>8704</v>
      </c>
      <c r="G6550" t="e">
        <f ca="1">_xludf.IMAGE("https://edmondsonsupply.com/cdn/shop/files/immoyh7jjmbau4fzhuq6_7dd7fd73-2865-4c12-9443-da45b48dbd51.webp?v=1685465465")</f>
        <v>#NAME?</v>
      </c>
      <c r="H6550" t="e">
        <f ca="1">_xludf.IMAGE("https://m.media-amazon.com/images/I/61Q8G2EXOxL._AC_UL320_.jpg")</f>
        <v>#NAME?</v>
      </c>
      <c r="I6550" t="s">
        <v>2906</v>
      </c>
      <c r="J6550">
        <v>55</v>
      </c>
      <c r="K6550" s="4">
        <v>-0.17169999999999999</v>
      </c>
      <c r="L6550">
        <v>5</v>
      </c>
      <c r="M6550">
        <v>10</v>
      </c>
      <c r="O6550" t="s">
        <v>171</v>
      </c>
      <c r="P6550" t="s">
        <v>2907</v>
      </c>
      <c r="Q6550" t="s">
        <v>2908</v>
      </c>
    </row>
    <row r="6551" spans="1:17" ht="15.5" x14ac:dyDescent="0.35">
      <c r="A6551"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6551" s="3" t="str">
        <f>HYPERLINK("https://edmondsonsupply.com/products/milwaukee-49-90-1900-hepa-filter", "https://edmondsonsupply.com/products/milwaukee-49-90-1900-hepa-filter")</f>
        <v>https://edmondsonsupply.com/products/milwaukee-49-90-1900-hepa-filter</v>
      </c>
      <c r="C6551" t="s">
        <v>5831</v>
      </c>
      <c r="D6551" t="s">
        <v>5943</v>
      </c>
      <c r="E6551" s="3" t="str">
        <f>HYPERLINK("https://www.amazon.com/49-90-1900-Replacement-Compatible-Milwaukee-Cordless/dp/B07Y16WCJR/ref=sr_1_10?keywords=Milwaukee+49-90-1900+HEPA+Filter&amp;qid=1695174010&amp;sr=8-10", "https://www.amazon.com/49-90-1900-Replacement-Compatible-Milwaukee-Cordless/dp/B07Y16WCJR/ref=sr_1_10?keywords=Milwaukee+49-90-1900+HEPA+Filter&amp;qid=1695174010&amp;sr=8-10")</f>
        <v>https://www.amazon.com/49-90-1900-Replacement-Compatible-Milwaukee-Cordless/dp/B07Y16WCJR/ref=sr_1_10?keywords=Milwaukee+49-90-1900+HEPA+Filter&amp;qid=1695174010&amp;sr=8-10</v>
      </c>
      <c r="F6551" t="s">
        <v>8705</v>
      </c>
      <c r="G6551" t="e">
        <f ca="1">_xludf.IMAGE("https://edmondsonsupply.com/cdn/shop/files/49-90-1900_1.png?v=1686234774")</f>
        <v>#NAME?</v>
      </c>
      <c r="H6551" t="e">
        <f ca="1">_xludf.IMAGE("https://m.media-amazon.com/images/I/71yMxLPr6tL._AC_UL320_.jpg")</f>
        <v>#NAME?</v>
      </c>
      <c r="I6551" t="s">
        <v>2170</v>
      </c>
      <c r="J6551">
        <v>20.69</v>
      </c>
      <c r="K6551" s="4">
        <v>-0.17169999999999999</v>
      </c>
      <c r="L6551">
        <v>4.5999999999999996</v>
      </c>
      <c r="M6551">
        <v>704</v>
      </c>
      <c r="O6551" t="s">
        <v>25</v>
      </c>
      <c r="P6551" t="s">
        <v>2470</v>
      </c>
      <c r="Q6551" t="s">
        <v>5834</v>
      </c>
    </row>
    <row r="6552" spans="1:17" ht="15.5" x14ac:dyDescent="0.35">
      <c r="A6552" s="3" t="str">
        <f>HYPERLINK("https://edmondsonsupply.com/collections/electricians-tools/products/klein-tools-jth6m10-10-mm-hex-key-journeyman-t-handle-6-inch", "https://edmondsonsupply.com/collections/electricians-tools/products/klein-tools-jth6m10-10-mm-hex-key-journeyman-t-handle-6-inch")</f>
        <v>https://edmondsonsupply.com/collections/electricians-tools/products/klein-tools-jth6m10-10-mm-hex-key-journeyman-t-handle-6-inch</v>
      </c>
      <c r="B6552" s="3" t="str">
        <f>HYPERLINK("https://edmondsonsupply.com/products/klein-tools-jth6m10-10-mm-hex-key-journeyman-t-handle-6-inch", "https://edmondsonsupply.com/products/klein-tools-jth6m10-10-mm-hex-key-journeyman-t-handle-6-inch")</f>
        <v>https://edmondsonsupply.com/products/klein-tools-jth6m10-10-mm-hex-key-journeyman-t-handle-6-inch</v>
      </c>
      <c r="C6552" t="s">
        <v>6945</v>
      </c>
      <c r="D6552" t="s">
        <v>3163</v>
      </c>
      <c r="E6552" s="3" t="str">
        <f>HYPERLINK("https://www.amazon.com/Journeyman-T-Handle-Klein-Tools-JTH9E14/dp/B004QVAH4I/ref=sr_1_6?keywords=Klein+Tools+JTH6M10+10+mm+Hex+Key+Journeyman+T-Handle+6-Inch&amp;qid=1695174255&amp;sr=8-6", "https://www.amazon.com/Journeyman-T-Handle-Klein-Tools-JTH9E14/dp/B004QVAH4I/ref=sr_1_6?keywords=Klein+Tools+JTH6M10+10+mm+Hex+Key+Journeyman+T-Handle+6-Inch&amp;qid=1695174255&amp;sr=8-6")</f>
        <v>https://www.amazon.com/Journeyman-T-Handle-Klein-Tools-JTH9E14/dp/B004QVAH4I/ref=sr_1_6?keywords=Klein+Tools+JTH6M10+10+mm+Hex+Key+Journeyman+T-Handle+6-Inch&amp;qid=1695174255&amp;sr=8-6</v>
      </c>
      <c r="F6552" t="s">
        <v>3164</v>
      </c>
      <c r="G6552" t="e">
        <f ca="1">_xludf.IMAGE("https://edmondsonsupply.com/cdn/shop/products/jth6m8_64c2c8d3-e13e-4b81-9b34-745be7fd837a.jpg?v=1627827117")</f>
        <v>#NAME?</v>
      </c>
      <c r="H6552" t="e">
        <f ca="1">_xludf.IMAGE("https://m.media-amazon.com/images/I/51Yb8h41vLL._AC_UL320_.jpg")</f>
        <v>#NAME?</v>
      </c>
      <c r="I6552" t="s">
        <v>924</v>
      </c>
      <c r="J6552">
        <v>7.44</v>
      </c>
      <c r="K6552" s="4">
        <v>-0.1724</v>
      </c>
      <c r="L6552">
        <v>4.8</v>
      </c>
      <c r="M6552">
        <v>114</v>
      </c>
      <c r="O6552" t="s">
        <v>25</v>
      </c>
      <c r="P6552" t="s">
        <v>6946</v>
      </c>
      <c r="Q6552" t="s">
        <v>6947</v>
      </c>
    </row>
    <row r="6553" spans="1:17" ht="15.5" x14ac:dyDescent="0.35">
      <c r="A6553" s="3" t="str">
        <f>HYPERLINK("https://edmondsonsupply.com/collections/electricians-tools/products/ma-line-ma-12816-a-analog-multimeter", "https://edmondsonsupply.com/collections/electricians-tools/products/ma-line-ma-12816-a-analog-multimeter")</f>
        <v>https://edmondsonsupply.com/collections/electricians-tools/products/ma-line-ma-12816-a-analog-multimeter</v>
      </c>
      <c r="B6553" s="3" t="str">
        <f>HYPERLINK("https://edmondsonsupply.com/products/ma-line-ma-12816-a-analog-multimeter", "https://edmondsonsupply.com/products/ma-line-ma-12816-a-analog-multimeter")</f>
        <v>https://edmondsonsupply.com/products/ma-line-ma-12816-a-analog-multimeter</v>
      </c>
      <c r="C6553" t="s">
        <v>5210</v>
      </c>
      <c r="D6553" t="s">
        <v>5211</v>
      </c>
      <c r="E6553" s="3" t="str">
        <f>HYPERLINK("https://www.amazon.com/YX360-TRD-7-Function-Multimeter-Capacitance-Estimation/dp/B00UN4CMPY/ref=sr_1_6?keywords=MA-Line+MA-12816-A+Analog+Multimeter&amp;qid=1695173940&amp;sr=8-6", "https://www.amazon.com/YX360-TRD-7-Function-Multimeter-Capacitance-Estimation/dp/B00UN4CMPY/ref=sr_1_6?keywords=MA-Line+MA-12816-A+Analog+Multimeter&amp;qid=1695173940&amp;sr=8-6")</f>
        <v>https://www.amazon.com/YX360-TRD-7-Function-Multimeter-Capacitance-Estimation/dp/B00UN4CMPY/ref=sr_1_6?keywords=MA-Line+MA-12816-A+Analog+Multimeter&amp;qid=1695173940&amp;sr=8-6</v>
      </c>
      <c r="F6553" t="s">
        <v>5212</v>
      </c>
      <c r="G6553" t="e">
        <f ca="1">_xludf.IMAGE("https://edmondsonsupply.com/cdn/shop/products/MA-12816-A.jpg?v=1587142675")</f>
        <v>#NAME?</v>
      </c>
      <c r="H6553" t="e">
        <f ca="1">_xludf.IMAGE("https://m.media-amazon.com/images/I/71D6cWc0xqL._AC_UL320_.jpg")</f>
        <v>#NAME?</v>
      </c>
      <c r="I6553" t="s">
        <v>5213</v>
      </c>
      <c r="J6553">
        <v>16.5</v>
      </c>
      <c r="K6553" s="4">
        <v>-0.17249999999999999</v>
      </c>
      <c r="L6553">
        <v>4</v>
      </c>
      <c r="M6553">
        <v>154</v>
      </c>
      <c r="O6553" t="s">
        <v>25</v>
      </c>
      <c r="P6553" t="s">
        <v>138</v>
      </c>
      <c r="Q6553" t="s">
        <v>5214</v>
      </c>
    </row>
    <row r="6554" spans="1:17" ht="15.5" x14ac:dyDescent="0.35">
      <c r="A6554"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6554"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6554" t="s">
        <v>6529</v>
      </c>
      <c r="D6554" t="s">
        <v>4914</v>
      </c>
      <c r="E6554" s="3" t="str">
        <f>HYPERLINK("https://www.amazon.com/Klein-Tools-NCVT-2-Standard-Protection/dp/B004FXJOQO/ref=sr_1_6?keywords=Klein+Tools+NCVT3PKIT+Dual+Range+NCVT+and+AC%2FDC+Voltage+Tester+Electrical+Test+Kit&amp;qid=1695174124&amp;sr=8-6", "https://www.amazon.com/Klein-Tools-NCVT-2-Standard-Protection/dp/B004FXJOQO/ref=sr_1_6?keywords=Klein+Tools+NCVT3PKIT+Dual+Range+NCVT+and+AC%2FDC+Voltage+Tester+Electrical+Test+Kit&amp;qid=1695174124&amp;sr=8-6")</f>
        <v>https://www.amazon.com/Klein-Tools-NCVT-2-Standard-Protection/dp/B004FXJOQO/ref=sr_1_6?keywords=Klein+Tools+NCVT3PKIT+Dual+Range+NCVT+and+AC%2FDC+Voltage+Tester+Electrical+Test+Kit&amp;qid=1695174124&amp;sr=8-6</v>
      </c>
      <c r="F6554" t="s">
        <v>4915</v>
      </c>
      <c r="G6554" t="e">
        <f ca="1">_xludf.IMAGE("https://edmondsonsupply.com/cdn/shop/products/ncvt3pkit.jpg?v=1667228452")</f>
        <v>#NAME?</v>
      </c>
      <c r="H6554" t="e">
        <f ca="1">_xludf.IMAGE("https://m.media-amazon.com/images/I/514tywDAdHL._AC_UL320_.jpg")</f>
        <v>#NAME?</v>
      </c>
      <c r="I6554" t="s">
        <v>571</v>
      </c>
      <c r="J6554">
        <v>28.95</v>
      </c>
      <c r="K6554" s="4">
        <v>-0.1726</v>
      </c>
      <c r="L6554">
        <v>4.5999999999999996</v>
      </c>
      <c r="M6554">
        <v>5762</v>
      </c>
      <c r="O6554" t="s">
        <v>25</v>
      </c>
      <c r="P6554" t="s">
        <v>6532</v>
      </c>
      <c r="Q6554" t="s">
        <v>6533</v>
      </c>
    </row>
    <row r="6555" spans="1:17" ht="15.5" x14ac:dyDescent="0.35">
      <c r="A6555" s="3" t="str">
        <f>HYPERLINK("https://edmondsonsupply.com/collections/electricians-tools/products/klein-tools-65131-2-in-1-nut-driver-hex-head-slide-drive%E2%84%A2-1-1-2-inch", "https://edmondsonsupply.com/collections/electricians-tools/products/klein-tools-65131-2-in-1-nut-driver-hex-head-slide-drive%E2%84%A2-1-1-2-inch")</f>
        <v>https://edmondsonsupply.com/collections/electricians-tools/products/klein-tools-65131-2-in-1-nut-driver-hex-head-slide-drive%E2%84%A2-1-1-2-inch</v>
      </c>
      <c r="B6555" s="3" t="str">
        <f>HYPERLINK("https://edmondsonsupply.com/products/klein-tools-65131-2-in-1-nut-driver-hex-head-slide-drive%e2%84%a2-1-1-2-inch", "https://edmondsonsupply.com/products/klein-tools-65131-2-in-1-nut-driver-hex-head-slide-drive%e2%84%a2-1-1-2-inch")</f>
        <v>https://edmondsonsupply.com/products/klein-tools-65131-2-in-1-nut-driver-hex-head-slide-drive%e2%84%a2-1-1-2-inch</v>
      </c>
      <c r="C6555" t="s">
        <v>6998</v>
      </c>
      <c r="D6555" t="s">
        <v>4945</v>
      </c>
      <c r="E6555" s="3" t="str">
        <f>HYPERLINK("https://www.amazon.com/Driver-16-Inch-Klein-Tools-65064/dp/B01N2S3D09/ref=sr_1_3?keywords=Klein+Tools+65131+2-in-1+Nut+Driver%2C+Hex+Head+Slide+Drive%E2%84%A2%2C+1-1%2F2-Inch&amp;qid=1695174203&amp;sr=8-3", "https://www.amazon.com/Driver-16-Inch-Klein-Tools-65064/dp/B01N2S3D09/ref=sr_1_3?keywords=Klein+Tools+65131+2-in-1+Nut+Driver%2C+Hex+Head+Slide+Drive%E2%84%A2%2C+1-1%2F2-Inch&amp;qid=1695174203&amp;sr=8-3")</f>
        <v>https://www.amazon.com/Driver-16-Inch-Klein-Tools-65064/dp/B01N2S3D09/ref=sr_1_3?keywords=Klein+Tools+65131+2-in-1+Nut+Driver%2C+Hex+Head+Slide+Drive%E2%84%A2%2C+1-1%2F2-Inch&amp;qid=1695174203&amp;sr=8-3</v>
      </c>
      <c r="F6555" t="s">
        <v>4946</v>
      </c>
      <c r="G6555" t="e">
        <f ca="1">_xludf.IMAGE("https://edmondsonsupply.com/cdn/shop/products/65131.jpg?v=1660742745")</f>
        <v>#NAME?</v>
      </c>
      <c r="H6555" t="e">
        <f ca="1">_xludf.IMAGE("https://m.media-amazon.com/images/I/51WqGb8KzpL._AC_UL320_.jpg")</f>
        <v>#NAME?</v>
      </c>
      <c r="I6555" t="s">
        <v>2101</v>
      </c>
      <c r="J6555">
        <v>15.27</v>
      </c>
      <c r="K6555" s="4">
        <v>-0.1741</v>
      </c>
      <c r="L6555">
        <v>4.8</v>
      </c>
      <c r="M6555">
        <v>1412</v>
      </c>
      <c r="O6555" t="s">
        <v>25</v>
      </c>
      <c r="P6555" t="s">
        <v>7001</v>
      </c>
      <c r="Q6555" t="s">
        <v>7002</v>
      </c>
    </row>
    <row r="6556" spans="1:17" ht="15.5" x14ac:dyDescent="0.35">
      <c r="A6556" s="3" t="str">
        <f>HYPERLINK("https://edmondsonsupply.com/collections/electricians-tools/products/klein-tools-56380-multi-groove-fiberglass-fish-tape-with-spiral-steel-leader-100-foot", "https://edmondsonsupply.com/collections/electricians-tools/products/klein-tools-56380-multi-groove-fiberglass-fish-tape-with-spiral-steel-leader-100-foot")</f>
        <v>https://edmondsonsupply.com/collections/electricians-tools/products/klein-tools-56380-multi-groove-fiberglass-fish-tape-with-spiral-steel-leader-100-foot</v>
      </c>
      <c r="B6556" s="3" t="str">
        <f>HYPERLINK("https://edmondsonsupply.com/products/klein-tools-56380-multi-groove-fiberglass-fish-tape-with-spiral-steel-leader-100-foot", "https://edmondsonsupply.com/products/klein-tools-56380-multi-groove-fiberglass-fish-tape-with-spiral-steel-leader-100-foot")</f>
        <v>https://edmondsonsupply.com/products/klein-tools-56380-multi-groove-fiberglass-fish-tape-with-spiral-steel-leader-100-foot</v>
      </c>
      <c r="C6556" t="s">
        <v>3273</v>
      </c>
      <c r="D6556" t="s">
        <v>5215</v>
      </c>
      <c r="E6556" s="3" t="str">
        <f>HYPERLINK("https://www.amazon.com/Klein-Tools-56383-Multi-Groove-Fiberglass/dp/B08222VGN8/ref=sr_1_6?keywords=Klein+Tools+56380+Multi-Groove+Fiberglass+Fish+Tape+with+Spiral+Steel+Leader%2C+100-Foot&amp;qid=1695173932&amp;sr=8-6", "https://www.amazon.com/Klein-Tools-56383-Multi-Groove-Fiberglass/dp/B08222VGN8/ref=sr_1_6?keywords=Klein+Tools+56380+Multi-Groove+Fiberglass+Fish+Tape+with+Spiral+Steel+Leader%2C+100-Foot&amp;qid=1695173932&amp;sr=8-6")</f>
        <v>https://www.amazon.com/Klein-Tools-56383-Multi-Groove-Fiberglass/dp/B08222VGN8/ref=sr_1_6?keywords=Klein+Tools+56380+Multi-Groove+Fiberglass+Fish+Tape+with+Spiral+Steel+Leader%2C+100-Foot&amp;qid=1695173932&amp;sr=8-6</v>
      </c>
      <c r="F6556" t="s">
        <v>5216</v>
      </c>
      <c r="G6556" t="e">
        <f ca="1">_xludf.IMAGE("https://edmondsonsupply.com/cdn/shop/products/56380.jpg?v=1587147762")</f>
        <v>#NAME?</v>
      </c>
      <c r="H6556" t="e">
        <f ca="1">_xludf.IMAGE("https://m.media-amazon.com/images/I/51Fs1Kjrk8L._AC_UL320_.jpg")</f>
        <v>#NAME?</v>
      </c>
      <c r="I6556" t="s">
        <v>3276</v>
      </c>
      <c r="J6556">
        <v>115.58</v>
      </c>
      <c r="K6556" s="4">
        <v>-0.1744</v>
      </c>
      <c r="L6556">
        <v>4.7</v>
      </c>
      <c r="M6556">
        <v>135</v>
      </c>
      <c r="O6556" t="s">
        <v>25</v>
      </c>
      <c r="P6556" t="s">
        <v>3277</v>
      </c>
      <c r="Q6556" t="s">
        <v>3278</v>
      </c>
    </row>
    <row r="6557" spans="1:17" ht="15.5" x14ac:dyDescent="0.35">
      <c r="A6557"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6557"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6557" t="s">
        <v>8581</v>
      </c>
      <c r="D6557" t="s">
        <v>8706</v>
      </c>
      <c r="E6557" s="3" t="str">
        <f>HYPERLINK("https://www.amazon.com/Milwaukee-2767-20-Torque-2-Inch-Friction/dp/B094RDL3QR/ref=sr_1_5?keywords=Milwaukee+2767-20+M18+FUEL%E2%84%A2+1%2F2%22+High+Torque+Impact+Wrench+with+Friction+Ring+%28Tool+Only%29&amp;qid=1695174206&amp;sr=8-5", "https://www.amazon.com/Milwaukee-2767-20-Torque-2-Inch-Friction/dp/B094RDL3QR/ref=sr_1_5?keywords=Milwaukee+2767-20+M18+FUEL%E2%84%A2+1%2F2%22+High+Torque+Impact+Wrench+with+Friction+Ring+%28Tool+Only%29&amp;qid=1695174206&amp;sr=8-5")</f>
        <v>https://www.amazon.com/Milwaukee-2767-20-Torque-2-Inch-Friction/dp/B094RDL3QR/ref=sr_1_5?keywords=Milwaukee+2767-20+M18+FUEL%E2%84%A2+1%2F2%22+High+Torque+Impact+Wrench+with+Friction+Ring+%28Tool+Only%29&amp;qid=1695174206&amp;sr=8-5</v>
      </c>
      <c r="F6557" t="s">
        <v>8707</v>
      </c>
      <c r="G6557" t="e">
        <f ca="1">_xludf.IMAGE("https://edmondsonsupply.com/cdn/shop/products/2767-20_1.webp?v=1668441181")</f>
        <v>#NAME?</v>
      </c>
      <c r="H6557" t="e">
        <f ca="1">_xludf.IMAGE("https://m.media-amazon.com/images/I/61aGjxU8yIL._AC_UL320_.jpg")</f>
        <v>#NAME?</v>
      </c>
      <c r="I6557" t="s">
        <v>698</v>
      </c>
      <c r="J6557">
        <v>229.98</v>
      </c>
      <c r="K6557" s="4">
        <v>-0.1757</v>
      </c>
      <c r="L6557">
        <v>4.7</v>
      </c>
      <c r="M6557">
        <v>67</v>
      </c>
      <c r="O6557" t="s">
        <v>25</v>
      </c>
      <c r="P6557" t="s">
        <v>8584</v>
      </c>
      <c r="Q6557" t="s">
        <v>8585</v>
      </c>
    </row>
    <row r="6558" spans="1:17" ht="15.5" x14ac:dyDescent="0.35">
      <c r="A6558" s="3" t="str">
        <f>HYPERLINK("https://edmondsonsupply.com/collections/electricians-tools/products/channellock-428", "https://edmondsonsupply.com/collections/electricians-tools/products/channellock-428")</f>
        <v>https://edmondsonsupply.com/collections/electricians-tools/products/channellock-428</v>
      </c>
      <c r="B6558" s="3" t="str">
        <f>HYPERLINK("https://edmondsonsupply.com/products/channellock-428", "https://edmondsonsupply.com/products/channellock-428")</f>
        <v>https://edmondsonsupply.com/products/channellock-428</v>
      </c>
      <c r="C6558" t="s">
        <v>1791</v>
      </c>
      <c r="D6558" t="s">
        <v>5223</v>
      </c>
      <c r="E6558" s="3" t="str">
        <f>HYPERLINK("https://www.amazon.com/CHANNELLOCK-412-6-5-inch-0-94-inch-Capacity/dp/B003GDIDMU/ref=sr_1_5?keywords=Channellock+428+8-Inch+Straight+Jaw+Tongue+%26+Groove+Pliers&amp;qid=1695173963&amp;sr=8-5", "https://www.amazon.com/CHANNELLOCK-412-6-5-inch-0-94-inch-Capacity/dp/B003GDIDMU/ref=sr_1_5?keywords=Channellock+428+8-Inch+Straight+Jaw+Tongue+%26+Groove+Pliers&amp;qid=1695173963&amp;sr=8-5")</f>
        <v>https://www.amazon.com/CHANNELLOCK-412-6-5-inch-0-94-inch-Capacity/dp/B003GDIDMU/ref=sr_1_5?keywords=Channellock+428+8-Inch+Straight+Jaw+Tongue+%26+Groove+Pliers&amp;qid=1695173963&amp;sr=8-5</v>
      </c>
      <c r="F6558" t="s">
        <v>5224</v>
      </c>
      <c r="G6558" t="e">
        <f ca="1">_xludf.IMAGE("https://edmondsonsupply.com/cdn/shop/products/428-683x1024.jpg?v=1587145854")</f>
        <v>#NAME?</v>
      </c>
      <c r="H6558" t="e">
        <f ca="1">_xludf.IMAGE("https://m.media-amazon.com/images/I/717wadbx-sL._AC_UL320_.jpg")</f>
        <v>#NAME?</v>
      </c>
      <c r="I6558" t="s">
        <v>1554</v>
      </c>
      <c r="J6558">
        <v>13.95</v>
      </c>
      <c r="K6558" s="4">
        <v>-0.17699999999999999</v>
      </c>
      <c r="L6558">
        <v>4.7</v>
      </c>
      <c r="M6558">
        <v>2314</v>
      </c>
      <c r="O6558" t="s">
        <v>25</v>
      </c>
      <c r="P6558" t="s">
        <v>1794</v>
      </c>
      <c r="Q6558" t="s">
        <v>1795</v>
      </c>
    </row>
    <row r="6559" spans="1:17" ht="15.5" x14ac:dyDescent="0.35">
      <c r="A6559"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6559" s="3" t="str">
        <f>HYPERLINK("https://edmondsonsupply.com/products/diablo-tools-dag3090-7-8-in-x-17-1-2-in-auger-bit", "https://edmondsonsupply.com/products/diablo-tools-dag3090-7-8-in-x-17-1-2-in-auger-bit")</f>
        <v>https://edmondsonsupply.com/products/diablo-tools-dag3090-7-8-in-x-17-1-2-in-auger-bit</v>
      </c>
      <c r="C6559" t="s">
        <v>7269</v>
      </c>
      <c r="D6559" t="s">
        <v>3903</v>
      </c>
      <c r="E6559" s="3" t="str">
        <f>HYPERLINK("https://www.amazon.com/Diablo-Freud-DAG1110-7-1-Auger/dp/B089KWR9F4/ref=sr_1_5?keywords=Diablo+Tools+DAG3090+7%2F8+in.+x+17-1%2F2+in.+Auger+Bit&amp;qid=1695174065&amp;sr=8-5", "https://www.amazon.com/Diablo-Freud-DAG1110-7-1-Auger/dp/B089KWR9F4/ref=sr_1_5?keywords=Diablo+Tools+DAG3090+7%2F8+in.+x+17-1%2F2+in.+Auger+Bit&amp;qid=1695174065&amp;sr=8-5")</f>
        <v>https://www.amazon.com/Diablo-Freud-DAG1110-7-1-Auger/dp/B089KWR9F4/ref=sr_1_5?keywords=Diablo+Tools+DAG3090+7%2F8+in.+x+17-1%2F2+in.+Auger+Bit&amp;qid=1695174065&amp;sr=8-5</v>
      </c>
      <c r="F6559" t="s">
        <v>3904</v>
      </c>
      <c r="G6559" t="e">
        <f ca="1">_xludf.IMAGE("https://edmondsonsupply.com/cdn/shop/products/aorgtpkivjubhtbiiau0.webp?v=1677256849")</f>
        <v>#NAME?</v>
      </c>
      <c r="H6559" t="e">
        <f ca="1">_xludf.IMAGE("https://m.media-amazon.com/images/I/61FgY3Jv5eL._AC_UL320_.jpg")</f>
        <v>#NAME?</v>
      </c>
      <c r="I6559" t="s">
        <v>1589</v>
      </c>
      <c r="J6559">
        <v>18.920000000000002</v>
      </c>
      <c r="K6559" s="4">
        <v>-0.17699999999999999</v>
      </c>
      <c r="L6559">
        <v>4.8</v>
      </c>
      <c r="M6559">
        <v>48</v>
      </c>
      <c r="O6559" t="s">
        <v>25</v>
      </c>
      <c r="P6559" t="s">
        <v>7270</v>
      </c>
      <c r="Q6559" t="s">
        <v>7271</v>
      </c>
    </row>
    <row r="6560" spans="1:17" ht="15.5" x14ac:dyDescent="0.35">
      <c r="A6560"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6560" s="3" t="str">
        <f>HYPERLINK("https://edmondsonsupply.com/products/diablo-tools-d0660x-6-1-2-in-x-60-tooth-ultra-finish-saw-blade", "https://edmondsonsupply.com/products/diablo-tools-d0660x-6-1-2-in-x-60-tooth-ultra-finish-saw-blade")</f>
        <v>https://edmondsonsupply.com/products/diablo-tools-d0660x-6-1-2-in-x-60-tooth-ultra-finish-saw-blade</v>
      </c>
      <c r="C6560" t="s">
        <v>6681</v>
      </c>
      <c r="D6560" t="s">
        <v>8427</v>
      </c>
      <c r="E6560" s="3" t="str">
        <f>HYPERLINK("https://www.amazon.com/Freud-D0760X-Diablo-Finish-4-Inch/dp/B001CZEU0S/ref=sr_1_7?keywords=Diablo+Tools+D0660X+6-1%2F2+in.+x+60+Tooth+Ultra+Finish+Saw+Blade&amp;qid=1695174055&amp;sr=8-7", "https://www.amazon.com/Freud-D0760X-Diablo-Finish-4-Inch/dp/B001CZEU0S/ref=sr_1_7?keywords=Diablo+Tools+D0660X+6-1%2F2+in.+x+60+Tooth+Ultra+Finish+Saw+Blade&amp;qid=1695174055&amp;sr=8-7")</f>
        <v>https://www.amazon.com/Freud-D0760X-Diablo-Finish-4-Inch/dp/B001CZEU0S/ref=sr_1_7?keywords=Diablo+Tools+D0660X+6-1%2F2+in.+x+60+Tooth+Ultra+Finish+Saw+Blade&amp;qid=1695174055&amp;sr=8-7</v>
      </c>
      <c r="F6560" t="s">
        <v>8428</v>
      </c>
      <c r="G6560" t="e">
        <f ca="1">_xludf.IMAGE("https://edmondsonsupply.com/cdn/shop/products/ma8p1gcmhxpwwhymtiim.webp?v=1678983644")</f>
        <v>#NAME?</v>
      </c>
      <c r="H6560" t="e">
        <f ca="1">_xludf.IMAGE("https://m.media-amazon.com/images/I/61aig0rMpZS._AC_UL320_.jpg")</f>
        <v>#NAME?</v>
      </c>
      <c r="I6560" t="s">
        <v>1716</v>
      </c>
      <c r="J6560">
        <v>18.899999999999999</v>
      </c>
      <c r="K6560" s="4">
        <v>-0.1772</v>
      </c>
      <c r="L6560">
        <v>4.8</v>
      </c>
      <c r="M6560">
        <v>1393</v>
      </c>
      <c r="O6560" t="s">
        <v>25</v>
      </c>
      <c r="P6560" t="s">
        <v>6682</v>
      </c>
      <c r="Q6560" t="s">
        <v>6683</v>
      </c>
    </row>
    <row r="6561" spans="1:17" ht="15.5" x14ac:dyDescent="0.35">
      <c r="A6561" s="3" t="str">
        <f>HYPERLINK("https://edmondsonsupply.com/collections/electricians-tools/products/wiha-tools-66991-13-piece-magicring-ball-end-hex-l-key-set-inch", "https://edmondsonsupply.com/collections/electricians-tools/products/wiha-tools-66991-13-piece-magicring-ball-end-hex-l-key-set-inch")</f>
        <v>https://edmondsonsupply.com/collections/electricians-tools/products/wiha-tools-66991-13-piece-magicring-ball-end-hex-l-key-set-inch</v>
      </c>
      <c r="B6561" s="3" t="str">
        <f>HYPERLINK("https://edmondsonsupply.com/products/wiha-tools-66991-13-piece-magicring-ball-end-hex-l-key-set-inch", "https://edmondsonsupply.com/products/wiha-tools-66991-13-piece-magicring-ball-end-hex-l-key-set-inch")</f>
        <v>https://edmondsonsupply.com/products/wiha-tools-66991-13-piece-magicring-ball-end-hex-l-key-set-inch</v>
      </c>
      <c r="C6561" t="s">
        <v>6959</v>
      </c>
      <c r="D6561" t="s">
        <v>4396</v>
      </c>
      <c r="E6561" s="3" t="str">
        <f>HYPERLINK("https://www.amazon.com/Wiha-66991-MagicRing-Holder-Piece/dp/B000WTAK2C/ref=sr_1_1?keywords=Wiha+Tools+66991+13+Piece+MagicRing+Ball+End+Hex+L-Key+Set+-+Inch&amp;qid=1695173986&amp;sr=8-1", "https://www.amazon.com/Wiha-66991-MagicRing-Holder-Piece/dp/B000WTAK2C/ref=sr_1_1?keywords=Wiha+Tools+66991+13+Piece+MagicRing+Ball+End+Hex+L-Key+Set+-+Inch&amp;qid=1695173986&amp;sr=8-1")</f>
        <v>https://www.amazon.com/Wiha-66991-MagicRing-Holder-Piece/dp/B000WTAK2C/ref=sr_1_1?keywords=Wiha+Tools+66991+13+Piece+MagicRing+Ball+End+Hex+L-Key+Set+-+Inch&amp;qid=1695173986&amp;sr=8-1</v>
      </c>
      <c r="F6561" t="s">
        <v>4397</v>
      </c>
      <c r="G6561" t="e">
        <f ca="1">_xludf.IMAGE("https://edmondsonsupply.com/cdn/shop/files/203e9943d7bc6da0913f39b14430d97570f6257a_1000x_25f5521b-5db2-4e3a-9496-a87eed5e7da1.webp?v=1690841742")</f>
        <v>#NAME?</v>
      </c>
      <c r="H6561" t="e">
        <f ca="1">_xludf.IMAGE("https://m.media-amazon.com/images/I/61jqxmDwZLL._AC_UL320_.jpg")</f>
        <v>#NAME?</v>
      </c>
      <c r="I6561" t="s">
        <v>6960</v>
      </c>
      <c r="J6561">
        <v>39.99</v>
      </c>
      <c r="K6561" s="4">
        <v>-0.17730000000000001</v>
      </c>
      <c r="L6561">
        <v>4.8</v>
      </c>
      <c r="M6561">
        <v>17</v>
      </c>
      <c r="O6561" t="s">
        <v>25</v>
      </c>
      <c r="P6561" t="s">
        <v>6961</v>
      </c>
      <c r="Q6561" t="s">
        <v>6962</v>
      </c>
    </row>
    <row r="6562" spans="1:17" ht="15.5" x14ac:dyDescent="0.35">
      <c r="A6562" s="3" t="str">
        <f>HYPERLINK("https://edmondsonsupply.com/collections/electricians-tools/products/tajima-jpr-265st-japan-pull%E2%84%A2265-short-16-tpi-blade", "https://edmondsonsupply.com/collections/electricians-tools/products/tajima-jpr-265st-japan-pull%E2%84%A2265-short-16-tpi-blade")</f>
        <v>https://edmondsonsupply.com/collections/electricians-tools/products/tajima-jpr-265st-japan-pull%E2%84%A2265-short-16-tpi-blade</v>
      </c>
      <c r="B6562" s="3" t="str">
        <f>HYPERLINK("https://edmondsonsupply.com/products/tajima-jpr-265st-japan-pull%e2%84%a2265-short-16-tpi-blade", "https://edmondsonsupply.com/products/tajima-jpr-265st-japan-pull%e2%84%a2265-short-16-tpi-blade")</f>
        <v>https://edmondsonsupply.com/products/tajima-jpr-265st-japan-pull%e2%84%a2265-short-16-tpi-blade</v>
      </c>
      <c r="C6562" t="s">
        <v>8708</v>
      </c>
      <c r="D6562" t="s">
        <v>7716</v>
      </c>
      <c r="E6562" s="3" t="str">
        <f>HYPERLINK("https://www.amazon.com/TAJIMA-Pull-Stroke-Saw-Quick-Release-Elastomer/dp/B00ID1PKD0/ref=sr_1_1?keywords=Tajima+JPR-265ST+Japan+Pull%E2%84%A2265+Short%2C+16+TPI+Blade&amp;qid=1695174224&amp;sr=8-1", "https://www.amazon.com/TAJIMA-Pull-Stroke-Saw-Quick-Release-Elastomer/dp/B00ID1PKD0/ref=sr_1_1?keywords=Tajima+JPR-265ST+Japan+Pull%E2%84%A2265+Short%2C+16+TPI+Blade&amp;qid=1695174224&amp;sr=8-1")</f>
        <v>https://www.amazon.com/TAJIMA-Pull-Stroke-Saw-Quick-Release-Elastomer/dp/B00ID1PKD0/ref=sr_1_1?keywords=Tajima+JPR-265ST+Japan+Pull%E2%84%A2265+Short%2C+16+TPI+Blade&amp;qid=1695174224&amp;sr=8-1</v>
      </c>
      <c r="F6562" t="s">
        <v>7717</v>
      </c>
      <c r="G6562" t="e">
        <f ca="1">_xludf.IMAGE("https://edmondsonsupply.com/cdn/shop/products/JPR-265ST.jpg?v=1655820362")</f>
        <v>#NAME?</v>
      </c>
      <c r="H6562" t="e">
        <f ca="1">_xludf.IMAGE("https://m.media-amazon.com/images/I/71cdoT0D2wL._AC_UL320_.jpg")</f>
        <v>#NAME?</v>
      </c>
      <c r="I6562" t="s">
        <v>8709</v>
      </c>
      <c r="J6562">
        <v>34.17</v>
      </c>
      <c r="K6562" s="4">
        <v>-0.17860000000000001</v>
      </c>
      <c r="L6562">
        <v>4.5</v>
      </c>
      <c r="M6562">
        <v>59</v>
      </c>
      <c r="O6562" t="s">
        <v>25</v>
      </c>
      <c r="P6562" t="s">
        <v>8710</v>
      </c>
      <c r="Q6562" t="s">
        <v>8711</v>
      </c>
    </row>
    <row r="6563" spans="1:17" ht="15.5" x14ac:dyDescent="0.35">
      <c r="A6563" s="3" t="str">
        <f>HYPERLINK("https://edmondsonsupply.com/collections/electricians-tools/products/klein-tools-d203-8-glw-pliers-long-nose-side-cutters-hi-viz-8-inch", "https://edmondsonsupply.com/collections/electricians-tools/products/klein-tools-d203-8-glw-pliers-long-nose-side-cutters-hi-viz-8-inch")</f>
        <v>https://edmondsonsupply.com/collections/electricians-tools/products/klein-tools-d203-8-glw-pliers-long-nose-side-cutters-hi-viz-8-inch</v>
      </c>
      <c r="B6563" s="3" t="str">
        <f>HYPERLINK("https://edmondsonsupply.com/products/klein-tools-d203-8-glw-pliers-long-nose-side-cutters-hi-viz-8-inch", "https://edmondsonsupply.com/products/klein-tools-d203-8-glw-pliers-long-nose-side-cutters-hi-viz-8-inch")</f>
        <v>https://edmondsonsupply.com/products/klein-tools-d203-8-glw-pliers-long-nose-side-cutters-hi-viz-8-inch</v>
      </c>
      <c r="C6563" t="s">
        <v>5225</v>
      </c>
      <c r="D6563" t="s">
        <v>5226</v>
      </c>
      <c r="E6563" s="3" t="str">
        <f>HYPERLINK("https://www.amazon.com/Linemans-Alligator-Klein-Tools-D203-8/dp/B0000302WQ/ref=sr_1_1?keywords=Klein+Tools+D203-8-GLW+Pliers%2C+Needle+Nose+Side-Cutters%2C+High-Visibility%2C+8-Inch&amp;qid=1695173858&amp;sr=8-1", "https://www.amazon.com/Linemans-Alligator-Klein-Tools-D203-8/dp/B0000302WQ/ref=sr_1_1?keywords=Klein+Tools+D203-8-GLW+Pliers%2C+Needle+Nose+Side-Cutters%2C+High-Visibility%2C+8-Inch&amp;qid=1695173858&amp;sr=8-1")</f>
        <v>https://www.amazon.com/Linemans-Alligator-Klein-Tools-D203-8/dp/B0000302WQ/ref=sr_1_1?keywords=Klein+Tools+D203-8-GLW+Pliers%2C+Needle+Nose+Side-Cutters%2C+High-Visibility%2C+8-Inch&amp;qid=1695173858&amp;sr=8-1</v>
      </c>
      <c r="F6563" t="s">
        <v>5227</v>
      </c>
      <c r="G6563" t="e">
        <f ca="1">_xludf.IMAGE("https://edmondsonsupply.com/cdn/shop/products/d2038glw.jpg?v=1587146455")</f>
        <v>#NAME?</v>
      </c>
      <c r="H6563" t="e">
        <f ca="1">_xludf.IMAGE("https://m.media-amazon.com/images/I/51Ifjz4aftL._AC_UL320_.jpg")</f>
        <v>#NAME?</v>
      </c>
      <c r="I6563" t="s">
        <v>571</v>
      </c>
      <c r="J6563">
        <v>28.74</v>
      </c>
      <c r="K6563" s="4">
        <v>-0.17860000000000001</v>
      </c>
      <c r="L6563">
        <v>4.8</v>
      </c>
      <c r="M6563">
        <v>935</v>
      </c>
      <c r="O6563" t="s">
        <v>25</v>
      </c>
      <c r="P6563" t="s">
        <v>5228</v>
      </c>
      <c r="Q6563" t="s">
        <v>5229</v>
      </c>
    </row>
    <row r="6564" spans="1:17" ht="15.5" x14ac:dyDescent="0.35">
      <c r="A6564" s="3" t="str">
        <f>HYPERLINK("https://edmondsonsupply.com/collections/electricians-tools/products/diablo-tools-dmamxcc5040-3-9-16-in-x-7-in-sds-max-carbide-tipped-core-bit", "https://edmondsonsupply.com/collections/electricians-tools/products/diablo-tools-dmamxcc5040-3-9-16-in-x-7-in-sds-max-carbide-tipped-core-bit")</f>
        <v>https://edmondsonsupply.com/collections/electricians-tools/products/diablo-tools-dmamxcc5040-3-9-16-in-x-7-in-sds-max-carbide-tipped-core-bit</v>
      </c>
      <c r="B6564" s="3" t="str">
        <f>HYPERLINK("https://edmondsonsupply.com/products/diablo-tools-dmamxcc5040-3-9-16-in-x-7-in-sds-max-carbide-tipped-core-bit", "https://edmondsonsupply.com/products/diablo-tools-dmamxcc5040-3-9-16-in-x-7-in-sds-max-carbide-tipped-core-bit")</f>
        <v>https://edmondsonsupply.com/products/diablo-tools-dmamxcc5040-3-9-16-in-x-7-in-sds-max-carbide-tipped-core-bit</v>
      </c>
      <c r="C6564" t="s">
        <v>5930</v>
      </c>
      <c r="D6564" t="s">
        <v>5900</v>
      </c>
      <c r="E6564" s="3" t="str">
        <f>HYPERLINK("https://www.amazon.com/Diablo-DMAMXCC5030-SDS-Max-Carbide-Tipped/dp/B089M8K3HG/ref=sr_1_1?keywords=Diablo+Tools+DMAMXCC5040+3-9%2F16+in.+x+7+in.+SDS-Max+Carbide+Tipped+Core+Bit&amp;qid=1695173998&amp;sr=8-1", "https://www.amazon.com/Diablo-DMAMXCC5030-SDS-Max-Carbide-Tipped/dp/B089M8K3HG/ref=sr_1_1?keywords=Diablo+Tools+DMAMXCC5040+3-9%2F16+in.+x+7+in.+SDS-Max+Carbide+Tipped+Core+Bit&amp;qid=1695173998&amp;sr=8-1")</f>
        <v>https://www.amazon.com/Diablo-DMAMXCC5030-SDS-Max-Carbide-Tipped/dp/B089M8K3HG/ref=sr_1_1?keywords=Diablo+Tools+DMAMXCC5040+3-9%2F16+in.+x+7+in.+SDS-Max+Carbide+Tipped+Core+Bit&amp;qid=1695173998&amp;sr=8-1</v>
      </c>
      <c r="F6564" t="s">
        <v>5901</v>
      </c>
      <c r="G6564" t="e">
        <f ca="1">_xludf.IMAGE("https://edmondsonsupply.com/cdn/shop/files/a3uovbbd2u7b0jmabzl1.webp?v=1686586245")</f>
        <v>#NAME?</v>
      </c>
      <c r="H6564" t="e">
        <f ca="1">_xludf.IMAGE("https://m.media-amazon.com/images/I/71U1Um--OXL._AC_UL320_.jpg")</f>
        <v>#NAME?</v>
      </c>
      <c r="I6564" t="s">
        <v>5931</v>
      </c>
      <c r="J6564">
        <v>110</v>
      </c>
      <c r="K6564" s="4">
        <v>-0.17899999999999999</v>
      </c>
      <c r="L6564">
        <v>5</v>
      </c>
      <c r="M6564">
        <v>3</v>
      </c>
      <c r="O6564" t="s">
        <v>25</v>
      </c>
      <c r="P6564" t="s">
        <v>5932</v>
      </c>
      <c r="Q6564" t="s">
        <v>5933</v>
      </c>
    </row>
    <row r="6565" spans="1:17" ht="15.5" x14ac:dyDescent="0.35">
      <c r="A6565"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6565"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6565" t="s">
        <v>7150</v>
      </c>
      <c r="D6565" t="s">
        <v>5231</v>
      </c>
      <c r="E6565" s="3" t="str">
        <f>HYPERLINK("https://www.amazon.com/Klein-Tools-CL320-Digital-Electrical/dp/B08DDTV5KG/ref=sr_1_4?keywords=Klein+Tools+CL390+AC%2FDC+Digital+Clamp+Meter%2C+Auto-Ranging+400+Amp&amp;qid=1695174165&amp;sr=8-4", "https://www.amazon.com/Klein-Tools-CL320-Digital-Electrical/dp/B08DDTV5KG/ref=sr_1_4?keywords=Klein+Tools+CL390+AC%2FDC+Digital+Clamp+Meter%2C+Auto-Ranging+400+Amp&amp;qid=1695174165&amp;sr=8-4")</f>
        <v>https://www.amazon.com/Klein-Tools-CL320-Digital-Electrical/dp/B08DDTV5KG/ref=sr_1_4?keywords=Klein+Tools+CL390+AC%2FDC+Digital+Clamp+Meter%2C+Auto-Ranging+400+Amp&amp;qid=1695174165&amp;sr=8-4</v>
      </c>
      <c r="F6565" t="s">
        <v>5232</v>
      </c>
      <c r="G6565" t="e">
        <f ca="1">_xludf.IMAGE("https://edmondsonsupply.com/cdn/shop/products/cl390.jpg?v=1662670722")</f>
        <v>#NAME?</v>
      </c>
      <c r="H6565" t="e">
        <f ca="1">_xludf.IMAGE("https://m.media-amazon.com/images/I/61qVZZBNj2L._AC_UY218_.jpg")</f>
        <v>#NAME?</v>
      </c>
      <c r="I6565" t="s">
        <v>545</v>
      </c>
      <c r="J6565">
        <v>81.99</v>
      </c>
      <c r="K6565" s="4">
        <v>-0.1799</v>
      </c>
      <c r="L6565">
        <v>4.8</v>
      </c>
      <c r="M6565">
        <v>994</v>
      </c>
      <c r="O6565" t="s">
        <v>25</v>
      </c>
      <c r="P6565" t="s">
        <v>7153</v>
      </c>
      <c r="Q6565" t="s">
        <v>7154</v>
      </c>
    </row>
    <row r="6566" spans="1:17" ht="15.5" x14ac:dyDescent="0.35">
      <c r="A6566"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6566" s="3" t="str">
        <f>HYPERLINK("https://edmondsonsupply.com/products/milwaukee-49-90-1900-hepa-filter", "https://edmondsonsupply.com/products/milwaukee-49-90-1900-hepa-filter")</f>
        <v>https://edmondsonsupply.com/products/milwaukee-49-90-1900-hepa-filter</v>
      </c>
      <c r="C6566" t="s">
        <v>5831</v>
      </c>
      <c r="D6566" t="s">
        <v>5934</v>
      </c>
      <c r="E6566" s="3" t="str">
        <f>HYPERLINK("https://www.amazon.com/Funmit-49-90-1900-Replacement-Milwaukee-Cordless/dp/B08QMJWVP1/ref=sr_1_6?keywords=Milwaukee+49-90-1900+HEPA+Filter&amp;qid=1695174010&amp;sr=8-6", "https://www.amazon.com/Funmit-49-90-1900-Replacement-Milwaukee-Cordless/dp/B08QMJWVP1/ref=sr_1_6?keywords=Milwaukee+49-90-1900+HEPA+Filter&amp;qid=1695174010&amp;sr=8-6")</f>
        <v>https://www.amazon.com/Funmit-49-90-1900-Replacement-Milwaukee-Cordless/dp/B08QMJWVP1/ref=sr_1_6?keywords=Milwaukee+49-90-1900+HEPA+Filter&amp;qid=1695174010&amp;sr=8-6</v>
      </c>
      <c r="F6566" t="s">
        <v>5935</v>
      </c>
      <c r="G6566" t="e">
        <f ca="1">_xludf.IMAGE("https://edmondsonsupply.com/cdn/shop/files/49-90-1900_1.png?v=1686234774")</f>
        <v>#NAME?</v>
      </c>
      <c r="H6566" t="e">
        <f ca="1">_xludf.IMAGE("https://m.media-amazon.com/images/I/718M0N1GX-L._AC_UL320_.jpg")</f>
        <v>#NAME?</v>
      </c>
      <c r="I6566" t="s">
        <v>2170</v>
      </c>
      <c r="J6566">
        <v>20.47</v>
      </c>
      <c r="K6566" s="4">
        <v>-0.18049999999999999</v>
      </c>
      <c r="L6566">
        <v>4.5</v>
      </c>
      <c r="M6566">
        <v>173</v>
      </c>
      <c r="O6566" t="s">
        <v>25</v>
      </c>
      <c r="P6566" t="s">
        <v>2470</v>
      </c>
      <c r="Q6566" t="s">
        <v>5834</v>
      </c>
    </row>
    <row r="6567" spans="1:17" ht="15.5" x14ac:dyDescent="0.35">
      <c r="A6567" s="3" t="str">
        <f>HYPERLINK("https://edmondsonsupply.com/collections/electricians-tools/products/klein-tools-j2000-9netp-linemans-pliers-fish-tape-pulling-9-inch", "https://edmondsonsupply.com/collections/electricians-tools/products/klein-tools-j2000-9netp-linemans-pliers-fish-tape-pulling-9-inch")</f>
        <v>https://edmondsonsupply.com/collections/electricians-tools/products/klein-tools-j2000-9netp-linemans-pliers-fish-tape-pulling-9-inch</v>
      </c>
      <c r="B6567" s="3" t="str">
        <f>HYPERLINK("https://edmondsonsupply.com/products/klein-tools-j2000-9netp-linemans-pliers-fish-tape-pulling-9-inch", "https://edmondsonsupply.com/products/klein-tools-j2000-9netp-linemans-pliers-fish-tape-pulling-9-inch")</f>
        <v>https://edmondsonsupply.com/products/klein-tools-j2000-9netp-linemans-pliers-fish-tape-pulling-9-inch</v>
      </c>
      <c r="C6567" t="s">
        <v>8712</v>
      </c>
      <c r="D6567" t="s">
        <v>8713</v>
      </c>
      <c r="E6567" s="3" t="str">
        <f>HYPERLINK("https://www.amazon.com/Klein-Tools-J213-9NETP-Journeyman-Leverage/dp/B000TK970K/ref=sr_1_3?keywords=Klein+Tools+J2000-9NETP+Lineman%27s+Pliers%2C+Fish+Tape+Pulling%2C+9-Inch&amp;qid=1695174247&amp;sr=8-3", "https://www.amazon.com/Klein-Tools-J213-9NETP-Journeyman-Leverage/dp/B000TK970K/ref=sr_1_3?keywords=Klein+Tools+J2000-9NETP+Lineman%27s+Pliers%2C+Fish+Tape+Pulling%2C+9-Inch&amp;qid=1695174247&amp;sr=8-3")</f>
        <v>https://www.amazon.com/Klein-Tools-J213-9NETP-Journeyman-Leverage/dp/B000TK970K/ref=sr_1_3?keywords=Klein+Tools+J2000-9NETP+Lineman%27s+Pliers%2C+Fish+Tape+Pulling%2C+9-Inch&amp;qid=1695174247&amp;sr=8-3</v>
      </c>
      <c r="F6567" t="s">
        <v>8714</v>
      </c>
      <c r="G6567" t="e">
        <f ca="1">_xludf.IMAGE("https://edmondsonsupply.com/cdn/shop/products/j20009netp.jpg?v=1633031134")</f>
        <v>#NAME?</v>
      </c>
      <c r="H6567" t="e">
        <f ca="1">_xludf.IMAGE("https://m.media-amazon.com/images/I/51Ux2OmUuAL._AC_UL320_.jpg")</f>
        <v>#NAME?</v>
      </c>
      <c r="I6567" t="s">
        <v>269</v>
      </c>
      <c r="J6567">
        <v>44.99</v>
      </c>
      <c r="K6567" s="4">
        <v>-0.18190000000000001</v>
      </c>
      <c r="L6567">
        <v>4.8</v>
      </c>
      <c r="M6567">
        <v>419</v>
      </c>
      <c r="O6567" t="s">
        <v>25</v>
      </c>
      <c r="P6567" t="s">
        <v>8100</v>
      </c>
      <c r="Q6567" t="s">
        <v>8715</v>
      </c>
    </row>
    <row r="6568" spans="1:17" ht="15.5" x14ac:dyDescent="0.35">
      <c r="A6568"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6568" s="3" t="str">
        <f>HYPERLINK("https://edmondsonsupply.com/products/klein-tools-j20017ne-heavy-duty-linemans-pliers-7-inch", "https://edmondsonsupply.com/products/klein-tools-j20017ne-heavy-duty-linemans-pliers-7-inch")</f>
        <v>https://edmondsonsupply.com/products/klein-tools-j20017ne-heavy-duty-linemans-pliers-7-inch</v>
      </c>
      <c r="C6568" t="s">
        <v>8097</v>
      </c>
      <c r="D6568" t="s">
        <v>8716</v>
      </c>
      <c r="E6568" s="3" t="str">
        <f>HYPERLINK("https://www.amazon.com/Cutters-Leverage-Klein-Tools-D2000-7/dp/B00093DXUW/ref=sr_1_2?keywords=Klein+Tools+J20017NE+Heavy-Duty+Lineman%27s+Pliers%2C+7-Inch&amp;qid=1695174165&amp;sr=8-2", "https://www.amazon.com/Cutters-Leverage-Klein-Tools-D2000-7/dp/B00093DXUW/ref=sr_1_2?keywords=Klein+Tools+J20017NE+Heavy-Duty+Lineman%27s+Pliers%2C+7-Inch&amp;qid=1695174165&amp;sr=8-2")</f>
        <v>https://www.amazon.com/Cutters-Leverage-Klein-Tools-D2000-7/dp/B00093DXUW/ref=sr_1_2?keywords=Klein+Tools+J20017NE+Heavy-Duty+Lineman%27s+Pliers%2C+7-Inch&amp;qid=1695174165&amp;sr=8-2</v>
      </c>
      <c r="F6568" t="s">
        <v>8717</v>
      </c>
      <c r="G6568" t="e">
        <f ca="1">_xludf.IMAGE("https://edmondsonsupply.com/cdn/shop/products/j20017ne.jpg?v=1662669673")</f>
        <v>#NAME?</v>
      </c>
      <c r="H6568" t="e">
        <f ca="1">_xludf.IMAGE("https://m.media-amazon.com/images/I/51qEoG92lmL._AC_UL320_.jpg")</f>
        <v>#NAME?</v>
      </c>
      <c r="I6568" t="s">
        <v>269</v>
      </c>
      <c r="J6568">
        <v>44.99</v>
      </c>
      <c r="K6568" s="4">
        <v>-0.18190000000000001</v>
      </c>
      <c r="L6568">
        <v>4.4000000000000004</v>
      </c>
      <c r="M6568">
        <v>48</v>
      </c>
      <c r="O6568" t="s">
        <v>25</v>
      </c>
      <c r="P6568" t="s">
        <v>8100</v>
      </c>
      <c r="Q6568" t="s">
        <v>8101</v>
      </c>
    </row>
    <row r="6569" spans="1:17" ht="15.5" x14ac:dyDescent="0.35">
      <c r="A6569" s="3" t="str">
        <f>HYPERLINK("https://edmondsonsupply.com/collections/electricians-tools/products/klein-tools-j2000-9netp-linemans-pliers-fish-tape-pulling-9-inch", "https://edmondsonsupply.com/collections/electricians-tools/products/klein-tools-j2000-9netp-linemans-pliers-fish-tape-pulling-9-inch")</f>
        <v>https://edmondsonsupply.com/collections/electricians-tools/products/klein-tools-j2000-9netp-linemans-pliers-fish-tape-pulling-9-inch</v>
      </c>
      <c r="B6569" s="3" t="str">
        <f>HYPERLINK("https://edmondsonsupply.com/products/klein-tools-j2000-9netp-linemans-pliers-fish-tape-pulling-9-inch", "https://edmondsonsupply.com/products/klein-tools-j2000-9netp-linemans-pliers-fish-tape-pulling-9-inch")</f>
        <v>https://edmondsonsupply.com/products/klein-tools-j2000-9netp-linemans-pliers-fish-tape-pulling-9-inch</v>
      </c>
      <c r="C6569" t="s">
        <v>8712</v>
      </c>
      <c r="D6569" t="s">
        <v>8718</v>
      </c>
      <c r="E6569" s="3" t="str">
        <f>HYPERLINK("https://www.amazon.com/Klein-Tools-D2000-9NETP-Linemans-Pulling/dp/B0002RI9G8/ref=sr_1_2?keywords=Klein+Tools+J2000-9NETP+Lineman%27s+Pliers%2C+Fish+Tape+Pulling%2C+9-Inch&amp;qid=1695174247&amp;sr=8-2", "https://www.amazon.com/Klein-Tools-D2000-9NETP-Linemans-Pulling/dp/B0002RI9G8/ref=sr_1_2?keywords=Klein+Tools+J2000-9NETP+Lineman%27s+Pliers%2C+Fish+Tape+Pulling%2C+9-Inch&amp;qid=1695174247&amp;sr=8-2")</f>
        <v>https://www.amazon.com/Klein-Tools-D2000-9NETP-Linemans-Pulling/dp/B0002RI9G8/ref=sr_1_2?keywords=Klein+Tools+J2000-9NETP+Lineman%27s+Pliers%2C+Fish+Tape+Pulling%2C+9-Inch&amp;qid=1695174247&amp;sr=8-2</v>
      </c>
      <c r="F6569" t="s">
        <v>8719</v>
      </c>
      <c r="G6569" t="e">
        <f ca="1">_xludf.IMAGE("https://edmondsonsupply.com/cdn/shop/products/j20009netp.jpg?v=1633031134")</f>
        <v>#NAME?</v>
      </c>
      <c r="H6569" t="e">
        <f ca="1">_xludf.IMAGE("https://m.media-amazon.com/images/I/41kGFR8FwvL._AC_UL320_.jpg")</f>
        <v>#NAME?</v>
      </c>
      <c r="I6569" t="s">
        <v>269</v>
      </c>
      <c r="J6569">
        <v>44.99</v>
      </c>
      <c r="K6569" s="4">
        <v>-0.18190000000000001</v>
      </c>
      <c r="L6569">
        <v>4.8</v>
      </c>
      <c r="M6569">
        <v>1734</v>
      </c>
      <c r="O6569" t="s">
        <v>25</v>
      </c>
      <c r="P6569" t="s">
        <v>8100</v>
      </c>
      <c r="Q6569" t="s">
        <v>8715</v>
      </c>
    </row>
    <row r="6570" spans="1:17" ht="15.5" x14ac:dyDescent="0.35">
      <c r="A6570" s="3" t="str">
        <f>HYPERLINK("https://edmondsonsupply.com/collections/electricians-tools/products/klein-tools-31932-bi-metal-hole-saw-2-inch", "https://edmondsonsupply.com/collections/electricians-tools/products/klein-tools-31932-bi-metal-hole-saw-2-inch")</f>
        <v>https://edmondsonsupply.com/collections/electricians-tools/products/klein-tools-31932-bi-metal-hole-saw-2-inch</v>
      </c>
      <c r="B6570" s="3" t="str">
        <f>HYPERLINK("https://edmondsonsupply.com/products/klein-tools-31932-bi-metal-hole-saw-2-inch", "https://edmondsonsupply.com/products/klein-tools-31932-bi-metal-hole-saw-2-inch")</f>
        <v>https://edmondsonsupply.com/products/klein-tools-31932-bi-metal-hole-saw-2-inch</v>
      </c>
      <c r="C6570" t="s">
        <v>6244</v>
      </c>
      <c r="D6570" t="s">
        <v>6049</v>
      </c>
      <c r="E6570" s="3" t="str">
        <f>HYPERLINK("https://www.amazon.com/Bi-Metal-8-Inch-Klein-Tools-31922/dp/B019874Q0K/ref=sr_1_4?keywords=Klein+Tools+31932+Bi-Metal+Hole+Saw%2C+2-Inch&amp;qid=1695174279&amp;sr=8-4", "https://www.amazon.com/Bi-Metal-8-Inch-Klein-Tools-31922/dp/B019874Q0K/ref=sr_1_4?keywords=Klein+Tools+31932+Bi-Metal+Hole+Saw%2C+2-Inch&amp;qid=1695174279&amp;sr=8-4")</f>
        <v>https://www.amazon.com/Bi-Metal-8-Inch-Klein-Tools-31922/dp/B019874Q0K/ref=sr_1_4?keywords=Klein+Tools+31932+Bi-Metal+Hole+Saw%2C+2-Inch&amp;qid=1695174279&amp;sr=8-4</v>
      </c>
      <c r="F6570" t="s">
        <v>7576</v>
      </c>
      <c r="G6570" t="e">
        <f ca="1">_xludf.IMAGE("https://edmondsonsupply.com/cdn/shop/products/31932.jpg?v=1633030939")</f>
        <v>#NAME?</v>
      </c>
      <c r="H6570" t="e">
        <f ca="1">_xludf.IMAGE("https://m.media-amazon.com/images/I/41GAmyLoB4L._AC_UL320_.jpg")</f>
        <v>#NAME?</v>
      </c>
      <c r="I6570" t="s">
        <v>6056</v>
      </c>
      <c r="J6570">
        <v>8.99</v>
      </c>
      <c r="K6570" s="4">
        <v>-0.182</v>
      </c>
      <c r="L6570">
        <v>4.5</v>
      </c>
      <c r="M6570">
        <v>366</v>
      </c>
      <c r="O6570" t="s">
        <v>25</v>
      </c>
      <c r="P6570" t="s">
        <v>1620</v>
      </c>
      <c r="Q6570" t="s">
        <v>6247</v>
      </c>
    </row>
    <row r="6571" spans="1:17" ht="15.5" x14ac:dyDescent="0.35">
      <c r="A6571" s="3" t="str">
        <f>HYPERLINK("https://edmondsonsupply.com/collections/electricians-tools/products/milwaukee-2840-20-m18-fuel%E2%84%A2-2-gallon-compact-quiet-compressor", "https://edmondsonsupply.com/collections/electricians-tools/products/milwaukee-2840-20-m18-fuel%E2%84%A2-2-gallon-compact-quiet-compressor")</f>
        <v>https://edmondsonsupply.com/collections/electricians-tools/products/milwaukee-2840-20-m18-fuel%E2%84%A2-2-gallon-compact-quiet-compressor</v>
      </c>
      <c r="B6571" s="3" t="str">
        <f>HYPERLINK("https://edmondsonsupply.com/products/milwaukee-2840-20-m18-fuel%e2%84%a2-2-gallon-compact-quiet-compressor", "https://edmondsonsupply.com/products/milwaukee-2840-20-m18-fuel%e2%84%a2-2-gallon-compact-quiet-compressor")</f>
        <v>https://edmondsonsupply.com/products/milwaukee-2840-20-m18-fuel%e2%84%a2-2-gallon-compact-quiet-compressor</v>
      </c>
      <c r="C6571" t="s">
        <v>8720</v>
      </c>
      <c r="D6571" t="s">
        <v>8721</v>
      </c>
      <c r="E6571" s="3" t="str">
        <f>HYPERLINK("https://www.amazon.com/Milwaukee-Gallon-Compact-Quiet-Compressor/dp/B09KP54SJB/ref=sr_1_1?keywords=Milwaukee+2840-20+M18+FUEL%E2%84%A2+2+Gallon+Compact+Quiet+Compressor&amp;qid=1695174058&amp;sr=8-1", "https://www.amazon.com/Milwaukee-Gallon-Compact-Quiet-Compressor/dp/B09KP54SJB/ref=sr_1_1?keywords=Milwaukee+2840-20+M18+FUEL%E2%84%A2+2+Gallon+Compact+Quiet+Compressor&amp;qid=1695174058&amp;sr=8-1")</f>
        <v>https://www.amazon.com/Milwaukee-Gallon-Compact-Quiet-Compressor/dp/B09KP54SJB/ref=sr_1_1?keywords=Milwaukee+2840-20+M18+FUEL%E2%84%A2+2+Gallon+Compact+Quiet+Compressor&amp;qid=1695174058&amp;sr=8-1</v>
      </c>
      <c r="F6571" t="s">
        <v>8722</v>
      </c>
      <c r="G6571" t="e">
        <f ca="1">_xludf.IMAGE("https://edmondsonsupply.com/cdn/shop/products/2840-20_4.webp?v=1678905365")</f>
        <v>#NAME?</v>
      </c>
      <c r="H6571" t="e">
        <f ca="1">_xludf.IMAGE("https://m.media-amazon.com/images/I/31nnGMwGAyL._AC_UL320_.jpg")</f>
        <v>#NAME?</v>
      </c>
      <c r="I6571" t="s">
        <v>8297</v>
      </c>
      <c r="J6571">
        <v>310</v>
      </c>
      <c r="K6571" s="4">
        <v>-0.18210000000000001</v>
      </c>
      <c r="L6571">
        <v>4.7</v>
      </c>
      <c r="M6571">
        <v>96</v>
      </c>
      <c r="O6571" t="s">
        <v>25</v>
      </c>
      <c r="P6571" t="s">
        <v>8298</v>
      </c>
      <c r="Q6571" t="s">
        <v>8723</v>
      </c>
    </row>
    <row r="6572" spans="1:17" ht="15.5" x14ac:dyDescent="0.35">
      <c r="A6572"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6572"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6572" t="s">
        <v>6976</v>
      </c>
      <c r="D6572" t="s">
        <v>3163</v>
      </c>
      <c r="E6572" s="3" t="str">
        <f>HYPERLINK("https://www.amazon.com/Journeyman-T-Handle-Klein-Tools-JTH9E14/dp/B004QVAH4I/ref=sr_1_6?keywords=Klein+Tools+JTH6E11BE+3%2F16-Inch+Ball+Hex+Key%2C+Journeyman+T-Handle+6-Inch&amp;qid=1695174298&amp;sr=8-6", "https://www.amazon.com/Journeyman-T-Handle-Klein-Tools-JTH9E14/dp/B004QVAH4I/ref=sr_1_6?keywords=Klein+Tools+JTH6E11BE+3%2F16-Inch+Ball+Hex+Key%2C+Journeyman+T-Handle+6-Inch&amp;qid=1695174298&amp;sr=8-6")</f>
        <v>https://www.amazon.com/Journeyman-T-Handle-Klein-Tools-JTH9E14/dp/B004QVAH4I/ref=sr_1_6?keywords=Klein+Tools+JTH6E11BE+3%2F16-Inch+Ball+Hex+Key%2C+Journeyman+T-Handle+6-Inch&amp;qid=1695174298&amp;sr=8-6</v>
      </c>
      <c r="F6572" t="s">
        <v>3164</v>
      </c>
      <c r="G6572" t="e">
        <f ca="1">_xludf.IMAGE("https://edmondsonsupply.com/cdn/shop/products/jth6e13be_9dba8a6a-8a07-4d76-a54f-fe57b92b3fea.jpg?v=1610659188")</f>
        <v>#NAME?</v>
      </c>
      <c r="H6572" t="e">
        <f ca="1">_xludf.IMAGE("https://m.media-amazon.com/images/I/51Yb8h41vLL._AC_UL320_.jpg")</f>
        <v>#NAME?</v>
      </c>
      <c r="I6572" t="s">
        <v>6464</v>
      </c>
      <c r="J6572">
        <v>7.44</v>
      </c>
      <c r="K6572" s="4">
        <v>-0.1842</v>
      </c>
      <c r="L6572">
        <v>4.8</v>
      </c>
      <c r="M6572">
        <v>114</v>
      </c>
      <c r="O6572" t="s">
        <v>25</v>
      </c>
      <c r="P6572" t="s">
        <v>138</v>
      </c>
      <c r="Q6572" t="s">
        <v>6977</v>
      </c>
    </row>
    <row r="6573" spans="1:17" ht="15.5" x14ac:dyDescent="0.35">
      <c r="A6573" s="3" t="str">
        <f>HYPERLINK("https://edmondsonsupply.com/collections/electricians-tools/products/supco-m500-insulation-tester-led-megohmmeter", "https://edmondsonsupply.com/collections/electricians-tools/products/supco-m500-insulation-tester-led-megohmmeter")</f>
        <v>https://edmondsonsupply.com/collections/electricians-tools/products/supco-m500-insulation-tester-led-megohmmeter</v>
      </c>
      <c r="B6573" s="3" t="str">
        <f>HYPERLINK("https://edmondsonsupply.com/products/supco-m500-insulation-tester-led-megohmmeter", "https://edmondsonsupply.com/products/supco-m500-insulation-tester-led-megohmmeter")</f>
        <v>https://edmondsonsupply.com/products/supco-m500-insulation-tester-led-megohmmeter</v>
      </c>
      <c r="C6573" t="s">
        <v>5235</v>
      </c>
      <c r="D6573" t="s">
        <v>5236</v>
      </c>
      <c r="E6573" s="3" t="str">
        <f>HYPERLINK("https://www.amazon.com/Supco-M500-Insulation-Electronic-Megohmmeter/dp/B004OMAWIA/ref=sr_1_1?keywords=Supco+M500+Insulation+Tester+%2F+LED+Megohmmeter&amp;qid=1695173855&amp;sr=8-1", "https://www.amazon.com/Supco-M500-Insulation-Electronic-Megohmmeter/dp/B004OMAWIA/ref=sr_1_1?keywords=Supco+M500+Insulation+Tester+%2F+LED+Megohmmeter&amp;qid=1695173855&amp;sr=8-1")</f>
        <v>https://www.amazon.com/Supco-M500-Insulation-Electronic-Megohmmeter/dp/B004OMAWIA/ref=sr_1_1?keywords=Supco+M500+Insulation+Tester+%2F+LED+Megohmmeter&amp;qid=1695173855&amp;sr=8-1</v>
      </c>
      <c r="F6573" t="s">
        <v>5237</v>
      </c>
      <c r="G6573" t="e">
        <f ca="1">_xludf.IMAGE("https://edmondsonsupply.com/cdn/shop/products/M500.jpg?v=1633030328")</f>
        <v>#NAME?</v>
      </c>
      <c r="H6573" t="e">
        <f ca="1">_xludf.IMAGE("https://m.media-amazon.com/images/I/91l8NQ5Jp5L._AC_UY218_.jpg")</f>
        <v>#NAME?</v>
      </c>
      <c r="I6573" t="s">
        <v>5238</v>
      </c>
      <c r="J6573">
        <v>95.35</v>
      </c>
      <c r="K6573" s="4">
        <v>-0.18459999999999999</v>
      </c>
      <c r="L6573">
        <v>4.7</v>
      </c>
      <c r="M6573">
        <v>1264</v>
      </c>
      <c r="O6573" t="s">
        <v>25</v>
      </c>
      <c r="P6573" t="s">
        <v>138</v>
      </c>
      <c r="Q6573" t="s">
        <v>5239</v>
      </c>
    </row>
    <row r="6574" spans="1:17" ht="15.5" x14ac:dyDescent="0.35">
      <c r="A6574"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6574" s="3" t="str">
        <f>HYPERLINK("https://edmondsonsupply.com/products/fluke-373-true-rms-ac-clamp-meter", "https://edmondsonsupply.com/products/fluke-373-true-rms-ac-clamp-meter")</f>
        <v>https://edmondsonsupply.com/products/fluke-373-true-rms-ac-clamp-meter</v>
      </c>
      <c r="C6574" t="s">
        <v>5826</v>
      </c>
      <c r="D6574" t="s">
        <v>5826</v>
      </c>
      <c r="E6574" s="3" t="str">
        <f>HYPERLINK("https://www.amazon.com/Fluke-373-True-RMS-Clamp-Meter/dp/B004DZCWIQ/ref=sr_1_1?keywords=Fluke+373+True-RMS+AC+Clamp+Meter&amp;qid=1695173996&amp;sr=8-1", "https://www.amazon.com/Fluke-373-True-RMS-Clamp-Meter/dp/B004DZCWIQ/ref=sr_1_1?keywords=Fluke+373+True-RMS+AC+Clamp+Meter&amp;qid=1695173996&amp;sr=8-1")</f>
        <v>https://www.amazon.com/Fluke-373-True-RMS-Clamp-Meter/dp/B004DZCWIQ/ref=sr_1_1?keywords=Fluke+373+True-RMS+AC+Clamp+Meter&amp;qid=1695173996&amp;sr=8-1</v>
      </c>
      <c r="F6574" t="s">
        <v>5936</v>
      </c>
      <c r="G6574" t="e">
        <f ca="1">_xludf.IMAGE("https://edmondsonsupply.com/cdn/shop/files/f-373-01d-1500x1000.webp?v=1689369435")</f>
        <v>#NAME?</v>
      </c>
      <c r="H6574" t="e">
        <f ca="1">_xludf.IMAGE("https://m.media-amazon.com/images/I/617BjfkzIaL._AC_UY218_.jpg")</f>
        <v>#NAME?</v>
      </c>
      <c r="I6574" t="s">
        <v>5829</v>
      </c>
      <c r="J6574">
        <v>236.46</v>
      </c>
      <c r="K6574" s="4">
        <v>-0.18479999999999999</v>
      </c>
      <c r="L6574">
        <v>4.7</v>
      </c>
      <c r="M6574">
        <v>84</v>
      </c>
      <c r="O6574" t="s">
        <v>25</v>
      </c>
      <c r="P6574" t="s">
        <v>138</v>
      </c>
      <c r="Q6574" t="s">
        <v>5830</v>
      </c>
    </row>
    <row r="6575" spans="1:17" ht="15.5" x14ac:dyDescent="0.35">
      <c r="A6575"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6575"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6575" t="s">
        <v>6976</v>
      </c>
      <c r="D6575" t="s">
        <v>3172</v>
      </c>
      <c r="E6575" s="3" t="str">
        <f>HYPERLINK("https://www.amazon.com/Journeyman-T-Handle-Klein-Tools-JTH6M5BE/dp/B005G3959S/ref=sr_1_4?keywords=Klein+Tools+JTH6E11BE+3%2F16-Inch+Ball+Hex+Key%2C+Journeyman+T-Handle+6-Inch&amp;qid=1695174298&amp;sr=8-4", "https://www.amazon.com/Journeyman-T-Handle-Klein-Tools-JTH6M5BE/dp/B005G3959S/ref=sr_1_4?keywords=Klein+Tools+JTH6E11BE+3%2F16-Inch+Ball+Hex+Key%2C+Journeyman+T-Handle+6-Inch&amp;qid=1695174298&amp;sr=8-4")</f>
        <v>https://www.amazon.com/Journeyman-T-Handle-Klein-Tools-JTH6M5BE/dp/B005G3959S/ref=sr_1_4?keywords=Klein+Tools+JTH6E11BE+3%2F16-Inch+Ball+Hex+Key%2C+Journeyman+T-Handle+6-Inch&amp;qid=1695174298&amp;sr=8-4</v>
      </c>
      <c r="F6575" t="s">
        <v>3173</v>
      </c>
      <c r="G6575" t="e">
        <f ca="1">_xludf.IMAGE("https://edmondsonsupply.com/cdn/shop/products/jth6e13be_9dba8a6a-8a07-4d76-a54f-fe57b92b3fea.jpg?v=1610659188")</f>
        <v>#NAME?</v>
      </c>
      <c r="H6575" t="e">
        <f ca="1">_xludf.IMAGE("https://m.media-amazon.com/images/I/51huXA+ij8L._AC_UL320_.jpg")</f>
        <v>#NAME?</v>
      </c>
      <c r="I6575" t="s">
        <v>6464</v>
      </c>
      <c r="J6575">
        <v>7.43</v>
      </c>
      <c r="K6575" s="4">
        <v>-0.18529999999999999</v>
      </c>
      <c r="L6575">
        <v>4.8</v>
      </c>
      <c r="M6575">
        <v>988</v>
      </c>
      <c r="O6575" t="s">
        <v>25</v>
      </c>
      <c r="P6575" t="s">
        <v>138</v>
      </c>
      <c r="Q6575" t="s">
        <v>6977</v>
      </c>
    </row>
    <row r="6576" spans="1:17" ht="15.5" x14ac:dyDescent="0.35">
      <c r="A6576" s="3" t="str">
        <f>HYPERLINK("https://edmondsonsupply.com/collections/electricians-tools/products/klein-tools-cl220-digital-clamp-meter-ac-auto-ranging-400-amp-with-temp", "https://edmondsonsupply.com/collections/electricians-tools/products/klein-tools-cl220-digital-clamp-meter-ac-auto-ranging-400-amp-with-temp")</f>
        <v>https://edmondsonsupply.com/collections/electricians-tools/products/klein-tools-cl220-digital-clamp-meter-ac-auto-ranging-400-amp-with-temp</v>
      </c>
      <c r="B6576" s="3" t="str">
        <f>HYPERLINK("https://edmondsonsupply.com/products/klein-tools-cl220-digital-clamp-meter-ac-auto-ranging-400-amp-with-temp", "https://edmondsonsupply.com/products/klein-tools-cl220-digital-clamp-meter-ac-auto-ranging-400-amp-with-temp")</f>
        <v>https://edmondsonsupply.com/products/klein-tools-cl220-digital-clamp-meter-ac-auto-ranging-400-amp-with-temp</v>
      </c>
      <c r="C6576" t="s">
        <v>6861</v>
      </c>
      <c r="D6576" t="s">
        <v>8724</v>
      </c>
      <c r="E6576" s="3" t="str">
        <f>HYPERLINK("https://www.amazon.com/Klein-Tools-CL120-Auto-Ranging-Measurements/dp/B08CP6GL49/ref=sr_1_7?keywords=Klein+Tools+CL220+Digital+Clamp+Meter%2C+AC+Auto-Ranging+400+Amp+with+Temp&amp;qid=1695174305&amp;sr=8-7", "https://www.amazon.com/Klein-Tools-CL120-Auto-Ranging-Measurements/dp/B08CP6GL49/ref=sr_1_7?keywords=Klein+Tools+CL220+Digital+Clamp+Meter%2C+AC+Auto-Ranging+400+Amp+with+Temp&amp;qid=1695174305&amp;sr=8-7")</f>
        <v>https://www.amazon.com/Klein-Tools-CL120-Auto-Ranging-Measurements/dp/B08CP6GL49/ref=sr_1_7?keywords=Klein+Tools+CL220+Digital+Clamp+Meter%2C+AC+Auto-Ranging+400+Amp+with+Temp&amp;qid=1695174305&amp;sr=8-7</v>
      </c>
      <c r="F6576" t="s">
        <v>8725</v>
      </c>
      <c r="G6576" t="e">
        <f ca="1">_xludf.IMAGE("https://edmondsonsupply.com/cdn/shop/products/cl220.jpg?v=1633030821")</f>
        <v>#NAME?</v>
      </c>
      <c r="H6576" t="e">
        <f ca="1">_xludf.IMAGE("https://m.media-amazon.com/images/I/61kcTqY2rFL._AC_UY218_.jpg")</f>
        <v>#NAME?</v>
      </c>
      <c r="I6576" t="s">
        <v>356</v>
      </c>
      <c r="J6576">
        <v>56.99</v>
      </c>
      <c r="K6576" s="4">
        <v>-0.1855</v>
      </c>
      <c r="L6576">
        <v>4.7</v>
      </c>
      <c r="M6576">
        <v>499</v>
      </c>
      <c r="O6576" t="s">
        <v>25</v>
      </c>
      <c r="P6576" t="s">
        <v>6864</v>
      </c>
      <c r="Q6576" t="s">
        <v>6865</v>
      </c>
    </row>
    <row r="6577" spans="1:17" ht="15.5" x14ac:dyDescent="0.35">
      <c r="A6577" s="3" t="str">
        <f>HYPERLINK("https://edmondsonsupply.com/collections/electricians-tools/products/greenlee-gsb02-1-2-step-bit-2", "https://edmondsonsupply.com/collections/electricians-tools/products/greenlee-gsb02-1-2-step-bit-2")</f>
        <v>https://edmondsonsupply.com/collections/electricians-tools/products/greenlee-gsb02-1-2-step-bit-2</v>
      </c>
      <c r="B6577" s="3" t="str">
        <f>HYPERLINK("https://edmondsonsupply.com/products/greenlee-gsb02-1-2-step-bit-2", "https://edmondsonsupply.com/products/greenlee-gsb02-1-2-step-bit-2")</f>
        <v>https://edmondsonsupply.com/products/greenlee-gsb02-1-2-step-bit-2</v>
      </c>
      <c r="C6577" t="s">
        <v>2882</v>
      </c>
      <c r="D6577" t="s">
        <v>4378</v>
      </c>
      <c r="E6577" s="3" t="str">
        <f>HYPERLINK("https://www.amazon.com/Greenlee-GSB04-Step-Bit/dp/B08TVF22W4/ref=sr_1_1?keywords=Greenlee+GSB02+1%2F2%22+Step+Bit+%28%232%29&amp;qid=1695173993&amp;sr=8-1", "https://www.amazon.com/Greenlee-GSB04-Step-Bit/dp/B08TVF22W4/ref=sr_1_1?keywords=Greenlee+GSB02+1%2F2%22+Step+Bit+%28%232%29&amp;qid=1695173993&amp;sr=8-1")</f>
        <v>https://www.amazon.com/Greenlee-GSB04-Step-Bit/dp/B08TVF22W4/ref=sr_1_1?keywords=Greenlee+GSB02+1%2F2%22+Step+Bit+%28%232%29&amp;qid=1695173993&amp;sr=8-1</v>
      </c>
      <c r="F6577" t="s">
        <v>4379</v>
      </c>
      <c r="G6577" t="e">
        <f ca="1">_xludf.IMAGE("https://edmondsonsupply.com/cdn/shop/files/GSB02_CAT1_72dpi.jpg?v=1687783943")</f>
        <v>#NAME?</v>
      </c>
      <c r="H6577" t="e">
        <f ca="1">_xludf.IMAGE("https://m.media-amazon.com/images/I/41FX4czhS0L._AC_UY218_.jpg")</f>
        <v>#NAME?</v>
      </c>
      <c r="I6577" t="s">
        <v>2883</v>
      </c>
      <c r="J6577">
        <v>32</v>
      </c>
      <c r="K6577" s="4">
        <v>-0.1855</v>
      </c>
      <c r="L6577">
        <v>5</v>
      </c>
      <c r="M6577">
        <v>7</v>
      </c>
      <c r="O6577" t="s">
        <v>25</v>
      </c>
      <c r="P6577" t="s">
        <v>2884</v>
      </c>
      <c r="Q6577" t="s">
        <v>2885</v>
      </c>
    </row>
    <row r="6578" spans="1:17" ht="15.5" x14ac:dyDescent="0.35">
      <c r="A6578" s="3" t="str">
        <f>HYPERLINK("https://edmondsonsupply.com/collections/electricians-tools/products/klein-tools-69406-tradesman-pro%E2%84%A2-carrying-case-small", "https://edmondsonsupply.com/collections/electricians-tools/products/klein-tools-69406-tradesman-pro%E2%84%A2-carrying-case-small")</f>
        <v>https://edmondsonsupply.com/collections/electricians-tools/products/klein-tools-69406-tradesman-pro%E2%84%A2-carrying-case-small</v>
      </c>
      <c r="B6578" s="3" t="str">
        <f>HYPERLINK("https://edmondsonsupply.com/products/klein-tools-69406-tradesman-pro%e2%84%a2-carrying-case-small", "https://edmondsonsupply.com/products/klein-tools-69406-tradesman-pro%e2%84%a2-carrying-case-small")</f>
        <v>https://edmondsonsupply.com/products/klein-tools-69406-tradesman-pro%e2%84%a2-carrying-case-small</v>
      </c>
      <c r="C6578" t="s">
        <v>8726</v>
      </c>
      <c r="D6578" t="s">
        <v>8727</v>
      </c>
      <c r="E6578" s="3" t="str">
        <f>HYPERLINK("https://www.amazon.com/Tradesman-Carrying-Klein-Tools-69406/dp/B00FZEO5V6/ref=sr_1_1?keywords=Klein+Tools+69406+Tradesman+Pro%E2%84%A2+Carrying+Case+Small&amp;qid=1695174037&amp;sr=8-1", "https://www.amazon.com/Tradesman-Carrying-Klein-Tools-69406/dp/B00FZEO5V6/ref=sr_1_1?keywords=Klein+Tools+69406+Tradesman+Pro%E2%84%A2+Carrying+Case+Small&amp;qid=1695174037&amp;sr=8-1")</f>
        <v>https://www.amazon.com/Tradesman-Carrying-Klein-Tools-69406/dp/B00FZEO5V6/ref=sr_1_1?keywords=Klein+Tools+69406+Tradesman+Pro%E2%84%A2+Carrying+Case+Small&amp;qid=1695174037&amp;sr=8-1</v>
      </c>
      <c r="F6578" t="s">
        <v>8728</v>
      </c>
      <c r="G6578" t="e">
        <f ca="1">_xludf.IMAGE("https://edmondsonsupply.com/cdn/shop/files/69406.jpg?v=1685457393")</f>
        <v>#NAME?</v>
      </c>
      <c r="H6578" t="e">
        <f ca="1">_xludf.IMAGE("https://m.media-amazon.com/images/I/61BS-7VeV1L._AC_UL320_.jpg")</f>
        <v>#NAME?</v>
      </c>
      <c r="I6578" t="s">
        <v>3207</v>
      </c>
      <c r="J6578">
        <v>22.79</v>
      </c>
      <c r="K6578" s="4">
        <v>-0.18579999999999999</v>
      </c>
      <c r="L6578">
        <v>4.7</v>
      </c>
      <c r="M6578">
        <v>191</v>
      </c>
      <c r="O6578" t="s">
        <v>25</v>
      </c>
      <c r="P6578" t="s">
        <v>8729</v>
      </c>
      <c r="Q6578" t="s">
        <v>8730</v>
      </c>
    </row>
    <row r="6579" spans="1:17" ht="15.5" x14ac:dyDescent="0.35">
      <c r="A6579" s="3" t="str">
        <f>HYPERLINK("https://edmondsonsupply.com/collections/electricians-tools/products/diablo-tools-dou250bw3-2-1-2-in-universal-fit-bi-metal-oscillating-blades-for-nail-embedded-wood-3-pack", "https://edmondsonsupply.com/collections/electricians-tools/products/diablo-tools-dou250bw3-2-1-2-in-universal-fit-bi-metal-oscillating-blades-for-nail-embedded-wood-3-pack")</f>
        <v>https://edmondsonsupply.com/collections/electricians-tools/products/diablo-tools-dou250bw3-2-1-2-in-universal-fit-bi-metal-oscillating-blades-for-nail-embedded-wood-3-pack</v>
      </c>
      <c r="B6579"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6579" t="s">
        <v>5937</v>
      </c>
      <c r="D6579" t="s">
        <v>5938</v>
      </c>
      <c r="E6579" s="3" t="str">
        <f>HYPERLINK("https://www.amazon.com/Diablo-Universal-Bi-Metal-Blades-Nail-Embedded/dp/B089KW2WVD/ref=sr_1_3?keywords=Diablo+Tools+DOU250BW3+2-1%2F2+in.+Universal+Fit+Bi-Metal+Oscillating+Blades+for+Nail-Embedded+Wood+%283+pack%29&amp;qid=1695174017&amp;sr=8-3", "https://www.amazon.com/Diablo-Universal-Bi-Metal-Blades-Nail-Embedded/dp/B089KW2WVD/ref=sr_1_3?keywords=Diablo+Tools+DOU250BW3+2-1%2F2+in.+Universal+Fit+Bi-Metal+Oscillating+Blades+for+Nail-Embedded+Wood+%283+pack%29&amp;qid=1695174017&amp;sr=8-3")</f>
        <v>https://www.amazon.com/Diablo-Universal-Bi-Metal-Blades-Nail-Embedded/dp/B089KW2WVD/ref=sr_1_3?keywords=Diablo+Tools+DOU250BW3+2-1%2F2+in.+Universal+Fit+Bi-Metal+Oscillating+Blades+for+Nail-Embedded+Wood+%283+pack%29&amp;qid=1695174017&amp;sr=8-3</v>
      </c>
      <c r="F6579" t="s">
        <v>5939</v>
      </c>
      <c r="G6579" t="e">
        <f ca="1">_xludf.IMAGE("https://edmondsonsupply.com/cdn/shop/files/xcched1uye7bv2s0ryod_fbd674d3-3cd9-4e2a-a920-451af57abfde.webp?v=1686149226")</f>
        <v>#NAME?</v>
      </c>
      <c r="H6579" t="e">
        <f ca="1">_xludf.IMAGE("https://m.media-amazon.com/images/I/613ig7mNjfL._AC_UL320_.jpg")</f>
        <v>#NAME?</v>
      </c>
      <c r="I6579" t="s">
        <v>5940</v>
      </c>
      <c r="J6579">
        <v>25.49</v>
      </c>
      <c r="K6579" s="4">
        <v>-0.18609999999999999</v>
      </c>
      <c r="L6579">
        <v>4.5999999999999996</v>
      </c>
      <c r="M6579">
        <v>148</v>
      </c>
      <c r="O6579" t="s">
        <v>25</v>
      </c>
      <c r="P6579" t="s">
        <v>5941</v>
      </c>
      <c r="Q6579" t="s">
        <v>5942</v>
      </c>
    </row>
    <row r="6580" spans="1:17" ht="15.5" x14ac:dyDescent="0.35">
      <c r="A6580"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6580"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6580" t="s">
        <v>8676</v>
      </c>
      <c r="D6580" t="s">
        <v>5938</v>
      </c>
      <c r="E6580" s="3" t="str">
        <f>HYPERLINK("https://www.amazon.com/Diablo-Universal-Bi-Metal-Blades-Nail-Embedded/dp/B089KW2WVD/ref=sr_1_3?keywords=Diablo+Tools+DOU250JBW3+2-1%2F2+in.+Universal+Fit+Bi-Metal+Oscillating+Blade+for+Clean+Wood+%283+pk%29&amp;qid=1695174010&amp;sr=8-3", "https://www.amazon.com/Diablo-Universal-Bi-Metal-Blades-Nail-Embedded/dp/B089KW2WVD/ref=sr_1_3?keywords=Diablo+Tools+DOU250JBW3+2-1%2F2+in.+Universal+Fit+Bi-Metal+Oscillating+Blade+for+Clean+Wood+%283+pk%29&amp;qid=1695174010&amp;sr=8-3")</f>
        <v>https://www.amazon.com/Diablo-Universal-Bi-Metal-Blades-Nail-Embedded/dp/B089KW2WVD/ref=sr_1_3?keywords=Diablo+Tools+DOU250JBW3+2-1%2F2+in.+Universal+Fit+Bi-Metal+Oscillating+Blade+for+Clean+Wood+%283+pk%29&amp;qid=1695174010&amp;sr=8-3</v>
      </c>
      <c r="F6580" t="s">
        <v>5939</v>
      </c>
      <c r="G6580" t="e">
        <f ca="1">_xludf.IMAGE("https://edmondsonsupply.com/cdn/shop/files/pycnap4eb1urn2hxvudq_1.webp?v=1685719587")</f>
        <v>#NAME?</v>
      </c>
      <c r="H6580" t="e">
        <f ca="1">_xludf.IMAGE("https://m.media-amazon.com/images/I/613ig7mNjfL._AC_UL320_.jpg")</f>
        <v>#NAME?</v>
      </c>
      <c r="I6580" t="s">
        <v>5940</v>
      </c>
      <c r="J6580">
        <v>25.49</v>
      </c>
      <c r="K6580" s="4">
        <v>-0.18609999999999999</v>
      </c>
      <c r="L6580">
        <v>4.5999999999999996</v>
      </c>
      <c r="M6580">
        <v>148</v>
      </c>
      <c r="O6580" t="s">
        <v>25</v>
      </c>
      <c r="P6580" t="s">
        <v>8677</v>
      </c>
      <c r="Q6580" t="s">
        <v>8678</v>
      </c>
    </row>
    <row r="6581" spans="1:17" ht="15.5" x14ac:dyDescent="0.35">
      <c r="A6581"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6581" s="3" t="str">
        <f>HYPERLINK("https://edmondsonsupply.com/products/milwaukee-2912-22-m18-fuel%e2%84%a2-1-sds-plus-rotary-hammer-kit", "https://edmondsonsupply.com/products/milwaukee-2912-22-m18-fuel%e2%84%a2-1-sds-plus-rotary-hammer-kit")</f>
        <v>https://edmondsonsupply.com/products/milwaukee-2912-22-m18-fuel%e2%84%a2-1-sds-plus-rotary-hammer-kit</v>
      </c>
      <c r="C6581" t="s">
        <v>3848</v>
      </c>
      <c r="D6581" t="s">
        <v>5240</v>
      </c>
      <c r="E6581" s="3" t="str">
        <f>HYPERLINK("https://www.amazon.com/Milwaukee-2912-22-Rotary-Battery-Charger/dp/B09PPQ5Q37/ref=sr_1_1?keywords=Milwaukee+2912-22+M18+FUEL%E2%84%A2+1%22+SDS+Plus+Rotary+Hammer+Kit&amp;qid=1695174040&amp;sr=8-1", "https://www.amazon.com/Milwaukee-2912-22-Rotary-Battery-Charger/dp/B09PPQ5Q37/ref=sr_1_1?keywords=Milwaukee+2912-22+M18+FUEL%E2%84%A2+1%22+SDS+Plus+Rotary+Hammer+Kit&amp;qid=1695174040&amp;sr=8-1")</f>
        <v>https://www.amazon.com/Milwaukee-2912-22-Rotary-Battery-Charger/dp/B09PPQ5Q37/ref=sr_1_1?keywords=Milwaukee+2912-22+M18+FUEL%E2%84%A2+1%22+SDS+Plus+Rotary+Hammer+Kit&amp;qid=1695174040&amp;sr=8-1</v>
      </c>
      <c r="F6581" t="s">
        <v>5241</v>
      </c>
      <c r="G6581" t="e">
        <f ca="1">_xludf.IMAGE("https://edmondsonsupply.com/cdn/shop/files/2912-20_1.webp?v=1686934956")</f>
        <v>#NAME?</v>
      </c>
      <c r="H6581" t="e">
        <f ca="1">_xludf.IMAGE("https://m.media-amazon.com/images/I/717KNJps25L._AC_UL320_.jpg")</f>
        <v>#NAME?</v>
      </c>
      <c r="I6581" t="s">
        <v>3851</v>
      </c>
      <c r="J6581">
        <v>487</v>
      </c>
      <c r="K6581" s="4">
        <v>-0.187</v>
      </c>
      <c r="L6581">
        <v>4.8</v>
      </c>
      <c r="M6581">
        <v>40</v>
      </c>
      <c r="O6581" t="s">
        <v>25</v>
      </c>
      <c r="P6581" t="s">
        <v>3852</v>
      </c>
      <c r="Q6581" t="s">
        <v>3853</v>
      </c>
    </row>
    <row r="6582" spans="1:17" ht="15.5" x14ac:dyDescent="0.35">
      <c r="A6582"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6582" s="3" t="str">
        <f>HYPERLINK("https://edmondsonsupply.com/products/fluke-393-solar-clamp-meter-cat-iii-1500-v", "https://edmondsonsupply.com/products/fluke-393-solar-clamp-meter-cat-iii-1500-v")</f>
        <v>https://edmondsonsupply.com/products/fluke-393-solar-clamp-meter-cat-iii-1500-v</v>
      </c>
      <c r="C6582" t="s">
        <v>6951</v>
      </c>
      <c r="D6582" t="s">
        <v>8731</v>
      </c>
      <c r="E6582" s="3" t="str">
        <f>HYPERLINK("https://www.amazon.com/Fluke-FC-IP54-Rated-Measurements-Continuity/dp/B09BHJNMZK/ref=sr_1_1?keywords=Fluke+393+FC+Solar+Clamp+Meter+CAT+III+1500+V&amp;qid=1695174164&amp;sr=8-1", "https://www.amazon.com/Fluke-FC-IP54-Rated-Measurements-Continuity/dp/B09BHJNMZK/ref=sr_1_1?keywords=Fluke+393+FC+Solar+Clamp+Meter+CAT+III+1500+V&amp;qid=1695174164&amp;sr=8-1")</f>
        <v>https://www.amazon.com/Fluke-FC-IP54-Rated-Measurements-Continuity/dp/B09BHJNMZK/ref=sr_1_1?keywords=Fluke+393+FC+Solar+Clamp+Meter+CAT+III+1500+V&amp;qid=1695174164&amp;sr=8-1</v>
      </c>
      <c r="F6582" t="s">
        <v>8732</v>
      </c>
      <c r="G6582" t="e">
        <f ca="1">_xludf.IMAGE("https://edmondsonsupply.com/cdn/shop/products/F-393fc_01a_w.webp?v=1662652371")</f>
        <v>#NAME?</v>
      </c>
      <c r="H6582" t="e">
        <f ca="1">_xludf.IMAGE("https://m.media-amazon.com/images/I/51m9zf0BY+L._AC_UY218_.jpg")</f>
        <v>#NAME?</v>
      </c>
      <c r="I6582" t="s">
        <v>6954</v>
      </c>
      <c r="J6582">
        <v>550.20000000000005</v>
      </c>
      <c r="K6582" s="4">
        <v>-0.187</v>
      </c>
      <c r="L6582">
        <v>4.8</v>
      </c>
      <c r="M6582">
        <v>26</v>
      </c>
      <c r="O6582" t="s">
        <v>25</v>
      </c>
      <c r="P6582" t="s">
        <v>6955</v>
      </c>
      <c r="Q6582" t="s">
        <v>6956</v>
      </c>
    </row>
    <row r="6583" spans="1:17" ht="15.5" x14ac:dyDescent="0.35">
      <c r="A6583" s="3" t="str">
        <f>HYPERLINK("https://edmondsonsupply.com/collections/electricians-tools/products/klein-tools-jth9e14-5-16-inch-hex-key-journeyman%E2%84%A2-t-handle-9-inch", "https://edmondsonsupply.com/collections/electricians-tools/products/klein-tools-jth9e14-5-16-inch-hex-key-journeyman%E2%84%A2-t-handle-9-inch")</f>
        <v>https://edmondsonsupply.com/collections/electricians-tools/products/klein-tools-jth9e14-5-16-inch-hex-key-journeyman%E2%84%A2-t-handle-9-inch</v>
      </c>
      <c r="B6583" s="3" t="str">
        <f>HYPERLINK("https://edmondsonsupply.com/products/klein-tools-jth9e14-5-16-inch-hex-key-journeyman%e2%84%a2-t-handle-9-inch", "https://edmondsonsupply.com/products/klein-tools-jth9e14-5-16-inch-hex-key-journeyman%e2%84%a2-t-handle-9-inch")</f>
        <v>https://edmondsonsupply.com/products/klein-tools-jth9e14-5-16-inch-hex-key-journeyman%e2%84%a2-t-handle-9-inch</v>
      </c>
      <c r="C6583" t="s">
        <v>6804</v>
      </c>
      <c r="D6583" t="s">
        <v>5025</v>
      </c>
      <c r="E6583" s="3" t="str">
        <f>HYPERLINK("https://www.amazon.com/Journeyman-T-Handle-Klein-Tools-JTH6E14/dp/B004ITSTL6/ref=sr_1_5?keywords=Klein+Tools+JTH9E14+5%2F16-Inch+Hex+Key%2C+Journeyman%E2%84%A2+T-Handle%2C+9-Inch&amp;qid=1695174141&amp;sr=8-5", "https://www.amazon.com/Journeyman-T-Handle-Klein-Tools-JTH6E14/dp/B004ITSTL6/ref=sr_1_5?keywords=Klein+Tools+JTH9E14+5%2F16-Inch+Hex+Key%2C+Journeyman%E2%84%A2+T-Handle%2C+9-Inch&amp;qid=1695174141&amp;sr=8-5")</f>
        <v>https://www.amazon.com/Journeyman-T-Handle-Klein-Tools-JTH6E14/dp/B004ITSTL6/ref=sr_1_5?keywords=Klein+Tools+JTH9E14+5%2F16-Inch+Hex+Key%2C+Journeyman%E2%84%A2+T-Handle%2C+9-Inch&amp;qid=1695174141&amp;sr=8-5</v>
      </c>
      <c r="F6583" t="s">
        <v>5026</v>
      </c>
      <c r="G6583" t="e">
        <f ca="1">_xludf.IMAGE("https://edmondsonsupply.com/cdn/shop/products/jth6e15_f4984146-222a-4a1f-9fb4-94d2ee6d0a9d.jpg?v=1665597420")</f>
        <v>#NAME?</v>
      </c>
      <c r="H6583" t="e">
        <f ca="1">_xludf.IMAGE("https://m.media-amazon.com/images/I/51FYt5m7vZL._AC_UL320_.jpg")</f>
        <v>#NAME?</v>
      </c>
      <c r="I6583" t="s">
        <v>1003</v>
      </c>
      <c r="J6583">
        <v>6.49</v>
      </c>
      <c r="K6583" s="4">
        <v>-0.18770000000000001</v>
      </c>
      <c r="L6583">
        <v>4.8</v>
      </c>
      <c r="M6583">
        <v>2479</v>
      </c>
      <c r="O6583" t="s">
        <v>25</v>
      </c>
      <c r="P6583" t="s">
        <v>6024</v>
      </c>
      <c r="Q6583" t="s">
        <v>6805</v>
      </c>
    </row>
    <row r="6584" spans="1:17" ht="15.5" x14ac:dyDescent="0.35">
      <c r="A6584" s="3" t="str">
        <f>HYPERLINK("https://edmondsonsupply.com/collections/electricians-tools/products/crescent-wiss-wc5ln-10-5-blade-hand-crimper", "https://edmondsonsupply.com/collections/electricians-tools/products/crescent-wiss-wc5ln-10-5-blade-hand-crimper")</f>
        <v>https://edmondsonsupply.com/collections/electricians-tools/products/crescent-wiss-wc5ln-10-5-blade-hand-crimper</v>
      </c>
      <c r="B6584" s="3" t="str">
        <f>HYPERLINK("https://edmondsonsupply.com/products/crescent-wiss-wc5ln-10-5-blade-hand-crimper", "https://edmondsonsupply.com/products/crescent-wiss-wc5ln-10-5-blade-hand-crimper")</f>
        <v>https://edmondsonsupply.com/products/crescent-wiss-wc5ln-10-5-blade-hand-crimper</v>
      </c>
      <c r="C6584" t="s">
        <v>8645</v>
      </c>
      <c r="D6584" t="s">
        <v>8733</v>
      </c>
      <c r="E6584" s="3" t="str">
        <f>HYPERLINK("https://www.amazon.com/Wiss-WC5SN-5-Blade-1-1-Depth/dp/B071VTSD3W/ref=sr_1_2?keywords=Crescent+Wiss+WC5LN+10%22+5-Blade+Hand+Crimper&amp;qid=1695174039&amp;sr=8-2", "https://www.amazon.com/Wiss-WC5SN-5-Blade-1-1-Depth/dp/B071VTSD3W/ref=sr_1_2?keywords=Crescent+Wiss+WC5LN+10%22+5-Blade+Hand+Crimper&amp;qid=1695174039&amp;sr=8-2")</f>
        <v>https://www.amazon.com/Wiss-WC5SN-5-Blade-1-1-Depth/dp/B071VTSD3W/ref=sr_1_2?keywords=Crescent+Wiss+WC5LN+10%22+5-Blade+Hand+Crimper&amp;qid=1695174039&amp;sr=8-2</v>
      </c>
      <c r="F6584" t="s">
        <v>8734</v>
      </c>
      <c r="G6584" t="e">
        <f ca="1">_xludf.IMAGE("https://edmondsonsupply.com/cdn/shop/products/WIS_WC5SN_IMG-MAIN.jpg?v=1679676845")</f>
        <v>#NAME?</v>
      </c>
      <c r="H6584" t="e">
        <f ca="1">_xludf.IMAGE("https://m.media-amazon.com/images/I/51yE81qV1rS._AC_UL320_.jpg")</f>
        <v>#NAME?</v>
      </c>
      <c r="I6584" t="s">
        <v>5940</v>
      </c>
      <c r="J6584">
        <v>25.42</v>
      </c>
      <c r="K6584" s="4">
        <v>-0.18840000000000001</v>
      </c>
      <c r="L6584">
        <v>4.3</v>
      </c>
      <c r="M6584">
        <v>1116</v>
      </c>
      <c r="O6584" t="s">
        <v>25</v>
      </c>
      <c r="P6584" t="s">
        <v>8648</v>
      </c>
      <c r="Q6584" t="s">
        <v>8649</v>
      </c>
    </row>
    <row r="6585" spans="1:17" ht="15.5" x14ac:dyDescent="0.35">
      <c r="A6585" s="3" t="str">
        <f>HYPERLINK("https://edmondsonsupply.com/collections/electricians-tools/products/klein-tools-mm720-digital-multimeter-trms-auto-ranging-1000v-temp-low-impedance", "https://edmondsonsupply.com/collections/electricians-tools/products/klein-tools-mm720-digital-multimeter-trms-auto-ranging-1000v-temp-low-impedance")</f>
        <v>https://edmondsonsupply.com/collections/electricians-tools/products/klein-tools-mm720-digital-multimeter-trms-auto-ranging-1000v-temp-low-impedance</v>
      </c>
      <c r="B6585" s="3" t="str">
        <f>HYPERLINK("https://edmondsonsupply.com/products/klein-tools-mm720-digital-multimeter-trms-auto-ranging-1000v-temp-low-impedance", "https://edmondsonsupply.com/products/klein-tools-mm720-digital-multimeter-trms-auto-ranging-1000v-temp-low-impedance")</f>
        <v>https://edmondsonsupply.com/products/klein-tools-mm720-digital-multimeter-trms-auto-ranging-1000v-temp-low-impedance</v>
      </c>
      <c r="C6585" t="s">
        <v>3861</v>
      </c>
      <c r="D6585" t="s">
        <v>4620</v>
      </c>
      <c r="E6585" s="3" t="str">
        <f>HYPERLINK("https://www.amazon.com/Multimeter-Auto-Ranging-Resistance-Klein-Tools/dp/B0B57PDQJC/ref=sr_1_1?keywords=Klein+Tools+MM720+Digital+Multimeter%2C+TRMS+Auto-Ranging%2C+1000V%2C+Temp%2C+Low+Impedance&amp;qid=1695173869&amp;sr=8-1", "https://www.amazon.com/Multimeter-Auto-Ranging-Resistance-Klein-Tools/dp/B0B57PDQJC/ref=sr_1_1?keywords=Klein+Tools+MM720+Digital+Multimeter%2C+TRMS+Auto-Ranging%2C+1000V%2C+Temp%2C+Low+Impedance&amp;qid=1695173869&amp;sr=8-1")</f>
        <v>https://www.amazon.com/Multimeter-Auto-Ranging-Resistance-Klein-Tools/dp/B0B57PDQJC/ref=sr_1_1?keywords=Klein+Tools+MM720+Digital+Multimeter%2C+TRMS+Auto-Ranging%2C+1000V%2C+Temp%2C+Low+Impedance&amp;qid=1695173869&amp;sr=8-1</v>
      </c>
      <c r="F6585" t="s">
        <v>4621</v>
      </c>
      <c r="G6585" t="e">
        <f ca="1">_xludf.IMAGE("https://edmondsonsupply.com/cdn/shop/products/mm720.jpg?v=1663609402")</f>
        <v>#NAME?</v>
      </c>
      <c r="H6585" t="e">
        <f ca="1">_xludf.IMAGE("https://m.media-amazon.com/images/I/61-a2-b+n7L._AC_UL320_.jpg")</f>
        <v>#NAME?</v>
      </c>
      <c r="I6585" t="s">
        <v>545</v>
      </c>
      <c r="J6585">
        <v>80.989999999999995</v>
      </c>
      <c r="K6585" s="4">
        <v>-0.18990000000000001</v>
      </c>
      <c r="L6585">
        <v>4.5999999999999996</v>
      </c>
      <c r="M6585">
        <v>878</v>
      </c>
      <c r="O6585" t="s">
        <v>25</v>
      </c>
      <c r="P6585" t="s">
        <v>3862</v>
      </c>
      <c r="Q6585" t="s">
        <v>3863</v>
      </c>
    </row>
    <row r="6586" spans="1:17" ht="15.5" x14ac:dyDescent="0.35">
      <c r="A6586" s="3" t="str">
        <f>HYPERLINK("https://edmondsonsupply.com/collections/electricians-tools/products/wiha-tools-32097-7-piece-insulated-softfinish-screwdriver-set", "https://edmondsonsupply.com/collections/electricians-tools/products/wiha-tools-32097-7-piece-insulated-softfinish-screwdriver-set")</f>
        <v>https://edmondsonsupply.com/collections/electricians-tools/products/wiha-tools-32097-7-piece-insulated-softfinish-screwdriver-set</v>
      </c>
      <c r="B6586" s="3" t="str">
        <f>HYPERLINK("https://edmondsonsupply.com/products/wiha-tools-32097-7-piece-insulated-softfinish-screwdriver-set", "https://edmondsonsupply.com/products/wiha-tools-32097-7-piece-insulated-softfinish-screwdriver-set")</f>
        <v>https://edmondsonsupply.com/products/wiha-tools-32097-7-piece-insulated-softfinish-screwdriver-set</v>
      </c>
      <c r="C6586" t="s">
        <v>5242</v>
      </c>
      <c r="D6586" t="s">
        <v>5243</v>
      </c>
      <c r="E6586" s="3" t="str">
        <f>HYPERLINK("https://www.amazon.com/32097-1000-Volt-Insulated-Screwdriver-7-Piece/dp/B07MWLL23S/ref=sr_1_1?keywords=Wiha+Tools+32097+7+Piece+Insulated+SoftFinish+Screwdriver+Set&amp;qid=1695173970&amp;sr=8-1", "https://www.amazon.com/32097-1000-Volt-Insulated-Screwdriver-7-Piece/dp/B07MWLL23S/ref=sr_1_1?keywords=Wiha+Tools+32097+7+Piece+Insulated+SoftFinish+Screwdriver+Set&amp;qid=1695173970&amp;sr=8-1")</f>
        <v>https://www.amazon.com/32097-1000-Volt-Insulated-Screwdriver-7-Piece/dp/B07MWLL23S/ref=sr_1_1?keywords=Wiha+Tools+32097+7+Piece+Insulated+SoftFinish+Screwdriver+Set&amp;qid=1695173970&amp;sr=8-1</v>
      </c>
      <c r="F6586" t="s">
        <v>5244</v>
      </c>
      <c r="G6586" t="e">
        <f ca="1">_xludf.IMAGE("https://edmondsonsupply.com/cdn/shop/files/xndhswuqt0f79n2sffke_1000x_1.webp?v=1690906671")</f>
        <v>#NAME?</v>
      </c>
      <c r="H6586" t="e">
        <f ca="1">_xludf.IMAGE("https://m.media-amazon.com/images/I/61Bm5SoX2pL._AC_UL320_.jpg")</f>
        <v>#NAME?</v>
      </c>
      <c r="I6586" t="s">
        <v>5245</v>
      </c>
      <c r="J6586">
        <v>43.33</v>
      </c>
      <c r="K6586" s="4">
        <v>-0.18990000000000001</v>
      </c>
      <c r="L6586">
        <v>4.8</v>
      </c>
      <c r="M6586">
        <v>870</v>
      </c>
      <c r="O6586" t="s">
        <v>25</v>
      </c>
      <c r="P6586" t="s">
        <v>5246</v>
      </c>
      <c r="Q6586" t="s">
        <v>5247</v>
      </c>
    </row>
    <row r="6587" spans="1:17" ht="15.5" x14ac:dyDescent="0.35">
      <c r="A6587"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6587"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6587" t="s">
        <v>8581</v>
      </c>
      <c r="D6587" t="s">
        <v>8706</v>
      </c>
      <c r="E6587" s="3" t="str">
        <f>HYPERLINK("https://www.amazon.com/Milwaukee-2767-20-Torque-2-Inch-Friction/dp/B095JXCRP6/ref=sr_1_2?keywords=Milwaukee+2767-20+M18+FUEL%E2%84%A2+1%2F2%22+High+Torque+Impact+Wrench+with+Friction+Ring+%28Tool+Only%29&amp;qid=1695174206&amp;sr=8-2", "https://www.amazon.com/Milwaukee-2767-20-Torque-2-Inch-Friction/dp/B095JXCRP6/ref=sr_1_2?keywords=Milwaukee+2767-20+M18+FUEL%E2%84%A2+1%2F2%22+High+Torque+Impact+Wrench+with+Friction+Ring+%28Tool+Only%29&amp;qid=1695174206&amp;sr=8-2")</f>
        <v>https://www.amazon.com/Milwaukee-2767-20-Torque-2-Inch-Friction/dp/B095JXCRP6/ref=sr_1_2?keywords=Milwaukee+2767-20+M18+FUEL%E2%84%A2+1%2F2%22+High+Torque+Impact+Wrench+with+Friction+Ring+%28Tool+Only%29&amp;qid=1695174206&amp;sr=8-2</v>
      </c>
      <c r="F6587" t="s">
        <v>8735</v>
      </c>
      <c r="G6587" t="e">
        <f ca="1">_xludf.IMAGE("https://edmondsonsupply.com/cdn/shop/products/2767-20_1.webp?v=1668441181")</f>
        <v>#NAME?</v>
      </c>
      <c r="H6587" t="e">
        <f ca="1">_xludf.IMAGE("https://m.media-amazon.com/images/I/61YswrZUT5S._AC_UL320_.jpg")</f>
        <v>#NAME?</v>
      </c>
      <c r="I6587" t="s">
        <v>698</v>
      </c>
      <c r="J6587">
        <v>225.95</v>
      </c>
      <c r="K6587" s="4">
        <v>-0.19009999999999999</v>
      </c>
      <c r="L6587">
        <v>4.7</v>
      </c>
      <c r="M6587">
        <v>506</v>
      </c>
      <c r="O6587" t="s">
        <v>25</v>
      </c>
      <c r="P6587" t="s">
        <v>8584</v>
      </c>
      <c r="Q6587" t="s">
        <v>8585</v>
      </c>
    </row>
    <row r="6588" spans="1:17" ht="15.5" x14ac:dyDescent="0.35">
      <c r="A6588"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6588" s="3" t="str">
        <f>HYPERLINK("https://edmondsonsupply.com/products/klein-tools-s8m-1-4-inch-magnetic-nut-driver-3-inch-shank", "https://edmondsonsupply.com/products/klein-tools-s8m-1-4-inch-magnetic-nut-driver-3-inch-shank")</f>
        <v>https://edmondsonsupply.com/products/klein-tools-s8m-1-4-inch-magnetic-nut-driver-3-inch-shank</v>
      </c>
      <c r="C6588" t="s">
        <v>3809</v>
      </c>
      <c r="D6588" t="s">
        <v>5078</v>
      </c>
      <c r="E6588" s="3" t="str">
        <f>HYPERLINK("https://www.amazon.com/Klein-S8-4-Inch-Hollow-Shank-Driver/dp/B0000302VS/ref=sr_1_10?keywords=Klein+Tools+S8M+1%2F4-Inch+Magnetic+Nut+Driver+3-Inch+Shank&amp;qid=1695174041&amp;sr=8-10", "https://www.amazon.com/Klein-S8-4-Inch-Hollow-Shank-Driver/dp/B0000302VS/ref=sr_1_10?keywords=Klein+Tools+S8M+1%2F4-Inch+Magnetic+Nut+Driver+3-Inch+Shank&amp;qid=1695174041&amp;sr=8-10")</f>
        <v>https://www.amazon.com/Klein-S8-4-Inch-Hollow-Shank-Driver/dp/B0000302VS/ref=sr_1_10?keywords=Klein+Tools+S8M+1%2F4-Inch+Magnetic+Nut+Driver+3-Inch+Shank&amp;qid=1695174041&amp;sr=8-10</v>
      </c>
      <c r="F6588" t="s">
        <v>5079</v>
      </c>
      <c r="G6588" t="e">
        <f ca="1">_xludf.IMAGE("https://edmondsonsupply.com/cdn/shop/products/s8m.jpg?v=1633030818")</f>
        <v>#NAME?</v>
      </c>
      <c r="H6588" t="e">
        <f ca="1">_xludf.IMAGE("https://m.media-amazon.com/images/I/41LI6wTa36L._AC_UL320_.jpg")</f>
        <v>#NAME?</v>
      </c>
      <c r="I6588" t="s">
        <v>924</v>
      </c>
      <c r="J6588">
        <v>7.28</v>
      </c>
      <c r="K6588" s="4">
        <v>-0.19020000000000001</v>
      </c>
      <c r="L6588">
        <v>4.5</v>
      </c>
      <c r="M6588">
        <v>225</v>
      </c>
      <c r="O6588" t="s">
        <v>25</v>
      </c>
      <c r="P6588" t="s">
        <v>3812</v>
      </c>
      <c r="Q6588" t="s">
        <v>3813</v>
      </c>
    </row>
    <row r="6589" spans="1:17" ht="15.5" x14ac:dyDescent="0.35">
      <c r="A6589"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6589" s="3" t="str">
        <f>HYPERLINK("https://edmondsonsupply.com/products/klein-tools-s8m-1-4-inch-magnetic-nut-driver-3-inch-shank", "https://edmondsonsupply.com/products/klein-tools-s8m-1-4-inch-magnetic-nut-driver-3-inch-shank")</f>
        <v>https://edmondsonsupply.com/products/klein-tools-s8m-1-4-inch-magnetic-nut-driver-3-inch-shank</v>
      </c>
      <c r="C6589" t="s">
        <v>3809</v>
      </c>
      <c r="D6589" t="s">
        <v>5248</v>
      </c>
      <c r="E6589" s="3" t="str">
        <f>HYPERLINK("https://www.amazon.com/Magnetic-Comfordome-Klein-Tools-S8M/dp/B00093GCW8/ref=sr_1_1?keywords=Klein+Tools+S8M+1%2F4-Inch+Magnetic+Nut+Driver+3-Inch+Shank&amp;qid=1695174041&amp;sr=8-1", "https://www.amazon.com/Magnetic-Comfordome-Klein-Tools-S8M/dp/B00093GCW8/ref=sr_1_1?keywords=Klein+Tools+S8M+1%2F4-Inch+Magnetic+Nut+Driver+3-Inch+Shank&amp;qid=1695174041&amp;sr=8-1")</f>
        <v>https://www.amazon.com/Magnetic-Comfordome-Klein-Tools-S8M/dp/B00093GCW8/ref=sr_1_1?keywords=Klein+Tools+S8M+1%2F4-Inch+Magnetic+Nut+Driver+3-Inch+Shank&amp;qid=1695174041&amp;sr=8-1</v>
      </c>
      <c r="F6589" t="s">
        <v>5249</v>
      </c>
      <c r="G6589" t="e">
        <f ca="1">_xludf.IMAGE("https://edmondsonsupply.com/cdn/shop/products/s8m.jpg?v=1633030818")</f>
        <v>#NAME?</v>
      </c>
      <c r="H6589" t="e">
        <f ca="1">_xludf.IMAGE("https://m.media-amazon.com/images/I/31hOuSIKl7L._AC_UL320_.jpg")</f>
        <v>#NAME?</v>
      </c>
      <c r="I6589" t="s">
        <v>924</v>
      </c>
      <c r="J6589">
        <v>7.28</v>
      </c>
      <c r="K6589" s="4">
        <v>-0.19020000000000001</v>
      </c>
      <c r="L6589">
        <v>3.8</v>
      </c>
      <c r="M6589">
        <v>8</v>
      </c>
      <c r="O6589" t="s">
        <v>25</v>
      </c>
      <c r="P6589" t="s">
        <v>3812</v>
      </c>
      <c r="Q6589" t="s">
        <v>3813</v>
      </c>
    </row>
    <row r="6590" spans="1:17" ht="15.5" x14ac:dyDescent="0.35">
      <c r="A6590" s="3" t="str">
        <f>HYPERLINK("https://edmondsonsupply.com/collections/electricians-tools/products/milwaukee-2767-20-m18-fuel%E2%84%A2-1-2-high-torque-impact-wrench-with-friction-ring-tool-only", "https://edmondsonsupply.com/collections/electricians-tools/products/milwaukee-2767-20-m18-fuel%E2%84%A2-1-2-high-torque-impact-wrench-with-friction-ring-tool-only")</f>
        <v>https://edmondsonsupply.com/collections/electricians-tools/products/milwaukee-2767-20-m18-fuel%E2%84%A2-1-2-high-torque-impact-wrench-with-friction-ring-tool-only</v>
      </c>
      <c r="B6590" s="3" t="str">
        <f>HYPERLINK("https://edmondsonsupply.com/products/milwaukee-2767-20-m18-fuel%e2%84%a2-1-2-high-torque-impact-wrench-with-friction-ring-tool-only", "https://edmondsonsupply.com/products/milwaukee-2767-20-m18-fuel%e2%84%a2-1-2-high-torque-impact-wrench-with-friction-ring-tool-only")</f>
        <v>https://edmondsonsupply.com/products/milwaukee-2767-20-m18-fuel%e2%84%a2-1-2-high-torque-impact-wrench-with-friction-ring-tool-only</v>
      </c>
      <c r="C6590" t="s">
        <v>8581</v>
      </c>
      <c r="D6590" t="s">
        <v>8736</v>
      </c>
      <c r="E6590" s="3" t="str">
        <f>HYPERLINK("https://www.amazon.com/Milwaukee-2767-20-Torque-Impact-Friction/dp/B08P4NX77N/ref=sr_1_1?keywords=Milwaukee+2767-20+M18+FUEL%E2%84%A2+1%2F2%22+High+Torque+Impact+Wrench+with+Friction+Ring+%28Tool+Only%29&amp;qid=1695174206&amp;sr=8-1", "https://www.amazon.com/Milwaukee-2767-20-Torque-Impact-Friction/dp/B08P4NX77N/ref=sr_1_1?keywords=Milwaukee+2767-20+M18+FUEL%E2%84%A2+1%2F2%22+High+Torque+Impact+Wrench+with+Friction+Ring+%28Tool+Only%29&amp;qid=1695174206&amp;sr=8-1")</f>
        <v>https://www.amazon.com/Milwaukee-2767-20-Torque-Impact-Friction/dp/B08P4NX77N/ref=sr_1_1?keywords=Milwaukee+2767-20+M18+FUEL%E2%84%A2+1%2F2%22+High+Torque+Impact+Wrench+with+Friction+Ring+%28Tool+Only%29&amp;qid=1695174206&amp;sr=8-1</v>
      </c>
      <c r="F6590" t="s">
        <v>8737</v>
      </c>
      <c r="G6590" t="e">
        <f ca="1">_xludf.IMAGE("https://edmondsonsupply.com/cdn/shop/products/2767-20_1.webp?v=1668441181")</f>
        <v>#NAME?</v>
      </c>
      <c r="H6590" t="e">
        <f ca="1">_xludf.IMAGE("https://m.media-amazon.com/images/I/51tLOArc4KL._AC_UL320_.jpg")</f>
        <v>#NAME?</v>
      </c>
      <c r="I6590" t="s">
        <v>698</v>
      </c>
      <c r="J6590">
        <v>225.93</v>
      </c>
      <c r="K6590" s="4">
        <v>-0.19020000000000001</v>
      </c>
      <c r="L6590">
        <v>4.5999999999999996</v>
      </c>
      <c r="M6590">
        <v>1678</v>
      </c>
      <c r="O6590" t="s">
        <v>25</v>
      </c>
      <c r="P6590" t="s">
        <v>8584</v>
      </c>
      <c r="Q6590" t="s">
        <v>8585</v>
      </c>
    </row>
    <row r="6591" spans="1:17" ht="15.5" x14ac:dyDescent="0.35">
      <c r="A6591" s="3" t="str">
        <f>HYPERLINK("https://edmondsonsupply.com/collections/electricians-tools/products/klein-tools-d507-8-adjustable-wrench-extra-capacity-8-inch", "https://edmondsonsupply.com/collections/electricians-tools/products/klein-tools-d507-8-adjustable-wrench-extra-capacity-8-inch")</f>
        <v>https://edmondsonsupply.com/collections/electricians-tools/products/klein-tools-d507-8-adjustable-wrench-extra-capacity-8-inch</v>
      </c>
      <c r="B6591" s="3" t="str">
        <f>HYPERLINK("https://edmondsonsupply.com/products/klein-tools-d507-8-adjustable-wrench-extra-capacity-8-inch", "https://edmondsonsupply.com/products/klein-tools-d507-8-adjustable-wrench-extra-capacity-8-inch")</f>
        <v>https://edmondsonsupply.com/products/klein-tools-d507-8-adjustable-wrench-extra-capacity-8-inch</v>
      </c>
      <c r="C6591" t="s">
        <v>6699</v>
      </c>
      <c r="D6591" t="s">
        <v>8738</v>
      </c>
      <c r="E6591" s="3" t="str">
        <f>HYPERLINK("https://www.amazon.com/Adjustable-Capacity-Klein-Tools-D507-8/dp/B00080FA6G/ref=sr_1_1?keywords=Klein+Tools+D507-8+Adjustable+Wrench%2C+Extra+Capacity+8-Inch&amp;qid=1695173949&amp;sr=8-1", "https://www.amazon.com/Adjustable-Capacity-Klein-Tools-D507-8/dp/B00080FA6G/ref=sr_1_1?keywords=Klein+Tools+D507-8+Adjustable+Wrench%2C+Extra+Capacity+8-Inch&amp;qid=1695173949&amp;sr=8-1")</f>
        <v>https://www.amazon.com/Adjustable-Capacity-Klein-Tools-D507-8/dp/B00080FA6G/ref=sr_1_1?keywords=Klein+Tools+D507-8+Adjustable+Wrench%2C+Extra+Capacity+8-Inch&amp;qid=1695173949&amp;sr=8-1</v>
      </c>
      <c r="F6591" t="s">
        <v>8739</v>
      </c>
      <c r="G6591" t="e">
        <f ca="1">_xludf.IMAGE("https://edmondsonsupply.com/cdn/shop/products/d5078_b.jpg?v=1666010497")</f>
        <v>#NAME?</v>
      </c>
      <c r="H6591" t="e">
        <f ca="1">_xludf.IMAGE("https://m.media-amazon.com/images/I/41ddIrvHP5L._AC_UL320_.jpg")</f>
        <v>#NAME?</v>
      </c>
      <c r="I6591" t="s">
        <v>26</v>
      </c>
      <c r="J6591">
        <v>24.28</v>
      </c>
      <c r="K6591" s="4">
        <v>-0.19040000000000001</v>
      </c>
      <c r="L6591">
        <v>4.8</v>
      </c>
      <c r="M6591">
        <v>684</v>
      </c>
      <c r="O6591" t="s">
        <v>25</v>
      </c>
      <c r="P6591" t="s">
        <v>1327</v>
      </c>
      <c r="Q6591" t="s">
        <v>6700</v>
      </c>
    </row>
    <row r="6592" spans="1:17" ht="15.5" x14ac:dyDescent="0.35">
      <c r="A6592"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6592" s="3" t="str">
        <f>HYPERLINK("https://edmondsonsupply.com/products/veto-pro-pac-tp-xxl-tool-pouch", "https://edmondsonsupply.com/products/veto-pro-pac-tp-xxl-tool-pouch")</f>
        <v>https://edmondsonsupply.com/products/veto-pro-pac-tp-xxl-tool-pouch</v>
      </c>
      <c r="C6592" t="s">
        <v>451</v>
      </c>
      <c r="D6592" t="s">
        <v>318</v>
      </c>
      <c r="E6592" s="3" t="str">
        <f>HYPERLINK("https://www.amazon.com/Veto-TP-XL-Extra-Large-Pouch/dp/B07WDL7SD3/ref=sr_1_2?keywords=Veto+Pro+Pac+TP-XXL+Tool+Pouch&amp;qid=1695173851&amp;sr=8-2", "https://www.amazon.com/Veto-TP-XL-Extra-Large-Pouch/dp/B07WDL7SD3/ref=sr_1_2?keywords=Veto+Pro+Pac+TP-XXL+Tool+Pouch&amp;qid=1695173851&amp;sr=8-2")</f>
        <v>https://www.amazon.com/Veto-TP-XL-Extra-Large-Pouch/dp/B07WDL7SD3/ref=sr_1_2?keywords=Veto+Pro+Pac+TP-XXL+Tool+Pouch&amp;qid=1695173851&amp;sr=8-2</v>
      </c>
      <c r="F6592" t="s">
        <v>319</v>
      </c>
      <c r="G6592" t="e">
        <f ca="1">_xludf.IMAGE("https://edmondsonsupply.com/cdn/shop/products/01_TP-XXL.jpg?v=1633031173")</f>
        <v>#NAME?</v>
      </c>
      <c r="H6592" t="e">
        <f ca="1">_xludf.IMAGE("https://m.media-amazon.com/images/I/91dIbPcb4XL._AC_UL320_.jpg")</f>
        <v>#NAME?</v>
      </c>
      <c r="I6592" t="s">
        <v>454</v>
      </c>
      <c r="J6592">
        <v>169.95</v>
      </c>
      <c r="K6592" s="4">
        <v>-0.19070000000000001</v>
      </c>
      <c r="L6592">
        <v>4.9000000000000004</v>
      </c>
      <c r="M6592">
        <v>1132</v>
      </c>
      <c r="O6592" t="s">
        <v>25</v>
      </c>
      <c r="P6592" t="s">
        <v>138</v>
      </c>
      <c r="Q6592" t="s">
        <v>455</v>
      </c>
    </row>
    <row r="6593" spans="1:17" ht="15.5" x14ac:dyDescent="0.35">
      <c r="A6593" s="3" t="str">
        <f>HYPERLINK("https://edmondsonsupply.com/collections/electricians-tools/products/reed-mfg-dhr12-1-1-4npt-r12-drophead-1-1-4-npt", "https://edmondsonsupply.com/collections/electricians-tools/products/reed-mfg-dhr12-1-1-4npt-r12-drophead-1-1-4-npt")</f>
        <v>https://edmondsonsupply.com/collections/electricians-tools/products/reed-mfg-dhr12-1-1-4npt-r12-drophead-1-1-4-npt</v>
      </c>
      <c r="B6593" s="3" t="str">
        <f>HYPERLINK("https://edmondsonsupply.com/products/reed-mfg-dhr12-1-1-4npt-r12-drophead-1-1-4-npt", "https://edmondsonsupply.com/products/reed-mfg-dhr12-1-1-4npt-r12-drophead-1-1-4-npt")</f>
        <v>https://edmondsonsupply.com/products/reed-mfg-dhr12-1-1-4npt-r12-drophead-1-1-4-npt</v>
      </c>
      <c r="C6593" t="s">
        <v>4384</v>
      </c>
      <c r="D6593" t="s">
        <v>5250</v>
      </c>
      <c r="E6593" s="3" t="str">
        <f>HYPERLINK("https://www.amazon.com/Reed-Tool-DHR12-4NPT-Drophead/dp/B000ZH6R3M/ref=sr_1_fkmr1_1?keywords=Reed+Mfg+DHR12+1+1%2F4NPT+R12%2B+Drophead%2C+1-1%2F4%22+NPT&amp;qid=1695173914&amp;sr=8-1-fkmr1", "https://www.amazon.com/Reed-Tool-DHR12-4NPT-Drophead/dp/B000ZH6R3M/ref=sr_1_fkmr1_1?keywords=Reed+Mfg+DHR12+1+1%2F4NPT+R12%2B+Drophead%2C+1-1%2F4%22+NPT&amp;qid=1695173914&amp;sr=8-1-fkmr1")</f>
        <v>https://www.amazon.com/Reed-Tool-DHR12-4NPT-Drophead/dp/B000ZH6R3M/ref=sr_1_fkmr1_1?keywords=Reed+Mfg+DHR12+1+1%2F4NPT+R12%2B+Drophead%2C+1-1%2F4%22+NPT&amp;qid=1695173914&amp;sr=8-1-fkmr1</v>
      </c>
      <c r="F6593" t="s">
        <v>5251</v>
      </c>
      <c r="G6593" t="e">
        <f ca="1">_xludf.IMAGE("https://edmondsonsupply.com/cdn/shop/products/05632-DHR121-1-4NPT-RGB.jpg?v=1633031013")</f>
        <v>#NAME?</v>
      </c>
      <c r="H6593" t="e">
        <f ca="1">_xludf.IMAGE("https://m.media-amazon.com/images/I/51I4FIWUu7L._AC_UY218_.jpg")</f>
        <v>#NAME?</v>
      </c>
      <c r="I6593" t="s">
        <v>4387</v>
      </c>
      <c r="J6593">
        <v>125.3</v>
      </c>
      <c r="K6593" s="4">
        <v>-0.19089999999999999</v>
      </c>
      <c r="L6593">
        <v>1</v>
      </c>
      <c r="M6593">
        <v>1</v>
      </c>
      <c r="O6593" t="s">
        <v>25</v>
      </c>
      <c r="P6593" t="s">
        <v>4388</v>
      </c>
      <c r="Q6593" t="s">
        <v>4389</v>
      </c>
    </row>
    <row r="6594" spans="1:17" ht="15.5" x14ac:dyDescent="0.35">
      <c r="A6594"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6594"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6594" t="s">
        <v>6304</v>
      </c>
      <c r="D6594" t="s">
        <v>5354</v>
      </c>
      <c r="E6594" s="3" t="str">
        <f>HYPERLINK("https://www.amazon.com/Klein-Tools-J203-7-Pliers-Side-Cutters/dp/B000G6CACO/ref=sr_1_6?keywords=Klein+Tools+2036EINS+Long+Nose+Side+Cutter+Pliers+6-Inch+Slim+Insulated&amp;qid=1695174256&amp;sr=8-6", "https://www.amazon.com/Klein-Tools-J203-7-Pliers-Side-Cutters/dp/B000G6CACO/ref=sr_1_6?keywords=Klein+Tools+2036EINS+Long+Nose+Side+Cutter+Pliers+6-Inch+Slim+Insulated&amp;qid=1695174256&amp;sr=8-6")</f>
        <v>https://www.amazon.com/Klein-Tools-J203-7-Pliers-Side-Cutters/dp/B000G6CACO/ref=sr_1_6?keywords=Klein+Tools+2036EINS+Long+Nose+Side+Cutter+Pliers+6-Inch+Slim+Insulated&amp;qid=1695174256&amp;sr=8-6</v>
      </c>
      <c r="F6594" t="s">
        <v>5355</v>
      </c>
      <c r="G6594" t="e">
        <f ca="1">_xludf.IMAGE("https://edmondsonsupply.com/cdn/shop/products/2036eins.jpg?v=1633031077")</f>
        <v>#NAME?</v>
      </c>
      <c r="H6594" t="e">
        <f ca="1">_xludf.IMAGE("https://m.media-amazon.com/images/I/511-SOSXaTL._AC_UL320_.jpg")</f>
        <v>#NAME?</v>
      </c>
      <c r="I6594" t="s">
        <v>6307</v>
      </c>
      <c r="J6594">
        <v>37.99</v>
      </c>
      <c r="K6594" s="4">
        <v>-0.1915</v>
      </c>
      <c r="L6594">
        <v>4.8</v>
      </c>
      <c r="M6594">
        <v>139</v>
      </c>
      <c r="O6594" t="s">
        <v>25</v>
      </c>
      <c r="P6594" t="s">
        <v>6308</v>
      </c>
      <c r="Q6594" t="s">
        <v>6309</v>
      </c>
    </row>
    <row r="6595" spans="1:17" ht="15.5" x14ac:dyDescent="0.35">
      <c r="A6595" s="3" t="str">
        <f>HYPERLINK("https://edmondsonsupply.com/collections/electricians-tools/products/tajima-gs-16-5mbw-gs-lock%E2%84%A2-standard-metric-scale-16-ft-5-m-x-1-in-25mm-steel-blade-tape-measure", "https://edmondsonsupply.com/collections/electricians-tools/products/tajima-gs-16-5mbw-gs-lock%E2%84%A2-standard-metric-scale-16-ft-5-m-x-1-in-25mm-steel-blade-tape-measure")</f>
        <v>https://edmondsonsupply.com/collections/electricians-tools/products/tajima-gs-16-5mbw-gs-lock%E2%84%A2-standard-metric-scale-16-ft-5-m-x-1-in-25mm-steel-blade-tape-measure</v>
      </c>
      <c r="B6595" s="3" t="str">
        <f>HYPERLINK("https://edmondsonsupply.com/products/tajima-gs-16-5mbw-gs-lock%e2%84%a2-standard-metric-scale-16-ft-5-m-x-1-in-25mm-steel-blade-tape-measure", "https://edmondsonsupply.com/products/tajima-gs-16-5mbw-gs-lock%e2%84%a2-standard-metric-scale-16-ft-5-m-x-1-in-25mm-steel-blade-tape-measure")</f>
        <v>https://edmondsonsupply.com/products/tajima-gs-16-5mbw-gs-lock%e2%84%a2-standard-metric-scale-16-ft-5-m-x-1-in-25mm-steel-blade-tape-measure</v>
      </c>
      <c r="C6595" t="s">
        <v>8012</v>
      </c>
      <c r="D6595" t="s">
        <v>8740</v>
      </c>
      <c r="E6595" s="3" t="str">
        <f>HYPERLINK("https://www.amazon.com/TAJIMA-Tape-Measure-G-Measuring/dp/B002DML0OI/ref=sr_1_1?keywords=Tajima+GS-16%2F5MBW+GS+Lock%E2%84%A2+Standard+%26+Metric+Scale%2C+16+ft%2F+5+m+x+1+in.%2F25mm+Steel+Blade+Tape+Measure&amp;qid=1695174194&amp;sr=8-1", "https://www.amazon.com/TAJIMA-Tape-Measure-G-Measuring/dp/B002DML0OI/ref=sr_1_1?keywords=Tajima+GS-16%2F5MBW+GS+Lock%E2%84%A2+Standard+%26+Metric+Scale%2C+16+ft%2F+5+m+x+1+in.%2F25mm+Steel+Blade+Tape+Measure&amp;qid=1695174194&amp;sr=8-1")</f>
        <v>https://www.amazon.com/TAJIMA-Tape-Measure-G-Measuring/dp/B002DML0OI/ref=sr_1_1?keywords=Tajima+GS-16%2F5MBW+GS+Lock%E2%84%A2+Standard+%26+Metric+Scale%2C+16+ft%2F+5+m+x+1+in.%2F25mm+Steel+Blade+Tape+Measure&amp;qid=1695174194&amp;sr=8-1</v>
      </c>
      <c r="F6595" t="s">
        <v>8741</v>
      </c>
      <c r="G6595" t="e">
        <f ca="1">_xludf.IMAGE("https://edmondsonsupply.com/cdn/shop/products/GS16-5MBW.jpg?v=1655829307")</f>
        <v>#NAME?</v>
      </c>
      <c r="H6595" t="e">
        <f ca="1">_xludf.IMAGE("https://m.media-amazon.com/images/I/81xYPoudDdL._AC_UL320_.jpg")</f>
        <v>#NAME?</v>
      </c>
      <c r="I6595" t="s">
        <v>8015</v>
      </c>
      <c r="J6595">
        <v>22.5</v>
      </c>
      <c r="K6595" s="4">
        <v>-0.19409999999999999</v>
      </c>
      <c r="L6595">
        <v>4.5999999999999996</v>
      </c>
      <c r="M6595">
        <v>85</v>
      </c>
      <c r="O6595" t="s">
        <v>25</v>
      </c>
      <c r="P6595" t="s">
        <v>8016</v>
      </c>
      <c r="Q6595" t="s">
        <v>8017</v>
      </c>
    </row>
    <row r="6596" spans="1:17" ht="15.5" x14ac:dyDescent="0.35">
      <c r="A6596" s="3" t="str">
        <f>HYPERLINK("https://edmondsonsupply.com/collections/electricians-tools/products/fluke-376", "https://edmondsonsupply.com/collections/electricians-tools/products/fluke-376")</f>
        <v>https://edmondsonsupply.com/collections/electricians-tools/products/fluke-376</v>
      </c>
      <c r="B6596" s="3" t="str">
        <f>HYPERLINK("https://edmondsonsupply.com/products/fluke-376", "https://edmondsonsupply.com/products/fluke-376")</f>
        <v>https://edmondsonsupply.com/products/fluke-376</v>
      </c>
      <c r="C6596" t="s">
        <v>3766</v>
      </c>
      <c r="D6596" t="s">
        <v>5260</v>
      </c>
      <c r="E6596" s="3" t="str">
        <f>HYPERLINK("https://www.amazon.com/Fluke-381-Remote-Display-True-RMS/dp/B004BF5ZEQ/ref=sr_1_5?keywords=Fluke+376+FC+Wireless+True-RMS+AC%2FDC+Clamp+Meter+with+iFlex&amp;qid=1695173895&amp;sr=8-5", "https://www.amazon.com/Fluke-381-Remote-Display-True-RMS/dp/B004BF5ZEQ/ref=sr_1_5?keywords=Fluke+376+FC+Wireless+True-RMS+AC%2FDC+Clamp+Meter+with+iFlex&amp;qid=1695173895&amp;sr=8-5")</f>
        <v>https://www.amazon.com/Fluke-381-Remote-Display-True-RMS/dp/B004BF5ZEQ/ref=sr_1_5?keywords=Fluke+376+FC+Wireless+True-RMS+AC%2FDC+Clamp+Meter+with+iFlex&amp;qid=1695173895&amp;sr=8-5</v>
      </c>
      <c r="F6596" t="s">
        <v>5261</v>
      </c>
      <c r="G6596" t="e">
        <f ca="1">_xludf.IMAGE("https://edmondsonsupply.com/cdn/shop/products/f-376fc-16a-1500x1000.jpg?v=1633030274")</f>
        <v>#NAME?</v>
      </c>
      <c r="H6596" t="e">
        <f ca="1">_xludf.IMAGE("https://m.media-amazon.com/images/I/617Nx0NswWL._AC_UY218_.jpg")</f>
        <v>#NAME?</v>
      </c>
      <c r="I6596" t="s">
        <v>3769</v>
      </c>
      <c r="J6596">
        <v>430</v>
      </c>
      <c r="K6596" s="4">
        <v>-0.1943</v>
      </c>
      <c r="L6596">
        <v>4.5</v>
      </c>
      <c r="M6596">
        <v>160</v>
      </c>
      <c r="O6596" t="s">
        <v>25</v>
      </c>
      <c r="P6596" t="s">
        <v>3770</v>
      </c>
      <c r="Q6596" t="s">
        <v>3771</v>
      </c>
    </row>
    <row r="6597" spans="1:17" ht="15.5" x14ac:dyDescent="0.35">
      <c r="A6597" s="3" t="str">
        <f>HYPERLINK("https://edmondsonsupply.com/collections/electricians-tools/products/milwaukee-48-22-0305-folding-jab-saw", "https://edmondsonsupply.com/collections/electricians-tools/products/milwaukee-48-22-0305-folding-jab-saw")</f>
        <v>https://edmondsonsupply.com/collections/electricians-tools/products/milwaukee-48-22-0305-folding-jab-saw</v>
      </c>
      <c r="B6597" s="3" t="str">
        <f>HYPERLINK("https://edmondsonsupply.com/products/milwaukee-48-22-0305-folding-jab-saw", "https://edmondsonsupply.com/products/milwaukee-48-22-0305-folding-jab-saw")</f>
        <v>https://edmondsonsupply.com/products/milwaukee-48-22-0305-folding-jab-saw</v>
      </c>
      <c r="C6597" t="s">
        <v>2139</v>
      </c>
      <c r="D6597" t="s">
        <v>5264</v>
      </c>
      <c r="E6597" s="3" t="str">
        <f>HYPERLINK("https://www.amazon.com/Milwaukee-48-22-0304-Drywall-Plaster-Rasping/dp/B003I85GTQ/ref=sr_1_7?keywords=Milwaukee+48-22-0305+Folding+Jab+Saw&amp;qid=1695173950&amp;sr=8-7", "https://www.amazon.com/Milwaukee-48-22-0304-Drywall-Plaster-Rasping/dp/B003I85GTQ/ref=sr_1_7?keywords=Milwaukee+48-22-0305+Folding+Jab+Saw&amp;qid=1695173950&amp;sr=8-7")</f>
        <v>https://www.amazon.com/Milwaukee-48-22-0304-Drywall-Plaster-Rasping/dp/B003I85GTQ/ref=sr_1_7?keywords=Milwaukee+48-22-0305+Folding+Jab+Saw&amp;qid=1695173950&amp;sr=8-7</v>
      </c>
      <c r="F6597" t="s">
        <v>5265</v>
      </c>
      <c r="G6597" t="e">
        <f ca="1">_xludf.IMAGE("https://edmondsonsupply.com/cdn/shop/products/49678_48-22-0305-lg.jpg?v=1587148349")</f>
        <v>#NAME?</v>
      </c>
      <c r="H6597" t="e">
        <f ca="1">_xludf.IMAGE("https://m.media-amazon.com/images/I/41AjNlagTPL._AC_UL320_.jpg")</f>
        <v>#NAME?</v>
      </c>
      <c r="I6597" t="s">
        <v>893</v>
      </c>
      <c r="J6597">
        <v>16.079999999999998</v>
      </c>
      <c r="K6597" s="4">
        <v>-0.1948</v>
      </c>
      <c r="L6597">
        <v>4.7</v>
      </c>
      <c r="M6597">
        <v>539</v>
      </c>
      <c r="O6597" t="s">
        <v>25</v>
      </c>
      <c r="P6597" t="s">
        <v>2142</v>
      </c>
      <c r="Q6597" t="s">
        <v>2143</v>
      </c>
    </row>
    <row r="6598" spans="1:17" ht="15.5" x14ac:dyDescent="0.35">
      <c r="A6598" s="3" t="str">
        <f>HYPERLINK("https://edmondsonsupply.com/collections/electricians-tools/products/milwaukee-2550-22-m12%E2%84%A2-rivet-tool-kit", "https://edmondsonsupply.com/collections/electricians-tools/products/milwaukee-2550-22-m12%E2%84%A2-rivet-tool-kit")</f>
        <v>https://edmondsonsupply.com/collections/electricians-tools/products/milwaukee-2550-22-m12%E2%84%A2-rivet-tool-kit</v>
      </c>
      <c r="B6598" s="3" t="str">
        <f>HYPERLINK("https://edmondsonsupply.com/products/milwaukee-2550-22-m12%e2%84%a2-rivet-tool-kit", "https://edmondsonsupply.com/products/milwaukee-2550-22-m12%e2%84%a2-rivet-tool-kit")</f>
        <v>https://edmondsonsupply.com/products/milwaukee-2550-22-m12%e2%84%a2-rivet-tool-kit</v>
      </c>
      <c r="C6598" t="s">
        <v>8742</v>
      </c>
      <c r="D6598" t="s">
        <v>8743</v>
      </c>
      <c r="E6598" s="3" t="str">
        <f>HYPERLINK("https://www.amazon.com/MILWAUKEE-ELECTRIC-TOOLS-CORP-2550-22/dp/B07BWPKWN6/ref=sr_1_1?keywords=Milwaukee+2550-22+M12%E2%84%A2+Rivet+Tool+Kit&amp;qid=1695174085&amp;sr=8-1", "https://www.amazon.com/MILWAUKEE-ELECTRIC-TOOLS-CORP-2550-22/dp/B07BWPKWN6/ref=sr_1_1?keywords=Milwaukee+2550-22+M12%E2%84%A2+Rivet+Tool+Kit&amp;qid=1695174085&amp;sr=8-1")</f>
        <v>https://www.amazon.com/MILWAUKEE-ELECTRIC-TOOLS-CORP-2550-22/dp/B07BWPKWN6/ref=sr_1_1?keywords=Milwaukee+2550-22+M12%E2%84%A2+Rivet+Tool+Kit&amp;qid=1695174085&amp;sr=8-1</v>
      </c>
      <c r="F6598" t="s">
        <v>8744</v>
      </c>
      <c r="G6598" t="e">
        <f ca="1">_xludf.IMAGE("https://edmondsonsupply.com/cdn/shop/products/2550-22_Kit.png?v=1672864826")</f>
        <v>#NAME?</v>
      </c>
      <c r="H6598" t="e">
        <f ca="1">_xludf.IMAGE("https://m.media-amazon.com/images/I/61CFN8IIEHL._AC_UL320_.jpg")</f>
        <v>#NAME?</v>
      </c>
      <c r="I6598" t="s">
        <v>8448</v>
      </c>
      <c r="J6598">
        <v>344.99</v>
      </c>
      <c r="K6598" s="4">
        <v>-0.1958</v>
      </c>
      <c r="L6598">
        <v>4.8</v>
      </c>
      <c r="M6598">
        <v>333</v>
      </c>
      <c r="O6598" t="s">
        <v>25</v>
      </c>
      <c r="P6598" t="s">
        <v>8745</v>
      </c>
      <c r="Q6598" t="s">
        <v>8746</v>
      </c>
    </row>
    <row r="6599" spans="1:17" ht="15.5" x14ac:dyDescent="0.35">
      <c r="A6599" s="3" t="str">
        <f>HYPERLINK("https://edmondsonsupply.com/collections/electricians-tools/products/milwaukee-48-22-3690-10-pc-torque-lock%E2%84%A2-locking-pliers-kit", "https://edmondsonsupply.com/collections/electricians-tools/products/milwaukee-48-22-3690-10-pc-torque-lock%E2%84%A2-locking-pliers-kit")</f>
        <v>https://edmondsonsupply.com/collections/electricians-tools/products/milwaukee-48-22-3690-10-pc-torque-lock%E2%84%A2-locking-pliers-kit</v>
      </c>
      <c r="B6599" s="3" t="str">
        <f>HYPERLINK("https://edmondsonsupply.com/products/milwaukee-48-22-3690-10-pc-torque-lock%e2%84%a2-locking-pliers-kit", "https://edmondsonsupply.com/products/milwaukee-48-22-3690-10-pc-torque-lock%e2%84%a2-locking-pliers-kit")</f>
        <v>https://edmondsonsupply.com/products/milwaukee-48-22-3690-10-pc-torque-lock%e2%84%a2-locking-pliers-kit</v>
      </c>
      <c r="C6599" t="s">
        <v>8747</v>
      </c>
      <c r="D6599" t="s">
        <v>8748</v>
      </c>
      <c r="E6599" s="3" t="str">
        <f>HYPERLINK("https://www.amazon.com/Milwaukee-MLW48223690-Locking-Plier-Auto/dp/B075GXS7WP/ref=sr_1_5?keywords=Milwaukee+48-22-3690+10+Pc.+TORQUE+LOCK%E2%84%A2+LOCKING+PLIERS+KIT&amp;qid=1695174083&amp;sr=8-5", "https://www.amazon.com/Milwaukee-MLW48223690-Locking-Plier-Auto/dp/B075GXS7WP/ref=sr_1_5?keywords=Milwaukee+48-22-3690+10+Pc.+TORQUE+LOCK%E2%84%A2+LOCKING+PLIERS+KIT&amp;qid=1695174083&amp;sr=8-5")</f>
        <v>https://www.amazon.com/Milwaukee-MLW48223690-Locking-Plier-Auto/dp/B075GXS7WP/ref=sr_1_5?keywords=Milwaukee+48-22-3690+10+Pc.+TORQUE+LOCK%E2%84%A2+LOCKING+PLIERS+KIT&amp;qid=1695174083&amp;sr=8-5</v>
      </c>
      <c r="F6599" t="s">
        <v>8749</v>
      </c>
      <c r="G6599" t="e">
        <f ca="1">_xludf.IMAGE("https://edmondsonsupply.com/cdn/shop/products/48-22-3690_2.png?v=1675698915")</f>
        <v>#NAME?</v>
      </c>
      <c r="H6599" t="e">
        <f ca="1">_xludf.IMAGE("https://m.media-amazon.com/images/I/417Wihc6yxL._AC_UL320_.jpg")</f>
        <v>#NAME?</v>
      </c>
      <c r="I6599" t="s">
        <v>8750</v>
      </c>
      <c r="J6599">
        <v>128.19999999999999</v>
      </c>
      <c r="K6599" s="4">
        <v>-0.1986</v>
      </c>
      <c r="L6599">
        <v>4.8</v>
      </c>
      <c r="M6599">
        <v>128</v>
      </c>
      <c r="O6599" t="s">
        <v>25</v>
      </c>
      <c r="P6599" t="s">
        <v>8751</v>
      </c>
      <c r="Q6599" t="s">
        <v>8752</v>
      </c>
    </row>
    <row r="6600" spans="1:17" ht="15.5" x14ac:dyDescent="0.35">
      <c r="A6600" s="3" t="str">
        <f>HYPERLINK("https://edmondsonsupply.com/collections/electricians-tools/products/klein-tools-605-6-1-4-inch-cabinet-tip-screwdriver-heavy-duty-6-inch", "https://edmondsonsupply.com/collections/electricians-tools/products/klein-tools-605-6-1-4-inch-cabinet-tip-screwdriver-heavy-duty-6-inch")</f>
        <v>https://edmondsonsupply.com/collections/electricians-tools/products/klein-tools-605-6-1-4-inch-cabinet-tip-screwdriver-heavy-duty-6-inch</v>
      </c>
      <c r="B6600" s="3" t="str">
        <f>HYPERLINK("https://edmondsonsupply.com/products/klein-tools-605-6-1-4-inch-cabinet-tip-screwdriver-heavy-duty-6-inch", "https://edmondsonsupply.com/products/klein-tools-605-6-1-4-inch-cabinet-tip-screwdriver-heavy-duty-6-inch")</f>
        <v>https://edmondsonsupply.com/products/klein-tools-605-6-1-4-inch-cabinet-tip-screwdriver-heavy-duty-6-inch</v>
      </c>
      <c r="C6600" t="s">
        <v>2430</v>
      </c>
      <c r="D6600" t="s">
        <v>5262</v>
      </c>
      <c r="E6600" s="3" t="str">
        <f>HYPERLINK("https://www.amazon.com/Cabinet-Screwdriver-Klein-Tools-608-6/dp/B001BQ20NC/ref=sr_1_4?keywords=Klein+Tools+605-6+1%2F4-Inch+Cabinet+Tip+Screwdriver%2C+Heavy+Duty%2C+6-Inch&amp;qid=1695173888&amp;sr=8-4", "https://www.amazon.com/Cabinet-Screwdriver-Klein-Tools-608-6/dp/B001BQ20NC/ref=sr_1_4?keywords=Klein+Tools+605-6+1%2F4-Inch+Cabinet+Tip+Screwdriver%2C+Heavy+Duty%2C+6-Inch&amp;qid=1695173888&amp;sr=8-4")</f>
        <v>https://www.amazon.com/Cabinet-Screwdriver-Klein-Tools-608-6/dp/B001BQ20NC/ref=sr_1_4?keywords=Klein+Tools+605-6+1%2F4-Inch+Cabinet+Tip+Screwdriver%2C+Heavy+Duty%2C+6-Inch&amp;qid=1695173888&amp;sr=8-4</v>
      </c>
      <c r="F6600" t="s">
        <v>5263</v>
      </c>
      <c r="G6600" t="e">
        <f ca="1">_xludf.IMAGE("https://edmondsonsupply.com/cdn/shop/products/605-6.jpg?v=1587149759")</f>
        <v>#NAME?</v>
      </c>
      <c r="H6600" t="e">
        <f ca="1">_xludf.IMAGE("https://m.media-amazon.com/images/I/31PYmazYuTL._AC_UL320_.jpg")</f>
        <v>#NAME?</v>
      </c>
      <c r="I6600" t="s">
        <v>2433</v>
      </c>
      <c r="J6600">
        <v>7.6</v>
      </c>
      <c r="K6600" s="4">
        <v>-0.19919999999999999</v>
      </c>
      <c r="L6600">
        <v>4.7</v>
      </c>
      <c r="M6600">
        <v>1360</v>
      </c>
      <c r="O6600" t="s">
        <v>25</v>
      </c>
      <c r="P6600" t="s">
        <v>2434</v>
      </c>
      <c r="Q6600" t="s">
        <v>2435</v>
      </c>
    </row>
    <row r="6601" spans="1:17" ht="15.5" x14ac:dyDescent="0.35">
      <c r="A6601"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6601" s="3" t="str">
        <f>HYPERLINK("https://edmondsonsupply.com/products/diablo-tools-d0760x-7-1-4-in-x-60-tooth-ultra-finish-saw-blade", "https://edmondsonsupply.com/products/diablo-tools-d0760x-7-1-4-in-x-60-tooth-ultra-finish-saw-blade")</f>
        <v>https://edmondsonsupply.com/products/diablo-tools-d0760x-7-1-4-in-x-60-tooth-ultra-finish-saw-blade</v>
      </c>
      <c r="C6601" t="s">
        <v>6011</v>
      </c>
      <c r="D6601" t="s">
        <v>7745</v>
      </c>
      <c r="E6601" s="3" t="str">
        <f>HYPERLINK("https://www.amazon.com/FOXBC-Circular-60-Tooth-Replacement-DWA171460/dp/B0C6L4CRY2/ref=sr_1_4?keywords=Diablo+Tools+D0760X+7-1%2F4+in.+x+60+Tooth+Ultra+Finish+Saw+Blade&amp;qid=1695174054&amp;sr=8-4", "https://www.amazon.com/FOXBC-Circular-60-Tooth-Replacement-DWA171460/dp/B0C6L4CRY2/ref=sr_1_4?keywords=Diablo+Tools+D0760X+7-1%2F4+in.+x+60+Tooth+Ultra+Finish+Saw+Blade&amp;qid=1695174054&amp;sr=8-4")</f>
        <v>https://www.amazon.com/FOXBC-Circular-60-Tooth-Replacement-DWA171460/dp/B0C6L4CRY2/ref=sr_1_4?keywords=Diablo+Tools+D0760X+7-1%2F4+in.+x+60+Tooth+Ultra+Finish+Saw+Blade&amp;qid=1695174054&amp;sr=8-4</v>
      </c>
      <c r="F6601" t="s">
        <v>7746</v>
      </c>
      <c r="G6601" t="e">
        <f ca="1">_xludf.IMAGE("https://edmondsonsupply.com/cdn/shop/products/vlfiqrihhfwf5bxirasx.webp?v=1678977162")</f>
        <v>#NAME?</v>
      </c>
      <c r="H6601" t="e">
        <f ca="1">_xludf.IMAGE("https://m.media-amazon.com/images/I/7198akWEx0L._AC_UL320_.jpg")</f>
        <v>#NAME?</v>
      </c>
      <c r="I6601" t="s">
        <v>893</v>
      </c>
      <c r="J6601">
        <v>15.99</v>
      </c>
      <c r="K6601" s="4">
        <v>-0.1993</v>
      </c>
      <c r="L6601">
        <v>4.8</v>
      </c>
      <c r="M6601">
        <v>31</v>
      </c>
      <c r="O6601" t="s">
        <v>25</v>
      </c>
      <c r="P6601" t="s">
        <v>6014</v>
      </c>
      <c r="Q6601" t="s">
        <v>6015</v>
      </c>
    </row>
    <row r="6602" spans="1:17" ht="15.5" x14ac:dyDescent="0.35">
      <c r="A6602" s="3" t="str">
        <f>HYPERLINK("https://edmondsonsupply.com/collections/electricians-tools/products/klein-tools-d2000-48-diagonal-cutting-pliers-angled-head-8-inch", "https://edmondsonsupply.com/collections/electricians-tools/products/klein-tools-d2000-48-diagonal-cutting-pliers-angled-head-8-inch")</f>
        <v>https://edmondsonsupply.com/collections/electricians-tools/products/klein-tools-d2000-48-diagonal-cutting-pliers-angled-head-8-inch</v>
      </c>
      <c r="B6602" s="3" t="str">
        <f>HYPERLINK("https://edmondsonsupply.com/products/klein-tools-d2000-48-diagonal-cutting-pliers-angled-head-8-inch", "https://edmondsonsupply.com/products/klein-tools-d2000-48-diagonal-cutting-pliers-angled-head-8-inch")</f>
        <v>https://edmondsonsupply.com/products/klein-tools-d2000-48-diagonal-cutting-pliers-angled-head-8-inch</v>
      </c>
      <c r="C6602" t="s">
        <v>6797</v>
      </c>
      <c r="D6602" t="s">
        <v>8753</v>
      </c>
      <c r="E6602" s="3" t="str">
        <f>HYPERLINK("https://www.amazon.com/High-Leverage-Diagonal-Cutting-Klein-Tools-D2000-28/dp/B0000302WR/ref=sr_1_2?keywords=Klein+Tools+D2000-48+Diagonal+Cutting+Pliers%2C+Angled+Head%2C+8-Inch&amp;qid=1695174171&amp;sr=8-2", "https://www.amazon.com/High-Leverage-Diagonal-Cutting-Klein-Tools-D2000-28/dp/B0000302WR/ref=sr_1_2?keywords=Klein+Tools+D2000-48+Diagonal+Cutting+Pliers%2C+Angled+Head%2C+8-Inch&amp;qid=1695174171&amp;sr=8-2")</f>
        <v>https://www.amazon.com/High-Leverage-Diagonal-Cutting-Klein-Tools-D2000-28/dp/B0000302WR/ref=sr_1_2?keywords=Klein+Tools+D2000-48+Diagonal+Cutting+Pliers%2C+Angled+Head%2C+8-Inch&amp;qid=1695174171&amp;sr=8-2</v>
      </c>
      <c r="F6602" t="s">
        <v>8754</v>
      </c>
      <c r="G6602" t="e">
        <f ca="1">_xludf.IMAGE("https://edmondsonsupply.com/cdn/shop/products/d200048.jpg?v=1660920588")</f>
        <v>#NAME?</v>
      </c>
      <c r="H6602" t="e">
        <f ca="1">_xludf.IMAGE("https://m.media-amazon.com/images/I/41VuWJ3z3QL._AC_UL320_.jpg")</f>
        <v>#NAME?</v>
      </c>
      <c r="I6602" t="s">
        <v>340</v>
      </c>
      <c r="J6602">
        <v>27.99</v>
      </c>
      <c r="K6602" s="4">
        <v>-0.1996</v>
      </c>
      <c r="L6602">
        <v>4.8</v>
      </c>
      <c r="M6602">
        <v>1451</v>
      </c>
      <c r="O6602" t="s">
        <v>25</v>
      </c>
      <c r="P6602" t="s">
        <v>6800</v>
      </c>
      <c r="Q6602" t="s">
        <v>6801</v>
      </c>
    </row>
    <row r="6603" spans="1:17" ht="15.5" x14ac:dyDescent="0.35">
      <c r="A6603"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6603" s="3" t="str">
        <f>HYPERLINK("https://edmondsonsupply.com/products/milwaukee-49-90-1900-hepa-filter", "https://edmondsonsupply.com/products/milwaukee-49-90-1900-hepa-filter")</f>
        <v>https://edmondsonsupply.com/products/milwaukee-49-90-1900-hepa-filter</v>
      </c>
      <c r="C6603" t="s">
        <v>5831</v>
      </c>
      <c r="D6603" t="s">
        <v>5943</v>
      </c>
      <c r="E6603" s="3" t="str">
        <f>HYPERLINK("https://www.amazon.com/49-90-1900-Replacement-Compatible-Milwaukee-Cordless/dp/B082Y7JPM4/ref=sr_1_9?keywords=Milwaukee+49-90-1900+HEPA+Filter&amp;qid=1695174010&amp;sr=8-9", "https://www.amazon.com/49-90-1900-Replacement-Compatible-Milwaukee-Cordless/dp/B082Y7JPM4/ref=sr_1_9?keywords=Milwaukee+49-90-1900+HEPA+Filter&amp;qid=1695174010&amp;sr=8-9")</f>
        <v>https://www.amazon.com/49-90-1900-Replacement-Compatible-Milwaukee-Cordless/dp/B082Y7JPM4/ref=sr_1_9?keywords=Milwaukee+49-90-1900+HEPA+Filter&amp;qid=1695174010&amp;sr=8-9</v>
      </c>
      <c r="F6603" t="s">
        <v>5944</v>
      </c>
      <c r="G6603" t="e">
        <f ca="1">_xludf.IMAGE("https://edmondsonsupply.com/cdn/shop/files/49-90-1900_1.png?v=1686234774")</f>
        <v>#NAME?</v>
      </c>
      <c r="H6603" t="e">
        <f ca="1">_xludf.IMAGE("https://m.media-amazon.com/images/I/61AU5p8goyL._AC_UL320_.jpg")</f>
        <v>#NAME?</v>
      </c>
      <c r="I6603" t="s">
        <v>2170</v>
      </c>
      <c r="J6603">
        <v>19.989999999999998</v>
      </c>
      <c r="K6603" s="4">
        <v>-0.19980000000000001</v>
      </c>
      <c r="L6603">
        <v>4.5</v>
      </c>
      <c r="M6603">
        <v>106</v>
      </c>
      <c r="O6603" t="s">
        <v>25</v>
      </c>
      <c r="P6603" t="s">
        <v>2470</v>
      </c>
      <c r="Q6603" t="s">
        <v>5834</v>
      </c>
    </row>
    <row r="6604" spans="1:17" ht="15.5" x14ac:dyDescent="0.35">
      <c r="A6604"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6604"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6604" t="s">
        <v>7872</v>
      </c>
      <c r="D6604" t="s">
        <v>6257</v>
      </c>
      <c r="E6604" s="3" t="str">
        <f>HYPERLINK("https://www.amazon.com/Klein-Tools-66001-12-Point-16-Inch/dp/B078NHVXWK/ref=sr_1_2?keywords=Klein+Tools+66030+2-in-1+Coated+Impact+Socket%2C+12-Point%2C+3%2F4+and+9%2F16-Inch&amp;qid=1695174140&amp;sr=8-2", "https://www.amazon.com/Klein-Tools-66001-12-Point-16-Inch/dp/B078NHVXWK/ref=sr_1_2?keywords=Klein+Tools+66030+2-in-1+Coated+Impact+Socket%2C+12-Point%2C+3%2F4+and+9%2F16-Inch&amp;qid=1695174140&amp;sr=8-2")</f>
        <v>https://www.amazon.com/Klein-Tools-66001-12-Point-16-Inch/dp/B078NHVXWK/ref=sr_1_2?keywords=Klein+Tools+66030+2-in-1+Coated+Impact+Socket%2C+12-Point%2C+3%2F4+and+9%2F16-Inch&amp;qid=1695174140&amp;sr=8-2</v>
      </c>
      <c r="F6604" t="s">
        <v>6258</v>
      </c>
      <c r="G6604" t="e">
        <f ca="1">_xludf.IMAGE("https://edmondsonsupply.com/cdn/shop/products/66030.jpg?v=1666027133")</f>
        <v>#NAME?</v>
      </c>
      <c r="H6604" t="e">
        <f ca="1">_xludf.IMAGE("https://m.media-amazon.com/images/I/31AlECG12iL._AC_UL320_.jpg")</f>
        <v>#NAME?</v>
      </c>
      <c r="I6604" t="s">
        <v>7792</v>
      </c>
      <c r="J6604">
        <v>39.99</v>
      </c>
      <c r="K6604" s="4">
        <v>-0.19989999999999999</v>
      </c>
      <c r="L6604">
        <v>4.8</v>
      </c>
      <c r="M6604">
        <v>753</v>
      </c>
      <c r="O6604" t="s">
        <v>25</v>
      </c>
      <c r="P6604" t="s">
        <v>7873</v>
      </c>
      <c r="Q6604" t="s">
        <v>7874</v>
      </c>
    </row>
    <row r="6605" spans="1:17" ht="15.5" x14ac:dyDescent="0.35">
      <c r="A6605"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6605"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6605" t="s">
        <v>7299</v>
      </c>
      <c r="D6605" t="s">
        <v>6101</v>
      </c>
      <c r="E6605" s="3" t="str">
        <f>HYPERLINK("https://www.amazon.com/Klein-Tools-51603-Conduit-Features/dp/B08W6GJTHW/ref=sr_1_5?keywords=Klein+Tools+51604+Iron+Conduit+Bender+Full+Assembly%2C+3%2F4-Inch+EMT+with+Angle+Setter%E2%84%A2&amp;qid=1695174174&amp;sr=8-5", "https://www.amazon.com/Klein-Tools-51603-Conduit-Features/dp/B08W6GJTHW/ref=sr_1_5?keywords=Klein+Tools+51604+Iron+Conduit+Bender+Full+Assembly%2C+3%2F4-Inch+EMT+with+Angle+Setter%E2%84%A2&amp;qid=1695174174&amp;sr=8-5")</f>
        <v>https://www.amazon.com/Klein-Tools-51603-Conduit-Features/dp/B08W6GJTHW/ref=sr_1_5?keywords=Klein+Tools+51604+Iron+Conduit+Bender+Full+Assembly%2C+3%2F4-Inch+EMT+with+Angle+Setter%E2%84%A2&amp;qid=1695174174&amp;sr=8-5</v>
      </c>
      <c r="F6605" t="s">
        <v>6102</v>
      </c>
      <c r="G6605" t="e">
        <f ca="1">_xludf.IMAGE("https://edmondsonsupply.com/cdn/shop/products/51603.jpg?v=1660829273")</f>
        <v>#NAME?</v>
      </c>
      <c r="H6605" t="e">
        <f ca="1">_xludf.IMAGE("https://m.media-amazon.com/images/I/31lf3y-9bSL._AC_UL320_.jpg")</f>
        <v>#NAME?</v>
      </c>
      <c r="I6605" t="s">
        <v>320</v>
      </c>
      <c r="J6605">
        <v>59.99</v>
      </c>
      <c r="K6605" s="4">
        <v>-0.2</v>
      </c>
      <c r="L6605">
        <v>4.9000000000000004</v>
      </c>
      <c r="M6605">
        <v>31</v>
      </c>
      <c r="O6605" t="s">
        <v>171</v>
      </c>
      <c r="P6605" t="s">
        <v>306</v>
      </c>
      <c r="Q6605" t="s">
        <v>7300</v>
      </c>
    </row>
    <row r="6606" spans="1:17" ht="15.5" x14ac:dyDescent="0.35">
      <c r="A6606" s="3" t="str">
        <f>HYPERLINK("https://edmondsonsupply.com/collections/electricians-tools/products/klein-tools-66031-3-in-1-slotted-impact-socket-12-point-3-4-and-9-16-inch", "https://edmondsonsupply.com/collections/electricians-tools/products/klein-tools-66031-3-in-1-slotted-impact-socket-12-point-3-4-and-9-16-inch")</f>
        <v>https://edmondsonsupply.com/collections/electricians-tools/products/klein-tools-66031-3-in-1-slotted-impact-socket-12-point-3-4-and-9-16-inch</v>
      </c>
      <c r="B6606" s="3" t="str">
        <f>HYPERLINK("https://edmondsonsupply.com/products/klein-tools-66031-3-in-1-slotted-impact-socket-12-point-3-4-and-9-16-inch", "https://edmondsonsupply.com/products/klein-tools-66031-3-in-1-slotted-impact-socket-12-point-3-4-and-9-16-inch")</f>
        <v>https://edmondsonsupply.com/products/klein-tools-66031-3-in-1-slotted-impact-socket-12-point-3-4-and-9-16-inch</v>
      </c>
      <c r="C6606" t="s">
        <v>8031</v>
      </c>
      <c r="D6606" t="s">
        <v>6257</v>
      </c>
      <c r="E6606" s="3" t="str">
        <f>HYPERLINK("https://www.amazon.com/Klein-Tools-66001-12-Point-16-Inch/dp/B078NHVXWK/ref=sr_1_4?keywords=Klein+Tools+66031+3-in-1+Slotted+Impact+Socket%2C+12-Point%2C+3%2F4+and+9%2F16-Inch&amp;qid=1695174174&amp;sr=8-4", "https://www.amazon.com/Klein-Tools-66001-12-Point-16-Inch/dp/B078NHVXWK/ref=sr_1_4?keywords=Klein+Tools+66031+3-in-1+Slotted+Impact+Socket%2C+12-Point%2C+3%2F4+and+9%2F16-Inch&amp;qid=1695174174&amp;sr=8-4")</f>
        <v>https://www.amazon.com/Klein-Tools-66001-12-Point-16-Inch/dp/B078NHVXWK/ref=sr_1_4?keywords=Klein+Tools+66031+3-in-1+Slotted+Impact+Socket%2C+12-Point%2C+3%2F4+and+9%2F16-Inch&amp;qid=1695174174&amp;sr=8-4</v>
      </c>
      <c r="F6606" t="s">
        <v>6258</v>
      </c>
      <c r="G6606" t="e">
        <f ca="1">_xludf.IMAGE("https://edmondsonsupply.com/cdn/shop/products/66031.jpg?v=1659389111")</f>
        <v>#NAME?</v>
      </c>
      <c r="H6606" t="e">
        <f ca="1">_xludf.IMAGE("https://m.media-amazon.com/images/I/31AlECG12iL._AC_UL320_.jpg")</f>
        <v>#NAME?</v>
      </c>
      <c r="I6606" t="s">
        <v>1931</v>
      </c>
      <c r="J6606">
        <v>39.99</v>
      </c>
      <c r="K6606" s="4">
        <v>-0.2</v>
      </c>
      <c r="L6606">
        <v>4.8</v>
      </c>
      <c r="M6606">
        <v>753</v>
      </c>
      <c r="O6606" t="s">
        <v>25</v>
      </c>
      <c r="P6606" t="s">
        <v>8032</v>
      </c>
      <c r="Q6606" t="s">
        <v>8033</v>
      </c>
    </row>
    <row r="6607" spans="1:17" ht="15.5" x14ac:dyDescent="0.35">
      <c r="A6607" s="3" t="str">
        <f>HYPERLINK("https://edmondsonsupply.com/collections/electricians-tools/products/klein-tools-d2000-28-diagonal-cutting-pliers-heavy-duty-high-leverage-8-inch", "https://edmondsonsupply.com/collections/electricians-tools/products/klein-tools-d2000-28-diagonal-cutting-pliers-heavy-duty-high-leverage-8-inch")</f>
        <v>https://edmondsonsupply.com/collections/electricians-tools/products/klein-tools-d2000-28-diagonal-cutting-pliers-heavy-duty-high-leverage-8-inch</v>
      </c>
      <c r="B6607" s="3" t="str">
        <f>HYPERLINK("https://edmondsonsupply.com/products/klein-tools-d2000-28-diagonal-cutting-pliers-heavy-duty-high-leverage-8-inch", "https://edmondsonsupply.com/products/klein-tools-d2000-28-diagonal-cutting-pliers-heavy-duty-high-leverage-8-inch")</f>
        <v>https://edmondsonsupply.com/products/klein-tools-d2000-28-diagonal-cutting-pliers-heavy-duty-high-leverage-8-inch</v>
      </c>
      <c r="C6607" t="s">
        <v>6737</v>
      </c>
      <c r="D6607" t="s">
        <v>8753</v>
      </c>
      <c r="E6607" s="3" t="str">
        <f>HYPERLINK("https://www.amazon.com/High-Leverage-Diagonal-Cutting-Klein-Tools-D2000-28/dp/B0000302WR/ref=sr_1_2?keywords=Klein+Tools+D2000-28+Diagonal+Cutting+Pliers%2C+Heavy-Duty%2C+High-Leverage%2C+8-Inch&amp;qid=1695174291&amp;sr=8-2", "https://www.amazon.com/High-Leverage-Diagonal-Cutting-Klein-Tools-D2000-28/dp/B0000302WR/ref=sr_1_2?keywords=Klein+Tools+D2000-28+Diagonal+Cutting+Pliers%2C+Heavy-Duty%2C+High-Leverage%2C+8-Inch&amp;qid=1695174291&amp;sr=8-2")</f>
        <v>https://www.amazon.com/High-Leverage-Diagonal-Cutting-Klein-Tools-D2000-28/dp/B0000302WR/ref=sr_1_2?keywords=Klein+Tools+D2000-28+Diagonal+Cutting+Pliers%2C+Heavy-Duty%2C+High-Leverage%2C+8-Inch&amp;qid=1695174291&amp;sr=8-2</v>
      </c>
      <c r="F6607" t="s">
        <v>8754</v>
      </c>
      <c r="G6607" t="e">
        <f ca="1">_xludf.IMAGE("https://edmondsonsupply.com/cdn/shop/products/d200028.jpg?v=1633030882")</f>
        <v>#NAME?</v>
      </c>
      <c r="H6607" t="e">
        <f ca="1">_xludf.IMAGE("https://m.media-amazon.com/images/I/41VuWJ3z3QL._AC_UL320_.jpg")</f>
        <v>#NAME?</v>
      </c>
      <c r="I6607" t="s">
        <v>571</v>
      </c>
      <c r="J6607">
        <v>27.99</v>
      </c>
      <c r="K6607" s="4">
        <v>-0.2001</v>
      </c>
      <c r="L6607">
        <v>4.8</v>
      </c>
      <c r="M6607">
        <v>1451</v>
      </c>
      <c r="O6607" t="s">
        <v>25</v>
      </c>
      <c r="P6607" t="s">
        <v>5228</v>
      </c>
      <c r="Q6607" t="s">
        <v>6740</v>
      </c>
    </row>
    <row r="6608" spans="1:17" ht="15.5" x14ac:dyDescent="0.35">
      <c r="A6608" s="3" t="str">
        <f>HYPERLINK("https://edmondsonsupply.com/collections/electricians-tools/products/rack-a-tiers-42680-4-1-4-round-multi-tool-hole-saw", "https://edmondsonsupply.com/collections/electricians-tools/products/rack-a-tiers-42680-4-1-4-round-multi-tool-hole-saw")</f>
        <v>https://edmondsonsupply.com/collections/electricians-tools/products/rack-a-tiers-42680-4-1-4-round-multi-tool-hole-saw</v>
      </c>
      <c r="B6608" s="3" t="str">
        <f>HYPERLINK("https://edmondsonsupply.com/products/rack-a-tiers-42680-4-1-4-round-multi-tool-hole-saw", "https://edmondsonsupply.com/products/rack-a-tiers-42680-4-1-4-round-multi-tool-hole-saw")</f>
        <v>https://edmondsonsupply.com/products/rack-a-tiers-42680-4-1-4-round-multi-tool-hole-saw</v>
      </c>
      <c r="C6608" t="s">
        <v>8755</v>
      </c>
      <c r="D6608" t="s">
        <v>8756</v>
      </c>
      <c r="E6608" s="3" t="str">
        <f>HYPERLINK("https://www.amazon.com/Rack-Tiers-Multi-Tool-recessed-oscillating/dp/B0BQP6TY6H/ref=sr_1_1?keywords=Rack-A-Tiers+42680+4+1%2F4%22+Round+Multi-Tool+Hole+Saw&amp;qid=1695174067&amp;sr=8-1", "https://www.amazon.com/Rack-Tiers-Multi-Tool-recessed-oscillating/dp/B0BQP6TY6H/ref=sr_1_1?keywords=Rack-A-Tiers+42680+4+1%2F4%22+Round+Multi-Tool+Hole+Saw&amp;qid=1695174067&amp;sr=8-1")</f>
        <v>https://www.amazon.com/Rack-Tiers-Multi-Tool-recessed-oscillating/dp/B0BQP6TY6H/ref=sr_1_1?keywords=Rack-A-Tiers+42680+4+1%2F4%22+Round+Multi-Tool+Hole+Saw&amp;qid=1695174067&amp;sr=8-1</v>
      </c>
      <c r="F6608" t="s">
        <v>8757</v>
      </c>
      <c r="G6608" t="e">
        <f ca="1">_xludf.IMAGE("https://edmondsonsupply.com/cdn/shop/products/IMG_4900_803f83ec-6151-4328-8dad-0552b90489bb.webp?v=1677014284")</f>
        <v>#NAME?</v>
      </c>
      <c r="H6608" t="e">
        <f ca="1">_xludf.IMAGE("https://m.media-amazon.com/images/I/51knAuGPAUL._AC_UL320_.jpg")</f>
        <v>#NAME?</v>
      </c>
      <c r="I6608" t="s">
        <v>571</v>
      </c>
      <c r="J6608">
        <v>27.99</v>
      </c>
      <c r="K6608" s="4">
        <v>-0.2001</v>
      </c>
      <c r="L6608">
        <v>3.6</v>
      </c>
      <c r="M6608">
        <v>11</v>
      </c>
      <c r="O6608" t="s">
        <v>25</v>
      </c>
      <c r="P6608" t="s">
        <v>3432</v>
      </c>
      <c r="Q6608" t="s">
        <v>8758</v>
      </c>
    </row>
    <row r="6609" spans="1:17" ht="15.5" x14ac:dyDescent="0.35">
      <c r="A6609" s="3" t="str">
        <f>HYPERLINK("https://edmondsonsupply.com/collections/electricians-tools/products/klein-tools-56413-rechargeable-2-color-led-flashlight-with-holster", "https://edmondsonsupply.com/collections/electricians-tools/products/klein-tools-56413-rechargeable-2-color-led-flashlight-with-holster")</f>
        <v>https://edmondsonsupply.com/collections/electricians-tools/products/klein-tools-56413-rechargeable-2-color-led-flashlight-with-holster</v>
      </c>
      <c r="B6609" s="3" t="str">
        <f>HYPERLINK("https://edmondsonsupply.com/products/klein-tools-56413-rechargeable-2-color-led-flashlight-with-holster", "https://edmondsonsupply.com/products/klein-tools-56413-rechargeable-2-color-led-flashlight-with-holster")</f>
        <v>https://edmondsonsupply.com/products/klein-tools-56413-rechargeable-2-color-led-flashlight-with-holster</v>
      </c>
      <c r="C6609" t="s">
        <v>6852</v>
      </c>
      <c r="D6609" t="s">
        <v>6708</v>
      </c>
      <c r="E6609" s="3" t="str">
        <f>HYPERLINK("https://www.amazon.com/Rechargeable-Flashlight-Worklight-Klein-Tools/dp/B0947YMH51/ref=sr_1_8?keywords=Klein+Tools+56413+Rechargeable+2-Color+LED+Flashlight+with+Holster&amp;qid=1695174149&amp;sr=8-8", "https://www.amazon.com/Rechargeable-Flashlight-Worklight-Klein-Tools/dp/B0947YMH51/ref=sr_1_8?keywords=Klein+Tools+56413+Rechargeable+2-Color+LED+Flashlight+with+Holster&amp;qid=1695174149&amp;sr=8-8")</f>
        <v>https://www.amazon.com/Rechargeable-Flashlight-Worklight-Klein-Tools/dp/B0947YMH51/ref=sr_1_8?keywords=Klein+Tools+56413+Rechargeable+2-Color+LED+Flashlight+with+Holster&amp;qid=1695174149&amp;sr=8-8</v>
      </c>
      <c r="F6609" t="s">
        <v>6709</v>
      </c>
      <c r="G6609" t="e">
        <f ca="1">_xludf.IMAGE("https://edmondsonsupply.com/cdn/shop/products/56413.jpg?v=1663954210")</f>
        <v>#NAME?</v>
      </c>
      <c r="H6609" t="e">
        <f ca="1">_xludf.IMAGE("https://m.media-amazon.com/images/I/51Of8ojN4aS._AC_UL320_.jpg")</f>
        <v>#NAME?</v>
      </c>
      <c r="I6609" t="s">
        <v>380</v>
      </c>
      <c r="J6609">
        <v>39.97</v>
      </c>
      <c r="K6609" s="4">
        <v>-0.2001</v>
      </c>
      <c r="L6609">
        <v>4.5999999999999996</v>
      </c>
      <c r="M6609">
        <v>424</v>
      </c>
      <c r="O6609" t="s">
        <v>25</v>
      </c>
      <c r="P6609" t="s">
        <v>6855</v>
      </c>
      <c r="Q6609" t="s">
        <v>6856</v>
      </c>
    </row>
    <row r="6610" spans="1:17" ht="15.5" x14ac:dyDescent="0.35">
      <c r="A6610" s="3" t="str">
        <f>HYPERLINK("https://edmondsonsupply.com/collections/electricians-tools/products/klein-tools-mm300kit-digital-multimeter-electrical-test-kit", "https://edmondsonsupply.com/collections/electricians-tools/products/klein-tools-mm300kit-digital-multimeter-electrical-test-kit")</f>
        <v>https://edmondsonsupply.com/collections/electricians-tools/products/klein-tools-mm300kit-digital-multimeter-electrical-test-kit</v>
      </c>
      <c r="B6610" s="3" t="str">
        <f>HYPERLINK("https://edmondsonsupply.com/products/klein-tools-mm300kit-digital-multimeter-electrical-test-kit", "https://edmondsonsupply.com/products/klein-tools-mm300kit-digital-multimeter-electrical-test-kit")</f>
        <v>https://edmondsonsupply.com/products/klein-tools-mm300kit-digital-multimeter-electrical-test-kit</v>
      </c>
      <c r="C6610" t="s">
        <v>3227</v>
      </c>
      <c r="D6610" t="s">
        <v>5272</v>
      </c>
      <c r="E6610" s="3" t="str">
        <f>HYPERLINK("https://www.amazon.com/Klein-Tools-69149P-Multimeter-Noncontact/dp/B09C6MGD7J/ref=sr_1_5?keywords=Klein+Tools+MM320KIT+Digital+Multimeter+Electrical+Test+Kit&amp;qid=1695173860&amp;sr=8-5", "https://www.amazon.com/Klein-Tools-69149P-Multimeter-Noncontact/dp/B09C6MGD7J/ref=sr_1_5?keywords=Klein+Tools+MM320KIT+Digital+Multimeter+Electrical+Test+Kit&amp;qid=1695173860&amp;sr=8-5")</f>
        <v>https://www.amazon.com/Klein-Tools-69149P-Multimeter-Noncontact/dp/B09C6MGD7J/ref=sr_1_5?keywords=Klein+Tools+MM320KIT+Digital+Multimeter+Electrical+Test+Kit&amp;qid=1695173860&amp;sr=8-5</v>
      </c>
      <c r="F6610" t="s">
        <v>5273</v>
      </c>
      <c r="G6610" t="e">
        <f ca="1">_xludf.IMAGE("https://edmondsonsupply.com/cdn/shop/products/mm320kit_photo.jpg?v=1660756496")</f>
        <v>#NAME?</v>
      </c>
      <c r="H6610" t="e">
        <f ca="1">_xludf.IMAGE("https://m.media-amazon.com/images/I/61+WhEXhVkL._AC_UL320_.jpg")</f>
        <v>#NAME?</v>
      </c>
      <c r="I6610" t="s">
        <v>380</v>
      </c>
      <c r="J6610">
        <v>39.97</v>
      </c>
      <c r="K6610" s="4">
        <v>-0.2001</v>
      </c>
      <c r="L6610">
        <v>4.7</v>
      </c>
      <c r="M6610">
        <v>1358</v>
      </c>
      <c r="O6610" t="s">
        <v>25</v>
      </c>
      <c r="P6610" t="s">
        <v>3230</v>
      </c>
      <c r="Q6610" t="s">
        <v>3231</v>
      </c>
    </row>
    <row r="6611" spans="1:17" ht="15.5" x14ac:dyDescent="0.35">
      <c r="A6611" s="3" t="str">
        <f>HYPERLINK("https://edmondsonsupply.com/collections/electricians-tools/products/klein-tools-56403-rechargeable-personal-worklight", "https://edmondsonsupply.com/collections/electricians-tools/products/klein-tools-56403-rechargeable-personal-worklight")</f>
        <v>https://edmondsonsupply.com/collections/electricians-tools/products/klein-tools-56403-rechargeable-personal-worklight</v>
      </c>
      <c r="B6611" s="3" t="str">
        <f>HYPERLINK("https://edmondsonsupply.com/products/klein-tools-56403-rechargeable-personal-worklight", "https://edmondsonsupply.com/products/klein-tools-56403-rechargeable-personal-worklight")</f>
        <v>https://edmondsonsupply.com/products/klein-tools-56403-rechargeable-personal-worklight</v>
      </c>
      <c r="C6611" t="s">
        <v>2537</v>
      </c>
      <c r="D6611" t="s">
        <v>5270</v>
      </c>
      <c r="E6611" s="3" t="str">
        <f>HYPERLINK("https://www.amazon.com/Klein-Tools-56403-Rechargeable-Illumination/dp/B07V4FTX6C/ref=sr_1_1?keywords=Klein+Tools+56403+Rechargeable+Personal+Worklight&amp;qid=1695173953&amp;sr=8-1", "https://www.amazon.com/Klein-Tools-56403-Rechargeable-Illumination/dp/B07V4FTX6C/ref=sr_1_1?keywords=Klein+Tools+56403+Rechargeable+Personal+Worklight&amp;qid=1695173953&amp;sr=8-1")</f>
        <v>https://www.amazon.com/Klein-Tools-56403-Rechargeable-Illumination/dp/B07V4FTX6C/ref=sr_1_1?keywords=Klein+Tools+56403+Rechargeable+Personal+Worklight&amp;qid=1695173953&amp;sr=8-1</v>
      </c>
      <c r="F6611" t="s">
        <v>5271</v>
      </c>
      <c r="G6611" t="e">
        <f ca="1">_xludf.IMAGE("https://edmondsonsupply.com/cdn/shop/products/56403.jpg?v=1587143308")</f>
        <v>#NAME?</v>
      </c>
      <c r="H6611" t="e">
        <f ca="1">_xludf.IMAGE("https://m.media-amazon.com/images/I/61Gs90A8wDL._AC_UL320_.jpg")</f>
        <v>#NAME?</v>
      </c>
      <c r="I6611" t="s">
        <v>380</v>
      </c>
      <c r="J6611">
        <v>39.97</v>
      </c>
      <c r="K6611" s="4">
        <v>-0.2001</v>
      </c>
      <c r="L6611">
        <v>4.8</v>
      </c>
      <c r="M6611">
        <v>2756</v>
      </c>
      <c r="O6611" t="s">
        <v>25</v>
      </c>
      <c r="P6611" t="s">
        <v>2540</v>
      </c>
      <c r="Q6611" t="s">
        <v>2541</v>
      </c>
    </row>
    <row r="6612" spans="1:17" ht="15.5" x14ac:dyDescent="0.35">
      <c r="A6612"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6612" s="3" t="str">
        <f>HYPERLINK("https://edmondsonsupply.com/products/klein-tools-vaco-s10m-5-16-magnetic-nut-driver-3-hollow-shaft", "https://edmondsonsupply.com/products/klein-tools-vaco-s10m-5-16-magnetic-nut-driver-3-hollow-shaft")</f>
        <v>https://edmondsonsupply.com/products/klein-tools-vaco-s10m-5-16-magnetic-nut-driver-3-hollow-shaft</v>
      </c>
      <c r="C6612" t="s">
        <v>6468</v>
      </c>
      <c r="D6612" t="s">
        <v>4684</v>
      </c>
      <c r="E6612" s="3" t="str">
        <f>HYPERLINK("https://www.amazon.com/Klein-Tools-S106-16-Inch-Driver/dp/B000936PDO/ref=sr_1_5?keywords=Klein+Tools+S10M+5%2F16-Inch+Magnetic+Nut+Driver+3-Inch+Shaft&amp;qid=1695174019&amp;sr=8-5", "https://www.amazon.com/Klein-Tools-S106-16-Inch-Driver/dp/B000936PDO/ref=sr_1_5?keywords=Klein+Tools+S10M+5%2F16-Inch+Magnetic+Nut+Driver+3-Inch+Shaft&amp;qid=1695174019&amp;sr=8-5")</f>
        <v>https://www.amazon.com/Klein-Tools-S106-16-Inch-Driver/dp/B000936PDO/ref=sr_1_5?keywords=Klein+Tools+S10M+5%2F16-Inch+Magnetic+Nut+Driver+3-Inch+Shaft&amp;qid=1695174019&amp;sr=8-5</v>
      </c>
      <c r="F6612" t="s">
        <v>4685</v>
      </c>
      <c r="G6612" t="e">
        <f ca="1">_xludf.IMAGE("https://edmondsonsupply.com/cdn/shop/products/s10m_alt2.jpg?v=1587143022")</f>
        <v>#NAME?</v>
      </c>
      <c r="H6612" t="e">
        <f ca="1">_xludf.IMAGE("https://m.media-amazon.com/images/I/41MR57vMQTL._AC_UL320_.jpg")</f>
        <v>#NAME?</v>
      </c>
      <c r="I6612" t="s">
        <v>2577</v>
      </c>
      <c r="J6612">
        <v>7.99</v>
      </c>
      <c r="K6612" s="4">
        <v>-0.20019999999999999</v>
      </c>
      <c r="L6612">
        <v>4.5</v>
      </c>
      <c r="M6612">
        <v>151</v>
      </c>
      <c r="O6612" t="s">
        <v>25</v>
      </c>
      <c r="P6612" t="s">
        <v>6469</v>
      </c>
      <c r="Q6612" t="s">
        <v>6470</v>
      </c>
    </row>
    <row r="6613" spans="1:17" ht="15.5" x14ac:dyDescent="0.35">
      <c r="A6613" s="3" t="str">
        <f>HYPERLINK("https://edmondsonsupply.com/collections/electricians-tools/products/klein-tools-sk234-screwdriver-set-slotted-screw-holding-3-piece", "https://edmondsonsupply.com/collections/electricians-tools/products/klein-tools-sk234-screwdriver-set-slotted-screw-holding-3-piece")</f>
        <v>https://edmondsonsupply.com/collections/electricians-tools/products/klein-tools-sk234-screwdriver-set-slotted-screw-holding-3-piece</v>
      </c>
      <c r="B6613" s="3" t="str">
        <f>HYPERLINK("https://edmondsonsupply.com/products/klein-tools-sk234-screwdriver-set-slotted-screw-holding-3-piece", "https://edmondsonsupply.com/products/klein-tools-sk234-screwdriver-set-slotted-screw-holding-3-piece")</f>
        <v>https://edmondsonsupply.com/products/klein-tools-sk234-screwdriver-set-slotted-screw-holding-3-piece</v>
      </c>
      <c r="C6613" t="s">
        <v>5276</v>
      </c>
      <c r="D6613" t="s">
        <v>3865</v>
      </c>
      <c r="E6613" s="3" t="str">
        <f>HYPERLINK("https://www.amazon.com/Klein-Tools-85153K-Screw-Holding-Screwdriver/dp/B0CFRP1K3L/ref=sr_1_2?keywords=Klein+Tools+SK234+Screwdriver+Set%2C+Slotted+Screw+Holding%2C+3-Piece&amp;qid=1695173862&amp;sr=8-2", "https://www.amazon.com/Klein-Tools-85153K-Screw-Holding-Screwdriver/dp/B0CFRP1K3L/ref=sr_1_2?keywords=Klein+Tools+SK234+Screwdriver+Set%2C+Slotted+Screw+Holding%2C+3-Piece&amp;qid=1695173862&amp;sr=8-2")</f>
        <v>https://www.amazon.com/Klein-Tools-85153K-Screw-Holding-Screwdriver/dp/B0CFRP1K3L/ref=sr_1_2?keywords=Klein+Tools+SK234+Screwdriver+Set%2C+Slotted+Screw+Holding%2C+3-Piece&amp;qid=1695173862&amp;sr=8-2</v>
      </c>
      <c r="F6613" t="s">
        <v>3866</v>
      </c>
      <c r="G6613" t="e">
        <f ca="1">_xludf.IMAGE("https://edmondsonsupply.com/cdn/shop/products/sk234.jpg?v=1587144984")</f>
        <v>#NAME?</v>
      </c>
      <c r="H6613" t="e">
        <f ca="1">_xludf.IMAGE("https://m.media-amazon.com/images/I/41KoRmOkBpL._AC_UL320_.jpg")</f>
        <v>#NAME?</v>
      </c>
      <c r="I6613" t="s">
        <v>824</v>
      </c>
      <c r="J6613">
        <v>23.97</v>
      </c>
      <c r="K6613" s="4">
        <v>-0.20019999999999999</v>
      </c>
      <c r="L6613">
        <v>5</v>
      </c>
      <c r="M6613">
        <v>1</v>
      </c>
      <c r="O6613" t="s">
        <v>171</v>
      </c>
      <c r="P6613" t="s">
        <v>5277</v>
      </c>
      <c r="Q6613" t="s">
        <v>5278</v>
      </c>
    </row>
    <row r="6614" spans="1:17" ht="15.5" x14ac:dyDescent="0.35">
      <c r="A6614" s="3" t="str">
        <f>HYPERLINK("https://edmondsonsupply.com/collections/electricians-tools/products/klein-tools-1010-long-nose-multi-purpose-tool", "https://edmondsonsupply.com/collections/electricians-tools/products/klein-tools-1010-long-nose-multi-purpose-tool")</f>
        <v>https://edmondsonsupply.com/collections/electricians-tools/products/klein-tools-1010-long-nose-multi-purpose-tool</v>
      </c>
      <c r="B6614" s="3" t="str">
        <f>HYPERLINK("https://edmondsonsupply.com/products/klein-tools-1010-long-nose-multi-purpose-tool", "https://edmondsonsupply.com/products/klein-tools-1010-long-nose-multi-purpose-tool")</f>
        <v>https://edmondsonsupply.com/products/klein-tools-1010-long-nose-multi-purpose-tool</v>
      </c>
      <c r="C6614" t="s">
        <v>5322</v>
      </c>
      <c r="D6614" t="s">
        <v>5512</v>
      </c>
      <c r="E6614" s="3" t="str">
        <f>HYPERLINK("https://www.amazon.com/Crimping-Stripping-Klein-Tools-1009/dp/B079T9Q9X8/ref=sr_1_2?keywords=Klein+Tools+1010+Long+Nose+Multi+Tool+Wire+Stripper%2C+Wire+Cutters%2C+Crimping+Tool&amp;qid=1695173933&amp;sr=8-2", "https://www.amazon.com/Crimping-Stripping-Klein-Tools-1009/dp/B079T9Q9X8/ref=sr_1_2?keywords=Klein+Tools+1010+Long+Nose+Multi+Tool+Wire+Stripper%2C+Wire+Cutters%2C+Crimping+Tool&amp;qid=1695173933&amp;sr=8-2")</f>
        <v>https://www.amazon.com/Crimping-Stripping-Klein-Tools-1009/dp/B079T9Q9X8/ref=sr_1_2?keywords=Klein+Tools+1010+Long+Nose+Multi+Tool+Wire+Stripper%2C+Wire+Cutters%2C+Crimping+Tool&amp;qid=1695173933&amp;sr=8-2</v>
      </c>
      <c r="F6614" t="s">
        <v>5513</v>
      </c>
      <c r="G6614" t="e">
        <f ca="1">_xludf.IMAGE("https://edmondsonsupply.com/cdn/shop/products/1010.jpg?v=1587145604")</f>
        <v>#NAME?</v>
      </c>
      <c r="H6614" t="e">
        <f ca="1">_xludf.IMAGE("https://m.media-amazon.com/images/I/51ktpyk63OL._AC_UL320_.jpg")</f>
        <v>#NAME?</v>
      </c>
      <c r="I6614" t="s">
        <v>859</v>
      </c>
      <c r="J6614">
        <v>19.97</v>
      </c>
      <c r="K6614" s="4">
        <v>-0.20019999999999999</v>
      </c>
      <c r="L6614">
        <v>4.7</v>
      </c>
      <c r="M6614">
        <v>627</v>
      </c>
      <c r="O6614" t="s">
        <v>25</v>
      </c>
      <c r="P6614" t="s">
        <v>5325</v>
      </c>
      <c r="Q6614" t="s">
        <v>5326</v>
      </c>
    </row>
    <row r="6615" spans="1:17" ht="15.5" x14ac:dyDescent="0.35">
      <c r="A6615" s="3" t="str">
        <f>HYPERLINK("https://edmondsonsupply.com/collections/electricians-tools/products/klein-tools-31907-replacement-pilot-bit-1-4-x-3-1-2-inch", "https://edmondsonsupply.com/collections/electricians-tools/products/klein-tools-31907-replacement-pilot-bit-1-4-x-3-1-2-inch")</f>
        <v>https://edmondsonsupply.com/collections/electricians-tools/products/klein-tools-31907-replacement-pilot-bit-1-4-x-3-1-2-inch</v>
      </c>
      <c r="B6615" s="3" t="str">
        <f>HYPERLINK("https://edmondsonsupply.com/products/klein-tools-31907-replacement-pilot-bit-1-4-x-3-1-2-inch", "https://edmondsonsupply.com/products/klein-tools-31907-replacement-pilot-bit-1-4-x-3-1-2-inch")</f>
        <v>https://edmondsonsupply.com/products/klein-tools-31907-replacement-pilot-bit-1-4-x-3-1-2-inch</v>
      </c>
      <c r="C6615" t="s">
        <v>8759</v>
      </c>
      <c r="D6615" t="s">
        <v>8759</v>
      </c>
      <c r="E6615" s="3" t="str">
        <f>HYPERLINK("https://www.amazon.com/Replacement-2-Inch-Klein-Tools-31907/dp/B019874KR4/ref=sr_1_1?keywords=Klein+Tools+31907+Replacement+Pilot+Bit%2C+1%2F4+x+3-1%2F2-Inch&amp;qid=1695174255&amp;sr=8-1", "https://www.amazon.com/Replacement-2-Inch-Klein-Tools-31907/dp/B019874KR4/ref=sr_1_1?keywords=Klein+Tools+31907+Replacement+Pilot+Bit%2C+1%2F4+x+3-1%2F2-Inch&amp;qid=1695174255&amp;sr=8-1")</f>
        <v>https://www.amazon.com/Replacement-2-Inch-Klein-Tools-31907/dp/B019874KR4/ref=sr_1_1?keywords=Klein+Tools+31907+Replacement+Pilot+Bit%2C+1%2F4+x+3-1%2F2-Inch&amp;qid=1695174255&amp;sr=8-1</v>
      </c>
      <c r="F6615" t="s">
        <v>8760</v>
      </c>
      <c r="G6615" t="e">
        <f ca="1">_xludf.IMAGE("https://edmondsonsupply.com/cdn/shop/products/31907.jpg?v=1633031111")</f>
        <v>#NAME?</v>
      </c>
      <c r="H6615" t="e">
        <f ca="1">_xludf.IMAGE("https://m.media-amazon.com/images/I/412mZa2387L._AC_UL320_.jpg")</f>
        <v>#NAME?</v>
      </c>
      <c r="I6615" t="s">
        <v>2388</v>
      </c>
      <c r="J6615">
        <v>3.99</v>
      </c>
      <c r="K6615" s="4">
        <v>-0.20039999999999999</v>
      </c>
      <c r="L6615">
        <v>4.5</v>
      </c>
      <c r="M6615">
        <v>102</v>
      </c>
      <c r="O6615" t="s">
        <v>25</v>
      </c>
      <c r="P6615" t="s">
        <v>8761</v>
      </c>
      <c r="Q6615" t="s">
        <v>8762</v>
      </c>
    </row>
    <row r="6616" spans="1:17" ht="15.5" x14ac:dyDescent="0.35">
      <c r="A6616"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616" s="3" t="str">
        <f>HYPERLINK("https://edmondsonsupply.com/products/klein-tools-d2000-28glw-diagonal-cutting-pliers-hi-viz-8-inch", "https://edmondsonsupply.com/products/klein-tools-d2000-28glw-diagonal-cutting-pliers-hi-viz-8-inch")</f>
        <v>https://edmondsonsupply.com/products/klein-tools-d2000-28glw-diagonal-cutting-pliers-hi-viz-8-inch</v>
      </c>
      <c r="C6616" t="s">
        <v>4233</v>
      </c>
      <c r="D6616" t="s">
        <v>5457</v>
      </c>
      <c r="E6616" s="3" t="str">
        <f>HYPERLINK("https://www.amazon.com/Diagonal-Ironworker-Klein-Tools-D248-9ST/dp/B0009ZAT1G/ref=sr_1_8?keywords=Klein+Tools+D200028GLW+Diagonal+Cutting+Pliers%2C+High-Visibility%2C+8-Inch&amp;qid=1695173928&amp;sr=8-8", "https://www.amazon.com/Diagonal-Ironworker-Klein-Tools-D248-9ST/dp/B0009ZAT1G/ref=sr_1_8?keywords=Klein+Tools+D200028GLW+Diagonal+Cutting+Pliers%2C+High-Visibility%2C+8-Inch&amp;qid=1695173928&amp;sr=8-8")</f>
        <v>https://www.amazon.com/Diagonal-Ironworker-Klein-Tools-D248-9ST/dp/B0009ZAT1G/ref=sr_1_8?keywords=Klein+Tools+D200028GLW+Diagonal+Cutting+Pliers%2C+High-Visibility%2C+8-Inch&amp;qid=1695173928&amp;sr=8-8</v>
      </c>
      <c r="F6616" t="s">
        <v>5458</v>
      </c>
      <c r="G6616" t="e">
        <f ca="1">_xludf.IMAGE("https://edmondsonsupply.com/cdn/shop/products/d200028glw.jpg?v=1633030701")</f>
        <v>#NAME?</v>
      </c>
      <c r="H6616" t="e">
        <f ca="1">_xludf.IMAGE("https://m.media-amazon.com/images/I/41QcUzpmIlL._AC_UL320_.jpg")</f>
        <v>#NAME?</v>
      </c>
      <c r="I6616" t="s">
        <v>67</v>
      </c>
      <c r="J6616">
        <v>29.97</v>
      </c>
      <c r="K6616" s="4">
        <v>-0.2006</v>
      </c>
      <c r="L6616">
        <v>4.8</v>
      </c>
      <c r="M6616">
        <v>5530</v>
      </c>
      <c r="O6616" t="s">
        <v>25</v>
      </c>
      <c r="P6616" t="s">
        <v>4236</v>
      </c>
      <c r="Q6616" t="s">
        <v>4237</v>
      </c>
    </row>
    <row r="6617" spans="1:17" ht="15.5" x14ac:dyDescent="0.35">
      <c r="A6617"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6617" s="3" t="str">
        <f>HYPERLINK("https://edmondsonsupply.com/products/klein-tools-12098-eins-combination-pliers-insulated", "https://edmondsonsupply.com/products/klein-tools-12098-eins-combination-pliers-insulated")</f>
        <v>https://edmondsonsupply.com/products/klein-tools-12098-eins-combination-pliers-insulated</v>
      </c>
      <c r="C6617" t="s">
        <v>8623</v>
      </c>
      <c r="D6617" t="s">
        <v>8763</v>
      </c>
      <c r="E6617" s="3" t="str">
        <f>HYPERLINK("https://www.amazon.com/Klein-Tools-200048EINS-Diagonal-Cutting/dp/B00JGG5Q26/ref=sr_1_8?keywords=Klein+Tools+12098-EINS+Combination+Pliers%2C+Insulated&amp;qid=1695174273&amp;sr=8-8", "https://www.amazon.com/Klein-Tools-200048EINS-Diagonal-Cutting/dp/B00JGG5Q26/ref=sr_1_8?keywords=Klein+Tools+12098-EINS+Combination+Pliers%2C+Insulated&amp;qid=1695174273&amp;sr=8-8")</f>
        <v>https://www.amazon.com/Klein-Tools-200048EINS-Diagonal-Cutting/dp/B00JGG5Q26/ref=sr_1_8?keywords=Klein+Tools+12098-EINS+Combination+Pliers%2C+Insulated&amp;qid=1695174273&amp;sr=8-8</v>
      </c>
      <c r="F6617" t="s">
        <v>8764</v>
      </c>
      <c r="G6617" t="e">
        <f ca="1">_xludf.IMAGE("https://edmondsonsupply.com/cdn/shop/products/12098eins.jpg?v=1633031039")</f>
        <v>#NAME?</v>
      </c>
      <c r="H6617" t="e">
        <f ca="1">_xludf.IMAGE("https://m.media-amazon.com/images/I/61xRtnUJzIL._AC_UL320_.jpg")</f>
        <v>#NAME?</v>
      </c>
      <c r="I6617" t="s">
        <v>320</v>
      </c>
      <c r="J6617">
        <v>59.9</v>
      </c>
      <c r="K6617" s="4">
        <v>-0.20119999999999999</v>
      </c>
      <c r="L6617">
        <v>4.8</v>
      </c>
      <c r="M6617">
        <v>111</v>
      </c>
      <c r="O6617" t="s">
        <v>25</v>
      </c>
      <c r="P6617" t="s">
        <v>8624</v>
      </c>
      <c r="Q6617" t="s">
        <v>8625</v>
      </c>
    </row>
    <row r="6618" spans="1:17" ht="15.5" x14ac:dyDescent="0.35">
      <c r="A6618" s="3" t="str">
        <f>HYPERLINK("https://edmondsonsupply.com/collections/electricians-tools/products/klein-tools-602-6-5-16-inch-keystone-tip-screwdriver-cushion-grip-6-inch", "https://edmondsonsupply.com/collections/electricians-tools/products/klein-tools-602-6-5-16-inch-keystone-tip-screwdriver-cushion-grip-6-inch")</f>
        <v>https://edmondsonsupply.com/collections/electricians-tools/products/klein-tools-602-6-5-16-inch-keystone-tip-screwdriver-cushion-grip-6-inch</v>
      </c>
      <c r="B6618" s="3" t="str">
        <f>HYPERLINK("https://edmondsonsupply.com/products/klein-tools-602-6-5-16-inch-keystone-tip-screwdriver-cushion-grip-6-inch", "https://edmondsonsupply.com/products/klein-tools-602-6-5-16-inch-keystone-tip-screwdriver-cushion-grip-6-inch")</f>
        <v>https://edmondsonsupply.com/products/klein-tools-602-6-5-16-inch-keystone-tip-screwdriver-cushion-grip-6-inch</v>
      </c>
      <c r="C6618" t="s">
        <v>6957</v>
      </c>
      <c r="D6618" t="s">
        <v>8765</v>
      </c>
      <c r="E6618" s="3" t="str">
        <f>HYPERLINK("https://www.amazon.com/Screwdriver-Comfordome-Klein-Tools-BD156/dp/B000G1QOMQ/ref=sr_1_10?keywords=Klein+Tools+602-6+5%2F16-Inch+Keystone+Tip+Screwdriver%2C+Cushion+Grip%2C+6-Inch&amp;qid=1695174298&amp;sr=8-10", "https://www.amazon.com/Screwdriver-Comfordome-Klein-Tools-BD156/dp/B000G1QOMQ/ref=sr_1_10?keywords=Klein+Tools+602-6+5%2F16-Inch+Keystone+Tip+Screwdriver%2C+Cushion+Grip%2C+6-Inch&amp;qid=1695174298&amp;sr=8-10")</f>
        <v>https://www.amazon.com/Screwdriver-Comfordome-Klein-Tools-BD156/dp/B000G1QOMQ/ref=sr_1_10?keywords=Klein+Tools+602-6+5%2F16-Inch+Keystone+Tip+Screwdriver%2C+Cushion+Grip%2C+6-Inch&amp;qid=1695174298&amp;sr=8-10</v>
      </c>
      <c r="F6618" t="s">
        <v>8766</v>
      </c>
      <c r="G6618" t="e">
        <f ca="1">_xludf.IMAGE("https://edmondsonsupply.com/cdn/shop/products/602-6_162e3283-acea-47de-aecf-2a25f009fdcb.jpg?v=1633030880")</f>
        <v>#NAME?</v>
      </c>
      <c r="H6618" t="e">
        <f ca="1">_xludf.IMAGE("https://m.media-amazon.com/images/I/31Jat2OaC-L._AC_UL320_.jpg")</f>
        <v>#NAME?</v>
      </c>
      <c r="I6618" t="s">
        <v>2337</v>
      </c>
      <c r="J6618">
        <v>9.57</v>
      </c>
      <c r="K6618" s="4">
        <v>-0.20180000000000001</v>
      </c>
      <c r="L6618">
        <v>4.8</v>
      </c>
      <c r="M6618">
        <v>22</v>
      </c>
      <c r="O6618" t="s">
        <v>25</v>
      </c>
      <c r="P6618" t="s">
        <v>1212</v>
      </c>
      <c r="Q6618" t="s">
        <v>6958</v>
      </c>
    </row>
    <row r="6619" spans="1:17" ht="15.5" x14ac:dyDescent="0.35">
      <c r="A6619"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6619"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6619" t="s">
        <v>6932</v>
      </c>
      <c r="D6619" t="s">
        <v>8767</v>
      </c>
      <c r="E6619" s="3" t="str">
        <f>HYPERLINK("https://www.amazon.com/Diablo-Freud-DOU125JBW-Universal-Oscillating/dp/B089KV62LL/ref=sr_1_1?keywords=Diablo+Tools+DOU250JBW+2-1%2F2+in.+Universal+Fit+Bi-Metal+Oscillating+Blade+for+Clean+Wood&amp;qid=1695174020&amp;sr=8-1", "https://www.amazon.com/Diablo-Freud-DOU125JBW-Universal-Oscillating/dp/B089KV62LL/ref=sr_1_1?keywords=Diablo+Tools+DOU250JBW+2-1%2F2+in.+Universal+Fit+Bi-Metal+Oscillating+Blade+for+Clean+Wood&amp;qid=1695174020&amp;sr=8-1")</f>
        <v>https://www.amazon.com/Diablo-Freud-DOU125JBW-Universal-Oscillating/dp/B089KV62LL/ref=sr_1_1?keywords=Diablo+Tools+DOU250JBW+2-1%2F2+in.+Universal+Fit+Bi-Metal+Oscillating+Blade+for+Clean+Wood&amp;qid=1695174020&amp;sr=8-1</v>
      </c>
      <c r="F6619" t="s">
        <v>8768</v>
      </c>
      <c r="G6619" t="e">
        <f ca="1">_xludf.IMAGE("https://edmondsonsupply.com/cdn/shop/files/pycnap4eb1urn2hxvudq.webp?v=1685718789")</f>
        <v>#NAME?</v>
      </c>
      <c r="H6619" t="e">
        <f ca="1">_xludf.IMAGE("https://m.media-amazon.com/images/I/61wFHtmEH5L._AC_UL320_.jpg")</f>
        <v>#NAME?</v>
      </c>
      <c r="I6619" t="s">
        <v>6935</v>
      </c>
      <c r="J6619">
        <v>12.49</v>
      </c>
      <c r="K6619" s="4">
        <v>-0.2019</v>
      </c>
      <c r="L6619">
        <v>4.8</v>
      </c>
      <c r="M6619">
        <v>12</v>
      </c>
      <c r="O6619" t="s">
        <v>25</v>
      </c>
      <c r="P6619" t="s">
        <v>6936</v>
      </c>
      <c r="Q6619" t="s">
        <v>6937</v>
      </c>
    </row>
    <row r="6620" spans="1:17" ht="15.5" x14ac:dyDescent="0.35">
      <c r="A6620" s="3" t="str">
        <f>HYPERLINK("https://edmondsonsupply.com/collections/electricians-tools/products/klein-tools-85153k-slotted-screw-holding-driver-kit-3-16-inch-and-1-4-inch", "https://edmondsonsupply.com/collections/electricians-tools/products/klein-tools-85153k-slotted-screw-holding-driver-kit-3-16-inch-and-1-4-inch")</f>
        <v>https://edmondsonsupply.com/collections/electricians-tools/products/klein-tools-85153k-slotted-screw-holding-driver-kit-3-16-inch-and-1-4-inch</v>
      </c>
      <c r="B6620"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6620" t="s">
        <v>3864</v>
      </c>
      <c r="D6620" t="s">
        <v>5279</v>
      </c>
      <c r="E6620" s="3" t="str">
        <f>HYPERLINK("https://www.amazon.com/Screw-Holding-Screwdriver-Klein-Tools-K48/dp/B00093GCWI/ref=sr_1_6?keywords=Klein+Tools+85153K+Slotted+Screw+Holding+Driver+Kit%2C+3%2F16-Inch+and+1%2F4-Inch&amp;qid=1695173961&amp;sr=8-6", "https://www.amazon.com/Screw-Holding-Screwdriver-Klein-Tools-K48/dp/B00093GCWI/ref=sr_1_6?keywords=Klein+Tools+85153K+Slotted+Screw+Holding+Driver+Kit%2C+3%2F16-Inch+and+1%2F4-Inch&amp;qid=1695173961&amp;sr=8-6")</f>
        <v>https://www.amazon.com/Screw-Holding-Screwdriver-Klein-Tools-K48/dp/B00093GCWI/ref=sr_1_6?keywords=Klein+Tools+85153K+Slotted+Screw+Holding+Driver+Kit%2C+3%2F16-Inch+and+1%2F4-Inch&amp;qid=1695173961&amp;sr=8-6</v>
      </c>
      <c r="F6620" t="s">
        <v>5280</v>
      </c>
      <c r="G6620" t="e">
        <f ca="1">_xludf.IMAGE("https://edmondsonsupply.com/cdn/shop/files/85153k.jpg?v=1693933663")</f>
        <v>#NAME?</v>
      </c>
      <c r="H6620" t="e">
        <f ca="1">_xludf.IMAGE("https://m.media-amazon.com/images/I/61A3V+ZpcRL._AC_UL320_.jpg")</f>
        <v>#NAME?</v>
      </c>
      <c r="I6620" t="s">
        <v>3867</v>
      </c>
      <c r="J6620">
        <v>15.94</v>
      </c>
      <c r="K6620" s="4">
        <v>-0.20219999999999999</v>
      </c>
      <c r="L6620">
        <v>4.7</v>
      </c>
      <c r="M6620">
        <v>69</v>
      </c>
      <c r="O6620" t="s">
        <v>25</v>
      </c>
      <c r="P6620" t="s">
        <v>3068</v>
      </c>
      <c r="Q6620" t="s">
        <v>3868</v>
      </c>
    </row>
    <row r="6621" spans="1:17" ht="15.5" x14ac:dyDescent="0.35">
      <c r="A6621" s="3" t="str">
        <f>HYPERLINK("https://edmondsonsupply.com/collections/electricians-tools/products/diablo-tools-dos5s-5-pc-starlock-general-purpose-oscillating-blade-set", "https://edmondsonsupply.com/collections/electricians-tools/products/diablo-tools-dos5s-5-pc-starlock-general-purpose-oscillating-blade-set")</f>
        <v>https://edmondsonsupply.com/collections/electricians-tools/products/diablo-tools-dos5s-5-pc-starlock-general-purpose-oscillating-blade-set</v>
      </c>
      <c r="B6621" s="3" t="str">
        <f>HYPERLINK("https://edmondsonsupply.com/products/diablo-tools-dos5s-5-pc-starlock-general-purpose-oscillating-blade-set", "https://edmondsonsupply.com/products/diablo-tools-dos5s-5-pc-starlock-general-purpose-oscillating-blade-set")</f>
        <v>https://edmondsonsupply.com/products/diablo-tools-dos5s-5-pc-starlock-general-purpose-oscillating-blade-set</v>
      </c>
      <c r="C6621" t="s">
        <v>8769</v>
      </c>
      <c r="D6621" t="s">
        <v>8682</v>
      </c>
      <c r="E6621" s="3" t="str">
        <f>HYPERLINK("https://www.amazon.com/Diablo-Universal-General-Purpose-Oscillating/dp/B089LGBDQZ/ref=sr_1_4?keywords=Diablo+Tools+DOS5S+5+pc+Starlock+General+Purpose+Oscillating+Blade+Set&amp;qid=1695174253&amp;sr=8-4", "https://www.amazon.com/Diablo-Universal-General-Purpose-Oscillating/dp/B089LGBDQZ/ref=sr_1_4?keywords=Diablo+Tools+DOS5S+5+pc+Starlock+General+Purpose+Oscillating+Blade+Set&amp;qid=1695174253&amp;sr=8-4")</f>
        <v>https://www.amazon.com/Diablo-Universal-General-Purpose-Oscillating/dp/B089LGBDQZ/ref=sr_1_4?keywords=Diablo+Tools+DOS5S+5+pc+Starlock+General+Purpose+Oscillating+Blade+Set&amp;qid=1695174253&amp;sr=8-4</v>
      </c>
      <c r="F6621" t="s">
        <v>8683</v>
      </c>
      <c r="G6621" t="e">
        <f ca="1">_xludf.IMAGE("https://edmondsonsupply.com/cdn/shop/products/DOS5S_Main-Image.png?v=1633031110")</f>
        <v>#NAME?</v>
      </c>
      <c r="H6621" t="e">
        <f ca="1">_xludf.IMAGE("https://m.media-amazon.com/images/I/71lYBgp1z8L._AC_UL320_.jpg")</f>
        <v>#NAME?</v>
      </c>
      <c r="I6621" t="s">
        <v>380</v>
      </c>
      <c r="J6621">
        <v>39.85</v>
      </c>
      <c r="K6621" s="4">
        <v>-0.20250000000000001</v>
      </c>
      <c r="L6621">
        <v>4.7</v>
      </c>
      <c r="M6621">
        <v>538</v>
      </c>
      <c r="O6621" t="s">
        <v>25</v>
      </c>
      <c r="P6621" t="s">
        <v>8770</v>
      </c>
      <c r="Q6621" t="s">
        <v>8771</v>
      </c>
    </row>
    <row r="6622" spans="1:17" ht="15.5" x14ac:dyDescent="0.35">
      <c r="A6622" s="3" t="str">
        <f>HYPERLINK("https://edmondsonsupply.com/collections/electricians-tools/products/fluke-tl223-suregrip%E2%84%A2-electrical-test-lead-set", "https://edmondsonsupply.com/collections/electricians-tools/products/fluke-tl223-suregrip%E2%84%A2-electrical-test-lead-set")</f>
        <v>https://edmondsonsupply.com/collections/electricians-tools/products/fluke-tl223-suregrip%E2%84%A2-electrical-test-lead-set</v>
      </c>
      <c r="B6622" s="3" t="str">
        <f>HYPERLINK("https://edmondsonsupply.com/products/fluke-tl223-suregrip%e2%84%a2-electrical-test-lead-set", "https://edmondsonsupply.com/products/fluke-tl223-suregrip%e2%84%a2-electrical-test-lead-set")</f>
        <v>https://edmondsonsupply.com/products/fluke-tl223-suregrip%e2%84%a2-electrical-test-lead-set</v>
      </c>
      <c r="C6622" t="s">
        <v>8514</v>
      </c>
      <c r="D6622" t="s">
        <v>8772</v>
      </c>
      <c r="E6622" s="3" t="str">
        <f>HYPERLINK("https://www.amazon.com/Fluke-TL223-1-SureGrip-Electrical-Insulated/dp/B007VC2WXS/ref=sr_1_2?keywords=Fluke+TL223+SureGrip%E2%84%A2+Electrical+Test+Lead+Set&amp;qid=1695174242&amp;sr=8-2", "https://www.amazon.com/Fluke-TL223-1-SureGrip-Electrical-Insulated/dp/B007VC2WXS/ref=sr_1_2?keywords=Fluke+TL223+SureGrip%E2%84%A2+Electrical+Test+Lead+Set&amp;qid=1695174242&amp;sr=8-2")</f>
        <v>https://www.amazon.com/Fluke-TL223-1-SureGrip-Electrical-Insulated/dp/B007VC2WXS/ref=sr_1_2?keywords=Fluke+TL223+SureGrip%E2%84%A2+Electrical+Test+Lead+Set&amp;qid=1695174242&amp;sr=8-2</v>
      </c>
      <c r="F6622" t="s">
        <v>8773</v>
      </c>
      <c r="G6622" t="e">
        <f ca="1">_xludf.IMAGE("https://edmondsonsupply.com/cdn/shop/products/223.png?v=1633540843")</f>
        <v>#NAME?</v>
      </c>
      <c r="H6622" t="e">
        <f ca="1">_xludf.IMAGE("https://m.media-amazon.com/images/I/41QgRZcgJ+L._AC_UY218_.jpg")</f>
        <v>#NAME?</v>
      </c>
      <c r="I6622" t="s">
        <v>8517</v>
      </c>
      <c r="J6622">
        <v>82.71</v>
      </c>
      <c r="K6622" s="4">
        <v>-0.2031</v>
      </c>
      <c r="L6622">
        <v>4.7</v>
      </c>
      <c r="M6622">
        <v>223</v>
      </c>
      <c r="O6622" t="s">
        <v>25</v>
      </c>
      <c r="P6622" t="s">
        <v>138</v>
      </c>
      <c r="Q6622" t="s">
        <v>8518</v>
      </c>
    </row>
    <row r="6623" spans="1:17" ht="15.5" x14ac:dyDescent="0.35">
      <c r="A6623" s="3" t="str">
        <f>HYPERLINK("https://edmondsonsupply.com/collections/electricians-tools/products/fluke-376", "https://edmondsonsupply.com/collections/electricians-tools/products/fluke-376")</f>
        <v>https://edmondsonsupply.com/collections/electricians-tools/products/fluke-376</v>
      </c>
      <c r="B6623" s="3" t="str">
        <f>HYPERLINK("https://edmondsonsupply.com/products/fluke-376", "https://edmondsonsupply.com/products/fluke-376")</f>
        <v>https://edmondsonsupply.com/products/fluke-376</v>
      </c>
      <c r="C6623" t="s">
        <v>3766</v>
      </c>
      <c r="D6623" t="s">
        <v>5281</v>
      </c>
      <c r="E6623" s="3" t="str">
        <f>HYPERLINK("https://www.amazon.com/Fluke-1000A-Wireless-Clamp-Iflex/dp/B017OVC2QM/ref=sr_1_2?keywords=Fluke+376+FC+Wireless+True-RMS+AC%2FDC+Clamp+Meter+with+iFlex&amp;qid=1695173895&amp;sr=8-2", "https://www.amazon.com/Fluke-1000A-Wireless-Clamp-Iflex/dp/B017OVC2QM/ref=sr_1_2?keywords=Fluke+376+FC+Wireless+True-RMS+AC%2FDC+Clamp+Meter+with+iFlex&amp;qid=1695173895&amp;sr=8-2")</f>
        <v>https://www.amazon.com/Fluke-1000A-Wireless-Clamp-Iflex/dp/B017OVC2QM/ref=sr_1_2?keywords=Fluke+376+FC+Wireless+True-RMS+AC%2FDC+Clamp+Meter+with+iFlex&amp;qid=1695173895&amp;sr=8-2</v>
      </c>
      <c r="F6623" t="s">
        <v>5282</v>
      </c>
      <c r="G6623" t="e">
        <f ca="1">_xludf.IMAGE("https://edmondsonsupply.com/cdn/shop/products/f-376fc-16a-1500x1000.jpg?v=1633030274")</f>
        <v>#NAME?</v>
      </c>
      <c r="H6623" t="e">
        <f ca="1">_xludf.IMAGE("https://m.media-amazon.com/images/I/6115AX2aVFL._AC_UY218_.jpg")</f>
        <v>#NAME?</v>
      </c>
      <c r="I6623" t="s">
        <v>3769</v>
      </c>
      <c r="J6623">
        <v>424.99</v>
      </c>
      <c r="K6623" s="4">
        <v>-0.20369999999999999</v>
      </c>
      <c r="L6623">
        <v>4.7</v>
      </c>
      <c r="M6623">
        <v>710</v>
      </c>
      <c r="O6623" t="s">
        <v>25</v>
      </c>
      <c r="P6623" t="s">
        <v>3770</v>
      </c>
      <c r="Q6623" t="s">
        <v>3771</v>
      </c>
    </row>
    <row r="6624" spans="1:17" ht="15.5" x14ac:dyDescent="0.35">
      <c r="A6624" s="3" t="str">
        <f>HYPERLINK("https://edmondsonsupply.com/collections/electricians-tools/products/klein-tools-ncvt1pkit-non-contact-voltage-and-gfci-receptacle-test-kit", "https://edmondsonsupply.com/collections/electricians-tools/products/klein-tools-ncvt1pkit-non-contact-voltage-and-gfci-receptacle-test-kit")</f>
        <v>https://edmondsonsupply.com/collections/electricians-tools/products/klein-tools-ncvt1pkit-non-contact-voltage-and-gfci-receptacle-test-kit</v>
      </c>
      <c r="B6624" s="3" t="str">
        <f>HYPERLINK("https://edmondsonsupply.com/products/klein-tools-ncvt1pkit-non-contact-voltage-and-gfci-receptacle-test-kit", "https://edmondsonsupply.com/products/klein-tools-ncvt1pkit-non-contact-voltage-and-gfci-receptacle-test-kit")</f>
        <v>https://edmondsonsupply.com/products/klein-tools-ncvt1pkit-non-contact-voltage-and-gfci-receptacle-test-kit</v>
      </c>
      <c r="C6624" t="s">
        <v>6231</v>
      </c>
      <c r="D6624" t="s">
        <v>5283</v>
      </c>
      <c r="E6624" s="3" t="str">
        <f>HYPERLINK("https://www.amazon.com/Klein-Tools-NCVT1XTKIT-Non-Contact-Detector/dp/B0BNLRMNF2/ref=sr_1_5?keywords=Klein+Tools+NCVT1PKIT+Non-Contact+Voltage+and+GFCI+Receptacle+Test+Kit&amp;qid=1695174067&amp;sr=8-5", "https://www.amazon.com/Klein-Tools-NCVT1XTKIT-Non-Contact-Detector/dp/B0BNLRMNF2/ref=sr_1_5?keywords=Klein+Tools+NCVT1PKIT+Non-Contact+Voltage+and+GFCI+Receptacle+Test+Kit&amp;qid=1695174067&amp;sr=8-5")</f>
        <v>https://www.amazon.com/Klein-Tools-NCVT1XTKIT-Non-Contact-Detector/dp/B0BNLRMNF2/ref=sr_1_5?keywords=Klein+Tools+NCVT1PKIT+Non-Contact+Voltage+and+GFCI+Receptacle+Test+Kit&amp;qid=1695174067&amp;sr=8-5</v>
      </c>
      <c r="F6624" t="s">
        <v>5284</v>
      </c>
      <c r="G6624" t="e">
        <f ca="1">_xludf.IMAGE("https://edmondsonsupply.com/cdn/shop/products/ncvt1pkit.jpg?v=1677682920")</f>
        <v>#NAME?</v>
      </c>
      <c r="H6624" t="e">
        <f ca="1">_xludf.IMAGE("https://m.media-amazon.com/images/I/51enmFcuhEL._AC_UL320_.jpg")</f>
        <v>#NAME?</v>
      </c>
      <c r="I6624" t="s">
        <v>859</v>
      </c>
      <c r="J6624">
        <v>19.88</v>
      </c>
      <c r="K6624" s="4">
        <v>-0.20380000000000001</v>
      </c>
      <c r="L6624">
        <v>4.7</v>
      </c>
      <c r="M6624">
        <v>4231</v>
      </c>
      <c r="O6624" t="s">
        <v>25</v>
      </c>
      <c r="P6624" t="s">
        <v>6234</v>
      </c>
      <c r="Q6624" t="s">
        <v>6235</v>
      </c>
    </row>
    <row r="6625" spans="1:17" ht="15.5" x14ac:dyDescent="0.35">
      <c r="A6625"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6625"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6625" t="s">
        <v>5906</v>
      </c>
      <c r="D6625" t="s">
        <v>5891</v>
      </c>
      <c r="E6625" s="3" t="str">
        <f>HYPERLINK("https://www.amazon.com/Diablo-DMAMXCC5020-SDS-Max-Carbide-Tipped/dp/B089M7TYBC/ref=sr_1_4?keywords=Diablo+Tools+DMAMXCC5050+4+in.+x+7+in.+SDS-Max+Carbide+Tipped+Core+Bit&amp;qid=1695174004&amp;sr=8-4", "https://www.amazon.com/Diablo-DMAMXCC5020-SDS-Max-Carbide-Tipped/dp/B089M7TYBC/ref=sr_1_4?keywords=Diablo+Tools+DMAMXCC5050+4+in.+x+7+in.+SDS-Max+Carbide+Tipped+Core+Bit&amp;qid=1695174004&amp;sr=8-4")</f>
        <v>https://www.amazon.com/Diablo-DMAMXCC5020-SDS-Max-Carbide-Tipped/dp/B089M7TYBC/ref=sr_1_4?keywords=Diablo+Tools+DMAMXCC5050+4+in.+x+7+in.+SDS-Max+Carbide+Tipped+Core+Bit&amp;qid=1695174004&amp;sr=8-4</v>
      </c>
      <c r="F6625" t="s">
        <v>5892</v>
      </c>
      <c r="G6625" t="e">
        <f ca="1">_xludf.IMAGE("https://edmondsonsupply.com/cdn/shop/files/yghx7uqdjxchri5fikny.webp?v=1686586834")</f>
        <v>#NAME?</v>
      </c>
      <c r="H6625" t="e">
        <f ca="1">_xludf.IMAGE("https://m.media-amazon.com/images/I/61fu3xDsk5L._AC_UL320_.jpg")</f>
        <v>#NAME?</v>
      </c>
      <c r="I6625" t="s">
        <v>5907</v>
      </c>
      <c r="J6625">
        <v>120.46</v>
      </c>
      <c r="K6625" s="4">
        <v>-0.2044</v>
      </c>
      <c r="L6625">
        <v>4.8</v>
      </c>
      <c r="M6625">
        <v>5</v>
      </c>
      <c r="O6625" t="s">
        <v>25</v>
      </c>
      <c r="P6625" t="s">
        <v>5908</v>
      </c>
      <c r="Q6625" t="s">
        <v>5909</v>
      </c>
    </row>
    <row r="6626" spans="1:17" ht="15.5" x14ac:dyDescent="0.35">
      <c r="A6626" s="3" t="str">
        <f>HYPERLINK("https://edmondsonsupply.com/collections/electricians-tools/products/klein-tools-ncvt1xtkit-non-contact-voltage-and-gfci-receptacle-premium-test-kit", "https://edmondsonsupply.com/collections/electricians-tools/products/klein-tools-ncvt1xtkit-non-contact-voltage-and-gfci-receptacle-premium-test-kit")</f>
        <v>https://edmondsonsupply.com/collections/electricians-tools/products/klein-tools-ncvt1xtkit-non-contact-voltage-and-gfci-receptacle-premium-test-kit</v>
      </c>
      <c r="B6626" s="3" t="str">
        <f>HYPERLINK("https://edmondsonsupply.com/products/klein-tools-ncvt1xtkit-non-contact-voltage-and-gfci-receptacle-premium-test-kit", "https://edmondsonsupply.com/products/klein-tools-ncvt1xtkit-non-contact-voltage-and-gfci-receptacle-premium-test-kit")</f>
        <v>https://edmondsonsupply.com/products/klein-tools-ncvt1xtkit-non-contact-voltage-and-gfci-receptacle-premium-test-kit</v>
      </c>
      <c r="C6626" t="s">
        <v>2155</v>
      </c>
      <c r="D6626" t="s">
        <v>5283</v>
      </c>
      <c r="E6626" s="3" t="str">
        <f>HYPERLINK("https://www.amazon.com/Klein-Tools-NCVT1XTKIT-Non-Contact-Detector/dp/B0BNLRMNF2/ref=sr_1_1?keywords=Klein+Tools+NCVT1XTKIT+Non-Contact+Voltage+and+GFCI+Receptacle+Premium+Test+Kit&amp;qid=1695173872&amp;sr=8-1", "https://www.amazon.com/Klein-Tools-NCVT1XTKIT-Non-Contact-Detector/dp/B0BNLRMNF2/ref=sr_1_1?keywords=Klein+Tools+NCVT1XTKIT+Non-Contact+Voltage+and+GFCI+Receptacle+Premium+Test+Kit&amp;qid=1695173872&amp;sr=8-1")</f>
        <v>https://www.amazon.com/Klein-Tools-NCVT1XTKIT-Non-Contact-Detector/dp/B0BNLRMNF2/ref=sr_1_1?keywords=Klein+Tools+NCVT1XTKIT+Non-Contact+Voltage+and+GFCI+Receptacle+Premium+Test+Kit&amp;qid=1695173872&amp;sr=8-1</v>
      </c>
      <c r="F6626" t="s">
        <v>5284</v>
      </c>
      <c r="G6626" t="e">
        <f ca="1">_xludf.IMAGE("https://edmondsonsupply.com/cdn/shop/products/ncvt1xtkit.jpg?v=1674497102")</f>
        <v>#NAME?</v>
      </c>
      <c r="H6626" t="e">
        <f ca="1">_xludf.IMAGE("https://m.media-amazon.com/images/I/51enmFcuhEL._AC_UL320_.jpg")</f>
        <v>#NAME?</v>
      </c>
      <c r="I6626" t="s">
        <v>471</v>
      </c>
      <c r="J6626">
        <v>19.88</v>
      </c>
      <c r="K6626" s="4">
        <v>-0.20449999999999999</v>
      </c>
      <c r="L6626">
        <v>4.7</v>
      </c>
      <c r="M6626">
        <v>4231</v>
      </c>
      <c r="O6626" t="s">
        <v>25</v>
      </c>
      <c r="P6626" t="s">
        <v>2158</v>
      </c>
      <c r="Q6626" t="s">
        <v>2159</v>
      </c>
    </row>
    <row r="6627" spans="1:17" ht="15.5" x14ac:dyDescent="0.35">
      <c r="A6627" s="3" t="str">
        <f>HYPERLINK("https://edmondsonsupply.com/collections/electricians-tools/products/wiha-tools-66992-22-piece-magicring-ball-end-hex-l-key-set-inch-metric", "https://edmondsonsupply.com/collections/electricians-tools/products/wiha-tools-66992-22-piece-magicring-ball-end-hex-l-key-set-inch-metric")</f>
        <v>https://edmondsonsupply.com/collections/electricians-tools/products/wiha-tools-66992-22-piece-magicring-ball-end-hex-l-key-set-inch-metric</v>
      </c>
      <c r="B6627"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6627" t="s">
        <v>4919</v>
      </c>
      <c r="D6627" t="s">
        <v>5287</v>
      </c>
      <c r="E6627" s="3" t="str">
        <f>HYPERLINK("https://www.amazon.com/66982-ErgoStar-L-Key-Metric-22-Piece/dp/B009461IMA/ref=sr_1_5?keywords=Wiha+Tools+66992+22+Piece+MagicRing+Ball+End+Hex+L-Key+Set+-+Inch+-+Metric&amp;qid=1695173977&amp;sr=8-5", "https://www.amazon.com/66982-ErgoStar-L-Key-Metric-22-Piece/dp/B009461IMA/ref=sr_1_5?keywords=Wiha+Tools+66992+22+Piece+MagicRing+Ball+End+Hex+L-Key+Set+-+Inch+-+Metric&amp;qid=1695173977&amp;sr=8-5")</f>
        <v>https://www.amazon.com/66982-ErgoStar-L-Key-Metric-22-Piece/dp/B009461IMA/ref=sr_1_5?keywords=Wiha+Tools+66992+22+Piece+MagicRing+Ball+End+Hex+L-Key+Set+-+Inch+-+Metric&amp;qid=1695173977&amp;sr=8-5</v>
      </c>
      <c r="F6627" t="s">
        <v>5288</v>
      </c>
      <c r="G6627" t="e">
        <f ca="1">_xludf.IMAGE("https://edmondsonsupply.com/cdn/shop/files/29417a271125353d697d01cfdfb24cc6e99901ce_1000x_6829985f-7f40-4410-b5be-ba7bc87b2a14.webp?v=1690840271")</f>
        <v>#NAME?</v>
      </c>
      <c r="H6627" t="e">
        <f ca="1">_xludf.IMAGE("https://m.media-amazon.com/images/I/71nWPeuV9HL._AC_UL320_.jpg")</f>
        <v>#NAME?</v>
      </c>
      <c r="I6627" t="s">
        <v>4922</v>
      </c>
      <c r="J6627">
        <v>66.739999999999995</v>
      </c>
      <c r="K6627" s="4">
        <v>-0.20730000000000001</v>
      </c>
      <c r="L6627">
        <v>4.8</v>
      </c>
      <c r="M6627">
        <v>945</v>
      </c>
      <c r="O6627" t="s">
        <v>25</v>
      </c>
      <c r="P6627" t="s">
        <v>4923</v>
      </c>
      <c r="Q6627" t="s">
        <v>4924</v>
      </c>
    </row>
    <row r="6628" spans="1:17" ht="15.5" x14ac:dyDescent="0.35">
      <c r="A6628"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6628" s="3" t="str">
        <f>HYPERLINK("https://edmondsonsupply.com/products/diablo-tools-d0704dh-7-1-4-in-x-4-tooth-fiber-cement", "https://edmondsonsupply.com/products/diablo-tools-d0704dh-7-1-4-in-x-4-tooth-fiber-cement")</f>
        <v>https://edmondsonsupply.com/products/diablo-tools-d0704dh-7-1-4-in-x-4-tooth-fiber-cement</v>
      </c>
      <c r="C6628" t="s">
        <v>6285</v>
      </c>
      <c r="D6628" t="s">
        <v>8774</v>
      </c>
      <c r="E6628" s="3" t="str">
        <f>HYPERLINK("https://www.amazon.com/D0704DH-Diablo-4-Inch-4-Tooth-Polycrystalline/dp/B00155SPKQ/ref=sr_1_1?keywords=Diablo+Tools+D0704DH+7-1%2F4+in.+x+4+Tooth+Fiber+Cement&amp;qid=1695174050&amp;sr=8-1", "https://www.amazon.com/D0704DH-Diablo-4-Inch-4-Tooth-Polycrystalline/dp/B00155SPKQ/ref=sr_1_1?keywords=Diablo+Tools+D0704DH+7-1%2F4+in.+x+4+Tooth+Fiber+Cement&amp;qid=1695174050&amp;sr=8-1")</f>
        <v>https://www.amazon.com/D0704DH-Diablo-4-Inch-4-Tooth-Polycrystalline/dp/B00155SPKQ/ref=sr_1_1?keywords=Diablo+Tools+D0704DH+7-1%2F4+in.+x+4+Tooth+Fiber+Cement&amp;qid=1695174050&amp;sr=8-1</v>
      </c>
      <c r="F6628" t="s">
        <v>8775</v>
      </c>
      <c r="G6628" t="e">
        <f ca="1">_xludf.IMAGE("https://edmondsonsupply.com/cdn/shop/products/baadnmj6vhmqufio7ofn.webp?v=1679325375")</f>
        <v>#NAME?</v>
      </c>
      <c r="H6628" t="e">
        <f ca="1">_xludf.IMAGE("https://m.media-amazon.com/images/I/61bZQ749tAL._AC_UL320_.jpg")</f>
        <v>#NAME?</v>
      </c>
      <c r="I6628" t="s">
        <v>4108</v>
      </c>
      <c r="J6628">
        <v>35.630000000000003</v>
      </c>
      <c r="K6628" s="4">
        <v>-0.2077</v>
      </c>
      <c r="L6628">
        <v>4.5999999999999996</v>
      </c>
      <c r="M6628">
        <v>1572</v>
      </c>
      <c r="O6628" t="s">
        <v>25</v>
      </c>
      <c r="P6628" t="s">
        <v>3833</v>
      </c>
      <c r="Q6628" t="s">
        <v>6288</v>
      </c>
    </row>
    <row r="6629" spans="1:17" ht="15.5" x14ac:dyDescent="0.35">
      <c r="A6629"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6629"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6629" t="s">
        <v>8776</v>
      </c>
      <c r="D6629" t="s">
        <v>7073</v>
      </c>
      <c r="E6629" s="3" t="str">
        <f>HYPERLINK("https://www.amazon.com/Diablo-Starlock-Bi-Metal-Oscillating-Nail-Embedded/dp/B089KX5FJS/ref=sr_1_1?keywords=Diablo+Tools+DOS125BW3+1-1%2F4+in.+Starlock+Bi-Metal+Oscillating+Blades+for+Nail-Embedded+Wood&amp;qid=1695174253&amp;sr=8-1", "https://www.amazon.com/Diablo-Starlock-Bi-Metal-Oscillating-Nail-Embedded/dp/B089KX5FJS/ref=sr_1_1?keywords=Diablo+Tools+DOS125BW3+1-1%2F4+in.+Starlock+Bi-Metal+Oscillating+Blades+for+Nail-Embedded+Wood&amp;qid=1695174253&amp;sr=8-1")</f>
        <v>https://www.amazon.com/Diablo-Starlock-Bi-Metal-Oscillating-Nail-Embedded/dp/B089KX5FJS/ref=sr_1_1?keywords=Diablo+Tools+DOS125BW3+1-1%2F4+in.+Starlock+Bi-Metal+Oscillating+Blades+for+Nail-Embedded+Wood&amp;qid=1695174253&amp;sr=8-1</v>
      </c>
      <c r="F6629" t="s">
        <v>7074</v>
      </c>
      <c r="G6629" t="e">
        <f ca="1">_xludf.IMAGE("https://edmondsonsupply.com/cdn/shop/products/DOS125BW3_Main-Image.png?v=1633031100")</f>
        <v>#NAME?</v>
      </c>
      <c r="H6629" t="e">
        <f ca="1">_xludf.IMAGE("https://m.media-amazon.com/images/I/717H6O1AhYL._AC_UL320_.jpg")</f>
        <v>#NAME?</v>
      </c>
      <c r="I6629" t="s">
        <v>340</v>
      </c>
      <c r="J6629">
        <v>27.69</v>
      </c>
      <c r="K6629" s="4">
        <v>-0.2082</v>
      </c>
      <c r="L6629">
        <v>4.7</v>
      </c>
      <c r="M6629">
        <v>65</v>
      </c>
      <c r="O6629" t="s">
        <v>25</v>
      </c>
      <c r="P6629" t="s">
        <v>8777</v>
      </c>
      <c r="Q6629" t="s">
        <v>8778</v>
      </c>
    </row>
    <row r="6630" spans="1:17" ht="15.5" x14ac:dyDescent="0.35">
      <c r="A6630" s="3" t="str">
        <f>HYPERLINK("https://edmondsonsupply.com/collections/electricians-tools/products/uei-dl589combo-600a-trms-clamp-meter-w-dc-amps-inrush-magnet-with-attpc4-pipe-clamps", "https://edmondsonsupply.com/collections/electricians-tools/products/uei-dl589combo-600a-trms-clamp-meter-w-dc-amps-inrush-magnet-with-attpc4-pipe-clamps")</f>
        <v>https://edmondsonsupply.com/collections/electricians-tools/products/uei-dl589combo-600a-trms-clamp-meter-w-dc-amps-inrush-magnet-with-attpc4-pipe-clamps</v>
      </c>
      <c r="B6630" s="3" t="str">
        <f>HYPERLINK("https://edmondsonsupply.com/products/uei-dl589combo-600a-trms-clamp-meter-w-dc-amps-inrush-magnet-with-attpc4-pipe-clamps", "https://edmondsonsupply.com/products/uei-dl589combo-600a-trms-clamp-meter-w-dc-amps-inrush-magnet-with-attpc4-pipe-clamps")</f>
        <v>https://edmondsonsupply.com/products/uei-dl589combo-600a-trms-clamp-meter-w-dc-amps-inrush-magnet-with-attpc4-pipe-clamps</v>
      </c>
      <c r="C6630" t="s">
        <v>8779</v>
      </c>
      <c r="D6630" t="s">
        <v>7758</v>
      </c>
      <c r="E6630" s="3" t="str">
        <f>HYPERLINK("https://www.amazon.com/UEi-DL589-600A-Clamp-Inrush-Magnet/dp/B0BCVNJ8KW/ref=sr_1_2?keywords=UEi+DL589COMBO+600A+TRMS+Clamp+Meter+w%2F+DC+Amps%2C+Inrush%2C+Magnet+with+ATTPC4+Pipe+Clamps&amp;qid=1695174177&amp;sr=8-2", "https://www.amazon.com/UEi-DL589-600A-Clamp-Inrush-Magnet/dp/B0BCVNJ8KW/ref=sr_1_2?keywords=UEi+DL589COMBO+600A+TRMS+Clamp+Meter+w%2F+DC+Amps%2C+Inrush%2C+Magnet+with+ATTPC4+Pipe+Clamps&amp;qid=1695174177&amp;sr=8-2")</f>
        <v>https://www.amazon.com/UEi-DL589-600A-Clamp-Inrush-Magnet/dp/B0BCVNJ8KW/ref=sr_1_2?keywords=UEi+DL589COMBO+600A+TRMS+Clamp+Meter+w%2F+DC+Amps%2C+Inrush%2C+Magnet+with+ATTPC4+Pipe+Clamps&amp;qid=1695174177&amp;sr=8-2</v>
      </c>
      <c r="F6630" t="s">
        <v>7759</v>
      </c>
      <c r="G6630" t="e">
        <f ca="1">_xludf.IMAGE("https://edmondsonsupply.com/cdn/shop/products/DL589COMBO-1.png?v=1658755345")</f>
        <v>#NAME?</v>
      </c>
      <c r="H6630" t="e">
        <f ca="1">_xludf.IMAGE("https://m.media-amazon.com/images/I/41hAo1NFGGL._AC_UY218_.jpg")</f>
        <v>#NAME?</v>
      </c>
      <c r="I6630" t="s">
        <v>8780</v>
      </c>
      <c r="J6630">
        <v>215.33</v>
      </c>
      <c r="K6630" s="4">
        <v>-0.2082</v>
      </c>
      <c r="L6630">
        <v>5</v>
      </c>
      <c r="M6630">
        <v>1</v>
      </c>
      <c r="O6630" t="s">
        <v>25</v>
      </c>
      <c r="P6630" t="s">
        <v>8781</v>
      </c>
      <c r="Q6630" t="s">
        <v>8782</v>
      </c>
    </row>
    <row r="6631" spans="1:17" ht="15.5" x14ac:dyDescent="0.35">
      <c r="A6631"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6631"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6631" t="s">
        <v>1566</v>
      </c>
      <c r="D6631" t="s">
        <v>5294</v>
      </c>
      <c r="E6631" s="3" t="str">
        <f>HYPERLINK("https://www.amazon.com/Klein-Tools-NCVT2P-12-1000V-Flashing/dp/B07L5N8ZWS/ref=sr_1_1?keywords=Klein+Tools+NCVT-2PKIT+Dual+Range+Non-Contact+Voltage+Tester+with+Receptacle+Tester&amp;qid=1695173953&amp;sr=8-1", "https://www.amazon.com/Klein-Tools-NCVT2P-12-1000V-Flashing/dp/B07L5N8ZWS/ref=sr_1_1?keywords=Klein+Tools+NCVT-2PKIT+Dual+Range+Non-Contact+Voltage+Tester+with+Receptacle+Tester&amp;qid=1695173953&amp;sr=8-1")</f>
        <v>https://www.amazon.com/Klein-Tools-NCVT2P-12-1000V-Flashing/dp/B07L5N8ZWS/ref=sr_1_1?keywords=Klein+Tools+NCVT-2PKIT+Dual+Range+Non-Contact+Voltage+Tester+with+Receptacle+Tester&amp;qid=1695173953&amp;sr=8-1</v>
      </c>
      <c r="F6631" t="s">
        <v>5295</v>
      </c>
      <c r="G6631" t="e">
        <f ca="1">_xludf.IMAGE("https://edmondsonsupply.com/cdn/shop/products/ncvt2pkit.jpg?v=1633030827")</f>
        <v>#NAME?</v>
      </c>
      <c r="H6631" t="e">
        <f ca="1">_xludf.IMAGE("https://m.media-amazon.com/images/I/51GASnKpZ1L._AC_UL320_.jpg")</f>
        <v>#NAME?</v>
      </c>
      <c r="I6631" t="s">
        <v>26</v>
      </c>
      <c r="J6631">
        <v>23.74</v>
      </c>
      <c r="K6631" s="4">
        <v>-0.2084</v>
      </c>
      <c r="L6631">
        <v>4.7</v>
      </c>
      <c r="M6631">
        <v>639</v>
      </c>
      <c r="O6631" t="s">
        <v>25</v>
      </c>
      <c r="P6631" t="s">
        <v>1569</v>
      </c>
      <c r="Q6631" t="s">
        <v>1570</v>
      </c>
    </row>
    <row r="6632" spans="1:17" ht="15.5" x14ac:dyDescent="0.35">
      <c r="A6632"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6632" s="3" t="str">
        <f>HYPERLINK("https://edmondsonsupply.com/products/fluke-1587-fc-insulation-multimeter", "https://edmondsonsupply.com/products/fluke-1587-fc-insulation-multimeter")</f>
        <v>https://edmondsonsupply.com/products/fluke-1587-fc-insulation-multimeter</v>
      </c>
      <c r="C6632" t="s">
        <v>4074</v>
      </c>
      <c r="D6632" t="s">
        <v>5296</v>
      </c>
      <c r="E6632" s="3" t="str">
        <f>HYPERLINK("https://www.amazon.com/FLUKE-1587-FC-Insulation-Multimeter/dp/B017OVC2UI/ref=sr_1_1?keywords=Fluke+1587+FC+Insulation+Multimeter&amp;qid=1695173858&amp;sr=8-1", "https://www.amazon.com/FLUKE-1587-FC-Insulation-Multimeter/dp/B017OVC2UI/ref=sr_1_1?keywords=Fluke+1587+FC+Insulation+Multimeter&amp;qid=1695173858&amp;sr=8-1")</f>
        <v>https://www.amazon.com/FLUKE-1587-FC-Insulation-Multimeter/dp/B017OVC2UI/ref=sr_1_1?keywords=Fluke+1587+FC+Insulation+Multimeter&amp;qid=1695173858&amp;sr=8-1</v>
      </c>
      <c r="F6632" t="s">
        <v>5297</v>
      </c>
      <c r="G6632" t="e">
        <f ca="1">_xludf.IMAGE("https://edmondsonsupply.com/cdn/shop/products/Fluke_1587_FC_True-rms_Insulation_Multimeter__1280x1006px_E_NR-20298.jpg?v=1633031188")</f>
        <v>#NAME?</v>
      </c>
      <c r="H6632" t="e">
        <f ca="1">_xludf.IMAGE("https://m.media-amazon.com/images/I/61MrkJbYVOL._AC_UL320_.jpg")</f>
        <v>#NAME?</v>
      </c>
      <c r="I6632" t="s">
        <v>4077</v>
      </c>
      <c r="J6632">
        <v>736.13</v>
      </c>
      <c r="K6632" s="4">
        <v>-0.20849999999999999</v>
      </c>
      <c r="L6632">
        <v>4.7</v>
      </c>
      <c r="M6632">
        <v>172</v>
      </c>
      <c r="O6632" t="s">
        <v>25</v>
      </c>
      <c r="P6632" t="s">
        <v>4078</v>
      </c>
      <c r="Q6632" t="s">
        <v>4079</v>
      </c>
    </row>
    <row r="6633" spans="1:17" ht="15.5" x14ac:dyDescent="0.35">
      <c r="A6633"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633" s="3" t="str">
        <f>HYPERLINK("https://edmondsonsupply.com/products/klein-tools-635-1-4-1-4-inch-nut-driver-magnetic-tip-4-inch-shaft", "https://edmondsonsupply.com/products/klein-tools-635-1-4-1-4-inch-nut-driver-magnetic-tip-4-inch-shaft")</f>
        <v>https://edmondsonsupply.com/products/klein-tools-635-1-4-1-4-inch-nut-driver-magnetic-tip-4-inch-shaft</v>
      </c>
      <c r="C6633" t="s">
        <v>6817</v>
      </c>
      <c r="D6633" t="s">
        <v>3884</v>
      </c>
      <c r="E6633" s="3" t="str">
        <f>HYPERLINK("https://www.amazon.com/Magnetic-Cushion-Klein-610-1-4M/dp/B00093GE3A/ref=sr_1_4?keywords=Klein+Tools+635-1%2F4+1%2F4-Inch+Nut+Driver%2C+Magnetic+Tip%2C+4-Inch+Shaft&amp;qid=1695174156&amp;sr=8-4", "https://www.amazon.com/Magnetic-Cushion-Klein-610-1-4M/dp/B00093GE3A/ref=sr_1_4?keywords=Klein+Tools+635-1%2F4+1%2F4-Inch+Nut+Driver%2C+Magnetic+Tip%2C+4-Inch+Shaft&amp;qid=1695174156&amp;sr=8-4")</f>
        <v>https://www.amazon.com/Magnetic-Cushion-Klein-610-1-4M/dp/B00093GE3A/ref=sr_1_4?keywords=Klein+Tools+635-1%2F4+1%2F4-Inch+Nut+Driver%2C+Magnetic+Tip%2C+4-Inch+Shaft&amp;qid=1695174156&amp;sr=8-4</v>
      </c>
      <c r="F6633" t="s">
        <v>3885</v>
      </c>
      <c r="G6633" t="e">
        <f ca="1">_xludf.IMAGE("https://edmondsonsupply.com/cdn/shop/products/635-1-4.jpg?v=1666811523")</f>
        <v>#NAME?</v>
      </c>
      <c r="H6633" t="e">
        <f ca="1">_xludf.IMAGE("https://m.media-amazon.com/images/I/41piyjqJVeL._AC_UL320_.jpg")</f>
        <v>#NAME?</v>
      </c>
      <c r="I6633" t="s">
        <v>2337</v>
      </c>
      <c r="J6633">
        <v>9.49</v>
      </c>
      <c r="K6633" s="4">
        <v>-0.20849999999999999</v>
      </c>
      <c r="L6633">
        <v>4.8</v>
      </c>
      <c r="M6633">
        <v>260</v>
      </c>
      <c r="O6633" t="s">
        <v>25</v>
      </c>
      <c r="P6633" t="s">
        <v>1212</v>
      </c>
      <c r="Q6633" t="s">
        <v>6818</v>
      </c>
    </row>
    <row r="6634" spans="1:17" ht="15.5" x14ac:dyDescent="0.35">
      <c r="A6634"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634"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634" t="s">
        <v>2903</v>
      </c>
      <c r="D6634" t="s">
        <v>5298</v>
      </c>
      <c r="E6634" s="3" t="str">
        <f>HYPERLINK("https://www.amazon.com/Diablo-SDS-Max-4-Cutter-Carbide-Hammer/dp/B089KWFF8B/ref=sr_1_3?keywords=Diablo+Tools+DMAMX1300+1-1%2F4+in.+x+16+in.+x+21+in.+Rebar+Demon%E2%84%A2+SDS-Max+4-Cutter+Full+Carbide+Head+Hammer+Drill+Bit&amp;qid=1695173871&amp;sr=8-3", "https://www.amazon.com/Diablo-SDS-Max-4-Cutter-Carbide-Hammer/dp/B089KWFF8B/ref=sr_1_3?keywords=Diablo+Tools+DMAMX1300+1-1%2F4+in.+x+16+in.+x+21+in.+Rebar+Demon%E2%84%A2+SDS-Max+4-Cutter+Full+Carbide+Head+Hammer+Drill+Bit&amp;qid=1695173871&amp;sr=8-3")</f>
        <v>https://www.amazon.com/Diablo-SDS-Max-4-Cutter-Carbide-Hammer/dp/B089KWFF8B/ref=sr_1_3?keywords=Diablo+Tools+DMAMX1300+1-1%2F4+in.+x+16+in.+x+21+in.+Rebar+Demon%E2%84%A2+SDS-Max+4-Cutter+Full+Carbide+Head+Hammer+Drill+Bit&amp;qid=1695173871&amp;sr=8-3</v>
      </c>
      <c r="F6634" t="s">
        <v>5299</v>
      </c>
      <c r="G6634" t="e">
        <f ca="1">_xludf.IMAGE("https://edmondsonsupply.com/cdn/shop/files/immoyh7jjmbau4fzhuq6_7dd7fd73-2865-4c12-9443-da45b48dbd51.webp?v=1685465465")</f>
        <v>#NAME?</v>
      </c>
      <c r="H6634" t="e">
        <f ca="1">_xludf.IMAGE("https://m.media-amazon.com/images/I/611fTcYRNFL._AC_UL320_.jpg")</f>
        <v>#NAME?</v>
      </c>
      <c r="I6634" t="s">
        <v>2906</v>
      </c>
      <c r="J6634">
        <v>52.51</v>
      </c>
      <c r="K6634" s="4">
        <v>-0.2092</v>
      </c>
      <c r="L6634">
        <v>3.5</v>
      </c>
      <c r="M6634">
        <v>3</v>
      </c>
      <c r="O6634" t="s">
        <v>171</v>
      </c>
      <c r="P6634" t="s">
        <v>2907</v>
      </c>
      <c r="Q6634" t="s">
        <v>2908</v>
      </c>
    </row>
    <row r="6635" spans="1:17" ht="15.5" x14ac:dyDescent="0.35">
      <c r="A6635" s="3" t="str">
        <f>HYPERLINK("https://edmondsonsupply.com/collections/electricians-tools/products/diablo-tools-dmapl4250-3-4-in-x-8-in-x-10-in-rebar-demon%E2%84%A2-sds-plus-4-cutter-full-carbide-head-hammer-drill-bit", "https://edmondsonsupply.com/collections/electricians-tools/products/diablo-tools-dmapl4250-3-4-in-x-8-in-x-10-in-rebar-demon%E2%84%A2-sds-plus-4-cutter-full-carbide-head-hammer-drill-bit")</f>
        <v>https://edmondsonsupply.com/collections/electricians-tools/products/diablo-tools-dmapl4250-3-4-in-x-8-in-x-10-in-rebar-demon%E2%84%A2-sds-plus-4-cutter-full-carbide-head-hammer-drill-bit</v>
      </c>
      <c r="B6635" s="3" t="str">
        <f>HYPERLINK("https://edmondsonsupply.com/products/diablo-tools-dmapl4250-3-4-in-x-8-in-x-10-in-rebar-demon%e2%84%a2-sds-plus-4-cutter-full-carbide-head-hammer-drill-bit", "https://edmondsonsupply.com/products/diablo-tools-dmapl4250-3-4-in-x-8-in-x-10-in-rebar-demon%e2%84%a2-sds-plus-4-cutter-full-carbide-head-hammer-drill-bit")</f>
        <v>https://edmondsonsupply.com/products/diablo-tools-dmapl4250-3-4-in-x-8-in-x-10-in-rebar-demon%e2%84%a2-sds-plus-4-cutter-full-carbide-head-hammer-drill-bit</v>
      </c>
      <c r="C6635" t="s">
        <v>5852</v>
      </c>
      <c r="D6635" t="s">
        <v>8783</v>
      </c>
      <c r="E6635" s="3" t="str">
        <f>HYPERLINK("https://www.amazon.com/Diablo-Freud-DMAPL4190-SDS-Plus-4-Cutter/dp/B089LJZ25M/ref=sr_1_9?keywords=Diablo+Tools+DMAPL4250+3%2F4+in.+x+8+in.+x+10+in.+Rebar+Demon%E2%84%A2+SDS-Plus+4-Cutter+Full+Carbide+Head+Hammer+Drill+Bit&amp;qid=1695174039&amp;sr=8-9", "https://www.amazon.com/Diablo-Freud-DMAPL4190-SDS-Plus-4-Cutter/dp/B089LJZ25M/ref=sr_1_9?keywords=Diablo+Tools+DMAPL4250+3%2F4+in.+x+8+in.+x+10+in.+Rebar+Demon%E2%84%A2+SDS-Plus+4-Cutter+Full+Carbide+Head+Hammer+Drill+Bit&amp;qid=1695174039&amp;sr=8-9")</f>
        <v>https://www.amazon.com/Diablo-Freud-DMAPL4190-SDS-Plus-4-Cutter/dp/B089LJZ25M/ref=sr_1_9?keywords=Diablo+Tools+DMAPL4250+3%2F4+in.+x+8+in.+x+10+in.+Rebar+Demon%E2%84%A2+SDS-Plus+4-Cutter+Full+Carbide+Head+Hammer+Drill+Bit&amp;qid=1695174039&amp;sr=8-9</v>
      </c>
      <c r="F6635" t="s">
        <v>8784</v>
      </c>
      <c r="G6635" t="e">
        <f ca="1">_xludf.IMAGE("https://edmondsonsupply.com/cdn/shop/files/rltcbi253wmfv6otmtz6.webp?v=1686576913")</f>
        <v>#NAME?</v>
      </c>
      <c r="H6635" t="e">
        <f ca="1">_xludf.IMAGE("https://m.media-amazon.com/images/I/61dzudnwI8L._AC_UL320_.jpg")</f>
        <v>#NAME?</v>
      </c>
      <c r="I6635" t="s">
        <v>5853</v>
      </c>
      <c r="J6635">
        <v>19.32</v>
      </c>
      <c r="K6635" s="4">
        <v>-0.21049999999999999</v>
      </c>
      <c r="L6635">
        <v>4.5999999999999996</v>
      </c>
      <c r="M6635">
        <v>43</v>
      </c>
      <c r="O6635" t="s">
        <v>25</v>
      </c>
      <c r="P6635" t="s">
        <v>5854</v>
      </c>
      <c r="Q6635" t="s">
        <v>5855</v>
      </c>
    </row>
    <row r="6636" spans="1:17" ht="15.5" x14ac:dyDescent="0.35">
      <c r="A6636"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6636" s="3" t="str">
        <f>HYPERLINK("https://edmondsonsupply.com/products/klein-tools-pnd-12-5-1-2-inch-power-nut-driver-5-inch-length", "https://edmondsonsupply.com/products/klein-tools-pnd-12-5-1-2-inch-power-nut-driver-5-inch-length")</f>
        <v>https://edmondsonsupply.com/products/klein-tools-pnd-12-5-1-2-inch-power-nut-driver-5-inch-length</v>
      </c>
      <c r="C6636" t="s">
        <v>1684</v>
      </c>
      <c r="D6636" t="s">
        <v>5306</v>
      </c>
      <c r="E6636" s="3" t="str">
        <f>HYPERLINK("https://www.amazon.com/2-Inch-Heavy-Duty-Driver-Klein-Tools/dp/B01D6CWLG4/ref=sr_1_4?keywords=Klein+Tools+PND-12-5+1%2F2-Inch+Power+Nut+Driver+5-Inch+Length&amp;qid=1695173880&amp;sr=8-4", "https://www.amazon.com/2-Inch-Heavy-Duty-Driver-Klein-Tools/dp/B01D6CWLG4/ref=sr_1_4?keywords=Klein+Tools+PND-12-5+1%2F2-Inch+Power+Nut+Driver+5-Inch+Length&amp;qid=1695173880&amp;sr=8-4")</f>
        <v>https://www.amazon.com/2-Inch-Heavy-Duty-Driver-Klein-Tools/dp/B01D6CWLG4/ref=sr_1_4?keywords=Klein+Tools+PND-12-5+1%2F2-Inch+Power+Nut+Driver+5-Inch+Length&amp;qid=1695173880&amp;sr=8-4</v>
      </c>
      <c r="F6636" t="s">
        <v>5307</v>
      </c>
      <c r="G6636" t="e">
        <f ca="1">_xludf.IMAGE("https://edmondsonsupply.com/cdn/shop/products/pnd125.jpg?v=1633031028")</f>
        <v>#NAME?</v>
      </c>
      <c r="H6636" t="e">
        <f ca="1">_xludf.IMAGE("https://m.media-amazon.com/images/I/41C1xU9OvML._AC_UL320_.jpg")</f>
        <v>#NAME?</v>
      </c>
      <c r="I6636" t="s">
        <v>1687</v>
      </c>
      <c r="J6636">
        <v>14.99</v>
      </c>
      <c r="K6636" s="4">
        <v>-0.21060000000000001</v>
      </c>
      <c r="L6636">
        <v>4.7</v>
      </c>
      <c r="M6636">
        <v>971</v>
      </c>
      <c r="O6636" t="s">
        <v>25</v>
      </c>
      <c r="P6636" t="s">
        <v>1688</v>
      </c>
      <c r="Q6636" t="s">
        <v>1689</v>
      </c>
    </row>
    <row r="6637" spans="1:17" ht="15.5" x14ac:dyDescent="0.35">
      <c r="A6637"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637" s="3" t="str">
        <f>HYPERLINK("https://edmondsonsupply.com/products/klein-tools-635-1-4-1-4-inch-nut-driver-magnetic-tip-4-inch-shaft", "https://edmondsonsupply.com/products/klein-tools-635-1-4-1-4-inch-nut-driver-magnetic-tip-4-inch-shaft")</f>
        <v>https://edmondsonsupply.com/products/klein-tools-635-1-4-1-4-inch-nut-driver-magnetic-tip-4-inch-shaft</v>
      </c>
      <c r="C6637" t="s">
        <v>6817</v>
      </c>
      <c r="D6637" t="s">
        <v>3895</v>
      </c>
      <c r="E6637" s="3" t="str">
        <f>HYPERLINK("https://www.amazon.com/Magnetic-Klein-Tools-630-1-4M/dp/B00093GE6M/ref=sr_1_5?keywords=Klein+Tools+635-1%2F4+1%2F4-Inch+Nut+Driver%2C+Magnetic+Tip%2C+4-Inch+Shaft&amp;qid=1695174156&amp;sr=8-5", "https://www.amazon.com/Magnetic-Klein-Tools-630-1-4M/dp/B00093GE6M/ref=sr_1_5?keywords=Klein+Tools+635-1%2F4+1%2F4-Inch+Nut+Driver%2C+Magnetic+Tip%2C+4-Inch+Shaft&amp;qid=1695174156&amp;sr=8-5")</f>
        <v>https://www.amazon.com/Magnetic-Klein-Tools-630-1-4M/dp/B00093GE6M/ref=sr_1_5?keywords=Klein+Tools+635-1%2F4+1%2F4-Inch+Nut+Driver%2C+Magnetic+Tip%2C+4-Inch+Shaft&amp;qid=1695174156&amp;sr=8-5</v>
      </c>
      <c r="F6637" t="s">
        <v>3896</v>
      </c>
      <c r="G6637" t="e">
        <f ca="1">_xludf.IMAGE("https://edmondsonsupply.com/cdn/shop/products/635-1-4.jpg?v=1666811523")</f>
        <v>#NAME?</v>
      </c>
      <c r="H6637" t="e">
        <f ca="1">_xludf.IMAGE("https://m.media-amazon.com/images/I/51TXA1qvEdL._AC_UL320_.jpg")</f>
        <v>#NAME?</v>
      </c>
      <c r="I6637" t="s">
        <v>2337</v>
      </c>
      <c r="J6637">
        <v>9.4499999999999993</v>
      </c>
      <c r="K6637" s="4">
        <v>-0.21179999999999999</v>
      </c>
      <c r="L6637">
        <v>4.7</v>
      </c>
      <c r="M6637">
        <v>1574</v>
      </c>
      <c r="O6637" t="s">
        <v>25</v>
      </c>
      <c r="P6637" t="s">
        <v>1212</v>
      </c>
      <c r="Q6637" t="s">
        <v>6818</v>
      </c>
    </row>
    <row r="6638" spans="1:17" ht="15.5" x14ac:dyDescent="0.35">
      <c r="A6638" s="3" t="str">
        <f>HYPERLINK("https://edmondsonsupply.com/collections/electricians-tools/products/klein-tools-d2000-28glw-diagonal-cutting-pliers-hi-viz-8-inch", "https://edmondsonsupply.com/collections/electricians-tools/products/klein-tools-d2000-28glw-diagonal-cutting-pliers-hi-viz-8-inch")</f>
        <v>https://edmondsonsupply.com/collections/electricians-tools/products/klein-tools-d2000-28glw-diagonal-cutting-pliers-hi-viz-8-inch</v>
      </c>
      <c r="B6638" s="3" t="str">
        <f>HYPERLINK("https://edmondsonsupply.com/products/klein-tools-d2000-28glw-diagonal-cutting-pliers-hi-viz-8-inch", "https://edmondsonsupply.com/products/klein-tools-d2000-28glw-diagonal-cutting-pliers-hi-viz-8-inch")</f>
        <v>https://edmondsonsupply.com/products/klein-tools-d2000-28glw-diagonal-cutting-pliers-hi-viz-8-inch</v>
      </c>
      <c r="C6638" t="s">
        <v>4233</v>
      </c>
      <c r="D6638" t="s">
        <v>5314</v>
      </c>
      <c r="E6638" s="3" t="str">
        <f>HYPERLINK("https://www.amazon.com/Klein-Tools-D248-8-Leverage-Diagonal/dp/B0000302W8/ref=sr_1_7?keywords=Klein+Tools+D200028GLW+Diagonal+Cutting+Pliers%2C+High-Visibility%2C+8-Inch&amp;qid=1695173928&amp;sr=8-7", "https://www.amazon.com/Klein-Tools-D248-8-Leverage-Diagonal/dp/B0000302W8/ref=sr_1_7?keywords=Klein+Tools+D200028GLW+Diagonal+Cutting+Pliers%2C+High-Visibility%2C+8-Inch&amp;qid=1695173928&amp;sr=8-7")</f>
        <v>https://www.amazon.com/Klein-Tools-D248-8-Leverage-Diagonal/dp/B0000302W8/ref=sr_1_7?keywords=Klein+Tools+D200028GLW+Diagonal+Cutting+Pliers%2C+High-Visibility%2C+8-Inch&amp;qid=1695173928&amp;sr=8-7</v>
      </c>
      <c r="F6638" t="s">
        <v>5315</v>
      </c>
      <c r="G6638" t="e">
        <f ca="1">_xludf.IMAGE("https://edmondsonsupply.com/cdn/shop/products/d200028glw.jpg?v=1633030701")</f>
        <v>#NAME?</v>
      </c>
      <c r="H6638" t="e">
        <f ca="1">_xludf.IMAGE("https://m.media-amazon.com/images/I/41KAmcIzVBL._AC_UL320_.jpg")</f>
        <v>#NAME?</v>
      </c>
      <c r="I6638" t="s">
        <v>67</v>
      </c>
      <c r="J6638">
        <v>29.38</v>
      </c>
      <c r="K6638" s="4">
        <v>-0.21629999999999999</v>
      </c>
      <c r="L6638">
        <v>4.8</v>
      </c>
      <c r="M6638">
        <v>2417</v>
      </c>
      <c r="O6638" t="s">
        <v>25</v>
      </c>
      <c r="P6638" t="s">
        <v>4236</v>
      </c>
      <c r="Q6638" t="s">
        <v>4237</v>
      </c>
    </row>
    <row r="6639" spans="1:17" ht="15.5" x14ac:dyDescent="0.35">
      <c r="A6639"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639"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639" t="s">
        <v>2903</v>
      </c>
      <c r="D6639" t="s">
        <v>5316</v>
      </c>
      <c r="E6639" s="3" t="str">
        <f>HYPERLINK("https://www.amazon.com/Diablo-SDS-Max-4-Cutter-Carbide-Hammer/dp/B089KWP4WK/ref=sr_1_4?keywords=Diablo+Tools+DMAMX1300+1-1%2F4+in.+x+16+in.+x+21+in.+Rebar+Demon%E2%84%A2+SDS-Max+4-Cutter+Full+Carbide+Head+Hammer+Drill+Bit&amp;qid=1695173871&amp;sr=8-4", "https://www.amazon.com/Diablo-SDS-Max-4-Cutter-Carbide-Hammer/dp/B089KWP4WK/ref=sr_1_4?keywords=Diablo+Tools+DMAMX1300+1-1%2F4+in.+x+16+in.+x+21+in.+Rebar+Demon%E2%84%A2+SDS-Max+4-Cutter+Full+Carbide+Head+Hammer+Drill+Bit&amp;qid=1695173871&amp;sr=8-4")</f>
        <v>https://www.amazon.com/Diablo-SDS-Max-4-Cutter-Carbide-Hammer/dp/B089KWP4WK/ref=sr_1_4?keywords=Diablo+Tools+DMAMX1300+1-1%2F4+in.+x+16+in.+x+21+in.+Rebar+Demon%E2%84%A2+SDS-Max+4-Cutter+Full+Carbide+Head+Hammer+Drill+Bit&amp;qid=1695173871&amp;sr=8-4</v>
      </c>
      <c r="F6639" t="s">
        <v>5317</v>
      </c>
      <c r="G6639" t="e">
        <f ca="1">_xludf.IMAGE("https://edmondsonsupply.com/cdn/shop/files/immoyh7jjmbau4fzhuq6_7dd7fd73-2865-4c12-9443-da45b48dbd51.webp?v=1685465465")</f>
        <v>#NAME?</v>
      </c>
      <c r="H6639" t="e">
        <f ca="1">_xludf.IMAGE("https://m.media-amazon.com/images/I/61yWWNP1xrL._AC_UL320_.jpg")</f>
        <v>#NAME?</v>
      </c>
      <c r="I6639" t="s">
        <v>2906</v>
      </c>
      <c r="J6639">
        <v>51.96</v>
      </c>
      <c r="K6639" s="4">
        <v>-0.2175</v>
      </c>
      <c r="L6639">
        <v>5</v>
      </c>
      <c r="M6639">
        <v>9</v>
      </c>
      <c r="O6639" t="s">
        <v>171</v>
      </c>
      <c r="P6639" t="s">
        <v>2907</v>
      </c>
      <c r="Q6639" t="s">
        <v>2908</v>
      </c>
    </row>
    <row r="6640" spans="1:17" ht="15.5" x14ac:dyDescent="0.35">
      <c r="A6640" s="3" t="str">
        <f>HYPERLINK("https://edmondsonsupply.com/collections/electricians-tools/products/milwaukee-2744-21", "https://edmondsonsupply.com/collections/electricians-tools/products/milwaukee-2744-21")</f>
        <v>https://edmondsonsupply.com/collections/electricians-tools/products/milwaukee-2744-21</v>
      </c>
      <c r="B6640" s="3" t="str">
        <f>HYPERLINK("https://edmondsonsupply.com/products/milwaukee-2744-21", "https://edmondsonsupply.com/products/milwaukee-2744-21")</f>
        <v>https://edmondsonsupply.com/products/milwaukee-2744-21</v>
      </c>
      <c r="C6640" t="s">
        <v>8150</v>
      </c>
      <c r="D6640" t="s">
        <v>8295</v>
      </c>
      <c r="E6640" s="3" t="str">
        <f>HYPERLINK("https://www.amazon.com/LMParts-mMilwaukee-2744-20-21-Degree-Framing/dp/B09MC9RWK3/ref=sr_1_8?keywords=Milwaukee+2744-21+M18+FUEL%E2%84%A2+21+Degree+Framing+Nailer+Kit&amp;qid=1695174142&amp;sr=8-8", "https://www.amazon.com/LMParts-mMilwaukee-2744-20-21-Degree-Framing/dp/B09MC9RWK3/ref=sr_1_8?keywords=Milwaukee+2744-21+M18+FUEL%E2%84%A2+21+Degree+Framing+Nailer+Kit&amp;qid=1695174142&amp;sr=8-8")</f>
        <v>https://www.amazon.com/LMParts-mMilwaukee-2744-20-21-Degree-Framing/dp/B09MC9RWK3/ref=sr_1_8?keywords=Milwaukee+2744-21+M18+FUEL%E2%84%A2+21+Degree+Framing+Nailer+Kit&amp;qid=1695174142&amp;sr=8-8</v>
      </c>
      <c r="F6640" t="s">
        <v>8296</v>
      </c>
      <c r="G6640" t="e">
        <f ca="1">_xludf.IMAGE("https://edmondsonsupply.com/cdn/shop/products/2744-21_1.webp?v=1664901456")</f>
        <v>#NAME?</v>
      </c>
      <c r="H6640" t="e">
        <f ca="1">_xludf.IMAGE("https://m.media-amazon.com/images/I/41B9q5GCKVL._AC_UL320_.jpg")</f>
        <v>#NAME?</v>
      </c>
      <c r="I6640" t="s">
        <v>8153</v>
      </c>
      <c r="J6640">
        <v>373.83</v>
      </c>
      <c r="K6640" s="4">
        <v>-0.21959999999999999</v>
      </c>
      <c r="L6640">
        <v>4.7</v>
      </c>
      <c r="M6640">
        <v>25</v>
      </c>
      <c r="O6640" t="s">
        <v>171</v>
      </c>
      <c r="P6640" t="s">
        <v>8154</v>
      </c>
      <c r="Q6640" t="s">
        <v>8155</v>
      </c>
    </row>
    <row r="6641" spans="1:17" ht="15.5" x14ac:dyDescent="0.35">
      <c r="A6641" s="3" t="str">
        <f>HYPERLINK("https://edmondsonsupply.com/collections/electricians-tools/products/klein-tools-2138neeins-insulated-pliers-slim-handle-side-cutters-8-inch", "https://edmondsonsupply.com/collections/electricians-tools/products/klein-tools-2138neeins-insulated-pliers-slim-handle-side-cutters-8-inch")</f>
        <v>https://edmondsonsupply.com/collections/electricians-tools/products/klein-tools-2138neeins-insulated-pliers-slim-handle-side-cutters-8-inch</v>
      </c>
      <c r="B6641"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6641" t="s">
        <v>5004</v>
      </c>
      <c r="D6641" t="s">
        <v>5320</v>
      </c>
      <c r="E6641" s="3" t="str">
        <f>HYPERLINK("https://www.amazon.com/Klein-Tools-200028EINS-Electricians-Insulated/dp/B00JGG5P86/ref=sr_1_3?keywords=Klein+Tools+2138NEEINS+Insulated+Pliers%2C+Slim+Handle+Side+Cutters%2C+8-Inch&amp;qid=1695173956&amp;sr=8-3", "https://www.amazon.com/Klein-Tools-200028EINS-Electricians-Insulated/dp/B00JGG5P86/ref=sr_1_3?keywords=Klein+Tools+2138NEEINS+Insulated+Pliers%2C+Slim+Handle+Side+Cutters%2C+8-Inch&amp;qid=1695173956&amp;sr=8-3")</f>
        <v>https://www.amazon.com/Klein-Tools-200028EINS-Electricians-Insulated/dp/B00JGG5P86/ref=sr_1_3?keywords=Klein+Tools+2138NEEINS+Insulated+Pliers%2C+Slim+Handle+Side+Cutters%2C+8-Inch&amp;qid=1695173956&amp;sr=8-3</v>
      </c>
      <c r="F6641" t="s">
        <v>5321</v>
      </c>
      <c r="G6641" t="e">
        <f ca="1">_xludf.IMAGE("https://edmondsonsupply.com/cdn/shop/files/2138neeins.jpg?v=1694611719")</f>
        <v>#NAME?</v>
      </c>
      <c r="H6641" t="e">
        <f ca="1">_xludf.IMAGE("https://m.media-amazon.com/images/I/51cA-etI6LL._AC_UL320_.jpg")</f>
        <v>#NAME?</v>
      </c>
      <c r="I6641" t="s">
        <v>588</v>
      </c>
      <c r="J6641">
        <v>54.55</v>
      </c>
      <c r="K6641" s="4">
        <v>-0.22059999999999999</v>
      </c>
      <c r="L6641">
        <v>4.4000000000000004</v>
      </c>
      <c r="M6641">
        <v>68</v>
      </c>
      <c r="O6641" t="s">
        <v>25</v>
      </c>
      <c r="P6641" t="s">
        <v>5007</v>
      </c>
      <c r="Q6641" t="s">
        <v>5008</v>
      </c>
    </row>
    <row r="6642" spans="1:17" ht="15.5" x14ac:dyDescent="0.35">
      <c r="A6642" s="3" t="str">
        <f>HYPERLINK("https://edmondsonsupply.com/collections/electricians-tools/products/diablo-tools-dou3cs-3-pc-universal-fit-carbide-oscillating-blade-set", "https://edmondsonsupply.com/collections/electricians-tools/products/diablo-tools-dou3cs-3-pc-universal-fit-carbide-oscillating-blade-set")</f>
        <v>https://edmondsonsupply.com/collections/electricians-tools/products/diablo-tools-dou3cs-3-pc-universal-fit-carbide-oscillating-blade-set</v>
      </c>
      <c r="B6642" s="3" t="str">
        <f>HYPERLINK("https://edmondsonsupply.com/products/diablo-tools-dou3cs-3-pc-universal-fit-carbide-oscillating-blade-set", "https://edmondsonsupply.com/products/diablo-tools-dou3cs-3-pc-universal-fit-carbide-oscillating-blade-set")</f>
        <v>https://edmondsonsupply.com/products/diablo-tools-dou3cs-3-pc-universal-fit-carbide-oscillating-blade-set</v>
      </c>
      <c r="C6642" t="s">
        <v>8785</v>
      </c>
      <c r="D6642" t="s">
        <v>8491</v>
      </c>
      <c r="E6642" s="3" t="str">
        <f>HYPERLINK("https://www.amazon.com/Diablo-Freud-DOU3CS-Universal-Oscillating/dp/B089LLB6C4/ref=sr_1_1?keywords=Diablo+Tools+DOU3CS+3+pc+Universal+Fit+Carbide+Oscillating+Blade+Set&amp;qid=1695174015&amp;sr=8-1", "https://www.amazon.com/Diablo-Freud-DOU3CS-Universal-Oscillating/dp/B089LLB6C4/ref=sr_1_1?keywords=Diablo+Tools+DOU3CS+3+pc+Universal+Fit+Carbide+Oscillating+Blade+Set&amp;qid=1695174015&amp;sr=8-1")</f>
        <v>https://www.amazon.com/Diablo-Freud-DOU3CS-Universal-Oscillating/dp/B089LLB6C4/ref=sr_1_1?keywords=Diablo+Tools+DOU3CS+3+pc+Universal+Fit+Carbide+Oscillating+Blade+Set&amp;qid=1695174015&amp;sr=8-1</v>
      </c>
      <c r="F6642" t="s">
        <v>8492</v>
      </c>
      <c r="G6642" t="e">
        <f ca="1">_xludf.IMAGE("https://edmondsonsupply.com/cdn/shop/files/xyfhzl826p3zscosyxtm.webp?v=1685721758")</f>
        <v>#NAME?</v>
      </c>
      <c r="H6642" t="e">
        <f ca="1">_xludf.IMAGE("https://m.media-amazon.com/images/I/711kdXnfvhL._AC_UL320_.jpg")</f>
        <v>#NAME?</v>
      </c>
      <c r="I6642" t="s">
        <v>4108</v>
      </c>
      <c r="J6642">
        <v>34.99</v>
      </c>
      <c r="K6642" s="4">
        <v>-0.22189999999999999</v>
      </c>
      <c r="L6642">
        <v>4.5999999999999996</v>
      </c>
      <c r="M6642">
        <v>91</v>
      </c>
      <c r="O6642" t="s">
        <v>25</v>
      </c>
      <c r="P6642" t="s">
        <v>8786</v>
      </c>
      <c r="Q6642" t="s">
        <v>8787</v>
      </c>
    </row>
    <row r="6643" spans="1:17" ht="15.5" x14ac:dyDescent="0.35">
      <c r="A6643" s="3" t="str">
        <f>HYPERLINK("https://edmondsonsupply.com/collections/electricians-tools/products/milwaukee-0910-20-m18-fuel%E2%84%A2-6-gallon-wet-dry-vacuum", "https://edmondsonsupply.com/collections/electricians-tools/products/milwaukee-0910-20-m18-fuel%E2%84%A2-6-gallon-wet-dry-vacuum")</f>
        <v>https://edmondsonsupply.com/collections/electricians-tools/products/milwaukee-0910-20-m18-fuel%E2%84%A2-6-gallon-wet-dry-vacuum</v>
      </c>
      <c r="B6643" s="3" t="str">
        <f>HYPERLINK("https://edmondsonsupply.com/products/milwaukee-0910-20-m18-fuel%e2%84%a2-6-gallon-wet-dry-vacuum", "https://edmondsonsupply.com/products/milwaukee-0910-20-m18-fuel%e2%84%a2-6-gallon-wet-dry-vacuum")</f>
        <v>https://edmondsonsupply.com/products/milwaukee-0910-20-m18-fuel%e2%84%a2-6-gallon-wet-dry-vacuum</v>
      </c>
      <c r="C6643" t="s">
        <v>8788</v>
      </c>
      <c r="D6643" t="s">
        <v>4883</v>
      </c>
      <c r="E6643" s="3" t="str">
        <f>HYPERLINK("https://www.amazon.com/Milwaukee-0970-20-PACKOUT-Gallon-Vacuum/dp/B09RQ6WNZ8/ref=sr_1_8?keywords=Milwaukee+0910-20+M18+FUEL%E2%84%A2+6+Gallon+Wet%2FDry+Vacuum&amp;qid=1695174155&amp;sr=8-8", "https://www.amazon.com/Milwaukee-0970-20-PACKOUT-Gallon-Vacuum/dp/B09RQ6WNZ8/ref=sr_1_8?keywords=Milwaukee+0910-20+M18+FUEL%E2%84%A2+6+Gallon+Wet%2FDry+Vacuum&amp;qid=1695174155&amp;sr=8-8")</f>
        <v>https://www.amazon.com/Milwaukee-0970-20-PACKOUT-Gallon-Vacuum/dp/B09RQ6WNZ8/ref=sr_1_8?keywords=Milwaukee+0910-20+M18+FUEL%E2%84%A2+6+Gallon+Wet%2FDry+Vacuum&amp;qid=1695174155&amp;sr=8-8</v>
      </c>
      <c r="F6643" t="s">
        <v>4884</v>
      </c>
      <c r="G6643" t="e">
        <f ca="1">_xludf.IMAGE("https://edmondsonsupply.com/cdn/shop/products/0910-20_2.webp?v=1663607323")</f>
        <v>#NAME?</v>
      </c>
      <c r="H6643" t="e">
        <f ca="1">_xludf.IMAGE("https://m.media-amazon.com/images/I/71yMHJwu0eL._AC_UL320_.jpg")</f>
        <v>#NAME?</v>
      </c>
      <c r="I6643" t="s">
        <v>8789</v>
      </c>
      <c r="J6643">
        <v>193.69</v>
      </c>
      <c r="K6643" s="4">
        <v>-0.22209999999999999</v>
      </c>
      <c r="L6643">
        <v>4.5999999999999996</v>
      </c>
      <c r="M6643">
        <v>76</v>
      </c>
      <c r="O6643" t="s">
        <v>171</v>
      </c>
      <c r="P6643" t="s">
        <v>8790</v>
      </c>
      <c r="Q6643" t="s">
        <v>8791</v>
      </c>
    </row>
    <row r="6644" spans="1:17" ht="15.5" x14ac:dyDescent="0.35">
      <c r="A6644"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6644"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6644" t="s">
        <v>4105</v>
      </c>
      <c r="D6644" t="s">
        <v>5015</v>
      </c>
      <c r="E6644" s="3" t="str">
        <f>HYPERLINK("https://www.amazon.com/Diagonal-Linemans-Klein-Tools-D2000-48/dp/B0000302WZ/ref=sr_1_5?keywords=Klein+Tools+D20009NEGLW+High-Visibility+Side-Cutting+Pliers+High-Leverage&amp;qid=1695173949&amp;sr=8-5", "https://www.amazon.com/Diagonal-Linemans-Klein-Tools-D2000-48/dp/B0000302WZ/ref=sr_1_5?keywords=Klein+Tools+D20009NEGLW+High-Visibility+Side-Cutting+Pliers+High-Leverage&amp;qid=1695173949&amp;sr=8-5")</f>
        <v>https://www.amazon.com/Diagonal-Linemans-Klein-Tools-D2000-48/dp/B0000302WZ/ref=sr_1_5?keywords=Klein+Tools+D20009NEGLW+High-Visibility+Side-Cutting+Pliers+High-Leverage&amp;qid=1695173949&amp;sr=8-5</v>
      </c>
      <c r="F6644" t="s">
        <v>5016</v>
      </c>
      <c r="G6644" t="e">
        <f ca="1">_xludf.IMAGE("https://edmondsonsupply.com/cdn/shop/products/d20009neglw.jpg?v=1587144933")</f>
        <v>#NAME?</v>
      </c>
      <c r="H6644" t="e">
        <f ca="1">_xludf.IMAGE("https://m.media-amazon.com/images/I/41Y+q+BsIsL._AC_UL320_.jpg")</f>
        <v>#NAME?</v>
      </c>
      <c r="I6644" t="s">
        <v>4108</v>
      </c>
      <c r="J6644">
        <v>34.97</v>
      </c>
      <c r="K6644" s="4">
        <v>-0.22239999999999999</v>
      </c>
      <c r="L6644">
        <v>4.7</v>
      </c>
      <c r="M6644">
        <v>530</v>
      </c>
      <c r="O6644" t="s">
        <v>25</v>
      </c>
      <c r="P6644" t="s">
        <v>4109</v>
      </c>
      <c r="Q6644" t="s">
        <v>4110</v>
      </c>
    </row>
    <row r="6645" spans="1:17" ht="15.5" x14ac:dyDescent="0.35">
      <c r="A6645" s="3" t="str">
        <f>HYPERLINK("https://edmondsonsupply.com/collections/electricians-tools/products/klein-tools-2139nerins-insulated-pliers-side-cutters-9-inch", "https://edmondsonsupply.com/collections/electricians-tools/products/klein-tools-2139nerins-insulated-pliers-side-cutters-9-inch")</f>
        <v>https://edmondsonsupply.com/collections/electricians-tools/products/klein-tools-2139nerins-insulated-pliers-side-cutters-9-inch</v>
      </c>
      <c r="B6645" s="3" t="str">
        <f>HYPERLINK("https://edmondsonsupply.com/products/klein-tools-2139nerins-insulated-pliers-side-cutters-9-inch", "https://edmondsonsupply.com/products/klein-tools-2139nerins-insulated-pliers-side-cutters-9-inch")</f>
        <v>https://edmondsonsupply.com/products/klein-tools-2139nerins-insulated-pliers-side-cutters-9-inch</v>
      </c>
      <c r="C6645" t="s">
        <v>7163</v>
      </c>
      <c r="D6645" t="s">
        <v>5332</v>
      </c>
      <c r="E6645" s="3" t="str">
        <f>HYPERLINK("https://www.amazon.com/Leverage-46-Percent-Gripping-Klein-Tools/dp/B0000302W6/ref=sr_1_3?keywords=Klein+Tools+2139NERINS+Insulated+Pliers%2C+Side+Cutters%2C+9-Inch&amp;qid=1695174127&amp;sr=8-3", "https://www.amazon.com/Leverage-46-Percent-Gripping-Klein-Tools/dp/B0000302W6/ref=sr_1_3?keywords=Klein+Tools+2139NERINS+Insulated+Pliers%2C+Side+Cutters%2C+9-Inch&amp;qid=1695174127&amp;sr=8-3")</f>
        <v>https://www.amazon.com/Leverage-46-Percent-Gripping-Klein-Tools/dp/B0000302W6/ref=sr_1_3?keywords=Klein+Tools+2139NERINS+Insulated+Pliers%2C+Side+Cutters%2C+9-Inch&amp;qid=1695174127&amp;sr=8-3</v>
      </c>
      <c r="F6645" t="s">
        <v>5333</v>
      </c>
      <c r="G6645" t="e">
        <f ca="1">_xludf.IMAGE("https://edmondsonsupply.com/cdn/shop/products/2139nerins.jpg?v=1667237928")</f>
        <v>#NAME?</v>
      </c>
      <c r="H6645" t="e">
        <f ca="1">_xludf.IMAGE("https://m.media-amazon.com/images/I/51D7tdNTj7L._AC_UL320_.jpg")</f>
        <v>#NAME?</v>
      </c>
      <c r="I6645" t="s">
        <v>4108</v>
      </c>
      <c r="J6645">
        <v>34.97</v>
      </c>
      <c r="K6645" s="4">
        <v>-0.22239999999999999</v>
      </c>
      <c r="L6645">
        <v>4.8</v>
      </c>
      <c r="M6645">
        <v>4121</v>
      </c>
      <c r="O6645" t="s">
        <v>25</v>
      </c>
      <c r="P6645" t="s">
        <v>7164</v>
      </c>
      <c r="Q6645" t="s">
        <v>7165</v>
      </c>
    </row>
    <row r="6646" spans="1:17" ht="15.5" x14ac:dyDescent="0.35">
      <c r="A6646"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6646"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6646" t="s">
        <v>4105</v>
      </c>
      <c r="D6646" t="s">
        <v>5332</v>
      </c>
      <c r="E6646" s="3" t="str">
        <f>HYPERLINK("https://www.amazon.com/Leverage-46-Percent-Gripping-Klein-Tools/dp/B0000302W6/ref=sr_1_2?keywords=Klein+Tools+D20009NEGLW+High-Visibility+Side-Cutting+Pliers+High-Leverage&amp;qid=1695173949&amp;sr=8-2", "https://www.amazon.com/Leverage-46-Percent-Gripping-Klein-Tools/dp/B0000302W6/ref=sr_1_2?keywords=Klein+Tools+D20009NEGLW+High-Visibility+Side-Cutting+Pliers+High-Leverage&amp;qid=1695173949&amp;sr=8-2")</f>
        <v>https://www.amazon.com/Leverage-46-Percent-Gripping-Klein-Tools/dp/B0000302W6/ref=sr_1_2?keywords=Klein+Tools+D20009NEGLW+High-Visibility+Side-Cutting+Pliers+High-Leverage&amp;qid=1695173949&amp;sr=8-2</v>
      </c>
      <c r="F6646" t="s">
        <v>5333</v>
      </c>
      <c r="G6646" t="e">
        <f ca="1">_xludf.IMAGE("https://edmondsonsupply.com/cdn/shop/products/d20009neglw.jpg?v=1587144933")</f>
        <v>#NAME?</v>
      </c>
      <c r="H6646" t="e">
        <f ca="1">_xludf.IMAGE("https://m.media-amazon.com/images/I/51D7tdNTj7L._AC_UL320_.jpg")</f>
        <v>#NAME?</v>
      </c>
      <c r="I6646" t="s">
        <v>4108</v>
      </c>
      <c r="J6646">
        <v>34.97</v>
      </c>
      <c r="K6646" s="4">
        <v>-0.22239999999999999</v>
      </c>
      <c r="L6646">
        <v>4.8</v>
      </c>
      <c r="M6646">
        <v>4121</v>
      </c>
      <c r="O6646" t="s">
        <v>25</v>
      </c>
      <c r="P6646" t="s">
        <v>4109</v>
      </c>
      <c r="Q6646" t="s">
        <v>4110</v>
      </c>
    </row>
    <row r="6647" spans="1:17" ht="15.5" x14ac:dyDescent="0.35">
      <c r="A6647" s="3" t="str">
        <f>HYPERLINK("https://edmondsonsupply.com/collections/electricians-tools/products/klein-tools-s8m-1-4-inch-magnetic-nut-driver-3-inch-shank", "https://edmondsonsupply.com/collections/electricians-tools/products/klein-tools-s8m-1-4-inch-magnetic-nut-driver-3-inch-shank")</f>
        <v>https://edmondsonsupply.com/collections/electricians-tools/products/klein-tools-s8m-1-4-inch-magnetic-nut-driver-3-inch-shank</v>
      </c>
      <c r="B6647" s="3" t="str">
        <f>HYPERLINK("https://edmondsonsupply.com/products/klein-tools-s8m-1-4-inch-magnetic-nut-driver-3-inch-shank", "https://edmondsonsupply.com/products/klein-tools-s8m-1-4-inch-magnetic-nut-driver-3-inch-shank")</f>
        <v>https://edmondsonsupply.com/products/klein-tools-s8m-1-4-inch-magnetic-nut-driver-3-inch-shank</v>
      </c>
      <c r="C6647" t="s">
        <v>3809</v>
      </c>
      <c r="D6647" t="s">
        <v>5334</v>
      </c>
      <c r="E6647" s="3" t="str">
        <f>HYPERLINK("https://www.amazon.com/Magnetic-Drivers-Klein-Tools-86600/dp/B0043GVDX0/ref=sr_1_8?keywords=Klein+Tools+S8M+1%2F4-Inch+Magnetic+Nut+Driver+3-Inch+Shank&amp;qid=1695174041&amp;sr=8-8", "https://www.amazon.com/Magnetic-Drivers-Klein-Tools-86600/dp/B0043GVDX0/ref=sr_1_8?keywords=Klein+Tools+S8M+1%2F4-Inch+Magnetic+Nut+Driver+3-Inch+Shank&amp;qid=1695174041&amp;sr=8-8")</f>
        <v>https://www.amazon.com/Magnetic-Drivers-Klein-Tools-86600/dp/B0043GVDX0/ref=sr_1_8?keywords=Klein+Tools+S8M+1%2F4-Inch+Magnetic+Nut+Driver+3-Inch+Shank&amp;qid=1695174041&amp;sr=8-8</v>
      </c>
      <c r="F6647" t="s">
        <v>5335</v>
      </c>
      <c r="G6647" t="e">
        <f ca="1">_xludf.IMAGE("https://edmondsonsupply.com/cdn/shop/products/s8m.jpg?v=1633030818")</f>
        <v>#NAME?</v>
      </c>
      <c r="H6647" t="e">
        <f ca="1">_xludf.IMAGE("https://m.media-amazon.com/images/I/6147J4xgyLL._AC_UL320_.jpg")</f>
        <v>#NAME?</v>
      </c>
      <c r="I6647" t="s">
        <v>924</v>
      </c>
      <c r="J6647">
        <v>6.99</v>
      </c>
      <c r="K6647" s="4">
        <v>-0.2225</v>
      </c>
      <c r="L6647">
        <v>4.7</v>
      </c>
      <c r="M6647">
        <v>1164</v>
      </c>
      <c r="O6647" t="s">
        <v>25</v>
      </c>
      <c r="P6647" t="s">
        <v>3812</v>
      </c>
      <c r="Q6647" t="s">
        <v>3813</v>
      </c>
    </row>
    <row r="6648" spans="1:17" ht="15.5" x14ac:dyDescent="0.35">
      <c r="A6648" s="3" t="str">
        <f>HYPERLINK("https://edmondsonsupply.com/collections/electricians-tools/products/greenlee-dtap1-4-20-drill-tap-1-4-20", "https://edmondsonsupply.com/collections/electricians-tools/products/greenlee-dtap1-4-20-drill-tap-1-4-20")</f>
        <v>https://edmondsonsupply.com/collections/electricians-tools/products/greenlee-dtap1-4-20-drill-tap-1-4-20</v>
      </c>
      <c r="B6648" s="3" t="str">
        <f>HYPERLINK("https://edmondsonsupply.com/products/greenlee-dtap1-4-20-drill-tap-1-4-20", "https://edmondsonsupply.com/products/greenlee-dtap1-4-20-drill-tap-1-4-20")</f>
        <v>https://edmondsonsupply.com/products/greenlee-dtap1-4-20-drill-tap-1-4-20</v>
      </c>
      <c r="C6648" t="s">
        <v>2854</v>
      </c>
      <c r="D6648" t="s">
        <v>5336</v>
      </c>
      <c r="E6648" s="3" t="str">
        <f>HYPERLINK("https://www.amazon.com/4-20-Drill-Klein-Tools-32242/dp/B019874QJQ/ref=sr_1_5?keywords=Greenlee+DTAP1%2F4-20+Drill%2FTap%2C+1%2F4-20&amp;qid=1695173937&amp;sr=8-5", "https://www.amazon.com/4-20-Drill-Klein-Tools-32242/dp/B019874QJQ/ref=sr_1_5?keywords=Greenlee+DTAP1%2F4-20+Drill%2FTap%2C+1%2F4-20&amp;qid=1695173937&amp;sr=8-5")</f>
        <v>https://www.amazon.com/4-20-Drill-Klein-Tools-32242/dp/B019874QJQ/ref=sr_1_5?keywords=Greenlee+DTAP1%2F4-20+Drill%2FTap%2C+1%2F4-20&amp;qid=1695173937&amp;sr=8-5</v>
      </c>
      <c r="F6648" t="s">
        <v>5337</v>
      </c>
      <c r="G6648" t="e">
        <f ca="1">_xludf.IMAGE("https://edmondsonsupply.com/cdn/shop/products/DTAP1-4-20.jpg?v=1587151009")</f>
        <v>#NAME?</v>
      </c>
      <c r="H6648" t="e">
        <f ca="1">_xludf.IMAGE("https://m.media-amazon.com/images/I/419OEbztcTL._AC_UL320_.jpg")</f>
        <v>#NAME?</v>
      </c>
      <c r="I6648" t="s">
        <v>924</v>
      </c>
      <c r="J6648">
        <v>6.99</v>
      </c>
      <c r="K6648" s="4">
        <v>-0.2225</v>
      </c>
      <c r="L6648">
        <v>4.5999999999999996</v>
      </c>
      <c r="M6648">
        <v>828</v>
      </c>
      <c r="O6648" t="s">
        <v>25</v>
      </c>
      <c r="P6648" t="s">
        <v>2857</v>
      </c>
      <c r="Q6648" t="s">
        <v>2858</v>
      </c>
    </row>
    <row r="6649" spans="1:17" ht="15.5" x14ac:dyDescent="0.35">
      <c r="A6649"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6649" s="3" t="str">
        <f>HYPERLINK("https://edmondsonsupply.com/products/fluke-373-true-rms-ac-clamp-meter", "https://edmondsonsupply.com/products/fluke-373-true-rms-ac-clamp-meter")</f>
        <v>https://edmondsonsupply.com/products/fluke-373-true-rms-ac-clamp-meter</v>
      </c>
      <c r="C6649" t="s">
        <v>5826</v>
      </c>
      <c r="D6649" t="s">
        <v>5947</v>
      </c>
      <c r="E6649" s="3" t="str">
        <f>HYPERLINK("https://www.amazon.com/Fluke-365-Detachable-True-RMS-Clamp/dp/B004I2ZSLC/ref=sr_1_5?keywords=Fluke+373+True-RMS+AC+Clamp+Meter&amp;qid=1695173996&amp;sr=8-5", "https://www.amazon.com/Fluke-365-Detachable-True-RMS-Clamp/dp/B004I2ZSLC/ref=sr_1_5?keywords=Fluke+373+True-RMS+AC+Clamp+Meter&amp;qid=1695173996&amp;sr=8-5")</f>
        <v>https://www.amazon.com/Fluke-365-Detachable-True-RMS-Clamp/dp/B004I2ZSLC/ref=sr_1_5?keywords=Fluke+373+True-RMS+AC+Clamp+Meter&amp;qid=1695173996&amp;sr=8-5</v>
      </c>
      <c r="F6649" t="s">
        <v>5948</v>
      </c>
      <c r="G6649" t="e">
        <f ca="1">_xludf.IMAGE("https://edmondsonsupply.com/cdn/shop/files/f-373-01d-1500x1000.webp?v=1689369435")</f>
        <v>#NAME?</v>
      </c>
      <c r="H6649" t="e">
        <f ca="1">_xludf.IMAGE("https://m.media-amazon.com/images/I/61gtdMPNAyL._AC_UY218_.jpg")</f>
        <v>#NAME?</v>
      </c>
      <c r="I6649" t="s">
        <v>5829</v>
      </c>
      <c r="J6649">
        <v>225</v>
      </c>
      <c r="K6649" s="4">
        <v>-0.2243</v>
      </c>
      <c r="L6649">
        <v>4.5999999999999996</v>
      </c>
      <c r="M6649">
        <v>121</v>
      </c>
      <c r="O6649" t="s">
        <v>25</v>
      </c>
      <c r="P6649" t="s">
        <v>138</v>
      </c>
      <c r="Q6649" t="s">
        <v>5830</v>
      </c>
    </row>
    <row r="6650" spans="1:17" ht="15.5" x14ac:dyDescent="0.35">
      <c r="A6650"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6650"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6650" t="s">
        <v>6932</v>
      </c>
      <c r="D6650" t="s">
        <v>5970</v>
      </c>
      <c r="E6650" s="3" t="str">
        <f>HYPERLINK("https://www.amazon.com/Diablo-Universal-Bi-Metal-Oscillating-Nail-Embedded/dp/B089LDN2LT/ref=sr_1_6?keywords=Diablo+Tools+DOU250JBW+2-1%2F2+in.+Universal+Fit+Bi-Metal+Oscillating+Blade+for+Clean+Wood&amp;qid=1695174020&amp;sr=8-6", "https://www.amazon.com/Diablo-Universal-Bi-Metal-Oscillating-Nail-Embedded/dp/B089LDN2LT/ref=sr_1_6?keywords=Diablo+Tools+DOU250JBW+2-1%2F2+in.+Universal+Fit+Bi-Metal+Oscillating+Blade+for+Clean+Wood&amp;qid=1695174020&amp;sr=8-6")</f>
        <v>https://www.amazon.com/Diablo-Universal-Bi-Metal-Oscillating-Nail-Embedded/dp/B089LDN2LT/ref=sr_1_6?keywords=Diablo+Tools+DOU250JBW+2-1%2F2+in.+Universal+Fit+Bi-Metal+Oscillating+Blade+for+Clean+Wood&amp;qid=1695174020&amp;sr=8-6</v>
      </c>
      <c r="F6650" t="s">
        <v>5971</v>
      </c>
      <c r="G6650" t="e">
        <f ca="1">_xludf.IMAGE("https://edmondsonsupply.com/cdn/shop/files/pycnap4eb1urn2hxvudq.webp?v=1685718789")</f>
        <v>#NAME?</v>
      </c>
      <c r="H6650" t="e">
        <f ca="1">_xludf.IMAGE("https://m.media-amazon.com/images/I/613ig7mNjfL._AC_UL320_.jpg")</f>
        <v>#NAME?</v>
      </c>
      <c r="I6650" t="s">
        <v>6935</v>
      </c>
      <c r="J6650">
        <v>12.14</v>
      </c>
      <c r="K6650" s="4">
        <v>-0.2243</v>
      </c>
      <c r="L6650">
        <v>4.8</v>
      </c>
      <c r="M6650">
        <v>12</v>
      </c>
      <c r="O6650" t="s">
        <v>25</v>
      </c>
      <c r="P6650" t="s">
        <v>6936</v>
      </c>
      <c r="Q6650" t="s">
        <v>6937</v>
      </c>
    </row>
    <row r="6651" spans="1:17" ht="15.5" x14ac:dyDescent="0.35">
      <c r="A6651" s="3" t="str">
        <f>HYPERLINK("https://edmondsonsupply.com/collections/electricians-tools/products/milwaukee-2863-22r-m18-fuel%E2%84%A2-w-one-key%E2%84%A2-high-torque-impact-wrench-1-2-friction-ring-kit", "https://edmondsonsupply.com/collections/electricians-tools/products/milwaukee-2863-22r-m18-fuel%E2%84%A2-w-one-key%E2%84%A2-high-torque-impact-wrench-1-2-friction-ring-kit")</f>
        <v>https://edmondsonsupply.com/collections/electricians-tools/products/milwaukee-2863-22r-m18-fuel%E2%84%A2-w-one-key%E2%84%A2-high-torque-impact-wrench-1-2-friction-ring-kit</v>
      </c>
      <c r="B6651" s="3" t="str">
        <f>HYPERLINK("https://edmondsonsupply.com/products/milwaukee-2863-22r-m18-fuel%e2%84%a2-w-one-key%e2%84%a2-high-torque-impact-wrench-1-2-friction-ring-kit", "https://edmondsonsupply.com/products/milwaukee-2863-22r-m18-fuel%e2%84%a2-w-one-key%e2%84%a2-high-torque-impact-wrench-1-2-friction-ring-kit")</f>
        <v>https://edmondsonsupply.com/products/milwaukee-2863-22r-m18-fuel%e2%84%a2-w-one-key%e2%84%a2-high-torque-impact-wrench-1-2-friction-ring-kit</v>
      </c>
      <c r="C6651" t="s">
        <v>8361</v>
      </c>
      <c r="D6651" t="s">
        <v>8792</v>
      </c>
      <c r="E6651" s="3" t="str">
        <f>HYPERLINK("https://www.amazon.com/Milwaukee-2767-22R-Torque-Impact-Friction/dp/B0BPVF9TX4/ref=sr_1_2?keywords=Milwaukee+2863-22R+M18+FUEL%E2%84%A2+w%2F+ONE-KEY%E2%84%A2+High+Torque+Impact+Wrench+1%2F2%22+Friction+Ring+Kit&amp;qid=1695174108&amp;sr=8-2", "https://www.amazon.com/Milwaukee-2767-22R-Torque-Impact-Friction/dp/B0BPVF9TX4/ref=sr_1_2?keywords=Milwaukee+2863-22R+M18+FUEL%E2%84%A2+w%2F+ONE-KEY%E2%84%A2+High+Torque+Impact+Wrench+1%2F2%22+Friction+Ring+Kit&amp;qid=1695174108&amp;sr=8-2")</f>
        <v>https://www.amazon.com/Milwaukee-2767-22R-Torque-Impact-Friction/dp/B0BPVF9TX4/ref=sr_1_2?keywords=Milwaukee+2863-22R+M18+FUEL%E2%84%A2+w%2F+ONE-KEY%E2%84%A2+High+Torque+Impact+Wrench+1%2F2%22+Friction+Ring+Kit&amp;qid=1695174108&amp;sr=8-2</v>
      </c>
      <c r="F6651" t="s">
        <v>8793</v>
      </c>
      <c r="G6651" t="e">
        <f ca="1">_xludf.IMAGE("https://edmondsonsupply.com/cdn/shop/products/2863-22R_Kit_102.png?v=1671644124")</f>
        <v>#NAME?</v>
      </c>
      <c r="H6651" t="e">
        <f ca="1">_xludf.IMAGE("https://m.media-amazon.com/images/I/71gSKRvxyuL._AC_UL320_.jpg")</f>
        <v>#NAME?</v>
      </c>
      <c r="I6651" t="s">
        <v>8362</v>
      </c>
      <c r="J6651">
        <v>439.73</v>
      </c>
      <c r="K6651" s="4">
        <v>-0.22720000000000001</v>
      </c>
      <c r="L6651">
        <v>4.8</v>
      </c>
      <c r="M6651">
        <v>9</v>
      </c>
      <c r="O6651" t="s">
        <v>25</v>
      </c>
      <c r="P6651" t="s">
        <v>8363</v>
      </c>
      <c r="Q6651" t="s">
        <v>8364</v>
      </c>
    </row>
    <row r="6652" spans="1:17" ht="15.5" x14ac:dyDescent="0.35">
      <c r="A6652" s="3" t="str">
        <f>HYPERLINK("https://edmondsonsupply.com/collections/electricians-tools/products/fluke-378-fc-non-contact-voltage-true-rms-ac-dc-clamp-meter-with-iflex", "https://edmondsonsupply.com/collections/electricians-tools/products/fluke-378-fc-non-contact-voltage-true-rms-ac-dc-clamp-meter-with-iflex")</f>
        <v>https://edmondsonsupply.com/collections/electricians-tools/products/fluke-378-fc-non-contact-voltage-true-rms-ac-dc-clamp-meter-with-iflex</v>
      </c>
      <c r="B6652" s="3" t="str">
        <f>HYPERLINK("https://edmondsonsupply.com/products/fluke-378-fc-non-contact-voltage-true-rms-ac-dc-clamp-meter-with-iflex", "https://edmondsonsupply.com/products/fluke-378-fc-non-contact-voltage-true-rms-ac-dc-clamp-meter-with-iflex")</f>
        <v>https://edmondsonsupply.com/products/fluke-378-fc-non-contact-voltage-true-rms-ac-dc-clamp-meter-with-iflex</v>
      </c>
      <c r="C6652" t="s">
        <v>4438</v>
      </c>
      <c r="D6652" t="s">
        <v>5346</v>
      </c>
      <c r="E6652" s="3" t="str">
        <f>HYPERLINK("https://www.amazon.com/Fluke-377FC-Non-Contact-Voltage-Wireless/dp/B0916LXCWW/ref=sr_1_5?keywords=Fluke+378+FC+Non-Contact+Voltage+True-RMS+AC%2FDC+Clamp+Meter+with+iFlex&amp;qid=1695173847&amp;sr=8-5", "https://www.amazon.com/Fluke-377FC-Non-Contact-Voltage-Wireless/dp/B0916LXCWW/ref=sr_1_5?keywords=Fluke+378+FC+Non-Contact+Voltage+True-RMS+AC%2FDC+Clamp+Meter+with+iFlex&amp;qid=1695173847&amp;sr=8-5")</f>
        <v>https://www.amazon.com/Fluke-377FC-Non-Contact-Voltage-Wireless/dp/B0916LXCWW/ref=sr_1_5?keywords=Fluke+378+FC+Non-Contact+Voltage+True-RMS+AC%2FDC+Clamp+Meter+with+iFlex&amp;qid=1695173847&amp;sr=8-5</v>
      </c>
      <c r="F6652" t="s">
        <v>5347</v>
      </c>
      <c r="G6652" t="e">
        <f ca="1">_xludf.IMAGE("https://edmondsonsupply.com/cdn/shop/products/378_FC_72dpi_499x1024px_E_NR-27689.jpg?v=1633031120")</f>
        <v>#NAME?</v>
      </c>
      <c r="H6652" t="e">
        <f ca="1">_xludf.IMAGE("https://m.media-amazon.com/images/I/7112bqFKTjL._AC_UY218_.jpg")</f>
        <v>#NAME?</v>
      </c>
      <c r="I6652" t="s">
        <v>4441</v>
      </c>
      <c r="J6652">
        <v>600</v>
      </c>
      <c r="K6652" s="4">
        <v>-0.22750000000000001</v>
      </c>
      <c r="L6652">
        <v>4.4000000000000004</v>
      </c>
      <c r="M6652">
        <v>39</v>
      </c>
      <c r="O6652" t="s">
        <v>171</v>
      </c>
      <c r="P6652" t="s">
        <v>4442</v>
      </c>
      <c r="Q6652" t="s">
        <v>4443</v>
      </c>
    </row>
    <row r="6653" spans="1:17" ht="15.5" x14ac:dyDescent="0.35">
      <c r="A6653"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6653"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6653" t="s">
        <v>8519</v>
      </c>
      <c r="D6653" t="s">
        <v>7101</v>
      </c>
      <c r="E6653" s="3" t="str">
        <f>HYPERLINK("https://www.amazon.com/Diablo-DOS125JBW3-Starlock-Bi-Metal-Oscillating/dp/B089KWG9Z3/ref=sr_1_10?keywords=Diablo+Tools+DOU125JBW3+1-1%2F4+in.+Universal+Fit+Bi-Metal+Oscillating+Blades+for+Clean+Wood&amp;qid=1695174271&amp;sr=8-10", "https://www.amazon.com/Diablo-DOS125JBW3-Starlock-Bi-Metal-Oscillating/dp/B089KWG9Z3/ref=sr_1_10?keywords=Diablo+Tools+DOU125JBW3+1-1%2F4+in.+Universal+Fit+Bi-Metal+Oscillating+Blades+for+Clean+Wood&amp;qid=1695174271&amp;sr=8-10")</f>
        <v>https://www.amazon.com/Diablo-DOS125JBW3-Starlock-Bi-Metal-Oscillating/dp/B089KWG9Z3/ref=sr_1_10?keywords=Diablo+Tools+DOU125JBW3+1-1%2F4+in.+Universal+Fit+Bi-Metal+Oscillating+Blades+for+Clean+Wood&amp;qid=1695174271&amp;sr=8-10</v>
      </c>
      <c r="F6653" t="s">
        <v>7102</v>
      </c>
      <c r="G6653" t="e">
        <f ca="1">_xludf.IMAGE("https://edmondsonsupply.com/cdn/shop/products/DOU125JBW3_Main-Image.png?v=1633031095")</f>
        <v>#NAME?</v>
      </c>
      <c r="H6653" t="e">
        <f ca="1">_xludf.IMAGE("https://m.media-amazon.com/images/I/61pZ45bX2GL._AC_UL320_.jpg")</f>
        <v>#NAME?</v>
      </c>
      <c r="I6653" t="s">
        <v>340</v>
      </c>
      <c r="J6653">
        <v>27</v>
      </c>
      <c r="K6653" s="4">
        <v>-0.22789999999999999</v>
      </c>
      <c r="L6653">
        <v>4.4000000000000004</v>
      </c>
      <c r="M6653">
        <v>46</v>
      </c>
      <c r="O6653" t="s">
        <v>25</v>
      </c>
      <c r="P6653" t="s">
        <v>8520</v>
      </c>
      <c r="Q6653" t="s">
        <v>8521</v>
      </c>
    </row>
    <row r="6654" spans="1:17" ht="15.5" x14ac:dyDescent="0.35">
      <c r="A6654"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6654"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6654" t="s">
        <v>8776</v>
      </c>
      <c r="D6654" t="s">
        <v>7101</v>
      </c>
      <c r="E6654" s="3" t="str">
        <f>HYPERLINK("https://www.amazon.com/Diablo-DOS125JBW3-Starlock-Bi-Metal-Oscillating/dp/B089KWG9Z3/ref=sr_1_5?keywords=Diablo+Tools+DOS125BW3+1-1%2F4+in.+Starlock+Bi-Metal+Oscillating+Blades+for+Nail-Embedded+Wood&amp;qid=1695174253&amp;sr=8-5", "https://www.amazon.com/Diablo-DOS125JBW3-Starlock-Bi-Metal-Oscillating/dp/B089KWG9Z3/ref=sr_1_5?keywords=Diablo+Tools+DOS125BW3+1-1%2F4+in.+Starlock+Bi-Metal+Oscillating+Blades+for+Nail-Embedded+Wood&amp;qid=1695174253&amp;sr=8-5")</f>
        <v>https://www.amazon.com/Diablo-DOS125JBW3-Starlock-Bi-Metal-Oscillating/dp/B089KWG9Z3/ref=sr_1_5?keywords=Diablo+Tools+DOS125BW3+1-1%2F4+in.+Starlock+Bi-Metal+Oscillating+Blades+for+Nail-Embedded+Wood&amp;qid=1695174253&amp;sr=8-5</v>
      </c>
      <c r="F6654" t="s">
        <v>7102</v>
      </c>
      <c r="G6654" t="e">
        <f ca="1">_xludf.IMAGE("https://edmondsonsupply.com/cdn/shop/products/DOS125BW3_Main-Image.png?v=1633031100")</f>
        <v>#NAME?</v>
      </c>
      <c r="H6654" t="e">
        <f ca="1">_xludf.IMAGE("https://m.media-amazon.com/images/I/61pZ45bX2GL._AC_UL320_.jpg")</f>
        <v>#NAME?</v>
      </c>
      <c r="I6654" t="s">
        <v>340</v>
      </c>
      <c r="J6654">
        <v>27</v>
      </c>
      <c r="K6654" s="4">
        <v>-0.22789999999999999</v>
      </c>
      <c r="L6654">
        <v>4.4000000000000004</v>
      </c>
      <c r="M6654">
        <v>46</v>
      </c>
      <c r="O6654" t="s">
        <v>25</v>
      </c>
      <c r="P6654" t="s">
        <v>8777</v>
      </c>
      <c r="Q6654" t="s">
        <v>8778</v>
      </c>
    </row>
    <row r="6655" spans="1:17" ht="15.5" x14ac:dyDescent="0.35">
      <c r="A6655" s="3" t="str">
        <f>HYPERLINK("https://edmondsonsupply.com/collections/electricians-tools/products/klein-tools-44001-blk-black-lightweight-lockback-knife-2-1-2-inch", "https://edmondsonsupply.com/collections/electricians-tools/products/klein-tools-44001-blk-black-lightweight-lockback-knife-2-1-2-inch")</f>
        <v>https://edmondsonsupply.com/collections/electricians-tools/products/klein-tools-44001-blk-black-lightweight-lockback-knife-2-1-2-inch</v>
      </c>
      <c r="B6655" s="3" t="str">
        <f>HYPERLINK("https://edmondsonsupply.com/products/klein-tools-44001-blk-black-lightweight-lockback-knife-2-1-2-inch", "https://edmondsonsupply.com/products/klein-tools-44001-blk-black-lightweight-lockback-knife-2-1-2-inch")</f>
        <v>https://edmondsonsupply.com/products/klein-tools-44001-blk-black-lightweight-lockback-knife-2-1-2-inch</v>
      </c>
      <c r="C6655" t="s">
        <v>7786</v>
      </c>
      <c r="D6655" t="s">
        <v>8794</v>
      </c>
      <c r="E6655" s="3" t="str">
        <f>HYPERLINK("https://www.amazon.com/Lightweight-Drop-Point-Klein-Tools-44000-BLK/dp/B0026TDUMS/ref=sr_1_2?keywords=Klein+Tools+44001-BLK+Black+Lightweight+Lockback+Knife%2C+2-1%2F2-Inch&amp;qid=1695174306&amp;sr=8-2", "https://www.amazon.com/Lightweight-Drop-Point-Klein-Tools-44000-BLK/dp/B0026TDUMS/ref=sr_1_2?keywords=Klein+Tools+44001-BLK+Black+Lightweight+Lockback+Knife%2C+2-1%2F2-Inch&amp;qid=1695174306&amp;sr=8-2")</f>
        <v>https://www.amazon.com/Lightweight-Drop-Point-Klein-Tools-44000-BLK/dp/B0026TDUMS/ref=sr_1_2?keywords=Klein+Tools+44001-BLK+Black+Lightweight+Lockback+Knife%2C+2-1%2F2-Inch&amp;qid=1695174306&amp;sr=8-2</v>
      </c>
      <c r="F6655" t="s">
        <v>8795</v>
      </c>
      <c r="G6655" t="e">
        <f ca="1">_xludf.IMAGE("https://edmondsonsupply.com/cdn/shop/products/44001-blk.jpg?v=1633030819")</f>
        <v>#NAME?</v>
      </c>
      <c r="H6655" t="e">
        <f ca="1">_xludf.IMAGE("https://m.media-amazon.com/images/I/41ZZ37Tc5yS._AC_UL320_.jpg")</f>
        <v>#NAME?</v>
      </c>
      <c r="I6655" t="s">
        <v>3436</v>
      </c>
      <c r="J6655">
        <v>36.99</v>
      </c>
      <c r="K6655" s="4">
        <v>-0.22919999999999999</v>
      </c>
      <c r="L6655">
        <v>4.3</v>
      </c>
      <c r="M6655">
        <v>93</v>
      </c>
      <c r="O6655" t="s">
        <v>25</v>
      </c>
      <c r="P6655" t="s">
        <v>7787</v>
      </c>
      <c r="Q6655" t="s">
        <v>7788</v>
      </c>
    </row>
    <row r="6656" spans="1:17" ht="15.5" x14ac:dyDescent="0.35">
      <c r="A6656"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6656" s="3" t="str">
        <f>HYPERLINK("https://edmondsonsupply.com/products/klein-tools-60184-lightweight-gel-knee-pads", "https://edmondsonsupply.com/products/klein-tools-60184-lightweight-gel-knee-pads")</f>
        <v>https://edmondsonsupply.com/products/klein-tools-60184-lightweight-gel-knee-pads</v>
      </c>
      <c r="C6656" t="s">
        <v>908</v>
      </c>
      <c r="D6656" t="s">
        <v>1166</v>
      </c>
      <c r="E6656" s="3" t="str">
        <f>HYPERLINK("https://www.amazon.com/Klein-Tools-60614-Lightweight-Slip-Resistant/dp/B0BW9WHCRJ/ref=sr_1_5?keywords=Klein+Tools+60184+Lightweight+Gel+Knee+Pads&amp;qid=1695173931&amp;sr=8-5", "https://www.amazon.com/Klein-Tools-60614-Lightweight-Slip-Resistant/dp/B0BW9WHCRJ/ref=sr_1_5?keywords=Klein+Tools+60184+Lightweight+Gel+Knee+Pads&amp;qid=1695173931&amp;sr=8-5")</f>
        <v>https://www.amazon.com/Klein-Tools-60614-Lightweight-Slip-Resistant/dp/B0BW9WHCRJ/ref=sr_1_5?keywords=Klein+Tools+60184+Lightweight+Gel+Knee+Pads&amp;qid=1695173931&amp;sr=8-5</v>
      </c>
      <c r="F6656" t="s">
        <v>1167</v>
      </c>
      <c r="G6656" t="e">
        <f ca="1">_xludf.IMAGE("https://edmondsonsupply.com/cdn/shop/products/60184.jpg?v=1633030246")</f>
        <v>#NAME?</v>
      </c>
      <c r="H6656" t="e">
        <f ca="1">_xludf.IMAGE("https://m.media-amazon.com/images/I/61pjcWSwQcL._AC_UL320_.jpg")</f>
        <v>#NAME?</v>
      </c>
      <c r="I6656" t="s">
        <v>911</v>
      </c>
      <c r="J6656">
        <v>19.989999999999998</v>
      </c>
      <c r="K6656" s="4">
        <v>-0.2303</v>
      </c>
      <c r="L6656">
        <v>4.5</v>
      </c>
      <c r="M6656">
        <v>192</v>
      </c>
      <c r="O6656" t="s">
        <v>25</v>
      </c>
      <c r="P6656" t="s">
        <v>912</v>
      </c>
      <c r="Q6656" t="s">
        <v>913</v>
      </c>
    </row>
    <row r="6657" spans="1:17" ht="15.5" x14ac:dyDescent="0.35">
      <c r="A6657"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6657" s="3" t="str">
        <f>HYPERLINK("https://edmondsonsupply.com/products/diablo-tools-dmapl2530-1-in-x-16-in-x-18-in-sds-plus-2-cutter", "https://edmondsonsupply.com/products/diablo-tools-dmapl2530-1-in-x-16-in-x-18-in-sds-plus-2-cutter")</f>
        <v>https://edmondsonsupply.com/products/diablo-tools-dmapl2530-1-in-x-16-in-x-18-in-sds-plus-2-cutter</v>
      </c>
      <c r="C6657" t="s">
        <v>7435</v>
      </c>
      <c r="D6657" t="s">
        <v>8796</v>
      </c>
      <c r="E6657" s="3" t="str">
        <f>HYPERLINK("https://www.amazon.com/Sabre-Tools-Rotary-Carbide-Concrete/dp/B0BL1LGYZK/ref=sr_1_5?keywords=Diablo+Tools+DMAPL2530+1+in.+x+16+in.+x+18+in.+SDS-Plus+2-Cutter&amp;qid=1695174263&amp;sr=8-5", "https://www.amazon.com/Sabre-Tools-Rotary-Carbide-Concrete/dp/B0BL1LGYZK/ref=sr_1_5?keywords=Diablo+Tools+DMAPL2530+1+in.+x+16+in.+x+18+in.+SDS-Plus+2-Cutter&amp;qid=1695174263&amp;sr=8-5")</f>
        <v>https://www.amazon.com/Sabre-Tools-Rotary-Carbide-Concrete/dp/B0BL1LGYZK/ref=sr_1_5?keywords=Diablo+Tools+DMAPL2530+1+in.+x+16+in.+x+18+in.+SDS-Plus+2-Cutter&amp;qid=1695174263&amp;sr=8-5</v>
      </c>
      <c r="F6657" t="s">
        <v>8797</v>
      </c>
      <c r="G6657" t="e">
        <f ca="1">_xludf.IMAGE("https://edmondsonsupply.com/cdn/shop/products/DMAPL2530_Main-Image20200703.png?v=1627068300")</f>
        <v>#NAME?</v>
      </c>
      <c r="H6657" t="e">
        <f ca="1">_xludf.IMAGE("https://m.media-amazon.com/images/I/61D3l9KJTDL._AC_UL320_.jpg")</f>
        <v>#NAME?</v>
      </c>
      <c r="I6657" t="s">
        <v>7436</v>
      </c>
      <c r="J6657">
        <v>29.99</v>
      </c>
      <c r="K6657" s="4">
        <v>-0.23039999999999999</v>
      </c>
      <c r="L6657">
        <v>4.5999999999999996</v>
      </c>
      <c r="M6657">
        <v>402</v>
      </c>
      <c r="O6657" t="s">
        <v>25</v>
      </c>
      <c r="P6657" t="s">
        <v>7437</v>
      </c>
      <c r="Q6657" t="s">
        <v>7438</v>
      </c>
    </row>
    <row r="6658" spans="1:17" ht="15.5" x14ac:dyDescent="0.35">
      <c r="A6658" s="3" t="str">
        <f>HYPERLINK("https://edmondsonsupply.com/collections/electricians-tools/products/crescent-tools-ccp8v-2-in-1-combo-dual-material-linesmans-pliers-and-wire-stripper", "https://edmondsonsupply.com/collections/electricians-tools/products/crescent-tools-ccp8v-2-in-1-combo-dual-material-linesmans-pliers-and-wire-stripper")</f>
        <v>https://edmondsonsupply.com/collections/electricians-tools/products/crescent-tools-ccp8v-2-in-1-combo-dual-material-linesmans-pliers-and-wire-stripper</v>
      </c>
      <c r="B6658" s="3" t="str">
        <f>HYPERLINK("https://edmondsonsupply.com/products/crescent-tools-ccp8v-2-in-1-combo-dual-material-linesmans-pliers-and-wire-stripper", "https://edmondsonsupply.com/products/crescent-tools-ccp8v-2-in-1-combo-dual-material-linesmans-pliers-and-wire-stripper")</f>
        <v>https://edmondsonsupply.com/products/crescent-tools-ccp8v-2-in-1-combo-dual-material-linesmans-pliers-and-wire-stripper</v>
      </c>
      <c r="C6658" t="s">
        <v>8798</v>
      </c>
      <c r="D6658" t="s">
        <v>8799</v>
      </c>
      <c r="E6658" s="3" t="str">
        <f>HYPERLINK("https://www.amazon.com/Crescent-CCP8V-Material-Linesmans-Stripper/dp/B01CDJEDLW/ref=sr_1_1?keywords=Crescent+Tools+CCP8V+2-in-1+Combo+Dual+Material+Linesmans+Pliers+and+Wire+Stripper&amp;qid=1695174079&amp;sr=8-1", "https://www.amazon.com/Crescent-CCP8V-Material-Linesmans-Stripper/dp/B01CDJEDLW/ref=sr_1_1?keywords=Crescent+Tools+CCP8V+2-in-1+Combo+Dual+Material+Linesmans+Pliers+and+Wire+Stripper&amp;qid=1695174079&amp;sr=8-1")</f>
        <v>https://www.amazon.com/Crescent-CCP8V-Material-Linesmans-Stripper/dp/B01CDJEDLW/ref=sr_1_1?keywords=Crescent+Tools+CCP8V+2-in-1+Combo+Dual+Material+Linesmans+Pliers+and+Wire+Stripper&amp;qid=1695174079&amp;sr=8-1</v>
      </c>
      <c r="F6658" t="s">
        <v>8800</v>
      </c>
      <c r="G6658" t="e">
        <f ca="1">_xludf.IMAGE("https://edmondsonsupply.com/cdn/shop/products/CRS_CCP8V_IMG-MAIN.jpg?v=1678655204")</f>
        <v>#NAME?</v>
      </c>
      <c r="H6658" t="e">
        <f ca="1">_xludf.IMAGE("https://m.media-amazon.com/images/I/71Wl3sH00DL._AC_UL320_.jpg")</f>
        <v>#NAME?</v>
      </c>
      <c r="I6658" t="s">
        <v>8801</v>
      </c>
      <c r="J6658">
        <v>26.3</v>
      </c>
      <c r="K6658" s="4">
        <v>-0.23080000000000001</v>
      </c>
      <c r="L6658">
        <v>4.0999999999999996</v>
      </c>
      <c r="M6658">
        <v>516</v>
      </c>
      <c r="O6658" t="s">
        <v>25</v>
      </c>
      <c r="P6658" t="s">
        <v>8802</v>
      </c>
      <c r="Q6658" t="s">
        <v>8803</v>
      </c>
    </row>
    <row r="6659" spans="1:17" ht="15.5" x14ac:dyDescent="0.35">
      <c r="A6659" s="3" t="str">
        <f>HYPERLINK("https://edmondsonsupply.com/collections/electricians-tools/products/klein-tools-ncvt1p-non-contact-voltage-tester-pen-50-to-1000v-ac", "https://edmondsonsupply.com/collections/electricians-tools/products/klein-tools-ncvt1p-non-contact-voltage-tester-pen-50-to-1000v-ac")</f>
        <v>https://edmondsonsupply.com/collections/electricians-tools/products/klein-tools-ncvt1p-non-contact-voltage-tester-pen-50-to-1000v-ac</v>
      </c>
      <c r="B6659" s="3" t="str">
        <f>HYPERLINK("https://edmondsonsupply.com/products/klein-tools-ncvt1p-non-contact-voltage-tester-pen-50-to-1000v-ac", "https://edmondsonsupply.com/products/klein-tools-ncvt1p-non-contact-voltage-tester-pen-50-to-1000v-ac")</f>
        <v>https://edmondsonsupply.com/products/klein-tools-ncvt1p-non-contact-voltage-tester-pen-50-to-1000v-ac</v>
      </c>
      <c r="C6659" t="s">
        <v>8804</v>
      </c>
      <c r="D6659" t="s">
        <v>7063</v>
      </c>
      <c r="E6659" s="3" t="str">
        <f>HYPERLINK("https://www.amazon.com/Non-Contact-Detector-Klein-Tools-NCVT1P/dp/B099SJ6469/ref=sr_1_fkmr0_1?keywords=Klein+Tools+NCVT1P+Non-Contact+Voltage+Tester+Pen%2C+50+to+1000V+AC&amp;qid=1695174140&amp;sr=8-1-fkmr0", "https://www.amazon.com/Non-Contact-Detector-Klein-Tools-NCVT1P/dp/B099SJ6469/ref=sr_1_fkmr0_1?keywords=Klein+Tools+NCVT1P+Non-Contact+Voltage+Tester+Pen%2C+50+to+1000V+AC&amp;qid=1695174140&amp;sr=8-1-fkmr0")</f>
        <v>https://www.amazon.com/Non-Contact-Detector-Klein-Tools-NCVT1P/dp/B099SJ6469/ref=sr_1_fkmr0_1?keywords=Klein+Tools+NCVT1P+Non-Contact+Voltage+Tester+Pen%2C+50+to+1000V+AC&amp;qid=1695174140&amp;sr=8-1-fkmr0</v>
      </c>
      <c r="F6659" t="s">
        <v>7064</v>
      </c>
      <c r="G6659" t="e">
        <f ca="1">_xludf.IMAGE("https://edmondsonsupply.com/cdn/shop/products/ncvt1p.jpg?v=1665668632")</f>
        <v>#NAME?</v>
      </c>
      <c r="H6659" t="e">
        <f ca="1">_xludf.IMAGE("https://m.media-amazon.com/images/I/412nrsDmOxL._AC_UL320_.jpg")</f>
        <v>#NAME?</v>
      </c>
      <c r="I6659" t="s">
        <v>893</v>
      </c>
      <c r="J6659">
        <v>15.36</v>
      </c>
      <c r="K6659" s="4">
        <v>-0.23080000000000001</v>
      </c>
      <c r="L6659">
        <v>4.5999999999999996</v>
      </c>
      <c r="M6659">
        <v>3435</v>
      </c>
      <c r="O6659" t="s">
        <v>25</v>
      </c>
      <c r="P6659" t="s">
        <v>6347</v>
      </c>
      <c r="Q6659" t="s">
        <v>8805</v>
      </c>
    </row>
    <row r="6660" spans="1:17" ht="15.5" x14ac:dyDescent="0.35">
      <c r="A6660" s="3" t="str">
        <f>HYPERLINK("https://edmondsonsupply.com/collections/electricians-tools/products/crescent-lufkin-1-3-16-x-25-command-control-series%E2%84%A2-yellow-clad-tape-measure", "https://edmondsonsupply.com/collections/electricians-tools/products/crescent-lufkin-1-3-16-x-25-command-control-series%E2%84%A2-yellow-clad-tape-measure")</f>
        <v>https://edmondsonsupply.com/collections/electricians-tools/products/crescent-lufkin-1-3-16-x-25-command-control-series%E2%84%A2-yellow-clad-tape-measure</v>
      </c>
      <c r="B6660" s="3" t="str">
        <f>HYPERLINK("https://edmondsonsupply.com/products/crescent-lufkin-1-3-16-x-25-command-control-series%e2%84%a2-yellow-clad-tape-measure", "https://edmondsonsupply.com/products/crescent-lufkin-1-3-16-x-25-command-control-series%e2%84%a2-yellow-clad-tape-measure")</f>
        <v>https://edmondsonsupply.com/products/crescent-lufkin-1-3-16-x-25-command-control-series%e2%84%a2-yellow-clad-tape-measure</v>
      </c>
      <c r="C6660" t="s">
        <v>7470</v>
      </c>
      <c r="D6660" t="s">
        <v>8806</v>
      </c>
      <c r="E6660" s="3" t="str">
        <f>HYPERLINK("https://www.amazon.com/Crescent-Lufkin-Command-Control-Measure/dp/B09PGZ5TMN/ref=sr_1_4?keywords=Crescent+Lufkin+L1025C-02+1-3%2F16%22+x+25%27+Command+Control+Series%E2%84%A2+Yellow+Clad+Tape+Measure&amp;qid=1695174033&amp;sr=8-4", "https://www.amazon.com/Crescent-Lufkin-Command-Control-Measure/dp/B09PGZ5TMN/ref=sr_1_4?keywords=Crescent+Lufkin+L1025C-02+1-3%2F16%22+x+25%27+Command+Control+Series%E2%84%A2+Yellow+Clad+Tape+Measure&amp;qid=1695174033&amp;sr=8-4")</f>
        <v>https://www.amazon.com/Crescent-Lufkin-Command-Control-Measure/dp/B09PGZ5TMN/ref=sr_1_4?keywords=Crescent+Lufkin+L1025C-02+1-3%2F16%22+x+25%27+Command+Control+Series%E2%84%A2+Yellow+Clad+Tape+Measure&amp;qid=1695174033&amp;sr=8-4</v>
      </c>
      <c r="F6660" t="s">
        <v>8807</v>
      </c>
      <c r="G6660" t="e">
        <f ca="1">_xludf.IMAGE("https://edmondsonsupply.com/cdn/shop/products/LFK_L1025C_4-SIDES_IMG-MAIN1.jpg?v=1680013140")</f>
        <v>#NAME?</v>
      </c>
      <c r="H6660" t="e">
        <f ca="1">_xludf.IMAGE("https://m.media-amazon.com/images/I/71NBwAiNcdL._AC_UL320_.jpg")</f>
        <v>#NAME?</v>
      </c>
      <c r="I6660" t="s">
        <v>7473</v>
      </c>
      <c r="J6660">
        <v>11.99</v>
      </c>
      <c r="K6660" s="4">
        <v>-0.23089999999999999</v>
      </c>
      <c r="L6660">
        <v>3.8</v>
      </c>
      <c r="M6660">
        <v>36</v>
      </c>
      <c r="O6660" t="s">
        <v>25</v>
      </c>
      <c r="P6660" t="s">
        <v>6822</v>
      </c>
      <c r="Q6660" t="s">
        <v>7474</v>
      </c>
    </row>
    <row r="6661" spans="1:17" ht="15.5" x14ac:dyDescent="0.35">
      <c r="A6661" s="3" t="str">
        <f>HYPERLINK("https://edmondsonsupply.com/collections/electricians-tools/products/klein-tools-60184-lightweight-gel-knee-pads", "https://edmondsonsupply.com/collections/electricians-tools/products/klein-tools-60184-lightweight-gel-knee-pads")</f>
        <v>https://edmondsonsupply.com/collections/electricians-tools/products/klein-tools-60184-lightweight-gel-knee-pads</v>
      </c>
      <c r="B6661" s="3" t="str">
        <f>HYPERLINK("https://edmondsonsupply.com/products/klein-tools-60184-lightweight-gel-knee-pads", "https://edmondsonsupply.com/products/klein-tools-60184-lightweight-gel-knee-pads")</f>
        <v>https://edmondsonsupply.com/products/klein-tools-60184-lightweight-gel-knee-pads</v>
      </c>
      <c r="C6661" t="s">
        <v>908</v>
      </c>
      <c r="D6661" t="s">
        <v>1142</v>
      </c>
      <c r="E6661" s="3" t="str">
        <f>HYPERLINK("https://www.amazon.com/Klein-Tools-60592-Lightweight-Slip-Resistant/dp/B0B622FRN8/ref=sr_1_4?keywords=Klein+Tools+60184+Lightweight+Gel+Knee+Pads&amp;qid=1695173931&amp;sr=8-4", "https://www.amazon.com/Klein-Tools-60592-Lightweight-Slip-Resistant/dp/B0B622FRN8/ref=sr_1_4?keywords=Klein+Tools+60184+Lightweight+Gel+Knee+Pads&amp;qid=1695173931&amp;sr=8-4")</f>
        <v>https://www.amazon.com/Klein-Tools-60592-Lightweight-Slip-Resistant/dp/B0B622FRN8/ref=sr_1_4?keywords=Klein+Tools+60184+Lightweight+Gel+Knee+Pads&amp;qid=1695173931&amp;sr=8-4</v>
      </c>
      <c r="F6661" t="s">
        <v>1143</v>
      </c>
      <c r="G6661" t="e">
        <f ca="1">_xludf.IMAGE("https://edmondsonsupply.com/cdn/shop/products/60184.jpg?v=1633030246")</f>
        <v>#NAME?</v>
      </c>
      <c r="H6661" t="e">
        <f ca="1">_xludf.IMAGE("https://m.media-amazon.com/images/I/61SeDj1bXKL._AC_UL320_.jpg")</f>
        <v>#NAME?</v>
      </c>
      <c r="I6661" t="s">
        <v>911</v>
      </c>
      <c r="J6661">
        <v>19.97</v>
      </c>
      <c r="K6661" s="4">
        <v>-0.23100000000000001</v>
      </c>
      <c r="L6661">
        <v>4.0999999999999996</v>
      </c>
      <c r="M6661">
        <v>147</v>
      </c>
      <c r="O6661" t="s">
        <v>25</v>
      </c>
      <c r="P6661" t="s">
        <v>912</v>
      </c>
      <c r="Q6661" t="s">
        <v>913</v>
      </c>
    </row>
    <row r="6662" spans="1:17" ht="15.5" x14ac:dyDescent="0.35">
      <c r="A6662"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6662" s="3" t="str">
        <f>HYPERLINK("https://edmondsonsupply.com/products/klein-tools-32307-27-in-1-multi-bit-tamperproof-screwdriver", "https://edmondsonsupply.com/products/klein-tools-32307-27-in-1-multi-bit-tamperproof-screwdriver")</f>
        <v>https://edmondsonsupply.com/products/klein-tools-32307-27-in-1-multi-bit-tamperproof-screwdriver</v>
      </c>
      <c r="C6662" t="s">
        <v>6847</v>
      </c>
      <c r="D6662" t="s">
        <v>8808</v>
      </c>
      <c r="E6662" s="3" t="str">
        <f>HYPERLINK("https://www.amazon.com/Klein-Tools-Multi-bit-Screwdriver-Adjustable/dp/B08KFM8833/ref=sr_1_9?keywords=Klein+Tools+32307+27-in-1+Multi-Bit+Tamperproof+Screwdriver&amp;qid=1695174232&amp;sr=8-9", "https://www.amazon.com/Klein-Tools-Multi-bit-Screwdriver-Adjustable/dp/B08KFM8833/ref=sr_1_9?keywords=Klein+Tools+32307+27-in-1+Multi-Bit+Tamperproof+Screwdriver&amp;qid=1695174232&amp;sr=8-9")</f>
        <v>https://www.amazon.com/Klein-Tools-Multi-bit-Screwdriver-Adjustable/dp/B08KFM8833/ref=sr_1_9?keywords=Klein+Tools+32307+27-in-1+Multi-Bit+Tamperproof+Screwdriver&amp;qid=1695174232&amp;sr=8-9</v>
      </c>
      <c r="F6662" t="s">
        <v>8809</v>
      </c>
      <c r="G6662" t="e">
        <f ca="1">_xludf.IMAGE("https://edmondsonsupply.com/cdn/shop/products/32307.jpg?v=1647347524")</f>
        <v>#NAME?</v>
      </c>
      <c r="H6662" t="e">
        <f ca="1">_xludf.IMAGE("https://m.media-amazon.com/images/I/51MWPRqx3sL._AC_UL320_.jpg")</f>
        <v>#NAME?</v>
      </c>
      <c r="I6662" t="s">
        <v>911</v>
      </c>
      <c r="J6662">
        <v>19.97</v>
      </c>
      <c r="K6662" s="4">
        <v>-0.23100000000000001</v>
      </c>
      <c r="L6662">
        <v>4.5999999999999996</v>
      </c>
      <c r="M6662">
        <v>2712</v>
      </c>
      <c r="O6662" t="s">
        <v>25</v>
      </c>
      <c r="P6662" t="s">
        <v>6850</v>
      </c>
      <c r="Q6662" t="s">
        <v>6851</v>
      </c>
    </row>
    <row r="6663" spans="1:17" ht="15.5" x14ac:dyDescent="0.35">
      <c r="A6663"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6663" s="3" t="str">
        <f>HYPERLINK("https://edmondsonsupply.com/products/klein-tools-32307-27-in-1-multi-bit-tamperproof-screwdriver", "https://edmondsonsupply.com/products/klein-tools-32307-27-in-1-multi-bit-tamperproof-screwdriver")</f>
        <v>https://edmondsonsupply.com/products/klein-tools-32307-27-in-1-multi-bit-tamperproof-screwdriver</v>
      </c>
      <c r="C6663" t="s">
        <v>6847</v>
      </c>
      <c r="D6663" t="s">
        <v>8810</v>
      </c>
      <c r="E6663" s="3" t="str">
        <f>HYPERLINK("https://www.amazon.com/Klein-Tools-32328-Screwdriver-Rare-Earth/dp/B09Z78CPK3/ref=sr_1_8?keywords=Klein+Tools+32307+27-in-1+Multi-Bit+Tamperproof+Screwdriver&amp;qid=1695174232&amp;sr=8-8", "https://www.amazon.com/Klein-Tools-32328-Screwdriver-Rare-Earth/dp/B09Z78CPK3/ref=sr_1_8?keywords=Klein+Tools+32307+27-in-1+Multi-Bit+Tamperproof+Screwdriver&amp;qid=1695174232&amp;sr=8-8")</f>
        <v>https://www.amazon.com/Klein-Tools-32328-Screwdriver-Rare-Earth/dp/B09Z78CPK3/ref=sr_1_8?keywords=Klein+Tools+32307+27-in-1+Multi-Bit+Tamperproof+Screwdriver&amp;qid=1695174232&amp;sr=8-8</v>
      </c>
      <c r="F6663" t="s">
        <v>8811</v>
      </c>
      <c r="G6663" t="e">
        <f ca="1">_xludf.IMAGE("https://edmondsonsupply.com/cdn/shop/products/32307.jpg?v=1647347524")</f>
        <v>#NAME?</v>
      </c>
      <c r="H6663" t="e">
        <f ca="1">_xludf.IMAGE("https://m.media-amazon.com/images/I/41AMJw8sOTL._AC_UL320_.jpg")</f>
        <v>#NAME?</v>
      </c>
      <c r="I6663" t="s">
        <v>911</v>
      </c>
      <c r="J6663">
        <v>19.97</v>
      </c>
      <c r="K6663" s="4">
        <v>-0.23100000000000001</v>
      </c>
      <c r="L6663">
        <v>4.8</v>
      </c>
      <c r="M6663">
        <v>545</v>
      </c>
      <c r="O6663" t="s">
        <v>25</v>
      </c>
      <c r="P6663" t="s">
        <v>6850</v>
      </c>
      <c r="Q6663" t="s">
        <v>6851</v>
      </c>
    </row>
    <row r="6664" spans="1:17" ht="15.5" x14ac:dyDescent="0.35">
      <c r="A6664" s="3" t="str">
        <f>HYPERLINK("https://edmondsonsupply.com/collections/electricians-tools/products/klein-tools-32307-27-in-1-multi-bit-tamperproof-screwdriver", "https://edmondsonsupply.com/collections/electricians-tools/products/klein-tools-32307-27-in-1-multi-bit-tamperproof-screwdriver")</f>
        <v>https://edmondsonsupply.com/collections/electricians-tools/products/klein-tools-32307-27-in-1-multi-bit-tamperproof-screwdriver</v>
      </c>
      <c r="B6664" s="3" t="str">
        <f>HYPERLINK("https://edmondsonsupply.com/products/klein-tools-32307-27-in-1-multi-bit-tamperproof-screwdriver", "https://edmondsonsupply.com/products/klein-tools-32307-27-in-1-multi-bit-tamperproof-screwdriver")</f>
        <v>https://edmondsonsupply.com/products/klein-tools-32307-27-in-1-multi-bit-tamperproof-screwdriver</v>
      </c>
      <c r="C6664" t="s">
        <v>6847</v>
      </c>
      <c r="D6664" t="s">
        <v>8812</v>
      </c>
      <c r="E6664" s="3" t="str">
        <f>HYPERLINK("https://www.amazon.com/Klein-Tools-Precision-Screwdriver-Tamperproof/dp/B09SVP9NDQ/ref=sr_1_4?keywords=Klein+Tools+32307+27-in-1+Multi-Bit+Tamperproof+Screwdriver&amp;qid=1695174232&amp;sr=8-4", "https://www.amazon.com/Klein-Tools-Precision-Screwdriver-Tamperproof/dp/B09SVP9NDQ/ref=sr_1_4?keywords=Klein+Tools+32307+27-in-1+Multi-Bit+Tamperproof+Screwdriver&amp;qid=1695174232&amp;sr=8-4")</f>
        <v>https://www.amazon.com/Klein-Tools-Precision-Screwdriver-Tamperproof/dp/B09SVP9NDQ/ref=sr_1_4?keywords=Klein+Tools+32307+27-in-1+Multi-Bit+Tamperproof+Screwdriver&amp;qid=1695174232&amp;sr=8-4</v>
      </c>
      <c r="F6664" t="s">
        <v>8813</v>
      </c>
      <c r="G6664" t="e">
        <f ca="1">_xludf.IMAGE("https://edmondsonsupply.com/cdn/shop/products/32307.jpg?v=1647347524")</f>
        <v>#NAME?</v>
      </c>
      <c r="H6664" t="e">
        <f ca="1">_xludf.IMAGE("https://m.media-amazon.com/images/I/41eUHzyQqQL._AC_UL320_.jpg")</f>
        <v>#NAME?</v>
      </c>
      <c r="I6664" t="s">
        <v>911</v>
      </c>
      <c r="J6664">
        <v>19.97</v>
      </c>
      <c r="K6664" s="4">
        <v>-0.23100000000000001</v>
      </c>
      <c r="L6664">
        <v>4.7</v>
      </c>
      <c r="M6664">
        <v>764</v>
      </c>
      <c r="O6664" t="s">
        <v>25</v>
      </c>
      <c r="P6664" t="s">
        <v>6850</v>
      </c>
      <c r="Q6664" t="s">
        <v>6851</v>
      </c>
    </row>
    <row r="6665" spans="1:17" ht="15.5" x14ac:dyDescent="0.35">
      <c r="A6665" s="3" t="str">
        <f>HYPERLINK("https://edmondsonsupply.com/collections/electricians-tools/products/klein-tools-66077-flip-impact-socket-7-16-and-3-8-inch", "https://edmondsonsupply.com/collections/electricians-tools/products/klein-tools-66077-flip-impact-socket-7-16-and-3-8-inch")</f>
        <v>https://edmondsonsupply.com/collections/electricians-tools/products/klein-tools-66077-flip-impact-socket-7-16-and-3-8-inch</v>
      </c>
      <c r="B6665" s="3" t="str">
        <f>HYPERLINK("https://edmondsonsupply.com/products/klein-tools-66077-flip-impact-socket-7-16-and-3-8-inch", "https://edmondsonsupply.com/products/klein-tools-66077-flip-impact-socket-7-16-and-3-8-inch")</f>
        <v>https://edmondsonsupply.com/products/klein-tools-66077-flip-impact-socket-7-16-and-3-8-inch</v>
      </c>
      <c r="C6665" t="s">
        <v>8814</v>
      </c>
      <c r="D6665" t="s">
        <v>8815</v>
      </c>
      <c r="E6665" s="3" t="str">
        <f>HYPERLINK("https://www.amazon.com/Klein-Tools-32766-16-Inch-Drivers/dp/B09R2L4GFJ/ref=sr_1_6?keywords=Klein+Tools+66077+Flip+Impact+Socket%2C+7%2F16+and+3%2F8-Inch&amp;qid=1695174166&amp;sr=8-6", "https://www.amazon.com/Klein-Tools-32766-16-Inch-Drivers/dp/B09R2L4GFJ/ref=sr_1_6?keywords=Klein+Tools+66077+Flip+Impact+Socket%2C+7%2F16+and+3%2F8-Inch&amp;qid=1695174166&amp;sr=8-6")</f>
        <v>https://www.amazon.com/Klein-Tools-32766-16-Inch-Drivers/dp/B09R2L4GFJ/ref=sr_1_6?keywords=Klein+Tools+66077+Flip+Impact+Socket%2C+7%2F16+and+3%2F8-Inch&amp;qid=1695174166&amp;sr=8-6</v>
      </c>
      <c r="F6665" t="s">
        <v>8816</v>
      </c>
      <c r="G6665" t="e">
        <f ca="1">_xludf.IMAGE("https://edmondsonsupply.com/cdn/shop/products/66077.jpg?v=1663082226")</f>
        <v>#NAME?</v>
      </c>
      <c r="H6665" t="e">
        <f ca="1">_xludf.IMAGE("https://m.media-amazon.com/images/I/41MLWTR6goL._AC_UL320_.jpg")</f>
        <v>#NAME?</v>
      </c>
      <c r="I6665" t="s">
        <v>8817</v>
      </c>
      <c r="J6665">
        <v>7.99</v>
      </c>
      <c r="K6665" s="4">
        <v>-0.2339</v>
      </c>
      <c r="L6665">
        <v>4.5</v>
      </c>
      <c r="M6665">
        <v>1251</v>
      </c>
      <c r="O6665" t="s">
        <v>25</v>
      </c>
      <c r="P6665" t="s">
        <v>8818</v>
      </c>
      <c r="Q6665" t="s">
        <v>8819</v>
      </c>
    </row>
    <row r="6666" spans="1:17" ht="15.5" x14ac:dyDescent="0.35">
      <c r="A6666" s="3" t="str">
        <f>HYPERLINK("https://edmondsonsupply.com/collections/electricians-tools/products/dewalt-dg5142-led-pro-contractor-business-portfolio", "https://edmondsonsupply.com/collections/electricians-tools/products/dewalt-dg5142-led-pro-contractor-business-portfolio")</f>
        <v>https://edmondsonsupply.com/collections/electricians-tools/products/dewalt-dg5142-led-pro-contractor-business-portfolio</v>
      </c>
      <c r="B6666" s="3" t="str">
        <f>HYPERLINK("https://edmondsonsupply.com/products/dewalt-dg5142-led-pro-contractor-business-portfolio", "https://edmondsonsupply.com/products/dewalt-dg5142-led-pro-contractor-business-portfolio")</f>
        <v>https://edmondsonsupply.com/products/dewalt-dg5142-led-pro-contractor-business-portfolio</v>
      </c>
      <c r="C6666" t="s">
        <v>8600</v>
      </c>
      <c r="D6666" t="s">
        <v>8820</v>
      </c>
      <c r="E6666" s="3" t="str">
        <f>HYPERLINK("https://www.amazon.com/DEWALT-DG5142-Contractors-Flex-Light-Calculator/dp/B009QYZP5G/ref=sr_1_1?keywords=DeWalt+DG5142+LED+Pro+Contractor+Business+Portfolio&amp;qid=1695174259&amp;sr=8-1", "https://www.amazon.com/DEWALT-DG5142-Contractors-Flex-Light-Calculator/dp/B009QYZP5G/ref=sr_1_1?keywords=DeWalt+DG5142+LED+Pro+Contractor+Business+Portfolio&amp;qid=1695174259&amp;sr=8-1")</f>
        <v>https://www.amazon.com/DEWALT-DG5142-Contractors-Flex-Light-Calculator/dp/B009QYZP5G/ref=sr_1_1?keywords=DeWalt+DG5142+LED+Pro+Contractor+Business+Portfolio&amp;qid=1695174259&amp;sr=8-1</v>
      </c>
      <c r="F6666" t="s">
        <v>8821</v>
      </c>
      <c r="G6666" t="e">
        <f ca="1">_xludf.IMAGE("https://edmondsonsupply.com/cdn/shop/products/Screenshot2021-07-17133543.png?v=1633031080")</f>
        <v>#NAME?</v>
      </c>
      <c r="H6666" t="e">
        <f ca="1">_xludf.IMAGE("https://m.media-amazon.com/images/I/91e4whFlBTL._AC_UL320_.jpg")</f>
        <v>#NAME?</v>
      </c>
      <c r="I6666" t="s">
        <v>1307</v>
      </c>
      <c r="J6666">
        <v>30.6</v>
      </c>
      <c r="K6666" s="4">
        <v>-0.23400000000000001</v>
      </c>
      <c r="L6666">
        <v>4.5999999999999996</v>
      </c>
      <c r="M6666">
        <v>841</v>
      </c>
      <c r="O6666" t="s">
        <v>25</v>
      </c>
      <c r="P6666" t="s">
        <v>618</v>
      </c>
      <c r="Q6666" t="s">
        <v>8603</v>
      </c>
    </row>
    <row r="6667" spans="1:17" ht="15.5" x14ac:dyDescent="0.35">
      <c r="A6667" s="3" t="str">
        <f>HYPERLINK("https://edmondsonsupply.com/collections/electricians-tools/products/klein-tools-65129-2-in-1-nut-driver-hex-head-slide-drive%E2%84%A2-6-inch", "https://edmondsonsupply.com/collections/electricians-tools/products/klein-tools-65129-2-in-1-nut-driver-hex-head-slide-drive%E2%84%A2-6-inch")</f>
        <v>https://edmondsonsupply.com/collections/electricians-tools/products/klein-tools-65129-2-in-1-nut-driver-hex-head-slide-drive%E2%84%A2-6-inch</v>
      </c>
      <c r="B6667" s="3" t="str">
        <f>HYPERLINK("https://edmondsonsupply.com/products/klein-tools-65129-2-in-1-nut-driver-hex-head-slide-drive%e2%84%a2-6-inch", "https://edmondsonsupply.com/products/klein-tools-65129-2-in-1-nut-driver-hex-head-slide-drive%e2%84%a2-6-inch")</f>
        <v>https://edmondsonsupply.com/products/klein-tools-65129-2-in-1-nut-driver-hex-head-slide-drive%e2%84%a2-6-inch</v>
      </c>
      <c r="C6667" t="s">
        <v>7104</v>
      </c>
      <c r="D6667" t="s">
        <v>4945</v>
      </c>
      <c r="E6667" s="3" t="str">
        <f>HYPERLINK("https://www.amazon.com/Driver-16-Inch-Klein-Tools-65064/dp/B01N2S3D09/ref=sr_1_3?keywords=Klein+Tools+65129+2-in-1+Nut+Driver%2C+Hex+Head+Slide+Drive%E2%84%A2%2C+6-Inch&amp;qid=1695174155&amp;sr=8-3", "https://www.amazon.com/Driver-16-Inch-Klein-Tools-65064/dp/B01N2S3D09/ref=sr_1_3?keywords=Klein+Tools+65129+2-in-1+Nut+Driver%2C+Hex+Head+Slide+Drive%E2%84%A2%2C+6-Inch&amp;qid=1695174155&amp;sr=8-3")</f>
        <v>https://www.amazon.com/Driver-16-Inch-Klein-Tools-65064/dp/B01N2S3D09/ref=sr_1_3?keywords=Klein+Tools+65129+2-in-1+Nut+Driver%2C+Hex+Head+Slide+Drive%E2%84%A2%2C+6-Inch&amp;qid=1695174155&amp;sr=8-3</v>
      </c>
      <c r="F6667" t="s">
        <v>4946</v>
      </c>
      <c r="G6667" t="e">
        <f ca="1">_xludf.IMAGE("https://edmondsonsupply.com/cdn/shop/products/65129.jpg?v=1664459800")</f>
        <v>#NAME?</v>
      </c>
      <c r="H6667" t="e">
        <f ca="1">_xludf.IMAGE("https://m.media-amazon.com/images/I/51WqGb8KzpL._AC_UL320_.jpg")</f>
        <v>#NAME?</v>
      </c>
      <c r="I6667" t="s">
        <v>893</v>
      </c>
      <c r="J6667">
        <v>15.27</v>
      </c>
      <c r="K6667" s="4">
        <v>-0.2354</v>
      </c>
      <c r="L6667">
        <v>4.8</v>
      </c>
      <c r="M6667">
        <v>1412</v>
      </c>
      <c r="O6667" t="s">
        <v>25</v>
      </c>
      <c r="P6667" t="s">
        <v>7105</v>
      </c>
      <c r="Q6667" t="s">
        <v>7106</v>
      </c>
    </row>
    <row r="6668" spans="1:17" ht="15.5" x14ac:dyDescent="0.35">
      <c r="A6668" s="3" t="str">
        <f>HYPERLINK("https://edmondsonsupply.com/collections/electricians-tools/products/klein-tools-jth6e14be-5-16-inch-ball-end-hex-key-with-t-handle-6-inch", "https://edmondsonsupply.com/collections/electricians-tools/products/klein-tools-jth6e14be-5-16-inch-ball-end-hex-key-with-t-handle-6-inch")</f>
        <v>https://edmondsonsupply.com/collections/electricians-tools/products/klein-tools-jth6e14be-5-16-inch-ball-end-hex-key-with-t-handle-6-inch</v>
      </c>
      <c r="B6668" s="3" t="str">
        <f>HYPERLINK("https://edmondsonsupply.com/products/klein-tools-jth6e14be-5-16-inch-ball-end-hex-key-with-t-handle-6-inch", "https://edmondsonsupply.com/products/klein-tools-jth6e14be-5-16-inch-ball-end-hex-key-with-t-handle-6-inch")</f>
        <v>https://edmondsonsupply.com/products/klein-tools-jth6e14be-5-16-inch-ball-end-hex-key-with-t-handle-6-inch</v>
      </c>
      <c r="C6668" t="s">
        <v>6870</v>
      </c>
      <c r="D6668" t="s">
        <v>5025</v>
      </c>
      <c r="E6668" s="3" t="str">
        <f>HYPERLINK("https://www.amazon.com/Journeyman-T-Handle-Klein-Tools-JTH6E14/dp/B004ITSTL6/ref=sr_1_3?keywords=Klein+Tools+JTH6E14BE+5%2F16-Inch+Ball+End+Hex+Key+with+T-Handle%2C+6-Inch&amp;qid=1695174246&amp;sr=8-3", "https://www.amazon.com/Journeyman-T-Handle-Klein-Tools-JTH6E14/dp/B004ITSTL6/ref=sr_1_3?keywords=Klein+Tools+JTH6E14BE+5%2F16-Inch+Ball+End+Hex+Key+with+T-Handle%2C+6-Inch&amp;qid=1695174246&amp;sr=8-3")</f>
        <v>https://www.amazon.com/Journeyman-T-Handle-Klein-Tools-JTH6E14/dp/B004ITSTL6/ref=sr_1_3?keywords=Klein+Tools+JTH6E14BE+5%2F16-Inch+Ball+End+Hex+Key+with+T-Handle%2C+6-Inch&amp;qid=1695174246&amp;sr=8-3</v>
      </c>
      <c r="F6668" t="s">
        <v>5026</v>
      </c>
      <c r="G6668" t="e">
        <f ca="1">_xludf.IMAGE("https://edmondsonsupply.com/cdn/shop/products/jth6e13be_0da4cca6-ce15-419c-bc75-cd610bd9637f.jpg?v=1629825198")</f>
        <v>#NAME?</v>
      </c>
      <c r="H6668" t="e">
        <f ca="1">_xludf.IMAGE("https://m.media-amazon.com/images/I/51FYt5m7vZL._AC_UL320_.jpg")</f>
        <v>#NAME?</v>
      </c>
      <c r="I6668" t="s">
        <v>6394</v>
      </c>
      <c r="J6668">
        <v>6.49</v>
      </c>
      <c r="K6668" s="4">
        <v>-0.2356</v>
      </c>
      <c r="L6668">
        <v>4.8</v>
      </c>
      <c r="M6668">
        <v>2479</v>
      </c>
      <c r="O6668" t="s">
        <v>25</v>
      </c>
      <c r="P6668" t="s">
        <v>6871</v>
      </c>
      <c r="Q6668" t="s">
        <v>6872</v>
      </c>
    </row>
    <row r="6669" spans="1:17" ht="15.5" x14ac:dyDescent="0.35">
      <c r="A6669" s="3" t="str">
        <f>HYPERLINK("https://edmondsonsupply.com/collections/electricians-tools/products/crescent-wiss-ws4n-3-offset-handle-hand-seamer", "https://edmondsonsupply.com/collections/electricians-tools/products/crescent-wiss-ws4n-3-offset-handle-hand-seamer")</f>
        <v>https://edmondsonsupply.com/collections/electricians-tools/products/crescent-wiss-ws4n-3-offset-handle-hand-seamer</v>
      </c>
      <c r="B6669" s="3" t="str">
        <f>HYPERLINK("https://edmondsonsupply.com/products/crescent-wiss-ws4n-3-offset-handle-hand-seamer", "https://edmondsonsupply.com/products/crescent-wiss-ws4n-3-offset-handle-hand-seamer")</f>
        <v>https://edmondsonsupply.com/products/crescent-wiss-ws4n-3-offset-handle-hand-seamer</v>
      </c>
      <c r="C6669" t="s">
        <v>8822</v>
      </c>
      <c r="D6669" t="s">
        <v>8823</v>
      </c>
      <c r="E6669" s="3" t="str">
        <f>HYPERLINK("https://www.amazon.com/Wiss-WS4N-3-Offset-Handle/dp/B06XCD6HMC/ref=sr_1_1?keywords=Crescent+Wiss+WS4N+3%22+Offset+Handle+Hand+Seamer&amp;qid=1695174032&amp;sr=8-1", "https://www.amazon.com/Wiss-WS4N-3-Offset-Handle/dp/B06XCD6HMC/ref=sr_1_1?keywords=Crescent+Wiss+WS4N+3%22+Offset+Handle+Hand+Seamer&amp;qid=1695174032&amp;sr=8-1")</f>
        <v>https://www.amazon.com/Wiss-WS4N-3-Offset-Handle/dp/B06XCD6HMC/ref=sr_1_1?keywords=Crescent+Wiss+WS4N+3%22+Offset+Handle+Hand+Seamer&amp;qid=1695174032&amp;sr=8-1</v>
      </c>
      <c r="F6669" t="s">
        <v>8824</v>
      </c>
      <c r="G6669" t="e">
        <f ca="1">_xludf.IMAGE("https://edmondsonsupply.com/cdn/shop/products/WIS_WS4N_IMG-MAIN.jpg?v=1679679084")</f>
        <v>#NAME?</v>
      </c>
      <c r="H6669" t="e">
        <f ca="1">_xludf.IMAGE("https://m.media-amazon.com/images/I/71gylJxkzUL._AC_UL320_.jpg")</f>
        <v>#NAME?</v>
      </c>
      <c r="I6669" t="s">
        <v>8825</v>
      </c>
      <c r="J6669">
        <v>39.97</v>
      </c>
      <c r="K6669" s="4">
        <v>-0.23619999999999999</v>
      </c>
      <c r="L6669">
        <v>4.5</v>
      </c>
      <c r="M6669">
        <v>335</v>
      </c>
      <c r="O6669" t="s">
        <v>25</v>
      </c>
      <c r="P6669" t="s">
        <v>8434</v>
      </c>
      <c r="Q6669" t="s">
        <v>8826</v>
      </c>
    </row>
    <row r="6670" spans="1:17" ht="15.5" x14ac:dyDescent="0.35">
      <c r="A6670" s="3" t="str">
        <f>HYPERLINK("https://edmondsonsupply.com/collections/electricians-tools/products/diablo-tools-dou250jbw-2-1-2-in-universal-fit-bi-metal-oscillating-blade-for-clean-wood", "https://edmondsonsupply.com/collections/electricians-tools/products/diablo-tools-dou250jbw-2-1-2-in-universal-fit-bi-metal-oscillating-blade-for-clean-wood")</f>
        <v>https://edmondsonsupply.com/collections/electricians-tools/products/diablo-tools-dou250jbw-2-1-2-in-universal-fit-bi-metal-oscillating-blade-for-clean-wood</v>
      </c>
      <c r="B6670" s="3" t="str">
        <f>HYPERLINK("https://edmondsonsupply.com/products/diablo-tools-dou250jbw-2-1-2-in-universal-fit-bi-metal-oscillating-blade-for-clean-wood", "https://edmondsonsupply.com/products/diablo-tools-dou250jbw-2-1-2-in-universal-fit-bi-metal-oscillating-blade-for-clean-wood")</f>
        <v>https://edmondsonsupply.com/products/diablo-tools-dou250jbw-2-1-2-in-universal-fit-bi-metal-oscillating-blade-for-clean-wood</v>
      </c>
      <c r="C6670" t="s">
        <v>6932</v>
      </c>
      <c r="D6670" t="s">
        <v>8827</v>
      </c>
      <c r="E6670" s="3" t="str">
        <f>HYPERLINK("https://www.amazon.com/Diablo-Freud-DOU125BF-Universal-Oscillating/dp/B089KV143Y/ref=sr_1_8?keywords=Diablo+Tools+DOU250JBW+2-1%2F2+in.+Universal+Fit+Bi-Metal+Oscillating+Blade+for+Clean+Wood&amp;qid=1695174020&amp;sr=8-8", "https://www.amazon.com/Diablo-Freud-DOU125BF-Universal-Oscillating/dp/B089KV143Y/ref=sr_1_8?keywords=Diablo+Tools+DOU250JBW+2-1%2F2+in.+Universal+Fit+Bi-Metal+Oscillating+Blade+for+Clean+Wood&amp;qid=1695174020&amp;sr=8-8")</f>
        <v>https://www.amazon.com/Diablo-Freud-DOU125BF-Universal-Oscillating/dp/B089KV143Y/ref=sr_1_8?keywords=Diablo+Tools+DOU250JBW+2-1%2F2+in.+Universal+Fit+Bi-Metal+Oscillating+Blade+for+Clean+Wood&amp;qid=1695174020&amp;sr=8-8</v>
      </c>
      <c r="F6670" t="s">
        <v>8828</v>
      </c>
      <c r="G6670" t="e">
        <f ca="1">_xludf.IMAGE("https://edmondsonsupply.com/cdn/shop/files/pycnap4eb1urn2hxvudq.webp?v=1685718789")</f>
        <v>#NAME?</v>
      </c>
      <c r="H6670" t="e">
        <f ca="1">_xludf.IMAGE("https://m.media-amazon.com/images/I/61mZfXlj-XL._AC_UL320_.jpg")</f>
        <v>#NAME?</v>
      </c>
      <c r="I6670" t="s">
        <v>6935</v>
      </c>
      <c r="J6670">
        <v>11.95</v>
      </c>
      <c r="K6670" s="4">
        <v>-0.2364</v>
      </c>
      <c r="L6670">
        <v>3.7</v>
      </c>
      <c r="M6670">
        <v>8</v>
      </c>
      <c r="O6670" t="s">
        <v>25</v>
      </c>
      <c r="P6670" t="s">
        <v>6936</v>
      </c>
      <c r="Q6670" t="s">
        <v>6937</v>
      </c>
    </row>
    <row r="6671" spans="1:17" ht="15.5" x14ac:dyDescent="0.35">
      <c r="A6671" s="3" t="str">
        <f>HYPERLINK("https://edmondsonsupply.com/collections/electricians-tools/products/milwaukee-2729-20-m18-fuel%E2%84%A2-deep-cut-band-saw-tool-only", "https://edmondsonsupply.com/collections/electricians-tools/products/milwaukee-2729-20-m18-fuel%E2%84%A2-deep-cut-band-saw-tool-only")</f>
        <v>https://edmondsonsupply.com/collections/electricians-tools/products/milwaukee-2729-20-m18-fuel%E2%84%A2-deep-cut-band-saw-tool-only</v>
      </c>
      <c r="B6671" s="3" t="str">
        <f>HYPERLINK("https://edmondsonsupply.com/products/milwaukee-2729-20-m18-fuel%e2%84%a2-deep-cut-band-saw-tool-only", "https://edmondsonsupply.com/products/milwaukee-2729-20-m18-fuel%e2%84%a2-deep-cut-band-saw-tool-only")</f>
        <v>https://edmondsonsupply.com/products/milwaukee-2729-20-m18-fuel%e2%84%a2-deep-cut-band-saw-tool-only</v>
      </c>
      <c r="C6671" t="s">
        <v>8829</v>
      </c>
      <c r="D6671" t="s">
        <v>8830</v>
      </c>
      <c r="E6671" s="3" t="str">
        <f>HYPERLINK("https://www.amazon.com/Milwaukee-2729-20-Fuel-Deep-Band/dp/B00LBHJ688/ref=sr_1_1?keywords=Milwaukee+2729-20+M18+FUEL%E2%84%A2+Deep+Cut+Band+Saw+%28Tool+Only%29&amp;qid=1695173876&amp;sr=8-1", "https://www.amazon.com/Milwaukee-2729-20-Fuel-Deep-Band/dp/B00LBHJ688/ref=sr_1_1?keywords=Milwaukee+2729-20+M18+FUEL%E2%84%A2+Deep+Cut+Band+Saw+%28Tool+Only%29&amp;qid=1695173876&amp;sr=8-1")</f>
        <v>https://www.amazon.com/Milwaukee-2729-20-Fuel-Deep-Band/dp/B00LBHJ688/ref=sr_1_1?keywords=Milwaukee+2729-20+M18+FUEL%E2%84%A2+Deep+Cut+Band+Saw+%28Tool+Only%29&amp;qid=1695173876&amp;sr=8-1</v>
      </c>
      <c r="F6671" t="s">
        <v>8831</v>
      </c>
      <c r="G6671" t="e">
        <f ca="1">_xludf.IMAGE("https://edmondsonsupply.com/cdn/shop/products/2729-20_1.webp?v=1661700605")</f>
        <v>#NAME?</v>
      </c>
      <c r="H6671" t="e">
        <f ca="1">_xludf.IMAGE("https://m.media-amazon.com/images/I/81MBdLmrZgL._AC_UL320_.jpg")</f>
        <v>#NAME?</v>
      </c>
      <c r="I6671" t="s">
        <v>8297</v>
      </c>
      <c r="J6671">
        <v>289</v>
      </c>
      <c r="K6671" s="4">
        <v>-0.23749999999999999</v>
      </c>
      <c r="L6671">
        <v>4.8</v>
      </c>
      <c r="M6671">
        <v>453</v>
      </c>
      <c r="O6671" t="s">
        <v>25</v>
      </c>
      <c r="P6671" t="s">
        <v>5031</v>
      </c>
      <c r="Q6671" t="s">
        <v>8832</v>
      </c>
    </row>
    <row r="6672" spans="1:17" ht="15.5" x14ac:dyDescent="0.35">
      <c r="A6672" s="3" t="str">
        <f>HYPERLINK("https://edmondsonsupply.com/collections/electricians-tools/products/klein-tools-203-7-eins-long-nose-side-cut-pliers-7-inch-slim-insulated", "https://edmondsonsupply.com/collections/electricians-tools/products/klein-tools-203-7-eins-long-nose-side-cut-pliers-7-inch-slim-insulated")</f>
        <v>https://edmondsonsupply.com/collections/electricians-tools/products/klein-tools-203-7-eins-long-nose-side-cut-pliers-7-inch-slim-insulated</v>
      </c>
      <c r="B6672" s="3" t="str">
        <f>HYPERLINK("https://edmondsonsupply.com/products/klein-tools-203-7-eins-long-nose-side-cut-pliers-7-inch-slim-insulated", "https://edmondsonsupply.com/products/klein-tools-203-7-eins-long-nose-side-cut-pliers-7-inch-slim-insulated")</f>
        <v>https://edmondsonsupply.com/products/klein-tools-203-7-eins-long-nose-side-cut-pliers-7-inch-slim-insulated</v>
      </c>
      <c r="C6672" t="s">
        <v>5130</v>
      </c>
      <c r="D6672" t="s">
        <v>5354</v>
      </c>
      <c r="E6672" s="3" t="str">
        <f>HYPERLINK("https://www.amazon.com/Klein-Tools-J203-7-Pliers-Side-Cutters/dp/B000G6CACO/ref=sr_1_4?keywords=Klein+Tools+2037EINS+Long+Nose+Side+Cut+Pliers%2C+7-Inch+Slim+Insulated+%28203-7-EINS%29&amp;qid=1695173934&amp;sr=8-4", "https://www.amazon.com/Klein-Tools-J203-7-Pliers-Side-Cutters/dp/B000G6CACO/ref=sr_1_4?keywords=Klein+Tools+2037EINS+Long+Nose+Side+Cut+Pliers%2C+7-Inch+Slim+Insulated+%28203-7-EINS%29&amp;qid=1695173934&amp;sr=8-4")</f>
        <v>https://www.amazon.com/Klein-Tools-J203-7-Pliers-Side-Cutters/dp/B000G6CACO/ref=sr_1_4?keywords=Klein+Tools+2037EINS+Long+Nose+Side+Cut+Pliers%2C+7-Inch+Slim+Insulated+%28203-7-EINS%29&amp;qid=1695173934&amp;sr=8-4</v>
      </c>
      <c r="F6672" t="s">
        <v>5355</v>
      </c>
      <c r="G6672" t="e">
        <f ca="1">_xludf.IMAGE("https://edmondsonsupply.com/cdn/shop/products/2037eins.jpg?v=1587146909")</f>
        <v>#NAME?</v>
      </c>
      <c r="H6672" t="e">
        <f ca="1">_xludf.IMAGE("https://m.media-amazon.com/images/I/511-SOSXaTL._AC_UL320_.jpg")</f>
        <v>#NAME?</v>
      </c>
      <c r="I6672" t="s">
        <v>1931</v>
      </c>
      <c r="J6672">
        <v>37.99</v>
      </c>
      <c r="K6672" s="4">
        <v>-0.24</v>
      </c>
      <c r="L6672">
        <v>4.8</v>
      </c>
      <c r="M6672">
        <v>139</v>
      </c>
      <c r="O6672" t="s">
        <v>25</v>
      </c>
      <c r="P6672" t="s">
        <v>4509</v>
      </c>
      <c r="Q6672" t="s">
        <v>5133</v>
      </c>
    </row>
    <row r="6673" spans="1:17" ht="15.5" x14ac:dyDescent="0.35">
      <c r="A6673" s="3" t="str">
        <f>HYPERLINK("https://edmondsonsupply.com/collections/electricians-tools/products/milwaukee-48-22-7318-cheater-aluminum-adaptable-pipe-wrench", "https://edmondsonsupply.com/collections/electricians-tools/products/milwaukee-48-22-7318-cheater-aluminum-adaptable-pipe-wrench")</f>
        <v>https://edmondsonsupply.com/collections/electricians-tools/products/milwaukee-48-22-7318-cheater-aluminum-adaptable-pipe-wrench</v>
      </c>
      <c r="B6673" s="3" t="str">
        <f>HYPERLINK("https://edmondsonsupply.com/products/milwaukee-48-22-7318-cheater-aluminum-adaptable-pipe-wrench", "https://edmondsonsupply.com/products/milwaukee-48-22-7318-cheater-aluminum-adaptable-pipe-wrench")</f>
        <v>https://edmondsonsupply.com/products/milwaukee-48-22-7318-cheater-aluminum-adaptable-pipe-wrench</v>
      </c>
      <c r="C6673" t="s">
        <v>8833</v>
      </c>
      <c r="D6673" t="s">
        <v>8834</v>
      </c>
      <c r="E6673" s="3" t="str">
        <f>HYPERLINK("https://www.amazon.com/Milwaukee-48-22-7314-MILWAUKEE/dp/B01CRHGIYA/ref=sr_1_3?keywords=Milwaukee+48-22-7318+CHEATER+Aluminum+Adaptable+Pipe+Wrench&amp;qid=1695174123&amp;sr=8-3", "https://www.amazon.com/Milwaukee-48-22-7314-MILWAUKEE/dp/B01CRHGIYA/ref=sr_1_3?keywords=Milwaukee+48-22-7318+CHEATER+Aluminum+Adaptable+Pipe+Wrench&amp;qid=1695174123&amp;sr=8-3")</f>
        <v>https://www.amazon.com/Milwaukee-48-22-7314-MILWAUKEE/dp/B01CRHGIYA/ref=sr_1_3?keywords=Milwaukee+48-22-7318+CHEATER+Aluminum+Adaptable+Pipe+Wrench&amp;qid=1695174123&amp;sr=8-3</v>
      </c>
      <c r="F6673" t="s">
        <v>8835</v>
      </c>
      <c r="G6673" t="e">
        <f ca="1">_xludf.IMAGE("https://edmondsonsupply.com/cdn/shop/products/48-22-7318_1.png?v=1668536591")</f>
        <v>#NAME?</v>
      </c>
      <c r="H6673" t="e">
        <f ca="1">_xludf.IMAGE("https://m.media-amazon.com/images/I/71ziG8yXW9L._AC_UL320_.jpg")</f>
        <v>#NAME?</v>
      </c>
      <c r="I6673" t="s">
        <v>8836</v>
      </c>
      <c r="J6673">
        <v>94.97</v>
      </c>
      <c r="K6673" s="4">
        <v>-0.24010000000000001</v>
      </c>
      <c r="L6673">
        <v>4.7</v>
      </c>
      <c r="M6673">
        <v>297</v>
      </c>
      <c r="O6673" t="s">
        <v>25</v>
      </c>
      <c r="P6673" t="s">
        <v>8837</v>
      </c>
      <c r="Q6673" t="s">
        <v>8838</v>
      </c>
    </row>
    <row r="6674" spans="1:17" ht="15.5" x14ac:dyDescent="0.35">
      <c r="A6674" s="3" t="str">
        <f>HYPERLINK("https://edmondsonsupply.com/collections/electricians-tools/products/milwaukee-2836-20-m18-fuel%E2%84%A2-oscillating-multi-tool", "https://edmondsonsupply.com/collections/electricians-tools/products/milwaukee-2836-20-m18-fuel%E2%84%A2-oscillating-multi-tool")</f>
        <v>https://edmondsonsupply.com/collections/electricians-tools/products/milwaukee-2836-20-m18-fuel%E2%84%A2-oscillating-multi-tool</v>
      </c>
      <c r="B6674" s="3" t="str">
        <f>HYPERLINK("https://edmondsonsupply.com/products/milwaukee-2836-20-m18-fuel%e2%84%a2-oscillating-multi-tool", "https://edmondsonsupply.com/products/milwaukee-2836-20-m18-fuel%e2%84%a2-oscillating-multi-tool")</f>
        <v>https://edmondsonsupply.com/products/milwaukee-2836-20-m18-fuel%e2%84%a2-oscillating-multi-tool</v>
      </c>
      <c r="C6674" t="s">
        <v>8839</v>
      </c>
      <c r="D6674" t="s">
        <v>8840</v>
      </c>
      <c r="E6674" s="3" t="str">
        <f>HYPERLINK("https://www.amazon.com/Milwaukee-2836-20-Lithium-Ion-Oscillating-Multi-Tool/dp/B09RXZXR4R/ref=sr_1_1?keywords=Milwaukee+2836-20+M18+FUEL%E2%84%A2+Oscillating+Multi-Tool&amp;qid=1695174121&amp;sr=8-1", "https://www.amazon.com/Milwaukee-2836-20-Lithium-Ion-Oscillating-Multi-Tool/dp/B09RXZXR4R/ref=sr_1_1?keywords=Milwaukee+2836-20+M18+FUEL%E2%84%A2+Oscillating+Multi-Tool&amp;qid=1695174121&amp;sr=8-1")</f>
        <v>https://www.amazon.com/Milwaukee-2836-20-Lithium-Ion-Oscillating-Multi-Tool/dp/B09RXZXR4R/ref=sr_1_1?keywords=Milwaukee+2836-20+M18+FUEL%E2%84%A2+Oscillating+Multi-Tool&amp;qid=1695174121&amp;sr=8-1</v>
      </c>
      <c r="F6674" t="s">
        <v>8841</v>
      </c>
      <c r="G6674" t="e">
        <f ca="1">_xludf.IMAGE("https://edmondsonsupply.com/cdn/shop/products/2836-20_1.webp?v=1674150495")</f>
        <v>#NAME?</v>
      </c>
      <c r="H6674" t="e">
        <f ca="1">_xludf.IMAGE("https://m.media-amazon.com/images/I/71YLpR-uiiL._AC_UL320_.jpg")</f>
        <v>#NAME?</v>
      </c>
      <c r="I6674" t="s">
        <v>5220</v>
      </c>
      <c r="J6674">
        <v>174</v>
      </c>
      <c r="K6674" s="4">
        <v>-0.2402</v>
      </c>
      <c r="L6674">
        <v>4.7</v>
      </c>
      <c r="M6674">
        <v>225</v>
      </c>
      <c r="O6674" t="s">
        <v>25</v>
      </c>
      <c r="P6674" t="s">
        <v>8842</v>
      </c>
      <c r="Q6674" t="s">
        <v>8843</v>
      </c>
    </row>
    <row r="6675" spans="1:17" ht="15.5" x14ac:dyDescent="0.35">
      <c r="A6675" s="3" t="str">
        <f>HYPERLINK("https://edmondsonsupply.com/collections/electricians-tools/products/dewalt-dgl523-57", "https://edmondsonsupply.com/collections/electricians-tools/products/dewalt-dgl523-57")</f>
        <v>https://edmondsonsupply.com/collections/electricians-tools/products/dewalt-dgl523-57</v>
      </c>
      <c r="B6675" s="3" t="str">
        <f>HYPERLINK("https://edmondsonsupply.com/products/dewalt-dgl523-57", "https://edmondsonsupply.com/products/dewalt-dgl523-57")</f>
        <v>https://edmondsonsupply.com/products/dewalt-dgl523-57</v>
      </c>
      <c r="C6675" t="s">
        <v>736</v>
      </c>
      <c r="D6675" t="s">
        <v>737</v>
      </c>
      <c r="E6675" s="3" t="str">
        <f>HYPERLINK("https://www.amazon.com/DEWALT-DGL523-Lighted-Backpack-57-Pockets/dp/B00QNTVVOG/ref=sr_1_1?keywords=CLC+DeWALT+DGL523+57-Pocket+Lighted+Tool+Backpack+Bag&amp;qid=1695173918&amp;sr=8-1", "https://www.amazon.com/DEWALT-DGL523-Lighted-Backpack-57-Pockets/dp/B00QNTVVOG/ref=sr_1_1?keywords=CLC+DeWALT+DGL523+57-Pocket+Lighted+Tool+Backpack+Bag&amp;qid=1695173918&amp;sr=8-1")</f>
        <v>https://www.amazon.com/DEWALT-DGL523-Lighted-Backpack-57-Pockets/dp/B00QNTVVOG/ref=sr_1_1?keywords=CLC+DeWALT+DGL523+57-Pocket+Lighted+Tool+Backpack+Bag&amp;qid=1695173918&amp;sr=8-1</v>
      </c>
      <c r="F6675" t="s">
        <v>738</v>
      </c>
      <c r="G6675" t="e">
        <f ca="1">_xludf.IMAGE("https://edmondsonsupply.com/cdn/shop/products/DGL523-2.png?v=1671056065")</f>
        <v>#NAME?</v>
      </c>
      <c r="H6675" t="e">
        <f ca="1">_xludf.IMAGE("https://m.media-amazon.com/images/I/91ecNgAjh0L._AC_UL320_.jpg")</f>
        <v>#NAME?</v>
      </c>
      <c r="I6675" t="s">
        <v>739</v>
      </c>
      <c r="J6675">
        <v>97.88</v>
      </c>
      <c r="K6675" s="4">
        <v>-0.2412</v>
      </c>
      <c r="L6675">
        <v>4.7</v>
      </c>
      <c r="M6675">
        <v>3760</v>
      </c>
      <c r="O6675" t="s">
        <v>25</v>
      </c>
      <c r="P6675" t="s">
        <v>707</v>
      </c>
      <c r="Q6675" t="s">
        <v>740</v>
      </c>
    </row>
    <row r="6676" spans="1:17" ht="15.5" x14ac:dyDescent="0.35">
      <c r="A6676"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6676" s="3" t="str">
        <f>HYPERLINK("https://edmondsonsupply.com/products/milwaukee-2953-22-m18-fuel%e2%84%a2-1-4-hex-impact-driver-kit", "https://edmondsonsupply.com/products/milwaukee-2953-22-m18-fuel%e2%84%a2-1-4-hex-impact-driver-kit")</f>
        <v>https://edmondsonsupply.com/products/milwaukee-2953-22-m18-fuel%e2%84%a2-1-4-hex-impact-driver-kit</v>
      </c>
      <c r="C6676" t="s">
        <v>7565</v>
      </c>
      <c r="D6676" t="s">
        <v>8844</v>
      </c>
      <c r="E6676" s="3" t="str">
        <f>HYPERLINK("https://www.amazon.com/Milwaukee-2953-22-Cordless-Brushless-Batteries/dp/B0BB86J415/ref=sr_1_5?keywords=Milwaukee+2953-22+M18+FUEL%E2%84%A2+1%2F4%22+Hex+Impact+Driver+Kit&amp;qid=1695174155&amp;sr=8-5", "https://www.amazon.com/Milwaukee-2953-22-Cordless-Brushless-Batteries/dp/B0BB86J415/ref=sr_1_5?keywords=Milwaukee+2953-22+M18+FUEL%E2%84%A2+1%2F4%22+Hex+Impact+Driver+Kit&amp;qid=1695174155&amp;sr=8-5")</f>
        <v>https://www.amazon.com/Milwaukee-2953-22-Cordless-Brushless-Batteries/dp/B0BB86J415/ref=sr_1_5?keywords=Milwaukee+2953-22+M18+FUEL%E2%84%A2+1%2F4%22+Hex+Impact+Driver+Kit&amp;qid=1695174155&amp;sr=8-5</v>
      </c>
      <c r="F6676" t="s">
        <v>8845</v>
      </c>
      <c r="G6676" t="e">
        <f ca="1">_xludf.IMAGE("https://edmondsonsupply.com/cdn/shop/products/29532022ImageReel2.webp?v=1663599746")</f>
        <v>#NAME?</v>
      </c>
      <c r="H6676" t="e">
        <f ca="1">_xludf.IMAGE("https://m.media-amazon.com/images/I/61sqc+wUkvL._AC_UL320_.jpg")</f>
        <v>#NAME?</v>
      </c>
      <c r="I6676" t="s">
        <v>5012</v>
      </c>
      <c r="J6676">
        <v>226.68</v>
      </c>
      <c r="K6676" s="4">
        <v>-0.2419</v>
      </c>
      <c r="L6676">
        <v>4.7</v>
      </c>
      <c r="M6676">
        <v>99</v>
      </c>
      <c r="O6676" t="s">
        <v>25</v>
      </c>
      <c r="P6676" t="s">
        <v>7566</v>
      </c>
      <c r="Q6676" t="s">
        <v>7567</v>
      </c>
    </row>
    <row r="6677" spans="1:17" ht="15.5" x14ac:dyDescent="0.35">
      <c r="A6677"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6677"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6677" t="s">
        <v>8519</v>
      </c>
      <c r="D6677" t="s">
        <v>6933</v>
      </c>
      <c r="E6677" s="3" t="str">
        <f>HYPERLINK("https://www.amazon.com/Diablo-Freud-DOU125JBW3-Universal-Oscillating/dp/B089KX3SWM/ref=sr_1_1?keywords=Diablo+Tools+DOU125JBW3+1-1%2F4+in.+Universal+Fit+Bi-Metal+Oscillating+Blades+for+Clean+Wood&amp;qid=1695174271&amp;sr=8-1", "https://www.amazon.com/Diablo-Freud-DOU125JBW3-Universal-Oscillating/dp/B089KX3SWM/ref=sr_1_1?keywords=Diablo+Tools+DOU125JBW3+1-1%2F4+in.+Universal+Fit+Bi-Metal+Oscillating+Blades+for+Clean+Wood&amp;qid=1695174271&amp;sr=8-1")</f>
        <v>https://www.amazon.com/Diablo-Freud-DOU125JBW3-Universal-Oscillating/dp/B089KX3SWM/ref=sr_1_1?keywords=Diablo+Tools+DOU125JBW3+1-1%2F4+in.+Universal+Fit+Bi-Metal+Oscillating+Blades+for+Clean+Wood&amp;qid=1695174271&amp;sr=8-1</v>
      </c>
      <c r="F6677" t="s">
        <v>6934</v>
      </c>
      <c r="G6677" t="e">
        <f ca="1">_xludf.IMAGE("https://edmondsonsupply.com/cdn/shop/products/DOU125JBW3_Main-Image.png?v=1633031095")</f>
        <v>#NAME?</v>
      </c>
      <c r="H6677" t="e">
        <f ca="1">_xludf.IMAGE("https://m.media-amazon.com/images/I/61wFHtmEH5L._AC_UL320_.jpg")</f>
        <v>#NAME?</v>
      </c>
      <c r="I6677" t="s">
        <v>340</v>
      </c>
      <c r="J6677">
        <v>26.5</v>
      </c>
      <c r="K6677" s="4">
        <v>-0.2422</v>
      </c>
      <c r="L6677">
        <v>4.5</v>
      </c>
      <c r="M6677">
        <v>48</v>
      </c>
      <c r="O6677" t="s">
        <v>25</v>
      </c>
      <c r="P6677" t="s">
        <v>8520</v>
      </c>
      <c r="Q6677" t="s">
        <v>8521</v>
      </c>
    </row>
    <row r="6678" spans="1:17" ht="15.5" x14ac:dyDescent="0.35">
      <c r="A6678"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6678"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6678" t="s">
        <v>8522</v>
      </c>
      <c r="D6678" t="s">
        <v>6933</v>
      </c>
      <c r="E6678" s="3" t="str">
        <f>HYPERLINK("https://www.amazon.com/Diablo-Freud-DOU125JBW3-Universal-Oscillating/dp/B089KX3SWM/ref=sr_1_2?keywords=Diablo+Tools+DOU125BF3+1-1%2F4+in.+Universal+Fit+Bi-Metal+Oscillating+Blade+for+Metal+%283+pack%29&amp;qid=1695174014&amp;sr=8-2", "https://www.amazon.com/Diablo-Freud-DOU125JBW3-Universal-Oscillating/dp/B089KX3SWM/ref=sr_1_2?keywords=Diablo+Tools+DOU125BF3+1-1%2F4+in.+Universal+Fit+Bi-Metal+Oscillating+Blade+for+Metal+%283+pack%29&amp;qid=1695174014&amp;sr=8-2")</f>
        <v>https://www.amazon.com/Diablo-Freud-DOU125JBW3-Universal-Oscillating/dp/B089KX3SWM/ref=sr_1_2?keywords=Diablo+Tools+DOU125BF3+1-1%2F4+in.+Universal+Fit+Bi-Metal+Oscillating+Blade+for+Metal+%283+pack%29&amp;qid=1695174014&amp;sr=8-2</v>
      </c>
      <c r="F6678" t="s">
        <v>6934</v>
      </c>
      <c r="G6678" t="e">
        <f ca="1">_xludf.IMAGE("https://edmondsonsupply.com/cdn/shop/files/k1d1qiwmm4npznsdbwtg_4dc7bdf3-43a4-4863-8a1d-f71b60bc7c6d.webp?v=1685468179")</f>
        <v>#NAME?</v>
      </c>
      <c r="H6678" t="e">
        <f ca="1">_xludf.IMAGE("https://m.media-amazon.com/images/I/61wFHtmEH5L._AC_UL320_.jpg")</f>
        <v>#NAME?</v>
      </c>
      <c r="I6678" t="s">
        <v>340</v>
      </c>
      <c r="J6678">
        <v>26.5</v>
      </c>
      <c r="K6678" s="4">
        <v>-0.2422</v>
      </c>
      <c r="L6678">
        <v>4.5</v>
      </c>
      <c r="M6678">
        <v>48</v>
      </c>
      <c r="O6678" t="s">
        <v>25</v>
      </c>
      <c r="P6678" t="s">
        <v>8520</v>
      </c>
      <c r="Q6678" t="s">
        <v>8523</v>
      </c>
    </row>
    <row r="6679" spans="1:17" ht="15.5" x14ac:dyDescent="0.35">
      <c r="A6679"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6679" s="3" t="str">
        <f>HYPERLINK("https://edmondsonsupply.com/products/klein-tools-56059-multi-groove-fiberglass-fish-tape-200-foot", "https://edmondsonsupply.com/products/klein-tools-56059-multi-groove-fiberglass-fish-tape-200-foot")</f>
        <v>https://edmondsonsupply.com/products/klein-tools-56059-multi-groove-fiberglass-fish-tape-200-foot</v>
      </c>
      <c r="C6679" t="s">
        <v>7681</v>
      </c>
      <c r="D6679" t="s">
        <v>4511</v>
      </c>
      <c r="E6679" s="3" t="str">
        <f>HYPERLINK("https://www.amazon.com/Klein-Tools-56380-Multi-Groove-Fiberglass/dp/B0822229DW/ref=sr_1_5?keywords=Klein+Tools+56059+Multi-Groove+Fiberglass+Fish+Tape+200-Foot&amp;qid=1695174221&amp;sr=8-5", "https://www.amazon.com/Klein-Tools-56380-Multi-Groove-Fiberglass/dp/B0822229DW/ref=sr_1_5?keywords=Klein+Tools+56059+Multi-Groove+Fiberglass+Fish+Tape+200-Foot&amp;qid=1695174221&amp;sr=8-5")</f>
        <v>https://www.amazon.com/Klein-Tools-56380-Multi-Groove-Fiberglass/dp/B0822229DW/ref=sr_1_5?keywords=Klein+Tools+56059+Multi-Groove+Fiberglass+Fish+Tape+200-Foot&amp;qid=1695174221&amp;sr=8-5</v>
      </c>
      <c r="F6679" t="s">
        <v>4512</v>
      </c>
      <c r="G6679" t="e">
        <f ca="1">_xludf.IMAGE("https://edmondsonsupply.com/cdn/shop/products/56059.jpg?v=1648938340")</f>
        <v>#NAME?</v>
      </c>
      <c r="H6679" t="e">
        <f ca="1">_xludf.IMAGE("https://m.media-amazon.com/images/I/51m05Po5U+L._AC_UL320_.jpg")</f>
        <v>#NAME?</v>
      </c>
      <c r="I6679" t="s">
        <v>7682</v>
      </c>
      <c r="J6679">
        <v>139.99</v>
      </c>
      <c r="K6679" s="4">
        <v>-0.24329999999999999</v>
      </c>
      <c r="L6679">
        <v>4.7</v>
      </c>
      <c r="M6679">
        <v>87</v>
      </c>
      <c r="O6679" t="s">
        <v>25</v>
      </c>
      <c r="P6679" t="s">
        <v>7683</v>
      </c>
      <c r="Q6679" t="s">
        <v>7684</v>
      </c>
    </row>
    <row r="6680" spans="1:17" ht="15.5" x14ac:dyDescent="0.35">
      <c r="A6680" s="3" t="str">
        <f>HYPERLINK("https://edmondsonsupply.com/collections/electricians-tools/products/gorilla-glue-107450-original-gorilla-glue-20z-bottle", "https://edmondsonsupply.com/collections/electricians-tools/products/gorilla-glue-107450-original-gorilla-glue-20z-bottle")</f>
        <v>https://edmondsonsupply.com/collections/electricians-tools/products/gorilla-glue-107450-original-gorilla-glue-20z-bottle</v>
      </c>
      <c r="B6680" s="3" t="str">
        <f>HYPERLINK("https://edmondsonsupply.com/products/gorilla-glue-107450-original-gorilla-glue-20z-bottle", "https://edmondsonsupply.com/products/gorilla-glue-107450-original-gorilla-glue-20z-bottle")</f>
        <v>https://edmondsonsupply.com/products/gorilla-glue-107450-original-gorilla-glue-20z-bottle</v>
      </c>
      <c r="C6680" t="s">
        <v>6030</v>
      </c>
      <c r="D6680" t="s">
        <v>8846</v>
      </c>
      <c r="E6680" s="3" t="str">
        <f>HYPERLINK("https://www.amazon.com/Gorilla-Original-Waterproof-Polyurethane-Bottle/dp/B0000DD5EN/ref=sr_1_1?keywords=Gorilla+Glue+107450+Original+Gorilla+Glue%2C+2oz.+bottle&amp;qid=1695174069&amp;sr=8-1", "https://www.amazon.com/Gorilla-Original-Waterproof-Polyurethane-Bottle/dp/B0000DD5EN/ref=sr_1_1?keywords=Gorilla+Glue+107450+Original+Gorilla+Glue%2C+2oz.+bottle&amp;qid=1695174069&amp;sr=8-1")</f>
        <v>https://www.amazon.com/Gorilla-Original-Waterproof-Polyurethane-Bottle/dp/B0000DD5EN/ref=sr_1_1?keywords=Gorilla+Glue+107450+Original+Gorilla+Glue%2C+2oz.+bottle&amp;qid=1695174069&amp;sr=8-1</v>
      </c>
      <c r="F6680" t="s">
        <v>8847</v>
      </c>
      <c r="G6680" t="e">
        <f ca="1">_xludf.IMAGE("https://edmondsonsupply.com/cdn/shop/products/original_gorilla_glue_white_bg_v2-450x450-c-default.webp?v=1678801122")</f>
        <v>#NAME?</v>
      </c>
      <c r="H6680" t="e">
        <f ca="1">_xludf.IMAGE("https://m.media-amazon.com/images/I/81chOUAWyvL._AC_UY218_.jpg")</f>
        <v>#NAME?</v>
      </c>
      <c r="I6680" t="s">
        <v>6033</v>
      </c>
      <c r="J6680">
        <v>5.28</v>
      </c>
      <c r="K6680" s="4">
        <v>-0.24360000000000001</v>
      </c>
      <c r="L6680">
        <v>4.5999999999999996</v>
      </c>
      <c r="M6680">
        <v>2729</v>
      </c>
      <c r="O6680" t="s">
        <v>25</v>
      </c>
      <c r="P6680" t="s">
        <v>138</v>
      </c>
      <c r="Q6680" t="s">
        <v>6034</v>
      </c>
    </row>
    <row r="6681" spans="1:17" ht="15.5" x14ac:dyDescent="0.35">
      <c r="A6681" s="3" t="str">
        <f>HYPERLINK("https://edmondsonsupply.com/collections/electricians-tools/products/wiha-tools-66981-13-piece-ball-end-color-coded-hex-l-key-set-inch", "https://edmondsonsupply.com/collections/electricians-tools/products/wiha-tools-66981-13-piece-ball-end-color-coded-hex-l-key-set-inch")</f>
        <v>https://edmondsonsupply.com/collections/electricians-tools/products/wiha-tools-66981-13-piece-ball-end-color-coded-hex-l-key-set-inch</v>
      </c>
      <c r="B6681"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6681" t="s">
        <v>4747</v>
      </c>
      <c r="D6681" t="s">
        <v>5358</v>
      </c>
      <c r="E6681" s="3" t="str">
        <f>HYPERLINK("https://www.amazon.com/Wiha-66988-ErgoStar-L-Key-13-Piece/dp/B00CJC51MO/ref=sr_1_2?keywords=Wiha+Tools+66981+13+Piece+Ball+End+Color+Coded+Hex+L-Key+Set+-+Inch&amp;qid=1695173978&amp;sr=8-2", "https://www.amazon.com/Wiha-66988-ErgoStar-L-Key-13-Piece/dp/B00CJC51MO/ref=sr_1_2?keywords=Wiha+Tools+66981+13+Piece+Ball+End+Color+Coded+Hex+L-Key+Set+-+Inch&amp;qid=1695173978&amp;sr=8-2")</f>
        <v>https://www.amazon.com/Wiha-66988-ErgoStar-L-Key-13-Piece/dp/B00CJC51MO/ref=sr_1_2?keywords=Wiha+Tools+66981+13+Piece+Ball+End+Color+Coded+Hex+L-Key+Set+-+Inch&amp;qid=1695173978&amp;sr=8-2</v>
      </c>
      <c r="F6681" t="s">
        <v>5359</v>
      </c>
      <c r="G6681" t="e">
        <f ca="1">_xludf.IMAGE("https://edmondsonsupply.com/cdn/shop/files/d46e6f2ecefba25ae78922fd12be8f1dc56b6ee6_1000x_1d9d5bc7-c590-4e82-817a-f70a00b88949.webp?v=1690834995")</f>
        <v>#NAME?</v>
      </c>
      <c r="H6681" t="e">
        <f ca="1">_xludf.IMAGE("https://m.media-amazon.com/images/I/61pC3xkuvsL._AC_UL320_.jpg")</f>
        <v>#NAME?</v>
      </c>
      <c r="I6681" t="s">
        <v>4750</v>
      </c>
      <c r="J6681">
        <v>40.39</v>
      </c>
      <c r="K6681" s="4">
        <v>-0.24390000000000001</v>
      </c>
      <c r="L6681">
        <v>4.7</v>
      </c>
      <c r="M6681">
        <v>152</v>
      </c>
      <c r="O6681" t="s">
        <v>25</v>
      </c>
      <c r="P6681" t="s">
        <v>4751</v>
      </c>
      <c r="Q6681" t="s">
        <v>4752</v>
      </c>
    </row>
    <row r="6682" spans="1:17" ht="15.5" x14ac:dyDescent="0.35">
      <c r="A6682" s="3" t="str">
        <f>HYPERLINK("https://edmondsonsupply.com/collections/electricians-tools/products/tajima-g-25bw-g-series-standard-scale-25-ft-x-1-in-steel-blade-tape-measure", "https://edmondsonsupply.com/collections/electricians-tools/products/tajima-g-25bw-g-series-standard-scale-25-ft-x-1-in-steel-blade-tape-measure")</f>
        <v>https://edmondsonsupply.com/collections/electricians-tools/products/tajima-g-25bw-g-series-standard-scale-25-ft-x-1-in-steel-blade-tape-measure</v>
      </c>
      <c r="B6682" s="3" t="str">
        <f>HYPERLINK("https://edmondsonsupply.com/products/tajima-g-25bw-g-series-standard-scale-25-ft-x-1-in-steel-blade-tape-measure", "https://edmondsonsupply.com/products/tajima-g-25bw-g-series-standard-scale-25-ft-x-1-in-steel-blade-tape-measure")</f>
        <v>https://edmondsonsupply.com/products/tajima-g-25bw-g-series-standard-scale-25-ft-x-1-in-steel-blade-tape-measure</v>
      </c>
      <c r="C6682" t="s">
        <v>8848</v>
      </c>
      <c r="D6682" t="s">
        <v>8544</v>
      </c>
      <c r="E6682" s="3" t="str">
        <f>HYPERLINK("https://www.amazon.com/Tajima-SSSF-25BW-Standard-Measure-Safety/dp/B08J5ML1ZM/ref=sr_1_5?keywords=Tajima+G-25BW+G-Series%2C+Standard+Scale%2C+25+ft+x+1+in.+Steel+Blade%2C+Tape+Measure&amp;qid=1695174250&amp;sr=8-5", "https://www.amazon.com/Tajima-SSSF-25BW-Standard-Measure-Safety/dp/B08J5ML1ZM/ref=sr_1_5?keywords=Tajima+G-25BW+G-Series%2C+Standard+Scale%2C+25+ft+x+1+in.+Steel+Blade%2C+Tape+Measure&amp;qid=1695174250&amp;sr=8-5")</f>
        <v>https://www.amazon.com/Tajima-SSSF-25BW-Standard-Measure-Safety/dp/B08J5ML1ZM/ref=sr_1_5?keywords=Tajima+G-25BW+G-Series%2C+Standard+Scale%2C+25+ft+x+1+in.+Steel+Blade%2C+Tape+Measure&amp;qid=1695174250&amp;sr=8-5</v>
      </c>
      <c r="F6682" t="s">
        <v>8545</v>
      </c>
      <c r="G6682" t="e">
        <f ca="1">_xludf.IMAGE("https://edmondsonsupply.com/cdn/shop/products/G-25BW.jpg?v=1633031142")</f>
        <v>#NAME?</v>
      </c>
      <c r="H6682" t="e">
        <f ca="1">_xludf.IMAGE("https://m.media-amazon.com/images/I/51oDpFYnqaL._AC_UL320_.jpg")</f>
        <v>#NAME?</v>
      </c>
      <c r="I6682" t="s">
        <v>5106</v>
      </c>
      <c r="J6682">
        <v>21.37</v>
      </c>
      <c r="K6682" s="4">
        <v>-0.24460000000000001</v>
      </c>
      <c r="L6682">
        <v>4.5999999999999996</v>
      </c>
      <c r="M6682">
        <v>138</v>
      </c>
      <c r="O6682" t="s">
        <v>25</v>
      </c>
      <c r="P6682" t="s">
        <v>138</v>
      </c>
      <c r="Q6682" t="s">
        <v>8849</v>
      </c>
    </row>
    <row r="6683" spans="1:17" ht="15.5" x14ac:dyDescent="0.35">
      <c r="A6683" s="3" t="str">
        <f>HYPERLINK("https://edmondsonsupply.com/collections/electricians-tools/products/fieldpiece-adk7-deluxe-silicone-test-lead-kit", "https://edmondsonsupply.com/collections/electricians-tools/products/fieldpiece-adk7-deluxe-silicone-test-lead-kit")</f>
        <v>https://edmondsonsupply.com/collections/electricians-tools/products/fieldpiece-adk7-deluxe-silicone-test-lead-kit</v>
      </c>
      <c r="B6683" s="3" t="str">
        <f>HYPERLINK("https://edmondsonsupply.com/products/fieldpiece-adk7-deluxe-silicone-test-lead-kit", "https://edmondsonsupply.com/products/fieldpiece-adk7-deluxe-silicone-test-lead-kit")</f>
        <v>https://edmondsonsupply.com/products/fieldpiece-adk7-deluxe-silicone-test-lead-kit</v>
      </c>
      <c r="C6683" t="s">
        <v>8455</v>
      </c>
      <c r="D6683" t="s">
        <v>8850</v>
      </c>
      <c r="E6683" s="3" t="str">
        <f>HYPERLINK("https://www.amazon.com/Fieldpiece-ADLS2-Deluxe-Silicone-Leads/dp/B001415IWE/ref=sr_1_2?keywords=Fieldpiece+ADK7+Deluxe+Silicone+Test+Lead+Kit&amp;qid=1695174263&amp;sr=8-2", "https://www.amazon.com/Fieldpiece-ADLS2-Deluxe-Silicone-Leads/dp/B001415IWE/ref=sr_1_2?keywords=Fieldpiece+ADK7+Deluxe+Silicone+Test+Lead+Kit&amp;qid=1695174263&amp;sr=8-2")</f>
        <v>https://www.amazon.com/Fieldpiece-ADLS2-Deluxe-Silicone-Leads/dp/B001415IWE/ref=sr_1_2?keywords=Fieldpiece+ADK7+Deluxe+Silicone+Test+Lead+Kit&amp;qid=1695174263&amp;sr=8-2</v>
      </c>
      <c r="F6683" t="s">
        <v>8851</v>
      </c>
      <c r="G6683" t="e">
        <f ca="1">_xludf.IMAGE("https://edmondsonsupply.com/cdn/shop/products/adk7.png?v=1633031044")</f>
        <v>#NAME?</v>
      </c>
      <c r="H6683" t="e">
        <f ca="1">_xludf.IMAGE("https://m.media-amazon.com/images/I/71I6eVTSheL._AC_UY218_.jpg")</f>
        <v>#NAME?</v>
      </c>
      <c r="I6683" t="s">
        <v>8457</v>
      </c>
      <c r="J6683">
        <v>29.5</v>
      </c>
      <c r="K6683" s="4">
        <v>-0.2455</v>
      </c>
      <c r="L6683">
        <v>4.8</v>
      </c>
      <c r="M6683">
        <v>177</v>
      </c>
      <c r="O6683" t="s">
        <v>25</v>
      </c>
      <c r="P6683" t="s">
        <v>5662</v>
      </c>
      <c r="Q6683" t="s">
        <v>8458</v>
      </c>
    </row>
    <row r="6684" spans="1:17" ht="15.5" x14ac:dyDescent="0.35">
      <c r="A6684" s="3" t="str">
        <f>HYPERLINK("https://edmondsonsupply.com/collections/electricians-tools/products/klein-tools-33736ins", "https://edmondsonsupply.com/collections/electricians-tools/products/klein-tools-33736ins")</f>
        <v>https://edmondsonsupply.com/collections/electricians-tools/products/klein-tools-33736ins</v>
      </c>
      <c r="B6684" s="3" t="str">
        <f>HYPERLINK("https://edmondsonsupply.com/products/klein-tools-33736ins", "https://edmondsonsupply.com/products/klein-tools-33736ins")</f>
        <v>https://edmondsonsupply.com/products/klein-tools-33736ins</v>
      </c>
      <c r="C6684" t="s">
        <v>1928</v>
      </c>
      <c r="D6684" t="s">
        <v>2798</v>
      </c>
      <c r="E6684" s="3" t="str">
        <f>HYPERLINK("https://www.amazon.com/Klein-Tools-33734INS-Insulated-Screwdriver/dp/B088NQ1D2B/ref=sr_1_5?keywords=Klein+Tools+33736INS+Screwdriver+Set%2C+1000V+Slim-Tip+Insulated+and+Magnetizer%2C+6-Piece&amp;qid=1695173911&amp;sr=8-5", "https://www.amazon.com/Klein-Tools-33734INS-Insulated-Screwdriver/dp/B088NQ1D2B/ref=sr_1_5?keywords=Klein+Tools+33736INS+Screwdriver+Set%2C+1000V+Slim-Tip+Insulated+and+Magnetizer%2C+6-Piece&amp;qid=1695173911&amp;sr=8-5")</f>
        <v>https://www.amazon.com/Klein-Tools-33734INS-Insulated-Screwdriver/dp/B088NQ1D2B/ref=sr_1_5?keywords=Klein+Tools+33736INS+Screwdriver+Set%2C+1000V+Slim-Tip+Insulated+and+Magnetizer%2C+6-Piece&amp;qid=1695173911&amp;sr=8-5</v>
      </c>
      <c r="F6684" t="s">
        <v>2799</v>
      </c>
      <c r="G6684" t="e">
        <f ca="1">_xludf.IMAGE("https://edmondsonsupply.com/cdn/shop/products/33736ins.jpg?v=1664807705")</f>
        <v>#NAME?</v>
      </c>
      <c r="H6684" t="e">
        <f ca="1">_xludf.IMAGE("https://m.media-amazon.com/images/I/41+LCtq0IpL._AC_UL320_.jpg")</f>
        <v>#NAME?</v>
      </c>
      <c r="I6684" t="s">
        <v>1931</v>
      </c>
      <c r="J6684">
        <v>37.700000000000003</v>
      </c>
      <c r="K6684" s="4">
        <v>-0.24579999999999999</v>
      </c>
      <c r="L6684">
        <v>4.8</v>
      </c>
      <c r="M6684">
        <v>1361</v>
      </c>
      <c r="O6684" t="s">
        <v>25</v>
      </c>
      <c r="P6684" t="s">
        <v>1932</v>
      </c>
      <c r="Q6684" t="s">
        <v>1933</v>
      </c>
    </row>
    <row r="6685" spans="1:17" ht="15.5" x14ac:dyDescent="0.35">
      <c r="A6685" s="3" t="str">
        <f>HYPERLINK("https://edmondsonsupply.com/collections/electricians-tools/products/diablo-tools-dou3cs-3-pc-universal-fit-carbide-oscillating-blade-set", "https://edmondsonsupply.com/collections/electricians-tools/products/diablo-tools-dou3cs-3-pc-universal-fit-carbide-oscillating-blade-set")</f>
        <v>https://edmondsonsupply.com/collections/electricians-tools/products/diablo-tools-dou3cs-3-pc-universal-fit-carbide-oscillating-blade-set</v>
      </c>
      <c r="B6685" s="3" t="str">
        <f>HYPERLINK("https://edmondsonsupply.com/products/diablo-tools-dou3cs-3-pc-universal-fit-carbide-oscillating-blade-set", "https://edmondsonsupply.com/products/diablo-tools-dou3cs-3-pc-universal-fit-carbide-oscillating-blade-set")</f>
        <v>https://edmondsonsupply.com/products/diablo-tools-dou3cs-3-pc-universal-fit-carbide-oscillating-blade-set</v>
      </c>
      <c r="C6685" t="s">
        <v>8785</v>
      </c>
      <c r="D6685" t="s">
        <v>8594</v>
      </c>
      <c r="E6685" s="3" t="str">
        <f>HYPERLINK("https://www.amazon.com/Diablo-Freud-DOU3BS-Universal-Oscillating/dp/B089LKV4R1/ref=sr_1_3?keywords=Diablo+Tools+DOU3CS+3+pc+Universal+Fit+Carbide+Oscillating+Blade+Set&amp;qid=1695174015&amp;sr=8-3", "https://www.amazon.com/Diablo-Freud-DOU3BS-Universal-Oscillating/dp/B089LKV4R1/ref=sr_1_3?keywords=Diablo+Tools+DOU3CS+3+pc+Universal+Fit+Carbide+Oscillating+Blade+Set&amp;qid=1695174015&amp;sr=8-3")</f>
        <v>https://www.amazon.com/Diablo-Freud-DOU3BS-Universal-Oscillating/dp/B089LKV4R1/ref=sr_1_3?keywords=Diablo+Tools+DOU3CS+3+pc+Universal+Fit+Carbide+Oscillating+Blade+Set&amp;qid=1695174015&amp;sr=8-3</v>
      </c>
      <c r="F6685" t="s">
        <v>8595</v>
      </c>
      <c r="G6685" t="e">
        <f ca="1">_xludf.IMAGE("https://edmondsonsupply.com/cdn/shop/files/xyfhzl826p3zscosyxtm.webp?v=1685721758")</f>
        <v>#NAME?</v>
      </c>
      <c r="H6685" t="e">
        <f ca="1">_xludf.IMAGE("https://m.media-amazon.com/images/I/71Kp5BKb9OL._AC_UL320_.jpg")</f>
        <v>#NAME?</v>
      </c>
      <c r="I6685" t="s">
        <v>4108</v>
      </c>
      <c r="J6685">
        <v>33.89</v>
      </c>
      <c r="K6685" s="4">
        <v>-0.24640000000000001</v>
      </c>
      <c r="L6685">
        <v>4.5</v>
      </c>
      <c r="M6685">
        <v>29</v>
      </c>
      <c r="O6685" t="s">
        <v>25</v>
      </c>
      <c r="P6685" t="s">
        <v>8786</v>
      </c>
      <c r="Q6685" t="s">
        <v>8787</v>
      </c>
    </row>
    <row r="6686" spans="1:17" ht="15.5" x14ac:dyDescent="0.35">
      <c r="A6686"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6686"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6686" t="s">
        <v>7824</v>
      </c>
      <c r="D6686" t="s">
        <v>5314</v>
      </c>
      <c r="E6686" s="3" t="str">
        <f>HYPERLINK("https://www.amazon.com/Klein-Tools-D248-8-Leverage-Diagonal/dp/B0000302W8/ref=sr_1_6?keywords=Klein+Tools+D2000-49+Diagonal+Cutting+Pliers%2C+Angled+Head%2C+9-Inch&amp;qid=1695174302&amp;sr=8-6", "https://www.amazon.com/Klein-Tools-D248-8-Leverage-Diagonal/dp/B0000302W8/ref=sr_1_6?keywords=Klein+Tools+D2000-49+Diagonal+Cutting+Pliers%2C+Angled+Head%2C+9-Inch&amp;qid=1695174302&amp;sr=8-6")</f>
        <v>https://www.amazon.com/Klein-Tools-D248-8-Leverage-Diagonal/dp/B0000302W8/ref=sr_1_6?keywords=Klein+Tools+D2000-49+Diagonal+Cutting+Pliers%2C+Angled+Head%2C+9-Inch&amp;qid=1695174302&amp;sr=8-6</v>
      </c>
      <c r="F6686" t="s">
        <v>5315</v>
      </c>
      <c r="G6686" t="e">
        <f ca="1">_xludf.IMAGE("https://edmondsonsupply.com/cdn/shop/products/d2000-49.jpg?v=1633030811")</f>
        <v>#NAME?</v>
      </c>
      <c r="H6686" t="e">
        <f ca="1">_xludf.IMAGE("https://m.media-amazon.com/images/I/41KAmcIzVBL._AC_UL320_.jpg")</f>
        <v>#NAME?</v>
      </c>
      <c r="I6686" t="s">
        <v>3930</v>
      </c>
      <c r="J6686">
        <v>29.38</v>
      </c>
      <c r="K6686" s="4">
        <v>-0.2465</v>
      </c>
      <c r="L6686">
        <v>4.8</v>
      </c>
      <c r="M6686">
        <v>2417</v>
      </c>
      <c r="O6686" t="s">
        <v>25</v>
      </c>
      <c r="P6686" t="s">
        <v>7825</v>
      </c>
      <c r="Q6686" t="s">
        <v>7826</v>
      </c>
    </row>
    <row r="6687" spans="1:17" ht="15.5" x14ac:dyDescent="0.35">
      <c r="A6687"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6687" s="3" t="str">
        <f>HYPERLINK("https://edmondsonsupply.com/products/klein-tools-j203-8-pliers-needle-nose-side-cutters-8-inch", "https://edmondsonsupply.com/products/klein-tools-j203-8-pliers-needle-nose-side-cutters-8-inch")</f>
        <v>https://edmondsonsupply.com/products/klein-tools-j203-8-pliers-needle-nose-side-cutters-8-inch</v>
      </c>
      <c r="C6687" t="s">
        <v>6516</v>
      </c>
      <c r="D6687" t="s">
        <v>8852</v>
      </c>
      <c r="E6687" s="3" t="str">
        <f>HYPERLINK("https://www.amazon.com/Klein-Tools-J203-6-Pliers-Side-Cutters/dp/B000FH289O/ref=sr_1_5?keywords=Klein+Tools+J203-8+Pliers%2C+Needle+Nose+Side-Cutters%2C+8-Inch&amp;qid=1695174221&amp;sr=8-5", "https://www.amazon.com/Klein-Tools-J203-6-Pliers-Side-Cutters/dp/B000FH289O/ref=sr_1_5?keywords=Klein+Tools+J203-8+Pliers%2C+Needle+Nose+Side-Cutters%2C+8-Inch&amp;qid=1695174221&amp;sr=8-5")</f>
        <v>https://www.amazon.com/Klein-Tools-J203-6-Pliers-Side-Cutters/dp/B000FH289O/ref=sr_1_5?keywords=Klein+Tools+J203-8+Pliers%2C+Needle+Nose+Side-Cutters%2C+8-Inch&amp;qid=1695174221&amp;sr=8-5</v>
      </c>
      <c r="F6687" t="s">
        <v>8853</v>
      </c>
      <c r="G6687" t="e">
        <f ca="1">_xludf.IMAGE("https://edmondsonsupply.com/cdn/shop/products/j2038.jpg?v=1644709677")</f>
        <v>#NAME?</v>
      </c>
      <c r="H6687" t="e">
        <f ca="1">_xludf.IMAGE("https://m.media-amazon.com/images/I/514ud2Pt0TL._AC_UL320_.jpg")</f>
        <v>#NAME?</v>
      </c>
      <c r="I6687" t="s">
        <v>6519</v>
      </c>
      <c r="J6687">
        <v>28.99</v>
      </c>
      <c r="K6687" s="4">
        <v>-0.24679999999999999</v>
      </c>
      <c r="L6687">
        <v>4.7</v>
      </c>
      <c r="M6687">
        <v>106</v>
      </c>
      <c r="O6687" t="s">
        <v>25</v>
      </c>
      <c r="P6687" t="s">
        <v>6520</v>
      </c>
      <c r="Q6687" t="s">
        <v>6521</v>
      </c>
    </row>
    <row r="6688" spans="1:17" ht="15.5" x14ac:dyDescent="0.35">
      <c r="A6688"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6688" s="3" t="str">
        <f>HYPERLINK("https://edmondsonsupply.com/products/diablo-tools-d0604dh-6-1-2-in-x-4-tooth-fiber-cement", "https://edmondsonsupply.com/products/diablo-tools-d0604dh-6-1-2-in-x-4-tooth-fiber-cement")</f>
        <v>https://edmondsonsupply.com/products/diablo-tools-d0604dh-6-1-2-in-x-4-tooth-fiber-cement</v>
      </c>
      <c r="C6688" t="s">
        <v>6483</v>
      </c>
      <c r="D6688" t="s">
        <v>8854</v>
      </c>
      <c r="E6688" s="3" t="str">
        <f>HYPERLINK("https://www.amazon.com/Norske-Tools-NCSBP281-Polycrystalline-Diamond/dp/B07DYML1Q5/ref=sr_1_4?keywords=Diablo+Tools+D0604DH+6-1%2F2+in.+x+4+Tooth+Fiber+Cement&amp;qid=1695174076&amp;sr=8-4", "https://www.amazon.com/Norske-Tools-NCSBP281-Polycrystalline-Diamond/dp/B07DYML1Q5/ref=sr_1_4?keywords=Diablo+Tools+D0604DH+6-1%2F2+in.+x+4+Tooth+Fiber+Cement&amp;qid=1695174076&amp;sr=8-4")</f>
        <v>https://www.amazon.com/Norske-Tools-NCSBP281-Polycrystalline-Diamond/dp/B07DYML1Q5/ref=sr_1_4?keywords=Diablo+Tools+D0604DH+6-1%2F2+in.+x+4+Tooth+Fiber+Cement&amp;qid=1695174076&amp;sr=8-4</v>
      </c>
      <c r="F6688" t="s">
        <v>8855</v>
      </c>
      <c r="G6688" t="e">
        <f ca="1">_xludf.IMAGE("https://edmondsonsupply.com/cdn/shop/products/b97gznmuns4ffl0mabzf.webp?v=1679319668")</f>
        <v>#NAME?</v>
      </c>
      <c r="H6688" t="e">
        <f ca="1">_xludf.IMAGE("https://m.media-amazon.com/images/I/71Q7oNmMkdL._AC_UL320_.jpg")</f>
        <v>#NAME?</v>
      </c>
      <c r="I6688" t="s">
        <v>380</v>
      </c>
      <c r="J6688">
        <v>37.549999999999997</v>
      </c>
      <c r="K6688" s="4">
        <v>-0.2485</v>
      </c>
      <c r="L6688">
        <v>4.5</v>
      </c>
      <c r="M6688">
        <v>369</v>
      </c>
      <c r="O6688" t="s">
        <v>25</v>
      </c>
      <c r="P6688" t="s">
        <v>6486</v>
      </c>
      <c r="Q6688" t="s">
        <v>6487</v>
      </c>
    </row>
    <row r="6689" spans="1:17" ht="15.5" x14ac:dyDescent="0.35">
      <c r="A6689" s="3" t="str">
        <f>HYPERLINK("https://edmondsonsupply.com/collections/electricians-tools/products/klein-tools-55421bp-14-tradesman-pro%E2%84%A2-tool-bag-backpack-39-pockets-black-14-inch", "https://edmondsonsupply.com/collections/electricians-tools/products/klein-tools-55421bp-14-tradesman-pro%E2%84%A2-tool-bag-backpack-39-pockets-black-14-inch")</f>
        <v>https://edmondsonsupply.com/collections/electricians-tools/products/klein-tools-55421bp-14-tradesman-pro%E2%84%A2-tool-bag-backpack-39-pockets-black-14-inch</v>
      </c>
      <c r="B6689" s="3" t="str">
        <f>HYPERLINK("https://edmondsonsupply.com/products/klein-tools-55421bp-14-tradesman-pro%e2%84%a2-tool-bag-backpack-39-pockets-black-14-inch", "https://edmondsonsupply.com/products/klein-tools-55421bp-14-tradesman-pro%e2%84%a2-tool-bag-backpack-39-pockets-black-14-inch")</f>
        <v>https://edmondsonsupply.com/products/klein-tools-55421bp-14-tradesman-pro%e2%84%a2-tool-bag-backpack-39-pockets-black-14-inch</v>
      </c>
      <c r="C6689" t="s">
        <v>542</v>
      </c>
      <c r="D6689" t="s">
        <v>746</v>
      </c>
      <c r="E6689" s="3" t="str">
        <f>HYPERLINK("https://www.amazon.com/Electrician-Tradesman-Klein-Tools-55421BP14CAMO/dp/B00VX5P8XK/ref=sr_1_2?keywords=Klein+Tools+55421BP-14+Tradesman+Pro%E2%84%A2+Tool+Bag+Backpack%2C+39+Pockets%2C+Black%2C+14-Inch&amp;qid=1695173876&amp;sr=8-2", "https://www.amazon.com/Electrician-Tradesman-Klein-Tools-55421BP14CAMO/dp/B00VX5P8XK/ref=sr_1_2?keywords=Klein+Tools+55421BP-14+Tradesman+Pro%E2%84%A2+Tool+Bag+Backpack%2C+39+Pockets%2C+Black%2C+14-Inch&amp;qid=1695173876&amp;sr=8-2")</f>
        <v>https://www.amazon.com/Electrician-Tradesman-Klein-Tools-55421BP14CAMO/dp/B00VX5P8XK/ref=sr_1_2?keywords=Klein+Tools+55421BP-14+Tradesman+Pro%E2%84%A2+Tool+Bag+Backpack%2C+39+Pockets%2C+Black%2C+14-Inch&amp;qid=1695173876&amp;sr=8-2</v>
      </c>
      <c r="F6689" t="s">
        <v>747</v>
      </c>
      <c r="G6689" t="e">
        <f ca="1">_xludf.IMAGE("https://edmondsonsupply.com/cdn/shop/products/55421bp-14_photo.jpg?v=1660827337")</f>
        <v>#NAME?</v>
      </c>
      <c r="H6689" t="e">
        <f ca="1">_xludf.IMAGE("https://m.media-amazon.com/images/I/71tSAVLDR+L._AC_UL320_.jpg")</f>
        <v>#NAME?</v>
      </c>
      <c r="I6689" t="s">
        <v>545</v>
      </c>
      <c r="J6689">
        <v>75</v>
      </c>
      <c r="K6689" s="4">
        <v>-0.24979999999999999</v>
      </c>
      <c r="L6689">
        <v>4.8</v>
      </c>
      <c r="M6689">
        <v>1763</v>
      </c>
      <c r="O6689" t="s">
        <v>25</v>
      </c>
      <c r="P6689" t="s">
        <v>546</v>
      </c>
      <c r="Q6689" t="s">
        <v>547</v>
      </c>
    </row>
    <row r="6690" spans="1:17" ht="15.5" x14ac:dyDescent="0.35">
      <c r="A6690"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6690"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6690" t="s">
        <v>7911</v>
      </c>
      <c r="D6690" t="s">
        <v>6047</v>
      </c>
      <c r="E6690" s="3" t="str">
        <f>HYPERLINK("https://www.amazon.com/Conduit-Features-Klein-Tools-51604/dp/B08V8YVWH1/ref=sr_1_3?keywords=Klein+Tools+51605+Iron+Conduit+Bender+Full+Assembly%2C+1-Inch+EMT+with+Angle+Setter%E2%84%A2&amp;qid=1695174157&amp;sr=8-3", "https://www.amazon.com/Conduit-Features-Klein-Tools-51604/dp/B08V8YVWH1/ref=sr_1_3?keywords=Klein+Tools+51605+Iron+Conduit+Bender+Full+Assembly%2C+1-Inch+EMT+with+Angle+Setter%E2%84%A2&amp;qid=1695174157&amp;sr=8-3")</f>
        <v>https://www.amazon.com/Conduit-Features-Klein-Tools-51604/dp/B08V8YVWH1/ref=sr_1_3?keywords=Klein+Tools+51605+Iron+Conduit+Bender+Full+Assembly%2C+1-Inch+EMT+with+Angle+Setter%E2%84%A2&amp;qid=1695174157&amp;sr=8-3</v>
      </c>
      <c r="F6690" t="s">
        <v>6048</v>
      </c>
      <c r="G6690" t="e">
        <f ca="1">_xludf.IMAGE("https://edmondsonsupply.com/cdn/shop/products/51605.jpg?v=1663938749")</f>
        <v>#NAME?</v>
      </c>
      <c r="H6690" t="e">
        <f ca="1">_xludf.IMAGE("https://m.media-amazon.com/images/I/41DkDVmyczL._AC_UL320_.jpg")</f>
        <v>#NAME?</v>
      </c>
      <c r="I6690" t="s">
        <v>545</v>
      </c>
      <c r="J6690">
        <v>74.989999999999995</v>
      </c>
      <c r="K6690" s="4">
        <v>-0.24990000000000001</v>
      </c>
      <c r="L6690">
        <v>4.8</v>
      </c>
      <c r="M6690">
        <v>43</v>
      </c>
      <c r="O6690" t="s">
        <v>25</v>
      </c>
      <c r="P6690" t="s">
        <v>2225</v>
      </c>
      <c r="Q6690" t="s">
        <v>7912</v>
      </c>
    </row>
    <row r="6691" spans="1:17" ht="15.5" x14ac:dyDescent="0.35">
      <c r="A6691"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6691"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6691" t="s">
        <v>7911</v>
      </c>
      <c r="D6691" t="s">
        <v>6043</v>
      </c>
      <c r="E6691" s="3" t="str">
        <f>HYPERLINK("https://www.amazon.com/Conduit-Bender-Klein-Tools-51610/dp/B08V8J5CX4/ref=sr_1_6?keywords=Klein+Tools+51605+Iron+Conduit+Bender+Full+Assembly%2C+1-Inch+EMT+with+Angle+Setter%E2%84%A2&amp;qid=1695174157&amp;sr=8-6", "https://www.amazon.com/Conduit-Bender-Klein-Tools-51610/dp/B08V8J5CX4/ref=sr_1_6?keywords=Klein+Tools+51605+Iron+Conduit+Bender+Full+Assembly%2C+1-Inch+EMT+with+Angle+Setter%E2%84%A2&amp;qid=1695174157&amp;sr=8-6")</f>
        <v>https://www.amazon.com/Conduit-Bender-Klein-Tools-51610/dp/B08V8J5CX4/ref=sr_1_6?keywords=Klein+Tools+51605+Iron+Conduit+Bender+Full+Assembly%2C+1-Inch+EMT+with+Angle+Setter%E2%84%A2&amp;qid=1695174157&amp;sr=8-6</v>
      </c>
      <c r="F6691" t="s">
        <v>6044</v>
      </c>
      <c r="G6691" t="e">
        <f ca="1">_xludf.IMAGE("https://edmondsonsupply.com/cdn/shop/products/51605.jpg?v=1663938749")</f>
        <v>#NAME?</v>
      </c>
      <c r="H6691" t="e">
        <f ca="1">_xludf.IMAGE("https://m.media-amazon.com/images/I/61jmGqozuVL._AC_UL320_.jpg")</f>
        <v>#NAME?</v>
      </c>
      <c r="I6691" t="s">
        <v>545</v>
      </c>
      <c r="J6691">
        <v>74.989999999999995</v>
      </c>
      <c r="K6691" s="4">
        <v>-0.24990000000000001</v>
      </c>
      <c r="L6691">
        <v>4.8</v>
      </c>
      <c r="M6691">
        <v>11</v>
      </c>
      <c r="O6691" t="s">
        <v>25</v>
      </c>
      <c r="P6691" t="s">
        <v>2225</v>
      </c>
      <c r="Q6691" t="s">
        <v>7912</v>
      </c>
    </row>
    <row r="6692" spans="1:17" ht="15.5" x14ac:dyDescent="0.35">
      <c r="A6692"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6692"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6692" t="s">
        <v>6963</v>
      </c>
      <c r="D6692" t="s">
        <v>6176</v>
      </c>
      <c r="E6692" s="3" t="str">
        <f>HYPERLINK("https://www.amazon.com/Aluminum-Benchmark-Technology-Klein-Tools/dp/B08L41G5G5/ref=sr_1_4?keywords=Klein+Tools+51603+Iron+Conduit+Bender+Full+Assembly%2C+1%2F2-Inch+EMT+with+Angle+Setter%E2%84%A2&amp;qid=1695173919&amp;sr=8-4", "https://www.amazon.com/Aluminum-Benchmark-Technology-Klein-Tools/dp/B08L41G5G5/ref=sr_1_4?keywords=Klein+Tools+51603+Iron+Conduit+Bender+Full+Assembly%2C+1%2F2-Inch+EMT+with+Angle+Setter%E2%84%A2&amp;qid=1695173919&amp;sr=8-4")</f>
        <v>https://www.amazon.com/Aluminum-Benchmark-Technology-Klein-Tools/dp/B08L41G5G5/ref=sr_1_4?keywords=Klein+Tools+51603+Iron+Conduit+Bender+Full+Assembly%2C+1%2F2-Inch+EMT+with+Angle+Setter%E2%84%A2&amp;qid=1695173919&amp;sr=8-4</v>
      </c>
      <c r="F6692" t="s">
        <v>6177</v>
      </c>
      <c r="G6692" t="e">
        <f ca="1">_xludf.IMAGE("https://edmondsonsupply.com/cdn/shop/products/51604.jpg?v=1663940749")</f>
        <v>#NAME?</v>
      </c>
      <c r="H6692" t="e">
        <f ca="1">_xludf.IMAGE("https://m.media-amazon.com/images/I/419ZjlOD69L._AC_UL320_.jpg")</f>
        <v>#NAME?</v>
      </c>
      <c r="I6692" t="s">
        <v>905</v>
      </c>
      <c r="J6692">
        <v>44.99</v>
      </c>
      <c r="K6692" s="4">
        <v>-0.25</v>
      </c>
      <c r="L6692">
        <v>4.7</v>
      </c>
      <c r="M6692">
        <v>343</v>
      </c>
      <c r="O6692" t="s">
        <v>25</v>
      </c>
      <c r="P6692" t="s">
        <v>6964</v>
      </c>
      <c r="Q6692" t="s">
        <v>6965</v>
      </c>
    </row>
    <row r="6693" spans="1:17" ht="15.5" x14ac:dyDescent="0.35">
      <c r="A6693"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6693" s="3" t="str">
        <f>HYPERLINK("https://edmondsonsupply.com/products/klein-tools-51609-3-4-inch-iron-conduit-bender-head", "https://edmondsonsupply.com/products/klein-tools-51609-3-4-inch-iron-conduit-bender-head")</f>
        <v>https://edmondsonsupply.com/products/klein-tools-51609-3-4-inch-iron-conduit-bender-head</v>
      </c>
      <c r="C6693" t="s">
        <v>6966</v>
      </c>
      <c r="D6693" t="s">
        <v>6176</v>
      </c>
      <c r="E6693" s="3" t="str">
        <f>HYPERLINK("https://www.amazon.com/Aluminum-Benchmark-Technology-Klein-Tools/dp/B08L41G5G5/ref=sr_1_5?keywords=Klein+Tools+51609+3%2F4-Inch+Iron+Conduit+Bender+Head&amp;qid=1695174173&amp;sr=8-5", "https://www.amazon.com/Aluminum-Benchmark-Technology-Klein-Tools/dp/B08L41G5G5/ref=sr_1_5?keywords=Klein+Tools+51609+3%2F4-Inch+Iron+Conduit+Bender+Head&amp;qid=1695174173&amp;sr=8-5")</f>
        <v>https://www.amazon.com/Aluminum-Benchmark-Technology-Klein-Tools/dp/B08L41G5G5/ref=sr_1_5?keywords=Klein+Tools+51609+3%2F4-Inch+Iron+Conduit+Bender+Head&amp;qid=1695174173&amp;sr=8-5</v>
      </c>
      <c r="F6693" t="s">
        <v>6177</v>
      </c>
      <c r="G6693" t="e">
        <f ca="1">_xludf.IMAGE("https://edmondsonsupply.com/cdn/shop/products/51609.jpg?v=1661867147")</f>
        <v>#NAME?</v>
      </c>
      <c r="H6693" t="e">
        <f ca="1">_xludf.IMAGE("https://m.media-amazon.com/images/I/419ZjlOD69L._AC_UL320_.jpg")</f>
        <v>#NAME?</v>
      </c>
      <c r="I6693" t="s">
        <v>905</v>
      </c>
      <c r="J6693">
        <v>44.99</v>
      </c>
      <c r="K6693" s="4">
        <v>-0.25</v>
      </c>
      <c r="L6693">
        <v>4.7</v>
      </c>
      <c r="M6693">
        <v>343</v>
      </c>
      <c r="O6693" t="s">
        <v>25</v>
      </c>
      <c r="P6693" t="s">
        <v>6967</v>
      </c>
      <c r="Q6693" t="s">
        <v>6968</v>
      </c>
    </row>
    <row r="6694" spans="1:17" ht="15.5" x14ac:dyDescent="0.35">
      <c r="A6694"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6694" s="3" t="str">
        <f>HYPERLINK("https://edmondsonsupply.com/products/klein-tools-51609-3-4-inch-iron-conduit-bender-head", "https://edmondsonsupply.com/products/klein-tools-51609-3-4-inch-iron-conduit-bender-head")</f>
        <v>https://edmondsonsupply.com/products/klein-tools-51609-3-4-inch-iron-conduit-bender-head</v>
      </c>
      <c r="C6694" t="s">
        <v>6966</v>
      </c>
      <c r="D6694" t="s">
        <v>6178</v>
      </c>
      <c r="E6694" s="3" t="str">
        <f>HYPERLINK("https://www.amazon.com/Conduit-Bender-Klein-Tools-51609/dp/B08VYFHL9J/ref=sr_1_1?keywords=Klein+Tools+51609+3%2F4-Inch+Iron+Conduit+Bender+Head&amp;qid=1695174173&amp;sr=8-1", "https://www.amazon.com/Conduit-Bender-Klein-Tools-51609/dp/B08VYFHL9J/ref=sr_1_1?keywords=Klein+Tools+51609+3%2F4-Inch+Iron+Conduit+Bender+Head&amp;qid=1695174173&amp;sr=8-1")</f>
        <v>https://www.amazon.com/Conduit-Bender-Klein-Tools-51609/dp/B08VYFHL9J/ref=sr_1_1?keywords=Klein+Tools+51609+3%2F4-Inch+Iron+Conduit+Bender+Head&amp;qid=1695174173&amp;sr=8-1</v>
      </c>
      <c r="F6694" t="s">
        <v>6179</v>
      </c>
      <c r="G6694" t="e">
        <f ca="1">_xludf.IMAGE("https://edmondsonsupply.com/cdn/shop/products/51609.jpg?v=1661867147")</f>
        <v>#NAME?</v>
      </c>
      <c r="H6694" t="e">
        <f ca="1">_xludf.IMAGE("https://m.media-amazon.com/images/I/61KifnC2xML._AC_UL320_.jpg")</f>
        <v>#NAME?</v>
      </c>
      <c r="I6694" t="s">
        <v>905</v>
      </c>
      <c r="J6694">
        <v>44.99</v>
      </c>
      <c r="K6694" s="4">
        <v>-0.25</v>
      </c>
      <c r="L6694">
        <v>4.2</v>
      </c>
      <c r="M6694">
        <v>31</v>
      </c>
      <c r="O6694" t="s">
        <v>25</v>
      </c>
      <c r="P6694" t="s">
        <v>6967</v>
      </c>
      <c r="Q6694" t="s">
        <v>6968</v>
      </c>
    </row>
    <row r="6695" spans="1:17" ht="15.5" x14ac:dyDescent="0.35">
      <c r="A6695"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6695"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6695" t="s">
        <v>6921</v>
      </c>
      <c r="D6695" t="s">
        <v>8856</v>
      </c>
      <c r="E6695" s="3" t="str">
        <f>HYPERLINK("https://www.amazon.com/Wiss-M3R-MetalMaster-Capacity-Straight/dp/B00002N5KQ/ref=sr_1_6?keywords=Crescent+Wiss+M2P+9-3%2F4%22+Compound+Action+Straight+and+Right+Cut+Aviation+Snips&amp;qid=1695174052&amp;sr=8-6", "https://www.amazon.com/Wiss-M3R-MetalMaster-Capacity-Straight/dp/B00002N5KQ/ref=sr_1_6?keywords=Crescent+Wiss+M2P+9-3%2F4%22+Compound+Action+Straight+and+Right+Cut+Aviation+Snips&amp;qid=1695174052&amp;sr=8-6")</f>
        <v>https://www.amazon.com/Wiss-M3R-MetalMaster-Capacity-Straight/dp/B00002N5KQ/ref=sr_1_6?keywords=Crescent+Wiss+M2P+9-3%2F4%22+Compound+Action+Straight+and+Right+Cut+Aviation+Snips&amp;qid=1695174052&amp;sr=8-6</v>
      </c>
      <c r="F6695" t="s">
        <v>8857</v>
      </c>
      <c r="G6695" t="e">
        <f ca="1">_xludf.IMAGE("https://edmondsonsupply.com/cdn/shop/products/WIS_M2P_IMG_ANG_01.jpg?v=1679674099")</f>
        <v>#NAME?</v>
      </c>
      <c r="H6695" t="e">
        <f ca="1">_xludf.IMAGE("https://m.media-amazon.com/images/I/61eKN-YXrOL._AC_UL320_.jpg")</f>
        <v>#NAME?</v>
      </c>
      <c r="I6695" t="s">
        <v>577</v>
      </c>
      <c r="J6695">
        <v>14.99</v>
      </c>
      <c r="K6695" s="4">
        <v>-0.25009999999999999</v>
      </c>
      <c r="L6695">
        <v>4.5999999999999996</v>
      </c>
      <c r="M6695">
        <v>7466</v>
      </c>
      <c r="O6695" t="s">
        <v>25</v>
      </c>
      <c r="P6695" t="s">
        <v>6924</v>
      </c>
      <c r="Q6695" t="s">
        <v>6925</v>
      </c>
    </row>
    <row r="6696" spans="1:17" ht="15.5" x14ac:dyDescent="0.35">
      <c r="A6696"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6696"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6696" t="s">
        <v>7120</v>
      </c>
      <c r="D6696" t="s">
        <v>8856</v>
      </c>
      <c r="E6696" s="3" t="str">
        <f>HYPERLINK("https://www.amazon.com/Wiss-M3R-MetalMaster-Capacity-Straight/dp/B00002N5KQ/ref=sr_1_4?keywords=Crescent+Wiss+M3P+9-3%2F4%22+Compound+Action+Straight%2C+Left+and+Right+Cut+Snips&amp;qid=1695174052&amp;sr=8-4", "https://www.amazon.com/Wiss-M3R-MetalMaster-Capacity-Straight/dp/B00002N5KQ/ref=sr_1_4?keywords=Crescent+Wiss+M3P+9-3%2F4%22+Compound+Action+Straight%2C+Left+and+Right+Cut+Snips&amp;qid=1695174052&amp;sr=8-4")</f>
        <v>https://www.amazon.com/Wiss-M3R-MetalMaster-Capacity-Straight/dp/B00002N5KQ/ref=sr_1_4?keywords=Crescent+Wiss+M3P+9-3%2F4%22+Compound+Action+Straight%2C+Left+and+Right+Cut+Snips&amp;qid=1695174052&amp;sr=8-4</v>
      </c>
      <c r="F6696" t="s">
        <v>8857</v>
      </c>
      <c r="G6696" t="e">
        <f ca="1">_xludf.IMAGE("https://edmondsonsupply.com/cdn/shop/products/WIS_M3P_IMG_ANG_01.jpg?v=1679675102")</f>
        <v>#NAME?</v>
      </c>
      <c r="H6696" t="e">
        <f ca="1">_xludf.IMAGE("https://m.media-amazon.com/images/I/61eKN-YXrOL._AC_UL320_.jpg")</f>
        <v>#NAME?</v>
      </c>
      <c r="I6696" t="s">
        <v>577</v>
      </c>
      <c r="J6696">
        <v>14.99</v>
      </c>
      <c r="K6696" s="4">
        <v>-0.25009999999999999</v>
      </c>
      <c r="L6696">
        <v>4.5999999999999996</v>
      </c>
      <c r="M6696">
        <v>7466</v>
      </c>
      <c r="O6696" t="s">
        <v>25</v>
      </c>
      <c r="P6696" t="s">
        <v>6924</v>
      </c>
      <c r="Q6696" t="s">
        <v>7121</v>
      </c>
    </row>
    <row r="6697" spans="1:17" ht="15.5" x14ac:dyDescent="0.35">
      <c r="A6697"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6697"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6697" t="s">
        <v>8170</v>
      </c>
      <c r="D6697" t="s">
        <v>8858</v>
      </c>
      <c r="E6697" s="3" t="str">
        <f>HYPERLINK("https://www.amazon.com/Diagonal-Leverage-Klein-Tools-D228-8/dp/B0000302VW/ref=sr_1_4?keywords=Klein+Tools+2288RINS+Diagonal+Cutting+Pliers%2C+Insulated%2C+High+Leverage%2C+8-Inch&amp;qid=1695174127&amp;sr=8-4", "https://www.amazon.com/Diagonal-Leverage-Klein-Tools-D228-8/dp/B0000302VW/ref=sr_1_4?keywords=Klein+Tools+2288RINS+Diagonal+Cutting+Pliers%2C+Insulated%2C+High+Leverage%2C+8-Inch&amp;qid=1695174127&amp;sr=8-4")</f>
        <v>https://www.amazon.com/Diagonal-Leverage-Klein-Tools-D228-8/dp/B0000302VW/ref=sr_1_4?keywords=Klein+Tools+2288RINS+Diagonal+Cutting+Pliers%2C+Insulated%2C+High+Leverage%2C+8-Inch&amp;qid=1695174127&amp;sr=8-4</v>
      </c>
      <c r="F6697" t="s">
        <v>8859</v>
      </c>
      <c r="G6697" t="e">
        <f ca="1">_xludf.IMAGE("https://edmondsonsupply.com/cdn/shop/products/2288rins.jpg?v=1667238570")</f>
        <v>#NAME?</v>
      </c>
      <c r="H6697" t="e">
        <f ca="1">_xludf.IMAGE("https://m.media-amazon.com/images/I/51-72gFSPtL._AC_UL320_.jpg")</f>
        <v>#NAME?</v>
      </c>
      <c r="I6697" t="s">
        <v>246</v>
      </c>
      <c r="J6697">
        <v>29.97</v>
      </c>
      <c r="K6697" s="4">
        <v>-0.25019999999999998</v>
      </c>
      <c r="L6697">
        <v>4.8</v>
      </c>
      <c r="M6697">
        <v>2875</v>
      </c>
      <c r="O6697" t="s">
        <v>25</v>
      </c>
      <c r="P6697" t="s">
        <v>1027</v>
      </c>
      <c r="Q6697" t="s">
        <v>8171</v>
      </c>
    </row>
    <row r="6698" spans="1:17" ht="15.5" x14ac:dyDescent="0.35">
      <c r="A6698"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6698"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6698" t="s">
        <v>8170</v>
      </c>
      <c r="D6698" t="s">
        <v>5457</v>
      </c>
      <c r="E6698" s="3" t="str">
        <f>HYPERLINK("https://www.amazon.com/Diagonal-Ironworker-Klein-Tools-D248-9ST/dp/B0009ZAT1G/ref=sr_1_6?keywords=Klein+Tools+2288RINS+Diagonal+Cutting+Pliers%2C+Insulated%2C+High+Leverage%2C+8-Inch&amp;qid=1695174127&amp;sr=8-6", "https://www.amazon.com/Diagonal-Ironworker-Klein-Tools-D248-9ST/dp/B0009ZAT1G/ref=sr_1_6?keywords=Klein+Tools+2288RINS+Diagonal+Cutting+Pliers%2C+Insulated%2C+High+Leverage%2C+8-Inch&amp;qid=1695174127&amp;sr=8-6")</f>
        <v>https://www.amazon.com/Diagonal-Ironworker-Klein-Tools-D248-9ST/dp/B0009ZAT1G/ref=sr_1_6?keywords=Klein+Tools+2288RINS+Diagonal+Cutting+Pliers%2C+Insulated%2C+High+Leverage%2C+8-Inch&amp;qid=1695174127&amp;sr=8-6</v>
      </c>
      <c r="F6698" t="s">
        <v>5458</v>
      </c>
      <c r="G6698" t="e">
        <f ca="1">_xludf.IMAGE("https://edmondsonsupply.com/cdn/shop/products/2288rins.jpg?v=1667238570")</f>
        <v>#NAME?</v>
      </c>
      <c r="H6698" t="e">
        <f ca="1">_xludf.IMAGE("https://m.media-amazon.com/images/I/41QcUzpmIlL._AC_UL320_.jpg")</f>
        <v>#NAME?</v>
      </c>
      <c r="I6698" t="s">
        <v>246</v>
      </c>
      <c r="J6698">
        <v>29.97</v>
      </c>
      <c r="K6698" s="4">
        <v>-0.25019999999999998</v>
      </c>
      <c r="L6698">
        <v>4.8</v>
      </c>
      <c r="M6698">
        <v>5530</v>
      </c>
      <c r="O6698" t="s">
        <v>25</v>
      </c>
      <c r="P6698" t="s">
        <v>1027</v>
      </c>
      <c r="Q6698" t="s">
        <v>8171</v>
      </c>
    </row>
    <row r="6699" spans="1:17" ht="15.5" x14ac:dyDescent="0.35">
      <c r="A6699"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6699"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6699" t="s">
        <v>3174</v>
      </c>
      <c r="D6699" t="s">
        <v>5178</v>
      </c>
      <c r="E6699" s="3" t="str">
        <f>HYPERLINK("https://www.amazon.com/Stripper-Electrical-Klein-Tools-11063W/dp/B00BC39YFQ/ref=sr_1_6?keywords=Klein+Tools+K12065CR+Klein-Kurve%C2%AE+Heavy-Duty+Wire+Stripper+%2F+Cutter+%2F+Crimper+Multi+Tool%2C+8-20+AWG&amp;qid=1695173857&amp;sr=8-6", "https://www.amazon.com/Stripper-Electrical-Klein-Tools-11063W/dp/B00BC39YFQ/ref=sr_1_6?keywords=Klein+Tools+K12065CR+Klein-Kurve%C2%AE+Heavy-Duty+Wire+Stripper+%2F+Cutter+%2F+Crimper+Multi+Tool%2C+8-20+AWG&amp;qid=1695173857&amp;sr=8-6")</f>
        <v>https://www.amazon.com/Stripper-Electrical-Klein-Tools-11063W/dp/B00BC39YFQ/ref=sr_1_6?keywords=Klein+Tools+K12065CR+Klein-Kurve%C2%AE+Heavy-Duty+Wire+Stripper+%2F+Cutter+%2F+Crimper+Multi+Tool%2C+8-20+AWG&amp;qid=1695173857&amp;sr=8-6</v>
      </c>
      <c r="F6699" t="s">
        <v>5179</v>
      </c>
      <c r="G6699" t="e">
        <f ca="1">_xludf.IMAGE("https://edmondsonsupply.com/cdn/shop/products/k12065cr_b.jpg?v=1650066835")</f>
        <v>#NAME?</v>
      </c>
      <c r="H6699" t="e">
        <f ca="1">_xludf.IMAGE("https://m.media-amazon.com/images/I/51cWJR-r31L._AC_UL320_.jpg")</f>
        <v>#NAME?</v>
      </c>
      <c r="I6699" t="s">
        <v>246</v>
      </c>
      <c r="J6699">
        <v>29.97</v>
      </c>
      <c r="K6699" s="4">
        <v>-0.25019999999999998</v>
      </c>
      <c r="L6699">
        <v>4.8</v>
      </c>
      <c r="M6699">
        <v>9121</v>
      </c>
      <c r="O6699" t="s">
        <v>25</v>
      </c>
      <c r="P6699" t="s">
        <v>3177</v>
      </c>
      <c r="Q6699" t="s">
        <v>3178</v>
      </c>
    </row>
    <row r="6700" spans="1:17" ht="15.5" x14ac:dyDescent="0.35">
      <c r="A6700"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6700" s="3" t="str">
        <f>HYPERLINK("https://edmondsonsupply.com/products/fluke-st120-gfci-socket-tester-with-beeper", "https://edmondsonsupply.com/products/fluke-st120-gfci-socket-tester-with-beeper")</f>
        <v>https://edmondsonsupply.com/products/fluke-st120-gfci-socket-tester-with-beeper</v>
      </c>
      <c r="C6700" t="s">
        <v>8860</v>
      </c>
      <c r="D6700" t="s">
        <v>8352</v>
      </c>
      <c r="E6700" s="3" t="str">
        <f>HYPERLINK("https://www.amazon.com/Fluke-Socket-Tester-Without-Beeper/dp/B0B3VC2W6X/ref=sr_1_2?keywords=Fluke+ST120%2B+GFCI+Socket+Tester+with+Beeper&amp;qid=1695174161&amp;sr=8-2", "https://www.amazon.com/Fluke-Socket-Tester-Without-Beeper/dp/B0B3VC2W6X/ref=sr_1_2?keywords=Fluke+ST120%2B+GFCI+Socket+Tester+with+Beeper&amp;qid=1695174161&amp;sr=8-2")</f>
        <v>https://www.amazon.com/Fluke-Socket-Tester-Without-Beeper/dp/B0B3VC2W6X/ref=sr_1_2?keywords=Fluke+ST120%2B+GFCI+Socket+Tester+with+Beeper&amp;qid=1695174161&amp;sr=8-2</v>
      </c>
      <c r="F6700" t="s">
        <v>8353</v>
      </c>
      <c r="G6700" t="e">
        <f ca="1">_xludf.IMAGE("https://edmondsonsupply.com/cdn/shop/products/F-st120-plus_01a_w.webp?v=1662582919")</f>
        <v>#NAME?</v>
      </c>
      <c r="H6700" t="e">
        <f ca="1">_xludf.IMAGE("https://m.media-amazon.com/images/I/81hERZs6wNL._AC_UL320_.jpg")</f>
        <v>#NAME?</v>
      </c>
      <c r="I6700" t="s">
        <v>577</v>
      </c>
      <c r="J6700">
        <v>14.98</v>
      </c>
      <c r="K6700" s="4">
        <v>-0.25059999999999999</v>
      </c>
      <c r="L6700">
        <v>4.8</v>
      </c>
      <c r="M6700">
        <v>116</v>
      </c>
      <c r="O6700" t="s">
        <v>25</v>
      </c>
      <c r="P6700" t="s">
        <v>1158</v>
      </c>
      <c r="Q6700" t="s">
        <v>8861</v>
      </c>
    </row>
    <row r="6701" spans="1:17" ht="15.5" x14ac:dyDescent="0.35">
      <c r="A6701"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6701" s="3" t="str">
        <f>HYPERLINK("https://edmondsonsupply.com/products/fluke-st120-gfci-socket-tester-with-beeper", "https://edmondsonsupply.com/products/fluke-st120-gfci-socket-tester-with-beeper")</f>
        <v>https://edmondsonsupply.com/products/fluke-st120-gfci-socket-tester-with-beeper</v>
      </c>
      <c r="C6701" t="s">
        <v>8860</v>
      </c>
      <c r="D6701" t="s">
        <v>8355</v>
      </c>
      <c r="E6701" s="3" t="str">
        <f>HYPERLINK("https://www.amazon.com/Fluke-ST120-Socket-Tester-Audible/dp/B0B3VCZ4XK/ref=sr_1_1?keywords=Fluke+ST120%2B+GFCI+Socket+Tester+with+Beeper&amp;qid=1695174161&amp;sr=8-1", "https://www.amazon.com/Fluke-ST120-Socket-Tester-Audible/dp/B0B3VCZ4XK/ref=sr_1_1?keywords=Fluke+ST120%2B+GFCI+Socket+Tester+with+Beeper&amp;qid=1695174161&amp;sr=8-1")</f>
        <v>https://www.amazon.com/Fluke-ST120-Socket-Tester-Audible/dp/B0B3VCZ4XK/ref=sr_1_1?keywords=Fluke+ST120%2B+GFCI+Socket+Tester+with+Beeper&amp;qid=1695174161&amp;sr=8-1</v>
      </c>
      <c r="F6701" t="s">
        <v>8356</v>
      </c>
      <c r="G6701" t="e">
        <f ca="1">_xludf.IMAGE("https://edmondsonsupply.com/cdn/shop/products/F-st120-plus_01a_w.webp?v=1662582919")</f>
        <v>#NAME?</v>
      </c>
      <c r="H6701" t="e">
        <f ca="1">_xludf.IMAGE("https://m.media-amazon.com/images/I/816n049-GKL._AC_UL320_.jpg")</f>
        <v>#NAME?</v>
      </c>
      <c r="I6701" t="s">
        <v>577</v>
      </c>
      <c r="J6701">
        <v>14.98</v>
      </c>
      <c r="K6701" s="4">
        <v>-0.25059999999999999</v>
      </c>
      <c r="L6701">
        <v>4.8</v>
      </c>
      <c r="M6701">
        <v>641</v>
      </c>
      <c r="O6701" t="s">
        <v>25</v>
      </c>
      <c r="P6701" t="s">
        <v>1158</v>
      </c>
      <c r="Q6701" t="s">
        <v>8861</v>
      </c>
    </row>
    <row r="6702" spans="1:17" ht="15.5" x14ac:dyDescent="0.35">
      <c r="A6702" s="3" t="str">
        <f>HYPERLINK("https://edmondsonsupply.com/collections/electricians-tools/products/wiha-tools-66981-13-piece-ball-end-color-coded-hex-l-key-set-inch", "https://edmondsonsupply.com/collections/electricians-tools/products/wiha-tools-66981-13-piece-ball-end-color-coded-hex-l-key-set-inch")</f>
        <v>https://edmondsonsupply.com/collections/electricians-tools/products/wiha-tools-66981-13-piece-ball-end-color-coded-hex-l-key-set-inch</v>
      </c>
      <c r="B6702" s="3" t="str">
        <f>HYPERLINK("https://edmondsonsupply.com/products/wiha-tools-66981-13-piece-ball-end-color-coded-hex-l-key-set-inch", "https://edmondsonsupply.com/products/wiha-tools-66981-13-piece-ball-end-color-coded-hex-l-key-set-inch")</f>
        <v>https://edmondsonsupply.com/products/wiha-tools-66981-13-piece-ball-end-color-coded-hex-l-key-set-inch</v>
      </c>
      <c r="C6702" t="s">
        <v>4747</v>
      </c>
      <c r="D6702" t="s">
        <v>4396</v>
      </c>
      <c r="E6702" s="3" t="str">
        <f>HYPERLINK("https://www.amazon.com/Wiha-66991-MagicRing-Holder-Piece/dp/B000WTAK2C/ref=sr_1_5?keywords=Wiha+Tools+66981+13+Piece+Ball+End+Color+Coded+Hex+L-Key+Set+-+Inch&amp;qid=1695173978&amp;sr=8-5", "https://www.amazon.com/Wiha-66991-MagicRing-Holder-Piece/dp/B000WTAK2C/ref=sr_1_5?keywords=Wiha+Tools+66981+13+Piece+Ball+End+Color+Coded+Hex+L-Key+Set+-+Inch&amp;qid=1695173978&amp;sr=8-5")</f>
        <v>https://www.amazon.com/Wiha-66991-MagicRing-Holder-Piece/dp/B000WTAK2C/ref=sr_1_5?keywords=Wiha+Tools+66981+13+Piece+Ball+End+Color+Coded+Hex+L-Key+Set+-+Inch&amp;qid=1695173978&amp;sr=8-5</v>
      </c>
      <c r="F6702" t="s">
        <v>4397</v>
      </c>
      <c r="G6702" t="e">
        <f ca="1">_xludf.IMAGE("https://edmondsonsupply.com/cdn/shop/files/d46e6f2ecefba25ae78922fd12be8f1dc56b6ee6_1000x_1d9d5bc7-c590-4e82-817a-f70a00b88949.webp?v=1690834995")</f>
        <v>#NAME?</v>
      </c>
      <c r="H6702" t="e">
        <f ca="1">_xludf.IMAGE("https://m.media-amazon.com/images/I/61jqxmDwZLL._AC_UL320_.jpg")</f>
        <v>#NAME?</v>
      </c>
      <c r="I6702" t="s">
        <v>4750</v>
      </c>
      <c r="J6702">
        <v>39.99</v>
      </c>
      <c r="K6702" s="4">
        <v>-0.25140000000000001</v>
      </c>
      <c r="L6702">
        <v>4.8</v>
      </c>
      <c r="M6702">
        <v>17</v>
      </c>
      <c r="O6702" t="s">
        <v>25</v>
      </c>
      <c r="P6702" t="s">
        <v>4751</v>
      </c>
      <c r="Q6702" t="s">
        <v>4752</v>
      </c>
    </row>
    <row r="6703" spans="1:17" ht="15.5" x14ac:dyDescent="0.35">
      <c r="A6703"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6703" s="3" t="str">
        <f>HYPERLINK("https://edmondsonsupply.com/products/klein-tools-66060-2-in-1-impact-socket-set-6-point-6-piece", "https://edmondsonsupply.com/products/klein-tools-66060-2-in-1-impact-socket-set-6-point-6-piece")</f>
        <v>https://edmondsonsupply.com/products/klein-tools-66060-2-in-1-impact-socket-set-6-point-6-piece</v>
      </c>
      <c r="C6703" t="s">
        <v>8124</v>
      </c>
      <c r="D6703" t="s">
        <v>7522</v>
      </c>
      <c r="E6703" s="3" t="str">
        <f>HYPERLINK("https://www.amazon.com/Klein-Tools-66050E-12-Point-Carrying/dp/B08R138PF6/ref=sr_1_10?keywords=Klein+Tools+66060+2-in-1+Impact+Socket+Set%2C+6-Point%2C+6-Piece&amp;qid=1695174139&amp;sr=8-10", "https://www.amazon.com/Klein-Tools-66050E-12-Point-Carrying/dp/B08R138PF6/ref=sr_1_10?keywords=Klein+Tools+66060+2-in-1+Impact+Socket+Set%2C+6-Point%2C+6-Piece&amp;qid=1695174139&amp;sr=8-10")</f>
        <v>https://www.amazon.com/Klein-Tools-66050E-12-Point-Carrying/dp/B08R138PF6/ref=sr_1_10?keywords=Klein+Tools+66060+2-in-1+Impact+Socket+Set%2C+6-Point%2C+6-Piece&amp;qid=1695174139&amp;sr=8-10</v>
      </c>
      <c r="F6703" t="s">
        <v>7523</v>
      </c>
      <c r="G6703" t="e">
        <f ca="1">_xludf.IMAGE("https://edmondsonsupply.com/cdn/shop/products/66060.jpg?v=1665592747")</f>
        <v>#NAME?</v>
      </c>
      <c r="H6703" t="e">
        <f ca="1">_xludf.IMAGE("https://m.media-amazon.com/images/I/61HXSd9dQWL._AC_UL320_.jpg")</f>
        <v>#NAME?</v>
      </c>
      <c r="I6703" t="s">
        <v>400</v>
      </c>
      <c r="J6703">
        <v>149.54</v>
      </c>
      <c r="K6703" s="4">
        <v>-0.25230000000000002</v>
      </c>
      <c r="L6703">
        <v>4.3</v>
      </c>
      <c r="M6703">
        <v>6</v>
      </c>
      <c r="O6703" t="s">
        <v>25</v>
      </c>
      <c r="P6703" t="s">
        <v>8125</v>
      </c>
      <c r="Q6703" t="s">
        <v>8126</v>
      </c>
    </row>
    <row r="6704" spans="1:17" ht="15.5" x14ac:dyDescent="0.35">
      <c r="A6704" s="3" t="str">
        <f>HYPERLINK("https://edmondsonsupply.com/collections/electricians-tools/products/klein-tools-rt250kit-premium-dual-range-ncvt-and-gfci-receptacle-tester-electrical-test-kit", "https://edmondsonsupply.com/collections/electricians-tools/products/klein-tools-rt250kit-premium-dual-range-ncvt-and-gfci-receptacle-tester-electrical-test-kit")</f>
        <v>https://edmondsonsupply.com/collections/electricians-tools/products/klein-tools-rt250kit-premium-dual-range-ncvt-and-gfci-receptacle-tester-electrical-test-kit</v>
      </c>
      <c r="B6704" s="3" t="str">
        <f>HYPERLINK("https://edmondsonsupply.com/products/klein-tools-rt250kit-premium-dual-range-ncvt-and-gfci-receptacle-tester-electrical-test-kit", "https://edmondsonsupply.com/products/klein-tools-rt250kit-premium-dual-range-ncvt-and-gfci-receptacle-tester-electrical-test-kit")</f>
        <v>https://edmondsonsupply.com/products/klein-tools-rt250kit-premium-dual-range-ncvt-and-gfci-receptacle-tester-electrical-test-kit</v>
      </c>
      <c r="C6704" t="s">
        <v>7592</v>
      </c>
      <c r="D6704" t="s">
        <v>3872</v>
      </c>
      <c r="E6704" s="3" t="str">
        <f>HYPERLINK("https://www.amazon.com/Klein-Tools-Receptacle-Standard-Electrical/dp/B0BC861K3W/ref=sr_1_2?keywords=Klein+Tools+RT250KIT+Premium+Dual-Range+NCVT+and+GFCI+Receptacle+Tester+Electrical+Test+Kit&amp;qid=1695174169&amp;sr=8-2", "https://www.amazon.com/Klein-Tools-Receptacle-Standard-Electrical/dp/B0BC861K3W/ref=sr_1_2?keywords=Klein+Tools+RT250KIT+Premium+Dual-Range+NCVT+and+GFCI+Receptacle+Tester+Electrical+Test+Kit&amp;qid=1695174169&amp;sr=8-2")</f>
        <v>https://www.amazon.com/Klein-Tools-Receptacle-Standard-Electrical/dp/B0BC861K3W/ref=sr_1_2?keywords=Klein+Tools+RT250KIT+Premium+Dual-Range+NCVT+and+GFCI+Receptacle+Tester+Electrical+Test+Kit&amp;qid=1695174169&amp;sr=8-2</v>
      </c>
      <c r="F6704" t="s">
        <v>3873</v>
      </c>
      <c r="G6704" t="e">
        <f ca="1">_xludf.IMAGE("https://edmondsonsupply.com/cdn/shop/products/rt250kit.jpg?v=1660755074")</f>
        <v>#NAME?</v>
      </c>
      <c r="H6704" t="e">
        <f ca="1">_xludf.IMAGE("https://m.media-amazon.com/images/I/5145pmsV9+L._AC_UL320_.jpg")</f>
        <v>#NAME?</v>
      </c>
      <c r="I6704" t="s">
        <v>198</v>
      </c>
      <c r="J6704">
        <v>29.88</v>
      </c>
      <c r="K6704" s="4">
        <v>-0.25280000000000002</v>
      </c>
      <c r="L6704">
        <v>4.5</v>
      </c>
      <c r="M6704">
        <v>14</v>
      </c>
      <c r="O6704" t="s">
        <v>25</v>
      </c>
      <c r="P6704" t="s">
        <v>4236</v>
      </c>
      <c r="Q6704" t="s">
        <v>7593</v>
      </c>
    </row>
    <row r="6705" spans="1:17" ht="15.5" x14ac:dyDescent="0.35">
      <c r="A6705"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6705" s="3" t="str">
        <f>HYPERLINK("https://edmondsonsupply.com/products/klein-tools-j203-8-pliers-needle-nose-side-cutters-8-inch", "https://edmondsonsupply.com/products/klein-tools-j203-8-pliers-needle-nose-side-cutters-8-inch")</f>
        <v>https://edmondsonsupply.com/products/klein-tools-j203-8-pliers-needle-nose-side-cutters-8-inch</v>
      </c>
      <c r="C6705" t="s">
        <v>6516</v>
      </c>
      <c r="D6705" t="s">
        <v>5226</v>
      </c>
      <c r="E6705" s="3" t="str">
        <f>HYPERLINK("https://www.amazon.com/Linemans-Alligator-Klein-Tools-D203-8/dp/B0000302WQ/ref=sr_1_2?keywords=Klein+Tools+J203-8+Pliers%2C+Needle+Nose+Side-Cutters%2C+8-Inch&amp;qid=1695174221&amp;sr=8-2", "https://www.amazon.com/Linemans-Alligator-Klein-Tools-D203-8/dp/B0000302WQ/ref=sr_1_2?keywords=Klein+Tools+J203-8+Pliers%2C+Needle+Nose+Side-Cutters%2C+8-Inch&amp;qid=1695174221&amp;sr=8-2")</f>
        <v>https://www.amazon.com/Linemans-Alligator-Klein-Tools-D203-8/dp/B0000302WQ/ref=sr_1_2?keywords=Klein+Tools+J203-8+Pliers%2C+Needle+Nose+Side-Cutters%2C+8-Inch&amp;qid=1695174221&amp;sr=8-2</v>
      </c>
      <c r="F6705" t="s">
        <v>5227</v>
      </c>
      <c r="G6705" t="e">
        <f ca="1">_xludf.IMAGE("https://edmondsonsupply.com/cdn/shop/products/j2038.jpg?v=1644709677")</f>
        <v>#NAME?</v>
      </c>
      <c r="H6705" t="e">
        <f ca="1">_xludf.IMAGE("https://m.media-amazon.com/images/I/51Ifjz4aftL._AC_UL320_.jpg")</f>
        <v>#NAME?</v>
      </c>
      <c r="I6705" t="s">
        <v>6519</v>
      </c>
      <c r="J6705">
        <v>28.74</v>
      </c>
      <c r="K6705" s="4">
        <v>-0.25330000000000003</v>
      </c>
      <c r="L6705">
        <v>4.8</v>
      </c>
      <c r="M6705">
        <v>935</v>
      </c>
      <c r="O6705" t="s">
        <v>25</v>
      </c>
      <c r="P6705" t="s">
        <v>6520</v>
      </c>
      <c r="Q6705" t="s">
        <v>6521</v>
      </c>
    </row>
    <row r="6706" spans="1:17" ht="15.5" x14ac:dyDescent="0.35">
      <c r="A6706"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6706"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6706" t="s">
        <v>5906</v>
      </c>
      <c r="D6706" t="s">
        <v>5920</v>
      </c>
      <c r="E6706" s="3" t="str">
        <f>HYPERLINK("https://www.amazon.com/Diablo-DMAMXCC5040-SDS-Max-Carbide-Tipped/dp/B089M9SDDV/ref=sr_1_5?keywords=Diablo+Tools+DMAMXCC5050+4+in.+x+7+in.+SDS-Max+Carbide+Tipped+Core+Bit&amp;qid=1695174004&amp;sr=8-5", "https://www.amazon.com/Diablo-DMAMXCC5040-SDS-Max-Carbide-Tipped/dp/B089M9SDDV/ref=sr_1_5?keywords=Diablo+Tools+DMAMXCC5050+4+in.+x+7+in.+SDS-Max+Carbide+Tipped+Core+Bit&amp;qid=1695174004&amp;sr=8-5")</f>
        <v>https://www.amazon.com/Diablo-DMAMXCC5040-SDS-Max-Carbide-Tipped/dp/B089M9SDDV/ref=sr_1_5?keywords=Diablo+Tools+DMAMXCC5050+4+in.+x+7+in.+SDS-Max+Carbide+Tipped+Core+Bit&amp;qid=1695174004&amp;sr=8-5</v>
      </c>
      <c r="F6706" t="s">
        <v>5921</v>
      </c>
      <c r="G6706" t="e">
        <f ca="1">_xludf.IMAGE("https://edmondsonsupply.com/cdn/shop/files/yghx7uqdjxchri5fikny.webp?v=1686586834")</f>
        <v>#NAME?</v>
      </c>
      <c r="H6706" t="e">
        <f ca="1">_xludf.IMAGE("https://m.media-amazon.com/images/I/71hVl4OIfrL._AC_UL320_.jpg")</f>
        <v>#NAME?</v>
      </c>
      <c r="I6706" t="s">
        <v>5907</v>
      </c>
      <c r="J6706">
        <v>112.99</v>
      </c>
      <c r="K6706" s="4">
        <v>-0.25369999999999998</v>
      </c>
      <c r="L6706">
        <v>4</v>
      </c>
      <c r="M6706">
        <v>1</v>
      </c>
      <c r="O6706" t="s">
        <v>25</v>
      </c>
      <c r="P6706" t="s">
        <v>5908</v>
      </c>
      <c r="Q6706" t="s">
        <v>5909</v>
      </c>
    </row>
    <row r="6707" spans="1:17" ht="15.5" x14ac:dyDescent="0.35">
      <c r="A6707" s="3" t="str">
        <f>HYPERLINK("https://edmondsonsupply.com/collections/electricians-tools/products/klein-tools-66076-flip-impact-socket-9-16-and-1-2-inch", "https://edmondsonsupply.com/collections/electricians-tools/products/klein-tools-66076-flip-impact-socket-9-16-and-1-2-inch")</f>
        <v>https://edmondsonsupply.com/collections/electricians-tools/products/klein-tools-66076-flip-impact-socket-9-16-and-1-2-inch</v>
      </c>
      <c r="B6707" s="3" t="str">
        <f>HYPERLINK("https://edmondsonsupply.com/products/klein-tools-66076-flip-impact-socket-9-16-and-1-2-inch", "https://edmondsonsupply.com/products/klein-tools-66076-flip-impact-socket-9-16-and-1-2-inch")</f>
        <v>https://edmondsonsupply.com/products/klein-tools-66076-flip-impact-socket-9-16-and-1-2-inch</v>
      </c>
      <c r="C6707" t="s">
        <v>6085</v>
      </c>
      <c r="D6707" t="s">
        <v>8815</v>
      </c>
      <c r="E6707" s="3" t="str">
        <f>HYPERLINK("https://www.amazon.com/Klein-Tools-32766-16-Inch-Drivers/dp/B09R2L4GFJ/ref=sr_1_9?keywords=Klein+Tools+66076+Flip+Impact+Socket%2C+9%2F16+and+1%2F2-Inch&amp;qid=1695174172&amp;sr=8-9", "https://www.amazon.com/Klein-Tools-32766-16-Inch-Drivers/dp/B09R2L4GFJ/ref=sr_1_9?keywords=Klein+Tools+66076+Flip+Impact+Socket%2C+9%2F16+and+1%2F2-Inch&amp;qid=1695174172&amp;sr=8-9")</f>
        <v>https://www.amazon.com/Klein-Tools-32766-16-Inch-Drivers/dp/B09R2L4GFJ/ref=sr_1_9?keywords=Klein+Tools+66076+Flip+Impact+Socket%2C+9%2F16+and+1%2F2-Inch&amp;qid=1695174172&amp;sr=8-9</v>
      </c>
      <c r="F6707" t="s">
        <v>8816</v>
      </c>
      <c r="G6707" t="e">
        <f ca="1">_xludf.IMAGE("https://edmondsonsupply.com/cdn/shop/products/66076.jpg?v=1663083814")</f>
        <v>#NAME?</v>
      </c>
      <c r="H6707" t="e">
        <f ca="1">_xludf.IMAGE("https://m.media-amazon.com/images/I/41MLWTR6goL._AC_UL320_.jpg")</f>
        <v>#NAME?</v>
      </c>
      <c r="I6707" t="s">
        <v>6086</v>
      </c>
      <c r="J6707">
        <v>7.99</v>
      </c>
      <c r="K6707" s="4">
        <v>-0.254</v>
      </c>
      <c r="L6707">
        <v>4.5</v>
      </c>
      <c r="M6707">
        <v>1251</v>
      </c>
      <c r="O6707" t="s">
        <v>25</v>
      </c>
      <c r="P6707" t="s">
        <v>6087</v>
      </c>
      <c r="Q6707" t="s">
        <v>6088</v>
      </c>
    </row>
    <row r="6708" spans="1:17" ht="15.5" x14ac:dyDescent="0.35">
      <c r="A6708"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6708"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6708" t="s">
        <v>6827</v>
      </c>
      <c r="D6708" t="s">
        <v>4269</v>
      </c>
      <c r="E6708" s="3" t="str">
        <f>HYPERLINK("https://www.amazon.com/Diablo-Freud-DMAMX1300-4-Cutter-Carbide-Tipped/dp/B089KX2QSQ/ref=sr_1_4?keywords=Diablo+Tools+DMAMX1360+1-1%2F2+in.+x+16+in.+x+21+in.+Rebar+Demon%E2%84%A2+SDS-Max+4-Cutter+Carbide-Tipped+Hammer+Drill+Bit&amp;qid=1695174071&amp;sr=8-4", "https://www.amazon.com/Diablo-Freud-DMAMX1300-4-Cutter-Carbide-Tipped/dp/B089KX2QSQ/ref=sr_1_4?keywords=Diablo+Tools+DMAMX1360+1-1%2F2+in.+x+16+in.+x+21+in.+Rebar+Demon%E2%84%A2+SDS-Max+4-Cutter+Carbide-Tipped+Hammer+Drill+Bit&amp;qid=1695174071&amp;sr=8-4")</f>
        <v>https://www.amazon.com/Diablo-Freud-DMAMX1300-4-Cutter-Carbide-Tipped/dp/B089KX2QSQ/ref=sr_1_4?keywords=Diablo+Tools+DMAMX1360+1-1%2F2+in.+x+16+in.+x+21+in.+Rebar+Demon%E2%84%A2+SDS-Max+4-Cutter+Carbide-Tipped+Hammer+Drill+Bit&amp;qid=1695174071&amp;sr=8-4</v>
      </c>
      <c r="F6708" t="s">
        <v>4270</v>
      </c>
      <c r="G6708" t="e">
        <f ca="1">_xludf.IMAGE("https://edmondsonsupply.com/cdn/shop/products/z2umcsdaj3y4uvsfnxoh.webp?v=1677257156")</f>
        <v>#NAME?</v>
      </c>
      <c r="H6708" t="e">
        <f ca="1">_xludf.IMAGE("https://m.media-amazon.com/images/I/61pgqdG9SfL._AC_UL320_.jpg")</f>
        <v>#NAME?</v>
      </c>
      <c r="I6708" t="s">
        <v>6830</v>
      </c>
      <c r="J6708">
        <v>70</v>
      </c>
      <c r="K6708" s="4">
        <v>-0.25430000000000003</v>
      </c>
      <c r="L6708">
        <v>5</v>
      </c>
      <c r="M6708">
        <v>2</v>
      </c>
      <c r="O6708" t="s">
        <v>25</v>
      </c>
      <c r="P6708" t="s">
        <v>6831</v>
      </c>
      <c r="Q6708" t="s">
        <v>6832</v>
      </c>
    </row>
    <row r="6709" spans="1:17" ht="15.5" x14ac:dyDescent="0.35">
      <c r="A6709" s="3" t="str">
        <f>HYPERLINK("https://edmondsonsupply.com/collections/electricians-tools/products/klein-tools-jth6m3be-3-mm-ball-hex-key-journeyman-t-handle-6-inch", "https://edmondsonsupply.com/collections/electricians-tools/products/klein-tools-jth6m3be-3-mm-ball-hex-key-journeyman-t-handle-6-inch")</f>
        <v>https://edmondsonsupply.com/collections/electricians-tools/products/klein-tools-jth6m3be-3-mm-ball-hex-key-journeyman-t-handle-6-inch</v>
      </c>
      <c r="B6709" s="3" t="str">
        <f>HYPERLINK("https://edmondsonsupply.com/products/klein-tools-jth6m3be-3-mm-ball-hex-key-journeyman-t-handle-6-inch", "https://edmondsonsupply.com/products/klein-tools-jth6m3be-3-mm-ball-hex-key-journeyman-t-handle-6-inch")</f>
        <v>https://edmondsonsupply.com/products/klein-tools-jth6m3be-3-mm-ball-hex-key-journeyman-t-handle-6-inch</v>
      </c>
      <c r="C6709" t="s">
        <v>6358</v>
      </c>
      <c r="D6709" t="s">
        <v>8470</v>
      </c>
      <c r="E6709" s="3" t="str">
        <f>HYPERLINK("https://www.amazon.com/Journeyman-T-Handle-Klein-Tools-JTH6E06BE/dp/B004QVX826/ref=sr_1_2?keywords=Klein+Tools+JTH6M3BE+3+mm+Ball+Hex+Key+Journeyman+T-Handle+6-Inch&amp;qid=1695174181&amp;sr=8-2", "https://www.amazon.com/Journeyman-T-Handle-Klein-Tools-JTH6E06BE/dp/B004QVX826/ref=sr_1_2?keywords=Klein+Tools+JTH6M3BE+3+mm+Ball+Hex+Key+Journeyman+T-Handle+6-Inch&amp;qid=1695174181&amp;sr=8-2")</f>
        <v>https://www.amazon.com/Journeyman-T-Handle-Klein-Tools-JTH6E06BE/dp/B004QVX826/ref=sr_1_2?keywords=Klein+Tools+JTH6M3BE+3+mm+Ball+Hex+Key+Journeyman+T-Handle+6-Inch&amp;qid=1695174181&amp;sr=8-2</v>
      </c>
      <c r="F6709" t="s">
        <v>8471</v>
      </c>
      <c r="G6709" t="e">
        <f ca="1">_xludf.IMAGE("https://edmondsonsupply.com/cdn/shop/products/jth6m8be_1b0aeba1-6d03-4a46-99d8-f6853368c71f.jpg?v=1655941616")</f>
        <v>#NAME?</v>
      </c>
      <c r="H6709" t="e">
        <f ca="1">_xludf.IMAGE("https://m.media-amazon.com/images/I/51f9vBFVXgL._AC_UL320_.jpg")</f>
        <v>#NAME?</v>
      </c>
      <c r="I6709" t="s">
        <v>2388</v>
      </c>
      <c r="J6709">
        <v>3.72</v>
      </c>
      <c r="K6709" s="4">
        <v>-0.2545</v>
      </c>
      <c r="L6709">
        <v>4.8</v>
      </c>
      <c r="M6709">
        <v>456</v>
      </c>
      <c r="O6709" t="s">
        <v>25</v>
      </c>
      <c r="P6709" t="s">
        <v>2392</v>
      </c>
      <c r="Q6709" t="s">
        <v>6359</v>
      </c>
    </row>
    <row r="6710" spans="1:17" ht="15.5" x14ac:dyDescent="0.35">
      <c r="A6710" s="3" t="str">
        <f>HYPERLINK("https://edmondsonsupply.com/collections/electricians-tools/products/klein-tools-jth6e06be-3-32-inch-ball-end-hex-key-with-t-handle-6-inch", "https://edmondsonsupply.com/collections/electricians-tools/products/klein-tools-jth6e06be-3-32-inch-ball-end-hex-key-with-t-handle-6-inch")</f>
        <v>https://edmondsonsupply.com/collections/electricians-tools/products/klein-tools-jth6e06be-3-32-inch-ball-end-hex-key-with-t-handle-6-inch</v>
      </c>
      <c r="B6710" s="3" t="str">
        <f>HYPERLINK("https://edmondsonsupply.com/products/klein-tools-jth6e06be-3-32-inch-ball-end-hex-key-with-t-handle-6-inch", "https://edmondsonsupply.com/products/klein-tools-jth6e06be-3-32-inch-ball-end-hex-key-with-t-handle-6-inch")</f>
        <v>https://edmondsonsupply.com/products/klein-tools-jth6e06be-3-32-inch-ball-end-hex-key-with-t-handle-6-inch</v>
      </c>
      <c r="C6710" t="s">
        <v>6355</v>
      </c>
      <c r="D6710" t="s">
        <v>8470</v>
      </c>
      <c r="E6710" s="3" t="str">
        <f>HYPERLINK("https://www.amazon.com/Journeyman-T-Handle-Klein-Tools-JTH6E06BE/dp/B004QVX826/ref=sr_1_1?keywords=Klein+Tools+JTH6E06BE+3%2F32-Inch+Ball+End+Hex+Key+with+T-Handle%2C+6-Inch&amp;qid=1695174255&amp;sr=8-1", "https://www.amazon.com/Journeyman-T-Handle-Klein-Tools-JTH6E06BE/dp/B004QVX826/ref=sr_1_1?keywords=Klein+Tools+JTH6E06BE+3%2F32-Inch+Ball+End+Hex+Key+with+T-Handle%2C+6-Inch&amp;qid=1695174255&amp;sr=8-1")</f>
        <v>https://www.amazon.com/Journeyman-T-Handle-Klein-Tools-JTH6E06BE/dp/B004QVX826/ref=sr_1_1?keywords=Klein+Tools+JTH6E06BE+3%2F32-Inch+Ball+End+Hex+Key+with+T-Handle%2C+6-Inch&amp;qid=1695174255&amp;sr=8-1</v>
      </c>
      <c r="F6710" t="s">
        <v>8471</v>
      </c>
      <c r="G6710" t="e">
        <f ca="1">_xludf.IMAGE("https://edmondsonsupply.com/cdn/shop/products/jth6e13be_f61308c8-99eb-44df-aac2-25c9159d6b6d.jpg?v=1633031148")</f>
        <v>#NAME?</v>
      </c>
      <c r="H6710" t="e">
        <f ca="1">_xludf.IMAGE("https://m.media-amazon.com/images/I/51f9vBFVXgL._AC_UL320_.jpg")</f>
        <v>#NAME?</v>
      </c>
      <c r="I6710" t="s">
        <v>2388</v>
      </c>
      <c r="J6710">
        <v>3.72</v>
      </c>
      <c r="K6710" s="4">
        <v>-0.2545</v>
      </c>
      <c r="L6710">
        <v>4.8</v>
      </c>
      <c r="M6710">
        <v>456</v>
      </c>
      <c r="O6710" t="s">
        <v>25</v>
      </c>
      <c r="P6710" t="s">
        <v>6356</v>
      </c>
      <c r="Q6710" t="s">
        <v>6357</v>
      </c>
    </row>
    <row r="6711" spans="1:17" ht="15.5" x14ac:dyDescent="0.35">
      <c r="A6711" s="3" t="str">
        <f>HYPERLINK("https://edmondsonsupply.com/collections/electricians-tools/products/milwaukee-48-59-1806-m18%E2%84%A2-six-pack-sequential-charger", "https://edmondsonsupply.com/collections/electricians-tools/products/milwaukee-48-59-1806-m18%E2%84%A2-six-pack-sequential-charger")</f>
        <v>https://edmondsonsupply.com/collections/electricians-tools/products/milwaukee-48-59-1806-m18%E2%84%A2-six-pack-sequential-charger</v>
      </c>
      <c r="B6711" s="3" t="str">
        <f>HYPERLINK("https://edmondsonsupply.com/products/milwaukee-48-59-1806-m18%e2%84%a2-six-pack-sequential-charger", "https://edmondsonsupply.com/products/milwaukee-48-59-1806-m18%e2%84%a2-six-pack-sequential-charger")</f>
        <v>https://edmondsonsupply.com/products/milwaukee-48-59-1806-m18%e2%84%a2-six-pack-sequential-charger</v>
      </c>
      <c r="C6711" t="s">
        <v>8862</v>
      </c>
      <c r="D6711" t="s">
        <v>8863</v>
      </c>
      <c r="E6711" s="3" t="str">
        <f>HYPERLINK("https://www.amazon.com/DSANKE-48-59-1806-M18-Charger-Replacement/dp/B0BQ6LKZTW/ref=sr_1_2?keywords=Milwaukee+48-59-1806+M18%E2%84%A2+Six+Pack+Sequential+Charger&amp;qid=1695174187&amp;sr=8-2", "https://www.amazon.com/DSANKE-48-59-1806-M18-Charger-Replacement/dp/B0BQ6LKZTW/ref=sr_1_2?keywords=Milwaukee+48-59-1806+M18%E2%84%A2+Six+Pack+Sequential+Charger&amp;qid=1695174187&amp;sr=8-2")</f>
        <v>https://www.amazon.com/DSANKE-48-59-1806-M18-Charger-Replacement/dp/B0BQ6LKZTW/ref=sr_1_2?keywords=Milwaukee+48-59-1806+M18%E2%84%A2+Six+Pack+Sequential+Charger&amp;qid=1695174187&amp;sr=8-2</v>
      </c>
      <c r="F6711" t="s">
        <v>8864</v>
      </c>
      <c r="G6711" t="e">
        <f ca="1">_xludf.IMAGE("https://edmondsonsupply.com/cdn/shop/products/48-59-1806_4.webp?v=1656531026")</f>
        <v>#NAME?</v>
      </c>
      <c r="H6711" t="e">
        <f ca="1">_xludf.IMAGE("https://m.media-amazon.com/images/I/71jgf-XUv2L._AC_UL320_.jpg")</f>
        <v>#NAME?</v>
      </c>
      <c r="I6711" t="s">
        <v>739</v>
      </c>
      <c r="J6711">
        <v>95.99</v>
      </c>
      <c r="K6711" s="4">
        <v>-0.25590000000000002</v>
      </c>
      <c r="L6711">
        <v>4.5999999999999996</v>
      </c>
      <c r="M6711">
        <v>1487</v>
      </c>
      <c r="O6711" t="s">
        <v>25</v>
      </c>
      <c r="P6711" t="s">
        <v>283</v>
      </c>
      <c r="Q6711" t="s">
        <v>8865</v>
      </c>
    </row>
    <row r="6712" spans="1:17" ht="15.5" x14ac:dyDescent="0.35">
      <c r="A6712" s="3" t="str">
        <f>HYPERLINK("https://edmondsonsupply.com/collections/electricians-tools/products/klein-tools-1550-44-pocket-knife-2-5-8-inch-hawkbill-slitting-blade", "https://edmondsonsupply.com/collections/electricians-tools/products/klein-tools-1550-44-pocket-knife-2-5-8-inch-hawkbill-slitting-blade")</f>
        <v>https://edmondsonsupply.com/collections/electricians-tools/products/klein-tools-1550-44-pocket-knife-2-5-8-inch-hawkbill-slitting-blade</v>
      </c>
      <c r="B6712" s="3" t="str">
        <f>HYPERLINK("https://edmondsonsupply.com/products/klein-tools-1550-44-pocket-knife-2-5-8-inch-hawkbill-slitting-blade", "https://edmondsonsupply.com/products/klein-tools-1550-44-pocket-knife-2-5-8-inch-hawkbill-slitting-blade")</f>
        <v>https://edmondsonsupply.com/products/klein-tools-1550-44-pocket-knife-2-5-8-inch-hawkbill-slitting-blade</v>
      </c>
      <c r="C6712" t="s">
        <v>6747</v>
      </c>
      <c r="D6712" t="s">
        <v>8866</v>
      </c>
      <c r="E6712" s="3" t="str">
        <f>HYPERLINK("https://www.amazon.com/Klein-Tools-1550-44-Stainless-Hawkbill/dp/B00093DYPQ/ref=sr_1_1?keywords=Klein+Tools+1550-44+Pocket+Knife%2C+2-5%2F8-Inch+Hawkbill+Slitting+Blade&amp;qid=1695174173&amp;sr=8-1", "https://www.amazon.com/Klein-Tools-1550-44-Stainless-Hawkbill/dp/B00093DYPQ/ref=sr_1_1?keywords=Klein+Tools+1550-44+Pocket+Knife%2C+2-5%2F8-Inch+Hawkbill+Slitting+Blade&amp;qid=1695174173&amp;sr=8-1")</f>
        <v>https://www.amazon.com/Klein-Tools-1550-44-Stainless-Hawkbill/dp/B00093DYPQ/ref=sr_1_1?keywords=Klein+Tools+1550-44+Pocket+Knife%2C+2-5%2F8-Inch+Hawkbill+Slitting+Blade&amp;qid=1695174173&amp;sr=8-1</v>
      </c>
      <c r="F6712" t="s">
        <v>8867</v>
      </c>
      <c r="G6712" t="e">
        <f ca="1">_xludf.IMAGE("https://edmondsonsupply.com/cdn/shop/products/155044_c.jpg?v=1662662355")</f>
        <v>#NAME?</v>
      </c>
      <c r="H6712" t="e">
        <f ca="1">_xludf.IMAGE("https://m.media-amazon.com/images/I/41N-7HDOB1L._AC_UL320_.jpg")</f>
        <v>#NAME?</v>
      </c>
      <c r="I6712" t="s">
        <v>6750</v>
      </c>
      <c r="J6712">
        <v>22.99</v>
      </c>
      <c r="K6712" s="4">
        <v>-0.25669999999999998</v>
      </c>
      <c r="L6712">
        <v>4.5</v>
      </c>
      <c r="M6712">
        <v>411</v>
      </c>
      <c r="O6712" t="s">
        <v>25</v>
      </c>
      <c r="P6712" t="s">
        <v>6751</v>
      </c>
      <c r="Q6712" t="s">
        <v>6752</v>
      </c>
    </row>
    <row r="6713" spans="1:17" ht="15.5" x14ac:dyDescent="0.35">
      <c r="A6713" s="3" t="str">
        <f>HYPERLINK("https://edmondsonsupply.com/collections/electricians-tools/products/diablo-tools-dmamx1220", "https://edmondsonsupply.com/collections/electricians-tools/products/diablo-tools-dmamx1220")</f>
        <v>https://edmondsonsupply.com/collections/electricians-tools/products/diablo-tools-dmamx1220</v>
      </c>
      <c r="B6713" s="3" t="str">
        <f>HYPERLINK("https://edmondsonsupply.com/products/diablo-tools-dmamx1220", "https://edmondsonsupply.com/products/diablo-tools-dmamx1220")</f>
        <v>https://edmondsonsupply.com/products/diablo-tools-dmamx1220</v>
      </c>
      <c r="C6713" t="s">
        <v>7454</v>
      </c>
      <c r="D6713" t="s">
        <v>5560</v>
      </c>
      <c r="E6713" s="3" t="str">
        <f>HYPERLINK("https://www.amazon.com/Diablo-Freud-DMAPL4300-SDS-Plus-4-Cutter/dp/B089LL8JD8/ref=sr_1_6?keywords=Diablo+Tools+DMAMX1220+1+in.+x+16+in.+x+21+in.+Rebar+Demon%E2%84%A2+SDS-Max+4-Cutter+Full+Carbide+Head+Hammer+Drill+Bit&amp;qid=1695174109&amp;sr=8-6", "https://www.amazon.com/Diablo-Freud-DMAPL4300-SDS-Plus-4-Cutter/dp/B089LL8JD8/ref=sr_1_6?keywords=Diablo+Tools+DMAMX1220+1+in.+x+16+in.+x+21+in.+Rebar+Demon%E2%84%A2+SDS-Max+4-Cutter+Full+Carbide+Head+Hammer+Drill+Bit&amp;qid=1695174109&amp;sr=8-6")</f>
        <v>https://www.amazon.com/Diablo-Freud-DMAPL4300-SDS-Plus-4-Cutter/dp/B089LL8JD8/ref=sr_1_6?keywords=Diablo+Tools+DMAMX1220+1+in.+x+16+in.+x+21+in.+Rebar+Demon%E2%84%A2+SDS-Max+4-Cutter+Full+Carbide+Head+Hammer+Drill+Bit&amp;qid=1695174109&amp;sr=8-6</v>
      </c>
      <c r="F6713" t="s">
        <v>5561</v>
      </c>
      <c r="G6713" t="e">
        <f ca="1">_xludf.IMAGE("https://edmondsonsupply.com/cdn/shop/products/immoyh7jjmbau4fzhuq6.webp?v=1670431066")</f>
        <v>#NAME?</v>
      </c>
      <c r="H6713" t="e">
        <f ca="1">_xludf.IMAGE("https://m.media-amazon.com/images/I/616UiJGsK1L._AC_UL320_.jpg")</f>
        <v>#NAME?</v>
      </c>
      <c r="I6713" t="s">
        <v>7455</v>
      </c>
      <c r="J6713">
        <v>33.950000000000003</v>
      </c>
      <c r="K6713" s="4">
        <v>-0.25690000000000002</v>
      </c>
      <c r="L6713">
        <v>4.5</v>
      </c>
      <c r="M6713">
        <v>16</v>
      </c>
      <c r="O6713" t="s">
        <v>25</v>
      </c>
      <c r="P6713" t="s">
        <v>7456</v>
      </c>
      <c r="Q6713" t="s">
        <v>7457</v>
      </c>
    </row>
    <row r="6714" spans="1:17" ht="15.5" x14ac:dyDescent="0.35">
      <c r="A6714"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6714" s="3" t="str">
        <f>HYPERLINK("https://edmondsonsupply.com/products/klein-tools-69190-magnetic-hanger", "https://edmondsonsupply.com/products/klein-tools-69190-magnetic-hanger")</f>
        <v>https://edmondsonsupply.com/products/klein-tools-69190-magnetic-hanger</v>
      </c>
      <c r="C6714" t="s">
        <v>7906</v>
      </c>
      <c r="D6714" t="s">
        <v>4874</v>
      </c>
      <c r="E6714" s="3" t="str">
        <f>HYPERLINK("https://www.amazon.com/Klein-Tools-69445-Magnetic-Multimeters/dp/B08CP568HY/ref=sr_1_4?keywords=Klein+Tools+69190+Magnetic+Hanger&amp;qid=1695174256&amp;sr=8-4", "https://www.amazon.com/Klein-Tools-69445-Magnetic-Multimeters/dp/B08CP568HY/ref=sr_1_4?keywords=Klein+Tools+69190+Magnetic+Hanger&amp;qid=1695174256&amp;sr=8-4")</f>
        <v>https://www.amazon.com/Klein-Tools-69445-Magnetic-Multimeters/dp/B08CP568HY/ref=sr_1_4?keywords=Klein+Tools+69190+Magnetic+Hanger&amp;qid=1695174256&amp;sr=8-4</v>
      </c>
      <c r="F6714" t="s">
        <v>4875</v>
      </c>
      <c r="G6714" t="e">
        <f ca="1">_xludf.IMAGE("https://edmondsonsupply.com/cdn/shop/products/69190.jpg?v=1633031095")</f>
        <v>#NAME?</v>
      </c>
      <c r="H6714" t="e">
        <f ca="1">_xludf.IMAGE("https://m.media-amazon.com/images/I/61xhBmfQ1SL._AC_UL320_.jpg")</f>
        <v>#NAME?</v>
      </c>
      <c r="I6714" t="s">
        <v>3185</v>
      </c>
      <c r="J6714">
        <v>15.59</v>
      </c>
      <c r="K6714" s="4">
        <v>-0.25729999999999997</v>
      </c>
      <c r="L6714">
        <v>4.8</v>
      </c>
      <c r="M6714">
        <v>403</v>
      </c>
      <c r="O6714" t="s">
        <v>25</v>
      </c>
      <c r="P6714" t="s">
        <v>7909</v>
      </c>
      <c r="Q6714" t="s">
        <v>7910</v>
      </c>
    </row>
    <row r="6715" spans="1:17" ht="15.5" x14ac:dyDescent="0.35">
      <c r="A6715" s="3" t="str">
        <f>HYPERLINK("https://edmondsonsupply.com/collections/electricians-tools/products/amprobe-st-102b-receptacle-tester-with-gfci", "https://edmondsonsupply.com/collections/electricians-tools/products/amprobe-st-102b-receptacle-tester-with-gfci")</f>
        <v>https://edmondsonsupply.com/collections/electricians-tools/products/amprobe-st-102b-receptacle-tester-with-gfci</v>
      </c>
      <c r="B6715" s="3" t="str">
        <f>HYPERLINK("https://edmondsonsupply.com/products/amprobe-st-102b-receptacle-tester-with-gfci", "https://edmondsonsupply.com/products/amprobe-st-102b-receptacle-tester-with-gfci")</f>
        <v>https://edmondsonsupply.com/products/amprobe-st-102b-receptacle-tester-with-gfci</v>
      </c>
      <c r="C6715" t="s">
        <v>7388</v>
      </c>
      <c r="D6715" t="s">
        <v>8868</v>
      </c>
      <c r="E6715" s="3" t="str">
        <f>HYPERLINK("https://www.amazon.com/Xin-Tester-Receptacle-Electrical-Detecting/dp/B0BZHY3N87/ref=sr_1_9?keywords=Amprobe+ST-102B+Receptacle+Tester+with+GFCI&amp;qid=1695174172&amp;sr=8-9", "https://www.amazon.com/Xin-Tester-Receptacle-Electrical-Detecting/dp/B0BZHY3N87/ref=sr_1_9?keywords=Amprobe+ST-102B+Receptacle+Tester+with+GFCI&amp;qid=1695174172&amp;sr=8-9")</f>
        <v>https://www.amazon.com/Xin-Tester-Receptacle-Electrical-Detecting/dp/B0BZHY3N87/ref=sr_1_9?keywords=Amprobe+ST-102B+Receptacle+Tester+with+GFCI&amp;qid=1695174172&amp;sr=8-9</v>
      </c>
      <c r="F6715" t="s">
        <v>8869</v>
      </c>
      <c r="G6715" t="e">
        <f ca="1">_xludf.IMAGE("https://edmondsonsupply.com/cdn/shop/products/PD_ST102B1.jpg?v=1662641155")</f>
        <v>#NAME?</v>
      </c>
      <c r="H6715" t="e">
        <f ca="1">_xludf.IMAGE("https://m.media-amazon.com/images/I/61xIHoxxAEL._AC_UL320_.jpg")</f>
        <v>#NAME?</v>
      </c>
      <c r="I6715" t="s">
        <v>7391</v>
      </c>
      <c r="J6715">
        <v>12.99</v>
      </c>
      <c r="K6715" s="4">
        <v>-0.25729999999999997</v>
      </c>
      <c r="L6715">
        <v>4.5</v>
      </c>
      <c r="M6715">
        <v>27</v>
      </c>
      <c r="O6715" t="s">
        <v>25</v>
      </c>
      <c r="P6715" t="s">
        <v>577</v>
      </c>
      <c r="Q6715" t="s">
        <v>7392</v>
      </c>
    </row>
    <row r="6716" spans="1:17" ht="15.5" x14ac:dyDescent="0.35">
      <c r="A6716" s="3" t="str">
        <f>HYPERLINK("https://edmondsonsupply.com/collections/electricians-tools/products/clc-1528-11", "https://edmondsonsupply.com/collections/electricians-tools/products/clc-1528-11")</f>
        <v>https://edmondsonsupply.com/collections/electricians-tools/products/clc-1528-11</v>
      </c>
      <c r="B6716" s="3" t="str">
        <f>HYPERLINK("https://edmondsonsupply.com/products/clc-1528-11", "https://edmondsonsupply.com/products/clc-1528-11")</f>
        <v>https://edmondsonsupply.com/products/clc-1528-11</v>
      </c>
      <c r="C6716" t="s">
        <v>389</v>
      </c>
      <c r="D6716" t="s">
        <v>752</v>
      </c>
      <c r="E6716" s="3" t="str">
        <f>HYPERLINK("https://www.amazon.com/Custom-LeatherCraft-1528-Electrical-Maintenance/dp/B0000DYVHS/ref=sr_1_1?keywords=CLC+1528+11%22+Electrical+%26+Maintenance+Tool+Carrier&amp;qid=1695173922&amp;sr=8-1", "https://www.amazon.com/Custom-LeatherCraft-1528-Electrical-Maintenance/dp/B0000DYVHS/ref=sr_1_1?keywords=CLC+1528+11%22+Electrical+%26+Maintenance+Tool+Carrier&amp;qid=1695173922&amp;sr=8-1")</f>
        <v>https://www.amazon.com/Custom-LeatherCraft-1528-Electrical-Maintenance/dp/B0000DYVHS/ref=sr_1_1?keywords=CLC+1528+11%22+Electrical+%26+Maintenance+Tool+Carrier&amp;qid=1695173922&amp;sr=8-1</v>
      </c>
      <c r="F6716" t="s">
        <v>753</v>
      </c>
      <c r="G6716" t="e">
        <f ca="1">_xludf.IMAGE("https://edmondsonsupply.com/cdn/shop/products/clc-1528__1_321x_3x.progressive_bf390c4e-ab2d-4119-a706-a1ca10a9b643.jpg?v=1609778372")</f>
        <v>#NAME?</v>
      </c>
      <c r="H6716" t="e">
        <f ca="1">_xludf.IMAGE("https://m.media-amazon.com/images/I/814upkO6TBL._AC_UL320_.jpg")</f>
        <v>#NAME?</v>
      </c>
      <c r="I6716" t="s">
        <v>392</v>
      </c>
      <c r="J6716">
        <v>51.8</v>
      </c>
      <c r="K6716" s="4">
        <v>-0.25950000000000001</v>
      </c>
      <c r="L6716">
        <v>4.7</v>
      </c>
      <c r="M6716">
        <v>1541</v>
      </c>
      <c r="O6716" t="s">
        <v>25</v>
      </c>
      <c r="P6716" t="s">
        <v>393</v>
      </c>
      <c r="Q6716" t="s">
        <v>394</v>
      </c>
    </row>
    <row r="6717" spans="1:17" ht="15.5" x14ac:dyDescent="0.35">
      <c r="A6717"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6717"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6717" t="s">
        <v>8050</v>
      </c>
      <c r="D6717" t="s">
        <v>3909</v>
      </c>
      <c r="E6717" s="3" t="str">
        <f>HYPERLINK("https://www.amazon.com/Channellock-430-Straight-Heat-Treated-Reinforcing/dp/B00002N5JF/ref=sr_1_2?keywords=Channellock+430X+10-Inch+SPEEDGRIP%E2%84%A2+Straight+Jaw+Tongue+%26+Groove+Pliers&amp;qid=1695174216&amp;sr=8-2", "https://www.amazon.com/Channellock-430-Straight-Heat-Treated-Reinforcing/dp/B00002N5JF/ref=sr_1_2?keywords=Channellock+430X+10-Inch+SPEEDGRIP%E2%84%A2+Straight+Jaw+Tongue+%26+Groove+Pliers&amp;qid=1695174216&amp;sr=8-2")</f>
        <v>https://www.amazon.com/Channellock-430-Straight-Heat-Treated-Reinforcing/dp/B00002N5JF/ref=sr_1_2?keywords=Channellock+430X+10-Inch+SPEEDGRIP%E2%84%A2+Straight+Jaw+Tongue+%26+Groove+Pliers&amp;qid=1695174216&amp;sr=8-2</v>
      </c>
      <c r="F6717" t="s">
        <v>3910</v>
      </c>
      <c r="G6717" t="e">
        <f ca="1">_xludf.IMAGE("https://edmondsonsupply.com/cdn/shop/products/430X.jpg?v=1647100497")</f>
        <v>#NAME?</v>
      </c>
      <c r="H6717" t="e">
        <f ca="1">_xludf.IMAGE("https://m.media-amazon.com/images/I/71JqgqffnnL._AC_UL320_.jpg")</f>
        <v>#NAME?</v>
      </c>
      <c r="I6717" t="s">
        <v>5375</v>
      </c>
      <c r="J6717">
        <v>19.95</v>
      </c>
      <c r="K6717" s="4">
        <v>-0.25969999999999999</v>
      </c>
      <c r="L6717">
        <v>4.8</v>
      </c>
      <c r="M6717">
        <v>2191</v>
      </c>
      <c r="O6717" t="s">
        <v>25</v>
      </c>
      <c r="P6717" t="s">
        <v>8051</v>
      </c>
      <c r="Q6717" t="s">
        <v>8052</v>
      </c>
    </row>
    <row r="6718" spans="1:17" ht="15.5" x14ac:dyDescent="0.35">
      <c r="A6718" s="3" t="str">
        <f>HYPERLINK("https://edmondsonsupply.com/collections/electricians-tools/products/channellock-430cb", "https://edmondsonsupply.com/collections/electricians-tools/products/channellock-430cb")</f>
        <v>https://edmondsonsupply.com/collections/electricians-tools/products/channellock-430cb</v>
      </c>
      <c r="B6718" s="3" t="str">
        <f>HYPERLINK("https://edmondsonsupply.com/products/channellock-430cb", "https://edmondsonsupply.com/products/channellock-430cb")</f>
        <v>https://edmondsonsupply.com/products/channellock-430cb</v>
      </c>
      <c r="C6718" t="s">
        <v>5374</v>
      </c>
      <c r="D6718" t="s">
        <v>3909</v>
      </c>
      <c r="E6718" s="3" t="str">
        <f>HYPERLINK("https://www.amazon.com/Channellock-430-Straight-Heat-Treated-Reinforcing/dp/B00002N5JF/ref=sr_1_2?keywords=Channellock+430CB+10%22+Code+Blue+Straight+Jaw+Tongue+%26+Groove+Pliers&amp;qid=1695173895&amp;sr=8-2", "https://www.amazon.com/Channellock-430-Straight-Heat-Treated-Reinforcing/dp/B00002N5JF/ref=sr_1_2?keywords=Channellock+430CB+10%22+Code+Blue+Straight+Jaw+Tongue+%26+Groove+Pliers&amp;qid=1695173895&amp;sr=8-2")</f>
        <v>https://www.amazon.com/Channellock-430-Straight-Heat-Treated-Reinforcing/dp/B00002N5JF/ref=sr_1_2?keywords=Channellock+430CB+10%22+Code+Blue+Straight+Jaw+Tongue+%26+Groove+Pliers&amp;qid=1695173895&amp;sr=8-2</v>
      </c>
      <c r="F6718" t="s">
        <v>3910</v>
      </c>
      <c r="G6718" t="e">
        <f ca="1">_xludf.IMAGE("https://edmondsonsupply.com/cdn/shop/products/430CB-683x1024.jpg?v=1587147133")</f>
        <v>#NAME?</v>
      </c>
      <c r="H6718" t="e">
        <f ca="1">_xludf.IMAGE("https://m.media-amazon.com/images/I/71JqgqffnnL._AC_UL320_.jpg")</f>
        <v>#NAME?</v>
      </c>
      <c r="I6718" t="s">
        <v>5375</v>
      </c>
      <c r="J6718">
        <v>19.95</v>
      </c>
      <c r="K6718" s="4">
        <v>-0.25969999999999999</v>
      </c>
      <c r="L6718">
        <v>4.8</v>
      </c>
      <c r="M6718">
        <v>2191</v>
      </c>
      <c r="O6718" t="s">
        <v>25</v>
      </c>
      <c r="P6718" t="s">
        <v>5376</v>
      </c>
      <c r="Q6718" t="s">
        <v>5377</v>
      </c>
    </row>
    <row r="6719" spans="1:17" ht="15.5" x14ac:dyDescent="0.35">
      <c r="A6719" s="3" t="str">
        <f>HYPERLINK("https://edmondsonsupply.com/collections/electricians-tools/products/klein-tools-605-4-1-4-inch-cabinet-tip-screwdriver-4-inch-shank", "https://edmondsonsupply.com/collections/electricians-tools/products/klein-tools-605-4-1-4-inch-cabinet-tip-screwdriver-4-inch-shank")</f>
        <v>https://edmondsonsupply.com/collections/electricians-tools/products/klein-tools-605-4-1-4-inch-cabinet-tip-screwdriver-4-inch-shank</v>
      </c>
      <c r="B6719" s="3" t="str">
        <f>HYPERLINK("https://edmondsonsupply.com/products/klein-tools-605-4-1-4-inch-cabinet-tip-screwdriver-4-inch-shank", "https://edmondsonsupply.com/products/klein-tools-605-4-1-4-inch-cabinet-tip-screwdriver-4-inch-shank")</f>
        <v>https://edmondsonsupply.com/products/klein-tools-605-4-1-4-inch-cabinet-tip-screwdriver-4-inch-shank</v>
      </c>
      <c r="C6719" t="s">
        <v>6418</v>
      </c>
      <c r="D6719" t="s">
        <v>8870</v>
      </c>
      <c r="E6719" s="3" t="str">
        <f>HYPERLINK("https://www.amazon.com/Cabinet-Tip-Screwdriver-Klein-Tools-A216-4/dp/B00093GC28/ref=sr_1_7?keywords=Klein+Tools+605-4+1%2F4-Inch+Cabinet+Tip+Screwdriver+4-Inch+Shank&amp;qid=1695174135&amp;sr=8-7", "https://www.amazon.com/Cabinet-Tip-Screwdriver-Klein-Tools-A216-4/dp/B00093GC28/ref=sr_1_7?keywords=Klein+Tools+605-4+1%2F4-Inch+Cabinet+Tip+Screwdriver+4-Inch+Shank&amp;qid=1695174135&amp;sr=8-7")</f>
        <v>https://www.amazon.com/Cabinet-Tip-Screwdriver-Klein-Tools-A216-4/dp/B00093GC28/ref=sr_1_7?keywords=Klein+Tools+605-4+1%2F4-Inch+Cabinet+Tip+Screwdriver+4-Inch+Shank&amp;qid=1695174135&amp;sr=8-7</v>
      </c>
      <c r="F6719" t="s">
        <v>8871</v>
      </c>
      <c r="G6719" t="e">
        <f ca="1">_xludf.IMAGE("https://edmondsonsupply.com/cdn/shop/products/605-6_ac5e56ca-920d-4d55-842f-c7dc8361f892.jpg?v=1665688377")</f>
        <v>#NAME?</v>
      </c>
      <c r="H6719" t="e">
        <f ca="1">_xludf.IMAGE("https://m.media-amazon.com/images/I/414kKbGezfL._AC_UL320_.jpg")</f>
        <v>#NAME?</v>
      </c>
      <c r="I6719" t="s">
        <v>924</v>
      </c>
      <c r="J6719">
        <v>6.65</v>
      </c>
      <c r="K6719" s="4">
        <v>-0.26029999999999998</v>
      </c>
      <c r="L6719">
        <v>4.7</v>
      </c>
      <c r="M6719">
        <v>172</v>
      </c>
      <c r="O6719" t="s">
        <v>25</v>
      </c>
      <c r="P6719" t="s">
        <v>6421</v>
      </c>
      <c r="Q6719" t="s">
        <v>6422</v>
      </c>
    </row>
    <row r="6720" spans="1:17" ht="15.5" x14ac:dyDescent="0.35">
      <c r="A6720" s="3" t="str">
        <f>HYPERLINK("https://edmondsonsupply.com/collections/electricians-tools/products/diablo-tools-dou125cf-1-1-4-universal-fit-carbide-oscillating-blade-for-metal", "https://edmondsonsupply.com/collections/electricians-tools/products/diablo-tools-dou125cf-1-1-4-universal-fit-carbide-oscillating-blade-for-metal")</f>
        <v>https://edmondsonsupply.com/collections/electricians-tools/products/diablo-tools-dou125cf-1-1-4-universal-fit-carbide-oscillating-blade-for-metal</v>
      </c>
      <c r="B6720" s="3" t="str">
        <f>HYPERLINK("https://edmondsonsupply.com/products/diablo-tools-dou125cf-1-1-4-universal-fit-carbide-oscillating-blade-for-metal", "https://edmondsonsupply.com/products/diablo-tools-dou125cf-1-1-4-universal-fit-carbide-oscillating-blade-for-metal")</f>
        <v>https://edmondsonsupply.com/products/diablo-tools-dou125cf-1-1-4-universal-fit-carbide-oscillating-blade-for-metal</v>
      </c>
      <c r="C6720" t="s">
        <v>7236</v>
      </c>
      <c r="D6720" t="s">
        <v>8586</v>
      </c>
      <c r="E6720" s="3" t="str">
        <f>HYPERLINK("https://www.amazon.com/Diablo-Universal-Carbide-Oscillating-Blade/dp/B089LHKRPN/ref=sr_1_1?keywords=Diablo+Tools+DOU125CF+1-1%2F4%22+Universal+Fit+Carbide+Oscillating+Blade+for+Metal&amp;qid=1695174236&amp;sr=8-1", "https://www.amazon.com/Diablo-Universal-Carbide-Oscillating-Blade/dp/B089LHKRPN/ref=sr_1_1?keywords=Diablo+Tools+DOU125CF+1-1%2F4%22+Universal+Fit+Carbide+Oscillating+Blade+for+Metal&amp;qid=1695174236&amp;sr=8-1")</f>
        <v>https://www.amazon.com/Diablo-Universal-Carbide-Oscillating-Blade/dp/B089LHKRPN/ref=sr_1_1?keywords=Diablo+Tools+DOU125CF+1-1%2F4%22+Universal+Fit+Carbide+Oscillating+Blade+for+Metal&amp;qid=1695174236&amp;sr=8-1</v>
      </c>
      <c r="F6720" t="s">
        <v>8587</v>
      </c>
      <c r="G6720" t="e">
        <f ca="1">_xludf.IMAGE("https://edmondsonsupply.com/cdn/shop/products/DOU125CF_Main-Image.png?v=1633637708")</f>
        <v>#NAME?</v>
      </c>
      <c r="H6720" t="e">
        <f ca="1">_xludf.IMAGE("https://m.media-amazon.com/images/I/71izb0UUOkL._AC_UL320_.jpg")</f>
        <v>#NAME?</v>
      </c>
      <c r="I6720" t="s">
        <v>1716</v>
      </c>
      <c r="J6720">
        <v>16.989999999999998</v>
      </c>
      <c r="K6720" s="4">
        <v>-0.26029999999999998</v>
      </c>
      <c r="L6720">
        <v>4.3</v>
      </c>
      <c r="M6720">
        <v>19</v>
      </c>
      <c r="O6720" t="s">
        <v>25</v>
      </c>
      <c r="P6720" t="s">
        <v>7237</v>
      </c>
      <c r="Q6720" t="s">
        <v>7238</v>
      </c>
    </row>
    <row r="6721" spans="1:17" ht="15.5" x14ac:dyDescent="0.35">
      <c r="A6721"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6721"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6721" t="s">
        <v>7146</v>
      </c>
      <c r="D6721" t="s">
        <v>8666</v>
      </c>
      <c r="E6721" s="3" t="str">
        <f>HYPERLINK("https://www.amazon.com/M7R-Metalmaster-Offset-Snips-Straight/dp/B00002N5LS/ref=sr_1_2?keywords=Crescent+Wiss+M6P+9-1%2F4%22+Offset+Straight+and+Left+Cut+Aviation+Snips&amp;qid=1695174043&amp;sr=8-2", "https://www.amazon.com/M7R-Metalmaster-Offset-Snips-Straight/dp/B00002N5LS/ref=sr_1_2?keywords=Crescent+Wiss+M6P+9-1%2F4%22+Offset+Straight+and+Left+Cut+Aviation+Snips&amp;qid=1695174043&amp;sr=8-2")</f>
        <v>https://www.amazon.com/M7R-Metalmaster-Offset-Snips-Straight/dp/B00002N5LS/ref=sr_1_2?keywords=Crescent+Wiss+M6P+9-1%2F4%22+Offset+Straight+and+Left+Cut+Aviation+Snips&amp;qid=1695174043&amp;sr=8-2</v>
      </c>
      <c r="F6721" t="s">
        <v>8667</v>
      </c>
      <c r="G6721" t="e">
        <f ca="1">_xludf.IMAGE("https://edmondsonsupply.com/cdn/shop/products/WIS_M6P_IMG_MAIN_01.jpg?v=1679497499")</f>
        <v>#NAME?</v>
      </c>
      <c r="H6721" t="e">
        <f ca="1">_xludf.IMAGE("https://m.media-amazon.com/images/I/518irscT5TL._AC_UL320_.jpg")</f>
        <v>#NAME?</v>
      </c>
      <c r="I6721" t="s">
        <v>1589</v>
      </c>
      <c r="J6721">
        <v>16.989999999999998</v>
      </c>
      <c r="K6721" s="4">
        <v>-0.26100000000000001</v>
      </c>
      <c r="L6721">
        <v>4.4000000000000004</v>
      </c>
      <c r="M6721">
        <v>1401</v>
      </c>
      <c r="O6721" t="s">
        <v>25</v>
      </c>
      <c r="P6721" t="s">
        <v>7144</v>
      </c>
      <c r="Q6721" t="s">
        <v>7147</v>
      </c>
    </row>
    <row r="6722" spans="1:17" ht="15.5" x14ac:dyDescent="0.35">
      <c r="A6722" s="3" t="str">
        <f>HYPERLINK("https://edmondsonsupply.com/collections/electricians-tools/products/crescent-wiss-m8p-9-4-5-offset-straight-left-and-right-cut-aviation-snips", "https://edmondsonsupply.com/collections/electricians-tools/products/crescent-wiss-m8p-9-4-5-offset-straight-left-and-right-cut-aviation-snips")</f>
        <v>https://edmondsonsupply.com/collections/electricians-tools/products/crescent-wiss-m8p-9-4-5-offset-straight-left-and-right-cut-aviation-snips</v>
      </c>
      <c r="B6722" s="3" t="str">
        <f>HYPERLINK("https://edmondsonsupply.com/products/crescent-wiss-m8p-9-4-5-offset-straight-left-and-right-cut-aviation-snips", "https://edmondsonsupply.com/products/crescent-wiss-m8p-9-4-5-offset-straight-left-and-right-cut-aviation-snips")</f>
        <v>https://edmondsonsupply.com/products/crescent-wiss-m8p-9-4-5-offset-straight-left-and-right-cut-aviation-snips</v>
      </c>
      <c r="C6722" t="s">
        <v>7143</v>
      </c>
      <c r="D6722" t="s">
        <v>8666</v>
      </c>
      <c r="E6722" s="3" t="str">
        <f>HYPERLINK("https://www.amazon.com/M7R-Metalmaster-Offset-Snips-Straight/dp/B00002N5LS/ref=sr_1_2?keywords=Crescent+Wiss+M8P+9-4%2F5%22+Offset+Straight%2C+Left+and+Right+Cut+Aviation+Snips&amp;qid=1695174053&amp;sr=8-2", "https://www.amazon.com/M7R-Metalmaster-Offset-Snips-Straight/dp/B00002N5LS/ref=sr_1_2?keywords=Crescent+Wiss+M8P+9-4%2F5%22+Offset+Straight%2C+Left+and+Right+Cut+Aviation+Snips&amp;qid=1695174053&amp;sr=8-2")</f>
        <v>https://www.amazon.com/M7R-Metalmaster-Offset-Snips-Straight/dp/B00002N5LS/ref=sr_1_2?keywords=Crescent+Wiss+M8P+9-4%2F5%22+Offset+Straight%2C+Left+and+Right+Cut+Aviation+Snips&amp;qid=1695174053&amp;sr=8-2</v>
      </c>
      <c r="F6722" t="s">
        <v>8667</v>
      </c>
      <c r="G6722" t="e">
        <f ca="1">_xludf.IMAGE("https://edmondsonsupply.com/cdn/shop/products/WIS_M8P_IMG_ANG_01.jpg?v=1679676030")</f>
        <v>#NAME?</v>
      </c>
      <c r="H6722" t="e">
        <f ca="1">_xludf.IMAGE("https://m.media-amazon.com/images/I/518irscT5TL._AC_UL320_.jpg")</f>
        <v>#NAME?</v>
      </c>
      <c r="I6722" t="s">
        <v>1589</v>
      </c>
      <c r="J6722">
        <v>16.989999999999998</v>
      </c>
      <c r="K6722" s="4">
        <v>-0.26100000000000001</v>
      </c>
      <c r="L6722">
        <v>4.4000000000000004</v>
      </c>
      <c r="M6722">
        <v>1401</v>
      </c>
      <c r="O6722" t="s">
        <v>25</v>
      </c>
      <c r="P6722" t="s">
        <v>7144</v>
      </c>
      <c r="Q6722" t="s">
        <v>7145</v>
      </c>
    </row>
    <row r="6723" spans="1:17" ht="15.5" x14ac:dyDescent="0.35">
      <c r="A6723"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6723"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6723" t="s">
        <v>7148</v>
      </c>
      <c r="D6723" t="s">
        <v>8666</v>
      </c>
      <c r="E6723" s="3" t="str">
        <f>HYPERLINK("https://www.amazon.com/M7R-Metalmaster-Offset-Snips-Straight/dp/B00002N5LS/ref=sr_1_1?keywords=Crescent+Wiss+M7P+9-1%2F4%22+Offset+Straight+and+Right+Cut+Aviation+Snips&amp;qid=1695174041&amp;sr=8-1", "https://www.amazon.com/M7R-Metalmaster-Offset-Snips-Straight/dp/B00002N5LS/ref=sr_1_1?keywords=Crescent+Wiss+M7P+9-1%2F4%22+Offset+Straight+and+Right+Cut+Aviation+Snips&amp;qid=1695174041&amp;sr=8-1")</f>
        <v>https://www.amazon.com/M7R-Metalmaster-Offset-Snips-Straight/dp/B00002N5LS/ref=sr_1_1?keywords=Crescent+Wiss+M7P+9-1%2F4%22+Offset+Straight+and+Right+Cut+Aviation+Snips&amp;qid=1695174041&amp;sr=8-1</v>
      </c>
      <c r="F6723" t="s">
        <v>8667</v>
      </c>
      <c r="G6723" t="e">
        <f ca="1">_xludf.IMAGE("https://edmondsonsupply.com/cdn/shop/products/WIS_M7P_IMG_ANG_01.jpg?v=1679669941")</f>
        <v>#NAME?</v>
      </c>
      <c r="H6723" t="e">
        <f ca="1">_xludf.IMAGE("https://m.media-amazon.com/images/I/518irscT5TL._AC_UL320_.jpg")</f>
        <v>#NAME?</v>
      </c>
      <c r="I6723" t="s">
        <v>1589</v>
      </c>
      <c r="J6723">
        <v>16.989999999999998</v>
      </c>
      <c r="K6723" s="4">
        <v>-0.26100000000000001</v>
      </c>
      <c r="L6723">
        <v>4.4000000000000004</v>
      </c>
      <c r="M6723">
        <v>1401</v>
      </c>
      <c r="O6723" t="s">
        <v>25</v>
      </c>
      <c r="P6723" t="s">
        <v>7144</v>
      </c>
      <c r="Q6723" t="s">
        <v>7149</v>
      </c>
    </row>
    <row r="6724" spans="1:17" ht="15.5" x14ac:dyDescent="0.35">
      <c r="A6724"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6724" s="3" t="str">
        <f>HYPERLINK("https://edmondsonsupply.com/products/diablo-tools-d0704dh-7-1-4-in-x-4-tooth-fiber-cement", "https://edmondsonsupply.com/products/diablo-tools-d0704dh-7-1-4-in-x-4-tooth-fiber-cement")</f>
        <v>https://edmondsonsupply.com/products/diablo-tools-d0704dh-7-1-4-in-x-4-tooth-fiber-cement</v>
      </c>
      <c r="C6724" t="s">
        <v>6285</v>
      </c>
      <c r="D6724" t="s">
        <v>8872</v>
      </c>
      <c r="E6724" s="3" t="str">
        <f>HYPERLINK("https://www.amazon.com/Freud-D0704DH-Diablo-Hardie-Cement/dp/B09BQJL4PT/ref=sr_1_2?keywords=Diablo+Tools+D0704DH+7-1%2F4+in.+x+4+Tooth+Fiber+Cement&amp;qid=1695174050&amp;sr=8-2", "https://www.amazon.com/Freud-D0704DH-Diablo-Hardie-Cement/dp/B09BQJL4PT/ref=sr_1_2?keywords=Diablo+Tools+D0704DH+7-1%2F4+in.+x+4+Tooth+Fiber+Cement&amp;qid=1695174050&amp;sr=8-2")</f>
        <v>https://www.amazon.com/Freud-D0704DH-Diablo-Hardie-Cement/dp/B09BQJL4PT/ref=sr_1_2?keywords=Diablo+Tools+D0704DH+7-1%2F4+in.+x+4+Tooth+Fiber+Cement&amp;qid=1695174050&amp;sr=8-2</v>
      </c>
      <c r="F6724" t="s">
        <v>8873</v>
      </c>
      <c r="G6724" t="e">
        <f ca="1">_xludf.IMAGE("https://edmondsonsupply.com/cdn/shop/products/baadnmj6vhmqufio7ofn.webp?v=1679325375")</f>
        <v>#NAME?</v>
      </c>
      <c r="H6724" t="e">
        <f ca="1">_xludf.IMAGE("https://m.media-amazon.com/images/I/615anyFfV9L._AC_UL320_.jpg")</f>
        <v>#NAME?</v>
      </c>
      <c r="I6724" t="s">
        <v>4108</v>
      </c>
      <c r="J6724">
        <v>33.200000000000003</v>
      </c>
      <c r="K6724" s="4">
        <v>-0.26169999999999999</v>
      </c>
      <c r="L6724">
        <v>4.5999999999999996</v>
      </c>
      <c r="M6724">
        <v>32</v>
      </c>
      <c r="O6724" t="s">
        <v>25</v>
      </c>
      <c r="P6724" t="s">
        <v>3833</v>
      </c>
      <c r="Q6724" t="s">
        <v>6288</v>
      </c>
    </row>
    <row r="6725" spans="1:17" ht="15.5" x14ac:dyDescent="0.35">
      <c r="A6725" s="3" t="str">
        <f>HYPERLINK("https://edmondsonsupply.com/collections/electricians-tools/products/fluke-376", "https://edmondsonsupply.com/collections/electricians-tools/products/fluke-376")</f>
        <v>https://edmondsonsupply.com/collections/electricians-tools/products/fluke-376</v>
      </c>
      <c r="B6725" s="3" t="str">
        <f>HYPERLINK("https://edmondsonsupply.com/products/fluke-376", "https://edmondsonsupply.com/products/fluke-376")</f>
        <v>https://edmondsonsupply.com/products/fluke-376</v>
      </c>
      <c r="C6725" t="s">
        <v>3766</v>
      </c>
      <c r="D6725" t="s">
        <v>5378</v>
      </c>
      <c r="E6725" s="3" t="str">
        <f>HYPERLINK("https://www.amazon.com/Fluke-True-Clamp-Meter-iFlex/dp/B0086963VC/ref=sr_1_3?keywords=Fluke+376+FC+Wireless+True-RMS+AC%2FDC+Clamp+Meter+with+iFlex&amp;qid=1695173895&amp;sr=8-3", "https://www.amazon.com/Fluke-True-Clamp-Meter-iFlex/dp/B0086963VC/ref=sr_1_3?keywords=Fluke+376+FC+Wireless+True-RMS+AC%2FDC+Clamp+Meter+with+iFlex&amp;qid=1695173895&amp;sr=8-3")</f>
        <v>https://www.amazon.com/Fluke-True-Clamp-Meter-iFlex/dp/B0086963VC/ref=sr_1_3?keywords=Fluke+376+FC+Wireless+True-RMS+AC%2FDC+Clamp+Meter+with+iFlex&amp;qid=1695173895&amp;sr=8-3</v>
      </c>
      <c r="F6725" t="s">
        <v>5379</v>
      </c>
      <c r="G6725" t="e">
        <f ca="1">_xludf.IMAGE("https://edmondsonsupply.com/cdn/shop/products/f-376fc-16a-1500x1000.jpg?v=1633030274")</f>
        <v>#NAME?</v>
      </c>
      <c r="H6725" t="e">
        <f ca="1">_xludf.IMAGE("https://m.media-amazon.com/images/I/51g0DI2hCPL._AC_UY218_.jpg")</f>
        <v>#NAME?</v>
      </c>
      <c r="I6725" t="s">
        <v>3769</v>
      </c>
      <c r="J6725">
        <v>393</v>
      </c>
      <c r="K6725" s="4">
        <v>-0.2636</v>
      </c>
      <c r="L6725">
        <v>4.5</v>
      </c>
      <c r="M6725">
        <v>102</v>
      </c>
      <c r="O6725" t="s">
        <v>25</v>
      </c>
      <c r="P6725" t="s">
        <v>3770</v>
      </c>
      <c r="Q6725" t="s">
        <v>3771</v>
      </c>
    </row>
    <row r="6726" spans="1:17" ht="15.5" x14ac:dyDescent="0.35">
      <c r="A6726"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6726"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6726" t="s">
        <v>6674</v>
      </c>
      <c r="D6726" t="s">
        <v>3905</v>
      </c>
      <c r="E6726" s="3" t="str">
        <f>HYPERLINK("https://www.amazon.com/Journeyman-T-Handle-Klein-Tools-JTH9M3/dp/B005G3HJ28/ref=sr_1_6?keywords=Klein+Tools+JTH9M8+8+mm+Hex+Key%2C+Journeyman%E2%84%A2+T-Handle%2C+9-Inch&amp;qid=1695174169&amp;sr=8-6", "https://www.amazon.com/Journeyman-T-Handle-Klein-Tools-JTH9M3/dp/B005G3HJ28/ref=sr_1_6?keywords=Klein+Tools+JTH9M8+8+mm+Hex+Key%2C+Journeyman%E2%84%A2+T-Handle%2C+9-Inch&amp;qid=1695174169&amp;sr=8-6")</f>
        <v>https://www.amazon.com/Journeyman-T-Handle-Klein-Tools-JTH9M3/dp/B005G3HJ28/ref=sr_1_6?keywords=Klein+Tools+JTH9M8+8+mm+Hex+Key%2C+Journeyman%E2%84%A2+T-Handle%2C+9-Inch&amp;qid=1695174169&amp;sr=8-6</v>
      </c>
      <c r="F6726" t="s">
        <v>3906</v>
      </c>
      <c r="G6726" t="e">
        <f ca="1">_xludf.IMAGE("https://edmondsonsupply.com/cdn/shop/products/jth6m8_03ba3d30-ff38-4b9e-93e7-b0fc6da199d0.jpg?v=1662658324")</f>
        <v>#NAME?</v>
      </c>
      <c r="H6726" t="e">
        <f ca="1">_xludf.IMAGE("https://m.media-amazon.com/images/I/51MZtGjDOtL._AC_UL320_.jpg")</f>
        <v>#NAME?</v>
      </c>
      <c r="I6726" t="s">
        <v>1003</v>
      </c>
      <c r="J6726">
        <v>5.88</v>
      </c>
      <c r="K6726" s="4">
        <v>-0.2641</v>
      </c>
      <c r="L6726">
        <v>4.5999999999999996</v>
      </c>
      <c r="M6726">
        <v>179</v>
      </c>
      <c r="O6726" t="s">
        <v>25</v>
      </c>
      <c r="P6726" t="s">
        <v>1481</v>
      </c>
      <c r="Q6726" t="s">
        <v>6675</v>
      </c>
    </row>
    <row r="6727" spans="1:17" ht="15.5" x14ac:dyDescent="0.35">
      <c r="A6727"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6727" s="3" t="str">
        <f>HYPERLINK("https://edmondsonsupply.com/products/milwaukee-2953-22-m18-fuel%e2%84%a2-1-4-hex-impact-driver-kit", "https://edmondsonsupply.com/products/milwaukee-2953-22-m18-fuel%e2%84%a2-1-4-hex-impact-driver-kit")</f>
        <v>https://edmondsonsupply.com/products/milwaukee-2953-22-m18-fuel%e2%84%a2-1-4-hex-impact-driver-kit</v>
      </c>
      <c r="C6727" t="s">
        <v>7565</v>
      </c>
      <c r="D6727" t="s">
        <v>8874</v>
      </c>
      <c r="E6727" s="3" t="str">
        <f>HYPERLINK("https://www.amazon.com/Milwaukee-2760-22CT-SURGE-Hydraulic-Driver/dp/B07G9HDMFJ/ref=sr_1_3?keywords=Milwaukee+2953-22+M18+FUEL%E2%84%A2+1%2F4%22+Hex+Impact+Driver+Kit&amp;qid=1695174155&amp;sr=8-3", "https://www.amazon.com/Milwaukee-2760-22CT-SURGE-Hydraulic-Driver/dp/B07G9HDMFJ/ref=sr_1_3?keywords=Milwaukee+2953-22+M18+FUEL%E2%84%A2+1%2F4%22+Hex+Impact+Driver+Kit&amp;qid=1695174155&amp;sr=8-3")</f>
        <v>https://www.amazon.com/Milwaukee-2760-22CT-SURGE-Hydraulic-Driver/dp/B07G9HDMFJ/ref=sr_1_3?keywords=Milwaukee+2953-22+M18+FUEL%E2%84%A2+1%2F4%22+Hex+Impact+Driver+Kit&amp;qid=1695174155&amp;sr=8-3</v>
      </c>
      <c r="F6727" t="s">
        <v>8875</v>
      </c>
      <c r="G6727" t="e">
        <f ca="1">_xludf.IMAGE("https://edmondsonsupply.com/cdn/shop/products/29532022ImageReel2.webp?v=1663599746")</f>
        <v>#NAME?</v>
      </c>
      <c r="H6727" t="e">
        <f ca="1">_xludf.IMAGE("https://m.media-amazon.com/images/I/61cIAc2Oa7L._AC_UL320_.jpg")</f>
        <v>#NAME?</v>
      </c>
      <c r="I6727" t="s">
        <v>5012</v>
      </c>
      <c r="J6727">
        <v>219.88</v>
      </c>
      <c r="K6727" s="4">
        <v>-0.2646</v>
      </c>
      <c r="L6727">
        <v>4</v>
      </c>
      <c r="M6727">
        <v>1</v>
      </c>
      <c r="O6727" t="s">
        <v>25</v>
      </c>
      <c r="P6727" t="s">
        <v>7566</v>
      </c>
      <c r="Q6727" t="s">
        <v>7567</v>
      </c>
    </row>
    <row r="6728" spans="1:17" ht="15.5" x14ac:dyDescent="0.35">
      <c r="A6728" s="3" t="str">
        <f>HYPERLINK("https://edmondsonsupply.com/collections/electricians-tools/products/milwaukee-2830-20-m18-fuel%E2%84%A2-rear-handle-7-1-4-circular-saw-tool-only", "https://edmondsonsupply.com/collections/electricians-tools/products/milwaukee-2830-20-m18-fuel%E2%84%A2-rear-handle-7-1-4-circular-saw-tool-only")</f>
        <v>https://edmondsonsupply.com/collections/electricians-tools/products/milwaukee-2830-20-m18-fuel%E2%84%A2-rear-handle-7-1-4-circular-saw-tool-only</v>
      </c>
      <c r="B6728" s="3" t="str">
        <f>HYPERLINK("https://edmondsonsupply.com/products/milwaukee-2830-20-m18-fuel%e2%84%a2-rear-handle-7-1-4-circular-saw-tool-only", "https://edmondsonsupply.com/products/milwaukee-2830-20-m18-fuel%e2%84%a2-rear-handle-7-1-4-circular-saw-tool-only")</f>
        <v>https://edmondsonsupply.com/products/milwaukee-2830-20-m18-fuel%e2%84%a2-rear-handle-7-1-4-circular-saw-tool-only</v>
      </c>
      <c r="C6728" t="s">
        <v>8876</v>
      </c>
      <c r="D6728" t="s">
        <v>8877</v>
      </c>
      <c r="E6728" s="3" t="str">
        <f>HYPERLINK("https://www.amazon.com/M18-7-1-Rear-Handle-Circular/dp/B07VWKR5YN/ref=sr_1_1?keywords=Milwaukee+2830-20+M18+FUEL%E2%84%A2+Rear+Handle+7-1%2F4%22+Circular+Saw+-+Tool+Only&amp;qid=1695174075&amp;sr=8-1", "https://www.amazon.com/M18-7-1-Rear-Handle-Circular/dp/B07VWKR5YN/ref=sr_1_1?keywords=Milwaukee+2830-20+M18+FUEL%E2%84%A2+Rear+Handle+7-1%2F4%22+Circular+Saw+-+Tool+Only&amp;qid=1695174075&amp;sr=8-1")</f>
        <v>https://www.amazon.com/M18-7-1-Rear-Handle-Circular/dp/B07VWKR5YN/ref=sr_1_1?keywords=Milwaukee+2830-20+M18+FUEL%E2%84%A2+Rear+Handle+7-1%2F4%22+Circular+Saw+-+Tool+Only&amp;qid=1695174075&amp;sr=8-1</v>
      </c>
      <c r="F6728" t="s">
        <v>8878</v>
      </c>
      <c r="G6728" t="e">
        <f ca="1">_xludf.IMAGE("https://edmondsonsupply.com/cdn/shop/products/2830-20_1_Web.webp?v=1675363302")</f>
        <v>#NAME?</v>
      </c>
      <c r="H6728" t="e">
        <f ca="1">_xludf.IMAGE("https://m.media-amazon.com/images/I/51-ok8l5coL._AC_UL320_.jpg")</f>
        <v>#NAME?</v>
      </c>
      <c r="I6728" t="s">
        <v>698</v>
      </c>
      <c r="J6728">
        <v>205</v>
      </c>
      <c r="K6728" s="4">
        <v>-0.26519999999999999</v>
      </c>
      <c r="L6728">
        <v>4.7</v>
      </c>
      <c r="M6728">
        <v>841</v>
      </c>
      <c r="O6728" t="s">
        <v>171</v>
      </c>
      <c r="P6728" t="s">
        <v>8584</v>
      </c>
      <c r="Q6728" t="s">
        <v>8879</v>
      </c>
    </row>
    <row r="6729" spans="1:17" ht="15.5" x14ac:dyDescent="0.35">
      <c r="A6729" s="3" t="str">
        <f>HYPERLINK("https://edmondsonsupply.com/collections/electricians-tools/products/klein-tools-9230-tape-measure-30-foot-magnetic-double-hook", "https://edmondsonsupply.com/collections/electricians-tools/products/klein-tools-9230-tape-measure-30-foot-magnetic-double-hook")</f>
        <v>https://edmondsonsupply.com/collections/electricians-tools/products/klein-tools-9230-tape-measure-30-foot-magnetic-double-hook</v>
      </c>
      <c r="B6729" s="3" t="str">
        <f>HYPERLINK("https://edmondsonsupply.com/products/klein-tools-9230-tape-measure-30-foot-magnetic-double-hook", "https://edmondsonsupply.com/products/klein-tools-9230-tape-measure-30-foot-magnetic-double-hook")</f>
        <v>https://edmondsonsupply.com/products/klein-tools-9230-tape-measure-30-foot-magnetic-double-hook</v>
      </c>
      <c r="C6729" t="s">
        <v>5073</v>
      </c>
      <c r="D6729" t="s">
        <v>5380</v>
      </c>
      <c r="E6729" s="3" t="str">
        <f>HYPERLINK("https://www.amazon.com/Klein-Tools-Measure-Magnetic-Double-Hook/dp/B07WF9TKNN/ref=sr_1_3?keywords=Klein+Tools+9230+Tape+Measure%2C+30-Foot+Magnetic+Double-Hook&amp;qid=1695173934&amp;sr=8-3", "https://www.amazon.com/Klein-Tools-Measure-Magnetic-Double-Hook/dp/B07WF9TKNN/ref=sr_1_3?keywords=Klein+Tools+9230+Tape+Measure%2C+30-Foot+Magnetic+Double-Hook&amp;qid=1695173934&amp;sr=8-3")</f>
        <v>https://www.amazon.com/Klein-Tools-Measure-Magnetic-Double-Hook/dp/B07WF9TKNN/ref=sr_1_3?keywords=Klein+Tools+9230+Tape+Measure%2C+30-Foot+Magnetic+Double-Hook&amp;qid=1695173934&amp;sr=8-3</v>
      </c>
      <c r="F6729" t="s">
        <v>5381</v>
      </c>
      <c r="G6729" t="e">
        <f ca="1">_xludf.IMAGE("https://edmondsonsupply.com/cdn/shop/products/9230_photo.jpg?v=1587150845")</f>
        <v>#NAME?</v>
      </c>
      <c r="H6729" t="e">
        <f ca="1">_xludf.IMAGE("https://m.media-amazon.com/images/I/51-QFLUv4EL._AC_UL320_.jpg")</f>
        <v>#NAME?</v>
      </c>
      <c r="I6729" t="s">
        <v>4310</v>
      </c>
      <c r="J6729">
        <v>24.97</v>
      </c>
      <c r="K6729" s="4">
        <v>-0.26540000000000002</v>
      </c>
      <c r="L6729">
        <v>4.5999999999999996</v>
      </c>
      <c r="M6729">
        <v>1948</v>
      </c>
      <c r="O6729" t="s">
        <v>25</v>
      </c>
      <c r="P6729" t="s">
        <v>5076</v>
      </c>
      <c r="Q6729" t="s">
        <v>5077</v>
      </c>
    </row>
    <row r="6730" spans="1:17" ht="15.5" x14ac:dyDescent="0.35">
      <c r="A6730" s="3" t="str">
        <f>HYPERLINK("https://edmondsonsupply.com/collections/electricians-tools/products/reed-mfg-dhr12-1-1-2npt-r12-drophead-1-1-2-npt", "https://edmondsonsupply.com/collections/electricians-tools/products/reed-mfg-dhr12-1-1-2npt-r12-drophead-1-1-2-npt")</f>
        <v>https://edmondsonsupply.com/collections/electricians-tools/products/reed-mfg-dhr12-1-1-2npt-r12-drophead-1-1-2-npt</v>
      </c>
      <c r="B6730" s="3" t="str">
        <f>HYPERLINK("https://edmondsonsupply.com/products/reed-mfg-dhr12-1-1-2npt-r12-drophead-1-1-2-npt", "https://edmondsonsupply.com/products/reed-mfg-dhr12-1-1-2npt-r12-drophead-1-1-2-npt")</f>
        <v>https://edmondsonsupply.com/products/reed-mfg-dhr12-1-1-2npt-r12-drophead-1-1-2-npt</v>
      </c>
      <c r="C6730" t="s">
        <v>7847</v>
      </c>
      <c r="D6730" t="s">
        <v>5250</v>
      </c>
      <c r="E6730" s="3" t="str">
        <f>HYPERLINK("https://www.amazon.com/Reed-Tool-DHR12-4NPT-Drophead/dp/B000ZH6R3M/ref=sr_1_fkmr1_1?keywords=Reed+Mfg+DHR12+1+1%2F2NPT+R12%2B+Drophead%2C+1-1%2F2%22+NPT&amp;qid=1695174267&amp;sr=8-1-fkmr1", "https://www.amazon.com/Reed-Tool-DHR12-4NPT-Drophead/dp/B000ZH6R3M/ref=sr_1_fkmr1_1?keywords=Reed+Mfg+DHR12+1+1%2F2NPT+R12%2B+Drophead%2C+1-1%2F2%22+NPT&amp;qid=1695174267&amp;sr=8-1-fkmr1")</f>
        <v>https://www.amazon.com/Reed-Tool-DHR12-4NPT-Drophead/dp/B000ZH6R3M/ref=sr_1_fkmr1_1?keywords=Reed+Mfg+DHR12+1+1%2F2NPT+R12%2B+Drophead%2C+1-1%2F2%22+NPT&amp;qid=1695174267&amp;sr=8-1-fkmr1</v>
      </c>
      <c r="F6730" t="s">
        <v>5251</v>
      </c>
      <c r="G6730" t="e">
        <f ca="1">_xludf.IMAGE("https://edmondsonsupply.com/cdn/shop/products/57_1_43919434-23d1-4a38-ae34-862e7aaca453.jpg?v=1633031013")</f>
        <v>#NAME?</v>
      </c>
      <c r="H6730" t="e">
        <f ca="1">_xludf.IMAGE("https://m.media-amazon.com/images/I/51I4FIWUu7L._AC_UY218_.jpg")</f>
        <v>#NAME?</v>
      </c>
      <c r="I6730" t="s">
        <v>7848</v>
      </c>
      <c r="J6730">
        <v>125.3</v>
      </c>
      <c r="K6730" s="4">
        <v>-0.26600000000000001</v>
      </c>
      <c r="L6730">
        <v>1</v>
      </c>
      <c r="M6730">
        <v>1</v>
      </c>
      <c r="O6730" t="s">
        <v>25</v>
      </c>
      <c r="P6730" t="s">
        <v>7849</v>
      </c>
      <c r="Q6730" t="s">
        <v>7850</v>
      </c>
    </row>
    <row r="6731" spans="1:17" ht="15.5" x14ac:dyDescent="0.35">
      <c r="A6731"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6731"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6731" t="s">
        <v>8022</v>
      </c>
      <c r="D6731" t="s">
        <v>8880</v>
      </c>
      <c r="E6731" s="3" t="str">
        <f>HYPERLINK("https://www.amazon.com/Tamperproof-Screwdriver-Klein-Tools-32525/dp/B0015S4JRG/ref=sr_1_4?keywords=Klein+Tools+32510+Magnetic+Screwdriver+with+32+Tamperproof+Bits&amp;qid=1695174211&amp;sr=8-4", "https://www.amazon.com/Tamperproof-Screwdriver-Klein-Tools-32525/dp/B0015S4JRG/ref=sr_1_4?keywords=Klein+Tools+32510+Magnetic+Screwdriver+with+32+Tamperproof+Bits&amp;qid=1695174211&amp;sr=8-4")</f>
        <v>https://www.amazon.com/Tamperproof-Screwdriver-Klein-Tools-32525/dp/B0015S4JRG/ref=sr_1_4?keywords=Klein+Tools+32510+Magnetic+Screwdriver+with+32+Tamperproof+Bits&amp;qid=1695174211&amp;sr=8-4</v>
      </c>
      <c r="F6731" t="s">
        <v>8881</v>
      </c>
      <c r="G6731" t="e">
        <f ca="1">_xludf.IMAGE("https://edmondsonsupply.com/cdn/shop/products/32510_alt2.jpg?v=1653267434")</f>
        <v>#NAME?</v>
      </c>
      <c r="H6731" t="e">
        <f ca="1">_xludf.IMAGE("https://m.media-amazon.com/images/I/61wuklUkIbL._AC_UL320_.jpg")</f>
        <v>#NAME?</v>
      </c>
      <c r="I6731" t="s">
        <v>824</v>
      </c>
      <c r="J6731">
        <v>21.99</v>
      </c>
      <c r="K6731" s="4">
        <v>-0.26629999999999998</v>
      </c>
      <c r="L6731">
        <v>4.7</v>
      </c>
      <c r="M6731">
        <v>649</v>
      </c>
      <c r="O6731" t="s">
        <v>25</v>
      </c>
      <c r="P6731" t="s">
        <v>8025</v>
      </c>
      <c r="Q6731" t="s">
        <v>8026</v>
      </c>
    </row>
    <row r="6732" spans="1:17" ht="15.5" x14ac:dyDescent="0.35">
      <c r="A6732"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6732"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6732" t="s">
        <v>8452</v>
      </c>
      <c r="D6732" t="s">
        <v>5914</v>
      </c>
      <c r="E6732" s="3" t="str">
        <f>HYPERLINK("https://www.amazon.com/Diablo-Universal-Carbide-Oscillating-General/dp/B089LHJYGQ/ref=sr_1_1?keywords=Diablo+Tools+DOU275RCGP+2-3%2F4+in.+Universal+Fit+Carbide+Oscillating+Blade+for+General+Purpose+Cuts&amp;qid=1695174011&amp;sr=8-1", "https://www.amazon.com/Diablo-Universal-Carbide-Oscillating-General/dp/B089LHJYGQ/ref=sr_1_1?keywords=Diablo+Tools+DOU275RCGP+2-3%2F4+in.+Universal+Fit+Carbide+Oscillating+Blade+for+General+Purpose+Cuts&amp;qid=1695174011&amp;sr=8-1")</f>
        <v>https://www.amazon.com/Diablo-Universal-Carbide-Oscillating-General/dp/B089LHJYGQ/ref=sr_1_1?keywords=Diablo+Tools+DOU275RCGP+2-3%2F4+in.+Universal+Fit+Carbide+Oscillating+Blade+for+General+Purpose+Cuts&amp;qid=1695174011&amp;sr=8-1</v>
      </c>
      <c r="F6732" t="s">
        <v>5915</v>
      </c>
      <c r="G6732" t="e">
        <f ca="1">_xludf.IMAGE("https://edmondsonsupply.com/cdn/shop/files/kukkli8nylq54bgtz0o5.webp?v=1685720266")</f>
        <v>#NAME?</v>
      </c>
      <c r="H6732" t="e">
        <f ca="1">_xludf.IMAGE("https://m.media-amazon.com/images/I/71wZoc77rAL._AC_UL320_.jpg")</f>
        <v>#NAME?</v>
      </c>
      <c r="I6732" t="s">
        <v>824</v>
      </c>
      <c r="J6732">
        <v>21.95</v>
      </c>
      <c r="K6732" s="4">
        <v>-0.2676</v>
      </c>
      <c r="L6732">
        <v>4.5</v>
      </c>
      <c r="M6732">
        <v>30</v>
      </c>
      <c r="O6732" t="s">
        <v>25</v>
      </c>
      <c r="P6732" t="s">
        <v>8453</v>
      </c>
      <c r="Q6732" t="s">
        <v>8454</v>
      </c>
    </row>
    <row r="6733" spans="1:17" ht="15.5" x14ac:dyDescent="0.35">
      <c r="A6733" s="3" t="str">
        <f>HYPERLINK("https://edmondsonsupply.com/collections/electricians-tools/products/channellock-tool-roll-6lc-6pc-little-champ%C2%AEtool-roll", "https://edmondsonsupply.com/collections/electricians-tools/products/channellock-tool-roll-6lc-6pc-little-champ%C2%AEtool-roll")</f>
        <v>https://edmondsonsupply.com/collections/electricians-tools/products/channellock-tool-roll-6lc-6pc-little-champ%C2%AEtool-roll</v>
      </c>
      <c r="B6733" s="3" t="str">
        <f>HYPERLINK("https://edmondsonsupply.com/products/channellock-tool-roll-6lc-6pc-little-champ%c2%aetool-roll", "https://edmondsonsupply.com/products/channellock-tool-roll-6lc-6pc-little-champ%c2%aetool-roll")</f>
        <v>https://edmondsonsupply.com/products/channellock-tool-roll-6lc-6pc-little-champ%c2%aetool-roll</v>
      </c>
      <c r="C6733" t="s">
        <v>5382</v>
      </c>
      <c r="D6733" t="s">
        <v>5383</v>
      </c>
      <c r="E6733" s="3" t="str">
        <f>HYPERLINK("https://www.amazon.com/Channellock-GP-7-Blue-Tool-Roll/dp/B0029PENOI/ref=sr_1_1?keywords=Channellock+Tool+Roll-6LC+6pc+LITTLE+CHAMP%C2%AETool+Set+with+Tool+Roll&amp;qid=1695173861&amp;sr=8-1", "https://www.amazon.com/Channellock-GP-7-Blue-Tool-Roll/dp/B0029PENOI/ref=sr_1_1?keywords=Channellock+Tool+Roll-6LC+6pc+LITTLE+CHAMP%C2%AETool+Set+with+Tool+Roll&amp;qid=1695173861&amp;sr=8-1")</f>
        <v>https://www.amazon.com/Channellock-GP-7-Blue-Tool-Roll/dp/B0029PENOI/ref=sr_1_1?keywords=Channellock+Tool+Roll-6LC+6pc+LITTLE+CHAMP%C2%AETool+Set+with+Tool+Roll&amp;qid=1695173861&amp;sr=8-1</v>
      </c>
      <c r="F6733" t="s">
        <v>5384</v>
      </c>
      <c r="G6733" t="e">
        <f ca="1">_xludf.IMAGE("https://edmondsonsupply.com/cdn/shop/products/TOOL-ROLL-6LC-6PC.jpg?v=1633030531")</f>
        <v>#NAME?</v>
      </c>
      <c r="H6733" t="e">
        <f ca="1">_xludf.IMAGE("https://m.media-amazon.com/images/I/81Fq+rjCiOL._AC_UL320_.jpg")</f>
        <v>#NAME?</v>
      </c>
      <c r="I6733" t="s">
        <v>5385</v>
      </c>
      <c r="J6733">
        <v>94.95</v>
      </c>
      <c r="K6733" s="4">
        <v>-0.26929999999999998</v>
      </c>
      <c r="L6733">
        <v>4.5</v>
      </c>
      <c r="M6733">
        <v>38</v>
      </c>
      <c r="O6733" t="s">
        <v>171</v>
      </c>
      <c r="P6733" t="s">
        <v>5386</v>
      </c>
      <c r="Q6733" t="s">
        <v>5387</v>
      </c>
    </row>
    <row r="6734" spans="1:17" ht="15.5" x14ac:dyDescent="0.35">
      <c r="A6734" s="3" t="str">
        <f>HYPERLINK("https://edmondsonsupply.com/collections/electricians-tools/products/milwaukee-2729-20-m18-fuel%E2%84%A2-deep-cut-band-saw-tool-only", "https://edmondsonsupply.com/collections/electricians-tools/products/milwaukee-2729-20-m18-fuel%E2%84%A2-deep-cut-band-saw-tool-only")</f>
        <v>https://edmondsonsupply.com/collections/electricians-tools/products/milwaukee-2729-20-m18-fuel%E2%84%A2-deep-cut-band-saw-tool-only</v>
      </c>
      <c r="B6734" s="3" t="str">
        <f>HYPERLINK("https://edmondsonsupply.com/products/milwaukee-2729-20-m18-fuel%e2%84%a2-deep-cut-band-saw-tool-only", "https://edmondsonsupply.com/products/milwaukee-2729-20-m18-fuel%e2%84%a2-deep-cut-band-saw-tool-only")</f>
        <v>https://edmondsonsupply.com/products/milwaukee-2729-20-m18-fuel%e2%84%a2-deep-cut-band-saw-tool-only</v>
      </c>
      <c r="C6734" t="s">
        <v>8829</v>
      </c>
      <c r="D6734" t="s">
        <v>8882</v>
      </c>
      <c r="E6734" s="3" t="str">
        <f>HYPERLINK("https://www.amazon.com/Milwaukee-2729-20-FUEL-Deep-Model/dp/B013P2ZGK8/ref=sr_1_2?keywords=Milwaukee+2729-20+M18+FUEL%E2%84%A2+Deep+Cut+Band+Saw+%28Tool+Only%29&amp;qid=1695173876&amp;sr=8-2", "https://www.amazon.com/Milwaukee-2729-20-FUEL-Deep-Model/dp/B013P2ZGK8/ref=sr_1_2?keywords=Milwaukee+2729-20+M18+FUEL%E2%84%A2+Deep+Cut+Band+Saw+%28Tool+Only%29&amp;qid=1695173876&amp;sr=8-2")</f>
        <v>https://www.amazon.com/Milwaukee-2729-20-FUEL-Deep-Model/dp/B013P2ZGK8/ref=sr_1_2?keywords=Milwaukee+2729-20+M18+FUEL%E2%84%A2+Deep+Cut+Band+Saw+%28Tool+Only%29&amp;qid=1695173876&amp;sr=8-2</v>
      </c>
      <c r="F6734" t="s">
        <v>8883</v>
      </c>
      <c r="G6734" t="e">
        <f ca="1">_xludf.IMAGE("https://edmondsonsupply.com/cdn/shop/products/2729-20_1.webp?v=1661700605")</f>
        <v>#NAME?</v>
      </c>
      <c r="H6734" t="e">
        <f ca="1">_xludf.IMAGE("https://m.media-amazon.com/images/I/51VhcKqlfwL._AC_UL320_.jpg")</f>
        <v>#NAME?</v>
      </c>
      <c r="I6734" t="s">
        <v>8297</v>
      </c>
      <c r="J6734">
        <v>276.85000000000002</v>
      </c>
      <c r="K6734" s="4">
        <v>-0.26950000000000002</v>
      </c>
      <c r="L6734">
        <v>4.8</v>
      </c>
      <c r="M6734">
        <v>446</v>
      </c>
      <c r="O6734" t="s">
        <v>25</v>
      </c>
      <c r="P6734" t="s">
        <v>5031</v>
      </c>
      <c r="Q6734" t="s">
        <v>8832</v>
      </c>
    </row>
    <row r="6735" spans="1:17" ht="15.5" x14ac:dyDescent="0.35">
      <c r="A6735"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735"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735" t="s">
        <v>2903</v>
      </c>
      <c r="D6735" t="s">
        <v>5388</v>
      </c>
      <c r="E6735" s="3" t="str">
        <f>HYPERLINK("https://www.amazon.com/Diablo-DMAPL4310-SDS-Plus-4-Cutter-Carbide/dp/B089KX2VKR/ref=sr_1_9?keywords=Diablo+Tools+DMAMX1300+1-1%2F4+in.+x+16+in.+x+21+in.+Rebar+Demon%E2%84%A2+SDS-Max+4-Cutter+Full+Carbide+Head+Hammer+Drill+Bit&amp;qid=1695173871&amp;sr=8-9", "https://www.amazon.com/Diablo-DMAPL4310-SDS-Plus-4-Cutter-Carbide/dp/B089KX2VKR/ref=sr_1_9?keywords=Diablo+Tools+DMAMX1300+1-1%2F4+in.+x+16+in.+x+21+in.+Rebar+Demon%E2%84%A2+SDS-Max+4-Cutter+Full+Carbide+Head+Hammer+Drill+Bit&amp;qid=1695173871&amp;sr=8-9")</f>
        <v>https://www.amazon.com/Diablo-DMAPL4310-SDS-Plus-4-Cutter-Carbide/dp/B089KX2VKR/ref=sr_1_9?keywords=Diablo+Tools+DMAMX1300+1-1%2F4+in.+x+16+in.+x+21+in.+Rebar+Demon%E2%84%A2+SDS-Max+4-Cutter+Full+Carbide+Head+Hammer+Drill+Bit&amp;qid=1695173871&amp;sr=8-9</v>
      </c>
      <c r="F6735" t="s">
        <v>5389</v>
      </c>
      <c r="G6735" t="e">
        <f ca="1">_xludf.IMAGE("https://edmondsonsupply.com/cdn/shop/files/immoyh7jjmbau4fzhuq6_7dd7fd73-2865-4c12-9443-da45b48dbd51.webp?v=1685465465")</f>
        <v>#NAME?</v>
      </c>
      <c r="H6735" t="e">
        <f ca="1">_xludf.IMAGE("https://m.media-amazon.com/images/I/61iwxfqG2VL._AC_UL320_.jpg")</f>
        <v>#NAME?</v>
      </c>
      <c r="I6735" t="s">
        <v>2906</v>
      </c>
      <c r="J6735">
        <v>48.49</v>
      </c>
      <c r="K6735" s="4">
        <v>-0.2697</v>
      </c>
      <c r="L6735">
        <v>4.5</v>
      </c>
      <c r="M6735">
        <v>32</v>
      </c>
      <c r="O6735" t="s">
        <v>171</v>
      </c>
      <c r="P6735" t="s">
        <v>2907</v>
      </c>
      <c r="Q6735" t="s">
        <v>2908</v>
      </c>
    </row>
    <row r="6736" spans="1:17" ht="15.5" x14ac:dyDescent="0.35">
      <c r="A6736"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6736" s="3" t="str">
        <f>HYPERLINK("https://edmondsonsupply.com/products/fluke-373-true-rms-ac-clamp-meter", "https://edmondsonsupply.com/products/fluke-373-true-rms-ac-clamp-meter")</f>
        <v>https://edmondsonsupply.com/products/fluke-373-true-rms-ac-clamp-meter</v>
      </c>
      <c r="C6736" t="s">
        <v>5826</v>
      </c>
      <c r="D6736" t="s">
        <v>5951</v>
      </c>
      <c r="E6736" s="3" t="str">
        <f>HYPERLINK("https://www.amazon.com/Fluke-324-Temperature-Capacitance-Measurements/dp/B009AZ0TXE/ref=sr_1_2?keywords=Fluke+373+True-RMS+AC+Clamp+Meter&amp;qid=1695173996&amp;sr=8-2", "https://www.amazon.com/Fluke-324-Temperature-Capacitance-Measurements/dp/B009AZ0TXE/ref=sr_1_2?keywords=Fluke+373+True-RMS+AC+Clamp+Meter&amp;qid=1695173996&amp;sr=8-2")</f>
        <v>https://www.amazon.com/Fluke-324-Temperature-Capacitance-Measurements/dp/B009AZ0TXE/ref=sr_1_2?keywords=Fluke+373+True-RMS+AC+Clamp+Meter&amp;qid=1695173996&amp;sr=8-2</v>
      </c>
      <c r="F6736" t="s">
        <v>5952</v>
      </c>
      <c r="G6736" t="e">
        <f ca="1">_xludf.IMAGE("https://edmondsonsupply.com/cdn/shop/files/f-373-01d-1500x1000.webp?v=1689369435")</f>
        <v>#NAME?</v>
      </c>
      <c r="H6736" t="e">
        <f ca="1">_xludf.IMAGE("https://m.media-amazon.com/images/I/51R3UJ4M4OL._AC_UY218_.jpg")</f>
        <v>#NAME?</v>
      </c>
      <c r="I6736" t="s">
        <v>5829</v>
      </c>
      <c r="J6736">
        <v>211.68</v>
      </c>
      <c r="K6736" s="4">
        <v>-0.2702</v>
      </c>
      <c r="L6736">
        <v>4.7</v>
      </c>
      <c r="M6736">
        <v>1254</v>
      </c>
      <c r="O6736" t="s">
        <v>25</v>
      </c>
      <c r="P6736" t="s">
        <v>138</v>
      </c>
      <c r="Q6736" t="s">
        <v>5830</v>
      </c>
    </row>
    <row r="6737" spans="1:17" ht="15.5" x14ac:dyDescent="0.35">
      <c r="A6737"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6737"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6737" t="s">
        <v>8522</v>
      </c>
      <c r="D6737" t="s">
        <v>5938</v>
      </c>
      <c r="E6737" s="3" t="str">
        <f>HYPERLINK("https://www.amazon.com/Diablo-Universal-Bi-Metal-Blades-Nail-Embedded/dp/B089KW2WVD/ref=sr_1_5?keywords=Diablo+Tools+DOU125BF3+1-1%2F4+in.+Universal+Fit+Bi-Metal+Oscillating+Blade+for+Metal+%283+pack%29&amp;qid=1695174014&amp;sr=8-5", "https://www.amazon.com/Diablo-Universal-Bi-Metal-Blades-Nail-Embedded/dp/B089KW2WVD/ref=sr_1_5?keywords=Diablo+Tools+DOU125BF3+1-1%2F4+in.+Universal+Fit+Bi-Metal+Oscillating+Blade+for+Metal+%283+pack%29&amp;qid=1695174014&amp;sr=8-5")</f>
        <v>https://www.amazon.com/Diablo-Universal-Bi-Metal-Blades-Nail-Embedded/dp/B089KW2WVD/ref=sr_1_5?keywords=Diablo+Tools+DOU125BF3+1-1%2F4+in.+Universal+Fit+Bi-Metal+Oscillating+Blade+for+Metal+%283+pack%29&amp;qid=1695174014&amp;sr=8-5</v>
      </c>
      <c r="F6737" t="s">
        <v>5939</v>
      </c>
      <c r="G6737" t="e">
        <f ca="1">_xludf.IMAGE("https://edmondsonsupply.com/cdn/shop/files/k1d1qiwmm4npznsdbwtg_4dc7bdf3-43a4-4863-8a1d-f71b60bc7c6d.webp?v=1685468179")</f>
        <v>#NAME?</v>
      </c>
      <c r="H6737" t="e">
        <f ca="1">_xludf.IMAGE("https://m.media-amazon.com/images/I/613ig7mNjfL._AC_UL320_.jpg")</f>
        <v>#NAME?</v>
      </c>
      <c r="I6737" t="s">
        <v>340</v>
      </c>
      <c r="J6737">
        <v>25.49</v>
      </c>
      <c r="K6737" s="4">
        <v>-0.27110000000000001</v>
      </c>
      <c r="L6737">
        <v>4.5999999999999996</v>
      </c>
      <c r="M6737">
        <v>148</v>
      </c>
      <c r="O6737" t="s">
        <v>25</v>
      </c>
      <c r="P6737" t="s">
        <v>8520</v>
      </c>
      <c r="Q6737" t="s">
        <v>8523</v>
      </c>
    </row>
    <row r="6738" spans="1:17" ht="15.5" x14ac:dyDescent="0.35">
      <c r="A6738"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6738"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6738" t="s">
        <v>8776</v>
      </c>
      <c r="D6738" t="s">
        <v>5938</v>
      </c>
      <c r="E6738" s="3" t="str">
        <f>HYPERLINK("https://www.amazon.com/Diablo-Universal-Bi-Metal-Blades-Nail-Embedded/dp/B089KW2WVD/ref=sr_1_3?keywords=Diablo+Tools+DOS125BW3+1-1%2F4+in.+Starlock+Bi-Metal+Oscillating+Blades+for+Nail-Embedded+Wood&amp;qid=1695174253&amp;sr=8-3", "https://www.amazon.com/Diablo-Universal-Bi-Metal-Blades-Nail-Embedded/dp/B089KW2WVD/ref=sr_1_3?keywords=Diablo+Tools+DOS125BW3+1-1%2F4+in.+Starlock+Bi-Metal+Oscillating+Blades+for+Nail-Embedded+Wood&amp;qid=1695174253&amp;sr=8-3")</f>
        <v>https://www.amazon.com/Diablo-Universal-Bi-Metal-Blades-Nail-Embedded/dp/B089KW2WVD/ref=sr_1_3?keywords=Diablo+Tools+DOS125BW3+1-1%2F4+in.+Starlock+Bi-Metal+Oscillating+Blades+for+Nail-Embedded+Wood&amp;qid=1695174253&amp;sr=8-3</v>
      </c>
      <c r="F6738" t="s">
        <v>5939</v>
      </c>
      <c r="G6738" t="e">
        <f ca="1">_xludf.IMAGE("https://edmondsonsupply.com/cdn/shop/products/DOS125BW3_Main-Image.png?v=1633031100")</f>
        <v>#NAME?</v>
      </c>
      <c r="H6738" t="e">
        <f ca="1">_xludf.IMAGE("https://m.media-amazon.com/images/I/613ig7mNjfL._AC_UL320_.jpg")</f>
        <v>#NAME?</v>
      </c>
      <c r="I6738" t="s">
        <v>340</v>
      </c>
      <c r="J6738">
        <v>25.49</v>
      </c>
      <c r="K6738" s="4">
        <v>-0.27110000000000001</v>
      </c>
      <c r="L6738">
        <v>4.5999999999999996</v>
      </c>
      <c r="M6738">
        <v>148</v>
      </c>
      <c r="O6738" t="s">
        <v>25</v>
      </c>
      <c r="P6738" t="s">
        <v>8777</v>
      </c>
      <c r="Q6738" t="s">
        <v>8778</v>
      </c>
    </row>
    <row r="6739" spans="1:17" ht="15.5" x14ac:dyDescent="0.35">
      <c r="A6739"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6739"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6739" t="s">
        <v>8519</v>
      </c>
      <c r="D6739" t="s">
        <v>5938</v>
      </c>
      <c r="E6739" s="3" t="str">
        <f>HYPERLINK("https://www.amazon.com/Diablo-Universal-Bi-Metal-Blades-Nail-Embedded/dp/B089KW2WVD/ref=sr_1_5?keywords=Diablo+Tools+DOU125JBW3+1-1%2F4+in.+Universal+Fit+Bi-Metal+Oscillating+Blades+for+Clean+Wood&amp;qid=1695174271&amp;sr=8-5", "https://www.amazon.com/Diablo-Universal-Bi-Metal-Blades-Nail-Embedded/dp/B089KW2WVD/ref=sr_1_5?keywords=Diablo+Tools+DOU125JBW3+1-1%2F4+in.+Universal+Fit+Bi-Metal+Oscillating+Blades+for+Clean+Wood&amp;qid=1695174271&amp;sr=8-5")</f>
        <v>https://www.amazon.com/Diablo-Universal-Bi-Metal-Blades-Nail-Embedded/dp/B089KW2WVD/ref=sr_1_5?keywords=Diablo+Tools+DOU125JBW3+1-1%2F4+in.+Universal+Fit+Bi-Metal+Oscillating+Blades+for+Clean+Wood&amp;qid=1695174271&amp;sr=8-5</v>
      </c>
      <c r="F6739" t="s">
        <v>5939</v>
      </c>
      <c r="G6739" t="e">
        <f ca="1">_xludf.IMAGE("https://edmondsonsupply.com/cdn/shop/products/DOU125JBW3_Main-Image.png?v=1633031095")</f>
        <v>#NAME?</v>
      </c>
      <c r="H6739" t="e">
        <f ca="1">_xludf.IMAGE("https://m.media-amazon.com/images/I/613ig7mNjfL._AC_UL320_.jpg")</f>
        <v>#NAME?</v>
      </c>
      <c r="I6739" t="s">
        <v>340</v>
      </c>
      <c r="J6739">
        <v>25.49</v>
      </c>
      <c r="K6739" s="4">
        <v>-0.27110000000000001</v>
      </c>
      <c r="L6739">
        <v>4.5999999999999996</v>
      </c>
      <c r="M6739">
        <v>148</v>
      </c>
      <c r="O6739" t="s">
        <v>25</v>
      </c>
      <c r="P6739" t="s">
        <v>8520</v>
      </c>
      <c r="Q6739" t="s">
        <v>8521</v>
      </c>
    </row>
    <row r="6740" spans="1:17" ht="15.5" x14ac:dyDescent="0.35">
      <c r="A6740"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6740" s="3" t="str">
        <f>HYPERLINK("https://edmondsonsupply.com/products/klein-tools-vaco-s10m-5-16-magnetic-nut-driver-3-hollow-shaft", "https://edmondsonsupply.com/products/klein-tools-vaco-s10m-5-16-magnetic-nut-driver-3-hollow-shaft")</f>
        <v>https://edmondsonsupply.com/products/klein-tools-vaco-s10m-5-16-magnetic-nut-driver-3-hollow-shaft</v>
      </c>
      <c r="C6740" t="s">
        <v>6468</v>
      </c>
      <c r="D6740" t="s">
        <v>5248</v>
      </c>
      <c r="E6740" s="3" t="str">
        <f>HYPERLINK("https://www.amazon.com/Magnetic-Comfordome-Klein-Tools-S8M/dp/B00093GCW8/ref=sr_1_3?keywords=Klein+Tools+S10M+5%2F16-Inch+Magnetic+Nut+Driver+3-Inch+Shaft&amp;qid=1695174019&amp;sr=8-3", "https://www.amazon.com/Magnetic-Comfordome-Klein-Tools-S8M/dp/B00093GCW8/ref=sr_1_3?keywords=Klein+Tools+S10M+5%2F16-Inch+Magnetic+Nut+Driver+3-Inch+Shaft&amp;qid=1695174019&amp;sr=8-3")</f>
        <v>https://www.amazon.com/Magnetic-Comfordome-Klein-Tools-S8M/dp/B00093GCW8/ref=sr_1_3?keywords=Klein+Tools+S10M+5%2F16-Inch+Magnetic+Nut+Driver+3-Inch+Shaft&amp;qid=1695174019&amp;sr=8-3</v>
      </c>
      <c r="F6740" t="s">
        <v>5249</v>
      </c>
      <c r="G6740" t="e">
        <f ca="1">_xludf.IMAGE("https://edmondsonsupply.com/cdn/shop/products/s10m_alt2.jpg?v=1587143022")</f>
        <v>#NAME?</v>
      </c>
      <c r="H6740" t="e">
        <f ca="1">_xludf.IMAGE("https://m.media-amazon.com/images/I/31hOuSIKl7L._AC_UL320_.jpg")</f>
        <v>#NAME?</v>
      </c>
      <c r="I6740" t="s">
        <v>2577</v>
      </c>
      <c r="J6740">
        <v>7.28</v>
      </c>
      <c r="K6740" s="4">
        <v>-0.27129999999999999</v>
      </c>
      <c r="L6740">
        <v>3.8</v>
      </c>
      <c r="M6740">
        <v>8</v>
      </c>
      <c r="O6740" t="s">
        <v>25</v>
      </c>
      <c r="P6740" t="s">
        <v>6469</v>
      </c>
      <c r="Q6740" t="s">
        <v>6470</v>
      </c>
    </row>
    <row r="6741" spans="1:17" ht="15.5" x14ac:dyDescent="0.35">
      <c r="A6741" s="3" t="str">
        <f>HYPERLINK("https://edmondsonsupply.com/collections/electricians-tools/products/diablo-tools-dou125cf3-1-1-4-universal-fit-carbide-oscillating-blades-for-metal", "https://edmondsonsupply.com/collections/electricians-tools/products/diablo-tools-dou125cf3-1-1-4-universal-fit-carbide-oscillating-blades-for-metal")</f>
        <v>https://edmondsonsupply.com/collections/electricians-tools/products/diablo-tools-dou125cf3-1-1-4-universal-fit-carbide-oscillating-blades-for-metal</v>
      </c>
      <c r="B6741" s="3" t="str">
        <f>HYPERLINK("https://edmondsonsupply.com/products/diablo-tools-dou125cf3-1-1-4-universal-fit-carbide-oscillating-blades-for-metal", "https://edmondsonsupply.com/products/diablo-tools-dou125cf3-1-1-4-universal-fit-carbide-oscillating-blades-for-metal")</f>
        <v>https://edmondsonsupply.com/products/diablo-tools-dou125cf3-1-1-4-universal-fit-carbide-oscillating-blades-for-metal</v>
      </c>
      <c r="C6741" t="s">
        <v>8884</v>
      </c>
      <c r="D6741" t="s">
        <v>6941</v>
      </c>
      <c r="E6741" s="3" t="str">
        <f>HYPERLINK("https://www.amazon.com/Diablo-Freud-DOU125CF3-Universal-Oscillating/dp/B089LKXD7L/ref=sr_1_1?keywords=Diablo+Tools+DOU125CF3+1-1%2F4%22+Universal+Fit+Carbide+Oscillating+Blades+for+Metal&amp;qid=1695174254&amp;sr=8-1", "https://www.amazon.com/Diablo-Freud-DOU125CF3-Universal-Oscillating/dp/B089LKXD7L/ref=sr_1_1?keywords=Diablo+Tools+DOU125CF3+1-1%2F4%22+Universal+Fit+Carbide+Oscillating+Blades+for+Metal&amp;qid=1695174254&amp;sr=8-1")</f>
        <v>https://www.amazon.com/Diablo-Freud-DOU125CF3-Universal-Oscillating/dp/B089LKXD7L/ref=sr_1_1?keywords=Diablo+Tools+DOU125CF3+1-1%2F4%22+Universal+Fit+Carbide+Oscillating+Blades+for+Metal&amp;qid=1695174254&amp;sr=8-1</v>
      </c>
      <c r="F6741" t="s">
        <v>6942</v>
      </c>
      <c r="G6741" t="e">
        <f ca="1">_xludf.IMAGE("https://edmondsonsupply.com/cdn/shop/products/DOU125CF3_Main-Image.png?v=1633031100")</f>
        <v>#NAME?</v>
      </c>
      <c r="H6741" t="e">
        <f ca="1">_xludf.IMAGE("https://m.media-amazon.com/images/I/71izb0UUOkL._AC_UL320_.jpg")</f>
        <v>#NAME?</v>
      </c>
      <c r="I6741" t="s">
        <v>8885</v>
      </c>
      <c r="J6741">
        <v>32</v>
      </c>
      <c r="K6741" s="4">
        <v>-0.2722</v>
      </c>
      <c r="L6741">
        <v>4.5</v>
      </c>
      <c r="M6741">
        <v>164</v>
      </c>
      <c r="O6741" t="s">
        <v>25</v>
      </c>
      <c r="P6741" t="s">
        <v>1876</v>
      </c>
      <c r="Q6741" t="s">
        <v>8886</v>
      </c>
    </row>
    <row r="6742" spans="1:17" ht="15.5" x14ac:dyDescent="0.35">
      <c r="A6742"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6742" s="3" t="str">
        <f>HYPERLINK("https://edmondsonsupply.com/products/klein-tools-12098-eins-combination-pliers-insulated", "https://edmondsonsupply.com/products/klein-tools-12098-eins-combination-pliers-insulated")</f>
        <v>https://edmondsonsupply.com/products/klein-tools-12098-eins-combination-pliers-insulated</v>
      </c>
      <c r="C6742" t="s">
        <v>8623</v>
      </c>
      <c r="D6742" t="s">
        <v>5320</v>
      </c>
      <c r="E6742" s="3" t="str">
        <f>HYPERLINK("https://www.amazon.com/Klein-Tools-200028EINS-Electricians-Insulated/dp/B00JGG5P86/ref=sr_1_5?keywords=Klein+Tools+12098-EINS+Combination+Pliers%2C+Insulated&amp;qid=1695174273&amp;sr=8-5", "https://www.amazon.com/Klein-Tools-200028EINS-Electricians-Insulated/dp/B00JGG5P86/ref=sr_1_5?keywords=Klein+Tools+12098-EINS+Combination+Pliers%2C+Insulated&amp;qid=1695174273&amp;sr=8-5")</f>
        <v>https://www.amazon.com/Klein-Tools-200028EINS-Electricians-Insulated/dp/B00JGG5P86/ref=sr_1_5?keywords=Klein+Tools+12098-EINS+Combination+Pliers%2C+Insulated&amp;qid=1695174273&amp;sr=8-5</v>
      </c>
      <c r="F6742" t="s">
        <v>5321</v>
      </c>
      <c r="G6742" t="e">
        <f ca="1">_xludf.IMAGE("https://edmondsonsupply.com/cdn/shop/products/12098eins.jpg?v=1633031039")</f>
        <v>#NAME?</v>
      </c>
      <c r="H6742" t="e">
        <f ca="1">_xludf.IMAGE("https://m.media-amazon.com/images/I/51cA-etI6LL._AC_UL320_.jpg")</f>
        <v>#NAME?</v>
      </c>
      <c r="I6742" t="s">
        <v>320</v>
      </c>
      <c r="J6742">
        <v>54.55</v>
      </c>
      <c r="K6742" s="4">
        <v>-0.27260000000000001</v>
      </c>
      <c r="L6742">
        <v>4.4000000000000004</v>
      </c>
      <c r="M6742">
        <v>68</v>
      </c>
      <c r="O6742" t="s">
        <v>25</v>
      </c>
      <c r="P6742" t="s">
        <v>8624</v>
      </c>
      <c r="Q6742" t="s">
        <v>8625</v>
      </c>
    </row>
    <row r="6743" spans="1:17" ht="15.5" x14ac:dyDescent="0.35">
      <c r="A6743"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6743" s="3" t="str">
        <f>HYPERLINK("https://edmondsonsupply.com/products/klein-tools-j20017ne-heavy-duty-linemans-pliers-7-inch", "https://edmondsonsupply.com/products/klein-tools-j20017ne-heavy-duty-linemans-pliers-7-inch")</f>
        <v>https://edmondsonsupply.com/products/klein-tools-j20017ne-heavy-duty-linemans-pliers-7-inch</v>
      </c>
      <c r="C6743" t="s">
        <v>8097</v>
      </c>
      <c r="D6743" t="s">
        <v>8887</v>
      </c>
      <c r="E6743" s="3" t="str">
        <f>HYPERLINK("https://www.amazon.com/Ironworker-Cutters-Klein-Tools-D201-7CST/dp/B0000302WO/ref=sr_1_8?keywords=Klein+Tools+J20017NE+Heavy-Duty+Lineman%27s+Pliers%2C+7-Inch&amp;qid=1695174165&amp;sr=8-8", "https://www.amazon.com/Ironworker-Cutters-Klein-Tools-D201-7CST/dp/B0000302WO/ref=sr_1_8?keywords=Klein+Tools+J20017NE+Heavy-Duty+Lineman%27s+Pliers%2C+7-Inch&amp;qid=1695174165&amp;sr=8-8")</f>
        <v>https://www.amazon.com/Ironworker-Cutters-Klein-Tools-D201-7CST/dp/B0000302WO/ref=sr_1_8?keywords=Klein+Tools+J20017NE+Heavy-Duty+Lineman%27s+Pliers%2C+7-Inch&amp;qid=1695174165&amp;sr=8-8</v>
      </c>
      <c r="F6743" t="s">
        <v>8888</v>
      </c>
      <c r="G6743" t="e">
        <f ca="1">_xludf.IMAGE("https://edmondsonsupply.com/cdn/shop/products/j20017ne.jpg?v=1662669673")</f>
        <v>#NAME?</v>
      </c>
      <c r="H6743" t="e">
        <f ca="1">_xludf.IMAGE("https://m.media-amazon.com/images/I/41zFQhOjmsL._AC_UL320_.jpg")</f>
        <v>#NAME?</v>
      </c>
      <c r="I6743" t="s">
        <v>269</v>
      </c>
      <c r="J6743">
        <v>39.99</v>
      </c>
      <c r="K6743" s="4">
        <v>-0.27279999999999999</v>
      </c>
      <c r="L6743">
        <v>4.5999999999999996</v>
      </c>
      <c r="M6743">
        <v>534</v>
      </c>
      <c r="O6743" t="s">
        <v>25</v>
      </c>
      <c r="P6743" t="s">
        <v>8100</v>
      </c>
      <c r="Q6743" t="s">
        <v>8101</v>
      </c>
    </row>
    <row r="6744" spans="1:17" ht="15.5" x14ac:dyDescent="0.35">
      <c r="A6744"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6744"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6744" t="s">
        <v>5906</v>
      </c>
      <c r="D6744" t="s">
        <v>5900</v>
      </c>
      <c r="E6744" s="3" t="str">
        <f>HYPERLINK("https://www.amazon.com/Diablo-DMAMXCC5030-SDS-Max-Carbide-Tipped/dp/B089M8K3HG/ref=sr_1_2?keywords=Diablo+Tools+DMAMXCC5050+4+in.+x+7+in.+SDS-Max+Carbide+Tipped+Core+Bit&amp;qid=1695174004&amp;sr=8-2", "https://www.amazon.com/Diablo-DMAMXCC5030-SDS-Max-Carbide-Tipped/dp/B089M8K3HG/ref=sr_1_2?keywords=Diablo+Tools+DMAMXCC5050+4+in.+x+7+in.+SDS-Max+Carbide+Tipped+Core+Bit&amp;qid=1695174004&amp;sr=8-2")</f>
        <v>https://www.amazon.com/Diablo-DMAMXCC5030-SDS-Max-Carbide-Tipped/dp/B089M8K3HG/ref=sr_1_2?keywords=Diablo+Tools+DMAMXCC5050+4+in.+x+7+in.+SDS-Max+Carbide+Tipped+Core+Bit&amp;qid=1695174004&amp;sr=8-2</v>
      </c>
      <c r="F6744" t="s">
        <v>5901</v>
      </c>
      <c r="G6744" t="e">
        <f ca="1">_xludf.IMAGE("https://edmondsonsupply.com/cdn/shop/files/yghx7uqdjxchri5fikny.webp?v=1686586834")</f>
        <v>#NAME?</v>
      </c>
      <c r="H6744" t="e">
        <f ca="1">_xludf.IMAGE("https://m.media-amazon.com/images/I/71U1Um--OXL._AC_UL320_.jpg")</f>
        <v>#NAME?</v>
      </c>
      <c r="I6744" t="s">
        <v>5907</v>
      </c>
      <c r="J6744">
        <v>110</v>
      </c>
      <c r="K6744" s="4">
        <v>-0.27339999999999998</v>
      </c>
      <c r="L6744">
        <v>5</v>
      </c>
      <c r="M6744">
        <v>3</v>
      </c>
      <c r="O6744" t="s">
        <v>25</v>
      </c>
      <c r="P6744" t="s">
        <v>5908</v>
      </c>
      <c r="Q6744" t="s">
        <v>5909</v>
      </c>
    </row>
    <row r="6745" spans="1:17" ht="15.5" x14ac:dyDescent="0.35">
      <c r="A6745" s="3" t="str">
        <f>HYPERLINK("https://edmondsonsupply.com/collections/electricians-tools/products/klein-tools-j2000-9netp-linemans-pliers-fish-tape-pulling-9-inch", "https://edmondsonsupply.com/collections/electricians-tools/products/klein-tools-j2000-9netp-linemans-pliers-fish-tape-pulling-9-inch")</f>
        <v>https://edmondsonsupply.com/collections/electricians-tools/products/klein-tools-j2000-9netp-linemans-pliers-fish-tape-pulling-9-inch</v>
      </c>
      <c r="B6745" s="3" t="str">
        <f>HYPERLINK("https://edmondsonsupply.com/products/klein-tools-j2000-9netp-linemans-pliers-fish-tape-pulling-9-inch", "https://edmondsonsupply.com/products/klein-tools-j2000-9netp-linemans-pliers-fish-tape-pulling-9-inch")</f>
        <v>https://edmondsonsupply.com/products/klein-tools-j2000-9netp-linemans-pliers-fish-tape-pulling-9-inch</v>
      </c>
      <c r="C6745" t="s">
        <v>8712</v>
      </c>
      <c r="D6745" t="s">
        <v>8889</v>
      </c>
      <c r="E6745" s="3" t="str">
        <f>HYPERLINK("https://www.amazon.com/Klein-Tools-D213-9NETP-Linemans-Pulling/dp/B000BOA2GC/ref=sr_1_1?keywords=Klein+Tools+J2000-9NETP+Lineman%27s+Pliers%2C+Fish+Tape+Pulling%2C+9-Inch&amp;qid=1695174247&amp;sr=8-1", "https://www.amazon.com/Klein-Tools-D213-9NETP-Linemans-Pulling/dp/B000BOA2GC/ref=sr_1_1?keywords=Klein+Tools+J2000-9NETP+Lineman%27s+Pliers%2C+Fish+Tape+Pulling%2C+9-Inch&amp;qid=1695174247&amp;sr=8-1")</f>
        <v>https://www.amazon.com/Klein-Tools-D213-9NETP-Linemans-Pulling/dp/B000BOA2GC/ref=sr_1_1?keywords=Klein+Tools+J2000-9NETP+Lineman%27s+Pliers%2C+Fish+Tape+Pulling%2C+9-Inch&amp;qid=1695174247&amp;sr=8-1</v>
      </c>
      <c r="F6745" t="s">
        <v>8890</v>
      </c>
      <c r="G6745" t="e">
        <f ca="1">_xludf.IMAGE("https://edmondsonsupply.com/cdn/shop/products/j20009netp.jpg?v=1633031134")</f>
        <v>#NAME?</v>
      </c>
      <c r="H6745" t="e">
        <f ca="1">_xludf.IMAGE("https://m.media-amazon.com/images/I/41zLHfcbp+L._AC_UL320_.jpg")</f>
        <v>#NAME?</v>
      </c>
      <c r="I6745" t="s">
        <v>269</v>
      </c>
      <c r="J6745">
        <v>39.880000000000003</v>
      </c>
      <c r="K6745" s="4">
        <v>-0.27479999999999999</v>
      </c>
      <c r="L6745">
        <v>4.8</v>
      </c>
      <c r="M6745">
        <v>4121</v>
      </c>
      <c r="O6745" t="s">
        <v>25</v>
      </c>
      <c r="P6745" t="s">
        <v>8100</v>
      </c>
      <c r="Q6745" t="s">
        <v>8715</v>
      </c>
    </row>
    <row r="6746" spans="1:17" ht="15.5" x14ac:dyDescent="0.35">
      <c r="A6746" s="3" t="str">
        <f>HYPERLINK("https://edmondsonsupply.com/collections/electricians-tools/products/veto-pro-pac-tech-pac-wheeler-backpack-tool-bag", "https://edmondsonsupply.com/collections/electricians-tools/products/veto-pro-pac-tech-pac-wheeler-backpack-tool-bag")</f>
        <v>https://edmondsonsupply.com/collections/electricians-tools/products/veto-pro-pac-tech-pac-wheeler-backpack-tool-bag</v>
      </c>
      <c r="B6746" s="3" t="str">
        <f>HYPERLINK("https://edmondsonsupply.com/products/veto-pro-pac-tech-pac-wheeler-backpack-tool-bag", "https://edmondsonsupply.com/products/veto-pro-pac-tech-pac-wheeler-backpack-tool-bag")</f>
        <v>https://edmondsonsupply.com/products/veto-pro-pac-tech-pac-wheeler-backpack-tool-bag</v>
      </c>
      <c r="C6746" t="s">
        <v>756</v>
      </c>
      <c r="D6746" t="s">
        <v>512</v>
      </c>
      <c r="E6746" s="3" t="str">
        <f>HYPERLINK("https://www.amazon.com/VETO-PRO-PAC-Tech-Pac/dp/B00WZLTCHO/ref=sr_1_3?keywords=Veto+Pro+Pac+TECH+PAC+WHEELER+Backpack+Tool+Bag&amp;qid=1695173855&amp;sr=8-3", "https://www.amazon.com/VETO-PRO-PAC-Tech-Pac/dp/B00WZLTCHO/ref=sr_1_3?keywords=Veto+Pro+Pac+TECH+PAC+WHEELER+Backpack+Tool+Bag&amp;qid=1695173855&amp;sr=8-3")</f>
        <v>https://www.amazon.com/VETO-PRO-PAC-Tech-Pac/dp/B00WZLTCHO/ref=sr_1_3?keywords=Veto+Pro+Pac+TECH+PAC+WHEELER+Backpack+Tool+Bag&amp;qid=1695173855&amp;sr=8-3</v>
      </c>
      <c r="F6746" t="s">
        <v>513</v>
      </c>
      <c r="G6746" t="e">
        <f ca="1">_xludf.IMAGE("https://edmondsonsupply.com/cdn/shop/products/01_TECH-PAC-WHEELER.jpg?v=1633031176")</f>
        <v>#NAME?</v>
      </c>
      <c r="H6746" t="e">
        <f ca="1">_xludf.IMAGE("https://m.media-amazon.com/images/I/61uz-pihn8L._AC_UL320_.jpg")</f>
        <v>#NAME?</v>
      </c>
      <c r="I6746" t="s">
        <v>42</v>
      </c>
      <c r="J6746">
        <v>289.95</v>
      </c>
      <c r="K6746" s="4">
        <v>-0.27510000000000001</v>
      </c>
      <c r="L6746">
        <v>4.7</v>
      </c>
      <c r="M6746">
        <v>285</v>
      </c>
      <c r="O6746" t="s">
        <v>25</v>
      </c>
      <c r="P6746" t="s">
        <v>138</v>
      </c>
      <c r="Q6746" t="s">
        <v>757</v>
      </c>
    </row>
    <row r="6747" spans="1:17" ht="15.5" x14ac:dyDescent="0.35">
      <c r="A6747" s="3" t="str">
        <f>HYPERLINK("https://edmondsonsupply.com/collections/electricians-tools/products/klein-tools-vaco-s10m-5-16-magnetic-nut-driver-3-hollow-shaft", "https://edmondsonsupply.com/collections/electricians-tools/products/klein-tools-vaco-s10m-5-16-magnetic-nut-driver-3-hollow-shaft")</f>
        <v>https://edmondsonsupply.com/collections/electricians-tools/products/klein-tools-vaco-s10m-5-16-magnetic-nut-driver-3-hollow-shaft</v>
      </c>
      <c r="B6747" s="3" t="str">
        <f>HYPERLINK("https://edmondsonsupply.com/products/klein-tools-vaco-s10m-5-16-magnetic-nut-driver-3-hollow-shaft", "https://edmondsonsupply.com/products/klein-tools-vaco-s10m-5-16-magnetic-nut-driver-3-hollow-shaft")</f>
        <v>https://edmondsonsupply.com/products/klein-tools-vaco-s10m-5-16-magnetic-nut-driver-3-hollow-shaft</v>
      </c>
      <c r="C6747" t="s">
        <v>6468</v>
      </c>
      <c r="D6747" t="s">
        <v>8540</v>
      </c>
      <c r="E6747" s="3" t="str">
        <f>HYPERLINK("https://www.amazon.com/16-Inch-Comfordome-Klein-Tools-S10/dp/B0000302VV/ref=sr_1_8?keywords=Klein+Tools+S10M+5%2F16-Inch+Magnetic+Nut+Driver+3-Inch+Shaft&amp;qid=1695174019&amp;sr=8-8", "https://www.amazon.com/16-Inch-Comfordome-Klein-Tools-S10/dp/B0000302VV/ref=sr_1_8?keywords=Klein+Tools+S10M+5%2F16-Inch+Magnetic+Nut+Driver+3-Inch+Shaft&amp;qid=1695174019&amp;sr=8-8")</f>
        <v>https://www.amazon.com/16-Inch-Comfordome-Klein-Tools-S10/dp/B0000302VV/ref=sr_1_8?keywords=Klein+Tools+S10M+5%2F16-Inch+Magnetic+Nut+Driver+3-Inch+Shaft&amp;qid=1695174019&amp;sr=8-8</v>
      </c>
      <c r="F6747" t="s">
        <v>8541</v>
      </c>
      <c r="G6747" t="e">
        <f ca="1">_xludf.IMAGE("https://edmondsonsupply.com/cdn/shop/products/s10m_alt2.jpg?v=1587143022")</f>
        <v>#NAME?</v>
      </c>
      <c r="H6747" t="e">
        <f ca="1">_xludf.IMAGE("https://m.media-amazon.com/images/I/41Nb5OKrySL._AC_UL320_.jpg")</f>
        <v>#NAME?</v>
      </c>
      <c r="I6747" t="s">
        <v>2577</v>
      </c>
      <c r="J6747">
        <v>7.24</v>
      </c>
      <c r="K6747" s="4">
        <v>-0.27529999999999999</v>
      </c>
      <c r="L6747">
        <v>4.5</v>
      </c>
      <c r="M6747">
        <v>225</v>
      </c>
      <c r="O6747" t="s">
        <v>25</v>
      </c>
      <c r="P6747" t="s">
        <v>6469</v>
      </c>
      <c r="Q6747" t="s">
        <v>6470</v>
      </c>
    </row>
    <row r="6748" spans="1:17" ht="15.5" x14ac:dyDescent="0.35">
      <c r="A6748" s="3" t="str">
        <f>HYPERLINK("https://edmondsonsupply.com/collections/electricians-tools/products/klein-tools-70550-pro-folding-hex-key-set-11-fractional-inch-sized-keys", "https://edmondsonsupply.com/collections/electricians-tools/products/klein-tools-70550-pro-folding-hex-key-set-11-fractional-inch-sized-keys")</f>
        <v>https://edmondsonsupply.com/collections/electricians-tools/products/klein-tools-70550-pro-folding-hex-key-set-11-fractional-inch-sized-keys</v>
      </c>
      <c r="B6748" s="3" t="str">
        <f>HYPERLINK("https://edmondsonsupply.com/products/klein-tools-70550-pro-folding-hex-key-set-11-fractional-inch-sized-keys", "https://edmondsonsupply.com/products/klein-tools-70550-pro-folding-hex-key-set-11-fractional-inch-sized-keys")</f>
        <v>https://edmondsonsupply.com/products/klein-tools-70550-pro-folding-hex-key-set-11-fractional-inch-sized-keys</v>
      </c>
      <c r="C6748" t="s">
        <v>2659</v>
      </c>
      <c r="D6748" t="s">
        <v>5409</v>
      </c>
      <c r="E6748" s="3" t="str">
        <f>HYPERLINK("https://www.amazon.com/Folding-Nine-Key-Klein-Tools-70591/dp/B0002RI8RS/ref=sr_1_3?keywords=Klein+Tools+70550+Pro+Folding+Hex+Key+Set%2C+11-Key%2C+SAE+Sizes&amp;qid=1695173950&amp;sr=8-3", "https://www.amazon.com/Folding-Nine-Key-Klein-Tools-70591/dp/B0002RI8RS/ref=sr_1_3?keywords=Klein+Tools+70550+Pro+Folding+Hex+Key+Set%2C+11-Key%2C+SAE+Sizes&amp;qid=1695173950&amp;sr=8-3")</f>
        <v>https://www.amazon.com/Folding-Nine-Key-Klein-Tools-70591/dp/B0002RI8RS/ref=sr_1_3?keywords=Klein+Tools+70550+Pro+Folding+Hex+Key+Set%2C+11-Key%2C+SAE+Sizes&amp;qid=1695173950&amp;sr=8-3</v>
      </c>
      <c r="F6748" t="s">
        <v>5410</v>
      </c>
      <c r="G6748" t="e">
        <f ca="1">_xludf.IMAGE("https://edmondsonsupply.com/cdn/shop/products/70550.jpg?v=1587145237")</f>
        <v>#NAME?</v>
      </c>
      <c r="H6748" t="e">
        <f ca="1">_xludf.IMAGE("https://m.media-amazon.com/images/I/61QIa+2yMTL._AC_UL320_.jpg")</f>
        <v>#NAME?</v>
      </c>
      <c r="I6748" t="s">
        <v>893</v>
      </c>
      <c r="J6748">
        <v>14.46</v>
      </c>
      <c r="K6748" s="4">
        <v>-0.27589999999999998</v>
      </c>
      <c r="L6748">
        <v>4.7</v>
      </c>
      <c r="M6748">
        <v>3168</v>
      </c>
      <c r="O6748" t="s">
        <v>25</v>
      </c>
      <c r="P6748" t="s">
        <v>2662</v>
      </c>
      <c r="Q6748" t="s">
        <v>2663</v>
      </c>
    </row>
    <row r="6749" spans="1:17" ht="15.5" x14ac:dyDescent="0.35">
      <c r="A6749" s="3" t="str">
        <f>HYPERLINK("https://edmondsonsupply.com/collections/electricians-tools/products/diablo-tools-dmans1050-3-8-in-tile-stone-carbide-tipped-drill-bit", "https://edmondsonsupply.com/collections/electricians-tools/products/diablo-tools-dmans1050-3-8-in-tile-stone-carbide-tipped-drill-bit")</f>
        <v>https://edmondsonsupply.com/collections/electricians-tools/products/diablo-tools-dmans1050-3-8-in-tile-stone-carbide-tipped-drill-bit</v>
      </c>
      <c r="B6749" s="3" t="str">
        <f>HYPERLINK("https://edmondsonsupply.com/products/diablo-tools-dmans1050-3-8-in-tile-stone-carbide-tipped-drill-bit", "https://edmondsonsupply.com/products/diablo-tools-dmans1050-3-8-in-tile-stone-carbide-tipped-drill-bit")</f>
        <v>https://edmondsonsupply.com/products/diablo-tools-dmans1050-3-8-in-tile-stone-carbide-tipped-drill-bit</v>
      </c>
      <c r="C6749" t="s">
        <v>8891</v>
      </c>
      <c r="D6749" t="s">
        <v>8892</v>
      </c>
      <c r="E6749" s="3" t="str">
        <f>HYPERLINK("https://www.amazon.com/Diablo-DMANS1050-Stone-Carbide-Tipped/dp/B089KX54KP/ref=sr_1_1?keywords=Diablo+Tools+DMANS1050+3%2F8+in.+Tile&amp;qid=1695174213&amp;sr=8-1", "https://www.amazon.com/Diablo-DMANS1050-Stone-Carbide-Tipped/dp/B089KX54KP/ref=sr_1_1?keywords=Diablo+Tools+DMANS1050+3%2F8+in.+Tile&amp;qid=1695174213&amp;sr=8-1")</f>
        <v>https://www.amazon.com/Diablo-DMANS1050-Stone-Carbide-Tipped/dp/B089KX54KP/ref=sr_1_1?keywords=Diablo+Tools+DMANS1050+3%2F8+in.+Tile&amp;qid=1695174213&amp;sr=8-1</v>
      </c>
      <c r="F6749" t="s">
        <v>8893</v>
      </c>
      <c r="G6749" t="e">
        <f ca="1">_xludf.IMAGE("https://edmondsonsupply.com/cdn/shop/products/1050.webp?v=1647637874")</f>
        <v>#NAME?</v>
      </c>
      <c r="H6749" t="e">
        <f ca="1">_xludf.IMAGE("https://m.media-amazon.com/images/I/61+diWSK+wL._AC_UL320_.jpg")</f>
        <v>#NAME?</v>
      </c>
      <c r="I6749" t="s">
        <v>2784</v>
      </c>
      <c r="J6749">
        <v>10.83</v>
      </c>
      <c r="K6749" s="4">
        <v>-0.27660000000000001</v>
      </c>
      <c r="L6749">
        <v>5</v>
      </c>
      <c r="M6749">
        <v>2</v>
      </c>
      <c r="O6749" t="s">
        <v>25</v>
      </c>
      <c r="P6749" t="s">
        <v>138</v>
      </c>
      <c r="Q6749" t="s">
        <v>8894</v>
      </c>
    </row>
    <row r="6750" spans="1:17" ht="15.5" x14ac:dyDescent="0.35">
      <c r="A6750"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750"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750" t="s">
        <v>2903</v>
      </c>
      <c r="D6750" t="s">
        <v>5413</v>
      </c>
      <c r="E6750" s="3" t="str">
        <f>HYPERLINK("https://www.amazon.com/Diablo-DMAMX1100-SDS-Max-4-Cutter-Carbide/dp/B089LCPW7V/ref=sr_1_5?keywords=Diablo+Tools+DMAMX1300+1-1%2F4+in.+x+16+in.+x+21+in.+Rebar+Demon%E2%84%A2+SDS-Max+4-Cutter+Full+Carbide+Head+Hammer+Drill+Bit&amp;qid=1695173871&amp;sr=8-5", "https://www.amazon.com/Diablo-DMAMX1100-SDS-Max-4-Cutter-Carbide/dp/B089LCPW7V/ref=sr_1_5?keywords=Diablo+Tools+DMAMX1300+1-1%2F4+in.+x+16+in.+x+21+in.+Rebar+Demon%E2%84%A2+SDS-Max+4-Cutter+Full+Carbide+Head+Hammer+Drill+Bit&amp;qid=1695173871&amp;sr=8-5")</f>
        <v>https://www.amazon.com/Diablo-DMAMX1100-SDS-Max-4-Cutter-Carbide/dp/B089LCPW7V/ref=sr_1_5?keywords=Diablo+Tools+DMAMX1300+1-1%2F4+in.+x+16+in.+x+21+in.+Rebar+Demon%E2%84%A2+SDS-Max+4-Cutter+Full+Carbide+Head+Hammer+Drill+Bit&amp;qid=1695173871&amp;sr=8-5</v>
      </c>
      <c r="F6750" t="s">
        <v>5414</v>
      </c>
      <c r="G6750" t="e">
        <f ca="1">_xludf.IMAGE("https://edmondsonsupply.com/cdn/shop/files/immoyh7jjmbau4fzhuq6_7dd7fd73-2865-4c12-9443-da45b48dbd51.webp?v=1685465465")</f>
        <v>#NAME?</v>
      </c>
      <c r="H6750" t="e">
        <f ca="1">_xludf.IMAGE("https://m.media-amazon.com/images/I/618JNJF7eyL._AC_UL320_.jpg")</f>
        <v>#NAME?</v>
      </c>
      <c r="I6750" t="s">
        <v>2906</v>
      </c>
      <c r="J6750">
        <v>47.99</v>
      </c>
      <c r="K6750" s="4">
        <v>-0.27729999999999999</v>
      </c>
      <c r="L6750">
        <v>4.0999999999999996</v>
      </c>
      <c r="M6750">
        <v>4</v>
      </c>
      <c r="O6750" t="s">
        <v>171</v>
      </c>
      <c r="P6750" t="s">
        <v>2907</v>
      </c>
      <c r="Q6750" t="s">
        <v>2908</v>
      </c>
    </row>
    <row r="6751" spans="1:17" ht="15.5" x14ac:dyDescent="0.35">
      <c r="A6751"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6751" s="3" t="str">
        <f>HYPERLINK("https://edmondsonsupply.com/products/klein-tools-44005c-hawkbill-lockback-knife-with-clip", "https://edmondsonsupply.com/products/klein-tools-44005c-hawkbill-lockback-knife-with-clip")</f>
        <v>https://edmondsonsupply.com/products/klein-tools-44005c-hawkbill-lockback-knife-with-clip</v>
      </c>
      <c r="C6751" t="s">
        <v>7808</v>
      </c>
      <c r="D6751" t="s">
        <v>8895</v>
      </c>
      <c r="E6751" s="3" t="str">
        <f>HYPERLINK("https://www.amazon.com/Klein-Tools-Lightweight-Lockback-Stainless/dp/B007OX52NG/ref=sr_1_4?keywords=Klein+Tools+44005C+Hawkbill+Lockback+Knife+with+Clip&amp;qid=1695174149&amp;sr=8-4", "https://www.amazon.com/Klein-Tools-Lightweight-Lockback-Stainless/dp/B007OX52NG/ref=sr_1_4?keywords=Klein+Tools+44005C+Hawkbill+Lockback+Knife+with+Clip&amp;qid=1695174149&amp;sr=8-4")</f>
        <v>https://www.amazon.com/Klein-Tools-Lightweight-Lockback-Stainless/dp/B007OX52NG/ref=sr_1_4?keywords=Klein+Tools+44005C+Hawkbill+Lockback+Knife+with+Clip&amp;qid=1695174149&amp;sr=8-4</v>
      </c>
      <c r="F6751" t="s">
        <v>8896</v>
      </c>
      <c r="G6751" t="e">
        <f ca="1">_xludf.IMAGE("https://edmondsonsupply.com/cdn/shop/products/44005c.jpg?v=1664810854")</f>
        <v>#NAME?</v>
      </c>
      <c r="H6751" t="e">
        <f ca="1">_xludf.IMAGE("https://m.media-amazon.com/images/I/41WEUbazsDS._AC_UL320_.jpg")</f>
        <v>#NAME?</v>
      </c>
      <c r="I6751" t="s">
        <v>1931</v>
      </c>
      <c r="J6751">
        <v>35.99</v>
      </c>
      <c r="K6751" s="4">
        <v>-0.28010000000000002</v>
      </c>
      <c r="L6751">
        <v>4.7</v>
      </c>
      <c r="M6751">
        <v>338</v>
      </c>
      <c r="O6751" t="s">
        <v>25</v>
      </c>
      <c r="P6751" t="s">
        <v>7811</v>
      </c>
      <c r="Q6751" t="s">
        <v>7812</v>
      </c>
    </row>
    <row r="6752" spans="1:17" ht="15.5" x14ac:dyDescent="0.35">
      <c r="A6752" s="3" t="str">
        <f>HYPERLINK("https://edmondsonsupply.com/collections/electricians-tools/products/klein-1550-2-pocket-knife-carbon-steel-2-1-2-spearpoint-screwdriver-tip", "https://edmondsonsupply.com/collections/electricians-tools/products/klein-1550-2-pocket-knife-carbon-steel-2-1-2-spearpoint-screwdriver-tip")</f>
        <v>https://edmondsonsupply.com/collections/electricians-tools/products/klein-1550-2-pocket-knife-carbon-steel-2-1-2-spearpoint-screwdriver-tip</v>
      </c>
      <c r="B6752" s="3" t="str">
        <f>HYPERLINK("https://edmondsonsupply.com/products/klein-1550-2-pocket-knife-carbon-steel-2-1-2-spearpoint-screwdriver-tip", "https://edmondsonsupply.com/products/klein-1550-2-pocket-knife-carbon-steel-2-1-2-spearpoint-screwdriver-tip")</f>
        <v>https://edmondsonsupply.com/products/klein-1550-2-pocket-knife-carbon-steel-2-1-2-spearpoint-screwdriver-tip</v>
      </c>
      <c r="C6752" t="s">
        <v>6969</v>
      </c>
      <c r="D6752" t="s">
        <v>8897</v>
      </c>
      <c r="E6752" s="3" t="str">
        <f>HYPERLINK("https://www.amazon.com/Klein-Tools-1550-11-Pocket-4-Inch/dp/B0002RI4Y0/ref=sr_1_2?keywords=Klein+Tools+1550-2+2+Blade+Pocket+Knife%2C+Steel%2C+2-1%2F2-Inch+Blade&amp;qid=1695174176&amp;sr=8-2", "https://www.amazon.com/Klein-Tools-1550-11-Pocket-4-Inch/dp/B0002RI4Y0/ref=sr_1_2?keywords=Klein+Tools+1550-2+2+Blade+Pocket+Knife%2C+Steel%2C+2-1%2F2-Inch+Blade&amp;qid=1695174176&amp;sr=8-2")</f>
        <v>https://www.amazon.com/Klein-Tools-1550-11-Pocket-4-Inch/dp/B0002RI4Y0/ref=sr_1_2?keywords=Klein+Tools+1550-2+2+Blade+Pocket+Knife%2C+Steel%2C+2-1%2F2-Inch+Blade&amp;qid=1695174176&amp;sr=8-2</v>
      </c>
      <c r="F6752" t="s">
        <v>8898</v>
      </c>
      <c r="G6752" t="e">
        <f ca="1">_xludf.IMAGE("https://edmondsonsupply.com/cdn/shop/products/15502_b.jpg?v=1658020543")</f>
        <v>#NAME?</v>
      </c>
      <c r="H6752" t="e">
        <f ca="1">_xludf.IMAGE("https://m.media-amazon.com/images/I/41qd2GwDA4L._AC_UL320_.jpg")</f>
        <v>#NAME?</v>
      </c>
      <c r="I6752" t="s">
        <v>26</v>
      </c>
      <c r="J6752">
        <v>21.59</v>
      </c>
      <c r="K6752" s="4">
        <v>-0.28010000000000002</v>
      </c>
      <c r="L6752">
        <v>4.5</v>
      </c>
      <c r="M6752">
        <v>411</v>
      </c>
      <c r="O6752" t="s">
        <v>25</v>
      </c>
      <c r="P6752" t="s">
        <v>6972</v>
      </c>
      <c r="Q6752" t="s">
        <v>6973</v>
      </c>
    </row>
    <row r="6753" spans="1:17" ht="15.5" x14ac:dyDescent="0.35">
      <c r="A6753"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6753" s="3" t="str">
        <f>HYPERLINK("https://edmondsonsupply.com/products/klein-tools-66070-flip-impact-socket-set-7-piece", "https://edmondsonsupply.com/products/klein-tools-66070-flip-impact-socket-set-7-piece")</f>
        <v>https://edmondsonsupply.com/products/klein-tools-66070-flip-impact-socket-set-7-piece</v>
      </c>
      <c r="C6753" t="s">
        <v>6659</v>
      </c>
      <c r="D6753" t="s">
        <v>180</v>
      </c>
      <c r="E6753" s="3" t="str">
        <f>HYPERLINK("https://www.amazon.com/Klein-Tools-Ratchet-5-Piece-Impact/dp/B0BNL31N8K/ref=sr_1_9?keywords=Klein+Tools+66070+Flip+Impact+Socket+Set%2C+7-Piece&amp;qid=1695173845&amp;sr=8-9", "https://www.amazon.com/Klein-Tools-Ratchet-5-Piece-Impact/dp/B0BNL31N8K/ref=sr_1_9?keywords=Klein+Tools+66070+Flip+Impact+Socket+Set%2C+7-Piece&amp;qid=1695173845&amp;sr=8-9")</f>
        <v>https://www.amazon.com/Klein-Tools-Ratchet-5-Piece-Impact/dp/B0BNL31N8K/ref=sr_1_9?keywords=Klein+Tools+66070+Flip+Impact+Socket+Set%2C+7-Piece&amp;qid=1695173845&amp;sr=8-9</v>
      </c>
      <c r="F6753" t="s">
        <v>181</v>
      </c>
      <c r="G6753" t="e">
        <f ca="1">_xludf.IMAGE("https://edmondsonsupply.com/cdn/shop/products/66070_b.jpg?v=1663251434")</f>
        <v>#NAME?</v>
      </c>
      <c r="H6753" t="e">
        <f ca="1">_xludf.IMAGE("https://m.media-amazon.com/images/I/41JD1cfUw6L._AC_UL320_.jpg")</f>
        <v>#NAME?</v>
      </c>
      <c r="I6753" t="s">
        <v>380</v>
      </c>
      <c r="J6753">
        <v>35.950000000000003</v>
      </c>
      <c r="K6753" s="4">
        <v>-0.28060000000000002</v>
      </c>
      <c r="L6753">
        <v>4.9000000000000004</v>
      </c>
      <c r="M6753">
        <v>10</v>
      </c>
      <c r="O6753" t="s">
        <v>25</v>
      </c>
      <c r="P6753" t="s">
        <v>1114</v>
      </c>
      <c r="Q6753" t="s">
        <v>6662</v>
      </c>
    </row>
    <row r="6754" spans="1:17" ht="15.5" x14ac:dyDescent="0.35">
      <c r="A6754" s="3" t="str">
        <f>HYPERLINK("https://edmondsonsupply.com/collections/electricians-tools/products/diablo-tools-dmamx1050-9-16-in-x-8-in-x-13-in-rebar-demon%E2%84%A2-sds-max-4-cutter-full-carbide-head-hammer-drill-bit", "https://edmondsonsupply.com/collections/electricians-tools/products/diablo-tools-dmamx1050-9-16-in-x-8-in-x-13-in-rebar-demon%E2%84%A2-sds-max-4-cutter-full-carbide-head-hammer-drill-bit")</f>
        <v>https://edmondsonsupply.com/collections/electricians-tools/products/diablo-tools-dmamx1050-9-16-in-x-8-in-x-13-in-rebar-demon%E2%84%A2-sds-max-4-cutter-full-carbide-head-hammer-drill-bit</v>
      </c>
      <c r="B6754" s="3" t="str">
        <f>HYPERLINK("https://edmondsonsupply.com/products/diablo-tools-dmamx1050-9-16-in-x-8-in-x-13-in-rebar-demon%e2%84%a2-sds-max-4-cutter-full-carbide-head-hammer-drill-bit", "https://edmondsonsupply.com/products/diablo-tools-dmamx1050-9-16-in-x-8-in-x-13-in-rebar-demon%e2%84%a2-sds-max-4-cutter-full-carbide-head-hammer-drill-bit")</f>
        <v>https://edmondsonsupply.com/products/diablo-tools-dmamx1050-9-16-in-x-8-in-x-13-in-rebar-demon%e2%84%a2-sds-max-4-cutter-full-carbide-head-hammer-drill-bit</v>
      </c>
      <c r="C6754" t="s">
        <v>7491</v>
      </c>
      <c r="D6754" t="s">
        <v>8899</v>
      </c>
      <c r="E6754" s="3" t="str">
        <f>HYPERLINK("https://www.amazon.com/Diablo-SDS-Max-4-Cutter-Carbide-Hammer/dp/B089LK4F2D/ref=sr_1_1?keywords=Diablo+Tools+DMAMX1050+9%2F16+in.+x+8+in.+x+13+in.+Rebar+Demon%E2%84%A2+SDS-Max+4-Cutter+Full+Carbide+Head+Hammer+Drill+Bit&amp;qid=1695174267&amp;sr=8-1", "https://www.amazon.com/Diablo-SDS-Max-4-Cutter-Carbide-Hammer/dp/B089LK4F2D/ref=sr_1_1?keywords=Diablo+Tools+DMAMX1050+9%2F16+in.+x+8+in.+x+13+in.+Rebar+Demon%E2%84%A2+SDS-Max+4-Cutter+Full+Carbide+Head+Hammer+Drill+Bit&amp;qid=1695174267&amp;sr=8-1")</f>
        <v>https://www.amazon.com/Diablo-SDS-Max-4-Cutter-Carbide-Hammer/dp/B089LK4F2D/ref=sr_1_1?keywords=Diablo+Tools+DMAMX1050+9%2F16+in.+x+8+in.+x+13+in.+Rebar+Demon%E2%84%A2+SDS-Max+4-Cutter+Full+Carbide+Head+Hammer+Drill+Bit&amp;qid=1695174267&amp;sr=8-1</v>
      </c>
      <c r="F6754" t="s">
        <v>8900</v>
      </c>
      <c r="G6754" t="e">
        <f ca="1">_xludf.IMAGE("https://edmondsonsupply.com/cdn/shop/products/DMAMX1050_Main-Image20200701.png?v=1633031097")</f>
        <v>#NAME?</v>
      </c>
      <c r="H6754" t="e">
        <f ca="1">_xludf.IMAGE("https://m.media-amazon.com/images/I/61jYhd4-UbL._AC_UL320_.jpg")</f>
        <v>#NAME?</v>
      </c>
      <c r="I6754" t="s">
        <v>7494</v>
      </c>
      <c r="J6754">
        <v>20.99</v>
      </c>
      <c r="K6754" s="4">
        <v>-0.28089999999999998</v>
      </c>
      <c r="L6754">
        <v>5</v>
      </c>
      <c r="M6754">
        <v>1</v>
      </c>
      <c r="O6754" t="s">
        <v>25</v>
      </c>
      <c r="P6754" t="s">
        <v>7495</v>
      </c>
      <c r="Q6754" t="s">
        <v>7496</v>
      </c>
    </row>
    <row r="6755" spans="1:17" ht="15.5" x14ac:dyDescent="0.35">
      <c r="A6755" s="3" t="str">
        <f>HYPERLINK("https://edmondsonsupply.com/collections/electricians-tools/products/klein-tools-d2000-49-diagonal-cutting-pliers-angled-head-9-inch", "https://edmondsonsupply.com/collections/electricians-tools/products/klein-tools-d2000-49-diagonal-cutting-pliers-angled-head-9-inch")</f>
        <v>https://edmondsonsupply.com/collections/electricians-tools/products/klein-tools-d2000-49-diagonal-cutting-pliers-angled-head-9-inch</v>
      </c>
      <c r="B6755" s="3" t="str">
        <f>HYPERLINK("https://edmondsonsupply.com/products/klein-tools-d2000-49-diagonal-cutting-pliers-angled-head-9-inch", "https://edmondsonsupply.com/products/klein-tools-d2000-49-diagonal-cutting-pliers-angled-head-9-inch")</f>
        <v>https://edmondsonsupply.com/products/klein-tools-d2000-49-diagonal-cutting-pliers-angled-head-9-inch</v>
      </c>
      <c r="C6755" t="s">
        <v>7824</v>
      </c>
      <c r="D6755" t="s">
        <v>8753</v>
      </c>
      <c r="E6755" s="3" t="str">
        <f>HYPERLINK("https://www.amazon.com/High-Leverage-Diagonal-Cutting-Klein-Tools-D2000-28/dp/B0000302WR/ref=sr_1_2?keywords=Klein+Tools+D2000-49+Diagonal+Cutting+Pliers%2C+Angled+Head%2C+9-Inch&amp;qid=1695174302&amp;sr=8-2", "https://www.amazon.com/High-Leverage-Diagonal-Cutting-Klein-Tools-D2000-28/dp/B0000302WR/ref=sr_1_2?keywords=Klein+Tools+D2000-49+Diagonal+Cutting+Pliers%2C+Angled+Head%2C+9-Inch&amp;qid=1695174302&amp;sr=8-2")</f>
        <v>https://www.amazon.com/High-Leverage-Diagonal-Cutting-Klein-Tools-D2000-28/dp/B0000302WR/ref=sr_1_2?keywords=Klein+Tools+D2000-49+Diagonal+Cutting+Pliers%2C+Angled+Head%2C+9-Inch&amp;qid=1695174302&amp;sr=8-2</v>
      </c>
      <c r="F6755" t="s">
        <v>8754</v>
      </c>
      <c r="G6755" t="e">
        <f ca="1">_xludf.IMAGE("https://edmondsonsupply.com/cdn/shop/products/d2000-49.jpg?v=1633030811")</f>
        <v>#NAME?</v>
      </c>
      <c r="H6755" t="e">
        <f ca="1">_xludf.IMAGE("https://m.media-amazon.com/images/I/41VuWJ3z3QL._AC_UL320_.jpg")</f>
        <v>#NAME?</v>
      </c>
      <c r="I6755" t="s">
        <v>3930</v>
      </c>
      <c r="J6755">
        <v>27.99</v>
      </c>
      <c r="K6755" s="4">
        <v>-0.28210000000000002</v>
      </c>
      <c r="L6755">
        <v>4.8</v>
      </c>
      <c r="M6755">
        <v>1451</v>
      </c>
      <c r="O6755" t="s">
        <v>25</v>
      </c>
      <c r="P6755" t="s">
        <v>7825</v>
      </c>
      <c r="Q6755" t="s">
        <v>7826</v>
      </c>
    </row>
    <row r="6756" spans="1:17" ht="15.5" x14ac:dyDescent="0.35">
      <c r="A6756"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6756"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6756" t="s">
        <v>6755</v>
      </c>
      <c r="D6756" t="s">
        <v>7098</v>
      </c>
      <c r="E6756" s="3" t="str">
        <f>HYPERLINK("https://www.amazon.com/Klein-Tools-6926INS-Screwdriver-Cushion-Grip/dp/B09GL1X5SZ/ref=sr_1_10?keywords=Klein+Tools+602-4-INS+1%2F4-Inch+Cabinet+Tip+Insulated+Screwdriver%2C+4-Inch&amp;qid=1695174266&amp;sr=8-10", "https://www.amazon.com/Klein-Tools-6926INS-Screwdriver-Cushion-Grip/dp/B09GL1X5SZ/ref=sr_1_10?keywords=Klein+Tools+602-4-INS+1%2F4-Inch+Cabinet+Tip+Insulated+Screwdriver%2C+4-Inch&amp;qid=1695174266&amp;sr=8-10")</f>
        <v>https://www.amazon.com/Klein-Tools-6926INS-Screwdriver-Cushion-Grip/dp/B09GL1X5SZ/ref=sr_1_10?keywords=Klein+Tools+602-4-INS+1%2F4-Inch+Cabinet+Tip+Insulated+Screwdriver%2C+4-Inch&amp;qid=1695174266&amp;sr=8-10</v>
      </c>
      <c r="F6756" t="s">
        <v>7099</v>
      </c>
      <c r="G6756" t="e">
        <f ca="1">_xludf.IMAGE("https://edmondsonsupply.com/cdn/shop/products/602-4-ins-photo.jpg?v=1633031051")</f>
        <v>#NAME?</v>
      </c>
      <c r="H6756" t="e">
        <f ca="1">_xludf.IMAGE("https://m.media-amazon.com/images/I/41JbepP5oGL._AC_UL320_.jpg")</f>
        <v>#NAME?</v>
      </c>
      <c r="I6756" t="s">
        <v>3185</v>
      </c>
      <c r="J6756">
        <v>14.99</v>
      </c>
      <c r="K6756" s="4">
        <v>-0.28589999999999999</v>
      </c>
      <c r="L6756">
        <v>4.8</v>
      </c>
      <c r="M6756">
        <v>85</v>
      </c>
      <c r="O6756" t="s">
        <v>25</v>
      </c>
      <c r="P6756" t="s">
        <v>6758</v>
      </c>
      <c r="Q6756" t="s">
        <v>6759</v>
      </c>
    </row>
    <row r="6757" spans="1:17" ht="15.5" x14ac:dyDescent="0.35">
      <c r="A6757" s="3" t="str">
        <f>HYPERLINK("https://edmondsonsupply.com/collections/electricians-tools/products/klein-tools-31940-bi-metal-hole-saw-2-1-2-inch", "https://edmondsonsupply.com/collections/electricians-tools/products/klein-tools-31940-bi-metal-hole-saw-2-1-2-inch")</f>
        <v>https://edmondsonsupply.com/collections/electricians-tools/products/klein-tools-31940-bi-metal-hole-saw-2-1-2-inch</v>
      </c>
      <c r="B6757" s="3" t="str">
        <f>HYPERLINK("https://edmondsonsupply.com/products/klein-tools-31940-bi-metal-hole-saw-2-1-2-inch", "https://edmondsonsupply.com/products/klein-tools-31940-bi-metal-hole-saw-2-1-2-inch")</f>
        <v>https://edmondsonsupply.com/products/klein-tools-31940-bi-metal-hole-saw-2-1-2-inch</v>
      </c>
      <c r="C6757" t="s">
        <v>6842</v>
      </c>
      <c r="D6757" t="s">
        <v>8901</v>
      </c>
      <c r="E6757" s="3" t="str">
        <f>HYPERLINK("https://www.amazon.com/Bi-Metal-Cutter-Mandrel-Cutting-Aluminium/dp/B0977DCR5Z/ref=sr_1_5?keywords=Klein+Tools+31940+Bi-Metal+Hole+Saw%2C+2-1%2F2-Inch&amp;qid=1695174215&amp;sr=8-5", "https://www.amazon.com/Bi-Metal-Cutter-Mandrel-Cutting-Aluminium/dp/B0977DCR5Z/ref=sr_1_5?keywords=Klein+Tools+31940+Bi-Metal+Hole+Saw%2C+2-1%2F2-Inch&amp;qid=1695174215&amp;sr=8-5")</f>
        <v>https://www.amazon.com/Bi-Metal-Cutter-Mandrel-Cutting-Aluminium/dp/B0977DCR5Z/ref=sr_1_5?keywords=Klein+Tools+31940+Bi-Metal+Hole+Saw%2C+2-1%2F2-Inch&amp;qid=1695174215&amp;sr=8-5</v>
      </c>
      <c r="F6757" t="s">
        <v>8902</v>
      </c>
      <c r="G6757" t="e">
        <f ca="1">_xludf.IMAGE("https://edmondsonsupply.com/cdn/shop/products/31940.jpg?v=1649380086")</f>
        <v>#NAME?</v>
      </c>
      <c r="H6757" t="e">
        <f ca="1">_xludf.IMAGE("https://m.media-amazon.com/images/I/41GTKV4WTLL._AC_UL320_.jpg")</f>
        <v>#NAME?</v>
      </c>
      <c r="I6757" t="s">
        <v>288</v>
      </c>
      <c r="J6757">
        <v>9.99</v>
      </c>
      <c r="K6757" s="4">
        <v>-0.28589999999999999</v>
      </c>
      <c r="L6757">
        <v>4.4000000000000004</v>
      </c>
      <c r="M6757">
        <v>297</v>
      </c>
      <c r="O6757" t="s">
        <v>25</v>
      </c>
      <c r="P6757" t="s">
        <v>6845</v>
      </c>
      <c r="Q6757" t="s">
        <v>6846</v>
      </c>
    </row>
    <row r="6758" spans="1:17" ht="15.5" x14ac:dyDescent="0.35">
      <c r="A6758" s="3" t="str">
        <f>HYPERLINK("https://edmondsonsupply.com/collections/electricians-tools/products/klein-tools-6984ins-slim-tip-1000v-insulated-screwdriver-1-square-4-inch-round-shank", "https://edmondsonsupply.com/collections/electricians-tools/products/klein-tools-6984ins-slim-tip-1000v-insulated-screwdriver-1-square-4-inch-round-shank")</f>
        <v>https://edmondsonsupply.com/collections/electricians-tools/products/klein-tools-6984ins-slim-tip-1000v-insulated-screwdriver-1-square-4-inch-round-shank</v>
      </c>
      <c r="B6758" s="3" t="str">
        <f>HYPERLINK("https://edmondsonsupply.com/products/klein-tools-6984ins-slim-tip-1000v-insulated-screwdriver-1-square-4-inch-round-shank", "https://edmondsonsupply.com/products/klein-tools-6984ins-slim-tip-1000v-insulated-screwdriver-1-square-4-inch-round-shank")</f>
        <v>https://edmondsonsupply.com/products/klein-tools-6984ins-slim-tip-1000v-insulated-screwdriver-1-square-4-inch-round-shank</v>
      </c>
      <c r="C6758" t="s">
        <v>7732</v>
      </c>
      <c r="D6758" t="s">
        <v>8131</v>
      </c>
      <c r="E6758" s="3" t="str">
        <f>HYPERLINK("https://www.amazon.com/Klein-Tools-6884INS-Screwdriver-Cushion-Grip/dp/B0BF7K2YSW/ref=sr_1_5?keywords=Klein+Tools+6984INS+Slim-Tip+1000V+Insulated+Screwdriver%2C+%231+Square%2C+4-Inch+Round+Shank&amp;qid=1695174144&amp;sr=8-5", "https://www.amazon.com/Klein-Tools-6884INS-Screwdriver-Cushion-Grip/dp/B0BF7K2YSW/ref=sr_1_5?keywords=Klein+Tools+6984INS+Slim-Tip+1000V+Insulated+Screwdriver%2C+%231+Square%2C+4-Inch+Round+Shank&amp;qid=1695174144&amp;sr=8-5")</f>
        <v>https://www.amazon.com/Klein-Tools-6884INS-Screwdriver-Cushion-Grip/dp/B0BF7K2YSW/ref=sr_1_5?keywords=Klein+Tools+6984INS+Slim-Tip+1000V+Insulated+Screwdriver%2C+%231+Square%2C+4-Inch+Round+Shank&amp;qid=1695174144&amp;sr=8-5</v>
      </c>
      <c r="F6758" t="s">
        <v>8132</v>
      </c>
      <c r="G6758" t="e">
        <f ca="1">_xludf.IMAGE("https://edmondsonsupply.com/cdn/shop/products/6984ins.jpg?v=1664806448")</f>
        <v>#NAME?</v>
      </c>
      <c r="H6758" t="e">
        <f ca="1">_xludf.IMAGE("https://m.media-amazon.com/images/I/41avq0kPXJL._AC_UL320_.jpg")</f>
        <v>#NAME?</v>
      </c>
      <c r="I6758" t="s">
        <v>288</v>
      </c>
      <c r="J6758">
        <v>9.9700000000000006</v>
      </c>
      <c r="K6758" s="4">
        <v>-0.2873</v>
      </c>
      <c r="L6758">
        <v>4.8</v>
      </c>
      <c r="M6758">
        <v>419</v>
      </c>
      <c r="O6758" t="s">
        <v>25</v>
      </c>
      <c r="P6758" t="s">
        <v>7730</v>
      </c>
      <c r="Q6758" t="s">
        <v>7733</v>
      </c>
    </row>
    <row r="6759" spans="1:17" ht="15.5" x14ac:dyDescent="0.35">
      <c r="A6759" s="3" t="str">
        <f>HYPERLINK("https://edmondsonsupply.com/collections/electricians-tools/products/milwaukee-2366-20-m18%E2%84%A2-rover%E2%84%A2-dual-power-flood-light", "https://edmondsonsupply.com/collections/electricians-tools/products/milwaukee-2366-20-m18%E2%84%A2-rover%E2%84%A2-dual-power-flood-light")</f>
        <v>https://edmondsonsupply.com/collections/electricians-tools/products/milwaukee-2366-20-m18%E2%84%A2-rover%E2%84%A2-dual-power-flood-light</v>
      </c>
      <c r="B6759" s="3" t="str">
        <f>HYPERLINK("https://edmondsonsupply.com/products/milwaukee-2366-20-m18%e2%84%a2-rover%e2%84%a2-dual-power-flood-light", "https://edmondsonsupply.com/products/milwaukee-2366-20-m18%e2%84%a2-rover%e2%84%a2-dual-power-flood-light")</f>
        <v>https://edmondsonsupply.com/products/milwaukee-2366-20-m18%e2%84%a2-rover%e2%84%a2-dual-power-flood-light</v>
      </c>
      <c r="C6759" t="s">
        <v>5419</v>
      </c>
      <c r="D6759" t="s">
        <v>5420</v>
      </c>
      <c r="E6759" s="3" t="str">
        <f>HYPERLINK("https://www.amazon.com/Milwaukee-2366-20-Compact-Lithium-Ion-Cordless/dp/B08YS6CXG6/ref=sr_1_1?keywords=Milwaukee+2366-20+M18%E2%84%A2+ROVER%E2%84%A2+Dual+Power+Flood+Light&amp;qid=1695173876&amp;sr=8-1", "https://www.amazon.com/Milwaukee-2366-20-Compact-Lithium-Ion-Cordless/dp/B08YS6CXG6/ref=sr_1_1?keywords=Milwaukee+2366-20+M18%E2%84%A2+ROVER%E2%84%A2+Dual+Power+Flood+Light&amp;qid=1695173876&amp;sr=8-1")</f>
        <v>https://www.amazon.com/Milwaukee-2366-20-Compact-Lithium-Ion-Cordless/dp/B08YS6CXG6/ref=sr_1_1?keywords=Milwaukee+2366-20+M18%E2%84%A2+ROVER%E2%84%A2+Dual+Power+Flood+Light&amp;qid=1695173876&amp;sr=8-1</v>
      </c>
      <c r="F6759" t="s">
        <v>5421</v>
      </c>
      <c r="G6759" t="e">
        <f ca="1">_xludf.IMAGE("https://edmondsonsupply.com/cdn/shop/products/2366-20_1.png?v=1657210550")</f>
        <v>#NAME?</v>
      </c>
      <c r="H6759" t="e">
        <f ca="1">_xludf.IMAGE("https://m.media-amazon.com/images/I/51po+g4rqNL._AC_UL320_.jpg")</f>
        <v>#NAME?</v>
      </c>
      <c r="I6759" t="s">
        <v>692</v>
      </c>
      <c r="J6759">
        <v>105.99</v>
      </c>
      <c r="K6759" s="4">
        <v>-0.28870000000000001</v>
      </c>
      <c r="L6759">
        <v>4.9000000000000004</v>
      </c>
      <c r="M6759">
        <v>154</v>
      </c>
      <c r="O6759" t="s">
        <v>25</v>
      </c>
      <c r="P6759" t="s">
        <v>5422</v>
      </c>
      <c r="Q6759" t="s">
        <v>5423</v>
      </c>
    </row>
    <row r="6760" spans="1:17" ht="15.5" x14ac:dyDescent="0.35">
      <c r="A6760"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6760"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6760" t="s">
        <v>4105</v>
      </c>
      <c r="D6760" t="s">
        <v>5424</v>
      </c>
      <c r="E6760" s="3" t="str">
        <f>HYPERLINK("https://www.amazon.com/Leverage-Side-Cutters-Klein-Tools-213-9NE/dp/B000KM95C2/ref=sr_1_3?keywords=Klein+Tools+D20009NEGLW+High-Visibility+Side-Cutting+Pliers+High-Leverage&amp;qid=1695173949&amp;sr=8-3", "https://www.amazon.com/Leverage-Side-Cutters-Klein-Tools-213-9NE/dp/B000KM95C2/ref=sr_1_3?keywords=Klein+Tools+D20009NEGLW+High-Visibility+Side-Cutting+Pliers+High-Leverage&amp;qid=1695173949&amp;sr=8-3")</f>
        <v>https://www.amazon.com/Leverage-Side-Cutters-Klein-Tools-213-9NE/dp/B000KM95C2/ref=sr_1_3?keywords=Klein+Tools+D20009NEGLW+High-Visibility+Side-Cutting+Pliers+High-Leverage&amp;qid=1695173949&amp;sr=8-3</v>
      </c>
      <c r="F6760" t="s">
        <v>5425</v>
      </c>
      <c r="G6760" t="e">
        <f ca="1">_xludf.IMAGE("https://edmondsonsupply.com/cdn/shop/products/d20009neglw.jpg?v=1587144933")</f>
        <v>#NAME?</v>
      </c>
      <c r="H6760" t="e">
        <f ca="1">_xludf.IMAGE("https://m.media-amazon.com/images/I/51NAqyWqRmL._AC_UL320_.jpg")</f>
        <v>#NAME?</v>
      </c>
      <c r="I6760" t="s">
        <v>4108</v>
      </c>
      <c r="J6760">
        <v>31.97</v>
      </c>
      <c r="K6760" s="4">
        <v>-0.28910000000000002</v>
      </c>
      <c r="L6760">
        <v>4.5999999999999996</v>
      </c>
      <c r="M6760">
        <v>26</v>
      </c>
      <c r="O6760" t="s">
        <v>25</v>
      </c>
      <c r="P6760" t="s">
        <v>4109</v>
      </c>
      <c r="Q6760" t="s">
        <v>4110</v>
      </c>
    </row>
    <row r="6761" spans="1:17" ht="15.5" x14ac:dyDescent="0.35">
      <c r="A6761" s="3" t="str">
        <f>HYPERLINK("https://edmondsonsupply.com/collections/electricians-tools/products/veto-pro-pac-tp-xxl-blackout-tool-pouch", "https://edmondsonsupply.com/collections/electricians-tools/products/veto-pro-pac-tp-xxl-blackout-tool-pouch")</f>
        <v>https://edmondsonsupply.com/collections/electricians-tools/products/veto-pro-pac-tp-xxl-blackout-tool-pouch</v>
      </c>
      <c r="B6761" s="3" t="str">
        <f>HYPERLINK("https://edmondsonsupply.com/products/veto-pro-pac-tp-xxl-blackout-tool-pouch", "https://edmondsonsupply.com/products/veto-pro-pac-tp-xxl-blackout-tool-pouch")</f>
        <v>https://edmondsonsupply.com/products/veto-pro-pac-tp-xxl-blackout-tool-pouch</v>
      </c>
      <c r="C6761" t="s">
        <v>758</v>
      </c>
      <c r="D6761" t="s">
        <v>318</v>
      </c>
      <c r="E6761" s="3" t="str">
        <f>HYPERLINK("https://www.amazon.com/Veto-TP-XL-Extra-Large-Pouch/dp/B07WDL7SD3/ref=sr_1_8?keywords=Veto+Pro+Pac+TP-XXL+Blackout+Tool+Pouch&amp;qid=1695173885&amp;sr=8-8", "https://www.amazon.com/Veto-TP-XL-Extra-Large-Pouch/dp/B07WDL7SD3/ref=sr_1_8?keywords=Veto+Pro+Pac+TP-XXL+Blackout+Tool+Pouch&amp;qid=1695173885&amp;sr=8-8")</f>
        <v>https://www.amazon.com/Veto-TP-XL-Extra-Large-Pouch/dp/B07WDL7SD3/ref=sr_1_8?keywords=Veto+Pro+Pac+TP-XXL+Blackout+Tool+Pouch&amp;qid=1695173885&amp;sr=8-8</v>
      </c>
      <c r="F6761" t="s">
        <v>319</v>
      </c>
      <c r="G6761" t="e">
        <f ca="1">_xludf.IMAGE("https://edmondsonsupply.com/cdn/shop/files/TP-xxl_blackout_600x830_0000_TP-XXL_BLACKOUT_0379.jpg?v=1685736106")</f>
        <v>#NAME?</v>
      </c>
      <c r="H6761" t="e">
        <f ca="1">_xludf.IMAGE("https://m.media-amazon.com/images/I/91dIbPcb4XL._AC_UL320_.jpg")</f>
        <v>#NAME?</v>
      </c>
      <c r="I6761" t="s">
        <v>759</v>
      </c>
      <c r="J6761">
        <v>169.95</v>
      </c>
      <c r="K6761" s="4">
        <v>-0.2918</v>
      </c>
      <c r="L6761">
        <v>4.9000000000000004</v>
      </c>
      <c r="M6761">
        <v>1132</v>
      </c>
      <c r="O6761" t="s">
        <v>171</v>
      </c>
      <c r="P6761" t="s">
        <v>138</v>
      </c>
      <c r="Q6761" t="s">
        <v>760</v>
      </c>
    </row>
    <row r="6762" spans="1:17" ht="15.5" x14ac:dyDescent="0.35">
      <c r="A6762" s="3" t="str">
        <f>HYPERLINK("https://edmondsonsupply.com/collections/electricians-tools/products/klein-tools-d504-10-classic-klaw%E2%84%A2-pump-pliers-10-inch", "https://edmondsonsupply.com/collections/electricians-tools/products/klein-tools-d504-10-classic-klaw%E2%84%A2-pump-pliers-10-inch")</f>
        <v>https://edmondsonsupply.com/collections/electricians-tools/products/klein-tools-d504-10-classic-klaw%E2%84%A2-pump-pliers-10-inch</v>
      </c>
      <c r="B6762" s="3" t="str">
        <f>HYPERLINK("https://edmondsonsupply.com/products/klein-tools-d504-10-classic-klaw%e2%84%a2-pump-pliers-10-inch", "https://edmondsonsupply.com/products/klein-tools-d504-10-classic-klaw%e2%84%a2-pump-pliers-10-inch")</f>
        <v>https://edmondsonsupply.com/products/klein-tools-d504-10-classic-klaw%e2%84%a2-pump-pliers-10-inch</v>
      </c>
      <c r="C6762" t="s">
        <v>3718</v>
      </c>
      <c r="D6762" t="s">
        <v>5426</v>
      </c>
      <c r="E6762" s="3" t="str">
        <f>HYPERLINK("https://www.amazon.com/Pliers-10-Inch-Klein-Tools-D502-10/dp/B0000302WC/ref=sr_1_3?keywords=Klein+Tools+D504-10+Classic+Klaw%E2%84%A2+Pump+Pliers%2C+10-Inch&amp;qid=1695173948&amp;sr=8-3", "https://www.amazon.com/Pliers-10-Inch-Klein-Tools-D502-10/dp/B0000302WC/ref=sr_1_3?keywords=Klein+Tools+D504-10+Classic+Klaw%E2%84%A2+Pump+Pliers%2C+10-Inch&amp;qid=1695173948&amp;sr=8-3")</f>
        <v>https://www.amazon.com/Pliers-10-Inch-Klein-Tools-D502-10/dp/B0000302WC/ref=sr_1_3?keywords=Klein+Tools+D504-10+Classic+Klaw%E2%84%A2+Pump+Pliers%2C+10-Inch&amp;qid=1695173948&amp;sr=8-3</v>
      </c>
      <c r="F6762" t="s">
        <v>5427</v>
      </c>
      <c r="G6762" t="e">
        <f ca="1">_xludf.IMAGE("https://edmondsonsupply.com/cdn/shop/products/d504-10.jpg?v=1587142942")</f>
        <v>#NAME?</v>
      </c>
      <c r="H6762" t="e">
        <f ca="1">_xludf.IMAGE("https://m.media-amazon.com/images/I/418n0XM7PlL._AC_UL320_.jpg")</f>
        <v>#NAME?</v>
      </c>
      <c r="I6762" t="s">
        <v>3721</v>
      </c>
      <c r="J6762">
        <v>23.99</v>
      </c>
      <c r="K6762" s="4">
        <v>-0.29380000000000001</v>
      </c>
      <c r="L6762">
        <v>4.7</v>
      </c>
      <c r="M6762">
        <v>228</v>
      </c>
      <c r="O6762" t="s">
        <v>25</v>
      </c>
      <c r="P6762" t="s">
        <v>3722</v>
      </c>
      <c r="Q6762" t="s">
        <v>3723</v>
      </c>
    </row>
    <row r="6763" spans="1:17" ht="15.5" x14ac:dyDescent="0.35">
      <c r="A6763" s="3" t="str">
        <f>HYPERLINK("https://edmondsonsupply.com/collections/electricians-tools/products/klein-tools-12098-eins-combination-pliers-insulated", "https://edmondsonsupply.com/collections/electricians-tools/products/klein-tools-12098-eins-combination-pliers-insulated")</f>
        <v>https://edmondsonsupply.com/collections/electricians-tools/products/klein-tools-12098-eins-combination-pliers-insulated</v>
      </c>
      <c r="B6763" s="3" t="str">
        <f>HYPERLINK("https://edmondsonsupply.com/products/klein-tools-12098-eins-combination-pliers-insulated", "https://edmondsonsupply.com/products/klein-tools-12098-eins-combination-pliers-insulated")</f>
        <v>https://edmondsonsupply.com/products/klein-tools-12098-eins-combination-pliers-insulated</v>
      </c>
      <c r="C6763" t="s">
        <v>8623</v>
      </c>
      <c r="D6763" t="s">
        <v>8903</v>
      </c>
      <c r="E6763" s="3" t="str">
        <f>HYPERLINK("https://www.amazon.com/Klein-Tools-20009NEEINS-Cutting-Insulated/dp/B00JGG5SAQ/ref=sr_1_7?keywords=Klein+Tools+12098-EINS+Combination+Pliers%2C+Insulated&amp;qid=1695174273&amp;sr=8-7", "https://www.amazon.com/Klein-Tools-20009NEEINS-Cutting-Insulated/dp/B00JGG5SAQ/ref=sr_1_7?keywords=Klein+Tools+12098-EINS+Combination+Pliers%2C+Insulated&amp;qid=1695174273&amp;sr=8-7")</f>
        <v>https://www.amazon.com/Klein-Tools-20009NEEINS-Cutting-Insulated/dp/B00JGG5SAQ/ref=sr_1_7?keywords=Klein+Tools+12098-EINS+Combination+Pliers%2C+Insulated&amp;qid=1695174273&amp;sr=8-7</v>
      </c>
      <c r="F6763" t="s">
        <v>8904</v>
      </c>
      <c r="G6763" t="e">
        <f ca="1">_xludf.IMAGE("https://edmondsonsupply.com/cdn/shop/products/12098eins.jpg?v=1633031039")</f>
        <v>#NAME?</v>
      </c>
      <c r="H6763" t="e">
        <f ca="1">_xludf.IMAGE("https://m.media-amazon.com/images/I/41Bo6v3C9-L._AC_UL320_.jpg")</f>
        <v>#NAME?</v>
      </c>
      <c r="I6763" t="s">
        <v>320</v>
      </c>
      <c r="J6763">
        <v>52.9</v>
      </c>
      <c r="K6763" s="4">
        <v>-0.29459999999999997</v>
      </c>
      <c r="L6763">
        <v>4.7</v>
      </c>
      <c r="M6763">
        <v>242</v>
      </c>
      <c r="O6763" t="s">
        <v>25</v>
      </c>
      <c r="P6763" t="s">
        <v>8624</v>
      </c>
      <c r="Q6763" t="s">
        <v>8625</v>
      </c>
    </row>
    <row r="6764" spans="1:17" ht="15.5" x14ac:dyDescent="0.35">
      <c r="A6764" s="3" t="str">
        <f>HYPERLINK("https://edmondsonsupply.com/collections/electricians-tools/products/diablo-tools-dag3090-7-8-in-x-17-1-2-in-auger-bit", "https://edmondsonsupply.com/collections/electricians-tools/products/diablo-tools-dag3090-7-8-in-x-17-1-2-in-auger-bit")</f>
        <v>https://edmondsonsupply.com/collections/electricians-tools/products/diablo-tools-dag3090-7-8-in-x-17-1-2-in-auger-bit</v>
      </c>
      <c r="B6764" s="3" t="str">
        <f>HYPERLINK("https://edmondsonsupply.com/products/diablo-tools-dag3090-7-8-in-x-17-1-2-in-auger-bit", "https://edmondsonsupply.com/products/diablo-tools-dag3090-7-8-in-x-17-1-2-in-auger-bit")</f>
        <v>https://edmondsonsupply.com/products/diablo-tools-dag3090-7-8-in-x-17-1-2-in-auger-bit</v>
      </c>
      <c r="C6764" t="s">
        <v>7269</v>
      </c>
      <c r="D6764" t="s">
        <v>8476</v>
      </c>
      <c r="E6764" s="3" t="str">
        <f>HYPERLINK("https://www.amazon.com/Diablo-DAG3020-17-1-Auger-Bit/dp/B089LGWKFF/ref=sr_1_7?keywords=Diablo+Tools+DAG3090+7%2F8+in.+x+17-1%2F2+in.+Auger+Bit&amp;qid=1695174065&amp;sr=8-7", "https://www.amazon.com/Diablo-DAG3020-17-1-Auger-Bit/dp/B089LGWKFF/ref=sr_1_7?keywords=Diablo+Tools+DAG3090+7%2F8+in.+x+17-1%2F2+in.+Auger+Bit&amp;qid=1695174065&amp;sr=8-7")</f>
        <v>https://www.amazon.com/Diablo-DAG3020-17-1-Auger-Bit/dp/B089LGWKFF/ref=sr_1_7?keywords=Diablo+Tools+DAG3090+7%2F8+in.+x+17-1%2F2+in.+Auger+Bit&amp;qid=1695174065&amp;sr=8-7</v>
      </c>
      <c r="F6764" t="s">
        <v>8477</v>
      </c>
      <c r="G6764" t="e">
        <f ca="1">_xludf.IMAGE("https://edmondsonsupply.com/cdn/shop/products/aorgtpkivjubhtbiiau0.webp?v=1677256849")</f>
        <v>#NAME?</v>
      </c>
      <c r="H6764" t="e">
        <f ca="1">_xludf.IMAGE("https://m.media-amazon.com/images/I/61XUUNTev0L._AC_UL320_.jpg")</f>
        <v>#NAME?</v>
      </c>
      <c r="I6764" t="s">
        <v>1589</v>
      </c>
      <c r="J6764">
        <v>16.21</v>
      </c>
      <c r="K6764" s="4">
        <v>-0.2949</v>
      </c>
      <c r="L6764">
        <v>5</v>
      </c>
      <c r="M6764">
        <v>2</v>
      </c>
      <c r="O6764" t="s">
        <v>25</v>
      </c>
      <c r="P6764" t="s">
        <v>7270</v>
      </c>
      <c r="Q6764" t="s">
        <v>7271</v>
      </c>
    </row>
    <row r="6765" spans="1:17" ht="15.5" x14ac:dyDescent="0.35">
      <c r="A6765"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6765"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6765" t="s">
        <v>8905</v>
      </c>
      <c r="D6765" t="s">
        <v>8906</v>
      </c>
      <c r="E6765" s="3" t="str">
        <f>HYPERLINK("https://www.amazon.com/Milwaukee-48-11-2411-M12-Lithium-Ion-Battery/dp/B0916HCLDW/ref=sr_1_7?keywords=Milwaukee+48-11-2411+M12+REDLITHIUM%E2%84%A2+Compact+Battery+Two+Pack&amp;qid=1695174226&amp;sr=8-7", "https://www.amazon.com/Milwaukee-48-11-2411-M12-Lithium-Ion-Battery/dp/B0916HCLDW/ref=sr_1_7?keywords=Milwaukee+48-11-2411+M12+REDLITHIUM%E2%84%A2+Compact+Battery+Two+Pack&amp;qid=1695174226&amp;sr=8-7")</f>
        <v>https://www.amazon.com/Milwaukee-48-11-2411-M12-Lithium-Ion-Battery/dp/B0916HCLDW/ref=sr_1_7?keywords=Milwaukee+48-11-2411+M12+REDLITHIUM%E2%84%A2+Compact+Battery+Two+Pack&amp;qid=1695174226&amp;sr=8-7</v>
      </c>
      <c r="F6765" t="s">
        <v>8907</v>
      </c>
      <c r="G6765" t="e">
        <f ca="1">_xludf.IMAGE("https://edmondsonsupply.com/cdn/shop/products/65014_48-11-2411-lg.jpg?v=1655484824")</f>
        <v>#NAME?</v>
      </c>
      <c r="H6765" t="e">
        <f ca="1">_xludf.IMAGE("https://m.media-amazon.com/images/I/61ZHex5zArL._AC_UL320_.jpg")</f>
        <v>#NAME?</v>
      </c>
      <c r="I6765" t="s">
        <v>3253</v>
      </c>
      <c r="J6765">
        <v>62.6</v>
      </c>
      <c r="K6765" s="4">
        <v>-0.29659999999999997</v>
      </c>
      <c r="L6765">
        <v>4.5</v>
      </c>
      <c r="M6765">
        <v>109</v>
      </c>
      <c r="O6765" t="s">
        <v>171</v>
      </c>
      <c r="P6765" t="s">
        <v>8908</v>
      </c>
      <c r="Q6765" t="s">
        <v>8909</v>
      </c>
    </row>
    <row r="6766" spans="1:17" ht="15.5" x14ac:dyDescent="0.35">
      <c r="A6766" s="3" t="str">
        <f>HYPERLINK("https://edmondsonsupply.com/collections/electricians-tools/products/milwaukee-2746-21ct-m18-fuel%E2%84%A2-18-gauge-brad-nailer-kit", "https://edmondsonsupply.com/collections/electricians-tools/products/milwaukee-2746-21ct-m18-fuel%E2%84%A2-18-gauge-brad-nailer-kit")</f>
        <v>https://edmondsonsupply.com/collections/electricians-tools/products/milwaukee-2746-21ct-m18-fuel%E2%84%A2-18-gauge-brad-nailer-kit</v>
      </c>
      <c r="B6766" s="3" t="str">
        <f>HYPERLINK("https://edmondsonsupply.com/products/milwaukee-2746-21ct-m18-fuel%e2%84%a2-18-gauge-brad-nailer-kit", "https://edmondsonsupply.com/products/milwaukee-2746-21ct-m18-fuel%e2%84%a2-18-gauge-brad-nailer-kit")</f>
        <v>https://edmondsonsupply.com/products/milwaukee-2746-21ct-m18-fuel%e2%84%a2-18-gauge-brad-nailer-kit</v>
      </c>
      <c r="C6766" t="s">
        <v>8910</v>
      </c>
      <c r="D6766" t="s">
        <v>8440</v>
      </c>
      <c r="E6766" s="3" t="str">
        <f>HYPERLINK("https://www.amazon.com/Milwaukee-2746-20-FUEL-Gauge-Nailer/dp/B07VYJQ1KP/ref=sr_1_2?keywords=Milwaukee+2746-21CT+M18+FUEL%E2%84%A2+18+Gauge+Brad+Nailer+Kit&amp;qid=1695174106&amp;sr=8-2", "https://www.amazon.com/Milwaukee-2746-20-FUEL-Gauge-Nailer/dp/B07VYJQ1KP/ref=sr_1_2?keywords=Milwaukee+2746-21CT+M18+FUEL%E2%84%A2+18+Gauge+Brad+Nailer+Kit&amp;qid=1695174106&amp;sr=8-2")</f>
        <v>https://www.amazon.com/Milwaukee-2746-20-FUEL-Gauge-Nailer/dp/B07VYJQ1KP/ref=sr_1_2?keywords=Milwaukee+2746-21CT+M18+FUEL%E2%84%A2+18+Gauge+Brad+Nailer+Kit&amp;qid=1695174106&amp;sr=8-2</v>
      </c>
      <c r="F6766" t="s">
        <v>8441</v>
      </c>
      <c r="G6766" t="e">
        <f ca="1">_xludf.IMAGE("https://edmondsonsupply.com/cdn/shop/products/2746-21CT_KIT.webp?v=1671649531")</f>
        <v>#NAME?</v>
      </c>
      <c r="H6766" t="e">
        <f ca="1">_xludf.IMAGE("https://m.media-amazon.com/images/I/71UbSbRsStL._AC_UL320_.jpg")</f>
        <v>#NAME?</v>
      </c>
      <c r="I6766" t="s">
        <v>4208</v>
      </c>
      <c r="J6766">
        <v>280</v>
      </c>
      <c r="K6766" s="4">
        <v>-0.29820000000000002</v>
      </c>
      <c r="L6766">
        <v>4.7</v>
      </c>
      <c r="M6766">
        <v>673</v>
      </c>
      <c r="O6766" t="s">
        <v>25</v>
      </c>
      <c r="P6766" t="s">
        <v>8911</v>
      </c>
      <c r="Q6766" t="s">
        <v>8912</v>
      </c>
    </row>
    <row r="6767" spans="1:17" ht="15.5" x14ac:dyDescent="0.35">
      <c r="A6767"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6767"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6767" t="s">
        <v>7150</v>
      </c>
      <c r="D6767" t="s">
        <v>7931</v>
      </c>
      <c r="E6767" s="3" t="str">
        <f>HYPERLINK("https://www.amazon.com/Klein-Tools-CL220-Auto-Ranging-Temperature/dp/B08CFWMYYY/ref=sr_1_2?keywords=Klein+Tools+CL390+AC%2FDC+Digital+Clamp+Meter%2C+Auto-Ranging+400+Amp&amp;qid=1695174165&amp;sr=8-2", "https://www.amazon.com/Klein-Tools-CL220-Auto-Ranging-Temperature/dp/B08CFWMYYY/ref=sr_1_2?keywords=Klein+Tools+CL390+AC%2FDC+Digital+Clamp+Meter%2C+Auto-Ranging+400+Amp&amp;qid=1695174165&amp;sr=8-2")</f>
        <v>https://www.amazon.com/Klein-Tools-CL220-Auto-Ranging-Temperature/dp/B08CFWMYYY/ref=sr_1_2?keywords=Klein+Tools+CL390+AC%2FDC+Digital+Clamp+Meter%2C+Auto-Ranging+400+Amp&amp;qid=1695174165&amp;sr=8-2</v>
      </c>
      <c r="F6767" t="s">
        <v>7932</v>
      </c>
      <c r="G6767" t="e">
        <f ca="1">_xludf.IMAGE("https://edmondsonsupply.com/cdn/shop/products/cl390.jpg?v=1662670722")</f>
        <v>#NAME?</v>
      </c>
      <c r="H6767" t="e">
        <f ca="1">_xludf.IMAGE("https://m.media-amazon.com/images/I/61PTwVjeWtL._AC_UY218_.jpg")</f>
        <v>#NAME?</v>
      </c>
      <c r="I6767" t="s">
        <v>545</v>
      </c>
      <c r="J6767">
        <v>69.97</v>
      </c>
      <c r="K6767" s="4">
        <v>-0.30009999999999998</v>
      </c>
      <c r="L6767">
        <v>4.7</v>
      </c>
      <c r="M6767">
        <v>811</v>
      </c>
      <c r="O6767" t="s">
        <v>25</v>
      </c>
      <c r="P6767" t="s">
        <v>7153</v>
      </c>
      <c r="Q6767" t="s">
        <v>7154</v>
      </c>
    </row>
    <row r="6768" spans="1:17" ht="15.5" x14ac:dyDescent="0.35">
      <c r="A6768"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6768"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6768" t="s">
        <v>960</v>
      </c>
      <c r="D6768" t="s">
        <v>974</v>
      </c>
      <c r="E6768" s="3" t="str">
        <f>HYPERLINK("https://www.amazon.com/Klein-Tools-60537-Professional-Protective/dp/B0BLQM26TJ/ref=sr_1_4?keywords=Klein+Tools+60539+Professional+Safety+Glasses%2C+Full+Frame%2C+Polarized+Lens&amp;qid=1695174102&amp;sr=8-4", "https://www.amazon.com/Klein-Tools-60537-Professional-Protective/dp/B0BLQM26TJ/ref=sr_1_4?keywords=Klein+Tools+60539+Professional+Safety+Glasses%2C+Full+Frame%2C+Polarized+Lens&amp;qid=1695174102&amp;sr=8-4")</f>
        <v>https://www.amazon.com/Klein-Tools-60537-Professional-Protective/dp/B0BLQM26TJ/ref=sr_1_4?keywords=Klein+Tools+60539+Professional+Safety+Glasses%2C+Full+Frame%2C+Polarized+Lens&amp;qid=1695174102&amp;sr=8-4</v>
      </c>
      <c r="F6768" t="s">
        <v>975</v>
      </c>
      <c r="G6768" t="e">
        <f ca="1">_xludf.IMAGE("https://edmondsonsupply.com/cdn/shop/products/60539.jpg?v=1670948006")</f>
        <v>#NAME?</v>
      </c>
      <c r="H6768" t="e">
        <f ca="1">_xludf.IMAGE("https://m.media-amazon.com/images/I/41ZbdEu2lCL._AC_UL320_.jpg")</f>
        <v>#NAME?</v>
      </c>
      <c r="I6768" t="s">
        <v>26</v>
      </c>
      <c r="J6768">
        <v>20.99</v>
      </c>
      <c r="K6768" s="4">
        <v>-0.30009999999999998</v>
      </c>
      <c r="L6768">
        <v>4.5</v>
      </c>
      <c r="M6768">
        <v>15</v>
      </c>
      <c r="O6768" t="s">
        <v>25</v>
      </c>
      <c r="P6768" t="s">
        <v>562</v>
      </c>
      <c r="Q6768" t="s">
        <v>961</v>
      </c>
    </row>
    <row r="6769" spans="1:17" ht="15.5" x14ac:dyDescent="0.35">
      <c r="A6769"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6769" s="3" t="str">
        <f>HYPERLINK("https://edmondsonsupply.com/products/fluke-st120-gfci-socket-tester-with-beeper", "https://edmondsonsupply.com/products/fluke-st120-gfci-socket-tester-with-beeper")</f>
        <v>https://edmondsonsupply.com/products/fluke-st120-gfci-socket-tester-with-beeper</v>
      </c>
      <c r="C6769" t="s">
        <v>8860</v>
      </c>
      <c r="D6769" t="s">
        <v>8551</v>
      </c>
      <c r="E6769" s="3" t="str">
        <f>HYPERLINK("https://www.amazon.com/FBLFOBELI-Carrying-Compatible-Audible-Beeper%EF%BC%8CShockproof/dp/B0BN4XRLXJ/ref=sr_1_4?keywords=Fluke+ST120%2B+GFCI+Socket+Tester+with+Beeper&amp;qid=1695174161&amp;sr=8-4", "https://www.amazon.com/FBLFOBELI-Carrying-Compatible-Audible-Beeper%EF%BC%8CShockproof/dp/B0BN4XRLXJ/ref=sr_1_4?keywords=Fluke+ST120%2B+GFCI+Socket+Tester+with+Beeper&amp;qid=1695174161&amp;sr=8-4")</f>
        <v>https://www.amazon.com/FBLFOBELI-Carrying-Compatible-Audible-Beeper%EF%BC%8CShockproof/dp/B0BN4XRLXJ/ref=sr_1_4?keywords=Fluke+ST120%2B+GFCI+Socket+Tester+with+Beeper&amp;qid=1695174161&amp;sr=8-4</v>
      </c>
      <c r="F6769" t="s">
        <v>8552</v>
      </c>
      <c r="G6769" t="e">
        <f ca="1">_xludf.IMAGE("https://edmondsonsupply.com/cdn/shop/products/F-st120-plus_01a_w.webp?v=1662582919")</f>
        <v>#NAME?</v>
      </c>
      <c r="H6769" t="e">
        <f ca="1">_xludf.IMAGE("https://m.media-amazon.com/images/I/719YjA+Nx8L._AC_UL320_.jpg")</f>
        <v>#NAME?</v>
      </c>
      <c r="I6769" t="s">
        <v>577</v>
      </c>
      <c r="J6769">
        <v>13.99</v>
      </c>
      <c r="K6769" s="4">
        <v>-0.30020000000000002</v>
      </c>
      <c r="L6769">
        <v>5</v>
      </c>
      <c r="M6769">
        <v>1</v>
      </c>
      <c r="O6769" t="s">
        <v>25</v>
      </c>
      <c r="P6769" t="s">
        <v>1158</v>
      </c>
      <c r="Q6769" t="s">
        <v>8861</v>
      </c>
    </row>
    <row r="6770" spans="1:17" ht="15.5" x14ac:dyDescent="0.35">
      <c r="A6770"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6770" s="3" t="str">
        <f>HYPERLINK("https://edmondsonsupply.com/products/fluke-st120-gfci-socket-tester-with-beeper", "https://edmondsonsupply.com/products/fluke-st120-gfci-socket-tester-with-beeper")</f>
        <v>https://edmondsonsupply.com/products/fluke-st120-gfci-socket-tester-with-beeper</v>
      </c>
      <c r="C6770" t="s">
        <v>8860</v>
      </c>
      <c r="D6770" t="s">
        <v>8549</v>
      </c>
      <c r="E6770" s="3" t="str">
        <f>HYPERLINK("https://www.amazon.com/Tourmate-Compatible-Fluke-Socket-Tester/dp/B0BPXRYTQQ/ref=sr_1_10?keywords=Fluke+ST120%2B+GFCI+Socket+Tester+with+Beeper&amp;qid=1695174161&amp;sr=8-10", "https://www.amazon.com/Tourmate-Compatible-Fluke-Socket-Tester/dp/B0BPXRYTQQ/ref=sr_1_10?keywords=Fluke+ST120%2B+GFCI+Socket+Tester+with+Beeper&amp;qid=1695174161&amp;sr=8-10")</f>
        <v>https://www.amazon.com/Tourmate-Compatible-Fluke-Socket-Tester/dp/B0BPXRYTQQ/ref=sr_1_10?keywords=Fluke+ST120%2B+GFCI+Socket+Tester+with+Beeper&amp;qid=1695174161&amp;sr=8-10</v>
      </c>
      <c r="F6770" t="s">
        <v>8550</v>
      </c>
      <c r="G6770" t="e">
        <f ca="1">_xludf.IMAGE("https://edmondsonsupply.com/cdn/shop/products/F-st120-plus_01a_w.webp?v=1662582919")</f>
        <v>#NAME?</v>
      </c>
      <c r="H6770" t="e">
        <f ca="1">_xludf.IMAGE("https://m.media-amazon.com/images/I/7120nRtCXWL._AC_UL320_.jpg")</f>
        <v>#NAME?</v>
      </c>
      <c r="I6770" t="s">
        <v>577</v>
      </c>
      <c r="J6770">
        <v>13.99</v>
      </c>
      <c r="K6770" s="4">
        <v>-0.30020000000000002</v>
      </c>
      <c r="L6770">
        <v>3.4</v>
      </c>
      <c r="M6770">
        <v>3</v>
      </c>
      <c r="O6770" t="s">
        <v>25</v>
      </c>
      <c r="P6770" t="s">
        <v>1158</v>
      </c>
      <c r="Q6770" t="s">
        <v>8861</v>
      </c>
    </row>
    <row r="6771" spans="1:17" ht="15.5" x14ac:dyDescent="0.35">
      <c r="A6771"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6771"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6771" t="s">
        <v>7055</v>
      </c>
      <c r="D6771" t="s">
        <v>4572</v>
      </c>
      <c r="E6771" s="3" t="str">
        <f>HYPERLINK("https://www.amazon.com/Klein-Tools-1019-Connectors-Terminals/dp/B07GFYBW4V/ref=sr_1_4?keywords=Klein+Tools+11055RINS+Insulated+Klein-Kurve%C2%AE+Wire+Stripper+and+Cutter&amp;qid=1695174134&amp;sr=8-4", "https://www.amazon.com/Klein-Tools-1019-Connectors-Terminals/dp/B07GFYBW4V/ref=sr_1_4?keywords=Klein+Tools+11055RINS+Insulated+Klein-Kurve%C2%AE+Wire+Stripper+and+Cutter&amp;qid=1695174134&amp;sr=8-4")</f>
        <v>https://www.amazon.com/Klein-Tools-1019-Connectors-Terminals/dp/B07GFYBW4V/ref=sr_1_4?keywords=Klein+Tools+11055RINS+Insulated+Klein-Kurve%C2%AE+Wire+Stripper+and+Cutter&amp;qid=1695174134&amp;sr=8-4</v>
      </c>
      <c r="F6771" t="s">
        <v>4573</v>
      </c>
      <c r="G6771" t="e">
        <f ca="1">_xludf.IMAGE("https://edmondsonsupply.com/cdn/shop/products/11055rins.jpg?v=1667236979")</f>
        <v>#NAME?</v>
      </c>
      <c r="H6771" t="e">
        <f ca="1">_xludf.IMAGE("https://m.media-amazon.com/images/I/41CdFsk2lFL._AC_UL320_.jpg")</f>
        <v>#NAME?</v>
      </c>
      <c r="I6771" t="s">
        <v>824</v>
      </c>
      <c r="J6771">
        <v>20.97</v>
      </c>
      <c r="K6771" s="4">
        <v>-0.30030000000000001</v>
      </c>
      <c r="L6771">
        <v>4.7</v>
      </c>
      <c r="M6771">
        <v>1802</v>
      </c>
      <c r="O6771" t="s">
        <v>25</v>
      </c>
      <c r="P6771" t="s">
        <v>562</v>
      </c>
      <c r="Q6771" t="s">
        <v>7056</v>
      </c>
    </row>
    <row r="6772" spans="1:17" ht="15.5" x14ac:dyDescent="0.35">
      <c r="A6772"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6772"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6772" t="s">
        <v>7055</v>
      </c>
      <c r="D6772" t="s">
        <v>4576</v>
      </c>
      <c r="E6772" s="3" t="str">
        <f>HYPERLINK("https://www.amazon.com/Klein-Kurve-Stripper-Klein-Tools-11053/dp/B000MKH0YC/ref=sr_1_3?keywords=Klein+Tools+11055RINS+Insulated+Klein-Kurve%C2%AE+Wire+Stripper+and+Cutter&amp;qid=1695174134&amp;sr=8-3", "https://www.amazon.com/Klein-Kurve-Stripper-Klein-Tools-11053/dp/B000MKH0YC/ref=sr_1_3?keywords=Klein+Tools+11055RINS+Insulated+Klein-Kurve%C2%AE+Wire+Stripper+and+Cutter&amp;qid=1695174134&amp;sr=8-3")</f>
        <v>https://www.amazon.com/Klein-Kurve-Stripper-Klein-Tools-11053/dp/B000MKH0YC/ref=sr_1_3?keywords=Klein+Tools+11055RINS+Insulated+Klein-Kurve%C2%AE+Wire+Stripper+and+Cutter&amp;qid=1695174134&amp;sr=8-3</v>
      </c>
      <c r="F6772" t="s">
        <v>4577</v>
      </c>
      <c r="G6772" t="e">
        <f ca="1">_xludf.IMAGE("https://edmondsonsupply.com/cdn/shop/products/11055rins.jpg?v=1667236979")</f>
        <v>#NAME?</v>
      </c>
      <c r="H6772" t="e">
        <f ca="1">_xludf.IMAGE("https://m.media-amazon.com/images/I/51eHDSucYhL._AC_UL320_.jpg")</f>
        <v>#NAME?</v>
      </c>
      <c r="I6772" t="s">
        <v>824</v>
      </c>
      <c r="J6772">
        <v>20.97</v>
      </c>
      <c r="K6772" s="4">
        <v>-0.30030000000000001</v>
      </c>
      <c r="L6772">
        <v>4.8</v>
      </c>
      <c r="M6772">
        <v>2989</v>
      </c>
      <c r="O6772" t="s">
        <v>25</v>
      </c>
      <c r="P6772" t="s">
        <v>562</v>
      </c>
      <c r="Q6772" t="s">
        <v>7056</v>
      </c>
    </row>
    <row r="6773" spans="1:17" ht="15.5" x14ac:dyDescent="0.35">
      <c r="A6773" s="3" t="str">
        <f>HYPERLINK("https://edmondsonsupply.com/collections/electricians-tools/products/diablo-tools-dag1110-7-8-in-x-7-1-2-in-auger-bit", "https://edmondsonsupply.com/collections/electricians-tools/products/diablo-tools-dag1110-7-8-in-x-7-1-2-in-auger-bit")</f>
        <v>https://edmondsonsupply.com/collections/electricians-tools/products/diablo-tools-dag1110-7-8-in-x-7-1-2-in-auger-bit</v>
      </c>
      <c r="B6773" s="3" t="str">
        <f>HYPERLINK("https://edmondsonsupply.com/products/diablo-tools-dag1110-7-8-in-x-7-1-2-in-auger-bit", "https://edmondsonsupply.com/products/diablo-tools-dag1110-7-8-in-x-7-1-2-in-auger-bit")</f>
        <v>https://edmondsonsupply.com/products/diablo-tools-dag1110-7-8-in-x-7-1-2-in-auger-bit</v>
      </c>
      <c r="C6773" t="s">
        <v>6839</v>
      </c>
      <c r="D6773" t="s">
        <v>5407</v>
      </c>
      <c r="E6773" s="3" t="str">
        <f>HYPERLINK("https://www.amazon.com/Diablo-DAG1010-7-1-Auger-Bit/dp/B089LG7B4D/ref=sr_1_7?keywords=Diablo+Tools+DAG1110+7%2F8+in.+x+7-1%2F2+in.+Auger+Bit&amp;qid=1695174030&amp;sr=8-7", "https://www.amazon.com/Diablo-DAG1010-7-1-Auger-Bit/dp/B089LG7B4D/ref=sr_1_7?keywords=Diablo+Tools+DAG1110+7%2F8+in.+x+7-1%2F2+in.+Auger+Bit&amp;qid=1695174030&amp;sr=8-7")</f>
        <v>https://www.amazon.com/Diablo-DAG1010-7-1-Auger-Bit/dp/B089LG7B4D/ref=sr_1_7?keywords=Diablo+Tools+DAG1110+7%2F8+in.+x+7-1%2F2+in.+Auger+Bit&amp;qid=1695174030&amp;sr=8-7</v>
      </c>
      <c r="F6773" t="s">
        <v>5408</v>
      </c>
      <c r="G6773" t="e">
        <f ca="1">_xludf.IMAGE("https://edmondsonsupply.com/cdn/shop/products/yel7mbaiyy08ii0assd5.webp?v=1680187136")</f>
        <v>#NAME?</v>
      </c>
      <c r="H6773" t="e">
        <f ca="1">_xludf.IMAGE("https://m.media-amazon.com/images/I/618M4WXOShL._AC_UL320_.jpg")</f>
        <v>#NAME?</v>
      </c>
      <c r="I6773" t="s">
        <v>4985</v>
      </c>
      <c r="J6773">
        <v>11.86</v>
      </c>
      <c r="K6773" s="4">
        <v>-0.30109999999999998</v>
      </c>
      <c r="L6773">
        <v>3.2</v>
      </c>
      <c r="M6773">
        <v>5</v>
      </c>
      <c r="O6773" t="s">
        <v>25</v>
      </c>
      <c r="P6773" t="s">
        <v>6840</v>
      </c>
      <c r="Q6773" t="s">
        <v>6841</v>
      </c>
    </row>
    <row r="6774" spans="1:17" ht="15.5" x14ac:dyDescent="0.35">
      <c r="A6774" s="3" t="str">
        <f>HYPERLINK("https://edmondsonsupply.com/collections/electricians-tools/products/tajima-gp-16bw-g-plus%E2%84%A2-standard-scale-16-ft-x-1-in-steel-blade-tape-measure", "https://edmondsonsupply.com/collections/electricians-tools/products/tajima-gp-16bw-g-plus%E2%84%A2-standard-scale-16-ft-x-1-in-steel-blade-tape-measure")</f>
        <v>https://edmondsonsupply.com/collections/electricians-tools/products/tajima-gp-16bw-g-plus%E2%84%A2-standard-scale-16-ft-x-1-in-steel-blade-tape-measure</v>
      </c>
      <c r="B6774" s="3" t="str">
        <f>HYPERLINK("https://edmondsonsupply.com/products/tajima-gp-16bw-g-plus%e2%84%a2-standard-scale-16-ft-x-1-in-steel-blade-tape-measure", "https://edmondsonsupply.com/products/tajima-gp-16bw-g-plus%e2%84%a2-standard-scale-16-ft-x-1-in-steel-blade-tape-measure")</f>
        <v>https://edmondsonsupply.com/products/tajima-gp-16bw-g-plus%e2%84%a2-standard-scale-16-ft-x-1-in-steel-blade-tape-measure</v>
      </c>
      <c r="C6774" t="s">
        <v>8407</v>
      </c>
      <c r="D6774" t="s">
        <v>8913</v>
      </c>
      <c r="E6774" s="3" t="str">
        <f>HYPERLINK("https://www.amazon.com/Tajima-SSSF-16BW-Standard-Measure-Safety/dp/B08J5LNKRM/ref=sr_1_3?keywords=Tajima+GP-16BW+G-PLUS%E2%84%A2+Standard+Scale%2C+16+ft+x+1+in.+Steel+Blade+Tape+Measure&amp;qid=1695174198&amp;sr=8-3", "https://www.amazon.com/Tajima-SSSF-16BW-Standard-Measure-Safety/dp/B08J5LNKRM/ref=sr_1_3?keywords=Tajima+GP-16BW+G-PLUS%E2%84%A2+Standard+Scale%2C+16+ft+x+1+in.+Steel+Blade+Tape+Measure&amp;qid=1695174198&amp;sr=8-3")</f>
        <v>https://www.amazon.com/Tajima-SSSF-16BW-Standard-Measure-Safety/dp/B08J5LNKRM/ref=sr_1_3?keywords=Tajima+GP-16BW+G-PLUS%E2%84%A2+Standard+Scale%2C+16+ft+x+1+in.+Steel+Blade+Tape+Measure&amp;qid=1695174198&amp;sr=8-3</v>
      </c>
      <c r="F6774" t="s">
        <v>8914</v>
      </c>
      <c r="G6774" t="e">
        <f ca="1">_xludf.IMAGE("https://edmondsonsupply.com/cdn/shop/products/GP-16BW_s-2.jpg?v=1655821133")</f>
        <v>#NAME?</v>
      </c>
      <c r="H6774" t="e">
        <f ca="1">_xludf.IMAGE("https://m.media-amazon.com/images/I/613rTXdWSyL._AC_UL320_.jpg")</f>
        <v>#NAME?</v>
      </c>
      <c r="I6774" t="s">
        <v>8410</v>
      </c>
      <c r="J6774">
        <v>21.37</v>
      </c>
      <c r="K6774" s="4">
        <v>-0.3014</v>
      </c>
      <c r="L6774">
        <v>4.5999999999999996</v>
      </c>
      <c r="M6774">
        <v>138</v>
      </c>
      <c r="O6774" t="s">
        <v>25</v>
      </c>
      <c r="P6774" t="s">
        <v>138</v>
      </c>
      <c r="Q6774" t="s">
        <v>8411</v>
      </c>
    </row>
    <row r="6775" spans="1:17" ht="15.5" x14ac:dyDescent="0.35">
      <c r="A6775" s="3" t="str">
        <f>HYPERLINK("https://edmondsonsupply.com/collections/electricians-tools/products/milwaukee-48-22-0335-35ft-compact-wide-blade-magnetic-tape-measure", "https://edmondsonsupply.com/collections/electricians-tools/products/milwaukee-48-22-0335-35ft-compact-wide-blade-magnetic-tape-measure")</f>
        <v>https://edmondsonsupply.com/collections/electricians-tools/products/milwaukee-48-22-0335-35ft-compact-wide-blade-magnetic-tape-measure</v>
      </c>
      <c r="B6775" s="3" t="str">
        <f>HYPERLINK("https://edmondsonsupply.com/products/milwaukee-48-22-0335-35ft-compact-wide-blade-magnetic-tape-measure", "https://edmondsonsupply.com/products/milwaukee-48-22-0335-35ft-compact-wide-blade-magnetic-tape-measure")</f>
        <v>https://edmondsonsupply.com/products/milwaukee-48-22-0335-35ft-compact-wide-blade-magnetic-tape-measure</v>
      </c>
      <c r="C6775" t="s">
        <v>5437</v>
      </c>
      <c r="D6775" t="s">
        <v>5438</v>
      </c>
      <c r="E6775" s="3" t="str">
        <f>HYPERLINK("https://www.amazon.com/Milwaukee-48-22-0325-Compact-Magnetic-Measures/dp/B082L6Q7WV/ref=sr_1_1?keywords=Milwaukee+48-22-0335+35ft+Compact+Wide+Blade+Magnetic+Tape+Measure&amp;qid=1695173978&amp;sr=8-1", "https://www.amazon.com/Milwaukee-48-22-0325-Compact-Magnetic-Measures/dp/B082L6Q7WV/ref=sr_1_1?keywords=Milwaukee+48-22-0335+35ft+Compact+Wide+Blade+Magnetic+Tape+Measure&amp;qid=1695173978&amp;sr=8-1")</f>
        <v>https://www.amazon.com/Milwaukee-48-22-0325-Compact-Magnetic-Measures/dp/B082L6Q7WV/ref=sr_1_1?keywords=Milwaukee+48-22-0335+35ft+Compact+Wide+Blade+Magnetic+Tape+Measure&amp;qid=1695173978&amp;sr=8-1</v>
      </c>
      <c r="F6775" t="s">
        <v>5439</v>
      </c>
      <c r="G6775" t="e">
        <f ca="1">_xludf.IMAGE("https://edmondsonsupply.com/cdn/shop/files/48-22-0335_1.png?v=1690302822")</f>
        <v>#NAME?</v>
      </c>
      <c r="H6775" t="e">
        <f ca="1">_xludf.IMAGE("https://m.media-amazon.com/images/I/41gSokc+0RL._AC_UL320_.jpg")</f>
        <v>#NAME?</v>
      </c>
      <c r="I6775" t="s">
        <v>5440</v>
      </c>
      <c r="J6775">
        <v>22.97</v>
      </c>
      <c r="K6775" s="4">
        <v>-0.30330000000000001</v>
      </c>
      <c r="L6775">
        <v>4.5</v>
      </c>
      <c r="M6775">
        <v>206</v>
      </c>
      <c r="O6775" t="s">
        <v>25</v>
      </c>
      <c r="P6775" t="s">
        <v>5441</v>
      </c>
      <c r="Q6775" t="s">
        <v>5442</v>
      </c>
    </row>
    <row r="6776" spans="1:17" ht="15.5" x14ac:dyDescent="0.35">
      <c r="A6776" s="3" t="str">
        <f>HYPERLINK("https://edmondsonsupply.com/collections/electricians-tools/products/tajima-gs-25bw-gs-lock%E2%84%A2-standard-scale-25-ft-x-1-in-steel-blade-tape-measure", "https://edmondsonsupply.com/collections/electricians-tools/products/tajima-gs-25bw-gs-lock%E2%84%A2-standard-scale-25-ft-x-1-in-steel-blade-tape-measure")</f>
        <v>https://edmondsonsupply.com/collections/electricians-tools/products/tajima-gs-25bw-gs-lock%E2%84%A2-standard-scale-25-ft-x-1-in-steel-blade-tape-measure</v>
      </c>
      <c r="B6776" s="3" t="str">
        <f>HYPERLINK("https://edmondsonsupply.com/products/tajima-gs-25bw-gs-lock%e2%84%a2-standard-scale-25-ft-x-1-in-steel-blade-tape-measure", "https://edmondsonsupply.com/products/tajima-gs-25bw-gs-lock%e2%84%a2-standard-scale-25-ft-x-1-in-steel-blade-tape-measure")</f>
        <v>https://edmondsonsupply.com/products/tajima-gs-25bw-gs-lock%e2%84%a2-standard-scale-25-ft-x-1-in-steel-blade-tape-measure</v>
      </c>
      <c r="C6776" t="s">
        <v>7634</v>
      </c>
      <c r="D6776" t="s">
        <v>8915</v>
      </c>
      <c r="E6776" s="3" t="str">
        <f>HYPERLINK("https://www.amazon.com/TAJIMA-Tape-Measure-Measuring-Resistant/dp/B07KK41D2P/ref=sr_1_3?keywords=Tajima+GS-25BW+GS+Lock%E2%84%A2+Standard+Scale%2C+25+ft+x+1-1%2F16+in.+Steel+Blade+Tape+Measure&amp;qid=1695174184&amp;sr=8-3", "https://www.amazon.com/TAJIMA-Tape-Measure-Measuring-Resistant/dp/B07KK41D2P/ref=sr_1_3?keywords=Tajima+GS-25BW+GS+Lock%E2%84%A2+Standard+Scale%2C+25+ft+x+1-1%2F16+in.+Steel+Blade+Tape+Measure&amp;qid=1695174184&amp;sr=8-3")</f>
        <v>https://www.amazon.com/TAJIMA-Tape-Measure-Measuring-Resistant/dp/B07KK41D2P/ref=sr_1_3?keywords=Tajima+GS-25BW+GS+Lock%E2%84%A2+Standard+Scale%2C+25+ft+x+1-1%2F16+in.+Steel+Blade+Tape+Measure&amp;qid=1695174184&amp;sr=8-3</v>
      </c>
      <c r="F6776" t="s">
        <v>8916</v>
      </c>
      <c r="G6776" t="e">
        <f ca="1">_xludf.IMAGE("https://edmondsonsupply.com/cdn/shop/products/GS25BW.jpg?v=1655828685")</f>
        <v>#NAME?</v>
      </c>
      <c r="H6776" t="e">
        <f ca="1">_xludf.IMAGE("https://m.media-amazon.com/images/I/41wNZHxS7bL._AC_UL320_.jpg")</f>
        <v>#NAME?</v>
      </c>
      <c r="I6776" t="s">
        <v>7637</v>
      </c>
      <c r="J6776">
        <v>27.92</v>
      </c>
      <c r="K6776" s="4">
        <v>-0.3034</v>
      </c>
      <c r="L6776">
        <v>4.5</v>
      </c>
      <c r="M6776">
        <v>136</v>
      </c>
      <c r="O6776" t="s">
        <v>25</v>
      </c>
      <c r="P6776" t="s">
        <v>7638</v>
      </c>
      <c r="Q6776" t="s">
        <v>7639</v>
      </c>
    </row>
    <row r="6777" spans="1:17" ht="15.5" x14ac:dyDescent="0.35">
      <c r="A6777"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6777"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6777" t="s">
        <v>8905</v>
      </c>
      <c r="D6777" t="s">
        <v>8917</v>
      </c>
      <c r="E6777" s="3" t="str">
        <f>HYPERLINK("https://www.amazon.com/Milwaukee-48-11-2420-REDLITHIUM-Compact-Battery/dp/B00IITE2JU/ref=sr_1_3?keywords=Milwaukee+48-11-2411+M12+REDLITHIUM%E2%84%A2+Compact+Battery+Two+Pack&amp;qid=1695174226&amp;sr=8-3", "https://www.amazon.com/Milwaukee-48-11-2420-REDLITHIUM-Compact-Battery/dp/B00IITE2JU/ref=sr_1_3?keywords=Milwaukee+48-11-2411+M12+REDLITHIUM%E2%84%A2+Compact+Battery+Two+Pack&amp;qid=1695174226&amp;sr=8-3")</f>
        <v>https://www.amazon.com/Milwaukee-48-11-2420-REDLITHIUM-Compact-Battery/dp/B00IITE2JU/ref=sr_1_3?keywords=Milwaukee+48-11-2411+M12+REDLITHIUM%E2%84%A2+Compact+Battery+Two+Pack&amp;qid=1695174226&amp;sr=8-3</v>
      </c>
      <c r="F6777" t="s">
        <v>8918</v>
      </c>
      <c r="G6777" t="e">
        <f ca="1">_xludf.IMAGE("https://edmondsonsupply.com/cdn/shop/products/65014_48-11-2411-lg.jpg?v=1655484824")</f>
        <v>#NAME?</v>
      </c>
      <c r="H6777" t="e">
        <f ca="1">_xludf.IMAGE("https://m.media-amazon.com/images/I/81jbPQMz4eL._AC_UL320_.jpg")</f>
        <v>#NAME?</v>
      </c>
      <c r="I6777" t="s">
        <v>3253</v>
      </c>
      <c r="J6777">
        <v>61.99</v>
      </c>
      <c r="K6777" s="4">
        <v>-0.30349999999999999</v>
      </c>
      <c r="L6777">
        <v>4.7</v>
      </c>
      <c r="M6777">
        <v>1360</v>
      </c>
      <c r="O6777" t="s">
        <v>171</v>
      </c>
      <c r="P6777" t="s">
        <v>8908</v>
      </c>
      <c r="Q6777" t="s">
        <v>8909</v>
      </c>
    </row>
    <row r="6778" spans="1:17" ht="15.5" x14ac:dyDescent="0.35">
      <c r="A6778" s="3" t="str">
        <f>HYPERLINK("https://edmondsonsupply.com/collections/electricians-tools/products/diablo-tools-dou125bw", "https://edmondsonsupply.com/collections/electricians-tools/products/diablo-tools-dou125bw")</f>
        <v>https://edmondsonsupply.com/collections/electricians-tools/products/diablo-tools-dou125bw</v>
      </c>
      <c r="B6778" s="3" t="str">
        <f>HYPERLINK("https://edmondsonsupply.com/products/diablo-tools-dou125bw", "https://edmondsonsupply.com/products/diablo-tools-dou125bw")</f>
        <v>https://edmondsonsupply.com/products/diablo-tools-dou125bw</v>
      </c>
      <c r="C6778" t="s">
        <v>6906</v>
      </c>
      <c r="D6778" t="s">
        <v>8767</v>
      </c>
      <c r="E6778" s="3" t="str">
        <f>HYPERLINK("https://www.amazon.com/Diablo-Freud-DOU125JBW-Universal-Oscillating/dp/B089KV62LL/ref=sr_1_10?keywords=Diablo+Tools+DOU125BW+1-1%2F4+in.+Universal+Fit+Bi-Metal+Oscillating+Blade+for+Nail-Embedded+Wood&amp;qid=1695174264&amp;sr=8-10", "https://www.amazon.com/Diablo-Freud-DOU125JBW-Universal-Oscillating/dp/B089KV62LL/ref=sr_1_10?keywords=Diablo+Tools+DOU125BW+1-1%2F4+in.+Universal+Fit+Bi-Metal+Oscillating+Blade+for+Nail-Embedded+Wood&amp;qid=1695174264&amp;sr=8-10")</f>
        <v>https://www.amazon.com/Diablo-Freud-DOU125JBW-Universal-Oscillating/dp/B089KV62LL/ref=sr_1_10?keywords=Diablo+Tools+DOU125BW+1-1%2F4+in.+Universal+Fit+Bi-Metal+Oscillating+Blade+for+Nail-Embedded+Wood&amp;qid=1695174264&amp;sr=8-10</v>
      </c>
      <c r="F6778" t="s">
        <v>8768</v>
      </c>
      <c r="G6778" t="e">
        <f ca="1">_xludf.IMAGE("https://edmondsonsupply.com/cdn/shop/products/gnn0wpqc8veb3qhldcrb.webp?v=1676040020")</f>
        <v>#NAME?</v>
      </c>
      <c r="H6778" t="e">
        <f ca="1">_xludf.IMAGE("https://m.media-amazon.com/images/I/61wFHtmEH5L._AC_UL320_.jpg")</f>
        <v>#NAME?</v>
      </c>
      <c r="I6778" t="s">
        <v>2586</v>
      </c>
      <c r="J6778">
        <v>12.49</v>
      </c>
      <c r="K6778" s="4">
        <v>-0.30499999999999999</v>
      </c>
      <c r="L6778">
        <v>4.8</v>
      </c>
      <c r="M6778">
        <v>12</v>
      </c>
      <c r="O6778" t="s">
        <v>25</v>
      </c>
      <c r="P6778" t="s">
        <v>2152</v>
      </c>
      <c r="Q6778" t="s">
        <v>6909</v>
      </c>
    </row>
    <row r="6779" spans="1:17" ht="15.5" x14ac:dyDescent="0.35">
      <c r="A6779"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6779"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6779" t="s">
        <v>7100</v>
      </c>
      <c r="D6779" t="s">
        <v>8767</v>
      </c>
      <c r="E6779" s="3" t="str">
        <f>HYPERLINK("https://www.amazon.com/Diablo-Freud-DOU125JBW-Universal-Oscillating/dp/B089KV62LL/ref=sr_1_1?keywords=Diablo+Tools+DOU125JBW+1-1%2F4+in.+Universal+Fit+Bi-Metal+Oscillating+Blades+for+Clean+Wood&amp;qid=1695174246&amp;sr=8-1", "https://www.amazon.com/Diablo-Freud-DOU125JBW-Universal-Oscillating/dp/B089KV62LL/ref=sr_1_1?keywords=Diablo+Tools+DOU125JBW+1-1%2F4+in.+Universal+Fit+Bi-Metal+Oscillating+Blades+for+Clean+Wood&amp;qid=1695174246&amp;sr=8-1")</f>
        <v>https://www.amazon.com/Diablo-Freud-DOU125JBW-Universal-Oscillating/dp/B089KV62LL/ref=sr_1_1?keywords=Diablo+Tools+DOU125JBW+1-1%2F4+in.+Universal+Fit+Bi-Metal+Oscillating+Blades+for+Clean+Wood&amp;qid=1695174246&amp;sr=8-1</v>
      </c>
      <c r="F6779" t="s">
        <v>8768</v>
      </c>
      <c r="G6779" t="e">
        <f ca="1">_xludf.IMAGE("https://edmondsonsupply.com/cdn/shop/products/DOU125JBW_Main-Image.png?v=1633638363")</f>
        <v>#NAME?</v>
      </c>
      <c r="H6779" t="e">
        <f ca="1">_xludf.IMAGE("https://m.media-amazon.com/images/I/61wFHtmEH5L._AC_UL320_.jpg")</f>
        <v>#NAME?</v>
      </c>
      <c r="I6779" t="s">
        <v>2586</v>
      </c>
      <c r="J6779">
        <v>12.49</v>
      </c>
      <c r="K6779" s="4">
        <v>-0.30499999999999999</v>
      </c>
      <c r="L6779">
        <v>4.8</v>
      </c>
      <c r="M6779">
        <v>12</v>
      </c>
      <c r="O6779" t="s">
        <v>25</v>
      </c>
      <c r="P6779" t="s">
        <v>6943</v>
      </c>
      <c r="Q6779" t="s">
        <v>7103</v>
      </c>
    </row>
    <row r="6780" spans="1:17" ht="15.5" x14ac:dyDescent="0.35">
      <c r="A6780" s="3" t="str">
        <f>HYPERLINK("https://edmondsonsupply.com/collections/electricians-tools/products/klein-tools-60344-hinged-gel-knee-pads", "https://edmondsonsupply.com/collections/electricians-tools/products/klein-tools-60344-hinged-gel-knee-pads")</f>
        <v>https://edmondsonsupply.com/collections/electricians-tools/products/klein-tools-60344-hinged-gel-knee-pads</v>
      </c>
      <c r="B6780" s="3" t="str">
        <f>HYPERLINK("https://edmondsonsupply.com/products/klein-tools-60344-hinged-gel-knee-pads", "https://edmondsonsupply.com/products/klein-tools-60344-hinged-gel-knee-pads")</f>
        <v>https://edmondsonsupply.com/products/klein-tools-60344-hinged-gel-knee-pads</v>
      </c>
      <c r="C6780" t="s">
        <v>1125</v>
      </c>
      <c r="D6780" t="s">
        <v>1248</v>
      </c>
      <c r="E6780" s="3" t="str">
        <f>HYPERLINK("https://www.amazon.com/Klein-Tools-60184-Lightweight-Resistant/dp/B088N5Q59S/ref=sr_1_3?keywords=Klein+Tools+60344+Hinged+Gel+Knee+Pads&amp;qid=1695174150&amp;sr=8-3", "https://www.amazon.com/Klein-Tools-60184-Lightweight-Resistant/dp/B088N5Q59S/ref=sr_1_3?keywords=Klein+Tools+60344+Hinged+Gel+Knee+Pads&amp;qid=1695174150&amp;sr=8-3")</f>
        <v>https://www.amazon.com/Klein-Tools-60184-Lightweight-Resistant/dp/B088N5Q59S/ref=sr_1_3?keywords=Klein+Tools+60344+Hinged+Gel+Knee+Pads&amp;qid=1695174150&amp;sr=8-3</v>
      </c>
      <c r="F6780" t="s">
        <v>1249</v>
      </c>
      <c r="G6780" t="e">
        <f ca="1">_xludf.IMAGE("https://edmondsonsupply.com/cdn/shop/products/60344.jpg?v=1664386765")</f>
        <v>#NAME?</v>
      </c>
      <c r="H6780" t="e">
        <f ca="1">_xludf.IMAGE("https://m.media-amazon.com/images/I/71vmG1tRBLL._AC_UL320_.jpg")</f>
        <v>#NAME?</v>
      </c>
      <c r="I6780" t="s">
        <v>261</v>
      </c>
      <c r="J6780">
        <v>24.97</v>
      </c>
      <c r="K6780" s="4">
        <v>-0.30620000000000003</v>
      </c>
      <c r="L6780">
        <v>4.2</v>
      </c>
      <c r="M6780">
        <v>156</v>
      </c>
      <c r="O6780" t="s">
        <v>25</v>
      </c>
      <c r="P6780" t="s">
        <v>1128</v>
      </c>
      <c r="Q6780" t="s">
        <v>1129</v>
      </c>
    </row>
    <row r="6781" spans="1:17" ht="15.5" x14ac:dyDescent="0.35">
      <c r="A6781" s="3" t="str">
        <f>HYPERLINK("https://edmondsonsupply.com/collections/electricians-tools/products/klein-tools-jth9e13-1-4-inch-hex-key-with-journeyman-t-handle-9-inch", "https://edmondsonsupply.com/collections/electricians-tools/products/klein-tools-jth9e13-1-4-inch-hex-key-with-journeyman-t-handle-9-inch")</f>
        <v>https://edmondsonsupply.com/collections/electricians-tools/products/klein-tools-jth9e13-1-4-inch-hex-key-with-journeyman-t-handle-9-inch</v>
      </c>
      <c r="B6781" s="3" t="str">
        <f>HYPERLINK("https://edmondsonsupply.com/products/klein-tools-jth9e13-1-4-inch-hex-key-with-journeyman-t-handle-9-inch", "https://edmondsonsupply.com/products/klein-tools-jth9e13-1-4-inch-hex-key-with-journeyman-t-handle-9-inch")</f>
        <v>https://edmondsonsupply.com/products/klein-tools-jth9e13-1-4-inch-hex-key-with-journeyman-t-handle-9-inch</v>
      </c>
      <c r="C6781" t="s">
        <v>6276</v>
      </c>
      <c r="D6781" t="s">
        <v>5118</v>
      </c>
      <c r="E6781" s="3" t="str">
        <f>HYPERLINK("https://www.amazon.com/Journeyman-T-Handle-Klein-Tools-JTH9E10/dp/B004QV8H90/ref=sr_1_6?keywords=Klein+Tools+JTH9E13+1%2F4-Inch+Hex+Key+with+Journeyman+T-Handle%2C+9-Inch&amp;qid=1695174307&amp;sr=8-6", "https://www.amazon.com/Journeyman-T-Handle-Klein-Tools-JTH9E10/dp/B004QV8H90/ref=sr_1_6?keywords=Klein+Tools+JTH9E13+1%2F4-Inch+Hex+Key+with+Journeyman+T-Handle%2C+9-Inch&amp;qid=1695174307&amp;sr=8-6")</f>
        <v>https://www.amazon.com/Journeyman-T-Handle-Klein-Tools-JTH9E10/dp/B004QV8H90/ref=sr_1_6?keywords=Klein+Tools+JTH9E13+1%2F4-Inch+Hex+Key+with+Journeyman+T-Handle%2C+9-Inch&amp;qid=1695174307&amp;sr=8-6</v>
      </c>
      <c r="F6781" t="s">
        <v>5119</v>
      </c>
      <c r="G6781" t="e">
        <f ca="1">_xludf.IMAGE("https://edmondsonsupply.com/cdn/shop/products/jth9e12_7dcdbf9a-5acd-4824-8919-6aeb4a790072.jpg?v=1604060723")</f>
        <v>#NAME?</v>
      </c>
      <c r="H6781" t="e">
        <f ca="1">_xludf.IMAGE("https://m.media-amazon.com/images/I/51Yb8h41vLL._AC_UL320_.jpg")</f>
        <v>#NAME?</v>
      </c>
      <c r="I6781" t="s">
        <v>4617</v>
      </c>
      <c r="J6781">
        <v>4.49</v>
      </c>
      <c r="K6781" s="4">
        <v>-0.30819999999999997</v>
      </c>
      <c r="L6781">
        <v>4.8</v>
      </c>
      <c r="M6781">
        <v>294</v>
      </c>
      <c r="O6781" t="s">
        <v>25</v>
      </c>
      <c r="P6781" t="s">
        <v>6277</v>
      </c>
      <c r="Q6781" t="s">
        <v>6278</v>
      </c>
    </row>
    <row r="6782" spans="1:17" ht="15.5" x14ac:dyDescent="0.35">
      <c r="A6782" s="3" t="str">
        <f>HYPERLINK("https://edmondsonsupply.com/collections/electricians-tools/products/diablo-tools-dag", "https://edmondsonsupply.com/collections/electricians-tools/products/diablo-tools-dag")</f>
        <v>https://edmondsonsupply.com/collections/electricians-tools/products/diablo-tools-dag</v>
      </c>
      <c r="B6782" s="3" t="str">
        <f>HYPERLINK("https://edmondsonsupply.com/products/diablo-tools-dag", "https://edmondsonsupply.com/products/diablo-tools-dag")</f>
        <v>https://edmondsonsupply.com/products/diablo-tools-dag</v>
      </c>
      <c r="C6782" t="s">
        <v>6819</v>
      </c>
      <c r="D6782" t="s">
        <v>8919</v>
      </c>
      <c r="E6782" s="3" t="str">
        <f>HYPERLINK("https://www.amazon.com/Diablo-Freud-DAG1030-7-1-Auger/dp/B089KWZ4C4/ref=sr_1_6?keywords=Diablo+Tools+DAG3010+3%2F8+in.+x+17-1%2F2+in.+Auger+Bit&amp;qid=1695174114&amp;sr=8-6", "https://www.amazon.com/Diablo-Freud-DAG1030-7-1-Auger/dp/B089KWZ4C4/ref=sr_1_6?keywords=Diablo+Tools+DAG3010+3%2F8+in.+x+17-1%2F2+in.+Auger+Bit&amp;qid=1695174114&amp;sr=8-6")</f>
        <v>https://www.amazon.com/Diablo-Freud-DAG1030-7-1-Auger/dp/B089KWZ4C4/ref=sr_1_6?keywords=Diablo+Tools+DAG3010+3%2F8+in.+x+17-1%2F2+in.+Auger+Bit&amp;qid=1695174114&amp;sr=8-6</v>
      </c>
      <c r="F6782" t="s">
        <v>8920</v>
      </c>
      <c r="G6782" t="e">
        <f ca="1">_xludf.IMAGE("https://edmondsonsupply.com/cdn/shop/products/xfctdbahz5wx3g461fm8.webp?v=1669991052")</f>
        <v>#NAME?</v>
      </c>
      <c r="H6782" t="e">
        <f ca="1">_xludf.IMAGE("https://m.media-amazon.com/images/I/615E8KqWW3L._AC_UL320_.jpg")</f>
        <v>#NAME?</v>
      </c>
      <c r="I6782" t="s">
        <v>5147</v>
      </c>
      <c r="J6782">
        <v>12</v>
      </c>
      <c r="K6782" s="4">
        <v>-0.31309999999999999</v>
      </c>
      <c r="L6782">
        <v>4.0999999999999996</v>
      </c>
      <c r="M6782">
        <v>15</v>
      </c>
      <c r="O6782" t="s">
        <v>25</v>
      </c>
      <c r="P6782" t="s">
        <v>6822</v>
      </c>
      <c r="Q6782" t="s">
        <v>6823</v>
      </c>
    </row>
    <row r="6783" spans="1:17" ht="15.5" x14ac:dyDescent="0.35">
      <c r="A6783" s="3" t="str">
        <f>HYPERLINK("https://edmondsonsupply.com/collections/electricians-tools/products/klein-tools-66030-2-in-1-coated-impact-socket-12-point-3-4-and-9-16-inch", "https://edmondsonsupply.com/collections/electricians-tools/products/klein-tools-66030-2-in-1-coated-impact-socket-12-point-3-4-and-9-16-inch")</f>
        <v>https://edmondsonsupply.com/collections/electricians-tools/products/klein-tools-66030-2-in-1-coated-impact-socket-12-point-3-4-and-9-16-inch</v>
      </c>
      <c r="B6783" s="3" t="str">
        <f>HYPERLINK("https://edmondsonsupply.com/products/klein-tools-66030-2-in-1-coated-impact-socket-12-point-3-4-and-9-16-inch", "https://edmondsonsupply.com/products/klein-tools-66030-2-in-1-coated-impact-socket-12-point-3-4-and-9-16-inch")</f>
        <v>https://edmondsonsupply.com/products/klein-tools-66030-2-in-1-coated-impact-socket-12-point-3-4-and-9-16-inch</v>
      </c>
      <c r="C6783" t="s">
        <v>7872</v>
      </c>
      <c r="D6783" t="s">
        <v>8921</v>
      </c>
      <c r="E6783" s="3" t="str">
        <f>HYPERLINK("https://www.amazon.com/Impact-Rated-Oxidized-Spring-Loaded-Socket/dp/B07Y3YB87Z/ref=sr_1_6?keywords=Klein+Tools+66030+2-in-1+Coated+Impact+Socket%2C+12-Point%2C+3%2F4+and+9%2F16-Inch&amp;qid=1695174140&amp;sr=8-6", "https://www.amazon.com/Impact-Rated-Oxidized-Spring-Loaded-Socket/dp/B07Y3YB87Z/ref=sr_1_6?keywords=Klein+Tools+66030+2-in-1+Coated+Impact+Socket%2C+12-Point%2C+3%2F4+and+9%2F16-Inch&amp;qid=1695174140&amp;sr=8-6")</f>
        <v>https://www.amazon.com/Impact-Rated-Oxidized-Spring-Loaded-Socket/dp/B07Y3YB87Z/ref=sr_1_6?keywords=Klein+Tools+66030+2-in-1+Coated+Impact+Socket%2C+12-Point%2C+3%2F4+and+9%2F16-Inch&amp;qid=1695174140&amp;sr=8-6</v>
      </c>
      <c r="F6783" t="s">
        <v>8922</v>
      </c>
      <c r="G6783" t="e">
        <f ca="1">_xludf.IMAGE("https://edmondsonsupply.com/cdn/shop/products/66030.jpg?v=1666027133")</f>
        <v>#NAME?</v>
      </c>
      <c r="H6783" t="e">
        <f ca="1">_xludf.IMAGE("https://m.media-amazon.com/images/I/51icv2N-igL._AC_UL320_.jpg")</f>
        <v>#NAME?</v>
      </c>
      <c r="I6783" t="s">
        <v>7792</v>
      </c>
      <c r="J6783">
        <v>34.200000000000003</v>
      </c>
      <c r="K6783" s="4">
        <v>-0.31569999999999998</v>
      </c>
      <c r="L6783">
        <v>4.7</v>
      </c>
      <c r="M6783">
        <v>336</v>
      </c>
      <c r="O6783" t="s">
        <v>25</v>
      </c>
      <c r="P6783" t="s">
        <v>7873</v>
      </c>
      <c r="Q6783" t="s">
        <v>7874</v>
      </c>
    </row>
    <row r="6784" spans="1:17" ht="15.5" x14ac:dyDescent="0.35">
      <c r="A6784"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6784"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6784" t="s">
        <v>4395</v>
      </c>
      <c r="D6784" t="s">
        <v>5443</v>
      </c>
      <c r="E6784" s="3" t="str">
        <f>HYPERLINK("https://www.amazon.com/Wiha-66994-9-Piece-Metric-L-Key/dp/B002S0O7TK/ref=sr_1_2?keywords=Wiha+Tools+66990+9+Piece+MagicRing+Ball+End+Long+Arm+Hex+L-Key+Set+-+Metric&amp;qid=1695173977&amp;sr=8-2", "https://www.amazon.com/Wiha-66994-9-Piece-Metric-L-Key/dp/B002S0O7TK/ref=sr_1_2?keywords=Wiha+Tools+66990+9+Piece+MagicRing+Ball+End+Long+Arm+Hex+L-Key+Set+-+Metric&amp;qid=1695173977&amp;sr=8-2")</f>
        <v>https://www.amazon.com/Wiha-66994-9-Piece-Metric-L-Key/dp/B002S0O7TK/ref=sr_1_2?keywords=Wiha+Tools+66990+9+Piece+MagicRing+Ball+End+Long+Arm+Hex+L-Key+Set+-+Metric&amp;qid=1695173977&amp;sr=8-2</v>
      </c>
      <c r="F6784" t="s">
        <v>5444</v>
      </c>
      <c r="G6784" t="e">
        <f ca="1">_xludf.IMAGE("https://edmondsonsupply.com/cdn/shop/files/13e958aad91c16597a10bc35346fe94965ff7cc5_1000x_585c36ae-bd90-4c7e-95df-eb1519527f63.webp?v=1690841217")</f>
        <v>#NAME?</v>
      </c>
      <c r="H6784" t="e">
        <f ca="1">_xludf.IMAGE("https://m.media-amazon.com/images/I/61tUR1OSo0L._AC_UL320_.jpg")</f>
        <v>#NAME?</v>
      </c>
      <c r="I6784" t="s">
        <v>4398</v>
      </c>
      <c r="J6784">
        <v>26.78</v>
      </c>
      <c r="K6784" s="4">
        <v>-0.31790000000000002</v>
      </c>
      <c r="L6784">
        <v>4.8</v>
      </c>
      <c r="M6784">
        <v>145</v>
      </c>
      <c r="O6784" t="s">
        <v>25</v>
      </c>
      <c r="P6784" t="s">
        <v>4399</v>
      </c>
      <c r="Q6784" t="s">
        <v>4400</v>
      </c>
    </row>
    <row r="6785" spans="1:17" ht="15.5" x14ac:dyDescent="0.35">
      <c r="A6785"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6785"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6785" t="s">
        <v>6963</v>
      </c>
      <c r="D6785" t="s">
        <v>6204</v>
      </c>
      <c r="E6785" s="3" t="str">
        <f>HYPERLINK("https://www.amazon.com/Conduit-Compatible-Klein-Tools-51608/dp/B08VYJMT3R/ref=sr_1_7?keywords=Klein+Tools+51603+Iron+Conduit+Bender+Full+Assembly%2C+1%2F2-Inch+EMT+with+Angle+Setter%E2%84%A2&amp;qid=1695173919&amp;sr=8-7", "https://www.amazon.com/Conduit-Compatible-Klein-Tools-51608/dp/B08VYJMT3R/ref=sr_1_7?keywords=Klein+Tools+51603+Iron+Conduit+Bender+Full+Assembly%2C+1%2F2-Inch+EMT+with+Angle+Setter%E2%84%A2&amp;qid=1695173919&amp;sr=8-7")</f>
        <v>https://www.amazon.com/Conduit-Compatible-Klein-Tools-51608/dp/B08VYJMT3R/ref=sr_1_7?keywords=Klein+Tools+51603+Iron+Conduit+Bender+Full+Assembly%2C+1%2F2-Inch+EMT+with+Angle+Setter%E2%84%A2&amp;qid=1695173919&amp;sr=8-7</v>
      </c>
      <c r="F6785" t="s">
        <v>6205</v>
      </c>
      <c r="G6785" t="e">
        <f ca="1">_xludf.IMAGE("https://edmondsonsupply.com/cdn/shop/products/51604.jpg?v=1663940749")</f>
        <v>#NAME?</v>
      </c>
      <c r="H6785" t="e">
        <f ca="1">_xludf.IMAGE("https://m.media-amazon.com/images/I/61mnVTiX18L._AC_UL320_.jpg")</f>
        <v>#NAME?</v>
      </c>
      <c r="I6785" t="s">
        <v>905</v>
      </c>
      <c r="J6785">
        <v>40.909999999999997</v>
      </c>
      <c r="K6785" s="4">
        <v>-0.31809999999999999</v>
      </c>
      <c r="L6785">
        <v>4.3</v>
      </c>
      <c r="M6785">
        <v>17</v>
      </c>
      <c r="O6785" t="s">
        <v>25</v>
      </c>
      <c r="P6785" t="s">
        <v>6964</v>
      </c>
      <c r="Q6785" t="s">
        <v>6965</v>
      </c>
    </row>
    <row r="6786" spans="1:17" ht="15.5" x14ac:dyDescent="0.35">
      <c r="A6786" s="3" t="str">
        <f>HYPERLINK("https://edmondsonsupply.com/collections/electricians-tools/products/klein-tools-51609-3-4-inch-iron-conduit-bender-head", "https://edmondsonsupply.com/collections/electricians-tools/products/klein-tools-51609-3-4-inch-iron-conduit-bender-head")</f>
        <v>https://edmondsonsupply.com/collections/electricians-tools/products/klein-tools-51609-3-4-inch-iron-conduit-bender-head</v>
      </c>
      <c r="B6786" s="3" t="str">
        <f>HYPERLINK("https://edmondsonsupply.com/products/klein-tools-51609-3-4-inch-iron-conduit-bender-head", "https://edmondsonsupply.com/products/klein-tools-51609-3-4-inch-iron-conduit-bender-head")</f>
        <v>https://edmondsonsupply.com/products/klein-tools-51609-3-4-inch-iron-conduit-bender-head</v>
      </c>
      <c r="C6786" t="s">
        <v>6966</v>
      </c>
      <c r="D6786" t="s">
        <v>6204</v>
      </c>
      <c r="E6786" s="3" t="str">
        <f>HYPERLINK("https://www.amazon.com/Conduit-Compatible-Klein-Tools-51608/dp/B08VYJMT3R/ref=sr_1_7?keywords=Klein+Tools+51609+3%2F4-Inch+Iron+Conduit+Bender+Head&amp;qid=1695174173&amp;sr=8-7", "https://www.amazon.com/Conduit-Compatible-Klein-Tools-51608/dp/B08VYJMT3R/ref=sr_1_7?keywords=Klein+Tools+51609+3%2F4-Inch+Iron+Conduit+Bender+Head&amp;qid=1695174173&amp;sr=8-7")</f>
        <v>https://www.amazon.com/Conduit-Compatible-Klein-Tools-51608/dp/B08VYJMT3R/ref=sr_1_7?keywords=Klein+Tools+51609+3%2F4-Inch+Iron+Conduit+Bender+Head&amp;qid=1695174173&amp;sr=8-7</v>
      </c>
      <c r="F6786" t="s">
        <v>6205</v>
      </c>
      <c r="G6786" t="e">
        <f ca="1">_xludf.IMAGE("https://edmondsonsupply.com/cdn/shop/products/51609.jpg?v=1661867147")</f>
        <v>#NAME?</v>
      </c>
      <c r="H6786" t="e">
        <f ca="1">_xludf.IMAGE("https://m.media-amazon.com/images/I/61mnVTiX18L._AC_UL320_.jpg")</f>
        <v>#NAME?</v>
      </c>
      <c r="I6786" t="s">
        <v>905</v>
      </c>
      <c r="J6786">
        <v>40.909999999999997</v>
      </c>
      <c r="K6786" s="4">
        <v>-0.31809999999999999</v>
      </c>
      <c r="L6786">
        <v>4.3</v>
      </c>
      <c r="M6786">
        <v>17</v>
      </c>
      <c r="O6786" t="s">
        <v>25</v>
      </c>
      <c r="P6786" t="s">
        <v>6967</v>
      </c>
      <c r="Q6786" t="s">
        <v>6968</v>
      </c>
    </row>
    <row r="6787" spans="1:17" ht="15.5" x14ac:dyDescent="0.35">
      <c r="A6787"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6787"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6787" t="s">
        <v>8334</v>
      </c>
      <c r="D6787" t="s">
        <v>5560</v>
      </c>
      <c r="E6787" s="3" t="str">
        <f>HYPERLINK("https://www.amazon.com/Diablo-Freud-DMAPL4300-SDS-Plus-4-Cutter/dp/B089LL8JD8/ref=sr_1_8?keywords=Diablo+Tools+DMAPL4310+1+in.+x+16+in.+x+18+in.+Rebar+Demon%E2%84%A2+SDS-Plus+4-Cutter+Full+Carbide+Head+Hammer+Drill+Bit&amp;qid=1695174259&amp;sr=8-8", "https://www.amazon.com/Diablo-Freud-DMAPL4300-SDS-Plus-4-Cutter/dp/B089LL8JD8/ref=sr_1_8?keywords=Diablo+Tools+DMAPL4310+1+in.+x+16+in.+x+18+in.+Rebar+Demon%E2%84%A2+SDS-Plus+4-Cutter+Full+Carbide+Head+Hammer+Drill+Bit&amp;qid=1695174259&amp;sr=8-8")</f>
        <v>https://www.amazon.com/Diablo-Freud-DMAPL4300-SDS-Plus-4-Cutter/dp/B089LL8JD8/ref=sr_1_8?keywords=Diablo+Tools+DMAPL4310+1+in.+x+16+in.+x+18+in.+Rebar+Demon%E2%84%A2+SDS-Plus+4-Cutter+Full+Carbide+Head+Hammer+Drill+Bit&amp;qid=1695174259&amp;sr=8-8</v>
      </c>
      <c r="F6787" t="s">
        <v>5561</v>
      </c>
      <c r="G6787" t="e">
        <f ca="1">_xludf.IMAGE("https://edmondsonsupply.com/cdn/shop/products/DMAPL4310_Main-Image20200701.png?v=1633031094")</f>
        <v>#NAME?</v>
      </c>
      <c r="H6787" t="e">
        <f ca="1">_xludf.IMAGE("https://m.media-amazon.com/images/I/616UiJGsK1L._AC_UL320_.jpg")</f>
        <v>#NAME?</v>
      </c>
      <c r="I6787" t="s">
        <v>380</v>
      </c>
      <c r="J6787">
        <v>33.99</v>
      </c>
      <c r="K6787" s="4">
        <v>-0.31979999999999997</v>
      </c>
      <c r="L6787">
        <v>4.5</v>
      </c>
      <c r="M6787">
        <v>16</v>
      </c>
      <c r="O6787" t="s">
        <v>25</v>
      </c>
      <c r="P6787" t="s">
        <v>8335</v>
      </c>
      <c r="Q6787" t="s">
        <v>8336</v>
      </c>
    </row>
    <row r="6788" spans="1:17" ht="15.5" x14ac:dyDescent="0.35">
      <c r="A6788"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6788"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6788" t="s">
        <v>8334</v>
      </c>
      <c r="D6788" t="s">
        <v>8592</v>
      </c>
      <c r="E6788" s="3" t="str">
        <f>HYPERLINK("https://www.amazon.com/Diablo-SDS-Plus-4-Cutter-Carbide-Hammer/dp/B089LDNZSN/ref=sr_1_9?keywords=Diablo+Tools+DMAPL4310+1+in.+x+16+in.+x+18+in.+Rebar+Demon%E2%84%A2+SDS-Plus+4-Cutter+Full+Carbide+Head+Hammer+Drill+Bit&amp;qid=1695174259&amp;sr=8-9", "https://www.amazon.com/Diablo-SDS-Plus-4-Cutter-Carbide-Hammer/dp/B089LDNZSN/ref=sr_1_9?keywords=Diablo+Tools+DMAPL4310+1+in.+x+16+in.+x+18+in.+Rebar+Demon%E2%84%A2+SDS-Plus+4-Cutter+Full+Carbide+Head+Hammer+Drill+Bit&amp;qid=1695174259&amp;sr=8-9")</f>
        <v>https://www.amazon.com/Diablo-SDS-Plus-4-Cutter-Carbide-Hammer/dp/B089LDNZSN/ref=sr_1_9?keywords=Diablo+Tools+DMAPL4310+1+in.+x+16+in.+x+18+in.+Rebar+Demon%E2%84%A2+SDS-Plus+4-Cutter+Full+Carbide+Head+Hammer+Drill+Bit&amp;qid=1695174259&amp;sr=8-9</v>
      </c>
      <c r="F6788" t="s">
        <v>8593</v>
      </c>
      <c r="G6788" t="e">
        <f ca="1">_xludf.IMAGE("https://edmondsonsupply.com/cdn/shop/products/DMAPL4310_Main-Image20200701.png?v=1633031094")</f>
        <v>#NAME?</v>
      </c>
      <c r="H6788" t="e">
        <f ca="1">_xludf.IMAGE("https://m.media-amazon.com/images/I/61Vv8Hsfp5L._AC_UL320_.jpg")</f>
        <v>#NAME?</v>
      </c>
      <c r="I6788" t="s">
        <v>380</v>
      </c>
      <c r="J6788">
        <v>33.979999999999997</v>
      </c>
      <c r="K6788" s="4">
        <v>-0.32</v>
      </c>
      <c r="L6788">
        <v>4.5999999999999996</v>
      </c>
      <c r="M6788">
        <v>10</v>
      </c>
      <c r="O6788" t="s">
        <v>25</v>
      </c>
      <c r="P6788" t="s">
        <v>8335</v>
      </c>
      <c r="Q6788" t="s">
        <v>8336</v>
      </c>
    </row>
    <row r="6789" spans="1:17" ht="15.5" x14ac:dyDescent="0.35">
      <c r="A6789" s="3" t="str">
        <f>HYPERLINK("https://edmondsonsupply.com/collections/electricians-tools/products/klein-tools-55437-tradesman-pro%E2%84%A2-work-light", "https://edmondsonsupply.com/collections/electricians-tools/products/klein-tools-55437-tradesman-pro%E2%84%A2-work-light")</f>
        <v>https://edmondsonsupply.com/collections/electricians-tools/products/klein-tools-55437-tradesman-pro%E2%84%A2-work-light</v>
      </c>
      <c r="B6789" s="3" t="str">
        <f>HYPERLINK("https://edmondsonsupply.com/products/klein-tools-55437-tradesman-pro%e2%84%a2-work-light", "https://edmondsonsupply.com/products/klein-tools-55437-tradesman-pro%e2%84%a2-work-light")</f>
        <v>https://edmondsonsupply.com/products/klein-tools-55437-tradesman-pro%e2%84%a2-work-light</v>
      </c>
      <c r="C6789" t="s">
        <v>1388</v>
      </c>
      <c r="D6789" t="s">
        <v>5445</v>
      </c>
      <c r="E6789" s="3" t="str">
        <f>HYPERLINK("https://www.amazon.com/Tradesman-Light-Klein-Tools-55437/dp/B00MJO7KYO/ref=sr_1_1?keywords=Klein+Tools+55437+Tradesman+Pro%E2%84%A2+Work+Light+%2F+Tool+Bag+Light+%2F+Cooler+Light&amp;qid=1695173957&amp;sr=8-1", "https://www.amazon.com/Tradesman-Light-Klein-Tools-55437/dp/B00MJO7KYO/ref=sr_1_1?keywords=Klein+Tools+55437+Tradesman+Pro%E2%84%A2+Work+Light+%2F+Tool+Bag+Light+%2F+Cooler+Light&amp;qid=1695173957&amp;sr=8-1")</f>
        <v>https://www.amazon.com/Tradesman-Light-Klein-Tools-55437/dp/B00MJO7KYO/ref=sr_1_1?keywords=Klein+Tools+55437+Tradesman+Pro%E2%84%A2+Work+Light+%2F+Tool+Bag+Light+%2F+Cooler+Light&amp;qid=1695173957&amp;sr=8-1</v>
      </c>
      <c r="F6789" t="s">
        <v>5446</v>
      </c>
      <c r="G6789" t="e">
        <f ca="1">_xludf.IMAGE("https://edmondsonsupply.com/cdn/shop/products/55437.jpg?v=1587143511")</f>
        <v>#NAME?</v>
      </c>
      <c r="H6789" t="e">
        <f ca="1">_xludf.IMAGE("https://m.media-amazon.com/images/I/71D2GxvE3+L._AC_UL320_.jpg")</f>
        <v>#NAME?</v>
      </c>
      <c r="I6789" t="s">
        <v>1391</v>
      </c>
      <c r="J6789">
        <v>12.99</v>
      </c>
      <c r="K6789" s="4">
        <v>-0.32129999999999997</v>
      </c>
      <c r="L6789">
        <v>4.5</v>
      </c>
      <c r="M6789">
        <v>406</v>
      </c>
      <c r="O6789" t="s">
        <v>25</v>
      </c>
      <c r="P6789" t="s">
        <v>1391</v>
      </c>
      <c r="Q6789" t="s">
        <v>1392</v>
      </c>
    </row>
    <row r="6790" spans="1:17" ht="15.5" x14ac:dyDescent="0.35">
      <c r="A6790"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6790"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6790" t="s">
        <v>6529</v>
      </c>
      <c r="D6790" t="s">
        <v>5294</v>
      </c>
      <c r="E6790" s="3" t="str">
        <f>HYPERLINK("https://www.amazon.com/Klein-Tools-NCVT2P-12-1000V-Flashing/dp/B07L5N8ZWS/ref=sr_1_7?keywords=Klein+Tools+NCVT3PKIT+Dual+Range+NCVT+and+AC%2FDC+Voltage+Tester+Electrical+Test+Kit&amp;qid=1695174124&amp;sr=8-7", "https://www.amazon.com/Klein-Tools-NCVT2P-12-1000V-Flashing/dp/B07L5N8ZWS/ref=sr_1_7?keywords=Klein+Tools+NCVT3PKIT+Dual+Range+NCVT+and+AC%2FDC+Voltage+Tester+Electrical+Test+Kit&amp;qid=1695174124&amp;sr=8-7")</f>
        <v>https://www.amazon.com/Klein-Tools-NCVT2P-12-1000V-Flashing/dp/B07L5N8ZWS/ref=sr_1_7?keywords=Klein+Tools+NCVT3PKIT+Dual+Range+NCVT+and+AC%2FDC+Voltage+Tester+Electrical+Test+Kit&amp;qid=1695174124&amp;sr=8-7</v>
      </c>
      <c r="F6790" t="s">
        <v>5295</v>
      </c>
      <c r="G6790" t="e">
        <f ca="1">_xludf.IMAGE("https://edmondsonsupply.com/cdn/shop/products/ncvt3pkit.jpg?v=1667228452")</f>
        <v>#NAME?</v>
      </c>
      <c r="H6790" t="e">
        <f ca="1">_xludf.IMAGE("https://m.media-amazon.com/images/I/51GASnKpZ1L._AC_UL320_.jpg")</f>
        <v>#NAME?</v>
      </c>
      <c r="I6790" t="s">
        <v>571</v>
      </c>
      <c r="J6790">
        <v>23.74</v>
      </c>
      <c r="K6790" s="4">
        <v>-0.32150000000000001</v>
      </c>
      <c r="L6790">
        <v>4.7</v>
      </c>
      <c r="M6790">
        <v>639</v>
      </c>
      <c r="O6790" t="s">
        <v>25</v>
      </c>
      <c r="P6790" t="s">
        <v>6532</v>
      </c>
      <c r="Q6790" t="s">
        <v>6533</v>
      </c>
    </row>
    <row r="6791" spans="1:17" ht="15.5" x14ac:dyDescent="0.35">
      <c r="A6791" s="3" t="str">
        <f>HYPERLINK("https://edmondsonsupply.com/collections/electricians-tools/products/klein-tools-25963-step-drill-bit-spiral-double-fluted-1-4-inch-to-3-4-inch-vaco", "https://edmondsonsupply.com/collections/electricians-tools/products/klein-tools-25963-step-drill-bit-spiral-double-fluted-1-4-inch-to-3-4-inch-vaco")</f>
        <v>https://edmondsonsupply.com/collections/electricians-tools/products/klein-tools-25963-step-drill-bit-spiral-double-fluted-1-4-inch-to-3-4-inch-vaco</v>
      </c>
      <c r="B6791" s="3" t="str">
        <f>HYPERLINK("https://edmondsonsupply.com/products/klein-tools-25963-step-drill-bit-spiral-double-fluted-1-4-inch-to-3-4-inch-vaco", "https://edmondsonsupply.com/products/klein-tools-25963-step-drill-bit-spiral-double-fluted-1-4-inch-to-3-4-inch-vaco")</f>
        <v>https://edmondsonsupply.com/products/klein-tools-25963-step-drill-bit-spiral-double-fluted-1-4-inch-to-3-4-inch-vaco</v>
      </c>
      <c r="C6791" t="s">
        <v>6215</v>
      </c>
      <c r="D6791" t="s">
        <v>5180</v>
      </c>
      <c r="E6791" s="3" t="str">
        <f>HYPERLINK("https://www.amazon.com/Jerax-tools-Drilling-Stainless-Aluminum/dp/B094VCMB17/ref=sr_1_5?keywords=Klein+Tools+25963+Step+Drill+Bit%2C+Spiral+Double-Fluted%2C+1%2F4-Inch+to+3%2F4-Inch%2C+VACO&amp;qid=1695174099&amp;sr=8-5", "https://www.amazon.com/Jerax-tools-Drilling-Stainless-Aluminum/dp/B094VCMB17/ref=sr_1_5?keywords=Klein+Tools+25963+Step+Drill+Bit%2C+Spiral+Double-Fluted%2C+1%2F4-Inch+to+3%2F4-Inch%2C+VACO&amp;qid=1695174099&amp;sr=8-5")</f>
        <v>https://www.amazon.com/Jerax-tools-Drilling-Stainless-Aluminum/dp/B094VCMB17/ref=sr_1_5?keywords=Klein+Tools+25963+Step+Drill+Bit%2C+Spiral+Double-Fluted%2C+1%2F4-Inch+to+3%2F4-Inch%2C+VACO&amp;qid=1695174099&amp;sr=8-5</v>
      </c>
      <c r="F6791" t="s">
        <v>5181</v>
      </c>
      <c r="G6791" t="e">
        <f ca="1">_xludf.IMAGE("https://edmondsonsupply.com/cdn/shop/products/25963_b.jpg?v=1670524306")</f>
        <v>#NAME?</v>
      </c>
      <c r="H6791" t="e">
        <f ca="1">_xludf.IMAGE("https://m.media-amazon.com/images/I/51fvUl5tapL._AC_UY218_.jpg")</f>
        <v>#NAME?</v>
      </c>
      <c r="I6791" t="s">
        <v>471</v>
      </c>
      <c r="J6791">
        <v>16.95</v>
      </c>
      <c r="K6791" s="4">
        <v>-0.32169999999999999</v>
      </c>
      <c r="L6791">
        <v>4.5</v>
      </c>
      <c r="M6791">
        <v>713</v>
      </c>
      <c r="O6791" t="s">
        <v>25</v>
      </c>
      <c r="P6791" t="s">
        <v>6216</v>
      </c>
      <c r="Q6791" t="s">
        <v>6217</v>
      </c>
    </row>
    <row r="6792" spans="1:17" ht="15.5" x14ac:dyDescent="0.35">
      <c r="A6792" s="3" t="str">
        <f>HYPERLINK("https://edmondsonsupply.com/collections/electricians-tools/products/klein-tools-9230-tape-measure-30-foot-magnetic-double-hook", "https://edmondsonsupply.com/collections/electricians-tools/products/klein-tools-9230-tape-measure-30-foot-magnetic-double-hook")</f>
        <v>https://edmondsonsupply.com/collections/electricians-tools/products/klein-tools-9230-tape-measure-30-foot-magnetic-double-hook</v>
      </c>
      <c r="B6792" s="3" t="str">
        <f>HYPERLINK("https://edmondsonsupply.com/products/klein-tools-9230-tape-measure-30-foot-magnetic-double-hook", "https://edmondsonsupply.com/products/klein-tools-9230-tape-measure-30-foot-magnetic-double-hook")</f>
        <v>https://edmondsonsupply.com/products/klein-tools-9230-tape-measure-30-foot-magnetic-double-hook</v>
      </c>
      <c r="C6792" t="s">
        <v>5073</v>
      </c>
      <c r="D6792" t="s">
        <v>5447</v>
      </c>
      <c r="E6792" s="3" t="str">
        <f>HYPERLINK("https://www.amazon.com/Klein-Tools-Measure-Magnetic-Double-Hook/dp/B07WHF9LWP/ref=sr_1_4?keywords=Klein+Tools+9230+Tape+Measure%2C+30-Foot+Magnetic+Double-Hook&amp;qid=1695173934&amp;sr=8-4", "https://www.amazon.com/Klein-Tools-Measure-Magnetic-Double-Hook/dp/B07WHF9LWP/ref=sr_1_4?keywords=Klein+Tools+9230+Tape+Measure%2C+30-Foot+Magnetic+Double-Hook&amp;qid=1695173934&amp;sr=8-4")</f>
        <v>https://www.amazon.com/Klein-Tools-Measure-Magnetic-Double-Hook/dp/B07WHF9LWP/ref=sr_1_4?keywords=Klein+Tools+9230+Tape+Measure%2C+30-Foot+Magnetic+Double-Hook&amp;qid=1695173934&amp;sr=8-4</v>
      </c>
      <c r="F6792" t="s">
        <v>5448</v>
      </c>
      <c r="G6792" t="e">
        <f ca="1">_xludf.IMAGE("https://edmondsonsupply.com/cdn/shop/products/9230_photo.jpg?v=1587150845")</f>
        <v>#NAME?</v>
      </c>
      <c r="H6792" t="e">
        <f ca="1">_xludf.IMAGE("https://m.media-amazon.com/images/I/511ZtYuRbfL._AC_UL320_.jpg")</f>
        <v>#NAME?</v>
      </c>
      <c r="I6792" t="s">
        <v>4310</v>
      </c>
      <c r="J6792">
        <v>22.97</v>
      </c>
      <c r="K6792" s="4">
        <v>-0.32419999999999999</v>
      </c>
      <c r="L6792">
        <v>4.5999999999999996</v>
      </c>
      <c r="M6792">
        <v>1085</v>
      </c>
      <c r="O6792" t="s">
        <v>25</v>
      </c>
      <c r="P6792" t="s">
        <v>5076</v>
      </c>
      <c r="Q6792" t="s">
        <v>5077</v>
      </c>
    </row>
    <row r="6793" spans="1:17" ht="15.5" x14ac:dyDescent="0.35">
      <c r="A6793"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6793" s="3" t="str">
        <f>HYPERLINK("https://edmondsonsupply.com/products/diablo-tools-dag3070-3-4-in-x-17-1-2-in-auger-bit", "https://edmondsonsupply.com/products/diablo-tools-dag3070-3-4-in-x-17-1-2-in-auger-bit")</f>
        <v>https://edmondsonsupply.com/products/diablo-tools-dag3070-3-4-in-x-17-1-2-in-auger-bit</v>
      </c>
      <c r="C6793" t="s">
        <v>7783</v>
      </c>
      <c r="D6793" t="s">
        <v>8476</v>
      </c>
      <c r="E6793" s="3" t="str">
        <f>HYPERLINK("https://www.amazon.com/Diablo-DAG3020-17-1-Auger-Bit/dp/B089LGWKFF/ref=sr_1_9?keywords=Diablo+Tools+DAG3070+3%2F4+in.+x+17-1%2F2+in.+Auger+Bit&amp;qid=1695174104&amp;sr=8-9", "https://www.amazon.com/Diablo-DAG3020-17-1-Auger-Bit/dp/B089LGWKFF/ref=sr_1_9?keywords=Diablo+Tools+DAG3070+3%2F4+in.+x+17-1%2F2+in.+Auger+Bit&amp;qid=1695174104&amp;sr=8-9")</f>
        <v>https://www.amazon.com/Diablo-DAG3020-17-1-Auger-Bit/dp/B089LGWKFF/ref=sr_1_9?keywords=Diablo+Tools+DAG3070+3%2F4+in.+x+17-1%2F2+in.+Auger+Bit&amp;qid=1695174104&amp;sr=8-9</v>
      </c>
      <c r="F6793" t="s">
        <v>8477</v>
      </c>
      <c r="G6793" t="e">
        <f ca="1">_xludf.IMAGE("https://edmondsonsupply.com/cdn/shop/products/ljatbudptj8xmo1m7sg7.webp?v=1669994151")</f>
        <v>#NAME?</v>
      </c>
      <c r="H6793" t="e">
        <f ca="1">_xludf.IMAGE("https://m.media-amazon.com/images/I/61XUUNTev0L._AC_UL320_.jpg")</f>
        <v>#NAME?</v>
      </c>
      <c r="I6793" t="s">
        <v>3472</v>
      </c>
      <c r="J6793">
        <v>16.21</v>
      </c>
      <c r="K6793" s="4">
        <v>-0.32429999999999998</v>
      </c>
      <c r="L6793">
        <v>5</v>
      </c>
      <c r="M6793">
        <v>2</v>
      </c>
      <c r="O6793" t="s">
        <v>25</v>
      </c>
      <c r="P6793" t="s">
        <v>7784</v>
      </c>
      <c r="Q6793" t="s">
        <v>7785</v>
      </c>
    </row>
    <row r="6794" spans="1:17" ht="15.5" x14ac:dyDescent="0.35">
      <c r="A6794" s="3" t="str">
        <f>HYPERLINK("https://edmondsonsupply.com/collections/electricians-tools/products/diablo-tools-dou125bw", "https://edmondsonsupply.com/collections/electricians-tools/products/diablo-tools-dou125bw")</f>
        <v>https://edmondsonsupply.com/collections/electricians-tools/products/diablo-tools-dou125bw</v>
      </c>
      <c r="B6794" s="3" t="str">
        <f>HYPERLINK("https://edmondsonsupply.com/products/diablo-tools-dou125bw", "https://edmondsonsupply.com/products/diablo-tools-dou125bw")</f>
        <v>https://edmondsonsupply.com/products/diablo-tools-dou125bw</v>
      </c>
      <c r="C6794" t="s">
        <v>6906</v>
      </c>
      <c r="D6794" t="s">
        <v>5970</v>
      </c>
      <c r="E6794" s="3" t="str">
        <f>HYPERLINK("https://www.amazon.com/Diablo-Universal-Bi-Metal-Oscillating-Nail-Embedded/dp/B089LDN2LT/ref=sr_1_2?keywords=Diablo+Tools+DOU125BW+1-1%2F4+in.+Universal+Fit+Bi-Metal+Oscillating+Blade+for+Nail-Embedded+Wood&amp;qid=1695174264&amp;sr=8-2", "https://www.amazon.com/Diablo-Universal-Bi-Metal-Oscillating-Nail-Embedded/dp/B089LDN2LT/ref=sr_1_2?keywords=Diablo+Tools+DOU125BW+1-1%2F4+in.+Universal+Fit+Bi-Metal+Oscillating+Blade+for+Nail-Embedded+Wood&amp;qid=1695174264&amp;sr=8-2")</f>
        <v>https://www.amazon.com/Diablo-Universal-Bi-Metal-Oscillating-Nail-Embedded/dp/B089LDN2LT/ref=sr_1_2?keywords=Diablo+Tools+DOU125BW+1-1%2F4+in.+Universal+Fit+Bi-Metal+Oscillating+Blade+for+Nail-Embedded+Wood&amp;qid=1695174264&amp;sr=8-2</v>
      </c>
      <c r="F6794" t="s">
        <v>5971</v>
      </c>
      <c r="G6794" t="e">
        <f ca="1">_xludf.IMAGE("https://edmondsonsupply.com/cdn/shop/products/gnn0wpqc8veb3qhldcrb.webp?v=1676040020")</f>
        <v>#NAME?</v>
      </c>
      <c r="H6794" t="e">
        <f ca="1">_xludf.IMAGE("https://m.media-amazon.com/images/I/613ig7mNjfL._AC_UL320_.jpg")</f>
        <v>#NAME?</v>
      </c>
      <c r="I6794" t="s">
        <v>2586</v>
      </c>
      <c r="J6794">
        <v>12.14</v>
      </c>
      <c r="K6794" s="4">
        <v>-0.32440000000000002</v>
      </c>
      <c r="L6794">
        <v>4.8</v>
      </c>
      <c r="M6794">
        <v>12</v>
      </c>
      <c r="O6794" t="s">
        <v>25</v>
      </c>
      <c r="P6794" t="s">
        <v>2152</v>
      </c>
      <c r="Q6794" t="s">
        <v>6909</v>
      </c>
    </row>
    <row r="6795" spans="1:17" ht="15.5" x14ac:dyDescent="0.35">
      <c r="A6795" s="3" t="str">
        <f>HYPERLINK("https://edmondsonsupply.com/collections/electricians-tools/products/diablo-tools-dou125jbw-1-1-4-in-universal-fit-bi-metal-oscillating-blades-for-clean-wood", "https://edmondsonsupply.com/collections/electricians-tools/products/diablo-tools-dou125jbw-1-1-4-in-universal-fit-bi-metal-oscillating-blades-for-clean-wood")</f>
        <v>https://edmondsonsupply.com/collections/electricians-tools/products/diablo-tools-dou125jbw-1-1-4-in-universal-fit-bi-metal-oscillating-blades-for-clean-wood</v>
      </c>
      <c r="B6795" s="3" t="str">
        <f>HYPERLINK("https://edmondsonsupply.com/products/diablo-tools-dou125jbw-1-1-4-in-universal-fit-bi-metal-oscillating-blades-for-clean-wood", "https://edmondsonsupply.com/products/diablo-tools-dou125jbw-1-1-4-in-universal-fit-bi-metal-oscillating-blades-for-clean-wood")</f>
        <v>https://edmondsonsupply.com/products/diablo-tools-dou125jbw-1-1-4-in-universal-fit-bi-metal-oscillating-blades-for-clean-wood</v>
      </c>
      <c r="C6795" t="s">
        <v>7100</v>
      </c>
      <c r="D6795" t="s">
        <v>5970</v>
      </c>
      <c r="E6795" s="3" t="str">
        <f>HYPERLINK("https://www.amazon.com/Diablo-Universal-Bi-Metal-Oscillating-Nail-Embedded/dp/B089LDN2LT/ref=sr_1_3?keywords=Diablo+Tools+DOU125JBW+1-1%2F4+in.+Universal+Fit+Bi-Metal+Oscillating+Blades+for+Clean+Wood&amp;qid=1695174246&amp;sr=8-3", "https://www.amazon.com/Diablo-Universal-Bi-Metal-Oscillating-Nail-Embedded/dp/B089LDN2LT/ref=sr_1_3?keywords=Diablo+Tools+DOU125JBW+1-1%2F4+in.+Universal+Fit+Bi-Metal+Oscillating+Blades+for+Clean+Wood&amp;qid=1695174246&amp;sr=8-3")</f>
        <v>https://www.amazon.com/Diablo-Universal-Bi-Metal-Oscillating-Nail-Embedded/dp/B089LDN2LT/ref=sr_1_3?keywords=Diablo+Tools+DOU125JBW+1-1%2F4+in.+Universal+Fit+Bi-Metal+Oscillating+Blades+for+Clean+Wood&amp;qid=1695174246&amp;sr=8-3</v>
      </c>
      <c r="F6795" t="s">
        <v>5971</v>
      </c>
      <c r="G6795" t="e">
        <f ca="1">_xludf.IMAGE("https://edmondsonsupply.com/cdn/shop/products/DOU125JBW_Main-Image.png?v=1633638363")</f>
        <v>#NAME?</v>
      </c>
      <c r="H6795" t="e">
        <f ca="1">_xludf.IMAGE("https://m.media-amazon.com/images/I/613ig7mNjfL._AC_UL320_.jpg")</f>
        <v>#NAME?</v>
      </c>
      <c r="I6795" t="s">
        <v>2586</v>
      </c>
      <c r="J6795">
        <v>12.14</v>
      </c>
      <c r="K6795" s="4">
        <v>-0.32440000000000002</v>
      </c>
      <c r="L6795">
        <v>4.8</v>
      </c>
      <c r="M6795">
        <v>12</v>
      </c>
      <c r="O6795" t="s">
        <v>25</v>
      </c>
      <c r="P6795" t="s">
        <v>6943</v>
      </c>
      <c r="Q6795" t="s">
        <v>7103</v>
      </c>
    </row>
    <row r="6796" spans="1:17" ht="15.5" x14ac:dyDescent="0.35">
      <c r="A6796"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6796" s="3" t="str">
        <f>HYPERLINK("https://edmondsonsupply.com/products/fluke-st120-gfci-socket-tester-with-beeper", "https://edmondsonsupply.com/products/fluke-st120-gfci-socket-tester-with-beeper")</f>
        <v>https://edmondsonsupply.com/products/fluke-st120-gfci-socket-tester-with-beeper</v>
      </c>
      <c r="C6796" t="s">
        <v>8860</v>
      </c>
      <c r="D6796" t="s">
        <v>8612</v>
      </c>
      <c r="E6796" s="3" t="str">
        <f>HYPERLINK("https://www.amazon.com/Aenllosi-Carrying-Replacement-Socket-Tester/dp/B0BD7JLMCB/ref=sr_1_3?keywords=Fluke+ST120%2B+GFCI+Socket+Tester+with+Beeper&amp;qid=1695174161&amp;sr=8-3", "https://www.amazon.com/Aenllosi-Carrying-Replacement-Socket-Tester/dp/B0BD7JLMCB/ref=sr_1_3?keywords=Fluke+ST120%2B+GFCI+Socket+Tester+with+Beeper&amp;qid=1695174161&amp;sr=8-3")</f>
        <v>https://www.amazon.com/Aenllosi-Carrying-Replacement-Socket-Tester/dp/B0BD7JLMCB/ref=sr_1_3?keywords=Fluke+ST120%2B+GFCI+Socket+Tester+with+Beeper&amp;qid=1695174161&amp;sr=8-3</v>
      </c>
      <c r="F6796" t="s">
        <v>8613</v>
      </c>
      <c r="G6796" t="e">
        <f ca="1">_xludf.IMAGE("https://edmondsonsupply.com/cdn/shop/products/F-st120-plus_01a_w.webp?v=1662582919")</f>
        <v>#NAME?</v>
      </c>
      <c r="H6796" t="e">
        <f ca="1">_xludf.IMAGE("https://m.media-amazon.com/images/I/81I3g-w5eLL._AC_UL320_.jpg")</f>
        <v>#NAME?</v>
      </c>
      <c r="I6796" t="s">
        <v>577</v>
      </c>
      <c r="J6796">
        <v>13.49</v>
      </c>
      <c r="K6796" s="4">
        <v>-0.32519999999999999</v>
      </c>
      <c r="L6796">
        <v>4.8</v>
      </c>
      <c r="M6796">
        <v>62</v>
      </c>
      <c r="O6796" t="s">
        <v>25</v>
      </c>
      <c r="P6796" t="s">
        <v>1158</v>
      </c>
      <c r="Q6796" t="s">
        <v>8861</v>
      </c>
    </row>
    <row r="6797" spans="1:17" ht="15.5" x14ac:dyDescent="0.35">
      <c r="A6797" s="3" t="str">
        <f>HYPERLINK("https://edmondsonsupply.com/collections/electricians-tools/products/milwaukee-48-11-2430-m12%E2%84%A2-redlithium%E2%84%A2-3-0-compact-battery-pack", "https://edmondsonsupply.com/collections/electricians-tools/products/milwaukee-48-11-2430-m12%E2%84%A2-redlithium%E2%84%A2-3-0-compact-battery-pack")</f>
        <v>https://edmondsonsupply.com/collections/electricians-tools/products/milwaukee-48-11-2430-m12%E2%84%A2-redlithium%E2%84%A2-3-0-compact-battery-pack</v>
      </c>
      <c r="B6797"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6797" t="s">
        <v>5449</v>
      </c>
      <c r="D6797" t="s">
        <v>5450</v>
      </c>
      <c r="E6797" s="3" t="str">
        <f>HYPERLINK("https://www.amazon.com/Milwaukee-Electric-Tool-48-11-2430-Lithium/dp/B078W9W425/ref=sr_1_2?keywords=Milwaukee+48-11-2430+M12%E2%84%A2+REDLITHIUM%E2%84%A2+3.0+Compact+Battery+Pack&amp;qid=1695173950&amp;sr=8-2", "https://www.amazon.com/Milwaukee-Electric-Tool-48-11-2430-Lithium/dp/B078W9W425/ref=sr_1_2?keywords=Milwaukee+48-11-2430+M12%E2%84%A2+REDLITHIUM%E2%84%A2+3.0+Compact+Battery+Pack&amp;qid=1695173950&amp;sr=8-2")</f>
        <v>https://www.amazon.com/Milwaukee-Electric-Tool-48-11-2430-Lithium/dp/B078W9W425/ref=sr_1_2?keywords=Milwaukee+48-11-2430+M12%E2%84%A2+REDLITHIUM%E2%84%A2+3.0+Compact+Battery+Pack&amp;qid=1695173950&amp;sr=8-2</v>
      </c>
      <c r="F6797" t="s">
        <v>5451</v>
      </c>
      <c r="G6797" t="e">
        <f ca="1">_xludf.IMAGE("https://edmondsonsupply.com/cdn/shop/products/48-11-2430.png?v=1587142488")</f>
        <v>#NAME?</v>
      </c>
      <c r="H6797" t="e">
        <f ca="1">_xludf.IMAGE("https://m.media-amazon.com/images/I/61PrFqnmvKL._AC_UL320_.jpg")</f>
        <v>#NAME?</v>
      </c>
      <c r="I6797" t="s">
        <v>5452</v>
      </c>
      <c r="J6797">
        <v>46.49</v>
      </c>
      <c r="K6797" s="4">
        <v>-0.32619999999999999</v>
      </c>
      <c r="L6797">
        <v>4.5999999999999996</v>
      </c>
      <c r="M6797">
        <v>172</v>
      </c>
      <c r="O6797" t="s">
        <v>25</v>
      </c>
      <c r="P6797" t="s">
        <v>5453</v>
      </c>
      <c r="Q6797" t="s">
        <v>5454</v>
      </c>
    </row>
    <row r="6798" spans="1:17" ht="15.5" x14ac:dyDescent="0.35">
      <c r="A6798" s="3" t="str">
        <f>HYPERLINK("https://edmondsonsupply.com/collections/electricians-tools/products/klein-tools-29026-li-ion-battery", "https://edmondsonsupply.com/collections/electricians-tools/products/klein-tools-29026-li-ion-battery")</f>
        <v>https://edmondsonsupply.com/collections/electricians-tools/products/klein-tools-29026-li-ion-battery</v>
      </c>
      <c r="B6798" s="3" t="str">
        <f>HYPERLINK("https://edmondsonsupply.com/products/klein-tools-29026-li-ion-battery", "https://edmondsonsupply.com/products/klein-tools-29026-li-ion-battery")</f>
        <v>https://edmondsonsupply.com/products/klein-tools-29026-li-ion-battery</v>
      </c>
      <c r="C6798" t="s">
        <v>7839</v>
      </c>
      <c r="D6798" t="s">
        <v>1258</v>
      </c>
      <c r="E6798" s="3" t="str">
        <f>HYPERLINK("https://www.amazon.com/Klein-Tools-29025-Rechargeable-Lithium-ion/dp/B09H3MYQ95/ref=sr_1_2?keywords=Klein+Tools+29026+Li-Ion+Battery&amp;qid=1695174150&amp;sr=8-2", "https://www.amazon.com/Klein-Tools-29025-Rechargeable-Lithium-ion/dp/B09H3MYQ95/ref=sr_1_2?keywords=Klein+Tools+29026+Li-Ion+Battery&amp;qid=1695174150&amp;sr=8-2")</f>
        <v>https://www.amazon.com/Klein-Tools-29025-Rechargeable-Lithium-ion/dp/B09H3MYQ95/ref=sr_1_2?keywords=Klein+Tools+29026+Li-Ion+Battery&amp;qid=1695174150&amp;sr=8-2</v>
      </c>
      <c r="F6798" t="s">
        <v>1259</v>
      </c>
      <c r="G6798" t="e">
        <f ca="1">_xludf.IMAGE("https://edmondsonsupply.com/cdn/shop/products/29026.jpg?v=1664476716")</f>
        <v>#NAME?</v>
      </c>
      <c r="H6798" t="e">
        <f ca="1">_xludf.IMAGE("https://m.media-amazon.com/images/I/41+jmEnDWdL._AC_UL320_.jpg")</f>
        <v>#NAME?</v>
      </c>
      <c r="I6798" t="s">
        <v>4030</v>
      </c>
      <c r="J6798">
        <v>34.99</v>
      </c>
      <c r="K6798" s="4">
        <v>-0.32700000000000001</v>
      </c>
      <c r="L6798">
        <v>4</v>
      </c>
      <c r="M6798">
        <v>148</v>
      </c>
      <c r="O6798" t="s">
        <v>25</v>
      </c>
      <c r="P6798" t="s">
        <v>4349</v>
      </c>
      <c r="Q6798" t="s">
        <v>7842</v>
      </c>
    </row>
    <row r="6799" spans="1:17" ht="15.5" x14ac:dyDescent="0.35">
      <c r="A6799"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6799"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6799" t="s">
        <v>7545</v>
      </c>
      <c r="D6799" t="s">
        <v>8923</v>
      </c>
      <c r="E6799" s="3" t="str">
        <f>HYPERLINK("https://www.amazon.com/Klein-Tools-CL120VP-Electrical-Batteries/dp/B08N9G3913/ref=sr_1_5?keywords=Klein+Tools+CL320KIT+HVAC+Digital+Clamp+Meter+Electrical+Test+Kit&amp;qid=1695174178&amp;sr=8-5", "https://www.amazon.com/Klein-Tools-CL120VP-Electrical-Batteries/dp/B08N9G3913/ref=sr_1_5?keywords=Klein+Tools+CL320KIT+HVAC+Digital+Clamp+Meter+Electrical+Test+Kit&amp;qid=1695174178&amp;sr=8-5")</f>
        <v>https://www.amazon.com/Klein-Tools-CL120VP-Electrical-Batteries/dp/B08N9G3913/ref=sr_1_5?keywords=Klein+Tools+CL320KIT+HVAC+Digital+Clamp+Meter+Electrical+Test+Kit&amp;qid=1695174178&amp;sr=8-5</v>
      </c>
      <c r="F6799" t="s">
        <v>8924</v>
      </c>
      <c r="G6799" t="e">
        <f ca="1">_xludf.IMAGE("https://edmondsonsupply.com/cdn/shop/products/cl320kit_photo.jpg?v=1660753251")</f>
        <v>#NAME?</v>
      </c>
      <c r="H6799" t="e">
        <f ca="1">_xludf.IMAGE("https://m.media-amazon.com/images/I/71RCAKCp7CL._AC_UY218_.jpg")</f>
        <v>#NAME?</v>
      </c>
      <c r="I6799" t="s">
        <v>7548</v>
      </c>
      <c r="J6799">
        <v>79.98</v>
      </c>
      <c r="K6799" s="4">
        <v>-0.32779999999999998</v>
      </c>
      <c r="L6799">
        <v>4.8</v>
      </c>
      <c r="M6799">
        <v>2629</v>
      </c>
      <c r="O6799" t="s">
        <v>25</v>
      </c>
      <c r="P6799" t="s">
        <v>7549</v>
      </c>
      <c r="Q6799" t="s">
        <v>7550</v>
      </c>
    </row>
    <row r="6800" spans="1:17" ht="15.5" x14ac:dyDescent="0.35">
      <c r="A6800"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6800"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6800" t="s">
        <v>7545</v>
      </c>
      <c r="D6800" t="s">
        <v>6081</v>
      </c>
      <c r="E6800" s="3" t="str">
        <f>HYPERLINK("https://www.amazon.com/Auto-Ranging-Resistance-Klein-Tools-CL600/dp/B019QMRR08/ref=sr_1_7?keywords=Klein+Tools+CL320KIT+HVAC+Digital+Clamp+Meter+Electrical+Test+Kit&amp;qid=1695174178&amp;sr=8-7", "https://www.amazon.com/Auto-Ranging-Resistance-Klein-Tools-CL600/dp/B019QMRR08/ref=sr_1_7?keywords=Klein+Tools+CL320KIT+HVAC+Digital+Clamp+Meter+Electrical+Test+Kit&amp;qid=1695174178&amp;sr=8-7")</f>
        <v>https://www.amazon.com/Auto-Ranging-Resistance-Klein-Tools-CL600/dp/B019QMRR08/ref=sr_1_7?keywords=Klein+Tools+CL320KIT+HVAC+Digital+Clamp+Meter+Electrical+Test+Kit&amp;qid=1695174178&amp;sr=8-7</v>
      </c>
      <c r="F6800" t="s">
        <v>6082</v>
      </c>
      <c r="G6800" t="e">
        <f ca="1">_xludf.IMAGE("https://edmondsonsupply.com/cdn/shop/products/cl320kit_photo.jpg?v=1660753251")</f>
        <v>#NAME?</v>
      </c>
      <c r="H6800" t="e">
        <f ca="1">_xludf.IMAGE("https://m.media-amazon.com/images/I/710JKvq4MxL._AC_UY218_.jpg")</f>
        <v>#NAME?</v>
      </c>
      <c r="I6800" t="s">
        <v>7548</v>
      </c>
      <c r="J6800">
        <v>79.97</v>
      </c>
      <c r="K6800" s="4">
        <v>-0.32790000000000002</v>
      </c>
      <c r="L6800">
        <v>4.7</v>
      </c>
      <c r="M6800">
        <v>707</v>
      </c>
      <c r="O6800" t="s">
        <v>25</v>
      </c>
      <c r="P6800" t="s">
        <v>7549</v>
      </c>
      <c r="Q6800" t="s">
        <v>7550</v>
      </c>
    </row>
    <row r="6801" spans="1:17" ht="15.5" x14ac:dyDescent="0.35">
      <c r="A6801" s="3" t="str">
        <f>HYPERLINK("https://edmondsonsupply.com/collections/electricians-tools/products/crescent-lufkin-l1125b-02-1-3-16-x-25-shockforce-nite-eye%E2%84%A2-g1-dual-sided-tape-measure", "https://edmondsonsupply.com/collections/electricians-tools/products/crescent-lufkin-l1125b-02-1-3-16-x-25-shockforce-nite-eye%E2%84%A2-g1-dual-sided-tape-measure")</f>
        <v>https://edmondsonsupply.com/collections/electricians-tools/products/crescent-lufkin-l1125b-02-1-3-16-x-25-shockforce-nite-eye%E2%84%A2-g1-dual-sided-tape-measure</v>
      </c>
      <c r="B6801" s="3" t="str">
        <f>HYPERLINK("https://edmondsonsupply.com/products/crescent-lufkin-l1125b-02-1-3-16-x-25-shockforce-nite-eye%e2%84%a2-g1-dual-sided-tape-measure", "https://edmondsonsupply.com/products/crescent-lufkin-l1125b-02-1-3-16-x-25-shockforce-nite-eye%e2%84%a2-g1-dual-sided-tape-measure")</f>
        <v>https://edmondsonsupply.com/products/crescent-lufkin-l1125b-02-1-3-16-x-25-shockforce-nite-eye%e2%84%a2-g1-dual-sided-tape-measure</v>
      </c>
      <c r="C6801" t="s">
        <v>8372</v>
      </c>
      <c r="D6801" t="s">
        <v>8925</v>
      </c>
      <c r="E6801" s="3" t="str">
        <f>HYPERLINK("https://www.amazon.com/Crescent-Lufkin-Shockforce-Sided-Measure/dp/B09PGZ6FK2/ref=sr_1_1?keywords=Crescent+Lufkin+L1125B-02+1-3%2F16%22+x+25%27+Shockforce+Nite+Eye%E2%84%A2+G1+Dual+Sided+Tape+Measure&amp;qid=1695174047&amp;sr=8-1", "https://www.amazon.com/Crescent-Lufkin-Shockforce-Sided-Measure/dp/B09PGZ6FK2/ref=sr_1_1?keywords=Crescent+Lufkin+L1125B-02+1-3%2F16%22+x+25%27+Shockforce+Nite+Eye%E2%84%A2+G1+Dual+Sided+Tape+Measure&amp;qid=1695174047&amp;sr=8-1")</f>
        <v>https://www.amazon.com/Crescent-Lufkin-Shockforce-Sided-Measure/dp/B09PGZ6FK2/ref=sr_1_1?keywords=Crescent+Lufkin+L1125B-02+1-3%2F16%22+x+25%27+Shockforce+Nite+Eye%E2%84%A2+G1+Dual+Sided+Tape+Measure&amp;qid=1695174047&amp;sr=8-1</v>
      </c>
      <c r="F6801" t="s">
        <v>8926</v>
      </c>
      <c r="G6801" t="e">
        <f ca="1">_xludf.IMAGE("https://edmondsonsupply.com/cdn/shop/products/LFK_L1125B_MAIN.jpg?v=1679579190")</f>
        <v>#NAME?</v>
      </c>
      <c r="H6801" t="e">
        <f ca="1">_xludf.IMAGE("https://m.media-amazon.com/images/I/91b93u8vVJL._AC_UL320_.jpg")</f>
        <v>#NAME?</v>
      </c>
      <c r="I6801" t="s">
        <v>8373</v>
      </c>
      <c r="J6801">
        <v>21.98</v>
      </c>
      <c r="K6801" s="4">
        <v>-0.32890000000000003</v>
      </c>
      <c r="L6801">
        <v>4.2</v>
      </c>
      <c r="M6801">
        <v>331</v>
      </c>
      <c r="O6801" t="s">
        <v>25</v>
      </c>
      <c r="P6801" t="s">
        <v>8374</v>
      </c>
      <c r="Q6801" t="s">
        <v>8375</v>
      </c>
    </row>
    <row r="6802" spans="1:17" ht="15.5" x14ac:dyDescent="0.35">
      <c r="A6802" s="3" t="str">
        <f>HYPERLINK("https://edmondsonsupply.com/collections/electricians-tools/products/klein-tools-11055rins-insulated-klein-kurve%C2%AE-wire-stripper-and-cutter", "https://edmondsonsupply.com/collections/electricians-tools/products/klein-tools-11055rins-insulated-klein-kurve%C2%AE-wire-stripper-and-cutter")</f>
        <v>https://edmondsonsupply.com/collections/electricians-tools/products/klein-tools-11055rins-insulated-klein-kurve%C2%AE-wire-stripper-and-cutter</v>
      </c>
      <c r="B6802" s="3" t="str">
        <f>HYPERLINK("https://edmondsonsupply.com/products/klein-tools-11055rins-insulated-klein-kurve%c2%ae-wire-stripper-and-cutter", "https://edmondsonsupply.com/products/klein-tools-11055rins-insulated-klein-kurve%c2%ae-wire-stripper-and-cutter")</f>
        <v>https://edmondsonsupply.com/products/klein-tools-11055rins-insulated-klein-kurve%c2%ae-wire-stripper-and-cutter</v>
      </c>
      <c r="C6802" t="s">
        <v>7055</v>
      </c>
      <c r="D6802" t="s">
        <v>4941</v>
      </c>
      <c r="E6802" s="3" t="str">
        <f>HYPERLINK("https://www.amazon.com/Klein-Tools-K11095-Klein-Kurve-Stripper/dp/B08TQ83P2C/ref=sr_1_6?keywords=Klein+Tools+11055RINS+Insulated+Klein-Kurve%C2%AE+Wire+Stripper+and+Cutter&amp;qid=1695174134&amp;sr=8-6", "https://www.amazon.com/Klein-Tools-K11095-Klein-Kurve-Stripper/dp/B08TQ83P2C/ref=sr_1_6?keywords=Klein+Tools+11055RINS+Insulated+Klein-Kurve%C2%AE+Wire+Stripper+and+Cutter&amp;qid=1695174134&amp;sr=8-6")</f>
        <v>https://www.amazon.com/Klein-Tools-K11095-Klein-Kurve-Stripper/dp/B08TQ83P2C/ref=sr_1_6?keywords=Klein+Tools+11055RINS+Insulated+Klein-Kurve%C2%AE+Wire+Stripper+and+Cutter&amp;qid=1695174134&amp;sr=8-6</v>
      </c>
      <c r="F6802" t="s">
        <v>4942</v>
      </c>
      <c r="G6802" t="e">
        <f ca="1">_xludf.IMAGE("https://edmondsonsupply.com/cdn/shop/products/11055rins.jpg?v=1667236979")</f>
        <v>#NAME?</v>
      </c>
      <c r="H6802" t="e">
        <f ca="1">_xludf.IMAGE("https://m.media-amazon.com/images/I/5180XMjuiIL._AC_UL320_.jpg")</f>
        <v>#NAME?</v>
      </c>
      <c r="I6802" t="s">
        <v>824</v>
      </c>
      <c r="J6802">
        <v>20.07</v>
      </c>
      <c r="K6802" s="4">
        <v>-0.33029999999999998</v>
      </c>
      <c r="L6802">
        <v>4.8</v>
      </c>
      <c r="M6802">
        <v>439</v>
      </c>
      <c r="O6802" t="s">
        <v>25</v>
      </c>
      <c r="P6802" t="s">
        <v>562</v>
      </c>
      <c r="Q6802" t="s">
        <v>7056</v>
      </c>
    </row>
    <row r="6803" spans="1:17" ht="15.5" x14ac:dyDescent="0.35">
      <c r="A6803" s="3" t="str">
        <f>HYPERLINK("https://edmondsonsupply.com/collections/electricians-tools/products/klein-tools-32900-7-in-1-impact-flip-socket-with-handle", "https://edmondsonsupply.com/collections/electricians-tools/products/klein-tools-32900-7-in-1-impact-flip-socket-with-handle")</f>
        <v>https://edmondsonsupply.com/collections/electricians-tools/products/klein-tools-32900-7-in-1-impact-flip-socket-with-handle</v>
      </c>
      <c r="B6803" s="3" t="str">
        <f>HYPERLINK("https://edmondsonsupply.com/products/klein-tools-32900-7-in-1-impact-flip-socket-with-handle", "https://edmondsonsupply.com/products/klein-tools-32900-7-in-1-impact-flip-socket-with-handle")</f>
        <v>https://edmondsonsupply.com/products/klein-tools-32900-7-in-1-impact-flip-socket-with-handle</v>
      </c>
      <c r="C6803" t="s">
        <v>6184</v>
      </c>
      <c r="D6803" t="s">
        <v>8927</v>
      </c>
      <c r="E6803" s="3" t="str">
        <f>HYPERLINK("https://www.amazon.com/Impact-Driver-Klein-Tools-32907/dp/B09NX72765/ref=sr_1_6?keywords=Klein+Tools+32900+7-in-1+Impact+Flip+Socket+with+Handle&amp;qid=1695174143&amp;sr=8-6", "https://www.amazon.com/Impact-Driver-Klein-Tools-32907/dp/B09NX72765/ref=sr_1_6?keywords=Klein+Tools+32900+7-in-1+Impact+Flip+Socket+with+Handle&amp;qid=1695174143&amp;sr=8-6")</f>
        <v>https://www.amazon.com/Impact-Driver-Klein-Tools-32907/dp/B09NX72765/ref=sr_1_6?keywords=Klein+Tools+32900+7-in-1+Impact+Flip+Socket+with+Handle&amp;qid=1695174143&amp;sr=8-6</v>
      </c>
      <c r="F6803" t="s">
        <v>8928</v>
      </c>
      <c r="G6803" t="e">
        <f ca="1">_xludf.IMAGE("https://edmondsonsupply.com/cdn/shop/products/32900_b.jpg?v=1666024787")</f>
        <v>#NAME?</v>
      </c>
      <c r="H6803" t="e">
        <f ca="1">_xludf.IMAGE("https://m.media-amazon.com/images/I/410Fk4FReRL._AC_UL320_.jpg")</f>
        <v>#NAME?</v>
      </c>
      <c r="I6803" t="s">
        <v>824</v>
      </c>
      <c r="J6803">
        <v>19.989999999999998</v>
      </c>
      <c r="K6803" s="4">
        <v>-0.33300000000000002</v>
      </c>
      <c r="L6803">
        <v>4.5999999999999996</v>
      </c>
      <c r="M6803">
        <v>5175</v>
      </c>
      <c r="O6803" t="s">
        <v>25</v>
      </c>
      <c r="P6803" t="s">
        <v>73</v>
      </c>
      <c r="Q6803" t="s">
        <v>6187</v>
      </c>
    </row>
    <row r="6804" spans="1:17" ht="15.5" x14ac:dyDescent="0.35">
      <c r="A6804" s="3" t="str">
        <f>HYPERLINK("https://edmondsonsupply.com/collections/electricians-tools/products/diablo-tools-dag3070-3-4-in-x-17-1-2-in-auger-bit", "https://edmondsonsupply.com/collections/electricians-tools/products/diablo-tools-dag3070-3-4-in-x-17-1-2-in-auger-bit")</f>
        <v>https://edmondsonsupply.com/collections/electricians-tools/products/diablo-tools-dag3070-3-4-in-x-17-1-2-in-auger-bit</v>
      </c>
      <c r="B6804" s="3" t="str">
        <f>HYPERLINK("https://edmondsonsupply.com/products/diablo-tools-dag3070-3-4-in-x-17-1-2-in-auger-bit", "https://edmondsonsupply.com/products/diablo-tools-dag3070-3-4-in-x-17-1-2-in-auger-bit")</f>
        <v>https://edmondsonsupply.com/products/diablo-tools-dag3070-3-4-in-x-17-1-2-in-auger-bit</v>
      </c>
      <c r="C6804" t="s">
        <v>7783</v>
      </c>
      <c r="D6804" t="s">
        <v>4870</v>
      </c>
      <c r="E6804" s="3" t="str">
        <f>HYPERLINK("https://www.amazon.com/Diablo-Freud-DAG1090-7-1-Auger/dp/B089KW4S6Y/ref=sr_1_2?keywords=Diablo+Tools+DAG3070+3%2F4+in.+x+17-1%2F2+in.+Auger+Bit&amp;qid=1695174104&amp;sr=8-2", "https://www.amazon.com/Diablo-Freud-DAG1090-7-1-Auger/dp/B089KW4S6Y/ref=sr_1_2?keywords=Diablo+Tools+DAG3070+3%2F4+in.+x+17-1%2F2+in.+Auger+Bit&amp;qid=1695174104&amp;sr=8-2")</f>
        <v>https://www.amazon.com/Diablo-Freud-DAG1090-7-1-Auger/dp/B089KW4S6Y/ref=sr_1_2?keywords=Diablo+Tools+DAG3070+3%2F4+in.+x+17-1%2F2+in.+Auger+Bit&amp;qid=1695174104&amp;sr=8-2</v>
      </c>
      <c r="F6804" t="s">
        <v>4871</v>
      </c>
      <c r="G6804" t="e">
        <f ca="1">_xludf.IMAGE("https://edmondsonsupply.com/cdn/shop/products/ljatbudptj8xmo1m7sg7.webp?v=1669994151")</f>
        <v>#NAME?</v>
      </c>
      <c r="H6804" t="e">
        <f ca="1">_xludf.IMAGE("https://m.media-amazon.com/images/I/61wiLPAG21L._AC_UL320_.jpg")</f>
        <v>#NAME?</v>
      </c>
      <c r="I6804" t="s">
        <v>3472</v>
      </c>
      <c r="J6804">
        <v>16</v>
      </c>
      <c r="K6804" s="4">
        <v>-0.33310000000000001</v>
      </c>
      <c r="L6804">
        <v>4.4000000000000004</v>
      </c>
      <c r="M6804">
        <v>35</v>
      </c>
      <c r="O6804" t="s">
        <v>25</v>
      </c>
      <c r="P6804" t="s">
        <v>7784</v>
      </c>
      <c r="Q6804" t="s">
        <v>7785</v>
      </c>
    </row>
    <row r="6805" spans="1:17" ht="15.5" x14ac:dyDescent="0.35">
      <c r="A6805" s="3" t="str">
        <f>HYPERLINK("https://edmondsonsupply.com/collections/electricians-tools/products/milwaukee-49-22-4175-hole-dozer%E2%84%A2-general-purpose-hole-saw-kit-15pc", "https://edmondsonsupply.com/collections/electricians-tools/products/milwaukee-49-22-4175-hole-dozer%E2%84%A2-general-purpose-hole-saw-kit-15pc")</f>
        <v>https://edmondsonsupply.com/collections/electricians-tools/products/milwaukee-49-22-4175-hole-dozer%E2%84%A2-general-purpose-hole-saw-kit-15pc</v>
      </c>
      <c r="B6805" s="3" t="str">
        <f>HYPERLINK("https://edmondsonsupply.com/products/milwaukee-49-22-4175-hole-dozer%e2%84%a2-general-purpose-hole-saw-kit-15pc", "https://edmondsonsupply.com/products/milwaukee-49-22-4175-hole-dozer%e2%84%a2-general-purpose-hole-saw-kit-15pc")</f>
        <v>https://edmondsonsupply.com/products/milwaukee-49-22-4175-hole-dozer%e2%84%a2-general-purpose-hole-saw-kit-15pc</v>
      </c>
      <c r="C6805" t="s">
        <v>8929</v>
      </c>
      <c r="D6805" t="s">
        <v>8930</v>
      </c>
      <c r="E6805" s="3" t="str">
        <f>HYPERLINK("https://www.amazon.com/Milwaukee-49-22-4175-General-Hardened-15-Piece/dp/B0017WOBL4/ref=sr_1_1?keywords=Milwaukee+49-22-4175+HOLE+DOZER%E2%84%A2+General-Purpose+Hole+Saw+Kit+-+15PC&amp;qid=1695174120&amp;sr=8-1", "https://www.amazon.com/Milwaukee-49-22-4175-General-Hardened-15-Piece/dp/B0017WOBL4/ref=sr_1_1?keywords=Milwaukee+49-22-4175+HOLE+DOZER%E2%84%A2+General-Purpose+Hole+Saw+Kit+-+15PC&amp;qid=1695174120&amp;sr=8-1")</f>
        <v>https://www.amazon.com/Milwaukee-49-22-4175-General-Hardened-15-Piece/dp/B0017WOBL4/ref=sr_1_1?keywords=Milwaukee+49-22-4175+HOLE+DOZER%E2%84%A2+General-Purpose+Hole+Saw+Kit+-+15PC&amp;qid=1695174120&amp;sr=8-1</v>
      </c>
      <c r="F6805" t="s">
        <v>8931</v>
      </c>
      <c r="G6805" t="e">
        <f ca="1">_xludf.IMAGE("https://edmondsonsupply.com/cdn/shop/products/49-22-4175_101.webp?v=1668783398")</f>
        <v>#NAME?</v>
      </c>
      <c r="H6805" t="e">
        <f ca="1">_xludf.IMAGE("https://m.media-amazon.com/images/I/811cndYKfBS._AC_UL320_.jpg")</f>
        <v>#NAME?</v>
      </c>
      <c r="I6805" t="s">
        <v>7293</v>
      </c>
      <c r="J6805">
        <v>99.99</v>
      </c>
      <c r="K6805" s="4">
        <v>-0.33329999999999999</v>
      </c>
      <c r="L6805">
        <v>4.5999999999999996</v>
      </c>
      <c r="M6805">
        <v>176</v>
      </c>
      <c r="O6805" t="s">
        <v>25</v>
      </c>
      <c r="P6805" t="s">
        <v>8932</v>
      </c>
      <c r="Q6805" t="s">
        <v>8933</v>
      </c>
    </row>
    <row r="6806" spans="1:17" ht="15.5" x14ac:dyDescent="0.35">
      <c r="A6806" s="3" t="str">
        <f>HYPERLINK("https://edmondsonsupply.com/collections/electricians-tools/products/klein-tools-93pll-rechargeable-self-leveling-green-planar-laser-level", "https://edmondsonsupply.com/collections/electricians-tools/products/klein-tools-93pll-rechargeable-self-leveling-green-planar-laser-level")</f>
        <v>https://edmondsonsupply.com/collections/electricians-tools/products/klein-tools-93pll-rechargeable-self-leveling-green-planar-laser-level</v>
      </c>
      <c r="B6806" s="3" t="str">
        <f>HYPERLINK("https://edmondsonsupply.com/products/klein-tools-93pll-rechargeable-self-leveling-green-planar-laser-level", "https://edmondsonsupply.com/products/klein-tools-93pll-rechargeable-self-leveling-green-planar-laser-level")</f>
        <v>https://edmondsonsupply.com/products/klein-tools-93pll-rechargeable-self-leveling-green-planar-laser-level</v>
      </c>
      <c r="C6806" t="s">
        <v>7611</v>
      </c>
      <c r="D6806" t="s">
        <v>7291</v>
      </c>
      <c r="E6806" s="3" t="str">
        <f>HYPERLINK("https://www.amazon.com/Klein-Tools-93LCLG-Cross-Line-Leveling/dp/B0866NY3NW/ref=sr_1_3?keywords=Klein+Tools+93PLL+Rechargeable+Self-Leveling+Green+Planar+Laser+Level&amp;qid=1695174147&amp;sr=8-3", "https://www.amazon.com/Klein-Tools-93LCLG-Cross-Line-Leveling/dp/B0866NY3NW/ref=sr_1_3?keywords=Klein+Tools+93PLL+Rechargeable+Self-Leveling+Green+Planar+Laser+Level&amp;qid=1695174147&amp;sr=8-3")</f>
        <v>https://www.amazon.com/Klein-Tools-93LCLG-Cross-Line-Leveling/dp/B0866NY3NW/ref=sr_1_3?keywords=Klein+Tools+93PLL+Rechargeable+Self-Leveling+Green+Planar+Laser+Level&amp;qid=1695174147&amp;sr=8-3</v>
      </c>
      <c r="F6806" t="s">
        <v>7292</v>
      </c>
      <c r="G6806" t="e">
        <f ca="1">_xludf.IMAGE("https://edmondsonsupply.com/cdn/shop/products/93pll_app8.jpg?v=1664476137")</f>
        <v>#NAME?</v>
      </c>
      <c r="H6806" t="e">
        <f ca="1">_xludf.IMAGE("https://m.media-amazon.com/images/I/51lR5gFHBUL._AC_UL320_.jpg")</f>
        <v>#NAME?</v>
      </c>
      <c r="I6806" t="s">
        <v>533</v>
      </c>
      <c r="J6806">
        <v>199.99</v>
      </c>
      <c r="K6806" s="4">
        <v>-0.33329999999999999</v>
      </c>
      <c r="L6806">
        <v>4.5999999999999996</v>
      </c>
      <c r="M6806">
        <v>786</v>
      </c>
      <c r="O6806" t="s">
        <v>25</v>
      </c>
      <c r="P6806" t="s">
        <v>7614</v>
      </c>
      <c r="Q6806" t="s">
        <v>7615</v>
      </c>
    </row>
    <row r="6807" spans="1:17" ht="15.5" x14ac:dyDescent="0.35">
      <c r="A6807" s="3" t="str">
        <f>HYPERLINK("https://edmondsonsupply.com/collections/electricians-tools/products/klein-tools-40212-journeyman-cold-weather-pro-gloves-large", "https://edmondsonsupply.com/collections/electricians-tools/products/klein-tools-40212-journeyman-cold-weather-pro-gloves-large")</f>
        <v>https://edmondsonsupply.com/collections/electricians-tools/products/klein-tools-40212-journeyman-cold-weather-pro-gloves-large</v>
      </c>
      <c r="B6807" s="3" t="str">
        <f>HYPERLINK("https://edmondsonsupply.com/products/klein-tools-40212-journeyman-cold-weather-pro-gloves-large", "https://edmondsonsupply.com/products/klein-tools-40212-journeyman-cold-weather-pro-gloves-large")</f>
        <v>https://edmondsonsupply.com/products/klein-tools-40212-journeyman-cold-weather-pro-gloves-large</v>
      </c>
      <c r="C6807" t="s">
        <v>1325</v>
      </c>
      <c r="D6807" t="s">
        <v>1325</v>
      </c>
      <c r="E6807" s="3" t="str">
        <f>HYPERLINK("https://www.amazon.com/Journeyman-Weather-Klein-Tools-40212/dp/B00KZL5BLW/ref=sr_1_1?keywords=Klein+Tools+40212+Journeyman+Cold+Weather+Pro+Gloves%2C+Large&amp;qid=1695174138&amp;sr=8-1", "https://www.amazon.com/Journeyman-Weather-Klein-Tools-40212/dp/B00KZL5BLW/ref=sr_1_1?keywords=Klein+Tools+40212+Journeyman+Cold+Weather+Pro+Gloves%2C+Large&amp;qid=1695174138&amp;sr=8-1")</f>
        <v>https://www.amazon.com/Journeyman-Weather-Klein-Tools-40212/dp/B00KZL5BLW/ref=sr_1_1?keywords=Klein+Tools+40212+Journeyman+Cold+Weather+Pro+Gloves%2C+Large&amp;qid=1695174138&amp;sr=8-1</v>
      </c>
      <c r="F6807" t="s">
        <v>1326</v>
      </c>
      <c r="G6807" t="e">
        <f ca="1">_xludf.IMAGE("https://edmondsonsupply.com/cdn/shop/products/40212.jpg?v=1665683791")</f>
        <v>#NAME?</v>
      </c>
      <c r="H6807" t="e">
        <f ca="1">_xludf.IMAGE("https://m.media-amazon.com/images/I/61UX4G3JNKL._AC_UL320_.jpg")</f>
        <v>#NAME?</v>
      </c>
      <c r="I6807" t="s">
        <v>26</v>
      </c>
      <c r="J6807">
        <v>19.989999999999998</v>
      </c>
      <c r="K6807" s="4">
        <v>-0.33339999999999997</v>
      </c>
      <c r="L6807">
        <v>4</v>
      </c>
      <c r="M6807">
        <v>66</v>
      </c>
      <c r="O6807" t="s">
        <v>25</v>
      </c>
      <c r="P6807" t="s">
        <v>1327</v>
      </c>
      <c r="Q6807" t="s">
        <v>1328</v>
      </c>
    </row>
    <row r="6808" spans="1:17" ht="15.5" x14ac:dyDescent="0.35">
      <c r="A6808"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6808" s="3" t="str">
        <f>HYPERLINK("https://edmondsonsupply.com/products/klein-tools-69190-magnetic-hanger", "https://edmondsonsupply.com/products/klein-tools-69190-magnetic-hanger")</f>
        <v>https://edmondsonsupply.com/products/klein-tools-69190-magnetic-hanger</v>
      </c>
      <c r="C6808" t="s">
        <v>7906</v>
      </c>
      <c r="D6808" t="s">
        <v>4526</v>
      </c>
      <c r="E6808" s="3" t="str">
        <f>HYPERLINK("https://www.amazon.com/Magnetic-Hanger-Klein-Tools-69417/dp/B01B7RBXZ0/ref=sr_1_3?keywords=Klein+Tools+69190+Magnetic+Hanger&amp;qid=1695174256&amp;sr=8-3", "https://www.amazon.com/Magnetic-Hanger-Klein-Tools-69417/dp/B01B7RBXZ0/ref=sr_1_3?keywords=Klein+Tools+69190+Magnetic+Hanger&amp;qid=1695174256&amp;sr=8-3")</f>
        <v>https://www.amazon.com/Magnetic-Hanger-Klein-Tools-69417/dp/B01B7RBXZ0/ref=sr_1_3?keywords=Klein+Tools+69190+Magnetic+Hanger&amp;qid=1695174256&amp;sr=8-3</v>
      </c>
      <c r="F6808" t="s">
        <v>4527</v>
      </c>
      <c r="G6808" t="e">
        <f ca="1">_xludf.IMAGE("https://edmondsonsupply.com/cdn/shop/products/69190.jpg?v=1633031095")</f>
        <v>#NAME?</v>
      </c>
      <c r="H6808" t="e">
        <f ca="1">_xludf.IMAGE("https://m.media-amazon.com/images/I/51yfJbP4XCL._AC_UL320_.jpg")</f>
        <v>#NAME?</v>
      </c>
      <c r="I6808" t="s">
        <v>3185</v>
      </c>
      <c r="J6808">
        <v>13.99</v>
      </c>
      <c r="K6808" s="4">
        <v>-0.33350000000000002</v>
      </c>
      <c r="L6808">
        <v>4.8</v>
      </c>
      <c r="M6808">
        <v>3757</v>
      </c>
      <c r="O6808" t="s">
        <v>25</v>
      </c>
      <c r="P6808" t="s">
        <v>7909</v>
      </c>
      <c r="Q6808" t="s">
        <v>7910</v>
      </c>
    </row>
    <row r="6809" spans="1:17" ht="15.5" x14ac:dyDescent="0.35">
      <c r="A6809" s="3" t="str">
        <f>HYPERLINK("https://edmondsonsupply.com/collections/electricians-tools/products/klein-tools-d2000-9neglw-hi-viz-side-cutting-pliers-high-leverage", "https://edmondsonsupply.com/collections/electricians-tools/products/klein-tools-d2000-9neglw-hi-viz-side-cutting-pliers-high-leverage")</f>
        <v>https://edmondsonsupply.com/collections/electricians-tools/products/klein-tools-d2000-9neglw-hi-viz-side-cutting-pliers-high-leverage</v>
      </c>
      <c r="B6809" s="3" t="str">
        <f>HYPERLINK("https://edmondsonsupply.com/products/klein-tools-d2000-9neglw-hi-viz-side-cutting-pliers-high-leverage", "https://edmondsonsupply.com/products/klein-tools-d2000-9neglw-hi-viz-side-cutting-pliers-high-leverage")</f>
        <v>https://edmondsonsupply.com/products/klein-tools-d2000-9neglw-hi-viz-side-cutting-pliers-high-leverage</v>
      </c>
      <c r="C6809" t="s">
        <v>4105</v>
      </c>
      <c r="D6809" t="s">
        <v>5457</v>
      </c>
      <c r="E6809" s="3" t="str">
        <f>HYPERLINK("https://www.amazon.com/Diagonal-Ironworker-Klein-Tools-D248-9ST/dp/B0009ZAT1G/ref=sr_1_4?keywords=Klein+Tools+D20009NEGLW+High-Visibility+Side-Cutting+Pliers+High-Leverage&amp;qid=1695173949&amp;sr=8-4", "https://www.amazon.com/Diagonal-Ironworker-Klein-Tools-D248-9ST/dp/B0009ZAT1G/ref=sr_1_4?keywords=Klein+Tools+D20009NEGLW+High-Visibility+Side-Cutting+Pliers+High-Leverage&amp;qid=1695173949&amp;sr=8-4")</f>
        <v>https://www.amazon.com/Diagonal-Ironworker-Klein-Tools-D248-9ST/dp/B0009ZAT1G/ref=sr_1_4?keywords=Klein+Tools+D20009NEGLW+High-Visibility+Side-Cutting+Pliers+High-Leverage&amp;qid=1695173949&amp;sr=8-4</v>
      </c>
      <c r="F6809" t="s">
        <v>5458</v>
      </c>
      <c r="G6809" t="e">
        <f ca="1">_xludf.IMAGE("https://edmondsonsupply.com/cdn/shop/products/d20009neglw.jpg?v=1587144933")</f>
        <v>#NAME?</v>
      </c>
      <c r="H6809" t="e">
        <f ca="1">_xludf.IMAGE("https://m.media-amazon.com/images/I/41QcUzpmIlL._AC_UL320_.jpg")</f>
        <v>#NAME?</v>
      </c>
      <c r="I6809" t="s">
        <v>4108</v>
      </c>
      <c r="J6809">
        <v>29.97</v>
      </c>
      <c r="K6809" s="4">
        <v>-0.33360000000000001</v>
      </c>
      <c r="L6809">
        <v>4.8</v>
      </c>
      <c r="M6809">
        <v>5530</v>
      </c>
      <c r="O6809" t="s">
        <v>25</v>
      </c>
      <c r="P6809" t="s">
        <v>4109</v>
      </c>
      <c r="Q6809" t="s">
        <v>4110</v>
      </c>
    </row>
    <row r="6810" spans="1:17" ht="15.5" x14ac:dyDescent="0.35">
      <c r="A6810" s="3" t="str">
        <f>HYPERLINK("https://edmondsonsupply.com/collections/electricians-tools/products/klein-tools-6926ins-slim-tip-1000v-insulated-screwdriver-1-4-inch-cabinet-6-inch", "https://edmondsonsupply.com/collections/electricians-tools/products/klein-tools-6926ins-slim-tip-1000v-insulated-screwdriver-1-4-inch-cabinet-6-inch")</f>
        <v>https://edmondsonsupply.com/collections/electricians-tools/products/klein-tools-6926ins-slim-tip-1000v-insulated-screwdriver-1-4-inch-cabinet-6-inch</v>
      </c>
      <c r="B6810" s="3" t="str">
        <f>HYPERLINK("https://edmondsonsupply.com/products/klein-tools-6926ins-slim-tip-1000v-insulated-screwdriver-1-4-inch-cabinet-6-inch", "https://edmondsonsupply.com/products/klein-tools-6926ins-slim-tip-1000v-insulated-screwdriver-1-4-inch-cabinet-6-inch")</f>
        <v>https://edmondsonsupply.com/products/klein-tools-6926ins-slim-tip-1000v-insulated-screwdriver-1-4-inch-cabinet-6-inch</v>
      </c>
      <c r="C6810" t="s">
        <v>6076</v>
      </c>
      <c r="D6810" t="s">
        <v>7866</v>
      </c>
      <c r="E6810" s="3" t="str">
        <f>HYPERLINK("https://www.amazon.com/Klein-Tools-6824INS-Screwdriver-Cushion-Grip/dp/B0BF78XBPX/ref=sr_1_3?keywords=Klein+Tools+6926INS+Slim-Tip+1000V+Insulated+Screwdriver%2C+1%2F4-Inch+Cabinet%2C+6-Inch&amp;qid=1695174185&amp;sr=8-3", "https://www.amazon.com/Klein-Tools-6824INS-Screwdriver-Cushion-Grip/dp/B0BF78XBPX/ref=sr_1_3?keywords=Klein+Tools+6926INS+Slim-Tip+1000V+Insulated+Screwdriver%2C+1%2F4-Inch+Cabinet%2C+6-Inch&amp;qid=1695174185&amp;sr=8-3")</f>
        <v>https://www.amazon.com/Klein-Tools-6824INS-Screwdriver-Cushion-Grip/dp/B0BF78XBPX/ref=sr_1_3?keywords=Klein+Tools+6926INS+Slim-Tip+1000V+Insulated+Screwdriver%2C+1%2F4-Inch+Cabinet%2C+6-Inch&amp;qid=1695174185&amp;sr=8-3</v>
      </c>
      <c r="F6810" t="s">
        <v>7867</v>
      </c>
      <c r="G6810" t="e">
        <f ca="1">_xludf.IMAGE("https://edmondsonsupply.com/cdn/shop/products/6926ins.jpg?v=1664803626")</f>
        <v>#NAME?</v>
      </c>
      <c r="H6810" t="e">
        <f ca="1">_xludf.IMAGE("https://m.media-amazon.com/images/I/410Gu3snLdL._AC_UL320_.jpg")</f>
        <v>#NAME?</v>
      </c>
      <c r="I6810" t="s">
        <v>276</v>
      </c>
      <c r="J6810">
        <v>9.99</v>
      </c>
      <c r="K6810" s="4">
        <v>-0.33360000000000001</v>
      </c>
      <c r="L6810">
        <v>4.9000000000000004</v>
      </c>
      <c r="M6810">
        <v>205</v>
      </c>
      <c r="O6810" t="s">
        <v>25</v>
      </c>
      <c r="P6810" t="s">
        <v>277</v>
      </c>
      <c r="Q6810" t="s">
        <v>6079</v>
      </c>
    </row>
    <row r="6811" spans="1:17" ht="15.5" x14ac:dyDescent="0.35">
      <c r="A6811"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811" s="3" t="str">
        <f>HYPERLINK("https://edmondsonsupply.com/products/klein-tools-635-1-4-1-4-inch-nut-driver-magnetic-tip-4-inch-shaft", "https://edmondsonsupply.com/products/klein-tools-635-1-4-1-4-inch-nut-driver-magnetic-tip-4-inch-shaft")</f>
        <v>https://edmondsonsupply.com/products/klein-tools-635-1-4-1-4-inch-nut-driver-magnetic-tip-4-inch-shaft</v>
      </c>
      <c r="C6811" t="s">
        <v>6817</v>
      </c>
      <c r="D6811" t="s">
        <v>4637</v>
      </c>
      <c r="E6811" s="3" t="str">
        <f>HYPERLINK("https://www.amazon.com/4-Inch-Comfordome-Klein-Tools-S86/dp/B00093GCWS/ref=sr_1_8?keywords=Klein+Tools+635-1%2F4+1%2F4-Inch+Nut+Driver%2C+Magnetic+Tip%2C+4-Inch+Shaft&amp;qid=1695174156&amp;sr=8-8", "https://www.amazon.com/4-Inch-Comfordome-Klein-Tools-S86/dp/B00093GCWS/ref=sr_1_8?keywords=Klein+Tools+635-1%2F4+1%2F4-Inch+Nut+Driver%2C+Magnetic+Tip%2C+4-Inch+Shaft&amp;qid=1695174156&amp;sr=8-8")</f>
        <v>https://www.amazon.com/4-Inch-Comfordome-Klein-Tools-S86/dp/B00093GCWS/ref=sr_1_8?keywords=Klein+Tools+635-1%2F4+1%2F4-Inch+Nut+Driver%2C+Magnetic+Tip%2C+4-Inch+Shaft&amp;qid=1695174156&amp;sr=8-8</v>
      </c>
      <c r="F6811" t="s">
        <v>4638</v>
      </c>
      <c r="G6811" t="e">
        <f ca="1">_xludf.IMAGE("https://edmondsonsupply.com/cdn/shop/products/635-1-4.jpg?v=1666811523")</f>
        <v>#NAME?</v>
      </c>
      <c r="H6811" t="e">
        <f ca="1">_xludf.IMAGE("https://m.media-amazon.com/images/I/41UucnuSAmL._AC_UL320_.jpg")</f>
        <v>#NAME?</v>
      </c>
      <c r="I6811" t="s">
        <v>2337</v>
      </c>
      <c r="J6811">
        <v>7.99</v>
      </c>
      <c r="K6811" s="4">
        <v>-0.33360000000000001</v>
      </c>
      <c r="L6811">
        <v>4.5</v>
      </c>
      <c r="M6811">
        <v>151</v>
      </c>
      <c r="O6811" t="s">
        <v>25</v>
      </c>
      <c r="P6811" t="s">
        <v>1212</v>
      </c>
      <c r="Q6811" t="s">
        <v>6818</v>
      </c>
    </row>
    <row r="6812" spans="1:17" ht="15.5" x14ac:dyDescent="0.35">
      <c r="A6812"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6812"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6812" t="s">
        <v>8022</v>
      </c>
      <c r="D6812" t="s">
        <v>8812</v>
      </c>
      <c r="E6812" s="3" t="str">
        <f>HYPERLINK("https://www.amazon.com/Klein-Tools-Precision-Screwdriver-Tamperproof/dp/B09SVP9NDQ/ref=sr_1_7?keywords=Klein+Tools+32510+Magnetic+Screwdriver+with+32+Tamperproof+Bits&amp;qid=1695174211&amp;sr=8-7", "https://www.amazon.com/Klein-Tools-Precision-Screwdriver-Tamperproof/dp/B09SVP9NDQ/ref=sr_1_7?keywords=Klein+Tools+32510+Magnetic+Screwdriver+with+32+Tamperproof+Bits&amp;qid=1695174211&amp;sr=8-7")</f>
        <v>https://www.amazon.com/Klein-Tools-Precision-Screwdriver-Tamperproof/dp/B09SVP9NDQ/ref=sr_1_7?keywords=Klein+Tools+32510+Magnetic+Screwdriver+with+32+Tamperproof+Bits&amp;qid=1695174211&amp;sr=8-7</v>
      </c>
      <c r="F6812" t="s">
        <v>8813</v>
      </c>
      <c r="G6812" t="e">
        <f ca="1">_xludf.IMAGE("https://edmondsonsupply.com/cdn/shop/products/32510_alt2.jpg?v=1653267434")</f>
        <v>#NAME?</v>
      </c>
      <c r="H6812" t="e">
        <f ca="1">_xludf.IMAGE("https://m.media-amazon.com/images/I/41eUHzyQqQL._AC_UL320_.jpg")</f>
        <v>#NAME?</v>
      </c>
      <c r="I6812" t="s">
        <v>824</v>
      </c>
      <c r="J6812">
        <v>19.97</v>
      </c>
      <c r="K6812" s="4">
        <v>-0.3337</v>
      </c>
      <c r="L6812">
        <v>4.7</v>
      </c>
      <c r="M6812">
        <v>764</v>
      </c>
      <c r="O6812" t="s">
        <v>25</v>
      </c>
      <c r="P6812" t="s">
        <v>8025</v>
      </c>
      <c r="Q6812" t="s">
        <v>8026</v>
      </c>
    </row>
    <row r="6813" spans="1:17" ht="15.5" x14ac:dyDescent="0.35">
      <c r="A6813" s="3" t="str">
        <f>HYPERLINK("https://edmondsonsupply.com/collections/electricians-tools/products/klein-tools-sk234-screwdriver-set-slotted-screw-holding-3-piece", "https://edmondsonsupply.com/collections/electricians-tools/products/klein-tools-sk234-screwdriver-set-slotted-screw-holding-3-piece")</f>
        <v>https://edmondsonsupply.com/collections/electricians-tools/products/klein-tools-sk234-screwdriver-set-slotted-screw-holding-3-piece</v>
      </c>
      <c r="B6813" s="3" t="str">
        <f>HYPERLINK("https://edmondsonsupply.com/products/klein-tools-sk234-screwdriver-set-slotted-screw-holding-3-piece", "https://edmondsonsupply.com/products/klein-tools-sk234-screwdriver-set-slotted-screw-holding-3-piece")</f>
        <v>https://edmondsonsupply.com/products/klein-tools-sk234-screwdriver-set-slotted-screw-holding-3-piece</v>
      </c>
      <c r="C6813" t="s">
        <v>5276</v>
      </c>
      <c r="D6813" t="s">
        <v>5091</v>
      </c>
      <c r="E6813" s="3" t="str">
        <f>HYPERLINK("https://www.amazon.com/Klein-Tools-85073INS-Insulated-Screwdriver/dp/B0BF79WQZX/ref=sr_1_9?keywords=Klein+Tools+SK234+Screwdriver+Set%2C+Slotted+Screw+Holding%2C+3-Piece&amp;qid=1695173862&amp;sr=8-9", "https://www.amazon.com/Klein-Tools-85073INS-Insulated-Screwdriver/dp/B0BF79WQZX/ref=sr_1_9?keywords=Klein+Tools+SK234+Screwdriver+Set%2C+Slotted+Screw+Holding%2C+3-Piece&amp;qid=1695173862&amp;sr=8-9")</f>
        <v>https://www.amazon.com/Klein-Tools-85073INS-Insulated-Screwdriver/dp/B0BF79WQZX/ref=sr_1_9?keywords=Klein+Tools+SK234+Screwdriver+Set%2C+Slotted+Screw+Holding%2C+3-Piece&amp;qid=1695173862&amp;sr=8-9</v>
      </c>
      <c r="F6813" t="s">
        <v>5092</v>
      </c>
      <c r="G6813" t="e">
        <f ca="1">_xludf.IMAGE("https://edmondsonsupply.com/cdn/shop/products/sk234.jpg?v=1587144984")</f>
        <v>#NAME?</v>
      </c>
      <c r="H6813" t="e">
        <f ca="1">_xludf.IMAGE("https://m.media-amazon.com/images/I/51dL7msUIqL._AC_UL320_.jpg")</f>
        <v>#NAME?</v>
      </c>
      <c r="I6813" t="s">
        <v>824</v>
      </c>
      <c r="J6813">
        <v>19.97</v>
      </c>
      <c r="K6813" s="4">
        <v>-0.3337</v>
      </c>
      <c r="L6813">
        <v>4.9000000000000004</v>
      </c>
      <c r="M6813">
        <v>205</v>
      </c>
      <c r="O6813" t="s">
        <v>171</v>
      </c>
      <c r="P6813" t="s">
        <v>5277</v>
      </c>
      <c r="Q6813" t="s">
        <v>5278</v>
      </c>
    </row>
    <row r="6814" spans="1:17" ht="15.5" x14ac:dyDescent="0.35">
      <c r="A6814" s="3" t="str">
        <f>HYPERLINK("https://edmondsonsupply.com/collections/electricians-tools/products/klein-tools-51603-iron-conduit-bender-full-assembly-1-2-inch-emt-with-angle-setter%E2%84%A2", "https://edmondsonsupply.com/collections/electricians-tools/products/klein-tools-51603-iron-conduit-bender-full-assembly-1-2-inch-emt-with-angle-setter%E2%84%A2")</f>
        <v>https://edmondsonsupply.com/collections/electricians-tools/products/klein-tools-51603-iron-conduit-bender-full-assembly-1-2-inch-emt-with-angle-setter%E2%84%A2</v>
      </c>
      <c r="B6814" s="3" t="str">
        <f>HYPERLINK("https://edmondsonsupply.com/products/klein-tools-51603-iron-conduit-bender-full-assembly-1-2-inch-emt-with-angle-setter%e2%84%a2", "https://edmondsonsupply.com/products/klein-tools-51603-iron-conduit-bender-full-assembly-1-2-inch-emt-with-angle-setter%e2%84%a2")</f>
        <v>https://edmondsonsupply.com/products/klein-tools-51603-iron-conduit-bender-full-assembly-1-2-inch-emt-with-angle-setter%e2%84%a2</v>
      </c>
      <c r="C6814" t="s">
        <v>6963</v>
      </c>
      <c r="D6814" t="s">
        <v>6208</v>
      </c>
      <c r="E6814" s="3" t="str">
        <f>HYPERLINK("https://www.amazon.com/Aluminum-Benchmark-Technology-Klein-Tools/dp/B08L41DC9N/ref=sr_1_3?keywords=Klein+Tools+51603+Iron+Conduit+Bender+Full+Assembly%2C+1%2F2-Inch+EMT+with+Angle+Setter%E2%84%A2&amp;qid=1695173919&amp;sr=8-3", "https://www.amazon.com/Aluminum-Benchmark-Technology-Klein-Tools/dp/B08L41DC9N/ref=sr_1_3?keywords=Klein+Tools+51603+Iron+Conduit+Bender+Full+Assembly%2C+1%2F2-Inch+EMT+with+Angle+Setter%E2%84%A2&amp;qid=1695173919&amp;sr=8-3")</f>
        <v>https://www.amazon.com/Aluminum-Benchmark-Technology-Klein-Tools/dp/B08L41DC9N/ref=sr_1_3?keywords=Klein+Tools+51603+Iron+Conduit+Bender+Full+Assembly%2C+1%2F2-Inch+EMT+with+Angle+Setter%E2%84%A2&amp;qid=1695173919&amp;sr=8-3</v>
      </c>
      <c r="F6814" t="s">
        <v>6209</v>
      </c>
      <c r="G6814" t="e">
        <f ca="1">_xludf.IMAGE("https://edmondsonsupply.com/cdn/shop/products/51604.jpg?v=1663940749")</f>
        <v>#NAME?</v>
      </c>
      <c r="H6814" t="e">
        <f ca="1">_xludf.IMAGE("https://m.media-amazon.com/images/I/41JBDxEE8NL._AC_UL320_.jpg")</f>
        <v>#NAME?</v>
      </c>
      <c r="I6814" t="s">
        <v>905</v>
      </c>
      <c r="J6814">
        <v>39.97</v>
      </c>
      <c r="K6814" s="4">
        <v>-0.3337</v>
      </c>
      <c r="L6814">
        <v>4.8</v>
      </c>
      <c r="M6814">
        <v>258</v>
      </c>
      <c r="O6814" t="s">
        <v>25</v>
      </c>
      <c r="P6814" t="s">
        <v>6964</v>
      </c>
      <c r="Q6814" t="s">
        <v>6965</v>
      </c>
    </row>
    <row r="6815" spans="1:17" ht="15.5" x14ac:dyDescent="0.35">
      <c r="A6815"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6815"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6815" t="s">
        <v>7089</v>
      </c>
      <c r="D6815" t="s">
        <v>3573</v>
      </c>
      <c r="E6815" s="3" t="str">
        <f>HYPERLINK("https://www.amazon.com/Channellock-440-12-Inch-Tongue-Groove/dp/B00004SBCU/ref=sr_1_2?keywords=Channellock+440X+12-Inch+SPEEDGRIP%E2%84%A2+Straight+Jaw+Tongue+%26+Groove+Pliers&amp;qid=1695174216&amp;sr=8-2", "https://www.amazon.com/Channellock-440-12-Inch-Tongue-Groove/dp/B00004SBCU/ref=sr_1_2?keywords=Channellock+440X+12-Inch+SPEEDGRIP%E2%84%A2+Straight+Jaw+Tongue+%26+Groove+Pliers&amp;qid=1695174216&amp;sr=8-2")</f>
        <v>https://www.amazon.com/Channellock-440-12-Inch-Tongue-Groove/dp/B00004SBCU/ref=sr_1_2?keywords=Channellock+440X+12-Inch+SPEEDGRIP%E2%84%A2+Straight+Jaw+Tongue+%26+Groove+Pliers&amp;qid=1695174216&amp;sr=8-2</v>
      </c>
      <c r="F6815" t="s">
        <v>3574</v>
      </c>
      <c r="G6815" t="e">
        <f ca="1">_xludf.IMAGE("https://edmondsonsupply.com/cdn/shop/products/440X.jpg?v=1647104734")</f>
        <v>#NAME?</v>
      </c>
      <c r="H6815" t="e">
        <f ca="1">_xludf.IMAGE("https://m.media-amazon.com/images/I/71FM1bkavsL._AC_UL320_.jpg")</f>
        <v>#NAME?</v>
      </c>
      <c r="I6815" t="s">
        <v>122</v>
      </c>
      <c r="J6815">
        <v>21.95</v>
      </c>
      <c r="K6815" s="4">
        <v>-0.33379999999999999</v>
      </c>
      <c r="L6815">
        <v>4.8</v>
      </c>
      <c r="M6815">
        <v>3565</v>
      </c>
      <c r="O6815" t="s">
        <v>25</v>
      </c>
      <c r="P6815" t="s">
        <v>7092</v>
      </c>
      <c r="Q6815" t="s">
        <v>7093</v>
      </c>
    </row>
    <row r="6816" spans="1:17" ht="15.5" x14ac:dyDescent="0.35">
      <c r="A6816" s="3" t="str">
        <f>HYPERLINK("https://edmondsonsupply.com/collections/electricians-tools/products/klein-tools-jth4e13-1-4-inch-hex-key-journeyman%E2%84%A2-t-handle-4-inch", "https://edmondsonsupply.com/collections/electricians-tools/products/klein-tools-jth4e13-1-4-inch-hex-key-journeyman%E2%84%A2-t-handle-4-inch")</f>
        <v>https://edmondsonsupply.com/collections/electricians-tools/products/klein-tools-jth4e13-1-4-inch-hex-key-journeyman%E2%84%A2-t-handle-4-inch</v>
      </c>
      <c r="B6816" s="3" t="str">
        <f>HYPERLINK("https://edmondsonsupply.com/products/klein-tools-jth4e13-1-4-inch-hex-key-journeyman%e2%84%a2-t-handle-4-inch", "https://edmondsonsupply.com/products/klein-tools-jth4e13-1-4-inch-hex-key-journeyman%e2%84%a2-t-handle-4-inch")</f>
        <v>https://edmondsonsupply.com/products/klein-tools-jth4e13-1-4-inch-hex-key-journeyman%e2%84%a2-t-handle-4-inch</v>
      </c>
      <c r="C6816" t="s">
        <v>6889</v>
      </c>
      <c r="D6816" t="s">
        <v>5678</v>
      </c>
      <c r="E6816" s="3" t="str">
        <f>HYPERLINK("https://www.amazon.com/Journeyman-T-Handle-Klein-Tools-JTH6M4/dp/B005G394YO/ref=sr_1_3?keywords=Klein+Tools+JTH4E13+1%2F4-Inch+Hex+Key%2C+Journeyman%E2%84%A2+T-Handle%2C+4-Inch&amp;qid=1695174202&amp;sr=8-3", "https://www.amazon.com/Journeyman-T-Handle-Klein-Tools-JTH6M4/dp/B005G394YO/ref=sr_1_3?keywords=Klein+Tools+JTH4E13+1%2F4-Inch+Hex+Key%2C+Journeyman%E2%84%A2+T-Handle%2C+4-Inch&amp;qid=1695174202&amp;sr=8-3")</f>
        <v>https://www.amazon.com/Journeyman-T-Handle-Klein-Tools-JTH6M4/dp/B005G394YO/ref=sr_1_3?keywords=Klein+Tools+JTH4E13+1%2F4-Inch+Hex+Key%2C+Journeyman%E2%84%A2+T-Handle%2C+4-Inch&amp;qid=1695174202&amp;sr=8-3</v>
      </c>
      <c r="F6816" t="s">
        <v>5679</v>
      </c>
      <c r="G6816" t="e">
        <f ca="1">_xludf.IMAGE("https://edmondsonsupply.com/cdn/shop/products/jth4e13.jpg?v=1660919816")</f>
        <v>#NAME?</v>
      </c>
      <c r="H6816" t="e">
        <f ca="1">_xludf.IMAGE("https://m.media-amazon.com/images/I/51+1x0vz9XL._AC_UL320_.jpg")</f>
        <v>#NAME?</v>
      </c>
      <c r="I6816" t="s">
        <v>2639</v>
      </c>
      <c r="J6816">
        <v>3.99</v>
      </c>
      <c r="K6816" s="4">
        <v>-0.33389999999999997</v>
      </c>
      <c r="L6816">
        <v>4.8</v>
      </c>
      <c r="M6816">
        <v>1532</v>
      </c>
      <c r="O6816" t="s">
        <v>25</v>
      </c>
      <c r="P6816" t="s">
        <v>6890</v>
      </c>
      <c r="Q6816" t="s">
        <v>6891</v>
      </c>
    </row>
    <row r="6817" spans="1:17" ht="15.5" x14ac:dyDescent="0.35">
      <c r="A6817"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6817"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6817" t="s">
        <v>6755</v>
      </c>
      <c r="D6817" t="s">
        <v>7065</v>
      </c>
      <c r="E6817" s="3" t="str">
        <f>HYPERLINK("https://www.amazon.com/Klein-Tools-6924INS-Insulated-Screwdriver/dp/B088NRM4CC/ref=sr_1_3?keywords=Klein+Tools+602-4-INS+1%2F4-Inch+Cabinet+Tip+Insulated+Screwdriver%2C+4-Inch&amp;qid=1695174266&amp;sr=8-3", "https://www.amazon.com/Klein-Tools-6924INS-Insulated-Screwdriver/dp/B088NRM4CC/ref=sr_1_3?keywords=Klein+Tools+602-4-INS+1%2F4-Inch+Cabinet+Tip+Insulated+Screwdriver%2C+4-Inch&amp;qid=1695174266&amp;sr=8-3")</f>
        <v>https://www.amazon.com/Klein-Tools-6924INS-Insulated-Screwdriver/dp/B088NRM4CC/ref=sr_1_3?keywords=Klein+Tools+602-4-INS+1%2F4-Inch+Cabinet+Tip+Insulated+Screwdriver%2C+4-Inch&amp;qid=1695174266&amp;sr=8-3</v>
      </c>
      <c r="F6817" t="s">
        <v>7066</v>
      </c>
      <c r="G6817" t="e">
        <f ca="1">_xludf.IMAGE("https://edmondsonsupply.com/cdn/shop/products/602-4-ins-photo.jpg?v=1633031051")</f>
        <v>#NAME?</v>
      </c>
      <c r="H6817" t="e">
        <f ca="1">_xludf.IMAGE("https://m.media-amazon.com/images/I/419wtU12P3L._AC_UL320_.jpg")</f>
        <v>#NAME?</v>
      </c>
      <c r="I6817" t="s">
        <v>3185</v>
      </c>
      <c r="J6817">
        <v>13.97</v>
      </c>
      <c r="K6817" s="4">
        <v>-0.33439999999999998</v>
      </c>
      <c r="L6817">
        <v>4.8</v>
      </c>
      <c r="M6817">
        <v>1361</v>
      </c>
      <c r="O6817" t="s">
        <v>25</v>
      </c>
      <c r="P6817" t="s">
        <v>6758</v>
      </c>
      <c r="Q6817" t="s">
        <v>6759</v>
      </c>
    </row>
    <row r="6818" spans="1:17" ht="15.5" x14ac:dyDescent="0.35">
      <c r="A6818" s="3" t="str">
        <f>HYPERLINK("https://edmondsonsupply.com/collections/electricians-tools/products/diablo-tools-dou125bw", "https://edmondsonsupply.com/collections/electricians-tools/products/diablo-tools-dou125bw")</f>
        <v>https://edmondsonsupply.com/collections/electricians-tools/products/diablo-tools-dou125bw</v>
      </c>
      <c r="B6818" s="3" t="str">
        <f>HYPERLINK("https://edmondsonsupply.com/products/diablo-tools-dou125bw", "https://edmondsonsupply.com/products/diablo-tools-dou125bw")</f>
        <v>https://edmondsonsupply.com/products/diablo-tools-dou125bw</v>
      </c>
      <c r="C6818" t="s">
        <v>6906</v>
      </c>
      <c r="D6818" t="s">
        <v>8827</v>
      </c>
      <c r="E6818" s="3" t="str">
        <f>HYPERLINK("https://www.amazon.com/Diablo-Freud-DOU125BF-Universal-Oscillating/dp/B089KV143Y/ref=sr_1_7?keywords=Diablo+Tools+DOU125BW+1-1%2F4+in.+Universal+Fit+Bi-Metal+Oscillating+Blade+for+Nail-Embedded+Wood&amp;qid=1695174264&amp;sr=8-7", "https://www.amazon.com/Diablo-Freud-DOU125BF-Universal-Oscillating/dp/B089KV143Y/ref=sr_1_7?keywords=Diablo+Tools+DOU125BW+1-1%2F4+in.+Universal+Fit+Bi-Metal+Oscillating+Blade+for+Nail-Embedded+Wood&amp;qid=1695174264&amp;sr=8-7")</f>
        <v>https://www.amazon.com/Diablo-Freud-DOU125BF-Universal-Oscillating/dp/B089KV143Y/ref=sr_1_7?keywords=Diablo+Tools+DOU125BW+1-1%2F4+in.+Universal+Fit+Bi-Metal+Oscillating+Blade+for+Nail-Embedded+Wood&amp;qid=1695174264&amp;sr=8-7</v>
      </c>
      <c r="F6818" t="s">
        <v>8828</v>
      </c>
      <c r="G6818" t="e">
        <f ca="1">_xludf.IMAGE("https://edmondsonsupply.com/cdn/shop/products/gnn0wpqc8veb3qhldcrb.webp?v=1676040020")</f>
        <v>#NAME?</v>
      </c>
      <c r="H6818" t="e">
        <f ca="1">_xludf.IMAGE("https://m.media-amazon.com/images/I/61mZfXlj-XL._AC_UL320_.jpg")</f>
        <v>#NAME?</v>
      </c>
      <c r="I6818" t="s">
        <v>2586</v>
      </c>
      <c r="J6818">
        <v>11.95</v>
      </c>
      <c r="K6818" s="4">
        <v>-0.33500000000000002</v>
      </c>
      <c r="L6818">
        <v>3.7</v>
      </c>
      <c r="M6818">
        <v>8</v>
      </c>
      <c r="O6818" t="s">
        <v>25</v>
      </c>
      <c r="P6818" t="s">
        <v>2152</v>
      </c>
      <c r="Q6818" t="s">
        <v>6909</v>
      </c>
    </row>
    <row r="6819" spans="1:17" ht="15.5" x14ac:dyDescent="0.35">
      <c r="A6819" s="3" t="str">
        <f>HYPERLINK("https://edmondsonsupply.com/collections/electricians-tools/products/klein-tools-2288rins-diagonal-cutting-pliers-insulated-high-leverage-8-inch", "https://edmondsonsupply.com/collections/electricians-tools/products/klein-tools-2288rins-diagonal-cutting-pliers-insulated-high-leverage-8-inch")</f>
        <v>https://edmondsonsupply.com/collections/electricians-tools/products/klein-tools-2288rins-diagonal-cutting-pliers-insulated-high-leverage-8-inch</v>
      </c>
      <c r="B6819" s="3" t="str">
        <f>HYPERLINK("https://edmondsonsupply.com/products/klein-tools-2288rins-diagonal-cutting-pliers-insulated-high-leverage-8-inch", "https://edmondsonsupply.com/products/klein-tools-2288rins-diagonal-cutting-pliers-insulated-high-leverage-8-inch")</f>
        <v>https://edmondsonsupply.com/products/klein-tools-2288rins-diagonal-cutting-pliers-insulated-high-leverage-8-inch</v>
      </c>
      <c r="C6819" t="s">
        <v>8170</v>
      </c>
      <c r="D6819" t="s">
        <v>8934</v>
      </c>
      <c r="E6819" s="3" t="str">
        <f>HYPERLINK("https://www.amazon.com/Diagonal-Cutting-Klein-Tools-D238-8/dp/B0002RI9OA/ref=sr_1_5?keywords=Klein+Tools+2288RINS+Diagonal+Cutting+Pliers%2C+Insulated%2C+High+Leverage%2C+8-Inch&amp;qid=1695174127&amp;sr=8-5", "https://www.amazon.com/Diagonal-Cutting-Klein-Tools-D238-8/dp/B0002RI9OA/ref=sr_1_5?keywords=Klein+Tools+2288RINS+Diagonal+Cutting+Pliers%2C+Insulated%2C+High+Leverage%2C+8-Inch&amp;qid=1695174127&amp;sr=8-5")</f>
        <v>https://www.amazon.com/Diagonal-Cutting-Klein-Tools-D238-8/dp/B0002RI9OA/ref=sr_1_5?keywords=Klein+Tools+2288RINS+Diagonal+Cutting+Pliers%2C+Insulated%2C+High+Leverage%2C+8-Inch&amp;qid=1695174127&amp;sr=8-5</v>
      </c>
      <c r="F6819" t="s">
        <v>8935</v>
      </c>
      <c r="G6819" t="e">
        <f ca="1">_xludf.IMAGE("https://edmondsonsupply.com/cdn/shop/products/2288rins.jpg?v=1667238570")</f>
        <v>#NAME?</v>
      </c>
      <c r="H6819" t="e">
        <f ca="1">_xludf.IMAGE("https://m.media-amazon.com/images/I/41lZuBa-TSL._AC_UL320_.jpg")</f>
        <v>#NAME?</v>
      </c>
      <c r="I6819" t="s">
        <v>246</v>
      </c>
      <c r="J6819">
        <v>26.51</v>
      </c>
      <c r="K6819" s="4">
        <v>-0.33679999999999999</v>
      </c>
      <c r="L6819">
        <v>4.8</v>
      </c>
      <c r="M6819">
        <v>2417</v>
      </c>
      <c r="O6819" t="s">
        <v>25</v>
      </c>
      <c r="P6819" t="s">
        <v>1027</v>
      </c>
      <c r="Q6819" t="s">
        <v>8171</v>
      </c>
    </row>
    <row r="6820" spans="1:17" ht="15.5" x14ac:dyDescent="0.35">
      <c r="A6820" s="3" t="str">
        <f>HYPERLINK("https://edmondsonsupply.com/collections/electricians-tools/products/klein-tools-ncvt-2pkit-dual-range-non-contact-voltage-tester-with-receptacle-tester", "https://edmondsonsupply.com/collections/electricians-tools/products/klein-tools-ncvt-2pkit-dual-range-non-contact-voltage-tester-with-receptacle-tester")</f>
        <v>https://edmondsonsupply.com/collections/electricians-tools/products/klein-tools-ncvt-2pkit-dual-range-non-contact-voltage-tester-with-receptacle-tester</v>
      </c>
      <c r="B6820" s="3" t="str">
        <f>HYPERLINK("https://edmondsonsupply.com/products/klein-tools-ncvt-2pkit-dual-range-non-contact-voltage-tester-with-receptacle-tester", "https://edmondsonsupply.com/products/klein-tools-ncvt-2pkit-dual-range-non-contact-voltage-tester-with-receptacle-tester")</f>
        <v>https://edmondsonsupply.com/products/klein-tools-ncvt-2pkit-dual-range-non-contact-voltage-tester-with-receptacle-tester</v>
      </c>
      <c r="C6820" t="s">
        <v>1566</v>
      </c>
      <c r="D6820" t="s">
        <v>5459</v>
      </c>
      <c r="E6820" s="3" t="str">
        <f>HYPERLINK("https://www.amazon.com/Klein-Tools-NCVT3PKIT-Electrical-Non-Contact/dp/B08SY9XFJK/ref=sr_1_6?keywords=Klein+Tools+NCVT-2PKIT+Dual+Range+Non-Contact+Voltage+Tester+with+Receptacle+Tester&amp;qid=1695173953&amp;sr=8-6", "https://www.amazon.com/Klein-Tools-NCVT3PKIT-Electrical-Non-Contact/dp/B08SY9XFJK/ref=sr_1_6?keywords=Klein+Tools+NCVT-2PKIT+Dual+Range+Non-Contact+Voltage+Tester+with+Receptacle+Tester&amp;qid=1695173953&amp;sr=8-6")</f>
        <v>https://www.amazon.com/Klein-Tools-NCVT3PKIT-Electrical-Non-Contact/dp/B08SY9XFJK/ref=sr_1_6?keywords=Klein+Tools+NCVT-2PKIT+Dual+Range+Non-Contact+Voltage+Tester+with+Receptacle+Tester&amp;qid=1695173953&amp;sr=8-6</v>
      </c>
      <c r="F6820" t="s">
        <v>5460</v>
      </c>
      <c r="G6820" t="e">
        <f ca="1">_xludf.IMAGE("https://edmondsonsupply.com/cdn/shop/products/ncvt2pkit.jpg?v=1633030827")</f>
        <v>#NAME?</v>
      </c>
      <c r="H6820" t="e">
        <f ca="1">_xludf.IMAGE("https://m.media-amazon.com/images/I/519yG6StX0L._AC_UL320_.jpg")</f>
        <v>#NAME?</v>
      </c>
      <c r="I6820" t="s">
        <v>26</v>
      </c>
      <c r="J6820">
        <v>19.88</v>
      </c>
      <c r="K6820" s="4">
        <v>-0.33710000000000001</v>
      </c>
      <c r="L6820">
        <v>4.7</v>
      </c>
      <c r="M6820">
        <v>4231</v>
      </c>
      <c r="O6820" t="s">
        <v>25</v>
      </c>
      <c r="P6820" t="s">
        <v>1569</v>
      </c>
      <c r="Q6820" t="s">
        <v>1570</v>
      </c>
    </row>
    <row r="6821" spans="1:17" ht="15.5" x14ac:dyDescent="0.35">
      <c r="A6821"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6821"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6821" t="s">
        <v>8412</v>
      </c>
      <c r="D6821" t="s">
        <v>8936</v>
      </c>
      <c r="E6821" s="3" t="str">
        <f>HYPERLINK("https://www.amazon.com/TAJIMA-Tape-Measure-GS-Lock-Measuring/dp/B08J4HYBXZ/ref=sr_1_3?keywords=Tajima+GS-25%2F7.5MBW+GS+Lock%E2%84%A2+Standard+%26+Metric+Scale%2C+25+ft%2F+7.5+m+x+1-1%2F16+in.%2F27mm+Steel+Blade+Tape+Measure&amp;qid=1695174191&amp;sr=8-3", "https://www.amazon.com/TAJIMA-Tape-Measure-GS-Lock-Measuring/dp/B08J4HYBXZ/ref=sr_1_3?keywords=Tajima+GS-25%2F7.5MBW+GS+Lock%E2%84%A2+Standard+%26+Metric+Scale%2C+25+ft%2F+7.5+m+x+1-1%2F16+in.%2F27mm+Steel+Blade+Tape+Measure&amp;qid=1695174191&amp;sr=8-3")</f>
        <v>https://www.amazon.com/TAJIMA-Tape-Measure-GS-Lock-Measuring/dp/B08J4HYBXZ/ref=sr_1_3?keywords=Tajima+GS-25%2F7.5MBW+GS+Lock%E2%84%A2+Standard+%26+Metric+Scale%2C+25+ft%2F+7.5+m+x+1-1%2F16+in.%2F27mm+Steel+Blade+Tape+Measure&amp;qid=1695174191&amp;sr=8-3</v>
      </c>
      <c r="F6821" t="s">
        <v>8937</v>
      </c>
      <c r="G6821" t="e">
        <f ca="1">_xludf.IMAGE("https://edmondsonsupply.com/cdn/shop/products/GS25-7.5MBW.jpg?v=1655830265")</f>
        <v>#NAME?</v>
      </c>
      <c r="H6821" t="e">
        <f ca="1">_xludf.IMAGE("https://m.media-amazon.com/images/I/51mF266MFFL._AC_UL320_.jpg")</f>
        <v>#NAME?</v>
      </c>
      <c r="I6821" t="s">
        <v>7638</v>
      </c>
      <c r="J6821">
        <v>27.92</v>
      </c>
      <c r="K6821" s="4">
        <v>-0.3382</v>
      </c>
      <c r="L6821">
        <v>4.5</v>
      </c>
      <c r="M6821">
        <v>136</v>
      </c>
      <c r="O6821" t="s">
        <v>25</v>
      </c>
      <c r="P6821" t="s">
        <v>138</v>
      </c>
      <c r="Q6821" t="s">
        <v>8413</v>
      </c>
    </row>
    <row r="6822" spans="1:17" ht="15.5" x14ac:dyDescent="0.35">
      <c r="A6822" s="3" t="str">
        <f>HYPERLINK("https://edmondsonsupply.com/collections/electricians-tools/products/klein-tools-63050-eins-electricians-cable-cutter-insulated-high-leverage", "https://edmondsonsupply.com/collections/electricians-tools/products/klein-tools-63050-eins-electricians-cable-cutter-insulated-high-leverage")</f>
        <v>https://edmondsonsupply.com/collections/electricians-tools/products/klein-tools-63050-eins-electricians-cable-cutter-insulated-high-leverage</v>
      </c>
      <c r="B6822" s="3" t="str">
        <f>HYPERLINK("https://edmondsonsupply.com/products/klein-tools-63050-eins-electricians-cable-cutter-insulated-high-leverage", "https://edmondsonsupply.com/products/klein-tools-63050-eins-electricians-cable-cutter-insulated-high-leverage")</f>
        <v>https://edmondsonsupply.com/products/klein-tools-63050-eins-electricians-cable-cutter-insulated-high-leverage</v>
      </c>
      <c r="C6822" t="s">
        <v>8938</v>
      </c>
      <c r="D6822" t="s">
        <v>8939</v>
      </c>
      <c r="E6822" s="3" t="str">
        <f>HYPERLINK("https://www.amazon.com/Klein-Tools-63050-EINS-Electricians-Insulated/dp/B00JGG5U04/ref=sr_1_1?keywords=Klein+Tools+63050-EINS+Electricians+Cable+Cutter%2C+Insulated%2C+High-Leverage&amp;qid=1695174299&amp;sr=8-1", "https://www.amazon.com/Klein-Tools-63050-EINS-Electricians-Insulated/dp/B00JGG5U04/ref=sr_1_1?keywords=Klein+Tools+63050-EINS+Electricians+Cable+Cutter%2C+Insulated%2C+High-Leverage&amp;qid=1695174299&amp;sr=8-1")</f>
        <v>https://www.amazon.com/Klein-Tools-63050-EINS-Electricians-Insulated/dp/B00JGG5U04/ref=sr_1_1?keywords=Klein+Tools+63050-EINS+Electricians+Cable+Cutter%2C+Insulated%2C+High-Leverage&amp;qid=1695174299&amp;sr=8-1</v>
      </c>
      <c r="F6822" t="s">
        <v>8940</v>
      </c>
      <c r="G6822" t="e">
        <f ca="1">_xludf.IMAGE("https://edmondsonsupply.com/cdn/shop/products/63050eins.jpg?v=1633030869")</f>
        <v>#NAME?</v>
      </c>
      <c r="H6822" t="e">
        <f ca="1">_xludf.IMAGE("https://m.media-amazon.com/images/I/51gCq30GmQL._AC_UL320_.jpg")</f>
        <v>#NAME?</v>
      </c>
      <c r="I6822" t="s">
        <v>7918</v>
      </c>
      <c r="J6822">
        <v>43</v>
      </c>
      <c r="K6822" s="4">
        <v>-0.33839999999999998</v>
      </c>
      <c r="L6822">
        <v>4.7</v>
      </c>
      <c r="M6822">
        <v>177</v>
      </c>
      <c r="O6822" t="s">
        <v>25</v>
      </c>
      <c r="P6822" t="s">
        <v>8941</v>
      </c>
      <c r="Q6822" t="s">
        <v>8942</v>
      </c>
    </row>
    <row r="6823" spans="1:17" ht="15.5" x14ac:dyDescent="0.35">
      <c r="A6823"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6823"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6823" t="s">
        <v>6587</v>
      </c>
      <c r="D6823" t="s">
        <v>7063</v>
      </c>
      <c r="E6823" s="3" t="str">
        <f>HYPERLINK("https://www.amazon.com/Non-Contact-Detector-Klein-Tools-NCVT1P/dp/B099SJ6469/ref=sr_1_7?keywords=Klein+Tools+NCVT-2P+Dual+Range+Non-Contact+Voltage+Tester+12+-+1000V+AC&amp;qid=1695174301&amp;sr=8-7", "https://www.amazon.com/Non-Contact-Detector-Klein-Tools-NCVT1P/dp/B099SJ6469/ref=sr_1_7?keywords=Klein+Tools+NCVT-2P+Dual+Range+Non-Contact+Voltage+Tester+12+-+1000V+AC&amp;qid=1695174301&amp;sr=8-7")</f>
        <v>https://www.amazon.com/Non-Contact-Detector-Klein-Tools-NCVT1P/dp/B099SJ6469/ref=sr_1_7?keywords=Klein+Tools+NCVT-2P+Dual+Range+Non-Contact+Voltage+Tester+12+-+1000V+AC&amp;qid=1695174301&amp;sr=8-7</v>
      </c>
      <c r="F6823" t="s">
        <v>7064</v>
      </c>
      <c r="G6823" t="e">
        <f ca="1">_xludf.IMAGE("https://edmondsonsupply.com/cdn/shop/products/ncvt2p.jpg?v=1633030824")</f>
        <v>#NAME?</v>
      </c>
      <c r="H6823" t="e">
        <f ca="1">_xludf.IMAGE("https://m.media-amazon.com/images/I/412nrsDmOxL._AC_UL320_.jpg")</f>
        <v>#NAME?</v>
      </c>
      <c r="I6823" t="s">
        <v>6588</v>
      </c>
      <c r="J6823">
        <v>18.5</v>
      </c>
      <c r="K6823" s="4">
        <v>-0.33860000000000001</v>
      </c>
      <c r="L6823">
        <v>4.5999999999999996</v>
      </c>
      <c r="M6823">
        <v>3435</v>
      </c>
      <c r="O6823" t="s">
        <v>25</v>
      </c>
      <c r="P6823" t="s">
        <v>6589</v>
      </c>
      <c r="Q6823" t="s">
        <v>6590</v>
      </c>
    </row>
    <row r="6824" spans="1:17" ht="15.5" x14ac:dyDescent="0.35">
      <c r="A6824" s="3" t="str">
        <f>HYPERLINK("https://edmondsonsupply.com/collections/electricians-tools/products/crescent-tools-cx6dbs2-2-pc-x6%E2%84%A2-4-in-1-black-oxide-spline-ratcheting-sae-wrench-set", "https://edmondsonsupply.com/collections/electricians-tools/products/crescent-tools-cx6dbs2-2-pc-x6%E2%84%A2-4-in-1-black-oxide-spline-ratcheting-sae-wrench-set")</f>
        <v>https://edmondsonsupply.com/collections/electricians-tools/products/crescent-tools-cx6dbs2-2-pc-x6%E2%84%A2-4-in-1-black-oxide-spline-ratcheting-sae-wrench-set</v>
      </c>
      <c r="B6824" s="3" t="str">
        <f>HYPERLINK("https://edmondsonsupply.com/products/crescent-tools-cx6dbs2-2-pc-x6%e2%84%a2-4-in-1-black-oxide-spline-ratcheting-sae-wrench-set", "https://edmondsonsupply.com/products/crescent-tools-cx6dbs2-2-pc-x6%e2%84%a2-4-in-1-black-oxide-spline-ratcheting-sae-wrench-set")</f>
        <v>https://edmondsonsupply.com/products/crescent-tools-cx6dbs2-2-pc-x6%e2%84%a2-4-in-1-black-oxide-spline-ratcheting-sae-wrench-set</v>
      </c>
      <c r="C6824" t="s">
        <v>6806</v>
      </c>
      <c r="D6824" t="s">
        <v>8943</v>
      </c>
      <c r="E6824" s="3" t="str">
        <f>HYPERLINK("https://www.amazon.com/Crescent-CX6DBM2-Double-Ratcheting-2-Piece/dp/B00BRKTB8E/ref=sr_1_4?keywords=Crescent+Tools+CX6DBS2+2+Pc.+X6%E2%84%A2+4-in-1+Black+Oxide+Spline+Ratcheting+SAE+Wrench+Set&amp;qid=1695174022&amp;sr=8-4", "https://www.amazon.com/Crescent-CX6DBM2-Double-Ratcheting-2-Piece/dp/B00BRKTB8E/ref=sr_1_4?keywords=Crescent+Tools+CX6DBS2+2+Pc.+X6%E2%84%A2+4-in-1+Black+Oxide+Spline+Ratcheting+SAE+Wrench+Set&amp;qid=1695174022&amp;sr=8-4")</f>
        <v>https://www.amazon.com/Crescent-CX6DBM2-Double-Ratcheting-2-Piece/dp/B00BRKTB8E/ref=sr_1_4?keywords=Crescent+Tools+CX6DBS2+2+Pc.+X6%E2%84%A2+4-in-1+Black+Oxide+Spline+Ratcheting+SAE+Wrench+Set&amp;qid=1695174022&amp;sr=8-4</v>
      </c>
      <c r="F6824" t="s">
        <v>8944</v>
      </c>
      <c r="G6824" t="e">
        <f ca="1">_xludf.IMAGE("https://edmondsonsupply.com/cdn/shop/products/CRS_CX6DBS2_FRNT_MAIN.jpg?v=1681319485")</f>
        <v>#NAME?</v>
      </c>
      <c r="H6824" t="e">
        <f ca="1">_xludf.IMAGE("https://m.media-amazon.com/images/I/61PIBR-x8DL._AC_UL320_.jpg")</f>
        <v>#NAME?</v>
      </c>
      <c r="I6824" t="s">
        <v>6809</v>
      </c>
      <c r="J6824">
        <v>22.47</v>
      </c>
      <c r="K6824" s="4">
        <v>-0.3387</v>
      </c>
      <c r="L6824">
        <v>4.5</v>
      </c>
      <c r="M6824">
        <v>973</v>
      </c>
      <c r="O6824" t="s">
        <v>25</v>
      </c>
      <c r="P6824" t="s">
        <v>6810</v>
      </c>
      <c r="Q6824" t="s">
        <v>6811</v>
      </c>
    </row>
    <row r="6825" spans="1:17" ht="15.5" x14ac:dyDescent="0.35">
      <c r="A6825"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6825"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6825" t="s">
        <v>3118</v>
      </c>
      <c r="D6825" t="s">
        <v>2386</v>
      </c>
      <c r="E6825" s="3" t="str">
        <f>HYPERLINK("https://www.amazon.com/Journeyman-T-Handle-Klein-Tools-JTH6E13BE/dp/B004QW52YW/ref=sr_1_9?keywords=Klein+Tools+JTH4E17+1%2F2-Inch+Hex+Key%2C+Journeyman+T-Handle%2C+4-Inch&amp;qid=1695173921&amp;sr=8-9", "https://www.amazon.com/Journeyman-T-Handle-Klein-Tools-JTH6E13BE/dp/B004QW52YW/ref=sr_1_9?keywords=Klein+Tools+JTH4E17+1%2F2-Inch+Hex+Key%2C+Journeyman+T-Handle%2C+4-Inch&amp;qid=1695173921&amp;sr=8-9")</f>
        <v>https://www.amazon.com/Journeyman-T-Handle-Klein-Tools-JTH6E13BE/dp/B004QW52YW/ref=sr_1_9?keywords=Klein+Tools+JTH4E17+1%2F2-Inch+Hex+Key%2C+Journeyman+T-Handle%2C+4-Inch&amp;qid=1695173921&amp;sr=8-9</v>
      </c>
      <c r="F6825" t="s">
        <v>2387</v>
      </c>
      <c r="G6825" t="e">
        <f ca="1">_xludf.IMAGE("https://edmondsonsupply.com/cdn/shop/products/jth4e17_583549be-7b42-43c7-9c3d-a92f2416ede5.jpg?v=1610655610")</f>
        <v>#NAME?</v>
      </c>
      <c r="H6825" t="e">
        <f ca="1">_xludf.IMAGE("https://m.media-amazon.com/images/I/51f9vBFVXgL._AC_UL320_.jpg")</f>
        <v>#NAME?</v>
      </c>
      <c r="I6825" t="s">
        <v>252</v>
      </c>
      <c r="J6825">
        <v>10.55</v>
      </c>
      <c r="K6825" s="4">
        <v>-0.3402</v>
      </c>
      <c r="L6825">
        <v>4.7</v>
      </c>
      <c r="M6825">
        <v>32</v>
      </c>
      <c r="O6825" t="s">
        <v>25</v>
      </c>
      <c r="P6825" t="s">
        <v>3121</v>
      </c>
      <c r="Q6825" t="s">
        <v>3122</v>
      </c>
    </row>
    <row r="6826" spans="1:17" ht="15.5" x14ac:dyDescent="0.35">
      <c r="A6826"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6826"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6826" t="s">
        <v>6940</v>
      </c>
      <c r="D6826" t="s">
        <v>8767</v>
      </c>
      <c r="E6826" s="3" t="str">
        <f>HYPERLINK("https://www.amazon.com/Diablo-Freud-DOU125JBW-Universal-Oscillating/dp/B089KV62LL/ref=sr_1_5?keywords=Diablo+Tools+DOU125BF+1-1%2F4+in.+Universal+Fit+Bi-Metal+Oscillating+Blade+for+Metal&amp;qid=1695174025&amp;sr=8-5", "https://www.amazon.com/Diablo-Freud-DOU125JBW-Universal-Oscillating/dp/B089KV62LL/ref=sr_1_5?keywords=Diablo+Tools+DOU125BF+1-1%2F4+in.+Universal+Fit+Bi-Metal+Oscillating+Blade+for+Metal&amp;qid=1695174025&amp;sr=8-5")</f>
        <v>https://www.amazon.com/Diablo-Freud-DOU125JBW-Universal-Oscillating/dp/B089KV62LL/ref=sr_1_5?keywords=Diablo+Tools+DOU125BF+1-1%2F4+in.+Universal+Fit+Bi-Metal+Oscillating+Blade+for+Metal&amp;qid=1695174025&amp;sr=8-5</v>
      </c>
      <c r="F6826" t="s">
        <v>8768</v>
      </c>
      <c r="G6826" t="e">
        <f ca="1">_xludf.IMAGE("https://edmondsonsupply.com/cdn/shop/files/k1d1qiwmm4npznsdbwtg.webp?v=1685467858")</f>
        <v>#NAME?</v>
      </c>
      <c r="H6826" t="e">
        <f ca="1">_xludf.IMAGE("https://m.media-amazon.com/images/I/61wFHtmEH5L._AC_UL320_.jpg")</f>
        <v>#NAME?</v>
      </c>
      <c r="I6826" t="s">
        <v>6164</v>
      </c>
      <c r="J6826">
        <v>12.49</v>
      </c>
      <c r="K6826" s="4">
        <v>-0.34160000000000001</v>
      </c>
      <c r="L6826">
        <v>4.8</v>
      </c>
      <c r="M6826">
        <v>12</v>
      </c>
      <c r="O6826" t="s">
        <v>25</v>
      </c>
      <c r="P6826" t="s">
        <v>6943</v>
      </c>
      <c r="Q6826" t="s">
        <v>6944</v>
      </c>
    </row>
    <row r="6827" spans="1:17" ht="15.5" x14ac:dyDescent="0.35">
      <c r="A6827" s="3" t="str">
        <f>HYPERLINK("https://edmondsonsupply.com/collections/electricians-tools/products/klein-tools-jth67t-7-piece-6-torx%C2%AE-journeyman-t-handle-set-with-stand", "https://edmondsonsupply.com/collections/electricians-tools/products/klein-tools-jth67t-7-piece-6-torx%C2%AE-journeyman-t-handle-set-with-stand")</f>
        <v>https://edmondsonsupply.com/collections/electricians-tools/products/klein-tools-jth67t-7-piece-6-torx%C2%AE-journeyman-t-handle-set-with-stand</v>
      </c>
      <c r="B6827" s="3" t="str">
        <f>HYPERLINK("https://edmondsonsupply.com/products/klein-tools-jth67t-7-piece-6-torx%c2%ae-journeyman-t-handle-set-with-stand", "https://edmondsonsupply.com/products/klein-tools-jth67t-7-piece-6-torx%c2%ae-journeyman-t-handle-set-with-stand")</f>
        <v>https://edmondsonsupply.com/products/klein-tools-jth67t-7-piece-6-torx%c2%ae-journeyman-t-handle-set-with-stand</v>
      </c>
      <c r="C6827" t="s">
        <v>5463</v>
      </c>
      <c r="D6827" t="s">
        <v>5464</v>
      </c>
      <c r="E6827" s="3" t="str">
        <f>HYPERLINK("https://www.amazon.com/T-Handle-7-Piece-Klein-Tools-JTH67T/dp/B004DAE9G4/ref=sr_1_1?keywords=Klein+Tools+JTH67T+Hex+Key+Set%2C+TORX+T-Handle%2C+6-Inch+with+Stand%2C+7-Piece&amp;qid=1695173892&amp;sr=8-1", "https://www.amazon.com/T-Handle-7-Piece-Klein-Tools-JTH67T/dp/B004DAE9G4/ref=sr_1_1?keywords=Klein+Tools+JTH67T+Hex+Key+Set%2C+TORX+T-Handle%2C+6-Inch+with+Stand%2C+7-Piece&amp;qid=1695173892&amp;sr=8-1")</f>
        <v>https://www.amazon.com/T-Handle-7-Piece-Klein-Tools-JTH67T/dp/B004DAE9G4/ref=sr_1_1?keywords=Klein+Tools+JTH67T+Hex+Key+Set%2C+TORX+T-Handle%2C+6-Inch+with+Stand%2C+7-Piece&amp;qid=1695173892&amp;sr=8-1</v>
      </c>
      <c r="F6827" t="s">
        <v>5465</v>
      </c>
      <c r="G6827" t="e">
        <f ca="1">_xludf.IMAGE("https://edmondsonsupply.com/cdn/shop/products/jth67t.jpg?v=1587144835")</f>
        <v>#NAME?</v>
      </c>
      <c r="H6827" t="e">
        <f ca="1">_xludf.IMAGE("https://m.media-amazon.com/images/I/51Z1eDaRYTL._AC_UL320_.jpg")</f>
        <v>#NAME?</v>
      </c>
      <c r="I6827" t="s">
        <v>5466</v>
      </c>
      <c r="J6827">
        <v>49.99</v>
      </c>
      <c r="K6827" s="4">
        <v>-0.3448</v>
      </c>
      <c r="L6827">
        <v>4.8</v>
      </c>
      <c r="M6827">
        <v>356</v>
      </c>
      <c r="O6827" t="s">
        <v>171</v>
      </c>
      <c r="P6827" t="s">
        <v>5466</v>
      </c>
      <c r="Q6827" t="s">
        <v>5467</v>
      </c>
    </row>
    <row r="6828" spans="1:17" ht="15.5" x14ac:dyDescent="0.35">
      <c r="A6828"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6828" s="3" t="str">
        <f>HYPERLINK("https://edmondsonsupply.com/products/veto-pro-pac-tech-pac-backpack-tool-bag-1", "https://edmondsonsupply.com/products/veto-pro-pac-tech-pac-backpack-tool-bag-1")</f>
        <v>https://edmondsonsupply.com/products/veto-pro-pac-tech-pac-backpack-tool-bag-1</v>
      </c>
      <c r="C6828" t="s">
        <v>8235</v>
      </c>
      <c r="D6828" t="s">
        <v>501</v>
      </c>
      <c r="E6828" s="3" t="str">
        <f>HYPERLINK("https://www.amazon.com/VETO-PRO-PAC-TECH-MCT-Tool/dp/B01CENNFYS/ref=sr_1_3?keywords=Veto+Pro+Pac+TECH+PAC+LT+Laptop+Backpack+Tool+Bag&amp;qid=1695174263&amp;sr=8-3", "https://www.amazon.com/VETO-PRO-PAC-TECH-MCT-Tool/dp/B01CENNFYS/ref=sr_1_3?keywords=Veto+Pro+Pac+TECH+PAC+LT+Laptop+Backpack+Tool+Bag&amp;qid=1695174263&amp;sr=8-3")</f>
        <v>https://www.amazon.com/VETO-PRO-PAC-TECH-MCT-Tool/dp/B01CENNFYS/ref=sr_1_3?keywords=Veto+Pro+Pac+TECH+PAC+LT+Laptop+Backpack+Tool+Bag&amp;qid=1695174263&amp;sr=8-3</v>
      </c>
      <c r="F6828" t="s">
        <v>502</v>
      </c>
      <c r="G6828" t="e">
        <f ca="1">_xludf.IMAGE("https://edmondsonsupply.com/cdn/shop/products/LT_1.jpg?v=1587146035")</f>
        <v>#NAME?</v>
      </c>
      <c r="H6828" t="e">
        <f ca="1">_xludf.IMAGE("https://m.media-amazon.com/images/I/61GanfvVX6L._AC_UL320_.jpg")</f>
        <v>#NAME?</v>
      </c>
      <c r="I6828" t="s">
        <v>8236</v>
      </c>
      <c r="J6828">
        <v>189.95</v>
      </c>
      <c r="K6828" s="4">
        <v>-0.34499999999999997</v>
      </c>
      <c r="L6828">
        <v>4.8</v>
      </c>
      <c r="M6828">
        <v>2083</v>
      </c>
      <c r="O6828" t="s">
        <v>25</v>
      </c>
      <c r="P6828" t="s">
        <v>138</v>
      </c>
      <c r="Q6828" t="s">
        <v>8237</v>
      </c>
    </row>
    <row r="6829" spans="1:17" ht="15.5" x14ac:dyDescent="0.35">
      <c r="A6829" s="3" t="str">
        <f>HYPERLINK("https://edmondsonsupply.com/collections/electricians-tools/products/diablo-tools-dag", "https://edmondsonsupply.com/collections/electricians-tools/products/diablo-tools-dag")</f>
        <v>https://edmondsonsupply.com/collections/electricians-tools/products/diablo-tools-dag</v>
      </c>
      <c r="B6829" s="3" t="str">
        <f>HYPERLINK("https://edmondsonsupply.com/products/diablo-tools-dag", "https://edmondsonsupply.com/products/diablo-tools-dag")</f>
        <v>https://edmondsonsupply.com/products/diablo-tools-dag</v>
      </c>
      <c r="C6829" t="s">
        <v>6819</v>
      </c>
      <c r="D6829" t="s">
        <v>8945</v>
      </c>
      <c r="E6829" s="3" t="str">
        <f>HYPERLINK("https://www.amazon.com/Diablo-DAG2010-13-Auger-Bit/dp/B089KW8RBS/ref=sr_1_3?keywords=Diablo+Tools+DAG3010+3%2F8+in.+x+17-1%2F2+in.+Auger+Bit&amp;qid=1695174114&amp;sr=8-3", "https://www.amazon.com/Diablo-DAG2010-13-Auger-Bit/dp/B089KW8RBS/ref=sr_1_3?keywords=Diablo+Tools+DAG3010+3%2F8+in.+x+17-1%2F2+in.+Auger+Bit&amp;qid=1695174114&amp;sr=8-3")</f>
        <v>https://www.amazon.com/Diablo-DAG2010-13-Auger-Bit/dp/B089KW8RBS/ref=sr_1_3?keywords=Diablo+Tools+DAG3010+3%2F8+in.+x+17-1%2F2+in.+Auger+Bit&amp;qid=1695174114&amp;sr=8-3</v>
      </c>
      <c r="F6829" t="s">
        <v>8946</v>
      </c>
      <c r="G6829" t="e">
        <f ca="1">_xludf.IMAGE("https://edmondsonsupply.com/cdn/shop/products/xfctdbahz5wx3g461fm8.webp?v=1669991052")</f>
        <v>#NAME?</v>
      </c>
      <c r="H6829" t="e">
        <f ca="1">_xludf.IMAGE("https://m.media-amazon.com/images/I/61XYK47f4zL._AC_UL320_.jpg")</f>
        <v>#NAME?</v>
      </c>
      <c r="I6829" t="s">
        <v>5147</v>
      </c>
      <c r="J6829">
        <v>11.44</v>
      </c>
      <c r="K6829" s="4">
        <v>-0.34520000000000001</v>
      </c>
      <c r="L6829">
        <v>3.7</v>
      </c>
      <c r="M6829">
        <v>4</v>
      </c>
      <c r="O6829" t="s">
        <v>25</v>
      </c>
      <c r="P6829" t="s">
        <v>6822</v>
      </c>
      <c r="Q6829" t="s">
        <v>6823</v>
      </c>
    </row>
    <row r="6830" spans="1:17" ht="15.5" x14ac:dyDescent="0.35">
      <c r="A6830" s="3" t="str">
        <f>HYPERLINK("https://edmondsonsupply.com/collections/electricians-tools/products/milwaukee-2960-22-m18-fuel%E2%84%A2-3-8-mid-torque-impact-wrench-w-friction-ring-kit", "https://edmondsonsupply.com/collections/electricians-tools/products/milwaukee-2960-22-m18-fuel%E2%84%A2-3-8-mid-torque-impact-wrench-w-friction-ring-kit")</f>
        <v>https://edmondsonsupply.com/collections/electricians-tools/products/milwaukee-2960-22-m18-fuel%E2%84%A2-3-8-mid-torque-impact-wrench-w-friction-ring-kit</v>
      </c>
      <c r="B6830" s="3" t="str">
        <f>HYPERLINK("https://edmondsonsupply.com/products/milwaukee-2960-22-m18-fuel%e2%84%a2-3-8-mid-torque-impact-wrench-w-friction-ring-kit", "https://edmondsonsupply.com/products/milwaukee-2960-22-m18-fuel%e2%84%a2-3-8-mid-torque-impact-wrench-w-friction-ring-kit")</f>
        <v>https://edmondsonsupply.com/products/milwaukee-2960-22-m18-fuel%e2%84%a2-3-8-mid-torque-impact-wrench-w-friction-ring-kit</v>
      </c>
      <c r="C6830" t="s">
        <v>7206</v>
      </c>
      <c r="D6830" t="s">
        <v>8947</v>
      </c>
      <c r="E6830" s="3" t="str">
        <f>HYPERLINK("https://www.amazon.com/Milwaukee-Mid-Torque-Impact-Wrench-Friction/dp/B09CKBBZQ5/ref=sr_1_5?keywords=Milwaukee+2960-22+M18+FUEL%E2%84%A2+3%2F8+%22+Mid-Torque+Impact+Wrench+w%2F+Friction+Ring+Kit&amp;qid=1695174167&amp;sr=8-5", "https://www.amazon.com/Milwaukee-Mid-Torque-Impact-Wrench-Friction/dp/B09CKBBZQ5/ref=sr_1_5?keywords=Milwaukee+2960-22+M18+FUEL%E2%84%A2+3%2F8+%22+Mid-Torque+Impact+Wrench+w%2F+Friction+Ring+Kit&amp;qid=1695174167&amp;sr=8-5")</f>
        <v>https://www.amazon.com/Milwaukee-Mid-Torque-Impact-Wrench-Friction/dp/B09CKBBZQ5/ref=sr_1_5?keywords=Milwaukee+2960-22+M18+FUEL%E2%84%A2+3%2F8+%22+Mid-Torque+Impact+Wrench+w%2F+Friction+Ring+Kit&amp;qid=1695174167&amp;sr=8-5</v>
      </c>
      <c r="F6830" t="s">
        <v>8948</v>
      </c>
      <c r="G6830" t="e">
        <f ca="1">_xludf.IMAGE("https://edmondsonsupply.com/cdn/shop/products/2960-22_Kit_1.png?v=1661616340")</f>
        <v>#NAME?</v>
      </c>
      <c r="H6830" t="e">
        <f ca="1">_xludf.IMAGE("https://m.media-amazon.com/images/I/41mEpve6c9L._AC_UL320_.jpg")</f>
        <v>#NAME?</v>
      </c>
      <c r="I6830" t="s">
        <v>4404</v>
      </c>
      <c r="J6830">
        <v>299.99</v>
      </c>
      <c r="K6830" s="4">
        <v>-0.34639999999999999</v>
      </c>
      <c r="L6830">
        <v>4.3</v>
      </c>
      <c r="M6830">
        <v>9</v>
      </c>
      <c r="O6830" t="s">
        <v>25</v>
      </c>
      <c r="P6830" t="s">
        <v>7209</v>
      </c>
      <c r="Q6830" t="s">
        <v>7210</v>
      </c>
    </row>
    <row r="6831" spans="1:17" ht="15.5" x14ac:dyDescent="0.35">
      <c r="A6831" s="3" t="str">
        <f>HYPERLINK("https://edmondsonsupply.com/collections/electricians-tools/products/fluke-971-temperature-humidity-meter", "https://edmondsonsupply.com/collections/electricians-tools/products/fluke-971-temperature-humidity-meter")</f>
        <v>https://edmondsonsupply.com/collections/electricians-tools/products/fluke-971-temperature-humidity-meter</v>
      </c>
      <c r="B6831" s="3" t="str">
        <f>HYPERLINK("https://edmondsonsupply.com/products/fluke-971-temperature-humidity-meter", "https://edmondsonsupply.com/products/fluke-971-temperature-humidity-meter")</f>
        <v>https://edmondsonsupply.com/products/fluke-971-temperature-humidity-meter</v>
      </c>
      <c r="C6831" t="s">
        <v>8949</v>
      </c>
      <c r="D6831" t="s">
        <v>8949</v>
      </c>
      <c r="E6831" s="3" t="str">
        <f>HYPERLINK("https://www.amazon.com/Fluke-971-Temperature-Humidity-Meter/dp/B005T5JW2S/ref=sr_1_1?keywords=Fluke+971+Temperature+Humidity+Meter&amp;qid=1695174288&amp;sr=8-1", "https://www.amazon.com/Fluke-971-Temperature-Humidity-Meter/dp/B005T5JW2S/ref=sr_1_1?keywords=Fluke+971+Temperature+Humidity+Meter&amp;qid=1695174288&amp;sr=8-1")</f>
        <v>https://www.amazon.com/Fluke-971-Temperature-Humidity-Meter/dp/B005T5JW2S/ref=sr_1_1?keywords=Fluke+971+Temperature+Humidity+Meter&amp;qid=1695174288&amp;sr=8-1</v>
      </c>
      <c r="F6831" t="s">
        <v>8950</v>
      </c>
      <c r="G6831" t="e">
        <f ca="1">_xludf.IMAGE("https://edmondsonsupply.com/cdn/shop/products/971_72dpi_495x1024px_E_NR-9830.jpg?v=1633030933")</f>
        <v>#NAME?</v>
      </c>
      <c r="H6831" t="e">
        <f ca="1">_xludf.IMAGE("https://m.media-amazon.com/images/I/51XZgIqis2L._AC_UY218_.jpg")</f>
        <v>#NAME?</v>
      </c>
      <c r="I6831" t="s">
        <v>8951</v>
      </c>
      <c r="J6831">
        <v>280</v>
      </c>
      <c r="K6831" s="4">
        <v>-0.34849999999999998</v>
      </c>
      <c r="L6831">
        <v>4.4000000000000004</v>
      </c>
      <c r="M6831">
        <v>134</v>
      </c>
      <c r="O6831" t="s">
        <v>25</v>
      </c>
      <c r="P6831" t="s">
        <v>8952</v>
      </c>
      <c r="Q6831" t="s">
        <v>8953</v>
      </c>
    </row>
    <row r="6832" spans="1:17" ht="15.5" x14ac:dyDescent="0.35">
      <c r="A6832" s="3" t="str">
        <f>HYPERLINK("https://edmondsonsupply.com/collections/electricians-tools/products/klein-tools-k12065cr-klein-kurve%C2%AE-heavy-duty-wire-stripper-crimper-8-20-awg", "https://edmondsonsupply.com/collections/electricians-tools/products/klein-tools-k12065cr-klein-kurve%C2%AE-heavy-duty-wire-stripper-crimper-8-20-awg")</f>
        <v>https://edmondsonsupply.com/collections/electricians-tools/products/klein-tools-k12065cr-klein-kurve%C2%AE-heavy-duty-wire-stripper-crimper-8-20-awg</v>
      </c>
      <c r="B6832" s="3" t="str">
        <f>HYPERLINK("https://edmondsonsupply.com/products/klein-tools-k12065cr-klein-kurve%c2%ae-heavy-duty-wire-stripper-crimper-8-20-awg", "https://edmondsonsupply.com/products/klein-tools-k12065cr-klein-kurve%c2%ae-heavy-duty-wire-stripper-crimper-8-20-awg")</f>
        <v>https://edmondsonsupply.com/products/klein-tools-k12065cr-klein-kurve%c2%ae-heavy-duty-wire-stripper-crimper-8-20-awg</v>
      </c>
      <c r="C6832" t="s">
        <v>3174</v>
      </c>
      <c r="D6832" t="s">
        <v>5323</v>
      </c>
      <c r="E6832" s="3" t="str">
        <f>HYPERLINK("https://www.amazon.com/Klein-Tools-1001-Multi-Purpose-Electricians/dp/B000EVLUR2/ref=sr_1_7?keywords=Klein+Tools+K12065CR+Klein-Kurve%C2%AE+Heavy-Duty+Wire+Stripper+%2F+Cutter+%2F+Crimper+Multi+Tool%2C+8-20+AWG&amp;qid=1695173857&amp;sr=8-7", "https://www.amazon.com/Klein-Tools-1001-Multi-Purpose-Electricians/dp/B000EVLUR2/ref=sr_1_7?keywords=Klein+Tools+K12065CR+Klein-Kurve%C2%AE+Heavy-Duty+Wire+Stripper+%2F+Cutter+%2F+Crimper+Multi+Tool%2C+8-20+AWG&amp;qid=1695173857&amp;sr=8-7")</f>
        <v>https://www.amazon.com/Klein-Tools-1001-Multi-Purpose-Electricians/dp/B000EVLUR2/ref=sr_1_7?keywords=Klein+Tools+K12065CR+Klein-Kurve%C2%AE+Heavy-Duty+Wire+Stripper+%2F+Cutter+%2F+Crimper+Multi+Tool%2C+8-20+AWG&amp;qid=1695173857&amp;sr=8-7</v>
      </c>
      <c r="F6832" t="s">
        <v>5324</v>
      </c>
      <c r="G6832" t="e">
        <f ca="1">_xludf.IMAGE("https://edmondsonsupply.com/cdn/shop/products/k12065cr_b.jpg?v=1650066835")</f>
        <v>#NAME?</v>
      </c>
      <c r="H6832" t="e">
        <f ca="1">_xludf.IMAGE("https://m.media-amazon.com/images/I/51Df2gzkHqL._AC_UL320_.jpg")</f>
        <v>#NAME?</v>
      </c>
      <c r="I6832" t="s">
        <v>246</v>
      </c>
      <c r="J6832">
        <v>25.99</v>
      </c>
      <c r="K6832" s="4">
        <v>-0.3498</v>
      </c>
      <c r="L6832">
        <v>4.5</v>
      </c>
      <c r="M6832">
        <v>476</v>
      </c>
      <c r="O6832" t="s">
        <v>25</v>
      </c>
      <c r="P6832" t="s">
        <v>3177</v>
      </c>
      <c r="Q6832" t="s">
        <v>3178</v>
      </c>
    </row>
    <row r="6833" spans="1:17" ht="15.5" x14ac:dyDescent="0.35">
      <c r="A6833" s="3" t="str">
        <f>HYPERLINK("https://edmondsonsupply.com/collections/electricians-tools/products/diablo-tools-dou16dgx-universal-fit-diamond-grit-oscillating-blade-for-grout", "https://edmondsonsupply.com/collections/electricians-tools/products/diablo-tools-dou16dgx-universal-fit-diamond-grit-oscillating-blade-for-grout")</f>
        <v>https://edmondsonsupply.com/collections/electricians-tools/products/diablo-tools-dou16dgx-universal-fit-diamond-grit-oscillating-blade-for-grout</v>
      </c>
      <c r="B6833" s="3" t="str">
        <f>HYPERLINK("https://edmondsonsupply.com/products/diablo-tools-dou16dgx-universal-fit-diamond-grit-oscillating-blade-for-grout", "https://edmondsonsupply.com/products/diablo-tools-dou16dgx-universal-fit-diamond-grit-oscillating-blade-for-grout")</f>
        <v>https://edmondsonsupply.com/products/diablo-tools-dou16dgx-universal-fit-diamond-grit-oscillating-blade-for-grout</v>
      </c>
      <c r="C6833" t="s">
        <v>8954</v>
      </c>
      <c r="D6833" t="s">
        <v>8955</v>
      </c>
      <c r="E6833" s="3" t="str">
        <f>HYPERLINK("https://www.amazon.com/Diablo-Freud-DOU16DGX-Universal-Oscillating/dp/B089KWYGHY/ref=sr_1_1?keywords=Diablo+Tools+DOU16DGX+Universal+Fit+Diamond+Grit+Oscillating+Blade+for+Grout&amp;qid=1695174253&amp;sr=8-1", "https://www.amazon.com/Diablo-Freud-DOU16DGX-Universal-Oscillating/dp/B089KWYGHY/ref=sr_1_1?keywords=Diablo+Tools+DOU16DGX+Universal+Fit+Diamond+Grit+Oscillating+Blade+for+Grout&amp;qid=1695174253&amp;sr=8-1")</f>
        <v>https://www.amazon.com/Diablo-Freud-DOU16DGX-Universal-Oscillating/dp/B089KWYGHY/ref=sr_1_1?keywords=Diablo+Tools+DOU16DGX+Universal+Fit+Diamond+Grit+Oscillating+Blade+for+Grout&amp;qid=1695174253&amp;sr=8-1</v>
      </c>
      <c r="F6833" t="s">
        <v>8956</v>
      </c>
      <c r="G6833" t="e">
        <f ca="1">_xludf.IMAGE("https://edmondsonsupply.com/cdn/shop/products/DOU16DGX_Main-Image.png?v=1633031101")</f>
        <v>#NAME?</v>
      </c>
      <c r="H6833" t="e">
        <f ca="1">_xludf.IMAGE("https://m.media-amazon.com/images/I/61sffzw9nLL._AC_UL320_.jpg")</f>
        <v>#NAME?</v>
      </c>
      <c r="I6833" t="s">
        <v>246</v>
      </c>
      <c r="J6833">
        <v>25.99</v>
      </c>
      <c r="K6833" s="4">
        <v>-0.3498</v>
      </c>
      <c r="L6833">
        <v>4.5</v>
      </c>
      <c r="M6833">
        <v>49</v>
      </c>
      <c r="O6833" t="s">
        <v>25</v>
      </c>
      <c r="P6833" t="s">
        <v>8957</v>
      </c>
      <c r="Q6833" t="s">
        <v>8958</v>
      </c>
    </row>
    <row r="6834" spans="1:17" ht="15.5" x14ac:dyDescent="0.35">
      <c r="A6834"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6834" s="3" t="str">
        <f>HYPERLINK("https://edmondsonsupply.com/products/klein-tools-60615-heavy-duty-knee-pad-sleeves-s-m", "https://edmondsonsupply.com/products/klein-tools-60615-heavy-duty-knee-pad-sleeves-s-m")</f>
        <v>https://edmondsonsupply.com/products/klein-tools-60615-heavy-duty-knee-pad-sleeves-s-m</v>
      </c>
      <c r="C6834" t="s">
        <v>1029</v>
      </c>
      <c r="D6834" t="s">
        <v>1014</v>
      </c>
      <c r="E6834" s="3" t="str">
        <f>HYPERLINK("https://www.amazon.com/Lightweight-Breathable-Slip-Resistant-Klein-Tools/dp/B0B6216HMW/ref=sr_1_2?keywords=Klein+Tools+60615+Heavy+Duty+Knee+Pad+Sleeves%2C+S%2FM&amp;qid=1695174031&amp;sr=8-2", "https://www.amazon.com/Lightweight-Breathable-Slip-Resistant-Klein-Tools/dp/B0B6216HMW/ref=sr_1_2?keywords=Klein+Tools+60615+Heavy+Duty+Knee+Pad+Sleeves%2C+S%2FM&amp;qid=1695174031&amp;sr=8-2")</f>
        <v>https://www.amazon.com/Lightweight-Breathable-Slip-Resistant-Klein-Tools/dp/B0B6216HMW/ref=sr_1_2?keywords=Klein+Tools+60615+Heavy+Duty+Knee+Pad+Sleeves%2C+S%2FM&amp;qid=1695174031&amp;sr=8-2</v>
      </c>
      <c r="F6834" t="s">
        <v>1015</v>
      </c>
      <c r="G6834" t="e">
        <f ca="1">_xludf.IMAGE("https://edmondsonsupply.com/cdn/shop/products/60511_60611_b_f68c12ff-69e9-4ee5-9cc0-02cf7484e091.jpg?v=1681743847")</f>
        <v>#NAME?</v>
      </c>
      <c r="H6834" t="e">
        <f ca="1">_xludf.IMAGE("https://m.media-amazon.com/images/I/61pjcWSwQcL._AC_UL320_.jpg")</f>
        <v>#NAME?</v>
      </c>
      <c r="I6834" t="s">
        <v>198</v>
      </c>
      <c r="J6834">
        <v>25.99</v>
      </c>
      <c r="K6834" s="4">
        <v>-0.35010000000000002</v>
      </c>
      <c r="L6834">
        <v>4.5</v>
      </c>
      <c r="M6834">
        <v>192</v>
      </c>
      <c r="O6834" t="s">
        <v>25</v>
      </c>
      <c r="P6834" t="s">
        <v>1027</v>
      </c>
      <c r="Q6834" t="s">
        <v>1030</v>
      </c>
    </row>
    <row r="6835" spans="1:17" ht="15.5" x14ac:dyDescent="0.35">
      <c r="A6835"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6835" s="3" t="str">
        <f>HYPERLINK("https://edmondsonsupply.com/products/klein-tools-60511-heavy-duty-knee-pad-sleeves-m-l", "https://edmondsonsupply.com/products/klein-tools-60511-heavy-duty-knee-pad-sleeves-m-l")</f>
        <v>https://edmondsonsupply.com/products/klein-tools-60511-heavy-duty-knee-pad-sleeves-m-l</v>
      </c>
      <c r="C6835" t="s">
        <v>1024</v>
      </c>
      <c r="D6835" t="s">
        <v>1014</v>
      </c>
      <c r="E6835" s="3" t="str">
        <f>HYPERLINK("https://www.amazon.com/Lightweight-Breathable-Slip-Resistant-Klein-Tools/dp/B0B6216HMW/ref=sr_1_2?keywords=Klein+Tools+60511+Heavy+Duty+Knee+Pad+Sleeves%2C+M%2FL&amp;qid=1695174162&amp;sr=8-2", "https://www.amazon.com/Lightweight-Breathable-Slip-Resistant-Klein-Tools/dp/B0B6216HMW/ref=sr_1_2?keywords=Klein+Tools+60511+Heavy+Duty+Knee+Pad+Sleeves%2C+M%2FL&amp;qid=1695174162&amp;sr=8-2")</f>
        <v>https://www.amazon.com/Lightweight-Breathable-Slip-Resistant-Klein-Tools/dp/B0B6216HMW/ref=sr_1_2?keywords=Klein+Tools+60511+Heavy+Duty+Knee+Pad+Sleeves%2C+M%2FL&amp;qid=1695174162&amp;sr=8-2</v>
      </c>
      <c r="F6835" t="s">
        <v>1015</v>
      </c>
      <c r="G6835" t="e">
        <f ca="1">_xludf.IMAGE("https://edmondsonsupply.com/cdn/shop/products/60511_60611_b.jpg?v=1663253024")</f>
        <v>#NAME?</v>
      </c>
      <c r="H6835" t="e">
        <f ca="1">_xludf.IMAGE("https://m.media-amazon.com/images/I/61pjcWSwQcL._AC_UL320_.jpg")</f>
        <v>#NAME?</v>
      </c>
      <c r="I6835" t="s">
        <v>198</v>
      </c>
      <c r="J6835">
        <v>25.99</v>
      </c>
      <c r="K6835" s="4">
        <v>-0.35010000000000002</v>
      </c>
      <c r="L6835">
        <v>4.5</v>
      </c>
      <c r="M6835">
        <v>192</v>
      </c>
      <c r="O6835" t="s">
        <v>25</v>
      </c>
      <c r="P6835" t="s">
        <v>1027</v>
      </c>
      <c r="Q6835" t="s">
        <v>1028</v>
      </c>
    </row>
    <row r="6836" spans="1:17" ht="15.5" x14ac:dyDescent="0.35">
      <c r="A6836" s="3" t="str">
        <f>HYPERLINK("https://edmondsonsupply.com/collections/electricians-tools/products/klein-tools-88910-mini-tube-cutter", "https://edmondsonsupply.com/collections/electricians-tools/products/klein-tools-88910-mini-tube-cutter")</f>
        <v>https://edmondsonsupply.com/collections/electricians-tools/products/klein-tools-88910-mini-tube-cutter</v>
      </c>
      <c r="B6836" s="3" t="str">
        <f>HYPERLINK("https://edmondsonsupply.com/products/klein-tools-88910-mini-tube-cutter", "https://edmondsonsupply.com/products/klein-tools-88910-mini-tube-cutter")</f>
        <v>https://edmondsonsupply.com/products/klein-tools-88910-mini-tube-cutter</v>
      </c>
      <c r="C6836" t="s">
        <v>6372</v>
      </c>
      <c r="D6836" t="s">
        <v>8959</v>
      </c>
      <c r="E6836" s="3" t="str">
        <f>HYPERLINK("https://www.amazon.com/Klein-Tools-88978-Replacement-Professional/dp/B002AH181G/ref=sr_1_9?keywords=Klein+Tools+88910+Mini+Tube+Cutter&amp;qid=1695174232&amp;sr=8-9", "https://www.amazon.com/Klein-Tools-88978-Replacement-Professional/dp/B002AH181G/ref=sr_1_9?keywords=Klein+Tools+88910+Mini+Tube+Cutter&amp;qid=1695174232&amp;sr=8-9")</f>
        <v>https://www.amazon.com/Klein-Tools-88978-Replacement-Professional/dp/B002AH181G/ref=sr_1_9?keywords=Klein+Tools+88910+Mini+Tube+Cutter&amp;qid=1695174232&amp;sr=8-9</v>
      </c>
      <c r="F6836" t="s">
        <v>8960</v>
      </c>
      <c r="G6836" t="e">
        <f ca="1">_xludf.IMAGE("https://edmondsonsupply.com/cdn/shop/products/88910.jpg?v=1638577903")</f>
        <v>#NAME?</v>
      </c>
      <c r="H6836" t="e">
        <f ca="1">_xludf.IMAGE("https://m.media-amazon.com/images/I/614IRD-covL._AC_UL320_.jpg")</f>
        <v>#NAME?</v>
      </c>
      <c r="I6836" t="s">
        <v>577</v>
      </c>
      <c r="J6836">
        <v>12.99</v>
      </c>
      <c r="K6836" s="4">
        <v>-0.35020000000000001</v>
      </c>
      <c r="L6836">
        <v>5</v>
      </c>
      <c r="M6836">
        <v>4</v>
      </c>
      <c r="O6836" t="s">
        <v>25</v>
      </c>
      <c r="P6836" t="s">
        <v>6375</v>
      </c>
      <c r="Q6836" t="s">
        <v>6376</v>
      </c>
    </row>
    <row r="6837" spans="1:17" ht="15.5" x14ac:dyDescent="0.35">
      <c r="A6837" s="3" t="str">
        <f>HYPERLINK("https://edmondsonsupply.com/collections/electricians-tools/products/greenlee-gsb09-1-1-8-step-bit-9", "https://edmondsonsupply.com/collections/electricians-tools/products/greenlee-gsb09-1-1-8-step-bit-9")</f>
        <v>https://edmondsonsupply.com/collections/electricians-tools/products/greenlee-gsb09-1-1-8-step-bit-9</v>
      </c>
      <c r="B6837" s="3" t="str">
        <f>HYPERLINK("https://edmondsonsupply.com/products/greenlee-gsb09-1-1-8-step-bit-9", "https://edmondsonsupply.com/products/greenlee-gsb09-1-1-8-step-bit-9")</f>
        <v>https://edmondsonsupply.com/products/greenlee-gsb09-1-1-8-step-bit-9</v>
      </c>
      <c r="C6837" t="s">
        <v>4952</v>
      </c>
      <c r="D6837" t="s">
        <v>3245</v>
      </c>
      <c r="E6837" s="3" t="str">
        <f>HYPERLINK("https://www.amazon.com/Greenlee-GSB12-Step-Bit-1-3/dp/B08TVF7KMP/ref=sr_1_3?keywords=Greenlee+GSB09+1-1%2F8%22+Step+Bit+%28%239%29&amp;qid=1695173992&amp;sr=8-3", "https://www.amazon.com/Greenlee-GSB12-Step-Bit-1-3/dp/B08TVF7KMP/ref=sr_1_3?keywords=Greenlee+GSB09+1-1%2F8%22+Step+Bit+%28%239%29&amp;qid=1695173992&amp;sr=8-3")</f>
        <v>https://www.amazon.com/Greenlee-GSB12-Step-Bit-1-3/dp/B08TVF7KMP/ref=sr_1_3?keywords=Greenlee+GSB09+1-1%2F8%22+Step+Bit+%28%239%29&amp;qid=1695173992&amp;sr=8-3</v>
      </c>
      <c r="F6837" t="s">
        <v>3246</v>
      </c>
      <c r="G6837" t="e">
        <f ca="1">_xludf.IMAGE("https://edmondsonsupply.com/cdn/shop/files/GSB09_CAT1_72dpi.jpg?v=1687787938")</f>
        <v>#NAME?</v>
      </c>
      <c r="H6837" t="e">
        <f ca="1">_xludf.IMAGE("https://m.media-amazon.com/images/I/41Z8kxeeZfL._AC_UY218_.jpg")</f>
        <v>#NAME?</v>
      </c>
      <c r="I6837" t="s">
        <v>4953</v>
      </c>
      <c r="J6837">
        <v>45</v>
      </c>
      <c r="K6837" s="4">
        <v>-0.3503</v>
      </c>
      <c r="L6837">
        <v>4.8</v>
      </c>
      <c r="M6837">
        <v>27</v>
      </c>
      <c r="O6837" t="s">
        <v>25</v>
      </c>
      <c r="P6837" t="s">
        <v>4954</v>
      </c>
      <c r="Q6837" t="s">
        <v>4955</v>
      </c>
    </row>
    <row r="6838" spans="1:17" ht="15.5" x14ac:dyDescent="0.35">
      <c r="A6838" s="3" t="str">
        <f>HYPERLINK("https://edmondsonsupply.com/collections/electricians-tools/products/tajima-gs-16-5mbw-gs-lock%E2%84%A2-standard-metric-scale-16-ft-5-m-x-1-in-25mm-steel-blade-tape-measure", "https://edmondsonsupply.com/collections/electricians-tools/products/tajima-gs-16-5mbw-gs-lock%E2%84%A2-standard-metric-scale-16-ft-5-m-x-1-in-25mm-steel-blade-tape-measure")</f>
        <v>https://edmondsonsupply.com/collections/electricians-tools/products/tajima-gs-16-5mbw-gs-lock%E2%84%A2-standard-metric-scale-16-ft-5-m-x-1-in-25mm-steel-blade-tape-measure</v>
      </c>
      <c r="B6838" s="3" t="str">
        <f>HYPERLINK("https://edmondsonsupply.com/products/tajima-gs-16-5mbw-gs-lock%e2%84%a2-standard-metric-scale-16-ft-5-m-x-1-in-25mm-steel-blade-tape-measure", "https://edmondsonsupply.com/products/tajima-gs-16-5mbw-gs-lock%e2%84%a2-standard-metric-scale-16-ft-5-m-x-1-in-25mm-steel-blade-tape-measure")</f>
        <v>https://edmondsonsupply.com/products/tajima-gs-16-5mbw-gs-lock%e2%84%a2-standard-metric-scale-16-ft-5-m-x-1-in-25mm-steel-blade-tape-measure</v>
      </c>
      <c r="C6838" t="s">
        <v>8012</v>
      </c>
      <c r="D6838" t="s">
        <v>8961</v>
      </c>
      <c r="E6838" s="3" t="str">
        <f>HYPERLINK("https://www.amazon.com/TAJIMA-Tape-Measure-Measuring-Standard/dp/B003B43RNY/ref=sr_1_4?keywords=Tajima+GS-16%2F5MBW+GS+Lock%E2%84%A2+Standard+%26+Metric+Scale%2C+16+ft%2F+5+m+x+1+in.%2F25mm+Steel+Blade+Tape+Measure&amp;qid=1695174194&amp;sr=8-4", "https://www.amazon.com/TAJIMA-Tape-Measure-Measuring-Standard/dp/B003B43RNY/ref=sr_1_4?keywords=Tajima+GS-16%2F5MBW+GS+Lock%E2%84%A2+Standard+%26+Metric+Scale%2C+16+ft%2F+5+m+x+1+in.%2F25mm+Steel+Blade+Tape+Measure&amp;qid=1695174194&amp;sr=8-4")</f>
        <v>https://www.amazon.com/TAJIMA-Tape-Measure-Measuring-Standard/dp/B003B43RNY/ref=sr_1_4?keywords=Tajima+GS-16%2F5MBW+GS+Lock%E2%84%A2+Standard+%26+Metric+Scale%2C+16+ft%2F+5+m+x+1+in.%2F25mm+Steel+Blade+Tape+Measure&amp;qid=1695174194&amp;sr=8-4</v>
      </c>
      <c r="F6838" t="s">
        <v>8962</v>
      </c>
      <c r="G6838" t="e">
        <f ca="1">_xludf.IMAGE("https://edmondsonsupply.com/cdn/shop/products/GS16-5MBW.jpg?v=1655829307")</f>
        <v>#NAME?</v>
      </c>
      <c r="H6838" t="e">
        <f ca="1">_xludf.IMAGE("https://m.media-amazon.com/images/I/81u-ZvCs3aL._AC_UL320_.jpg")</f>
        <v>#NAME?</v>
      </c>
      <c r="I6838" t="s">
        <v>8015</v>
      </c>
      <c r="J6838">
        <v>18.13</v>
      </c>
      <c r="K6838" s="4">
        <v>-0.35060000000000002</v>
      </c>
      <c r="L6838">
        <v>4.7</v>
      </c>
      <c r="M6838">
        <v>137</v>
      </c>
      <c r="O6838" t="s">
        <v>25</v>
      </c>
      <c r="P6838" t="s">
        <v>8016</v>
      </c>
      <c r="Q6838" t="s">
        <v>8017</v>
      </c>
    </row>
    <row r="6839" spans="1:17" ht="15.5" x14ac:dyDescent="0.35">
      <c r="A6839" s="3" t="str">
        <f>HYPERLINK("https://edmondsonsupply.com/collections/electricians-tools/products/fluke-62-max-handheld-infrared-laser-thermometer", "https://edmondsonsupply.com/collections/electricians-tools/products/fluke-62-max-handheld-infrared-laser-thermometer")</f>
        <v>https://edmondsonsupply.com/collections/electricians-tools/products/fluke-62-max-handheld-infrared-laser-thermometer</v>
      </c>
      <c r="B6839" s="3" t="str">
        <f>HYPERLINK("https://edmondsonsupply.com/products/fluke-62-max-handheld-infrared-laser-thermometer", "https://edmondsonsupply.com/products/fluke-62-max-handheld-infrared-laser-thermometer")</f>
        <v>https://edmondsonsupply.com/products/fluke-62-max-handheld-infrared-laser-thermometer</v>
      </c>
      <c r="C6839" t="s">
        <v>8963</v>
      </c>
      <c r="D6839" t="s">
        <v>4961</v>
      </c>
      <c r="E6839" s="3" t="str">
        <f>HYPERLINK("https://www.amazon.com/Fluke-MAX-Thermometer-Contact-Degree/dp/B008EW837S/ref=sr_1_1?keywords=Fluke+62+MAX+Handheld+Infrared+Laser+Thermometer&amp;qid=1695174240&amp;sr=8-1", "https://www.amazon.com/Fluke-MAX-Thermometer-Contact-Degree/dp/B008EW837S/ref=sr_1_1?keywords=Fluke+62+MAX+Handheld+Infrared+Laser+Thermometer&amp;qid=1695174240&amp;sr=8-1")</f>
        <v>https://www.amazon.com/Fluke-MAX-Thermometer-Contact-Degree/dp/B008EW837S/ref=sr_1_1?keywords=Fluke+62+MAX+Handheld+Infrared+Laser+Thermometer&amp;qid=1695174240&amp;sr=8-1</v>
      </c>
      <c r="F6839" t="s">
        <v>4962</v>
      </c>
      <c r="G6839" t="e">
        <f ca="1">_xludf.IMAGE("https://edmondsonsupply.com/cdn/shop/products/Fluke_62_MAX__back_499x1024px_E_NR-18387.jpg?v=1633031180")</f>
        <v>#NAME?</v>
      </c>
      <c r="H6839" t="e">
        <f ca="1">_xludf.IMAGE("https://m.media-amazon.com/images/I/51QB7aenW8L._AC_UY218_.jpg")</f>
        <v>#NAME?</v>
      </c>
      <c r="I6839" t="s">
        <v>483</v>
      </c>
      <c r="J6839">
        <v>116.8</v>
      </c>
      <c r="K6839" s="4">
        <v>-0.35110000000000002</v>
      </c>
      <c r="L6839">
        <v>4.7</v>
      </c>
      <c r="M6839">
        <v>1713</v>
      </c>
      <c r="O6839" t="s">
        <v>25</v>
      </c>
      <c r="P6839" t="s">
        <v>400</v>
      </c>
      <c r="Q6839" t="s">
        <v>8964</v>
      </c>
    </row>
    <row r="6840" spans="1:17" ht="15.5" x14ac:dyDescent="0.35">
      <c r="A6840" s="3" t="str">
        <f>HYPERLINK("https://edmondsonsupply.com/collections/electricians-tools/products/klein-tools-j203-8-pliers-needle-nose-side-cutters-8-inch", "https://edmondsonsupply.com/collections/electricians-tools/products/klein-tools-j203-8-pliers-needle-nose-side-cutters-8-inch")</f>
        <v>https://edmondsonsupply.com/collections/electricians-tools/products/klein-tools-j203-8-pliers-needle-nose-side-cutters-8-inch</v>
      </c>
      <c r="B6840" s="3" t="str">
        <f>HYPERLINK("https://edmondsonsupply.com/products/klein-tools-j203-8-pliers-needle-nose-side-cutters-8-inch", "https://edmondsonsupply.com/products/klein-tools-j203-8-pliers-needle-nose-side-cutters-8-inch")</f>
        <v>https://edmondsonsupply.com/products/klein-tools-j203-8-pliers-needle-nose-side-cutters-8-inch</v>
      </c>
      <c r="C6840" t="s">
        <v>6516</v>
      </c>
      <c r="D6840" t="s">
        <v>8965</v>
      </c>
      <c r="E6840" s="3" t="str">
        <f>HYPERLINK("https://www.amazon.com/Klein-Tools-D203-7-Side-Cutters-7-Inch/dp/B000G67F24/ref=sr_1_6?keywords=Klein+Tools+J203-8+Pliers%2C+Needle+Nose+Side-Cutters%2C+8-Inch&amp;qid=1695174221&amp;sr=8-6", "https://www.amazon.com/Klein-Tools-D203-7-Side-Cutters-7-Inch/dp/B000G67F24/ref=sr_1_6?keywords=Klein+Tools+J203-8+Pliers%2C+Needle+Nose+Side-Cutters%2C+8-Inch&amp;qid=1695174221&amp;sr=8-6")</f>
        <v>https://www.amazon.com/Klein-Tools-D203-7-Side-Cutters-7-Inch/dp/B000G67F24/ref=sr_1_6?keywords=Klein+Tools+J203-8+Pliers%2C+Needle+Nose+Side-Cutters%2C+8-Inch&amp;qid=1695174221&amp;sr=8-6</v>
      </c>
      <c r="F6840" t="s">
        <v>8966</v>
      </c>
      <c r="G6840" t="e">
        <f ca="1">_xludf.IMAGE("https://edmondsonsupply.com/cdn/shop/products/j2038.jpg?v=1644709677")</f>
        <v>#NAME?</v>
      </c>
      <c r="H6840" t="e">
        <f ca="1">_xludf.IMAGE("https://m.media-amazon.com/images/I/51DWCz6ft0L._AC_UL320_.jpg")</f>
        <v>#NAME?</v>
      </c>
      <c r="I6840" t="s">
        <v>6519</v>
      </c>
      <c r="J6840">
        <v>24.97</v>
      </c>
      <c r="K6840" s="4">
        <v>-0.3513</v>
      </c>
      <c r="L6840">
        <v>4.8</v>
      </c>
      <c r="M6840">
        <v>582</v>
      </c>
      <c r="O6840" t="s">
        <v>25</v>
      </c>
      <c r="P6840" t="s">
        <v>6520</v>
      </c>
      <c r="Q6840" t="s">
        <v>6521</v>
      </c>
    </row>
    <row r="6841" spans="1:17" ht="15.5" x14ac:dyDescent="0.35">
      <c r="A6841" s="3" t="str">
        <f>HYPERLINK("https://edmondsonsupply.com/collections/electricians-tools/products/diablo-tools-dou125cgp-1-1-4-in-universal-fit-carbide-oscillating-blade-for-general-purpose-cuts", "https://edmondsonsupply.com/collections/electricians-tools/products/diablo-tools-dou125cgp-1-1-4-in-universal-fit-carbide-oscillating-blade-for-general-purpose-cuts")</f>
        <v>https://edmondsonsupply.com/collections/electricians-tools/products/diablo-tools-dou125cgp-1-1-4-in-universal-fit-carbide-oscillating-blade-for-general-purpose-cuts</v>
      </c>
      <c r="B6841" s="3" t="str">
        <f>HYPERLINK("https://edmondsonsupply.com/products/diablo-tools-dou125cgp-1-1-4-in-universal-fit-carbide-oscillating-blade-for-general-purpose-cuts", "https://edmondsonsupply.com/products/diablo-tools-dou125cgp-1-1-4-in-universal-fit-carbide-oscillating-blade-for-general-purpose-cuts")</f>
        <v>https://edmondsonsupply.com/products/diablo-tools-dou125cgp-1-1-4-in-universal-fit-carbide-oscillating-blade-for-general-purpose-cuts</v>
      </c>
      <c r="C6841" t="s">
        <v>5886</v>
      </c>
      <c r="D6841" t="s">
        <v>5949</v>
      </c>
      <c r="E6841" s="3" t="str">
        <f>HYPERLINK("https://www.amazon.com/Diablo-Freud-DOU125CGP-Universal-Oscillating/dp/B089LGJV4X/ref=sr_1_1?keywords=Diablo+Tools+DOU125CGP+1-1%2F4+in.+Universal+Fit+Carbide+Oscillating+Blade+for+General+Purpose+Cuts&amp;qid=1695174006&amp;sr=8-1", "https://www.amazon.com/Diablo-Freud-DOU125CGP-Universal-Oscillating/dp/B089LGJV4X/ref=sr_1_1?keywords=Diablo+Tools+DOU125CGP+1-1%2F4+in.+Universal+Fit+Carbide+Oscillating+Blade+for+General+Purpose+Cuts&amp;qid=1695174006&amp;sr=8-1")</f>
        <v>https://www.amazon.com/Diablo-Freud-DOU125CGP-Universal-Oscillating/dp/B089LGJV4X/ref=sr_1_1?keywords=Diablo+Tools+DOU125CGP+1-1%2F4+in.+Universal+Fit+Carbide+Oscillating+Blade+for+General+Purpose+Cuts&amp;qid=1695174006&amp;sr=8-1</v>
      </c>
      <c r="F6841" t="s">
        <v>5950</v>
      </c>
      <c r="G6841" t="e">
        <f ca="1">_xludf.IMAGE("https://edmondsonsupply.com/cdn/shop/files/htobgrjt150mygkkk6to_dca17485-ff4c-4cd2-9345-f1b96a9206f3.webp?v=1686146827")</f>
        <v>#NAME?</v>
      </c>
      <c r="H6841" t="e">
        <f ca="1">_xludf.IMAGE("https://m.media-amazon.com/images/I/71lNEMXVnHL._AC_UL320_.jpg")</f>
        <v>#NAME?</v>
      </c>
      <c r="I6841" t="s">
        <v>1716</v>
      </c>
      <c r="J6841">
        <v>14.9</v>
      </c>
      <c r="K6841" s="4">
        <v>-0.3513</v>
      </c>
      <c r="L6841">
        <v>4.5999999999999996</v>
      </c>
      <c r="M6841">
        <v>38</v>
      </c>
      <c r="O6841" t="s">
        <v>25</v>
      </c>
      <c r="P6841" t="s">
        <v>5889</v>
      </c>
      <c r="Q6841" t="s">
        <v>5890</v>
      </c>
    </row>
    <row r="6842" spans="1:17" ht="15.5" x14ac:dyDescent="0.35">
      <c r="A6842"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6842" s="3" t="str">
        <f>HYPERLINK("https://edmondsonsupply.com/products/fluke-c60-soft-carrying-case", "https://edmondsonsupply.com/products/fluke-c60-soft-carrying-case")</f>
        <v>https://edmondsonsupply.com/products/fluke-c60-soft-carrying-case</v>
      </c>
      <c r="C6842" t="s">
        <v>265</v>
      </c>
      <c r="D6842" t="s">
        <v>775</v>
      </c>
      <c r="E6842" s="3" t="str">
        <f>HYPERLINK("https://www.amazon.com/Fluke-C35-Polyester-Soft-Carrying/dp/B0012WXSWC/ref=sr_1_4?keywords=Fluke+C60+Soft+Carrying+Case&amp;qid=1695174290&amp;sr=8-4", "https://www.amazon.com/Fluke-C35-Polyester-Soft-Carrying/dp/B0012WXSWC/ref=sr_1_4?keywords=Fluke+C60+Soft+Carrying+Case&amp;qid=1695174290&amp;sr=8-4")</f>
        <v>https://www.amazon.com/Fluke-C35-Polyester-Soft-Carrying/dp/B0012WXSWC/ref=sr_1_4?keywords=Fluke+C60+Soft+Carrying+Case&amp;qid=1695174290&amp;sr=8-4</v>
      </c>
      <c r="F6842" t="s">
        <v>776</v>
      </c>
      <c r="G6842" t="e">
        <f ca="1">_xludf.IMAGE("https://edmondsonsupply.com/cdn/shop/products/c60.png?v=1633030926")</f>
        <v>#NAME?</v>
      </c>
      <c r="H6842" t="e">
        <f ca="1">_xludf.IMAGE("https://m.media-amazon.com/images/I/91lCMkhllEL._AC_UL320_.jpg")</f>
        <v>#NAME?</v>
      </c>
      <c r="I6842" t="s">
        <v>268</v>
      </c>
      <c r="J6842">
        <v>32</v>
      </c>
      <c r="K6842" s="4">
        <v>-0.35339999999999999</v>
      </c>
      <c r="L6842">
        <v>4.7</v>
      </c>
      <c r="M6842">
        <v>801</v>
      </c>
      <c r="O6842" t="s">
        <v>25</v>
      </c>
      <c r="P6842" t="s">
        <v>269</v>
      </c>
      <c r="Q6842" t="s">
        <v>270</v>
      </c>
    </row>
    <row r="6843" spans="1:17" ht="15.5" x14ac:dyDescent="0.35">
      <c r="A6843" s="3" t="str">
        <f>HYPERLINK("https://edmondsonsupply.com/collections/electricians-tools/products/fluke-st120-gfci-socket-tester", "https://edmondsonsupply.com/collections/electricians-tools/products/fluke-st120-gfci-socket-tester")</f>
        <v>https://edmondsonsupply.com/collections/electricians-tools/products/fluke-st120-gfci-socket-tester</v>
      </c>
      <c r="B6843" s="3" t="str">
        <f>HYPERLINK("https://edmondsonsupply.com/products/fluke-st120-gfci-socket-tester", "https://edmondsonsupply.com/products/fluke-st120-gfci-socket-tester")</f>
        <v>https://edmondsonsupply.com/products/fluke-st120-gfci-socket-tester</v>
      </c>
      <c r="C6843" t="s">
        <v>8351</v>
      </c>
      <c r="D6843" t="s">
        <v>8967</v>
      </c>
      <c r="E6843" s="3" t="str">
        <f>HYPERLINK("https://www.amazon.com/RLSOCO-Carrying-Fluke-Socket-Tester%EF%BC%88Case/dp/B0BJTZ98HX/ref=sr_1_4?keywords=Fluke+ST120+Socket+Tester+with+GFCI&amp;qid=1695174173&amp;sr=8-4", "https://www.amazon.com/RLSOCO-Carrying-Fluke-Socket-Tester%EF%BC%88Case/dp/B0BJTZ98HX/ref=sr_1_4?keywords=Fluke+ST120+Socket+Tester+with+GFCI&amp;qid=1695174173&amp;sr=8-4")</f>
        <v>https://www.amazon.com/RLSOCO-Carrying-Fluke-Socket-Tester%EF%BC%88Case/dp/B0BJTZ98HX/ref=sr_1_4?keywords=Fluke+ST120+Socket+Tester+with+GFCI&amp;qid=1695174173&amp;sr=8-4</v>
      </c>
      <c r="F6843" t="s">
        <v>8968</v>
      </c>
      <c r="G6843" t="e">
        <f ca="1">_xludf.IMAGE("https://edmondsonsupply.com/cdn/shop/products/F-st120_01a_w.webp?v=1662582102")</f>
        <v>#NAME?</v>
      </c>
      <c r="H6843" t="e">
        <f ca="1">_xludf.IMAGE("https://m.media-amazon.com/images/I/71It6IXE9gL._AC_UL320_.jpg")</f>
        <v>#NAME?</v>
      </c>
      <c r="I6843" t="s">
        <v>4229</v>
      </c>
      <c r="J6843">
        <v>9.99</v>
      </c>
      <c r="K6843" s="4">
        <v>-0.35510000000000003</v>
      </c>
      <c r="L6843">
        <v>4.5</v>
      </c>
      <c r="M6843">
        <v>27</v>
      </c>
      <c r="O6843" t="s">
        <v>25</v>
      </c>
      <c r="P6843" t="s">
        <v>866</v>
      </c>
      <c r="Q6843" t="s">
        <v>8354</v>
      </c>
    </row>
    <row r="6844" spans="1:17" ht="15.5" x14ac:dyDescent="0.35">
      <c r="A6844"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6844"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6844" t="s">
        <v>6976</v>
      </c>
      <c r="D6844" t="s">
        <v>3905</v>
      </c>
      <c r="E6844" s="3" t="str">
        <f>HYPERLINK("https://www.amazon.com/Journeyman-T-Handle-Klein-Tools-JTH9M3/dp/B005G3HJ28/ref=sr_1_10?keywords=Klein+Tools+JTH6E11BE+3%2F16-Inch+Ball+Hex+Key%2C+Journeyman+T-Handle+6-Inch&amp;qid=1695174298&amp;sr=8-10", "https://www.amazon.com/Journeyman-T-Handle-Klein-Tools-JTH9M3/dp/B005G3HJ28/ref=sr_1_10?keywords=Klein+Tools+JTH6E11BE+3%2F16-Inch+Ball+Hex+Key%2C+Journeyman+T-Handle+6-Inch&amp;qid=1695174298&amp;sr=8-10")</f>
        <v>https://www.amazon.com/Journeyman-T-Handle-Klein-Tools-JTH9M3/dp/B005G3HJ28/ref=sr_1_10?keywords=Klein+Tools+JTH6E11BE+3%2F16-Inch+Ball+Hex+Key%2C+Journeyman+T-Handle+6-Inch&amp;qid=1695174298&amp;sr=8-10</v>
      </c>
      <c r="F6844" t="s">
        <v>3906</v>
      </c>
      <c r="G6844" t="e">
        <f ca="1">_xludf.IMAGE("https://edmondsonsupply.com/cdn/shop/products/jth6e13be_9dba8a6a-8a07-4d76-a54f-fe57b92b3fea.jpg?v=1610659188")</f>
        <v>#NAME?</v>
      </c>
      <c r="H6844" t="e">
        <f ca="1">_xludf.IMAGE("https://m.media-amazon.com/images/I/51MZtGjDOtL._AC_UL320_.jpg")</f>
        <v>#NAME?</v>
      </c>
      <c r="I6844" t="s">
        <v>6464</v>
      </c>
      <c r="J6844">
        <v>5.88</v>
      </c>
      <c r="K6844" s="4">
        <v>-0.3553</v>
      </c>
      <c r="L6844">
        <v>4.5999999999999996</v>
      </c>
      <c r="M6844">
        <v>179</v>
      </c>
      <c r="O6844" t="s">
        <v>25</v>
      </c>
      <c r="P6844" t="s">
        <v>138</v>
      </c>
      <c r="Q6844" t="s">
        <v>6977</v>
      </c>
    </row>
    <row r="6845" spans="1:17" ht="15.5" x14ac:dyDescent="0.35">
      <c r="A6845"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6845" s="3" t="str">
        <f>HYPERLINK("https://edmondsonsupply.com/products/veto-pro-pac-tp-xxl-tool-pouch", "https://edmondsonsupply.com/products/veto-pro-pac-tp-xxl-tool-pouch")</f>
        <v>https://edmondsonsupply.com/products/veto-pro-pac-tp-xxl-tool-pouch</v>
      </c>
      <c r="C6845" t="s">
        <v>451</v>
      </c>
      <c r="D6845" t="s">
        <v>371</v>
      </c>
      <c r="E6845" s="3" t="str">
        <f>HYPERLINK("https://www.amazon.com/Veto-TP-LC-Compact-Zippered-Service/dp/B09TPZKBDP/ref=sr_1_4?keywords=Veto+Pro+Pac+TP-XXL+Tool+Pouch&amp;qid=1695173851&amp;sr=8-4", "https://www.amazon.com/Veto-TP-LC-Compact-Zippered-Service/dp/B09TPZKBDP/ref=sr_1_4?keywords=Veto+Pro+Pac+TP-XXL+Tool+Pouch&amp;qid=1695173851&amp;sr=8-4")</f>
        <v>https://www.amazon.com/Veto-TP-LC-Compact-Zippered-Service/dp/B09TPZKBDP/ref=sr_1_4?keywords=Veto+Pro+Pac+TP-XXL+Tool+Pouch&amp;qid=1695173851&amp;sr=8-4</v>
      </c>
      <c r="F6845" t="s">
        <v>372</v>
      </c>
      <c r="G6845" t="e">
        <f ca="1">_xludf.IMAGE("https://edmondsonsupply.com/cdn/shop/products/01_TP-XXL.jpg?v=1633031173")</f>
        <v>#NAME?</v>
      </c>
      <c r="H6845" t="e">
        <f ca="1">_xludf.IMAGE("https://m.media-amazon.com/images/I/51b1SiebzcL._AC_UL320_.jpg")</f>
        <v>#NAME?</v>
      </c>
      <c r="I6845" t="s">
        <v>454</v>
      </c>
      <c r="J6845">
        <v>134.94999999999999</v>
      </c>
      <c r="K6845" s="4">
        <v>-0.3574</v>
      </c>
      <c r="L6845">
        <v>4.8</v>
      </c>
      <c r="M6845">
        <v>281</v>
      </c>
      <c r="O6845" t="s">
        <v>25</v>
      </c>
      <c r="P6845" t="s">
        <v>138</v>
      </c>
      <c r="Q6845" t="s">
        <v>455</v>
      </c>
    </row>
    <row r="6846" spans="1:17" ht="15.5" x14ac:dyDescent="0.35">
      <c r="A6846" s="3" t="str">
        <f>HYPERLINK("https://edmondsonsupply.com/collections/electricians-tools/products/klein-tools-jth6e14-5-16-inch-hex-key-with-journeyman-t-handle-6-inch", "https://edmondsonsupply.com/collections/electricians-tools/products/klein-tools-jth6e14-5-16-inch-hex-key-with-journeyman-t-handle-6-inch")</f>
        <v>https://edmondsonsupply.com/collections/electricians-tools/products/klein-tools-jth6e14-5-16-inch-hex-key-with-journeyman-t-handle-6-inch</v>
      </c>
      <c r="B6846" s="3" t="str">
        <f>HYPERLINK("https://edmondsonsupply.com/products/klein-tools-jth6e14-5-16-inch-hex-key-with-journeyman-t-handle-6-inch", "https://edmondsonsupply.com/products/klein-tools-jth6e14-5-16-inch-hex-key-with-journeyman-t-handle-6-inch")</f>
        <v>https://edmondsonsupply.com/products/klein-tools-jth6e14-5-16-inch-hex-key-with-journeyman-t-handle-6-inch</v>
      </c>
      <c r="C6846" t="s">
        <v>2344</v>
      </c>
      <c r="D6846" t="s">
        <v>5118</v>
      </c>
      <c r="E6846" s="3" t="str">
        <f>HYPERLINK("https://www.amazon.com/Journeyman-T-Handle-Klein-Tools-JTH9E10/dp/B004QV8H90/ref=sr_1_9?keywords=Klein+Tools+JTH6E14+5%2F16-Inch+Hex+Key+with+Journeyman+T-Handle%2C+6-Inch&amp;qid=1695173855&amp;sr=8-9", "https://www.amazon.com/Journeyman-T-Handle-Klein-Tools-JTH9E10/dp/B004QV8H90/ref=sr_1_9?keywords=Klein+Tools+JTH6E14+5%2F16-Inch+Hex+Key+with+Journeyman+T-Handle%2C+6-Inch&amp;qid=1695173855&amp;sr=8-9")</f>
        <v>https://www.amazon.com/Journeyman-T-Handle-Klein-Tools-JTH9E10/dp/B004QV8H90/ref=sr_1_9?keywords=Klein+Tools+JTH6E14+5%2F16-Inch+Hex+Key+with+Journeyman+T-Handle%2C+6-Inch&amp;qid=1695173855&amp;sr=8-9</v>
      </c>
      <c r="F6846" t="s">
        <v>5119</v>
      </c>
      <c r="G6846" t="e">
        <f ca="1">_xludf.IMAGE("https://edmondsonsupply.com/cdn/shop/products/jth6e15.jpg?v=1587148489")</f>
        <v>#NAME?</v>
      </c>
      <c r="H6846" t="e">
        <f ca="1">_xludf.IMAGE("https://m.media-amazon.com/images/I/51Yb8h41vLL._AC_UL320_.jpg")</f>
        <v>#NAME?</v>
      </c>
      <c r="I6846" t="s">
        <v>2347</v>
      </c>
      <c r="J6846">
        <v>4.49</v>
      </c>
      <c r="K6846" s="4">
        <v>-0.35770000000000002</v>
      </c>
      <c r="L6846">
        <v>4.8</v>
      </c>
      <c r="M6846">
        <v>294</v>
      </c>
      <c r="O6846" t="s">
        <v>25</v>
      </c>
      <c r="P6846" t="s">
        <v>1140</v>
      </c>
      <c r="Q6846" t="s">
        <v>2348</v>
      </c>
    </row>
    <row r="6847" spans="1:17" ht="15.5" x14ac:dyDescent="0.35">
      <c r="A6847"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6847" s="3" t="str">
        <f>HYPERLINK("https://edmondsonsupply.com/products/diablo-tools-dmapl2530-1-in-x-16-in-x-18-in-sds-plus-2-cutter", "https://edmondsonsupply.com/products/diablo-tools-dmapl2530-1-in-x-16-in-x-18-in-sds-plus-2-cutter")</f>
        <v>https://edmondsonsupply.com/products/diablo-tools-dmapl2530-1-in-x-16-in-x-18-in-sds-plus-2-cutter</v>
      </c>
      <c r="C6847" t="s">
        <v>7435</v>
      </c>
      <c r="D6847" t="s">
        <v>8969</v>
      </c>
      <c r="E6847" s="3" t="str">
        <f>HYPERLINK("https://www.amazon.com/Diablo-16-18-SDS-Plus-2-Cutter/dp/B089KV7MNH/ref=sr_1_10?keywords=Diablo+Tools+DMAPL2530+1+in.+x+16+in.+x+18+in.+SDS-Plus+2-Cutter&amp;qid=1695174263&amp;sr=8-10", "https://www.amazon.com/Diablo-16-18-SDS-Plus-2-Cutter/dp/B089KV7MNH/ref=sr_1_10?keywords=Diablo+Tools+DMAPL2530+1+in.+x+16+in.+x+18+in.+SDS-Plus+2-Cutter&amp;qid=1695174263&amp;sr=8-10")</f>
        <v>https://www.amazon.com/Diablo-16-18-SDS-Plus-2-Cutter/dp/B089KV7MNH/ref=sr_1_10?keywords=Diablo+Tools+DMAPL2530+1+in.+x+16+in.+x+18+in.+SDS-Plus+2-Cutter&amp;qid=1695174263&amp;sr=8-10</v>
      </c>
      <c r="F6847" t="s">
        <v>8970</v>
      </c>
      <c r="G6847" t="e">
        <f ca="1">_xludf.IMAGE("https://edmondsonsupply.com/cdn/shop/products/DMAPL2530_Main-Image20200703.png?v=1627068300")</f>
        <v>#NAME?</v>
      </c>
      <c r="H6847" t="e">
        <f ca="1">_xludf.IMAGE("https://m.media-amazon.com/images/I/61QBGOEcYkL._AC_UL320_.jpg")</f>
        <v>#NAME?</v>
      </c>
      <c r="I6847" t="s">
        <v>7436</v>
      </c>
      <c r="J6847">
        <v>24.98</v>
      </c>
      <c r="K6847" s="4">
        <v>-0.35899999999999999</v>
      </c>
      <c r="L6847">
        <v>5</v>
      </c>
      <c r="M6847">
        <v>1</v>
      </c>
      <c r="O6847" t="s">
        <v>25</v>
      </c>
      <c r="P6847" t="s">
        <v>7437</v>
      </c>
      <c r="Q6847" t="s">
        <v>7438</v>
      </c>
    </row>
    <row r="6848" spans="1:17" ht="15.5" x14ac:dyDescent="0.35">
      <c r="A6848" s="3" t="str">
        <f>HYPERLINK("https://edmondsonsupply.com/collections/electricians-tools/products/milwaukee-2553-20-m12-fuel%E2%84%A2-1-4-hex-impact-driver-tool-only", "https://edmondsonsupply.com/collections/electricians-tools/products/milwaukee-2553-20-m12-fuel%E2%84%A2-1-4-hex-impact-driver-tool-only")</f>
        <v>https://edmondsonsupply.com/collections/electricians-tools/products/milwaukee-2553-20-m12-fuel%E2%84%A2-1-4-hex-impact-driver-tool-only</v>
      </c>
      <c r="B6848" s="3" t="str">
        <f>HYPERLINK("https://edmondsonsupply.com/products/milwaukee-2553-20-m12-fuel%e2%84%a2-1-4-hex-impact-driver-tool-only", "https://edmondsonsupply.com/products/milwaukee-2553-20-m12-fuel%e2%84%a2-1-4-hex-impact-driver-tool-only")</f>
        <v>https://edmondsonsupply.com/products/milwaukee-2553-20-m12-fuel%e2%84%a2-1-4-hex-impact-driver-tool-only</v>
      </c>
      <c r="C6848" t="s">
        <v>8971</v>
      </c>
      <c r="D6848" t="s">
        <v>8972</v>
      </c>
      <c r="E6848" s="3" t="str">
        <f>HYPERLINK("https://www.amazon.com/Milwaukee-Electric-Tools-MLW2553-20-Impact/dp/B077ZYMK1W/ref=sr_1_1?keywords=Milwaukee+2553-20+M12+FUEL%E2%84%A2+1%2F4%22+Hex+Impact+Driver+%28Tool+Only%29&amp;qid=1695174125&amp;sr=8-1", "https://www.amazon.com/Milwaukee-Electric-Tools-MLW2553-20-Impact/dp/B077ZYMK1W/ref=sr_1_1?keywords=Milwaukee+2553-20+M12+FUEL%E2%84%A2+1%2F4%22+Hex+Impact+Driver+%28Tool+Only%29&amp;qid=1695174125&amp;sr=8-1")</f>
        <v>https://www.amazon.com/Milwaukee-Electric-Tools-MLW2553-20-Impact/dp/B077ZYMK1W/ref=sr_1_1?keywords=Milwaukee+2553-20+M12+FUEL%E2%84%A2+1%2F4%22+Hex+Impact+Driver+%28Tool+Only%29&amp;qid=1695174125&amp;sr=8-1</v>
      </c>
      <c r="F6848" t="s">
        <v>8973</v>
      </c>
      <c r="G6848" t="e">
        <f ca="1">_xludf.IMAGE("https://edmondsonsupply.com/cdn/shop/products/2553-20_1.webp?v=1668444189")</f>
        <v>#NAME?</v>
      </c>
      <c r="H6848" t="e">
        <f ca="1">_xludf.IMAGE("https://m.media-amazon.com/images/I/71gozUvKj2L._AC_UL320_.jpg")</f>
        <v>#NAME?</v>
      </c>
      <c r="I6848" t="s">
        <v>282</v>
      </c>
      <c r="J6848">
        <v>88.99</v>
      </c>
      <c r="K6848" s="4">
        <v>-0.35980000000000001</v>
      </c>
      <c r="L6848">
        <v>4.8</v>
      </c>
      <c r="M6848">
        <v>2987</v>
      </c>
      <c r="O6848" t="s">
        <v>25</v>
      </c>
      <c r="P6848" t="s">
        <v>8974</v>
      </c>
      <c r="Q6848" t="s">
        <v>8975</v>
      </c>
    </row>
    <row r="6849" spans="1:17" ht="15.5" x14ac:dyDescent="0.35">
      <c r="A6849"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6849"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6849" t="s">
        <v>6940</v>
      </c>
      <c r="D6849" t="s">
        <v>5970</v>
      </c>
      <c r="E6849" s="3" t="str">
        <f>HYPERLINK("https://www.amazon.com/Diablo-Universal-Bi-Metal-Oscillating-Nail-Embedded/dp/B089LDN2LT/ref=sr_1_6?keywords=Diablo+Tools+DOU125BF+1-1%2F4+in.+Universal+Fit+Bi-Metal+Oscillating+Blade+for+Metal&amp;qid=1695174025&amp;sr=8-6", "https://www.amazon.com/Diablo-Universal-Bi-Metal-Oscillating-Nail-Embedded/dp/B089LDN2LT/ref=sr_1_6?keywords=Diablo+Tools+DOU125BF+1-1%2F4+in.+Universal+Fit+Bi-Metal+Oscillating+Blade+for+Metal&amp;qid=1695174025&amp;sr=8-6")</f>
        <v>https://www.amazon.com/Diablo-Universal-Bi-Metal-Oscillating-Nail-Embedded/dp/B089LDN2LT/ref=sr_1_6?keywords=Diablo+Tools+DOU125BF+1-1%2F4+in.+Universal+Fit+Bi-Metal+Oscillating+Blade+for+Metal&amp;qid=1695174025&amp;sr=8-6</v>
      </c>
      <c r="F6849" t="s">
        <v>5971</v>
      </c>
      <c r="G6849" t="e">
        <f ca="1">_xludf.IMAGE("https://edmondsonsupply.com/cdn/shop/files/k1d1qiwmm4npznsdbwtg.webp?v=1685467858")</f>
        <v>#NAME?</v>
      </c>
      <c r="H6849" t="e">
        <f ca="1">_xludf.IMAGE("https://m.media-amazon.com/images/I/613ig7mNjfL._AC_UL320_.jpg")</f>
        <v>#NAME?</v>
      </c>
      <c r="I6849" t="s">
        <v>6164</v>
      </c>
      <c r="J6849">
        <v>12.14</v>
      </c>
      <c r="K6849" s="4">
        <v>-0.36</v>
      </c>
      <c r="L6849">
        <v>4.8</v>
      </c>
      <c r="M6849">
        <v>12</v>
      </c>
      <c r="O6849" t="s">
        <v>25</v>
      </c>
      <c r="P6849" t="s">
        <v>6943</v>
      </c>
      <c r="Q6849" t="s">
        <v>6944</v>
      </c>
    </row>
    <row r="6850" spans="1:17" ht="15.5" x14ac:dyDescent="0.35">
      <c r="A6850" s="3" t="str">
        <f>HYPERLINK("https://edmondsonsupply.com/collections/electricians-tools/products/milwaukee-48-11-2402-m12%E2%84%A2-xc-high-capacity-redlithium%E2%84%A2-battery", "https://edmondsonsupply.com/collections/electricians-tools/products/milwaukee-48-11-2402-m12%E2%84%A2-xc-high-capacity-redlithium%E2%84%A2-battery")</f>
        <v>https://edmondsonsupply.com/collections/electricians-tools/products/milwaukee-48-11-2402-m12%E2%84%A2-xc-high-capacity-redlithium%E2%84%A2-battery</v>
      </c>
      <c r="B6850" s="3" t="str">
        <f>HYPERLINK("https://edmondsonsupply.com/products/milwaukee-48-11-2402-m12%e2%84%a2-xc-high-capacity-redlithium%e2%84%a2-battery", "https://edmondsonsupply.com/products/milwaukee-48-11-2402-m12%e2%84%a2-xc-high-capacity-redlithium%e2%84%a2-battery")</f>
        <v>https://edmondsonsupply.com/products/milwaukee-48-11-2402-m12%e2%84%a2-xc-high-capacity-redlithium%e2%84%a2-battery</v>
      </c>
      <c r="C6850" t="s">
        <v>8976</v>
      </c>
      <c r="D6850" t="s">
        <v>8977</v>
      </c>
      <c r="E6850" s="3" t="str">
        <f>HYPERLINK("https://www.amazon.com/Milwaukee-Capacity-REDLITHIUM-Battery-48-11-2402/dp/B002ZM6R12/ref=sr_1_1?keywords=Milwaukee+48-11-2402+M12%E2%84%A2+XC+High+Capacity+REDLITHIUM%E2%84%A2+Battery&amp;qid=1695174209&amp;sr=8-1", "https://www.amazon.com/Milwaukee-Capacity-REDLITHIUM-Battery-48-11-2402/dp/B002ZM6R12/ref=sr_1_1?keywords=Milwaukee+48-11-2402+M12%E2%84%A2+XC+High+Capacity+REDLITHIUM%E2%84%A2+Battery&amp;qid=1695174209&amp;sr=8-1")</f>
        <v>https://www.amazon.com/Milwaukee-Capacity-REDLITHIUM-Battery-48-11-2402/dp/B002ZM6R12/ref=sr_1_1?keywords=Milwaukee+48-11-2402+M12%E2%84%A2+XC+High+Capacity+REDLITHIUM%E2%84%A2+Battery&amp;qid=1695174209&amp;sr=8-1</v>
      </c>
      <c r="F6850" t="s">
        <v>8978</v>
      </c>
      <c r="G6850" t="e">
        <f ca="1">_xludf.IMAGE("https://edmondsonsupply.com/cdn/shop/products/56222_48-11-2402v1-lg.webp?v=1654795509")</f>
        <v>#NAME?</v>
      </c>
      <c r="H6850" t="e">
        <f ca="1">_xludf.IMAGE("https://m.media-amazon.com/images/I/61D+FlUariL._AC_UL320_.jpg")</f>
        <v>#NAME?</v>
      </c>
      <c r="I6850" t="s">
        <v>4741</v>
      </c>
      <c r="J6850">
        <v>50.5</v>
      </c>
      <c r="K6850" s="4">
        <v>-0.36080000000000001</v>
      </c>
      <c r="L6850">
        <v>4.7</v>
      </c>
      <c r="M6850">
        <v>482</v>
      </c>
      <c r="O6850" t="s">
        <v>25</v>
      </c>
      <c r="P6850" t="s">
        <v>8979</v>
      </c>
      <c r="Q6850" t="s">
        <v>8980</v>
      </c>
    </row>
    <row r="6851" spans="1:17" ht="15.5" x14ac:dyDescent="0.35">
      <c r="A6851" s="3" t="str">
        <f>HYPERLINK("https://edmondsonsupply.com/collections/electricians-tools/products/milwaukee-48-11-2430-m12%E2%84%A2-redlithium%E2%84%A2-3-0-compact-battery-pack", "https://edmondsonsupply.com/collections/electricians-tools/products/milwaukee-48-11-2430-m12%E2%84%A2-redlithium%E2%84%A2-3-0-compact-battery-pack")</f>
        <v>https://edmondsonsupply.com/collections/electricians-tools/products/milwaukee-48-11-2430-m12%E2%84%A2-redlithium%E2%84%A2-3-0-compact-battery-pack</v>
      </c>
      <c r="B6851" s="3" t="str">
        <f>HYPERLINK("https://edmondsonsupply.com/products/milwaukee-48-11-2430-m12%e2%84%a2-redlithium%e2%84%a2-3-0-compact-battery-pack", "https://edmondsonsupply.com/products/milwaukee-48-11-2430-m12%e2%84%a2-redlithium%e2%84%a2-3-0-compact-battery-pack")</f>
        <v>https://edmondsonsupply.com/products/milwaukee-48-11-2430-m12%e2%84%a2-redlithium%e2%84%a2-3-0-compact-battery-pack</v>
      </c>
      <c r="C6851" t="s">
        <v>5449</v>
      </c>
      <c r="D6851" t="s">
        <v>5484</v>
      </c>
      <c r="E6851" s="3" t="str">
        <f>HYPERLINK("https://www.amazon.com/Milwaukee-Electric-48-11-2430-Redlithium-Compact/dp/B01M4LEIPF/ref=sr_1_1?keywords=Milwaukee+48-11-2430+M12%E2%84%A2+REDLITHIUM%E2%84%A2+3.0+Compact+Battery+Pack&amp;qid=1695173950&amp;sr=8-1", "https://www.amazon.com/Milwaukee-Electric-48-11-2430-Redlithium-Compact/dp/B01M4LEIPF/ref=sr_1_1?keywords=Milwaukee+48-11-2430+M12%E2%84%A2+REDLITHIUM%E2%84%A2+3.0+Compact+Battery+Pack&amp;qid=1695173950&amp;sr=8-1")</f>
        <v>https://www.amazon.com/Milwaukee-Electric-48-11-2430-Redlithium-Compact/dp/B01M4LEIPF/ref=sr_1_1?keywords=Milwaukee+48-11-2430+M12%E2%84%A2+REDLITHIUM%E2%84%A2+3.0+Compact+Battery+Pack&amp;qid=1695173950&amp;sr=8-1</v>
      </c>
      <c r="F6851" t="s">
        <v>5485</v>
      </c>
      <c r="G6851" t="e">
        <f ca="1">_xludf.IMAGE("https://edmondsonsupply.com/cdn/shop/products/48-11-2430.png?v=1587142488")</f>
        <v>#NAME?</v>
      </c>
      <c r="H6851" t="e">
        <f ca="1">_xludf.IMAGE("https://m.media-amazon.com/images/I/61f9ucOtdML._AC_UL320_.jpg")</f>
        <v>#NAME?</v>
      </c>
      <c r="I6851" t="s">
        <v>5452</v>
      </c>
      <c r="J6851">
        <v>43.99</v>
      </c>
      <c r="K6851" s="4">
        <v>-0.36249999999999999</v>
      </c>
      <c r="L6851">
        <v>4.8</v>
      </c>
      <c r="M6851">
        <v>456</v>
      </c>
      <c r="O6851" t="s">
        <v>25</v>
      </c>
      <c r="P6851" t="s">
        <v>5453</v>
      </c>
      <c r="Q6851" t="s">
        <v>5454</v>
      </c>
    </row>
    <row r="6852" spans="1:17" ht="15.5" x14ac:dyDescent="0.35">
      <c r="A6852"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6852"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6852" t="s">
        <v>8412</v>
      </c>
      <c r="D6852" t="s">
        <v>8981</v>
      </c>
      <c r="E6852" s="3" t="str">
        <f>HYPERLINK("https://www.amazon.com/TAJIMA-Tape-Measure-G-Measuring/dp/B000K1I9WU/ref=sr_1_4?keywords=Tajima+GS-25%2F7.5MBW+GS+Lock%E2%84%A2+Standard+%26+Metric+Scale%2C+25+ft%2F+7.5+m+x+1-1%2F16+in.%2F27mm+Steel+Blade+Tape+Measure&amp;qid=1695174191&amp;sr=8-4", "https://www.amazon.com/TAJIMA-Tape-Measure-G-Measuring/dp/B000K1I9WU/ref=sr_1_4?keywords=Tajima+GS-25%2F7.5MBW+GS+Lock%E2%84%A2+Standard+%26+Metric+Scale%2C+25+ft%2F+7.5+m+x+1-1%2F16+in.%2F27mm+Steel+Blade+Tape+Measure&amp;qid=1695174191&amp;sr=8-4")</f>
        <v>https://www.amazon.com/TAJIMA-Tape-Measure-G-Measuring/dp/B000K1I9WU/ref=sr_1_4?keywords=Tajima+GS-25%2F7.5MBW+GS+Lock%E2%84%A2+Standard+%26+Metric+Scale%2C+25+ft%2F+7.5+m+x+1-1%2F16+in.%2F27mm+Steel+Blade+Tape+Measure&amp;qid=1695174191&amp;sr=8-4</v>
      </c>
      <c r="F6852" t="s">
        <v>8982</v>
      </c>
      <c r="G6852" t="e">
        <f ca="1">_xludf.IMAGE("https://edmondsonsupply.com/cdn/shop/products/GS25-7.5MBW.jpg?v=1655830265")</f>
        <v>#NAME?</v>
      </c>
      <c r="H6852" t="e">
        <f ca="1">_xludf.IMAGE("https://m.media-amazon.com/images/I/81LietF-5eL._AC_UL320_.jpg")</f>
        <v>#NAME?</v>
      </c>
      <c r="I6852" t="s">
        <v>7638</v>
      </c>
      <c r="J6852">
        <v>26.88</v>
      </c>
      <c r="K6852" s="4">
        <v>-0.3629</v>
      </c>
      <c r="L6852">
        <v>4.5999999999999996</v>
      </c>
      <c r="M6852">
        <v>85</v>
      </c>
      <c r="O6852" t="s">
        <v>25</v>
      </c>
      <c r="P6852" t="s">
        <v>138</v>
      </c>
      <c r="Q6852" t="s">
        <v>8413</v>
      </c>
    </row>
    <row r="6853" spans="1:17" ht="15.5" x14ac:dyDescent="0.35">
      <c r="A6853" s="3" t="str">
        <f>HYPERLINK("https://edmondsonsupply.com/collections/electricians-tools/products/diablo-tools-dhs0375dg-3-8-in-diamond-grit-hole-saws", "https://edmondsonsupply.com/collections/electricians-tools/products/diablo-tools-dhs0375dg-3-8-in-diamond-grit-hole-saws")</f>
        <v>https://edmondsonsupply.com/collections/electricians-tools/products/diablo-tools-dhs0375dg-3-8-in-diamond-grit-hole-saws</v>
      </c>
      <c r="B6853" s="3" t="str">
        <f>HYPERLINK("https://edmondsonsupply.com/products/diablo-tools-dhs0375dg-3-8-in-diamond-grit-hole-saws", "https://edmondsonsupply.com/products/diablo-tools-dhs0375dg-3-8-in-diamond-grit-hole-saws")</f>
        <v>https://edmondsonsupply.com/products/diablo-tools-dhs0375dg-3-8-in-diamond-grit-hole-saws</v>
      </c>
      <c r="C6853" t="s">
        <v>8983</v>
      </c>
      <c r="D6853" t="s">
        <v>8984</v>
      </c>
      <c r="E6853" s="3" t="str">
        <f>HYPERLINK("https://www.amazon.com/Diamond-Granite-Drill-Coated-Masonry/dp/B07HF7DZH8/ref=sr_1_10?keywords=Diablo+Tools+DHS0375DG+3%2F8+in.+Diamond+Grit+Hole+Saws&amp;qid=1695174111&amp;sr=8-10", "https://www.amazon.com/Diamond-Granite-Drill-Coated-Masonry/dp/B07HF7DZH8/ref=sr_1_10?keywords=Diablo+Tools+DHS0375DG+3%2F8+in.+Diamond+Grit+Hole+Saws&amp;qid=1695174111&amp;sr=8-10")</f>
        <v>https://www.amazon.com/Diamond-Granite-Drill-Coated-Masonry/dp/B07HF7DZH8/ref=sr_1_10?keywords=Diablo+Tools+DHS0375DG+3%2F8+in.+Diamond+Grit+Hole+Saws&amp;qid=1695174111&amp;sr=8-10</v>
      </c>
      <c r="F6853" t="s">
        <v>8985</v>
      </c>
      <c r="G6853" t="e">
        <f ca="1">_xludf.IMAGE("https://edmondsonsupply.com/cdn/shop/products/mh2dqfdvyha0k7sljzkb.webp?v=1670005541")</f>
        <v>#NAME?</v>
      </c>
      <c r="H6853" t="e">
        <f ca="1">_xludf.IMAGE("https://m.media-amazon.com/images/I/71u6oB5gohL._AC_UL320_.jpg")</f>
        <v>#NAME?</v>
      </c>
      <c r="I6853" t="s">
        <v>8986</v>
      </c>
      <c r="J6853">
        <v>9.5</v>
      </c>
      <c r="K6853" s="4">
        <v>-0.36370000000000002</v>
      </c>
      <c r="L6853">
        <v>4.5</v>
      </c>
      <c r="M6853">
        <v>795</v>
      </c>
      <c r="O6853" t="s">
        <v>25</v>
      </c>
      <c r="P6853" t="s">
        <v>8987</v>
      </c>
      <c r="Q6853" t="s">
        <v>8988</v>
      </c>
    </row>
    <row r="6854" spans="1:17" ht="15.5" x14ac:dyDescent="0.35">
      <c r="A6854"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6854" s="3" t="str">
        <f>HYPERLINK("https://edmondsonsupply.com/products/fluke-325-true-rms-clamp-meter", "https://edmondsonsupply.com/products/fluke-325-true-rms-clamp-meter")</f>
        <v>https://edmondsonsupply.com/products/fluke-325-true-rms-clamp-meter</v>
      </c>
      <c r="C6854" t="s">
        <v>7585</v>
      </c>
      <c r="D6854" t="s">
        <v>5826</v>
      </c>
      <c r="E6854" s="3" t="str">
        <f>HYPERLINK("https://www.amazon.com/Fluke-373-True-RMS-Clamp-Meter/dp/B004DZCWIQ/ref=sr_1_7?keywords=Fluke+325+True+RMS+Clamp+Meter&amp;qid=1695174241&amp;sr=8-7", "https://www.amazon.com/Fluke-373-True-RMS-Clamp-Meter/dp/B004DZCWIQ/ref=sr_1_7?keywords=Fluke+325+True+RMS+Clamp+Meter&amp;qid=1695174241&amp;sr=8-7")</f>
        <v>https://www.amazon.com/Fluke-373-True-RMS-Clamp-Meter/dp/B004DZCWIQ/ref=sr_1_7?keywords=Fluke+325+True+RMS+Clamp+Meter&amp;qid=1695174241&amp;sr=8-7</v>
      </c>
      <c r="F6854" t="s">
        <v>5936</v>
      </c>
      <c r="G6854" t="e">
        <f ca="1">_xludf.IMAGE("https://edmondsonsupply.com/cdn/shop/products/Fluke_325_clamp_meter_1280x873px_E_NR-14655.jpg?v=1688679209")</f>
        <v>#NAME?</v>
      </c>
      <c r="H6854" t="e">
        <f ca="1">_xludf.IMAGE("https://m.media-amazon.com/images/I/617BjfkzIaL._AC_UY218_.jpg")</f>
        <v>#NAME?</v>
      </c>
      <c r="I6854" t="s">
        <v>7586</v>
      </c>
      <c r="J6854">
        <v>236.46</v>
      </c>
      <c r="K6854" s="4">
        <v>-0.3669</v>
      </c>
      <c r="L6854">
        <v>4.7</v>
      </c>
      <c r="M6854">
        <v>84</v>
      </c>
      <c r="O6854" t="s">
        <v>25</v>
      </c>
      <c r="P6854" t="s">
        <v>4069</v>
      </c>
      <c r="Q6854" t="s">
        <v>7587</v>
      </c>
    </row>
    <row r="6855" spans="1:17" ht="15.5" x14ac:dyDescent="0.35">
      <c r="A6855" s="3" t="str">
        <f>HYPERLINK("https://edmondsonsupply.com/collections/electricians-tools/products/fluke-80pk-1-bead-probe", "https://edmondsonsupply.com/collections/electricians-tools/products/fluke-80pk-1-bead-probe")</f>
        <v>https://edmondsonsupply.com/collections/electricians-tools/products/fluke-80pk-1-bead-probe</v>
      </c>
      <c r="B6855" s="3" t="str">
        <f>HYPERLINK("https://edmondsonsupply.com/products/fluke-80pk-1-bead-probe", "https://edmondsonsupply.com/products/fluke-80pk-1-bead-probe")</f>
        <v>https://edmondsonsupply.com/products/fluke-80pk-1-bead-probe</v>
      </c>
      <c r="C6855" t="s">
        <v>8672</v>
      </c>
      <c r="D6855" t="s">
        <v>8672</v>
      </c>
      <c r="E6855" s="3" t="str">
        <f>HYPERLINK("https://www.amazon.com/Fluke-80PK-1-Bead-Probe/dp/B00011Q5PW/ref=sr_1_3?keywords=Fluke+80PK-1+Bead+Probe&amp;qid=1695174239&amp;sr=8-3", "https://www.amazon.com/Fluke-80PK-1-Bead-Probe/dp/B00011Q5PW/ref=sr_1_3?keywords=Fluke+80PK-1+Bead+Probe&amp;qid=1695174239&amp;sr=8-3")</f>
        <v>https://www.amazon.com/Fluke-80PK-1-Bead-Probe/dp/B00011Q5PW/ref=sr_1_3?keywords=Fluke+80PK-1+Bead+Probe&amp;qid=1695174239&amp;sr=8-3</v>
      </c>
      <c r="F6855" t="s">
        <v>8989</v>
      </c>
      <c r="G6855" t="e">
        <f ca="1">_xludf.IMAGE("https://edmondsonsupply.com/cdn/shop/products/80pk-1a.png?v=1633466414")</f>
        <v>#NAME?</v>
      </c>
      <c r="H6855" t="e">
        <f ca="1">_xludf.IMAGE("https://m.media-amazon.com/images/I/41PUHcuA1YL._AC_UY218_.jpg")</f>
        <v>#NAME?</v>
      </c>
      <c r="I6855" t="s">
        <v>1765</v>
      </c>
      <c r="J6855">
        <v>36</v>
      </c>
      <c r="K6855" s="4">
        <v>-0.36830000000000002</v>
      </c>
      <c r="L6855">
        <v>4.2</v>
      </c>
      <c r="M6855">
        <v>51</v>
      </c>
      <c r="O6855" t="s">
        <v>25</v>
      </c>
      <c r="P6855" t="s">
        <v>905</v>
      </c>
      <c r="Q6855" t="s">
        <v>8675</v>
      </c>
    </row>
    <row r="6856" spans="1:17" ht="15.5" x14ac:dyDescent="0.35">
      <c r="A6856"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6856"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6856" t="s">
        <v>7545</v>
      </c>
      <c r="D6856" t="s">
        <v>8990</v>
      </c>
      <c r="E6856" s="3" t="str">
        <f>HYPERLINK("https://www.amazon.com/Klein-Tools-CL120KIT-Electrical-Auto-Ranging/dp/B08DSX4B27/ref=sr_1_4?keywords=Klein+Tools+CL320KIT+HVAC+Digital+Clamp+Meter+Electrical+Test+Kit&amp;qid=1695174178&amp;sr=8-4", "https://www.amazon.com/Klein-Tools-CL120KIT-Electrical-Auto-Ranging/dp/B08DSX4B27/ref=sr_1_4?keywords=Klein+Tools+CL320KIT+HVAC+Digital+Clamp+Meter+Electrical+Test+Kit&amp;qid=1695174178&amp;sr=8-4")</f>
        <v>https://www.amazon.com/Klein-Tools-CL120KIT-Electrical-Auto-Ranging/dp/B08DSX4B27/ref=sr_1_4?keywords=Klein+Tools+CL320KIT+HVAC+Digital+Clamp+Meter+Electrical+Test+Kit&amp;qid=1695174178&amp;sr=8-4</v>
      </c>
      <c r="F6856" t="s">
        <v>8991</v>
      </c>
      <c r="G6856" t="e">
        <f ca="1">_xludf.IMAGE("https://edmondsonsupply.com/cdn/shop/products/cl320kit_photo.jpg?v=1660753251")</f>
        <v>#NAME?</v>
      </c>
      <c r="H6856" t="e">
        <f ca="1">_xludf.IMAGE("https://m.media-amazon.com/images/I/61PGdW5i-0L._AC_UY218_.jpg")</f>
        <v>#NAME?</v>
      </c>
      <c r="I6856" t="s">
        <v>7548</v>
      </c>
      <c r="J6856">
        <v>74.97</v>
      </c>
      <c r="K6856" s="4">
        <v>-0.36990000000000001</v>
      </c>
      <c r="L6856">
        <v>4.8</v>
      </c>
      <c r="M6856">
        <v>498</v>
      </c>
      <c r="O6856" t="s">
        <v>25</v>
      </c>
      <c r="P6856" t="s">
        <v>7549</v>
      </c>
      <c r="Q6856" t="s">
        <v>7550</v>
      </c>
    </row>
    <row r="6857" spans="1:17" ht="15.5" x14ac:dyDescent="0.35">
      <c r="A6857" s="3" t="str">
        <f>HYPERLINK("https://edmondsonsupply.com/collections/electricians-tools/products/klein-tools-56028-flashlight-with-worklight-led-flashlight", "https://edmondsonsupply.com/collections/electricians-tools/products/klein-tools-56028-flashlight-with-worklight-led-flashlight")</f>
        <v>https://edmondsonsupply.com/collections/electricians-tools/products/klein-tools-56028-flashlight-with-worklight-led-flashlight</v>
      </c>
      <c r="B6857" s="3" t="str">
        <f>HYPERLINK("https://edmondsonsupply.com/products/klein-tools-56028-flashlight-with-worklight-led-flashlight", "https://edmondsonsupply.com/products/klein-tools-56028-flashlight-with-worklight-led-flashlight")</f>
        <v>https://edmondsonsupply.com/products/klein-tools-56028-flashlight-with-worklight-led-flashlight</v>
      </c>
      <c r="C6857" t="s">
        <v>7140</v>
      </c>
      <c r="D6857" t="s">
        <v>8992</v>
      </c>
      <c r="E6857" s="3" t="str">
        <f>HYPERLINK("https://www.amazon.com/Khanka-Carrying-Replacement-Flashlight-Worklight/dp/B0986QYX91/ref=sr_1_8?keywords=Klein+Tools+56028+LED+Flashlight+with+Work+Light&amp;qid=1695174266&amp;sr=8-8", "https://www.amazon.com/Khanka-Carrying-Replacement-Flashlight-Worklight/dp/B0986QYX91/ref=sr_1_8?keywords=Klein+Tools+56028+LED+Flashlight+with+Work+Light&amp;qid=1695174266&amp;sr=8-8")</f>
        <v>https://www.amazon.com/Khanka-Carrying-Replacement-Flashlight-Worklight/dp/B0986QYX91/ref=sr_1_8?keywords=Klein+Tools+56028+LED+Flashlight+with+Work+Light&amp;qid=1695174266&amp;sr=8-8</v>
      </c>
      <c r="F6857" t="s">
        <v>8993</v>
      </c>
      <c r="G6857" t="e">
        <f ca="1">_xludf.IMAGE("https://edmondsonsupply.com/cdn/shop/products/56028.jpg?v=1587148656")</f>
        <v>#NAME?</v>
      </c>
      <c r="H6857" t="e">
        <f ca="1">_xludf.IMAGE("https://m.media-amazon.com/images/I/71zqfsdbUES._AC_UL320_.jpg")</f>
        <v>#NAME?</v>
      </c>
      <c r="I6857" t="s">
        <v>936</v>
      </c>
      <c r="J6857">
        <v>16.989999999999998</v>
      </c>
      <c r="K6857" s="4">
        <v>-0.37</v>
      </c>
      <c r="L6857">
        <v>4.8</v>
      </c>
      <c r="M6857">
        <v>129</v>
      </c>
      <c r="O6857" t="s">
        <v>25</v>
      </c>
      <c r="P6857" t="s">
        <v>7141</v>
      </c>
      <c r="Q6857" t="s">
        <v>7142</v>
      </c>
    </row>
    <row r="6858" spans="1:17" ht="15.5" x14ac:dyDescent="0.35">
      <c r="A6858" s="3" t="str">
        <f>HYPERLINK("https://edmondsonsupply.com/collections/electricians-tools/products/diablo-tools-dou125bf-1-1-4-in-universal-fit-bi-metal-oscillating-blade-for-metal", "https://edmondsonsupply.com/collections/electricians-tools/products/diablo-tools-dou125bf-1-1-4-in-universal-fit-bi-metal-oscillating-blade-for-metal")</f>
        <v>https://edmondsonsupply.com/collections/electricians-tools/products/diablo-tools-dou125bf-1-1-4-in-universal-fit-bi-metal-oscillating-blade-for-metal</v>
      </c>
      <c r="B6858" s="3" t="str">
        <f>HYPERLINK("https://edmondsonsupply.com/products/diablo-tools-dou125bf-1-1-4-in-universal-fit-bi-metal-oscillating-blade-for-metal", "https://edmondsonsupply.com/products/diablo-tools-dou125bf-1-1-4-in-universal-fit-bi-metal-oscillating-blade-for-metal")</f>
        <v>https://edmondsonsupply.com/products/diablo-tools-dou125bf-1-1-4-in-universal-fit-bi-metal-oscillating-blade-for-metal</v>
      </c>
      <c r="C6858" t="s">
        <v>6940</v>
      </c>
      <c r="D6858" t="s">
        <v>8827</v>
      </c>
      <c r="E6858" s="3" t="str">
        <f>HYPERLINK("https://www.amazon.com/Diablo-Freud-DOU125BF-Universal-Oscillating/dp/B089KV143Y/ref=sr_1_1?keywords=Diablo+Tools+DOU125BF+1-1%2F4+in.+Universal+Fit+Bi-Metal+Oscillating+Blade+for+Metal&amp;qid=1695174025&amp;sr=8-1", "https://www.amazon.com/Diablo-Freud-DOU125BF-Universal-Oscillating/dp/B089KV143Y/ref=sr_1_1?keywords=Diablo+Tools+DOU125BF+1-1%2F4+in.+Universal+Fit+Bi-Metal+Oscillating+Blade+for+Metal&amp;qid=1695174025&amp;sr=8-1")</f>
        <v>https://www.amazon.com/Diablo-Freud-DOU125BF-Universal-Oscillating/dp/B089KV143Y/ref=sr_1_1?keywords=Diablo+Tools+DOU125BF+1-1%2F4+in.+Universal+Fit+Bi-Metal+Oscillating+Blade+for+Metal&amp;qid=1695174025&amp;sr=8-1</v>
      </c>
      <c r="F6858" t="s">
        <v>8828</v>
      </c>
      <c r="G6858" t="e">
        <f ca="1">_xludf.IMAGE("https://edmondsonsupply.com/cdn/shop/files/k1d1qiwmm4npznsdbwtg.webp?v=1685467858")</f>
        <v>#NAME?</v>
      </c>
      <c r="H6858" t="e">
        <f ca="1">_xludf.IMAGE("https://m.media-amazon.com/images/I/61mZfXlj-XL._AC_UL320_.jpg")</f>
        <v>#NAME?</v>
      </c>
      <c r="I6858" t="s">
        <v>6164</v>
      </c>
      <c r="J6858">
        <v>11.95</v>
      </c>
      <c r="K6858" s="4">
        <v>-0.37009999999999998</v>
      </c>
      <c r="L6858">
        <v>3.7</v>
      </c>
      <c r="M6858">
        <v>8</v>
      </c>
      <c r="O6858" t="s">
        <v>25</v>
      </c>
      <c r="P6858" t="s">
        <v>6943</v>
      </c>
      <c r="Q6858" t="s">
        <v>6944</v>
      </c>
    </row>
    <row r="6859" spans="1:17" ht="15.5" x14ac:dyDescent="0.35">
      <c r="A6859"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6859" s="3" t="str">
        <f>HYPERLINK("https://edmondsonsupply.com/products/klein-tools-60615-heavy-duty-knee-pad-sleeves-s-m", "https://edmondsonsupply.com/products/klein-tools-60615-heavy-duty-knee-pad-sleeves-s-m")</f>
        <v>https://edmondsonsupply.com/products/klein-tools-60615-heavy-duty-knee-pad-sleeves-s-m</v>
      </c>
      <c r="C6859" t="s">
        <v>1029</v>
      </c>
      <c r="D6859" t="s">
        <v>1331</v>
      </c>
      <c r="E6859" s="3" t="str">
        <f>HYPERLINK("https://www.amazon.com/Construction-REXBETI-Comfortable-Anti-slip-Stretchable/dp/B07BPWV83H/ref=sr_1_7?keywords=Klein+Tools+60615+Heavy+Duty+Knee+Pad+Sleeves%2C+S%2FM&amp;qid=1695174031&amp;sr=8-7", "https://www.amazon.com/Construction-REXBETI-Comfortable-Anti-slip-Stretchable/dp/B07BPWV83H/ref=sr_1_7?keywords=Klein+Tools+60615+Heavy+Duty+Knee+Pad+Sleeves%2C+S%2FM&amp;qid=1695174031&amp;sr=8-7")</f>
        <v>https://www.amazon.com/Construction-REXBETI-Comfortable-Anti-slip-Stretchable/dp/B07BPWV83H/ref=sr_1_7?keywords=Klein+Tools+60615+Heavy+Duty+Knee+Pad+Sleeves%2C+S%2FM&amp;qid=1695174031&amp;sr=8-7</v>
      </c>
      <c r="F6859" t="s">
        <v>1332</v>
      </c>
      <c r="G6859" t="e">
        <f ca="1">_xludf.IMAGE("https://edmondsonsupply.com/cdn/shop/products/60511_60611_b_f68c12ff-69e9-4ee5-9cc0-02cf7484e091.jpg?v=1681743847")</f>
        <v>#NAME?</v>
      </c>
      <c r="H6859" t="e">
        <f ca="1">_xludf.IMAGE("https://m.media-amazon.com/images/I/81thqdRMknL._AC_UL320_.jpg")</f>
        <v>#NAME?</v>
      </c>
      <c r="I6859" t="s">
        <v>198</v>
      </c>
      <c r="J6859">
        <v>25.19</v>
      </c>
      <c r="K6859" s="4">
        <v>-0.37009999999999998</v>
      </c>
      <c r="L6859">
        <v>4.5999999999999996</v>
      </c>
      <c r="M6859">
        <v>11541</v>
      </c>
      <c r="O6859" t="s">
        <v>25</v>
      </c>
      <c r="P6859" t="s">
        <v>1027</v>
      </c>
      <c r="Q6859" t="s">
        <v>1030</v>
      </c>
    </row>
    <row r="6860" spans="1:17" ht="15.5" x14ac:dyDescent="0.35">
      <c r="A6860"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6860" s="3" t="str">
        <f>HYPERLINK("https://edmondsonsupply.com/products/klein-tools-60511-heavy-duty-knee-pad-sleeves-m-l", "https://edmondsonsupply.com/products/klein-tools-60511-heavy-duty-knee-pad-sleeves-m-l")</f>
        <v>https://edmondsonsupply.com/products/klein-tools-60511-heavy-duty-knee-pad-sleeves-m-l</v>
      </c>
      <c r="C6860" t="s">
        <v>1024</v>
      </c>
      <c r="D6860" t="s">
        <v>1331</v>
      </c>
      <c r="E6860" s="3" t="str">
        <f>HYPERLINK("https://www.amazon.com/Construction-REXBETI-Comfortable-Anti-slip-Stretchable/dp/B07BPWV83H/ref=sr_1_9?keywords=Klein+Tools+60511+Heavy+Duty+Knee+Pad+Sleeves%2C+M%2FL&amp;qid=1695174162&amp;sr=8-9", "https://www.amazon.com/Construction-REXBETI-Comfortable-Anti-slip-Stretchable/dp/B07BPWV83H/ref=sr_1_9?keywords=Klein+Tools+60511+Heavy+Duty+Knee+Pad+Sleeves%2C+M%2FL&amp;qid=1695174162&amp;sr=8-9")</f>
        <v>https://www.amazon.com/Construction-REXBETI-Comfortable-Anti-slip-Stretchable/dp/B07BPWV83H/ref=sr_1_9?keywords=Klein+Tools+60511+Heavy+Duty+Knee+Pad+Sleeves%2C+M%2FL&amp;qid=1695174162&amp;sr=8-9</v>
      </c>
      <c r="F6860" t="s">
        <v>1332</v>
      </c>
      <c r="G6860" t="e">
        <f ca="1">_xludf.IMAGE("https://edmondsonsupply.com/cdn/shop/products/60511_60611_b.jpg?v=1663253024")</f>
        <v>#NAME?</v>
      </c>
      <c r="H6860" t="e">
        <f ca="1">_xludf.IMAGE("https://m.media-amazon.com/images/I/81thqdRMknL._AC_UL320_.jpg")</f>
        <v>#NAME?</v>
      </c>
      <c r="I6860" t="s">
        <v>198</v>
      </c>
      <c r="J6860">
        <v>25.19</v>
      </c>
      <c r="K6860" s="4">
        <v>-0.37009999999999998</v>
      </c>
      <c r="L6860">
        <v>4.5999999999999996</v>
      </c>
      <c r="M6860">
        <v>11541</v>
      </c>
      <c r="O6860" t="s">
        <v>25</v>
      </c>
      <c r="P6860" t="s">
        <v>1027</v>
      </c>
      <c r="Q6860" t="s">
        <v>1028</v>
      </c>
    </row>
    <row r="6861" spans="1:17" ht="15.5" x14ac:dyDescent="0.35">
      <c r="A6861"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6861"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6861" t="s">
        <v>8050</v>
      </c>
      <c r="D6861" t="s">
        <v>4465</v>
      </c>
      <c r="E6861" s="3" t="str">
        <f>HYPERLINK("https://www.amazon.com/CHANNELLOCK-428-Adjustments-SAFE-T-STOP-High-Carbon/dp/B00004SBCT/ref=sr_1_10?keywords=Channellock+430X+10-Inch+SPEEDGRIP%E2%84%A2+Straight+Jaw+Tongue+%26+Groove+Pliers&amp;qid=1695174216&amp;sr=8-10", "https://www.amazon.com/CHANNELLOCK-428-Adjustments-SAFE-T-STOP-High-Carbon/dp/B00004SBCT/ref=sr_1_10?keywords=Channellock+430X+10-Inch+SPEEDGRIP%E2%84%A2+Straight+Jaw+Tongue+%26+Groove+Pliers&amp;qid=1695174216&amp;sr=8-10")</f>
        <v>https://www.amazon.com/CHANNELLOCK-428-Adjustments-SAFE-T-STOP-High-Carbon/dp/B00004SBCT/ref=sr_1_10?keywords=Channellock+430X+10-Inch+SPEEDGRIP%E2%84%A2+Straight+Jaw+Tongue+%26+Groove+Pliers&amp;qid=1695174216&amp;sr=8-10</v>
      </c>
      <c r="F6861" t="s">
        <v>4466</v>
      </c>
      <c r="G6861" t="e">
        <f ca="1">_xludf.IMAGE("https://edmondsonsupply.com/cdn/shop/products/430X.jpg?v=1647100497")</f>
        <v>#NAME?</v>
      </c>
      <c r="H6861" t="e">
        <f ca="1">_xludf.IMAGE("https://m.media-amazon.com/images/I/71PJMchXHJL._AC_UL320_.jpg")</f>
        <v>#NAME?</v>
      </c>
      <c r="I6861" t="s">
        <v>5375</v>
      </c>
      <c r="J6861">
        <v>16.95</v>
      </c>
      <c r="K6861" s="4">
        <v>-0.37109999999999999</v>
      </c>
      <c r="L6861">
        <v>4.7</v>
      </c>
      <c r="M6861">
        <v>239</v>
      </c>
      <c r="O6861" t="s">
        <v>25</v>
      </c>
      <c r="P6861" t="s">
        <v>8051</v>
      </c>
      <c r="Q6861" t="s">
        <v>8052</v>
      </c>
    </row>
    <row r="6862" spans="1:17" ht="15.5" x14ac:dyDescent="0.35">
      <c r="A6862" s="3" t="str">
        <f>HYPERLINK("https://edmondsonsupply.com/collections/electricians-tools/products/klein-tools-ktsb01-step-drill-bit-double-fluted-1-1-8-to-1-2-inch", "https://edmondsonsupply.com/collections/electricians-tools/products/klein-tools-ktsb01-step-drill-bit-double-fluted-1-1-8-to-1-2-inch")</f>
        <v>https://edmondsonsupply.com/collections/electricians-tools/products/klein-tools-ktsb01-step-drill-bit-double-fluted-1-1-8-to-1-2-inch</v>
      </c>
      <c r="B6862" s="3" t="str">
        <f>HYPERLINK("https://edmondsonsupply.com/products/klein-tools-ktsb01-step-drill-bit-double-fluted-1-1-8-to-1-2-inch", "https://edmondsonsupply.com/products/klein-tools-ktsb01-step-drill-bit-double-fluted-1-1-8-to-1-2-inch")</f>
        <v>https://edmondsonsupply.com/products/klein-tools-ktsb01-step-drill-bit-double-fluted-1-1-8-to-1-2-inch</v>
      </c>
      <c r="C6862" t="s">
        <v>6266</v>
      </c>
      <c r="D6862" t="s">
        <v>8994</v>
      </c>
      <c r="E6862" s="3" t="str">
        <f>HYPERLINK("https://www.amazon.com/Jerax-tools-Straight-Stainless-highlighted/dp/B094VN88HK/ref=sr_1_4?keywords=Klein+Tools+KTSB01+Step+Drill+Bit+Double-Fluted+%231%2C+1%2F8+to+1%2F2-Inch&amp;qid=1695174255&amp;sr=8-4", "https://www.amazon.com/Jerax-tools-Straight-Stainless-highlighted/dp/B094VN88HK/ref=sr_1_4?keywords=Klein+Tools+KTSB01+Step+Drill+Bit+Double-Fluted+%231%2C+1%2F8+to+1%2F2-Inch&amp;qid=1695174255&amp;sr=8-4")</f>
        <v>https://www.amazon.com/Jerax-tools-Straight-Stainless-highlighted/dp/B094VN88HK/ref=sr_1_4?keywords=Klein+Tools+KTSB01+Step+Drill+Bit+Double-Fluted+%231%2C+1%2F8+to+1%2F2-Inch&amp;qid=1695174255&amp;sr=8-4</v>
      </c>
      <c r="F6862" t="s">
        <v>8995</v>
      </c>
      <c r="G6862" t="e">
        <f ca="1">_xludf.IMAGE("https://edmondsonsupply.com/cdn/shop/products/ktsb01.jpg?v=1633903640")</f>
        <v>#NAME?</v>
      </c>
      <c r="H6862" t="e">
        <f ca="1">_xludf.IMAGE("https://m.media-amazon.com/images/I/61uPaRTO-SL._AC_UY218_.jpg")</f>
        <v>#NAME?</v>
      </c>
      <c r="I6862" t="s">
        <v>967</v>
      </c>
      <c r="J6862">
        <v>16.95</v>
      </c>
      <c r="K6862" s="4">
        <v>-0.372</v>
      </c>
      <c r="L6862">
        <v>4.5</v>
      </c>
      <c r="M6862">
        <v>713</v>
      </c>
      <c r="O6862" t="s">
        <v>25</v>
      </c>
      <c r="P6862" t="s">
        <v>6267</v>
      </c>
      <c r="Q6862" t="s">
        <v>6268</v>
      </c>
    </row>
    <row r="6863" spans="1:17" ht="15.5" x14ac:dyDescent="0.35">
      <c r="A6863"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6863"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6863" t="s">
        <v>5906</v>
      </c>
      <c r="D6863" t="s">
        <v>5955</v>
      </c>
      <c r="E6863" s="3" t="str">
        <f>HYPERLINK("https://www.amazon.com/Diablo-DMAMXCC5010-SDS-Max-Carbide-Tipped/dp/B089M8SC7R/ref=sr_1_3?keywords=Diablo+Tools+DMAMXCC5050+4+in.+x+7+in.+SDS-Max+Carbide+Tipped+Core+Bit&amp;qid=1695174004&amp;sr=8-3", "https://www.amazon.com/Diablo-DMAMXCC5010-SDS-Max-Carbide-Tipped/dp/B089M8SC7R/ref=sr_1_3?keywords=Diablo+Tools+DMAMXCC5050+4+in.+x+7+in.+SDS-Max+Carbide+Tipped+Core+Bit&amp;qid=1695174004&amp;sr=8-3")</f>
        <v>https://www.amazon.com/Diablo-DMAMXCC5010-SDS-Max-Carbide-Tipped/dp/B089M8SC7R/ref=sr_1_3?keywords=Diablo+Tools+DMAMXCC5050+4+in.+x+7+in.+SDS-Max+Carbide+Tipped+Core+Bit&amp;qid=1695174004&amp;sr=8-3</v>
      </c>
      <c r="F6863" t="s">
        <v>5956</v>
      </c>
      <c r="G6863" t="e">
        <f ca="1">_xludf.IMAGE("https://edmondsonsupply.com/cdn/shop/files/yghx7uqdjxchri5fikny.webp?v=1686586834")</f>
        <v>#NAME?</v>
      </c>
      <c r="H6863" t="e">
        <f ca="1">_xludf.IMAGE("https://m.media-amazon.com/images/I/61bqzHyefdL._AC_UL320_.jpg")</f>
        <v>#NAME?</v>
      </c>
      <c r="I6863" t="s">
        <v>5907</v>
      </c>
      <c r="J6863">
        <v>94.99</v>
      </c>
      <c r="K6863" s="4">
        <v>-0.37259999999999999</v>
      </c>
      <c r="L6863">
        <v>4.0999999999999996</v>
      </c>
      <c r="M6863">
        <v>3</v>
      </c>
      <c r="O6863" t="s">
        <v>25</v>
      </c>
      <c r="P6863" t="s">
        <v>5908</v>
      </c>
      <c r="Q6863" t="s">
        <v>5909</v>
      </c>
    </row>
    <row r="6864" spans="1:17" ht="15.5" x14ac:dyDescent="0.35">
      <c r="A6864" s="3" t="str">
        <f>HYPERLINK("https://edmondsonsupply.com/collections/electricians-tools/products/veto-pro-pac-tech-pac-wheeler-backpack-tool-bag", "https://edmondsonsupply.com/collections/electricians-tools/products/veto-pro-pac-tech-pac-wheeler-backpack-tool-bag")</f>
        <v>https://edmondsonsupply.com/collections/electricians-tools/products/veto-pro-pac-tech-pac-wheeler-backpack-tool-bag</v>
      </c>
      <c r="B6864" s="3" t="str">
        <f>HYPERLINK("https://edmondsonsupply.com/products/veto-pro-pac-tech-pac-wheeler-backpack-tool-bag", "https://edmondsonsupply.com/products/veto-pro-pac-tech-pac-wheeler-backpack-tool-bag")</f>
        <v>https://edmondsonsupply.com/products/veto-pro-pac-tech-pac-wheeler-backpack-tool-bag</v>
      </c>
      <c r="C6864" t="s">
        <v>756</v>
      </c>
      <c r="D6864" t="s">
        <v>684</v>
      </c>
      <c r="E6864" s="3" t="str">
        <f>HYPERLINK("https://www.amazon.com/Veto-Tech-XL-Tool-1-Pack/dp/B00DYRFEJI/ref=sr_1_2?keywords=Veto+Pro+Pac+TECH+PAC+WHEELER+Backpack+Tool+Bag&amp;qid=1695173855&amp;sr=8-2", "https://www.amazon.com/Veto-Tech-XL-Tool-1-Pack/dp/B00DYRFEJI/ref=sr_1_2?keywords=Veto+Pro+Pac+TECH+PAC+WHEELER+Backpack+Tool+Bag&amp;qid=1695173855&amp;sr=8-2")</f>
        <v>https://www.amazon.com/Veto-Tech-XL-Tool-1-Pack/dp/B00DYRFEJI/ref=sr_1_2?keywords=Veto+Pro+Pac+TECH+PAC+WHEELER+Backpack+Tool+Bag&amp;qid=1695173855&amp;sr=8-2</v>
      </c>
      <c r="F6864" t="s">
        <v>685</v>
      </c>
      <c r="G6864" t="e">
        <f ca="1">_xludf.IMAGE("https://edmondsonsupply.com/cdn/shop/products/01_TECH-PAC-WHEELER.jpg?v=1633031176")</f>
        <v>#NAME?</v>
      </c>
      <c r="H6864" t="e">
        <f ca="1">_xludf.IMAGE("https://m.media-amazon.com/images/I/71suRnmtVZL._AC_UL320_.jpg")</f>
        <v>#NAME?</v>
      </c>
      <c r="I6864" t="s">
        <v>42</v>
      </c>
      <c r="J6864">
        <v>249.95</v>
      </c>
      <c r="K6864" s="4">
        <v>-0.37509999999999999</v>
      </c>
      <c r="L6864">
        <v>4.8</v>
      </c>
      <c r="M6864">
        <v>763</v>
      </c>
      <c r="O6864" t="s">
        <v>25</v>
      </c>
      <c r="P6864" t="s">
        <v>138</v>
      </c>
      <c r="Q6864" t="s">
        <v>757</v>
      </c>
    </row>
    <row r="6865" spans="1:17" ht="15.5" x14ac:dyDescent="0.35">
      <c r="A6865"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6865" s="3" t="str">
        <f>HYPERLINK("https://edmondsonsupply.com/products/klein-tools-56059-multi-groove-fiberglass-fish-tape-200-foot", "https://edmondsonsupply.com/products/klein-tools-56059-multi-groove-fiberglass-fish-tape-200-foot")</f>
        <v>https://edmondsonsupply.com/products/klein-tools-56059-multi-groove-fiberglass-fish-tape-200-foot</v>
      </c>
      <c r="C6865" t="s">
        <v>7681</v>
      </c>
      <c r="D6865" t="s">
        <v>5215</v>
      </c>
      <c r="E6865" s="3" t="str">
        <f>HYPERLINK("https://www.amazon.com/Klein-Tools-56383-Multi-Groove-Fiberglass/dp/B08222VGN8/ref=sr_1_7?keywords=Klein+Tools+56059+Multi-Groove+Fiberglass+Fish+Tape+200-Foot&amp;qid=1695174221&amp;sr=8-7", "https://www.amazon.com/Klein-Tools-56383-Multi-Groove-Fiberglass/dp/B08222VGN8/ref=sr_1_7?keywords=Klein+Tools+56059+Multi-Groove+Fiberglass+Fish+Tape+200-Foot&amp;qid=1695174221&amp;sr=8-7")</f>
        <v>https://www.amazon.com/Klein-Tools-56383-Multi-Groove-Fiberglass/dp/B08222VGN8/ref=sr_1_7?keywords=Klein+Tools+56059+Multi-Groove+Fiberglass+Fish+Tape+200-Foot&amp;qid=1695174221&amp;sr=8-7</v>
      </c>
      <c r="F6865" t="s">
        <v>5216</v>
      </c>
      <c r="G6865" t="e">
        <f ca="1">_xludf.IMAGE("https://edmondsonsupply.com/cdn/shop/products/56059.jpg?v=1648938340")</f>
        <v>#NAME?</v>
      </c>
      <c r="H6865" t="e">
        <f ca="1">_xludf.IMAGE("https://m.media-amazon.com/images/I/51Fs1Kjrk8L._AC_UL320_.jpg")</f>
        <v>#NAME?</v>
      </c>
      <c r="I6865" t="s">
        <v>7682</v>
      </c>
      <c r="J6865">
        <v>115.58</v>
      </c>
      <c r="K6865" s="4">
        <v>-0.37519999999999998</v>
      </c>
      <c r="L6865">
        <v>4.7</v>
      </c>
      <c r="M6865">
        <v>135</v>
      </c>
      <c r="O6865" t="s">
        <v>25</v>
      </c>
      <c r="P6865" t="s">
        <v>7683</v>
      </c>
      <c r="Q6865" t="s">
        <v>7684</v>
      </c>
    </row>
    <row r="6866" spans="1:17" ht="15.5" x14ac:dyDescent="0.35">
      <c r="A6866" s="3" t="str">
        <f>HYPERLINK("https://edmondsonsupply.com/collections/electricians-tools/products/klein-tools-69149-test-kit-with-multimeter-non-contact-volt-tester-outlet-tester", "https://edmondsonsupply.com/collections/electricians-tools/products/klein-tools-69149-test-kit-with-multimeter-non-contact-volt-tester-outlet-tester")</f>
        <v>https://edmondsonsupply.com/collections/electricians-tools/products/klein-tools-69149-test-kit-with-multimeter-non-contact-volt-tester-outlet-tester</v>
      </c>
      <c r="B6866" s="3" t="str">
        <f>HYPERLINK("https://edmondsonsupply.com/products/klein-tools-69149-test-kit-with-multimeter-non-contact-volt-tester-outlet-tester", "https://edmondsonsupply.com/products/klein-tools-69149-test-kit-with-multimeter-non-contact-volt-tester-outlet-tester")</f>
        <v>https://edmondsonsupply.com/products/klein-tools-69149-test-kit-with-multimeter-non-contact-volt-tester-outlet-tester</v>
      </c>
      <c r="C6866" t="s">
        <v>6995</v>
      </c>
      <c r="D6866" t="s">
        <v>4791</v>
      </c>
      <c r="E6866" s="3" t="str">
        <f>HYPERLINK("https://www.amazon.com/Klein-Tools-NCVT1PKIT-Electrical-Non-Contact/dp/B0BS5SCNJ1/ref=sr_1_7?keywords=Klein+Tools+69149P+Test+Kit+with+Multimeter%2C+Non-Contact+Volt+Tester%2C+Receptacle+Tester&amp;qid=1695174288&amp;sr=8-7", "https://www.amazon.com/Klein-Tools-NCVT1PKIT-Electrical-Non-Contact/dp/B0BS5SCNJ1/ref=sr_1_7?keywords=Klein+Tools+69149P+Test+Kit+with+Multimeter%2C+Non-Contact+Volt+Tester%2C+Receptacle+Tester&amp;qid=1695174288&amp;sr=8-7")</f>
        <v>https://www.amazon.com/Klein-Tools-NCVT1PKIT-Electrical-Non-Contact/dp/B0BS5SCNJ1/ref=sr_1_7?keywords=Klein+Tools+69149P+Test+Kit+with+Multimeter%2C+Non-Contact+Volt+Tester%2C+Receptacle+Tester&amp;qid=1695174288&amp;sr=8-7</v>
      </c>
      <c r="F6866" t="s">
        <v>4792</v>
      </c>
      <c r="G6866" t="e">
        <f ca="1">_xludf.IMAGE("https://edmondsonsupply.com/cdn/shop/products/69149p.jpg?v=1664479017")</f>
        <v>#NAME?</v>
      </c>
      <c r="H6866" t="e">
        <f ca="1">_xludf.IMAGE("https://m.media-amazon.com/images/I/51CD2DGal7L._AC_UL320_.jpg")</f>
        <v>#NAME?</v>
      </c>
      <c r="I6866" t="s">
        <v>246</v>
      </c>
      <c r="J6866">
        <v>24.97</v>
      </c>
      <c r="K6866" s="4">
        <v>-0.37530000000000002</v>
      </c>
      <c r="L6866">
        <v>4.5</v>
      </c>
      <c r="M6866">
        <v>33</v>
      </c>
      <c r="O6866" t="s">
        <v>25</v>
      </c>
      <c r="P6866" t="s">
        <v>6996</v>
      </c>
      <c r="Q6866" t="s">
        <v>6997</v>
      </c>
    </row>
    <row r="6867" spans="1:17" ht="15.5" x14ac:dyDescent="0.35">
      <c r="A6867" s="3" t="str">
        <f>HYPERLINK("https://edmondsonsupply.com/collections/electricians-tools/products/klein-tools-rt250kit-premium-dual-range-ncvt-and-gfci-receptacle-tester-electrical-test-kit", "https://edmondsonsupply.com/collections/electricians-tools/products/klein-tools-rt250kit-premium-dual-range-ncvt-and-gfci-receptacle-tester-electrical-test-kit")</f>
        <v>https://edmondsonsupply.com/collections/electricians-tools/products/klein-tools-rt250kit-premium-dual-range-ncvt-and-gfci-receptacle-tester-electrical-test-kit</v>
      </c>
      <c r="B6867" s="3" t="str">
        <f>HYPERLINK("https://edmondsonsupply.com/products/klein-tools-rt250kit-premium-dual-range-ncvt-and-gfci-receptacle-tester-electrical-test-kit", "https://edmondsonsupply.com/products/klein-tools-rt250kit-premium-dual-range-ncvt-and-gfci-receptacle-tester-electrical-test-kit")</f>
        <v>https://edmondsonsupply.com/products/klein-tools-rt250kit-premium-dual-range-ncvt-and-gfci-receptacle-tester-electrical-test-kit</v>
      </c>
      <c r="C6867" t="s">
        <v>7592</v>
      </c>
      <c r="D6867" t="s">
        <v>4791</v>
      </c>
      <c r="E6867" s="3" t="str">
        <f>HYPERLINK("https://www.amazon.com/Klein-Tools-NCVT1PKIT-Electrical-Non-Contact/dp/B0BS5SCNJ1/ref=sr_1_3?keywords=Klein+Tools+RT250KIT+Premium+Dual-Range+NCVT+and+GFCI+Receptacle+Tester+Electrical+Test+Kit&amp;qid=1695174169&amp;sr=8-3", "https://www.amazon.com/Klein-Tools-NCVT1PKIT-Electrical-Non-Contact/dp/B0BS5SCNJ1/ref=sr_1_3?keywords=Klein+Tools+RT250KIT+Premium+Dual-Range+NCVT+and+GFCI+Receptacle+Tester+Electrical+Test+Kit&amp;qid=1695174169&amp;sr=8-3")</f>
        <v>https://www.amazon.com/Klein-Tools-NCVT1PKIT-Electrical-Non-Contact/dp/B0BS5SCNJ1/ref=sr_1_3?keywords=Klein+Tools+RT250KIT+Premium+Dual-Range+NCVT+and+GFCI+Receptacle+Tester+Electrical+Test+Kit&amp;qid=1695174169&amp;sr=8-3</v>
      </c>
      <c r="F6867" t="s">
        <v>4792</v>
      </c>
      <c r="G6867" t="e">
        <f ca="1">_xludf.IMAGE("https://edmondsonsupply.com/cdn/shop/products/rt250kit.jpg?v=1660755074")</f>
        <v>#NAME?</v>
      </c>
      <c r="H6867" t="e">
        <f ca="1">_xludf.IMAGE("https://m.media-amazon.com/images/I/51CD2DGal7L._AC_UL320_.jpg")</f>
        <v>#NAME?</v>
      </c>
      <c r="I6867" t="s">
        <v>198</v>
      </c>
      <c r="J6867">
        <v>24.97</v>
      </c>
      <c r="K6867" s="4">
        <v>-0.37559999999999999</v>
      </c>
      <c r="L6867">
        <v>4.5</v>
      </c>
      <c r="M6867">
        <v>33</v>
      </c>
      <c r="O6867" t="s">
        <v>25</v>
      </c>
      <c r="P6867" t="s">
        <v>4236</v>
      </c>
      <c r="Q6867" t="s">
        <v>7593</v>
      </c>
    </row>
    <row r="6868" spans="1:17" ht="15.5" x14ac:dyDescent="0.35">
      <c r="A6868"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6868"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6868" t="s">
        <v>2568</v>
      </c>
      <c r="D6868" t="s">
        <v>5488</v>
      </c>
      <c r="E6868" s="3" t="str">
        <f>HYPERLINK("https://www.amazon.com/Wiha-32085-Insulated-Slotted-Phillips/dp/B00SZ66CSA/ref=sr_1_4?keywords=Wiha+Tools+32088+8+Piece+Insulated+PicoFinish+Precision+Screwdriver+Set&amp;qid=1695173981&amp;sr=8-4", "https://www.amazon.com/Wiha-32085-Insulated-Slotted-Phillips/dp/B00SZ66CSA/ref=sr_1_4?keywords=Wiha+Tools+32088+8+Piece+Insulated+PicoFinish+Precision+Screwdriver+Set&amp;qid=1695173981&amp;sr=8-4")</f>
        <v>https://www.amazon.com/Wiha-32085-Insulated-Slotted-Phillips/dp/B00SZ66CSA/ref=sr_1_4?keywords=Wiha+Tools+32088+8+Piece+Insulated+PicoFinish+Precision+Screwdriver+Set&amp;qid=1695173981&amp;sr=8-4</v>
      </c>
      <c r="F6868" t="s">
        <v>5489</v>
      </c>
      <c r="G6868" t="e">
        <f ca="1">_xludf.IMAGE("https://edmondsonsupply.com/cdn/shop/files/ah1u5hviqxts6itxix4k_1000x_5285634c-51ad-48c4-987e-f1113aaa9ab9.webp?v=1690905519")</f>
        <v>#NAME?</v>
      </c>
      <c r="H6868" t="e">
        <f ca="1">_xludf.IMAGE("https://m.media-amazon.com/images/I/61DcHWJt+2L._AC_UL320_.jpg")</f>
        <v>#NAME?</v>
      </c>
      <c r="I6868" t="s">
        <v>2571</v>
      </c>
      <c r="J6868">
        <v>40.29</v>
      </c>
      <c r="K6868" s="4">
        <v>-0.37580000000000002</v>
      </c>
      <c r="L6868">
        <v>4.7</v>
      </c>
      <c r="M6868">
        <v>863</v>
      </c>
      <c r="O6868" t="s">
        <v>25</v>
      </c>
      <c r="P6868" t="s">
        <v>2572</v>
      </c>
      <c r="Q6868" t="s">
        <v>2573</v>
      </c>
    </row>
    <row r="6869" spans="1:17" ht="15.5" x14ac:dyDescent="0.35">
      <c r="A6869" s="3" t="str">
        <f>HYPERLINK("https://edmondsonsupply.com/collections/electricians-tools/products/klein-tools-66060-2-in-1-impact-socket-set-6-point-6-piece", "https://edmondsonsupply.com/collections/electricians-tools/products/klein-tools-66060-2-in-1-impact-socket-set-6-point-6-piece")</f>
        <v>https://edmondsonsupply.com/collections/electricians-tools/products/klein-tools-66060-2-in-1-impact-socket-set-6-point-6-piece</v>
      </c>
      <c r="B6869" s="3" t="str">
        <f>HYPERLINK("https://edmondsonsupply.com/products/klein-tools-66060-2-in-1-impact-socket-set-6-point-6-piece", "https://edmondsonsupply.com/products/klein-tools-66060-2-in-1-impact-socket-set-6-point-6-piece")</f>
        <v>https://edmondsonsupply.com/products/klein-tools-66060-2-in-1-impact-socket-set-6-point-6-piece</v>
      </c>
      <c r="C6869" t="s">
        <v>8124</v>
      </c>
      <c r="D6869" t="s">
        <v>7974</v>
      </c>
      <c r="E6869" s="3" t="str">
        <f>HYPERLINK("https://www.amazon.com/Klein-Tools-5-Piece-6-Point-Sockets/dp/B08363H71P/ref=sr_1_3?keywords=Klein+Tools+66060+2-in-1+Impact+Socket+Set%2C+6-Point%2C+6-Piece&amp;qid=1695174139&amp;sr=8-3", "https://www.amazon.com/Klein-Tools-5-Piece-6-Point-Sockets/dp/B08363H71P/ref=sr_1_3?keywords=Klein+Tools+66060+2-in-1+Impact+Socket+Set%2C+6-Point%2C+6-Piece&amp;qid=1695174139&amp;sr=8-3")</f>
        <v>https://www.amazon.com/Klein-Tools-5-Piece-6-Point-Sockets/dp/B08363H71P/ref=sr_1_3?keywords=Klein+Tools+66060+2-in-1+Impact+Socket+Set%2C+6-Point%2C+6-Piece&amp;qid=1695174139&amp;sr=8-3</v>
      </c>
      <c r="F6869" t="s">
        <v>7975</v>
      </c>
      <c r="G6869" t="e">
        <f ca="1">_xludf.IMAGE("https://edmondsonsupply.com/cdn/shop/products/66060.jpg?v=1665592747")</f>
        <v>#NAME?</v>
      </c>
      <c r="H6869" t="e">
        <f ca="1">_xludf.IMAGE("https://m.media-amazon.com/images/I/618QcMhYqSL._AC_UL320_.jpg")</f>
        <v>#NAME?</v>
      </c>
      <c r="I6869" t="s">
        <v>400</v>
      </c>
      <c r="J6869">
        <v>124.79</v>
      </c>
      <c r="K6869" s="4">
        <v>-0.376</v>
      </c>
      <c r="L6869">
        <v>4.8</v>
      </c>
      <c r="M6869">
        <v>1158</v>
      </c>
      <c r="O6869" t="s">
        <v>25</v>
      </c>
      <c r="P6869" t="s">
        <v>8125</v>
      </c>
      <c r="Q6869" t="s">
        <v>8126</v>
      </c>
    </row>
    <row r="6870" spans="1:17" ht="15.5" x14ac:dyDescent="0.35">
      <c r="A6870" s="3" t="str">
        <f>HYPERLINK("https://edmondsonsupply.com/collections/electricians-tools/products/diablo-tools-dou125cgp3-1-1-4-in-universal-fit-carbide-oscillating-blades-for-general-purpose-cuts-3-pack", "https://edmondsonsupply.com/collections/electricians-tools/products/diablo-tools-dou125cgp3-1-1-4-in-universal-fit-carbide-oscillating-blades-for-general-purpose-cuts-3-pack")</f>
        <v>https://edmondsonsupply.com/collections/electricians-tools/products/diablo-tools-dou125cgp3-1-1-4-in-universal-fit-carbide-oscillating-blades-for-general-purpose-cuts-3-pack</v>
      </c>
      <c r="B6870" s="3" t="str">
        <f>HYPERLINK("https://edmondsonsupply.com/products/diablo-tools-dou125cgp3-1-1-4-in-universal-fit-carbide-oscillating-blades-for-general-purpose-cuts-3-pack", "https://edmondsonsupply.com/products/diablo-tools-dou125cgp3-1-1-4-in-universal-fit-carbide-oscillating-blades-for-general-purpose-cuts-3-pack")</f>
        <v>https://edmondsonsupply.com/products/diablo-tools-dou125cgp3-1-1-4-in-universal-fit-carbide-oscillating-blades-for-general-purpose-cuts-3-pack</v>
      </c>
      <c r="C6870" t="s">
        <v>5957</v>
      </c>
      <c r="D6870" t="s">
        <v>5887</v>
      </c>
      <c r="E6870" s="3" t="str">
        <f>HYPERLINK("https://www.amazon.com/Diablo-Freud-DOU125CGP3-Universal-Oscillating/dp/B089KW6C8Q/ref=sr_1_3?keywords=Diablo+Tools+DOU125CGP3+1-1%2F4+in.+Universal+Fit+Carbide+Oscillating+Blades+for+General+Purpose+Cuts+%283+Pack%29&amp;qid=1695174046&amp;sr=8-3", "https://www.amazon.com/Diablo-Freud-DOU125CGP3-Universal-Oscillating/dp/B089KW6C8Q/ref=sr_1_3?keywords=Diablo+Tools+DOU125CGP3+1-1%2F4+in.+Universal+Fit+Carbide+Oscillating+Blades+for+General+Purpose+Cuts+%283+Pack%29&amp;qid=1695174046&amp;sr=8-3")</f>
        <v>https://www.amazon.com/Diablo-Freud-DOU125CGP3-Universal-Oscillating/dp/B089KW6C8Q/ref=sr_1_3?keywords=Diablo+Tools+DOU125CGP3+1-1%2F4+in.+Universal+Fit+Carbide+Oscillating+Blades+for+General+Purpose+Cuts+%283+Pack%29&amp;qid=1695174046&amp;sr=8-3</v>
      </c>
      <c r="F6870" t="s">
        <v>5888</v>
      </c>
      <c r="G6870" t="e">
        <f ca="1">_xludf.IMAGE("https://edmondsonsupply.com/cdn/shop/files/htobgrjt150mygkkk6to_1.webp?v=1686147205")</f>
        <v>#NAME?</v>
      </c>
      <c r="H6870" t="e">
        <f ca="1">_xludf.IMAGE("https://m.media-amazon.com/images/I/71lNEMXVnHL._AC_UL320_.jpg")</f>
        <v>#NAME?</v>
      </c>
      <c r="I6870" t="s">
        <v>4108</v>
      </c>
      <c r="J6870">
        <v>27.99</v>
      </c>
      <c r="K6870" s="4">
        <v>-0.37759999999999999</v>
      </c>
      <c r="L6870">
        <v>4.5</v>
      </c>
      <c r="M6870">
        <v>139</v>
      </c>
      <c r="O6870" t="s">
        <v>25</v>
      </c>
      <c r="P6870" t="s">
        <v>5958</v>
      </c>
      <c r="Q6870" t="s">
        <v>5959</v>
      </c>
    </row>
    <row r="6871" spans="1:17" ht="15.5" x14ac:dyDescent="0.35">
      <c r="A6871" s="3" t="str">
        <f>HYPERLINK("https://edmondsonsupply.com/collections/electricians-tools/products/wiha-tools-32088-8-piece-insulated-picofinish-precision-screwdriver-set", "https://edmondsonsupply.com/collections/electricians-tools/products/wiha-tools-32088-8-piece-insulated-picofinish-precision-screwdriver-set")</f>
        <v>https://edmondsonsupply.com/collections/electricians-tools/products/wiha-tools-32088-8-piece-insulated-picofinish-precision-screwdriver-set</v>
      </c>
      <c r="B6871" s="3" t="str">
        <f>HYPERLINK("https://edmondsonsupply.com/products/wiha-tools-32088-8-piece-insulated-picofinish-precision-screwdriver-set", "https://edmondsonsupply.com/products/wiha-tools-32088-8-piece-insulated-picofinish-precision-screwdriver-set")</f>
        <v>https://edmondsonsupply.com/products/wiha-tools-32088-8-piece-insulated-picofinish-precision-screwdriver-set</v>
      </c>
      <c r="C6871" t="s">
        <v>2568</v>
      </c>
      <c r="D6871" t="s">
        <v>5492</v>
      </c>
      <c r="E6871" s="3" t="str">
        <f>HYPERLINK("https://www.amazon.com/Wiha-26187-PicoFinish-Precision-Screwdriver/dp/B084DZ71RX/ref=sr_1_5?keywords=Wiha+Tools+32088+8+Piece+Insulated+PicoFinish+Precision+Screwdriver+Set&amp;qid=1695173981&amp;sr=8-5", "https://www.amazon.com/Wiha-26187-PicoFinish-Precision-Screwdriver/dp/B084DZ71RX/ref=sr_1_5?keywords=Wiha+Tools+32088+8+Piece+Insulated+PicoFinish+Precision+Screwdriver+Set&amp;qid=1695173981&amp;sr=8-5")</f>
        <v>https://www.amazon.com/Wiha-26187-PicoFinish-Precision-Screwdriver/dp/B084DZ71RX/ref=sr_1_5?keywords=Wiha+Tools+32088+8+Piece+Insulated+PicoFinish+Precision+Screwdriver+Set&amp;qid=1695173981&amp;sr=8-5</v>
      </c>
      <c r="F6871" t="s">
        <v>5493</v>
      </c>
      <c r="G6871" t="e">
        <f ca="1">_xludf.IMAGE("https://edmondsonsupply.com/cdn/shop/files/ah1u5hviqxts6itxix4k_1000x_5285634c-51ad-48c4-987e-f1113aaa9ab9.webp?v=1690905519")</f>
        <v>#NAME?</v>
      </c>
      <c r="H6871" t="e">
        <f ca="1">_xludf.IMAGE("https://m.media-amazon.com/images/I/71RtGHOFZ3L._AC_UL320_.jpg")</f>
        <v>#NAME?</v>
      </c>
      <c r="I6871" t="s">
        <v>2571</v>
      </c>
      <c r="J6871">
        <v>40.130000000000003</v>
      </c>
      <c r="K6871" s="4">
        <v>-0.37830000000000003</v>
      </c>
      <c r="L6871">
        <v>4.5999999999999996</v>
      </c>
      <c r="M6871">
        <v>40</v>
      </c>
      <c r="O6871" t="s">
        <v>25</v>
      </c>
      <c r="P6871" t="s">
        <v>2572</v>
      </c>
      <c r="Q6871" t="s">
        <v>2573</v>
      </c>
    </row>
    <row r="6872" spans="1:17" ht="15.5" x14ac:dyDescent="0.35">
      <c r="A6872" s="3" t="str">
        <f>HYPERLINK("https://edmondsonsupply.com/collections/electricians-tools/products/fluke-393-solar-clamp-meter-cat-iii-1500-v", "https://edmondsonsupply.com/collections/electricians-tools/products/fluke-393-solar-clamp-meter-cat-iii-1500-v")</f>
        <v>https://edmondsonsupply.com/collections/electricians-tools/products/fluke-393-solar-clamp-meter-cat-iii-1500-v</v>
      </c>
      <c r="B6872" s="3" t="str">
        <f>HYPERLINK("https://edmondsonsupply.com/products/fluke-393-solar-clamp-meter-cat-iii-1500-v", "https://edmondsonsupply.com/products/fluke-393-solar-clamp-meter-cat-iii-1500-v")</f>
        <v>https://edmondsonsupply.com/products/fluke-393-solar-clamp-meter-cat-iii-1500-v</v>
      </c>
      <c r="C6872" t="s">
        <v>6951</v>
      </c>
      <c r="D6872" t="s">
        <v>5848</v>
      </c>
      <c r="E6872" s="3" t="str">
        <f>HYPERLINK("https://www.amazon.com/Fluke-True-RMS-Measures-Batteries-Carrying/dp/B017OVC1U4/ref=sr_1_8?keywords=Fluke+393+FC+Solar+Clamp+Meter+CAT+III+1500+V&amp;qid=1695174164&amp;sr=8-8", "https://www.amazon.com/Fluke-True-RMS-Measures-Batteries-Carrying/dp/B017OVC1U4/ref=sr_1_8?keywords=Fluke+393+FC+Solar+Clamp+Meter+CAT+III+1500+V&amp;qid=1695174164&amp;sr=8-8")</f>
        <v>https://www.amazon.com/Fluke-True-RMS-Measures-Batteries-Carrying/dp/B017OVC1U4/ref=sr_1_8?keywords=Fluke+393+FC+Solar+Clamp+Meter+CAT+III+1500+V&amp;qid=1695174164&amp;sr=8-8</v>
      </c>
      <c r="F6872" t="s">
        <v>5849</v>
      </c>
      <c r="G6872" t="e">
        <f ca="1">_xludf.IMAGE("https://edmondsonsupply.com/cdn/shop/products/F-393fc_01a_w.webp?v=1662652371")</f>
        <v>#NAME?</v>
      </c>
      <c r="H6872" t="e">
        <f ca="1">_xludf.IMAGE("https://m.media-amazon.com/images/I/71-9RICQeuL._AC_UY218_.jpg")</f>
        <v>#NAME?</v>
      </c>
      <c r="I6872" t="s">
        <v>6954</v>
      </c>
      <c r="J6872">
        <v>420</v>
      </c>
      <c r="K6872" s="4">
        <v>-0.37940000000000002</v>
      </c>
      <c r="L6872">
        <v>4.8</v>
      </c>
      <c r="M6872">
        <v>283</v>
      </c>
      <c r="O6872" t="s">
        <v>25</v>
      </c>
      <c r="P6872" t="s">
        <v>6955</v>
      </c>
      <c r="Q6872" t="s">
        <v>6956</v>
      </c>
    </row>
    <row r="6873" spans="1:17" ht="15.5" x14ac:dyDescent="0.35">
      <c r="A6873"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6873" s="3" t="str">
        <f>HYPERLINK("https://edmondsonsupply.com/products/veto-pro-pac-tech-pac-backpack-tool-bag-1", "https://edmondsonsupply.com/products/veto-pro-pac-tech-pac-backpack-tool-bag-1")</f>
        <v>https://edmondsonsupply.com/products/veto-pro-pac-tech-pac-backpack-tool-bag-1</v>
      </c>
      <c r="C6873" t="s">
        <v>8235</v>
      </c>
      <c r="D6873" t="s">
        <v>509</v>
      </c>
      <c r="E6873" s="3" t="str">
        <f>HYPERLINK("https://www.amazon.com/Veto-TECH-OT-SC-Sub-Compact-Electrician/dp/B09ZC63KFK/ref=sr_1_6?keywords=Veto+Pro+Pac+TECH+PAC+LT+Laptop+Backpack+Tool+Bag&amp;qid=1695174263&amp;sr=8-6", "https://www.amazon.com/Veto-TECH-OT-SC-Sub-Compact-Electrician/dp/B09ZC63KFK/ref=sr_1_6?keywords=Veto+Pro+Pac+TECH+PAC+LT+Laptop+Backpack+Tool+Bag&amp;qid=1695174263&amp;sr=8-6")</f>
        <v>https://www.amazon.com/Veto-TECH-OT-SC-Sub-Compact-Electrician/dp/B09ZC63KFK/ref=sr_1_6?keywords=Veto+Pro+Pac+TECH+PAC+LT+Laptop+Backpack+Tool+Bag&amp;qid=1695174263&amp;sr=8-6</v>
      </c>
      <c r="F6873" t="s">
        <v>510</v>
      </c>
      <c r="G6873" t="e">
        <f ca="1">_xludf.IMAGE("https://edmondsonsupply.com/cdn/shop/products/LT_1.jpg?v=1587146035")</f>
        <v>#NAME?</v>
      </c>
      <c r="H6873" t="e">
        <f ca="1">_xludf.IMAGE("https://m.media-amazon.com/images/I/51LTwfYG5eL._AC_UL320_.jpg")</f>
        <v>#NAME?</v>
      </c>
      <c r="I6873" t="s">
        <v>8236</v>
      </c>
      <c r="J6873">
        <v>179.95</v>
      </c>
      <c r="K6873" s="4">
        <v>-0.3795</v>
      </c>
      <c r="L6873">
        <v>4.7</v>
      </c>
      <c r="M6873">
        <v>21</v>
      </c>
      <c r="O6873" t="s">
        <v>25</v>
      </c>
      <c r="P6873" t="s">
        <v>138</v>
      </c>
      <c r="Q6873" t="s">
        <v>8237</v>
      </c>
    </row>
    <row r="6874" spans="1:17" ht="15.5" x14ac:dyDescent="0.35">
      <c r="A6874" s="3" t="str">
        <f>HYPERLINK("https://edmondsonsupply.com/collections/electricians-tools/products/klein-tools-203-6-eins-long-nose-side-cutter-pliers-6-inch-slim-insulated", "https://edmondsonsupply.com/collections/electricians-tools/products/klein-tools-203-6-eins-long-nose-side-cutter-pliers-6-inch-slim-insulated")</f>
        <v>https://edmondsonsupply.com/collections/electricians-tools/products/klein-tools-203-6-eins-long-nose-side-cutter-pliers-6-inch-slim-insulated</v>
      </c>
      <c r="B6874" s="3" t="str">
        <f>HYPERLINK("https://edmondsonsupply.com/products/klein-tools-203-6-eins-long-nose-side-cutter-pliers-6-inch-slim-insulated", "https://edmondsonsupply.com/products/klein-tools-203-6-eins-long-nose-side-cutter-pliers-6-inch-slim-insulated")</f>
        <v>https://edmondsonsupply.com/products/klein-tools-203-6-eins-long-nose-side-cutter-pliers-6-inch-slim-insulated</v>
      </c>
      <c r="C6874" t="s">
        <v>6304</v>
      </c>
      <c r="D6874" t="s">
        <v>8852</v>
      </c>
      <c r="E6874" s="3" t="str">
        <f>HYPERLINK("https://www.amazon.com/Klein-Tools-J203-6-Pliers-Side-Cutters/dp/B000FH289O/ref=sr_1_3?keywords=Klein+Tools+2036EINS+Long+Nose+Side+Cutter+Pliers+6-Inch+Slim+Insulated&amp;qid=1695174256&amp;sr=8-3", "https://www.amazon.com/Klein-Tools-J203-6-Pliers-Side-Cutters/dp/B000FH289O/ref=sr_1_3?keywords=Klein+Tools+2036EINS+Long+Nose+Side+Cutter+Pliers+6-Inch+Slim+Insulated&amp;qid=1695174256&amp;sr=8-3")</f>
        <v>https://www.amazon.com/Klein-Tools-J203-6-Pliers-Side-Cutters/dp/B000FH289O/ref=sr_1_3?keywords=Klein+Tools+2036EINS+Long+Nose+Side+Cutter+Pliers+6-Inch+Slim+Insulated&amp;qid=1695174256&amp;sr=8-3</v>
      </c>
      <c r="F6874" t="s">
        <v>8853</v>
      </c>
      <c r="G6874" t="e">
        <f ca="1">_xludf.IMAGE("https://edmondsonsupply.com/cdn/shop/products/2036eins.jpg?v=1633031077")</f>
        <v>#NAME?</v>
      </c>
      <c r="H6874" t="e">
        <f ca="1">_xludf.IMAGE("https://m.media-amazon.com/images/I/514ud2Pt0TL._AC_UL320_.jpg")</f>
        <v>#NAME?</v>
      </c>
      <c r="I6874" t="s">
        <v>6307</v>
      </c>
      <c r="J6874">
        <v>28.99</v>
      </c>
      <c r="K6874" s="4">
        <v>-0.3831</v>
      </c>
      <c r="L6874">
        <v>4.7</v>
      </c>
      <c r="M6874">
        <v>106</v>
      </c>
      <c r="O6874" t="s">
        <v>25</v>
      </c>
      <c r="P6874" t="s">
        <v>6308</v>
      </c>
      <c r="Q6874" t="s">
        <v>6309</v>
      </c>
    </row>
    <row r="6875" spans="1:17" ht="15.5" x14ac:dyDescent="0.35">
      <c r="A6875"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6875"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6875" t="s">
        <v>7067</v>
      </c>
      <c r="D6875" t="s">
        <v>5970</v>
      </c>
      <c r="E6875" s="3" t="str">
        <f>HYPERLINK("https://www.amazon.com/Diablo-Universal-Bi-Metal-Oscillating-Nail-Embedded/dp/B089LDN2LT/ref=sr_1_2?keywords=Diablo+Tools+DOU250BW+2-1%2F2+in.+Universal+Fit+Bi-Metal+Oscillating+Blade+for+Nail-Embedded+Wood&amp;qid=1695174021&amp;sr=8-2", "https://www.amazon.com/Diablo-Universal-Bi-Metal-Oscillating-Nail-Embedded/dp/B089LDN2LT/ref=sr_1_2?keywords=Diablo+Tools+DOU250BW+2-1%2F2+in.+Universal+Fit+Bi-Metal+Oscillating+Blade+for+Nail-Embedded+Wood&amp;qid=1695174021&amp;sr=8-2")</f>
        <v>https://www.amazon.com/Diablo-Universal-Bi-Metal-Oscillating-Nail-Embedded/dp/B089LDN2LT/ref=sr_1_2?keywords=Diablo+Tools+DOU250BW+2-1%2F2+in.+Universal+Fit+Bi-Metal+Oscillating+Blade+for+Nail-Embedded+Wood&amp;qid=1695174021&amp;sr=8-2</v>
      </c>
      <c r="F6875" t="s">
        <v>5971</v>
      </c>
      <c r="G6875" t="e">
        <f ca="1">_xludf.IMAGE("https://edmondsonsupply.com/cdn/shop/files/xcched1uye7bv2s0ryod.webp?v=1685717397")</f>
        <v>#NAME?</v>
      </c>
      <c r="H6875" t="e">
        <f ca="1">_xludf.IMAGE("https://m.media-amazon.com/images/I/613ig7mNjfL._AC_UL320_.jpg")</f>
        <v>#NAME?</v>
      </c>
      <c r="I6875" t="s">
        <v>893</v>
      </c>
      <c r="J6875">
        <v>12.14</v>
      </c>
      <c r="K6875" s="4">
        <v>-0.3921</v>
      </c>
      <c r="L6875">
        <v>4.8</v>
      </c>
      <c r="M6875">
        <v>12</v>
      </c>
      <c r="O6875" t="s">
        <v>25</v>
      </c>
      <c r="P6875" t="s">
        <v>6936</v>
      </c>
      <c r="Q6875" t="s">
        <v>7068</v>
      </c>
    </row>
    <row r="6876" spans="1:17" ht="15.5" x14ac:dyDescent="0.35">
      <c r="A6876"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6876"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6876" t="s">
        <v>8452</v>
      </c>
      <c r="D6876" t="s">
        <v>7541</v>
      </c>
      <c r="E6876" s="3" t="str">
        <f>HYPERLINK("https://www.amazon.com/Diablo-DOU350RBGP-Universal-Bi-Metal-Oscillating/dp/B089LLG8ZQ/ref=sr_1_5?keywords=Diablo+Tools+DOU275RCGP+2-3%2F4+in.+Universal+Fit+Carbide+Oscillating+Blade+for+General+Purpose+Cuts&amp;qid=1695174011&amp;sr=8-5", "https://www.amazon.com/Diablo-DOU350RBGP-Universal-Bi-Metal-Oscillating/dp/B089LLG8ZQ/ref=sr_1_5?keywords=Diablo+Tools+DOU275RCGP+2-3%2F4+in.+Universal+Fit+Carbide+Oscillating+Blade+for+General+Purpose+Cuts&amp;qid=1695174011&amp;sr=8-5")</f>
        <v>https://www.amazon.com/Diablo-DOU350RBGP-Universal-Bi-Metal-Oscillating/dp/B089LLG8ZQ/ref=sr_1_5?keywords=Diablo+Tools+DOU275RCGP+2-3%2F4+in.+Universal+Fit+Carbide+Oscillating+Blade+for+General+Purpose+Cuts&amp;qid=1695174011&amp;sr=8-5</v>
      </c>
      <c r="F6876" t="s">
        <v>7542</v>
      </c>
      <c r="G6876" t="e">
        <f ca="1">_xludf.IMAGE("https://edmondsonsupply.com/cdn/shop/files/kukkli8nylq54bgtz0o5.webp?v=1685720266")</f>
        <v>#NAME?</v>
      </c>
      <c r="H6876" t="e">
        <f ca="1">_xludf.IMAGE("https://m.media-amazon.com/images/I/71xBW7MA1oL._AC_UL320_.jpg")</f>
        <v>#NAME?</v>
      </c>
      <c r="I6876" t="s">
        <v>824</v>
      </c>
      <c r="J6876">
        <v>18.2</v>
      </c>
      <c r="K6876" s="4">
        <v>-0.39269999999999999</v>
      </c>
      <c r="L6876">
        <v>4.4000000000000004</v>
      </c>
      <c r="M6876">
        <v>8</v>
      </c>
      <c r="O6876" t="s">
        <v>25</v>
      </c>
      <c r="P6876" t="s">
        <v>8453</v>
      </c>
      <c r="Q6876" t="s">
        <v>8454</v>
      </c>
    </row>
    <row r="6877" spans="1:17" ht="15.5" x14ac:dyDescent="0.35">
      <c r="A6877"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877" s="3" t="str">
        <f>HYPERLINK("https://edmondsonsupply.com/products/klein-tools-635-1-4-1-4-inch-nut-driver-magnetic-tip-4-inch-shaft", "https://edmondsonsupply.com/products/klein-tools-635-1-4-1-4-inch-nut-driver-magnetic-tip-4-inch-shaft")</f>
        <v>https://edmondsonsupply.com/products/klein-tools-635-1-4-1-4-inch-nut-driver-magnetic-tip-4-inch-shaft</v>
      </c>
      <c r="C6877" t="s">
        <v>6817</v>
      </c>
      <c r="D6877" t="s">
        <v>5248</v>
      </c>
      <c r="E6877" s="3" t="str">
        <f>HYPERLINK("https://www.amazon.com/Magnetic-Comfordome-Klein-Tools-S8M/dp/B00093GCW8/ref=sr_1_2?keywords=Klein+Tools+635-1%2F4+1%2F4-Inch+Nut+Driver%2C+Magnetic+Tip%2C+4-Inch+Shaft&amp;qid=1695174156&amp;sr=8-2", "https://www.amazon.com/Magnetic-Comfordome-Klein-Tools-S8M/dp/B00093GCW8/ref=sr_1_2?keywords=Klein+Tools+635-1%2F4+1%2F4-Inch+Nut+Driver%2C+Magnetic+Tip%2C+4-Inch+Shaft&amp;qid=1695174156&amp;sr=8-2")</f>
        <v>https://www.amazon.com/Magnetic-Comfordome-Klein-Tools-S8M/dp/B00093GCW8/ref=sr_1_2?keywords=Klein+Tools+635-1%2F4+1%2F4-Inch+Nut+Driver%2C+Magnetic+Tip%2C+4-Inch+Shaft&amp;qid=1695174156&amp;sr=8-2</v>
      </c>
      <c r="F6877" t="s">
        <v>5249</v>
      </c>
      <c r="G6877" t="e">
        <f ca="1">_xludf.IMAGE("https://edmondsonsupply.com/cdn/shop/products/635-1-4.jpg?v=1666811523")</f>
        <v>#NAME?</v>
      </c>
      <c r="H6877" t="e">
        <f ca="1">_xludf.IMAGE("https://m.media-amazon.com/images/I/31hOuSIKl7L._AC_UL320_.jpg")</f>
        <v>#NAME?</v>
      </c>
      <c r="I6877" t="s">
        <v>2337</v>
      </c>
      <c r="J6877">
        <v>7.28</v>
      </c>
      <c r="K6877" s="4">
        <v>-0.39279999999999998</v>
      </c>
      <c r="L6877">
        <v>3.8</v>
      </c>
      <c r="M6877">
        <v>8</v>
      </c>
      <c r="O6877" t="s">
        <v>25</v>
      </c>
      <c r="P6877" t="s">
        <v>1212</v>
      </c>
      <c r="Q6877" t="s">
        <v>6818</v>
      </c>
    </row>
    <row r="6878" spans="1:17" ht="15.5" x14ac:dyDescent="0.35">
      <c r="A6878" s="3" t="str">
        <f>HYPERLINK("https://edmondsonsupply.com/collections/electricians-tools/products/klein-tools-635-1-4-1-4-inch-nut-driver-magnetic-tip-4-inch-shaft", "https://edmondsonsupply.com/collections/electricians-tools/products/klein-tools-635-1-4-1-4-inch-nut-driver-magnetic-tip-4-inch-shaft")</f>
        <v>https://edmondsonsupply.com/collections/electricians-tools/products/klein-tools-635-1-4-1-4-inch-nut-driver-magnetic-tip-4-inch-shaft</v>
      </c>
      <c r="B6878" s="3" t="str">
        <f>HYPERLINK("https://edmondsonsupply.com/products/klein-tools-635-1-4-1-4-inch-nut-driver-magnetic-tip-4-inch-shaft", "https://edmondsonsupply.com/products/klein-tools-635-1-4-1-4-inch-nut-driver-magnetic-tip-4-inch-shaft")</f>
        <v>https://edmondsonsupply.com/products/klein-tools-635-1-4-1-4-inch-nut-driver-magnetic-tip-4-inch-shaft</v>
      </c>
      <c r="C6878" t="s">
        <v>6817</v>
      </c>
      <c r="D6878" t="s">
        <v>5078</v>
      </c>
      <c r="E6878" s="3" t="str">
        <f>HYPERLINK("https://www.amazon.com/Klein-S8-4-Inch-Hollow-Shank-Driver/dp/B0000302VS/ref=sr_1_9?keywords=Klein+Tools+635-1%2F4+1%2F4-Inch+Nut+Driver%2C+Magnetic+Tip%2C+4-Inch+Shaft&amp;qid=1695174156&amp;sr=8-9", "https://www.amazon.com/Klein-S8-4-Inch-Hollow-Shank-Driver/dp/B0000302VS/ref=sr_1_9?keywords=Klein+Tools+635-1%2F4+1%2F4-Inch+Nut+Driver%2C+Magnetic+Tip%2C+4-Inch+Shaft&amp;qid=1695174156&amp;sr=8-9")</f>
        <v>https://www.amazon.com/Klein-S8-4-Inch-Hollow-Shank-Driver/dp/B0000302VS/ref=sr_1_9?keywords=Klein+Tools+635-1%2F4+1%2F4-Inch+Nut+Driver%2C+Magnetic+Tip%2C+4-Inch+Shaft&amp;qid=1695174156&amp;sr=8-9</v>
      </c>
      <c r="F6878" t="s">
        <v>5079</v>
      </c>
      <c r="G6878" t="e">
        <f ca="1">_xludf.IMAGE("https://edmondsonsupply.com/cdn/shop/products/635-1-4.jpg?v=1666811523")</f>
        <v>#NAME?</v>
      </c>
      <c r="H6878" t="e">
        <f ca="1">_xludf.IMAGE("https://m.media-amazon.com/images/I/41LI6wTa36L._AC_UL320_.jpg")</f>
        <v>#NAME?</v>
      </c>
      <c r="I6878" t="s">
        <v>2337</v>
      </c>
      <c r="J6878">
        <v>7.28</v>
      </c>
      <c r="K6878" s="4">
        <v>-0.39279999999999998</v>
      </c>
      <c r="L6878">
        <v>4.5</v>
      </c>
      <c r="M6878">
        <v>225</v>
      </c>
      <c r="O6878" t="s">
        <v>25</v>
      </c>
      <c r="P6878" t="s">
        <v>1212</v>
      </c>
      <c r="Q6878" t="s">
        <v>6818</v>
      </c>
    </row>
    <row r="6879" spans="1:17" ht="15.5" x14ac:dyDescent="0.35">
      <c r="A6879" s="3" t="str">
        <f>HYPERLINK("https://edmondsonsupply.com/collections/electricians-tools/products/channellock-440x-12-inch-speedgrip%E2%84%A2-straight-jaw-tongue-groove-pliers", "https://edmondsonsupply.com/collections/electricians-tools/products/channellock-440x-12-inch-speedgrip%E2%84%A2-straight-jaw-tongue-groove-pliers")</f>
        <v>https://edmondsonsupply.com/collections/electricians-tools/products/channellock-440x-12-inch-speedgrip%E2%84%A2-straight-jaw-tongue-groove-pliers</v>
      </c>
      <c r="B6879" s="3" t="str">
        <f>HYPERLINK("https://edmondsonsupply.com/products/channellock-440x-12-inch-speedgrip%e2%84%a2-straight-jaw-tongue-groove-pliers", "https://edmondsonsupply.com/products/channellock-440x-12-inch-speedgrip%e2%84%a2-straight-jaw-tongue-groove-pliers")</f>
        <v>https://edmondsonsupply.com/products/channellock-440x-12-inch-speedgrip%e2%84%a2-straight-jaw-tongue-groove-pliers</v>
      </c>
      <c r="C6879" t="s">
        <v>7089</v>
      </c>
      <c r="D6879" t="s">
        <v>3909</v>
      </c>
      <c r="E6879" s="3" t="str">
        <f>HYPERLINK("https://www.amazon.com/Channellock-430-Straight-Heat-Treated-Reinforcing/dp/B00002N5JF/ref=sr_1_8?keywords=Channellock+440X+12-Inch+SPEEDGRIP%E2%84%A2+Straight+Jaw+Tongue+%26+Groove+Pliers&amp;qid=1695174216&amp;sr=8-8", "https://www.amazon.com/Channellock-430-Straight-Heat-Treated-Reinforcing/dp/B00002N5JF/ref=sr_1_8?keywords=Channellock+440X+12-Inch+SPEEDGRIP%E2%84%A2+Straight+Jaw+Tongue+%26+Groove+Pliers&amp;qid=1695174216&amp;sr=8-8")</f>
        <v>https://www.amazon.com/Channellock-430-Straight-Heat-Treated-Reinforcing/dp/B00002N5JF/ref=sr_1_8?keywords=Channellock+440X+12-Inch+SPEEDGRIP%E2%84%A2+Straight+Jaw+Tongue+%26+Groove+Pliers&amp;qid=1695174216&amp;sr=8-8</v>
      </c>
      <c r="F6879" t="s">
        <v>3910</v>
      </c>
      <c r="G6879" t="e">
        <f ca="1">_xludf.IMAGE("https://edmondsonsupply.com/cdn/shop/products/440X.jpg?v=1647104734")</f>
        <v>#NAME?</v>
      </c>
      <c r="H6879" t="e">
        <f ca="1">_xludf.IMAGE("https://m.media-amazon.com/images/I/71JqgqffnnL._AC_UL320_.jpg")</f>
        <v>#NAME?</v>
      </c>
      <c r="I6879" t="s">
        <v>122</v>
      </c>
      <c r="J6879">
        <v>19.95</v>
      </c>
      <c r="K6879" s="4">
        <v>-0.39450000000000002</v>
      </c>
      <c r="L6879">
        <v>4.8</v>
      </c>
      <c r="M6879">
        <v>2191</v>
      </c>
      <c r="O6879" t="s">
        <v>25</v>
      </c>
      <c r="P6879" t="s">
        <v>7092</v>
      </c>
      <c r="Q6879" t="s">
        <v>7093</v>
      </c>
    </row>
    <row r="6880" spans="1:17" ht="15.5" x14ac:dyDescent="0.35">
      <c r="A6880" s="3" t="str">
        <f>HYPERLINK("https://edmondsonsupply.com/collections/electricians-tools/products/diablo-tools-d0760x-7-1-4-in-x-60-tooth-ultra-finish-saw-blade", "https://edmondsonsupply.com/collections/electricians-tools/products/diablo-tools-d0760x-7-1-4-in-x-60-tooth-ultra-finish-saw-blade")</f>
        <v>https://edmondsonsupply.com/collections/electricians-tools/products/diablo-tools-d0760x-7-1-4-in-x-60-tooth-ultra-finish-saw-blade</v>
      </c>
      <c r="B6880" s="3" t="str">
        <f>HYPERLINK("https://edmondsonsupply.com/products/diablo-tools-d0760x-7-1-4-in-x-60-tooth-ultra-finish-saw-blade", "https://edmondsonsupply.com/products/diablo-tools-d0760x-7-1-4-in-x-60-tooth-ultra-finish-saw-blade")</f>
        <v>https://edmondsonsupply.com/products/diablo-tools-d0760x-7-1-4-in-x-60-tooth-ultra-finish-saw-blade</v>
      </c>
      <c r="C6880" t="s">
        <v>6011</v>
      </c>
      <c r="D6880" t="s">
        <v>8996</v>
      </c>
      <c r="E6880" s="3" t="str">
        <f>HYPERLINK("https://www.amazon.com/TOMAX-4-Inch-Tooth-Finish-8-Inch/dp/B01LYZTVS3/ref=sr_1_6?keywords=Diablo+Tools+D0760X+7-1%2F4+in.+x+60+Tooth+Ultra+Finish+Saw+Blade&amp;qid=1695174054&amp;sr=8-6", "https://www.amazon.com/TOMAX-4-Inch-Tooth-Finish-8-Inch/dp/B01LYZTVS3/ref=sr_1_6?keywords=Diablo+Tools+D0760X+7-1%2F4+in.+x+60+Tooth+Ultra+Finish+Saw+Blade&amp;qid=1695174054&amp;sr=8-6")</f>
        <v>https://www.amazon.com/TOMAX-4-Inch-Tooth-Finish-8-Inch/dp/B01LYZTVS3/ref=sr_1_6?keywords=Diablo+Tools+D0760X+7-1%2F4+in.+x+60+Tooth+Ultra+Finish+Saw+Blade&amp;qid=1695174054&amp;sr=8-6</v>
      </c>
      <c r="F6880" t="s">
        <v>8997</v>
      </c>
      <c r="G6880" t="e">
        <f ca="1">_xludf.IMAGE("https://edmondsonsupply.com/cdn/shop/products/vlfiqrihhfwf5bxirasx.webp?v=1678977162")</f>
        <v>#NAME?</v>
      </c>
      <c r="H6880" t="e">
        <f ca="1">_xludf.IMAGE("https://m.media-amazon.com/images/I/81ltKmsGtYL._AC_UL320_.jpg")</f>
        <v>#NAME?</v>
      </c>
      <c r="I6880" t="s">
        <v>893</v>
      </c>
      <c r="J6880">
        <v>11.99</v>
      </c>
      <c r="K6880" s="4">
        <v>-0.39960000000000001</v>
      </c>
      <c r="L6880">
        <v>4.5999999999999996</v>
      </c>
      <c r="M6880">
        <v>1497</v>
      </c>
      <c r="O6880" t="s">
        <v>25</v>
      </c>
      <c r="P6880" t="s">
        <v>6014</v>
      </c>
      <c r="Q6880" t="s">
        <v>6015</v>
      </c>
    </row>
    <row r="6881" spans="1:17" ht="15.5" x14ac:dyDescent="0.35">
      <c r="A6881" s="3" t="str">
        <f>HYPERLINK("https://edmondsonsupply.com/collections/electricians-tools/products/crescent-wiss-m1p-9-3-4-compound-action-straight-and-left-aviation-snips", "https://edmondsonsupply.com/collections/electricians-tools/products/crescent-wiss-m1p-9-3-4-compound-action-straight-and-left-aviation-snips")</f>
        <v>https://edmondsonsupply.com/collections/electricians-tools/products/crescent-wiss-m1p-9-3-4-compound-action-straight-and-left-aviation-snips</v>
      </c>
      <c r="B6881" s="3" t="str">
        <f>HYPERLINK("https://edmondsonsupply.com/products/crescent-wiss-m1p-9-3-4-compound-action-straight-and-left-aviation-snips", "https://edmondsonsupply.com/products/crescent-wiss-m1p-9-3-4-compound-action-straight-and-left-aviation-snips")</f>
        <v>https://edmondsonsupply.com/products/crescent-wiss-m1p-9-3-4-compound-action-straight-and-left-aviation-snips</v>
      </c>
      <c r="C6881" t="s">
        <v>7118</v>
      </c>
      <c r="D6881" t="s">
        <v>8998</v>
      </c>
      <c r="E6881" s="3" t="str">
        <f>HYPERLINK("https://www.amazon.com/Wiss-M2R-Compound-Action-Straight/dp/B00002N5KP/ref=sr_1_5?keywords=Crescent+Wiss+M1P+9-3%2F4%22+Compound+Action+Straight+and+Left+Aviation+Snips&amp;qid=1695174043&amp;sr=8-5", "https://www.amazon.com/Wiss-M2R-Compound-Action-Straight/dp/B00002N5KP/ref=sr_1_5?keywords=Crescent+Wiss+M1P+9-3%2F4%22+Compound+Action+Straight+and+Left+Aviation+Snips&amp;qid=1695174043&amp;sr=8-5")</f>
        <v>https://www.amazon.com/Wiss-M2R-Compound-Action-Straight/dp/B00002N5KP/ref=sr_1_5?keywords=Crescent+Wiss+M1P+9-3%2F4%22+Compound+Action+Straight+and+Left+Aviation+Snips&amp;qid=1695174043&amp;sr=8-5</v>
      </c>
      <c r="F6881" t="s">
        <v>8999</v>
      </c>
      <c r="G6881" t="e">
        <f ca="1">_xludf.IMAGE("https://edmondsonsupply.com/cdn/shop/products/WIS_M1P_IMG_ANG_01.jpg?v=1679672536")</f>
        <v>#NAME?</v>
      </c>
      <c r="H6881" t="e">
        <f ca="1">_xludf.IMAGE("https://m.media-amazon.com/images/I/71ObA+hcEeL._AC_UL320_.jpg")</f>
        <v>#NAME?</v>
      </c>
      <c r="I6881" t="s">
        <v>577</v>
      </c>
      <c r="J6881">
        <v>12</v>
      </c>
      <c r="K6881" s="4">
        <v>-0.3997</v>
      </c>
      <c r="L6881">
        <v>4.5999999999999996</v>
      </c>
      <c r="M6881">
        <v>723</v>
      </c>
      <c r="O6881" t="s">
        <v>25</v>
      </c>
      <c r="P6881" t="s">
        <v>6924</v>
      </c>
      <c r="Q6881" t="s">
        <v>7119</v>
      </c>
    </row>
    <row r="6882" spans="1:17" ht="15.5" x14ac:dyDescent="0.35">
      <c r="A6882" s="3" t="str">
        <f>HYPERLINK("https://edmondsonsupply.com/collections/electricians-tools/products/crescent-wiss-m1p-9-3-4-compound-action-straight-and-left-aviation-snips", "https://edmondsonsupply.com/collections/electricians-tools/products/crescent-wiss-m1p-9-3-4-compound-action-straight-and-left-aviation-snips")</f>
        <v>https://edmondsonsupply.com/collections/electricians-tools/products/crescent-wiss-m1p-9-3-4-compound-action-straight-and-left-aviation-snips</v>
      </c>
      <c r="B6882" s="3" t="str">
        <f>HYPERLINK("https://edmondsonsupply.com/products/crescent-wiss-m1p-9-3-4-compound-action-straight-and-left-aviation-snips", "https://edmondsonsupply.com/products/crescent-wiss-m1p-9-3-4-compound-action-straight-and-left-aviation-snips")</f>
        <v>https://edmondsonsupply.com/products/crescent-wiss-m1p-9-3-4-compound-action-straight-and-left-aviation-snips</v>
      </c>
      <c r="C6882" t="s">
        <v>7118</v>
      </c>
      <c r="D6882" t="s">
        <v>9000</v>
      </c>
      <c r="E6882" s="3" t="str">
        <f>HYPERLINK("https://www.amazon.com/Wiss-M1R-MetalMaster-Capacity-Straight/dp/B00002N5KO/ref=sr_1_1?keywords=Crescent+Wiss+M1P+9-3%2F4%22+Compound+Action+Straight+and+Left+Aviation+Snips&amp;qid=1695174043&amp;sr=8-1", "https://www.amazon.com/Wiss-M1R-MetalMaster-Capacity-Straight/dp/B00002N5KO/ref=sr_1_1?keywords=Crescent+Wiss+M1P+9-3%2F4%22+Compound+Action+Straight+and+Left+Aviation+Snips&amp;qid=1695174043&amp;sr=8-1")</f>
        <v>https://www.amazon.com/Wiss-M1R-MetalMaster-Capacity-Straight/dp/B00002N5KO/ref=sr_1_1?keywords=Crescent+Wiss+M1P+9-3%2F4%22+Compound+Action+Straight+and+Left+Aviation+Snips&amp;qid=1695174043&amp;sr=8-1</v>
      </c>
      <c r="F6882" t="s">
        <v>9001</v>
      </c>
      <c r="G6882" t="e">
        <f ca="1">_xludf.IMAGE("https://edmondsonsupply.com/cdn/shop/products/WIS_M1P_IMG_ANG_01.jpg?v=1679672536")</f>
        <v>#NAME?</v>
      </c>
      <c r="H6882" t="e">
        <f ca="1">_xludf.IMAGE("https://m.media-amazon.com/images/I/61SRWhDt0pL._AC_UL320_.jpg")</f>
        <v>#NAME?</v>
      </c>
      <c r="I6882" t="s">
        <v>577</v>
      </c>
      <c r="J6882">
        <v>12</v>
      </c>
      <c r="K6882" s="4">
        <v>-0.3997</v>
      </c>
      <c r="L6882">
        <v>4.5999999999999996</v>
      </c>
      <c r="M6882">
        <v>1075</v>
      </c>
      <c r="O6882" t="s">
        <v>25</v>
      </c>
      <c r="P6882" t="s">
        <v>6924</v>
      </c>
      <c r="Q6882" t="s">
        <v>7119</v>
      </c>
    </row>
    <row r="6883" spans="1:17" ht="15.5" x14ac:dyDescent="0.35">
      <c r="A6883"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6883"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6883" t="s">
        <v>7120</v>
      </c>
      <c r="D6883" t="s">
        <v>9000</v>
      </c>
      <c r="E6883" s="3" t="str">
        <f>HYPERLINK("https://www.amazon.com/Wiss-M1R-MetalMaster-Capacity-Straight/dp/B00002N5KO/ref=sr_1_5?keywords=Crescent+Wiss+M3P+9-3%2F4%22+Compound+Action+Straight%2C+Left+and+Right+Cut+Snips&amp;qid=1695174052&amp;sr=8-5", "https://www.amazon.com/Wiss-M1R-MetalMaster-Capacity-Straight/dp/B00002N5KO/ref=sr_1_5?keywords=Crescent+Wiss+M3P+9-3%2F4%22+Compound+Action+Straight%2C+Left+and+Right+Cut+Snips&amp;qid=1695174052&amp;sr=8-5")</f>
        <v>https://www.amazon.com/Wiss-M1R-MetalMaster-Capacity-Straight/dp/B00002N5KO/ref=sr_1_5?keywords=Crescent+Wiss+M3P+9-3%2F4%22+Compound+Action+Straight%2C+Left+and+Right+Cut+Snips&amp;qid=1695174052&amp;sr=8-5</v>
      </c>
      <c r="F6883" t="s">
        <v>9001</v>
      </c>
      <c r="G6883" t="e">
        <f ca="1">_xludf.IMAGE("https://edmondsonsupply.com/cdn/shop/products/WIS_M3P_IMG_ANG_01.jpg?v=1679675102")</f>
        <v>#NAME?</v>
      </c>
      <c r="H6883" t="e">
        <f ca="1">_xludf.IMAGE("https://m.media-amazon.com/images/I/61SRWhDt0pL._AC_UL320_.jpg")</f>
        <v>#NAME?</v>
      </c>
      <c r="I6883" t="s">
        <v>577</v>
      </c>
      <c r="J6883">
        <v>12</v>
      </c>
      <c r="K6883" s="4">
        <v>-0.3997</v>
      </c>
      <c r="L6883">
        <v>4.5999999999999996</v>
      </c>
      <c r="M6883">
        <v>1075</v>
      </c>
      <c r="O6883" t="s">
        <v>25</v>
      </c>
      <c r="P6883" t="s">
        <v>6924</v>
      </c>
      <c r="Q6883" t="s">
        <v>7121</v>
      </c>
    </row>
    <row r="6884" spans="1:17" ht="15.5" x14ac:dyDescent="0.35">
      <c r="A6884"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6884"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6884" t="s">
        <v>6921</v>
      </c>
      <c r="D6884" t="s">
        <v>8998</v>
      </c>
      <c r="E6884" s="3" t="str">
        <f>HYPERLINK("https://www.amazon.com/Wiss-M2R-Compound-Action-Straight/dp/B00002N5KP/ref=sr_1_1?keywords=Crescent+Wiss+M2P+9-3%2F4%22+Compound+Action+Straight+and+Right+Cut+Aviation+Snips&amp;qid=1695174052&amp;sr=8-1", "https://www.amazon.com/Wiss-M2R-Compound-Action-Straight/dp/B00002N5KP/ref=sr_1_1?keywords=Crescent+Wiss+M2P+9-3%2F4%22+Compound+Action+Straight+and+Right+Cut+Aviation+Snips&amp;qid=1695174052&amp;sr=8-1")</f>
        <v>https://www.amazon.com/Wiss-M2R-Compound-Action-Straight/dp/B00002N5KP/ref=sr_1_1?keywords=Crescent+Wiss+M2P+9-3%2F4%22+Compound+Action+Straight+and+Right+Cut+Aviation+Snips&amp;qid=1695174052&amp;sr=8-1</v>
      </c>
      <c r="F6884" t="s">
        <v>8999</v>
      </c>
      <c r="G6884" t="e">
        <f ca="1">_xludf.IMAGE("https://edmondsonsupply.com/cdn/shop/products/WIS_M2P_IMG_ANG_01.jpg?v=1679674099")</f>
        <v>#NAME?</v>
      </c>
      <c r="H6884" t="e">
        <f ca="1">_xludf.IMAGE("https://m.media-amazon.com/images/I/71ObA+hcEeL._AC_UL320_.jpg")</f>
        <v>#NAME?</v>
      </c>
      <c r="I6884" t="s">
        <v>577</v>
      </c>
      <c r="J6884">
        <v>12</v>
      </c>
      <c r="K6884" s="4">
        <v>-0.3997</v>
      </c>
      <c r="L6884">
        <v>4.5999999999999996</v>
      </c>
      <c r="M6884">
        <v>723</v>
      </c>
      <c r="O6884" t="s">
        <v>25</v>
      </c>
      <c r="P6884" t="s">
        <v>6924</v>
      </c>
      <c r="Q6884" t="s">
        <v>6925</v>
      </c>
    </row>
    <row r="6885" spans="1:17" ht="15.5" x14ac:dyDescent="0.35">
      <c r="A6885" s="3" t="str">
        <f>HYPERLINK("https://edmondsonsupply.com/collections/electricians-tools/products/crescent-wiss-m2p-9-3-4-compound-action-straight-and-right-cut-aviation-snips", "https://edmondsonsupply.com/collections/electricians-tools/products/crescent-wiss-m2p-9-3-4-compound-action-straight-and-right-cut-aviation-snips")</f>
        <v>https://edmondsonsupply.com/collections/electricians-tools/products/crescent-wiss-m2p-9-3-4-compound-action-straight-and-right-cut-aviation-snips</v>
      </c>
      <c r="B6885" s="3" t="str">
        <f>HYPERLINK("https://edmondsonsupply.com/products/crescent-wiss-m2p-9-3-4-compound-action-straight-and-right-cut-aviation-snips", "https://edmondsonsupply.com/products/crescent-wiss-m2p-9-3-4-compound-action-straight-and-right-cut-aviation-snips")</f>
        <v>https://edmondsonsupply.com/products/crescent-wiss-m2p-9-3-4-compound-action-straight-and-right-cut-aviation-snips</v>
      </c>
      <c r="C6885" t="s">
        <v>6921</v>
      </c>
      <c r="D6885" t="s">
        <v>9000</v>
      </c>
      <c r="E6885" s="3" t="str">
        <f>HYPERLINK("https://www.amazon.com/Wiss-M1R-MetalMaster-Capacity-Straight/dp/B00002N5KO/ref=sr_1_2?keywords=Crescent+Wiss+M2P+9-3%2F4%22+Compound+Action+Straight+and+Right+Cut+Aviation+Snips&amp;qid=1695174052&amp;sr=8-2", "https://www.amazon.com/Wiss-M1R-MetalMaster-Capacity-Straight/dp/B00002N5KO/ref=sr_1_2?keywords=Crescent+Wiss+M2P+9-3%2F4%22+Compound+Action+Straight+and+Right+Cut+Aviation+Snips&amp;qid=1695174052&amp;sr=8-2")</f>
        <v>https://www.amazon.com/Wiss-M1R-MetalMaster-Capacity-Straight/dp/B00002N5KO/ref=sr_1_2?keywords=Crescent+Wiss+M2P+9-3%2F4%22+Compound+Action+Straight+and+Right+Cut+Aviation+Snips&amp;qid=1695174052&amp;sr=8-2</v>
      </c>
      <c r="F6885" t="s">
        <v>9001</v>
      </c>
      <c r="G6885" t="e">
        <f ca="1">_xludf.IMAGE("https://edmondsonsupply.com/cdn/shop/products/WIS_M2P_IMG_ANG_01.jpg?v=1679674099")</f>
        <v>#NAME?</v>
      </c>
      <c r="H6885" t="e">
        <f ca="1">_xludf.IMAGE("https://m.media-amazon.com/images/I/61SRWhDt0pL._AC_UL320_.jpg")</f>
        <v>#NAME?</v>
      </c>
      <c r="I6885" t="s">
        <v>577</v>
      </c>
      <c r="J6885">
        <v>12</v>
      </c>
      <c r="K6885" s="4">
        <v>-0.3997</v>
      </c>
      <c r="L6885">
        <v>4.5999999999999996</v>
      </c>
      <c r="M6885">
        <v>1075</v>
      </c>
      <c r="O6885" t="s">
        <v>25</v>
      </c>
      <c r="P6885" t="s">
        <v>6924</v>
      </c>
      <c r="Q6885" t="s">
        <v>6925</v>
      </c>
    </row>
    <row r="6886" spans="1:17" ht="15.5" x14ac:dyDescent="0.35">
      <c r="A6886" s="3" t="str">
        <f>HYPERLINK("https://edmondsonsupply.com/collections/electricians-tools/products/crescent-wiss-m3p-9-3-4-compound-action-straight-left-and-right-cut-snips", "https://edmondsonsupply.com/collections/electricians-tools/products/crescent-wiss-m3p-9-3-4-compound-action-straight-left-and-right-cut-snips")</f>
        <v>https://edmondsonsupply.com/collections/electricians-tools/products/crescent-wiss-m3p-9-3-4-compound-action-straight-left-and-right-cut-snips</v>
      </c>
      <c r="B6886" s="3" t="str">
        <f>HYPERLINK("https://edmondsonsupply.com/products/crescent-wiss-m3p-9-3-4-compound-action-straight-left-and-right-cut-snips", "https://edmondsonsupply.com/products/crescent-wiss-m3p-9-3-4-compound-action-straight-left-and-right-cut-snips")</f>
        <v>https://edmondsonsupply.com/products/crescent-wiss-m3p-9-3-4-compound-action-straight-left-and-right-cut-snips</v>
      </c>
      <c r="C6886" t="s">
        <v>7120</v>
      </c>
      <c r="D6886" t="s">
        <v>8998</v>
      </c>
      <c r="E6886" s="3" t="str">
        <f>HYPERLINK("https://www.amazon.com/Wiss-M2R-Compound-Action-Straight/dp/B00002N5KP/ref=sr_1_3?keywords=Crescent+Wiss+M3P+9-3%2F4%22+Compound+Action+Straight%2C+Left+and+Right+Cut+Snips&amp;qid=1695174052&amp;sr=8-3", "https://www.amazon.com/Wiss-M2R-Compound-Action-Straight/dp/B00002N5KP/ref=sr_1_3?keywords=Crescent+Wiss+M3P+9-3%2F4%22+Compound+Action+Straight%2C+Left+and+Right+Cut+Snips&amp;qid=1695174052&amp;sr=8-3")</f>
        <v>https://www.amazon.com/Wiss-M2R-Compound-Action-Straight/dp/B00002N5KP/ref=sr_1_3?keywords=Crescent+Wiss+M3P+9-3%2F4%22+Compound+Action+Straight%2C+Left+and+Right+Cut+Snips&amp;qid=1695174052&amp;sr=8-3</v>
      </c>
      <c r="F6886" t="s">
        <v>8999</v>
      </c>
      <c r="G6886" t="e">
        <f ca="1">_xludf.IMAGE("https://edmondsonsupply.com/cdn/shop/products/WIS_M3P_IMG_ANG_01.jpg?v=1679675102")</f>
        <v>#NAME?</v>
      </c>
      <c r="H6886" t="e">
        <f ca="1">_xludf.IMAGE("https://m.media-amazon.com/images/I/71ObA+hcEeL._AC_UL320_.jpg")</f>
        <v>#NAME?</v>
      </c>
      <c r="I6886" t="s">
        <v>577</v>
      </c>
      <c r="J6886">
        <v>12</v>
      </c>
      <c r="K6886" s="4">
        <v>-0.3997</v>
      </c>
      <c r="L6886">
        <v>4.5999999999999996</v>
      </c>
      <c r="M6886">
        <v>723</v>
      </c>
      <c r="O6886" t="s">
        <v>25</v>
      </c>
      <c r="P6886" t="s">
        <v>6924</v>
      </c>
      <c r="Q6886" t="s">
        <v>7121</v>
      </c>
    </row>
    <row r="6887" spans="1:17" ht="15.5" x14ac:dyDescent="0.35">
      <c r="A6887" s="3" t="str">
        <f>HYPERLINK("https://edmondsonsupply.com/collections/electricians-tools/products/klein-tools-85153k-slotted-screw-holding-driver-kit-3-16-inch-and-1-4-inch", "https://edmondsonsupply.com/collections/electricians-tools/products/klein-tools-85153k-slotted-screw-holding-driver-kit-3-16-inch-and-1-4-inch")</f>
        <v>https://edmondsonsupply.com/collections/electricians-tools/products/klein-tools-85153k-slotted-screw-holding-driver-kit-3-16-inch-and-1-4-inch</v>
      </c>
      <c r="B6887" s="3" t="str">
        <f>HYPERLINK("https://edmondsonsupply.com/products/klein-tools-85153k-slotted-screw-holding-driver-kit-3-16-inch-and-1-4-inch", "https://edmondsonsupply.com/products/klein-tools-85153k-slotted-screw-holding-driver-kit-3-16-inch-and-1-4-inch")</f>
        <v>https://edmondsonsupply.com/products/klein-tools-85153k-slotted-screw-holding-driver-kit-3-16-inch-and-1-4-inch</v>
      </c>
      <c r="C6887" t="s">
        <v>3864</v>
      </c>
      <c r="D6887" t="s">
        <v>5508</v>
      </c>
      <c r="E6887" s="3" t="str">
        <f>HYPERLINK("https://www.amazon.com/Klein-Tools-K46-Screw-Holding-Screwdriver/dp/B000936P4S/ref=sr_1_5?keywords=Klein+Tools+85153K+Slotted+Screw+Holding+Driver+Kit%2C+3%2F16-Inch+and+1%2F4-Inch&amp;qid=1695173961&amp;sr=8-5", "https://www.amazon.com/Klein-Tools-K46-Screw-Holding-Screwdriver/dp/B000936P4S/ref=sr_1_5?keywords=Klein+Tools+85153K+Slotted+Screw+Holding+Driver+Kit%2C+3%2F16-Inch+and+1%2F4-Inch&amp;qid=1695173961&amp;sr=8-5")</f>
        <v>https://www.amazon.com/Klein-Tools-K46-Screw-Holding-Screwdriver/dp/B000936P4S/ref=sr_1_5?keywords=Klein+Tools+85153K+Slotted+Screw+Holding+Driver+Kit%2C+3%2F16-Inch+and+1%2F4-Inch&amp;qid=1695173961&amp;sr=8-5</v>
      </c>
      <c r="F6887" t="s">
        <v>5509</v>
      </c>
      <c r="G6887" t="e">
        <f ca="1">_xludf.IMAGE("https://edmondsonsupply.com/cdn/shop/files/85153k.jpg?v=1693933663")</f>
        <v>#NAME?</v>
      </c>
      <c r="H6887" t="e">
        <f ca="1">_xludf.IMAGE("https://m.media-amazon.com/images/I/61Q6wSN1OyL._AC_UL320_.jpg")</f>
        <v>#NAME?</v>
      </c>
      <c r="I6887" t="s">
        <v>3867</v>
      </c>
      <c r="J6887">
        <v>11.99</v>
      </c>
      <c r="K6887" s="4">
        <v>-0.39989999999999998</v>
      </c>
      <c r="L6887">
        <v>4.5999999999999996</v>
      </c>
      <c r="M6887">
        <v>170</v>
      </c>
      <c r="O6887" t="s">
        <v>25</v>
      </c>
      <c r="P6887" t="s">
        <v>3068</v>
      </c>
      <c r="Q6887" t="s">
        <v>3868</v>
      </c>
    </row>
    <row r="6888" spans="1:17" ht="15.5" x14ac:dyDescent="0.35">
      <c r="A6888"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6888"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6888" t="s">
        <v>7911</v>
      </c>
      <c r="D6888" t="s">
        <v>6101</v>
      </c>
      <c r="E6888" s="3" t="str">
        <f>HYPERLINK("https://www.amazon.com/Klein-Tools-51603-Conduit-Features/dp/B08W6GJTHW/ref=sr_1_5?keywords=Klein+Tools+51605+Iron+Conduit+Bender+Full+Assembly%2C+1-Inch+EMT+with+Angle+Setter%E2%84%A2&amp;qid=1695174157&amp;sr=8-5", "https://www.amazon.com/Klein-Tools-51603-Conduit-Features/dp/B08W6GJTHW/ref=sr_1_5?keywords=Klein+Tools+51605+Iron+Conduit+Bender+Full+Assembly%2C+1-Inch+EMT+with+Angle+Setter%E2%84%A2&amp;qid=1695174157&amp;sr=8-5")</f>
        <v>https://www.amazon.com/Klein-Tools-51603-Conduit-Features/dp/B08W6GJTHW/ref=sr_1_5?keywords=Klein+Tools+51605+Iron+Conduit+Bender+Full+Assembly%2C+1-Inch+EMT+with+Angle+Setter%E2%84%A2&amp;qid=1695174157&amp;sr=8-5</v>
      </c>
      <c r="F6888" t="s">
        <v>6102</v>
      </c>
      <c r="G6888" t="e">
        <f ca="1">_xludf.IMAGE("https://edmondsonsupply.com/cdn/shop/products/51605.jpg?v=1663938749")</f>
        <v>#NAME?</v>
      </c>
      <c r="H6888" t="e">
        <f ca="1">_xludf.IMAGE("https://m.media-amazon.com/images/I/31lf3y-9bSL._AC_UL320_.jpg")</f>
        <v>#NAME?</v>
      </c>
      <c r="I6888" t="s">
        <v>545</v>
      </c>
      <c r="J6888">
        <v>59.99</v>
      </c>
      <c r="K6888" s="4">
        <v>-0.39989999999999998</v>
      </c>
      <c r="L6888">
        <v>4.9000000000000004</v>
      </c>
      <c r="M6888">
        <v>31</v>
      </c>
      <c r="O6888" t="s">
        <v>25</v>
      </c>
      <c r="P6888" t="s">
        <v>2225</v>
      </c>
      <c r="Q6888" t="s">
        <v>7912</v>
      </c>
    </row>
    <row r="6889" spans="1:17" ht="15.5" x14ac:dyDescent="0.35">
      <c r="A6889"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6889" s="3" t="str">
        <f>HYPERLINK("https://edmondsonsupply.com/products/klein-tools-51610-1-iron-conduit-bender-head", "https://edmondsonsupply.com/products/klein-tools-51610-1-iron-conduit-bender-head")</f>
        <v>https://edmondsonsupply.com/products/klein-tools-51610-1-iron-conduit-bender-head</v>
      </c>
      <c r="C6889" t="s">
        <v>6220</v>
      </c>
      <c r="D6889" t="s">
        <v>6178</v>
      </c>
      <c r="E6889" s="3" t="str">
        <f>HYPERLINK("https://www.amazon.com/Conduit-Bender-Klein-Tools-51609/dp/B08VYFHL9J/ref=sr_1_3?keywords=Klein+Tools+51610+1%22+Iron+Conduit+Bender+Head&amp;qid=1695174168&amp;sr=8-3", "https://www.amazon.com/Conduit-Bender-Klein-Tools-51609/dp/B08VYFHL9J/ref=sr_1_3?keywords=Klein+Tools+51610+1%22+Iron+Conduit+Bender+Head&amp;qid=1695174168&amp;sr=8-3")</f>
        <v>https://www.amazon.com/Conduit-Bender-Klein-Tools-51609/dp/B08VYFHL9J/ref=sr_1_3?keywords=Klein+Tools+51610+1%22+Iron+Conduit+Bender+Head&amp;qid=1695174168&amp;sr=8-3</v>
      </c>
      <c r="F6889" t="s">
        <v>6179</v>
      </c>
      <c r="G6889" t="e">
        <f ca="1">_xludf.IMAGE("https://edmondsonsupply.com/cdn/shop/products/51610.jpg?v=1661975879")</f>
        <v>#NAME?</v>
      </c>
      <c r="H6889" t="e">
        <f ca="1">_xludf.IMAGE("https://m.media-amazon.com/images/I/61KifnC2xML._AC_UL320_.jpg")</f>
        <v>#NAME?</v>
      </c>
      <c r="I6889" t="s">
        <v>320</v>
      </c>
      <c r="J6889">
        <v>44.99</v>
      </c>
      <c r="K6889" s="4">
        <v>-0.40010000000000001</v>
      </c>
      <c r="L6889">
        <v>4.2</v>
      </c>
      <c r="M6889">
        <v>31</v>
      </c>
      <c r="O6889" t="s">
        <v>25</v>
      </c>
      <c r="P6889" t="s">
        <v>6223</v>
      </c>
      <c r="Q6889" t="s">
        <v>6224</v>
      </c>
    </row>
    <row r="6890" spans="1:17" ht="15.5" x14ac:dyDescent="0.35">
      <c r="A6890"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6890"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6890" t="s">
        <v>7299</v>
      </c>
      <c r="D6890" t="s">
        <v>6176</v>
      </c>
      <c r="E6890" s="3" t="str">
        <f>HYPERLINK("https://www.amazon.com/Aluminum-Benchmark-Technology-Klein-Tools/dp/B08L41G5G5/ref=sr_1_3?keywords=Klein+Tools+51604+Iron+Conduit+Bender+Full+Assembly%2C+3%2F4-Inch+EMT+with+Angle+Setter%E2%84%A2&amp;qid=1695174174&amp;sr=8-3", "https://www.amazon.com/Aluminum-Benchmark-Technology-Klein-Tools/dp/B08L41G5G5/ref=sr_1_3?keywords=Klein+Tools+51604+Iron+Conduit+Bender+Full+Assembly%2C+3%2F4-Inch+EMT+with+Angle+Setter%E2%84%A2&amp;qid=1695174174&amp;sr=8-3")</f>
        <v>https://www.amazon.com/Aluminum-Benchmark-Technology-Klein-Tools/dp/B08L41G5G5/ref=sr_1_3?keywords=Klein+Tools+51604+Iron+Conduit+Bender+Full+Assembly%2C+3%2F4-Inch+EMT+with+Angle+Setter%E2%84%A2&amp;qid=1695174174&amp;sr=8-3</v>
      </c>
      <c r="F6890" t="s">
        <v>6177</v>
      </c>
      <c r="G6890" t="e">
        <f ca="1">_xludf.IMAGE("https://edmondsonsupply.com/cdn/shop/products/51603.jpg?v=1660829273")</f>
        <v>#NAME?</v>
      </c>
      <c r="H6890" t="e">
        <f ca="1">_xludf.IMAGE("https://m.media-amazon.com/images/I/419ZjlOD69L._AC_UL320_.jpg")</f>
        <v>#NAME?</v>
      </c>
      <c r="I6890" t="s">
        <v>320</v>
      </c>
      <c r="J6890">
        <v>44.99</v>
      </c>
      <c r="K6890" s="4">
        <v>-0.40010000000000001</v>
      </c>
      <c r="L6890">
        <v>4.7</v>
      </c>
      <c r="M6890">
        <v>343</v>
      </c>
      <c r="O6890" t="s">
        <v>171</v>
      </c>
      <c r="P6890" t="s">
        <v>306</v>
      </c>
      <c r="Q6890" t="s">
        <v>7300</v>
      </c>
    </row>
    <row r="6891" spans="1:17" ht="15.5" x14ac:dyDescent="0.35">
      <c r="A6891" s="3" t="str">
        <f>HYPERLINK("https://edmondsonsupply.com/collections/electricians-tools/products/klein-tools-51604-iron-conduit-bender-full-assembly-3-4-inch-emt-with-angle-setter%E2%84%A2", "https://edmondsonsupply.com/collections/electricians-tools/products/klein-tools-51604-iron-conduit-bender-full-assembly-3-4-inch-emt-with-angle-setter%E2%84%A2")</f>
        <v>https://edmondsonsupply.com/collections/electricians-tools/products/klein-tools-51604-iron-conduit-bender-full-assembly-3-4-inch-emt-with-angle-setter%E2%84%A2</v>
      </c>
      <c r="B6891" s="3" t="str">
        <f>HYPERLINK("https://edmondsonsupply.com/products/klein-tools-51604-iron-conduit-bender-full-assembly-3-4-inch-emt-with-angle-setter%e2%84%a2", "https://edmondsonsupply.com/products/klein-tools-51604-iron-conduit-bender-full-assembly-3-4-inch-emt-with-angle-setter%e2%84%a2")</f>
        <v>https://edmondsonsupply.com/products/klein-tools-51604-iron-conduit-bender-full-assembly-3-4-inch-emt-with-angle-setter%e2%84%a2</v>
      </c>
      <c r="C6891" t="s">
        <v>7299</v>
      </c>
      <c r="D6891" t="s">
        <v>6178</v>
      </c>
      <c r="E6891" s="3" t="str">
        <f>HYPERLINK("https://www.amazon.com/Conduit-Bender-Klein-Tools-51609/dp/B08VYFHL9J/ref=sr_1_8?keywords=Klein+Tools+51604+Iron+Conduit+Bender+Full+Assembly%2C+3%2F4-Inch+EMT+with+Angle+Setter%E2%84%A2&amp;qid=1695174174&amp;sr=8-8", "https://www.amazon.com/Conduit-Bender-Klein-Tools-51609/dp/B08VYFHL9J/ref=sr_1_8?keywords=Klein+Tools+51604+Iron+Conduit+Bender+Full+Assembly%2C+3%2F4-Inch+EMT+with+Angle+Setter%E2%84%A2&amp;qid=1695174174&amp;sr=8-8")</f>
        <v>https://www.amazon.com/Conduit-Bender-Klein-Tools-51609/dp/B08VYFHL9J/ref=sr_1_8?keywords=Klein+Tools+51604+Iron+Conduit+Bender+Full+Assembly%2C+3%2F4-Inch+EMT+with+Angle+Setter%E2%84%A2&amp;qid=1695174174&amp;sr=8-8</v>
      </c>
      <c r="F6891" t="s">
        <v>6179</v>
      </c>
      <c r="G6891" t="e">
        <f ca="1">_xludf.IMAGE("https://edmondsonsupply.com/cdn/shop/products/51603.jpg?v=1660829273")</f>
        <v>#NAME?</v>
      </c>
      <c r="H6891" t="e">
        <f ca="1">_xludf.IMAGE("https://m.media-amazon.com/images/I/61KifnC2xML._AC_UL320_.jpg")</f>
        <v>#NAME?</v>
      </c>
      <c r="I6891" t="s">
        <v>320</v>
      </c>
      <c r="J6891">
        <v>44.99</v>
      </c>
      <c r="K6891" s="4">
        <v>-0.40010000000000001</v>
      </c>
      <c r="L6891">
        <v>4.2</v>
      </c>
      <c r="M6891">
        <v>31</v>
      </c>
      <c r="O6891" t="s">
        <v>171</v>
      </c>
      <c r="P6891" t="s">
        <v>306</v>
      </c>
      <c r="Q6891" t="s">
        <v>7300</v>
      </c>
    </row>
    <row r="6892" spans="1:17" ht="15.5" x14ac:dyDescent="0.35">
      <c r="A6892" s="3" t="str">
        <f>HYPERLINK("https://edmondsonsupply.com/collections/electricians-tools/products/klein-tools-31948-bi-metal-hole-saw-3-inch", "https://edmondsonsupply.com/collections/electricians-tools/products/klein-tools-31948-bi-metal-hole-saw-3-inch")</f>
        <v>https://edmondsonsupply.com/collections/electricians-tools/products/klein-tools-31948-bi-metal-hole-saw-3-inch</v>
      </c>
      <c r="B6892" s="3" t="str">
        <f>HYPERLINK("https://edmondsonsupply.com/products/klein-tools-31948-bi-metal-hole-saw-3-inch", "https://edmondsonsupply.com/products/klein-tools-31948-bi-metal-hole-saw-3-inch")</f>
        <v>https://edmondsonsupply.com/products/klein-tools-31948-bi-metal-hole-saw-3-inch</v>
      </c>
      <c r="C6892" t="s">
        <v>6377</v>
      </c>
      <c r="D6892" t="s">
        <v>6049</v>
      </c>
      <c r="E6892" s="3" t="str">
        <f>HYPERLINK("https://www.amazon.com/Bi-Metal-8-Inch-Klein-Tools-31922/dp/B019874Q0K/ref=sr_1_3?keywords=Klein+Tools+31948+Bi-Metal+Hole+Saw%2C+3-Inch&amp;qid=1695174151&amp;sr=8-3", "https://www.amazon.com/Bi-Metal-8-Inch-Klein-Tools-31922/dp/B019874Q0K/ref=sr_1_3?keywords=Klein+Tools+31948+Bi-Metal+Hole+Saw%2C+3-Inch&amp;qid=1695174151&amp;sr=8-3")</f>
        <v>https://www.amazon.com/Bi-Metal-8-Inch-Klein-Tools-31922/dp/B019874Q0K/ref=sr_1_3?keywords=Klein+Tools+31948+Bi-Metal+Hole+Saw%2C+3-Inch&amp;qid=1695174151&amp;sr=8-3</v>
      </c>
      <c r="F6892" t="s">
        <v>7576</v>
      </c>
      <c r="G6892" t="e">
        <f ca="1">_xludf.IMAGE("https://edmondsonsupply.com/cdn/shop/products/31948.jpg?v=1663945105")</f>
        <v>#NAME?</v>
      </c>
      <c r="H6892" t="e">
        <f ca="1">_xludf.IMAGE("https://m.media-amazon.com/images/I/41GAmyLoB4L._AC_UL320_.jpg")</f>
        <v>#NAME?</v>
      </c>
      <c r="I6892" t="s">
        <v>276</v>
      </c>
      <c r="J6892">
        <v>8.99</v>
      </c>
      <c r="K6892" s="4">
        <v>-0.40029999999999999</v>
      </c>
      <c r="L6892">
        <v>4.5</v>
      </c>
      <c r="M6892">
        <v>366</v>
      </c>
      <c r="O6892" t="s">
        <v>25</v>
      </c>
      <c r="P6892" t="s">
        <v>6378</v>
      </c>
      <c r="Q6892" t="s">
        <v>6379</v>
      </c>
    </row>
    <row r="6893" spans="1:17" ht="15.5" x14ac:dyDescent="0.35">
      <c r="A6893" s="3" t="str">
        <f>HYPERLINK("https://edmondsonsupply.com/collections/electricians-tools/products/klein-tools-et60-electronic-ac-dc-voltage-tester-12-to-600v", "https://edmondsonsupply.com/collections/electricians-tools/products/klein-tools-et60-electronic-ac-dc-voltage-tester-12-to-600v")</f>
        <v>https://edmondsonsupply.com/collections/electricians-tools/products/klein-tools-et60-electronic-ac-dc-voltage-tester-12-to-600v</v>
      </c>
      <c r="B6893" s="3" t="str">
        <f>HYPERLINK("https://edmondsonsupply.com/products/klein-tools-et60-electronic-ac-dc-voltage-tester-12-to-600v", "https://edmondsonsupply.com/products/klein-tools-et60-electronic-ac-dc-voltage-tester-12-to-600v")</f>
        <v>https://edmondsonsupply.com/products/klein-tools-et60-electronic-ac-dc-voltage-tester-12-to-600v</v>
      </c>
      <c r="C6893" t="s">
        <v>8444</v>
      </c>
      <c r="D6893" t="s">
        <v>7935</v>
      </c>
      <c r="E6893" s="3" t="str">
        <f>HYPERLINK("https://www.amazon.com/Klein-Tools-ET40-Polarity-Batteries/dp/B07P45RB8S/ref=sr_1_2?keywords=Klein+Tools+ET60+Electronic+AC%2FDC+Voltage+Tester%2C+12+to+600V&amp;qid=1695174278&amp;sr=8-2", "https://www.amazon.com/Klein-Tools-ET40-Polarity-Batteries/dp/B07P45RB8S/ref=sr_1_2?keywords=Klein+Tools+ET60+Electronic+AC%2FDC+Voltage+Tester%2C+12+to+600V&amp;qid=1695174278&amp;sr=8-2")</f>
        <v>https://www.amazon.com/Klein-Tools-ET40-Polarity-Batteries/dp/B07P45RB8S/ref=sr_1_2?keywords=Klein+Tools+ET60+Electronic+AC%2FDC+Voltage+Tester%2C+12+to+600V&amp;qid=1695174278&amp;sr=8-2</v>
      </c>
      <c r="F6893" t="s">
        <v>7936</v>
      </c>
      <c r="G6893" t="e">
        <f ca="1">_xludf.IMAGE("https://edmondsonsupply.com/cdn/shop/products/et60.jpg?v=1633030979")</f>
        <v>#NAME?</v>
      </c>
      <c r="H6893" t="e">
        <f ca="1">_xludf.IMAGE("https://m.media-amazon.com/images/I/519RV+CHdeL._AC_UL320_.jpg")</f>
        <v>#NAME?</v>
      </c>
      <c r="I6893" t="s">
        <v>824</v>
      </c>
      <c r="J6893">
        <v>17.97</v>
      </c>
      <c r="K6893" s="4">
        <v>-0.40039999999999998</v>
      </c>
      <c r="L6893">
        <v>4.5</v>
      </c>
      <c r="M6893">
        <v>1284</v>
      </c>
      <c r="O6893" t="s">
        <v>25</v>
      </c>
      <c r="P6893" t="s">
        <v>8445</v>
      </c>
      <c r="Q6893" t="s">
        <v>8446</v>
      </c>
    </row>
    <row r="6894" spans="1:17" ht="15.5" x14ac:dyDescent="0.35">
      <c r="A6894" s="3" t="str">
        <f>HYPERLINK("https://edmondsonsupply.com/collections/electricians-tools/products/klein-tools-450-900-hook-and-loop-tape-dispenser-versatile-cable-ties-custom-length", "https://edmondsonsupply.com/collections/electricians-tools/products/klein-tools-450-900-hook-and-loop-tape-dispenser-versatile-cable-ties-custom-length")</f>
        <v>https://edmondsonsupply.com/collections/electricians-tools/products/klein-tools-450-900-hook-and-loop-tape-dispenser-versatile-cable-ties-custom-length</v>
      </c>
      <c r="B6894" s="3" t="str">
        <f>HYPERLINK("https://edmondsonsupply.com/products/klein-tools-450-900-hook-and-loop-tape-dispenser-versatile-cable-ties-custom-length", "https://edmondsonsupply.com/products/klein-tools-450-900-hook-and-loop-tape-dispenser-versatile-cable-ties-custom-length")</f>
        <v>https://edmondsonsupply.com/products/klein-tools-450-900-hook-and-loop-tape-dispenser-versatile-cable-ties-custom-length</v>
      </c>
      <c r="C6894" t="s">
        <v>9002</v>
      </c>
      <c r="D6894" t="s">
        <v>9003</v>
      </c>
      <c r="E6894" s="3" t="str">
        <f>HYPERLINK("https://www.amazon.com/Replacement-Dispenser-Custom-Length-Klein-Tools/dp/B09QHC6P3V/ref=sr_1_2?keywords=Klein+Tools+450-900+Hook+and+Loop+Tape+Dispenser%2C+Versatile+Cable+Ties%2C+Custom+Length&amp;qid=1695174144&amp;sr=8-2", "https://www.amazon.com/Replacement-Dispenser-Custom-Length-Klein-Tools/dp/B09QHC6P3V/ref=sr_1_2?keywords=Klein+Tools+450-900+Hook+and+Loop+Tape+Dispenser%2C+Versatile+Cable+Ties%2C+Custom+Length&amp;qid=1695174144&amp;sr=8-2")</f>
        <v>https://www.amazon.com/Replacement-Dispenser-Custom-Length-Klein-Tools/dp/B09QHC6P3V/ref=sr_1_2?keywords=Klein+Tools+450-900+Hook+and+Loop+Tape+Dispenser%2C+Versatile+Cable+Ties%2C+Custom+Length&amp;qid=1695174144&amp;sr=8-2</v>
      </c>
      <c r="F6894" t="s">
        <v>9004</v>
      </c>
      <c r="G6894" t="e">
        <f ca="1">_xludf.IMAGE("https://edmondsonsupply.com/cdn/shop/products/450900.jpg?v=1666025910")</f>
        <v>#NAME?</v>
      </c>
      <c r="H6894" t="e">
        <f ca="1">_xludf.IMAGE("https://m.media-amazon.com/images/I/51l70S+JK0L._AC_UY218_.jpg")</f>
        <v>#NAME?</v>
      </c>
      <c r="I6894" t="s">
        <v>571</v>
      </c>
      <c r="J6894">
        <v>20.96</v>
      </c>
      <c r="K6894" s="4">
        <v>-0.40100000000000002</v>
      </c>
      <c r="L6894">
        <v>3</v>
      </c>
      <c r="M6894">
        <v>1</v>
      </c>
      <c r="O6894" t="s">
        <v>25</v>
      </c>
      <c r="P6894" t="s">
        <v>9005</v>
      </c>
      <c r="Q6894" t="s">
        <v>9006</v>
      </c>
    </row>
    <row r="6895" spans="1:17" ht="15.5" x14ac:dyDescent="0.35">
      <c r="A6895" s="3" t="str">
        <f>HYPERLINK("https://edmondsonsupply.com/collections/electricians-tools/products/klein-tools-44033-stainless-steel-pocket-knife-2-1-4-inch-drop-point-blade", "https://edmondsonsupply.com/collections/electricians-tools/products/klein-tools-44033-stainless-steel-pocket-knife-2-1-4-inch-drop-point-blade")</f>
        <v>https://edmondsonsupply.com/collections/electricians-tools/products/klein-tools-44033-stainless-steel-pocket-knife-2-1-4-inch-drop-point-blade</v>
      </c>
      <c r="B6895" s="3" t="str">
        <f>HYPERLINK("https://edmondsonsupply.com/products/klein-tools-44033-stainless-steel-pocket-knife-2-1-4-inch-drop-point-blade", "https://edmondsonsupply.com/products/klein-tools-44033-stainless-steel-pocket-knife-2-1-4-inch-drop-point-blade")</f>
        <v>https://edmondsonsupply.com/products/klein-tools-44033-stainless-steel-pocket-knife-2-1-4-inch-drop-point-blade</v>
      </c>
      <c r="C6895" t="s">
        <v>9007</v>
      </c>
      <c r="D6895" t="s">
        <v>9008</v>
      </c>
      <c r="E6895" s="3" t="str">
        <f>HYPERLINK("https://www.amazon.com/Compact-Pocket-Klein-Tools-44033/dp/B000DLC0HC/ref=sr_1_1?keywords=Klein+Tools+44033+Stainless+Steel+Pocket+Knife%2C+2-1%2F4-Inch+Drop+Point+Blade&amp;qid=1695174208&amp;sr=8-1", "https://www.amazon.com/Compact-Pocket-Klein-Tools-44033/dp/B000DLC0HC/ref=sr_1_1?keywords=Klein+Tools+44033+Stainless+Steel+Pocket+Knife%2C+2-1%2F4-Inch+Drop+Point+Blade&amp;qid=1695174208&amp;sr=8-1")</f>
        <v>https://www.amazon.com/Compact-Pocket-Klein-Tools-44033/dp/B000DLC0HC/ref=sr_1_1?keywords=Klein+Tools+44033+Stainless+Steel+Pocket+Knife%2C+2-1%2F4-Inch+Drop+Point+Blade&amp;qid=1695174208&amp;sr=8-1</v>
      </c>
      <c r="F6895" t="s">
        <v>9009</v>
      </c>
      <c r="G6895" t="e">
        <f ca="1">_xludf.IMAGE("https://edmondsonsupply.com/cdn/shop/products/44033.jpg?v=1649893400")</f>
        <v>#NAME?</v>
      </c>
      <c r="H6895" t="e">
        <f ca="1">_xludf.IMAGE("https://m.media-amazon.com/images/I/41lVRYcGPKL._AC_UL320_.jpg")</f>
        <v>#NAME?</v>
      </c>
      <c r="I6895" t="s">
        <v>9010</v>
      </c>
      <c r="J6895">
        <v>45.06</v>
      </c>
      <c r="K6895" s="4">
        <v>-0.40110000000000001</v>
      </c>
      <c r="L6895">
        <v>4.8</v>
      </c>
      <c r="M6895">
        <v>192</v>
      </c>
      <c r="O6895" t="s">
        <v>25</v>
      </c>
      <c r="P6895" t="s">
        <v>138</v>
      </c>
      <c r="Q6895" t="s">
        <v>9011</v>
      </c>
    </row>
    <row r="6896" spans="1:17" ht="15.5" x14ac:dyDescent="0.35">
      <c r="A6896" s="3" t="str">
        <f>HYPERLINK("https://edmondsonsupply.com/collections/electricians-tools/products/diablo-tools-dou250bw-2-1-2-in-universal-fit-bi-metal-oscillating-blade-for-nail-embedded-wood", "https://edmondsonsupply.com/collections/electricians-tools/products/diablo-tools-dou250bw-2-1-2-in-universal-fit-bi-metal-oscillating-blade-for-nail-embedded-wood")</f>
        <v>https://edmondsonsupply.com/collections/electricians-tools/products/diablo-tools-dou250bw-2-1-2-in-universal-fit-bi-metal-oscillating-blade-for-nail-embedded-wood</v>
      </c>
      <c r="B6896" s="3" t="str">
        <f>HYPERLINK("https://edmondsonsupply.com/products/diablo-tools-dou250bw-2-1-2-in-universal-fit-bi-metal-oscillating-blade-for-nail-embedded-wood", "https://edmondsonsupply.com/products/diablo-tools-dou250bw-2-1-2-in-universal-fit-bi-metal-oscillating-blade-for-nail-embedded-wood")</f>
        <v>https://edmondsonsupply.com/products/diablo-tools-dou250bw-2-1-2-in-universal-fit-bi-metal-oscillating-blade-for-nail-embedded-wood</v>
      </c>
      <c r="C6896" t="s">
        <v>7067</v>
      </c>
      <c r="D6896" t="s">
        <v>8827</v>
      </c>
      <c r="E6896" s="3" t="str">
        <f>HYPERLINK("https://www.amazon.com/Diablo-Freud-DOU125BF-Universal-Oscillating/dp/B089KV143Y/ref=sr_1_9?keywords=Diablo+Tools+DOU250BW+2-1%2F2+in.+Universal+Fit+Bi-Metal+Oscillating+Blade+for+Nail-Embedded+Wood&amp;qid=1695174021&amp;sr=8-9", "https://www.amazon.com/Diablo-Freud-DOU125BF-Universal-Oscillating/dp/B089KV143Y/ref=sr_1_9?keywords=Diablo+Tools+DOU250BW+2-1%2F2+in.+Universal+Fit+Bi-Metal+Oscillating+Blade+for+Nail-Embedded+Wood&amp;qid=1695174021&amp;sr=8-9")</f>
        <v>https://www.amazon.com/Diablo-Freud-DOU125BF-Universal-Oscillating/dp/B089KV143Y/ref=sr_1_9?keywords=Diablo+Tools+DOU250BW+2-1%2F2+in.+Universal+Fit+Bi-Metal+Oscillating+Blade+for+Nail-Embedded+Wood&amp;qid=1695174021&amp;sr=8-9</v>
      </c>
      <c r="F6896" t="s">
        <v>8828</v>
      </c>
      <c r="G6896" t="e">
        <f ca="1">_xludf.IMAGE("https://edmondsonsupply.com/cdn/shop/files/xcched1uye7bv2s0ryod.webp?v=1685717397")</f>
        <v>#NAME?</v>
      </c>
      <c r="H6896" t="e">
        <f ca="1">_xludf.IMAGE("https://m.media-amazon.com/images/I/61mZfXlj-XL._AC_UL320_.jpg")</f>
        <v>#NAME?</v>
      </c>
      <c r="I6896" t="s">
        <v>893</v>
      </c>
      <c r="J6896">
        <v>11.95</v>
      </c>
      <c r="K6896" s="4">
        <v>-0.40160000000000001</v>
      </c>
      <c r="L6896">
        <v>3.7</v>
      </c>
      <c r="M6896">
        <v>8</v>
      </c>
      <c r="O6896" t="s">
        <v>25</v>
      </c>
      <c r="P6896" t="s">
        <v>6936</v>
      </c>
      <c r="Q6896" t="s">
        <v>7068</v>
      </c>
    </row>
    <row r="6897" spans="1:17" ht="15.5" x14ac:dyDescent="0.35">
      <c r="A6897" s="3" t="str">
        <f>HYPERLINK("https://edmondsonsupply.com/collections/electricians-tools/products/milwaukee-48-25-2122", "https://edmondsonsupply.com/collections/electricians-tools/products/milwaukee-48-25-2122")</f>
        <v>https://edmondsonsupply.com/collections/electricians-tools/products/milwaukee-48-25-2122</v>
      </c>
      <c r="B6897" s="3" t="str">
        <f>HYPERLINK("https://edmondsonsupply.com/products/milwaukee-48-25-2122", "https://edmondsonsupply.com/products/milwaukee-48-25-2122")</f>
        <v>https://edmondsonsupply.com/products/milwaukee-48-25-2122</v>
      </c>
      <c r="C6897" t="s">
        <v>3381</v>
      </c>
      <c r="D6897" t="s">
        <v>5514</v>
      </c>
      <c r="E6897" s="3" t="str">
        <f>HYPERLINK("https://www.amazon.com/MILWAUKEE-GIDDS2-288392-48-25-1372-Standard-Selfeed/dp/B000F6V0O4/ref=sr_1_4?keywords=Milwaukee+48-25-2122+Standard+Selfeed+Bit%2C+2-1%2F8%22&amp;qid=1695174005&amp;sr=8-4", "https://www.amazon.com/MILWAUKEE-GIDDS2-288392-48-25-1372-Standard-Selfeed/dp/B000F6V0O4/ref=sr_1_4?keywords=Milwaukee+48-25-2122+Standard+Selfeed+Bit%2C+2-1%2F8%22&amp;qid=1695174005&amp;sr=8-4")</f>
        <v>https://www.amazon.com/MILWAUKEE-GIDDS2-288392-48-25-1372-Standard-Selfeed/dp/B000F6V0O4/ref=sr_1_4?keywords=Milwaukee+48-25-2122+Standard+Selfeed+Bit%2C+2-1%2F8%22&amp;qid=1695174005&amp;sr=8-4</v>
      </c>
      <c r="F6897" t="s">
        <v>5515</v>
      </c>
      <c r="G6897" t="e">
        <f ca="1">_xludf.IMAGE("https://edmondsonsupply.com/cdn/shop/files/64170_48-25-1372_1-lg.gif?v=1687367768")</f>
        <v>#NAME?</v>
      </c>
      <c r="H6897" t="e">
        <f ca="1">_xludf.IMAGE("https://m.media-amazon.com/images/I/41pjsh1VxIL._AC_UL320_.jpg")</f>
        <v>#NAME?</v>
      </c>
      <c r="I6897" t="s">
        <v>380</v>
      </c>
      <c r="J6897">
        <v>29.89</v>
      </c>
      <c r="K6897" s="4">
        <v>-0.40179999999999999</v>
      </c>
      <c r="L6897">
        <v>4</v>
      </c>
      <c r="M6897">
        <v>5</v>
      </c>
      <c r="O6897" t="s">
        <v>25</v>
      </c>
      <c r="P6897" t="s">
        <v>138</v>
      </c>
      <c r="Q6897" t="s">
        <v>3384</v>
      </c>
    </row>
    <row r="6898" spans="1:17" ht="15.5" x14ac:dyDescent="0.35">
      <c r="A6898"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6898"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6898" t="s">
        <v>6827</v>
      </c>
      <c r="D6898" t="s">
        <v>5202</v>
      </c>
      <c r="E6898" s="3" t="str">
        <f>HYPERLINK("https://www.amazon.com/Diablo-SDS-Max-4-Cutter-Carbide-Hammer/dp/B089LN5QN7/ref=sr_1_10?keywords=Diablo+Tools+DMAMX1360+1-1%2F2+in.+x+16+in.+x+21+in.+Rebar+Demon%E2%84%A2+SDS-Max+4-Cutter+Carbide-Tipped+Hammer+Drill+Bit&amp;qid=1695174071&amp;sr=8-10", "https://www.amazon.com/Diablo-SDS-Max-4-Cutter-Carbide-Hammer/dp/B089LN5QN7/ref=sr_1_10?keywords=Diablo+Tools+DMAMX1360+1-1%2F2+in.+x+16+in.+x+21+in.+Rebar+Demon%E2%84%A2+SDS-Max+4-Cutter+Carbide-Tipped+Hammer+Drill+Bit&amp;qid=1695174071&amp;sr=8-10")</f>
        <v>https://www.amazon.com/Diablo-SDS-Max-4-Cutter-Carbide-Hammer/dp/B089LN5QN7/ref=sr_1_10?keywords=Diablo+Tools+DMAMX1360+1-1%2F2+in.+x+16+in.+x+21+in.+Rebar+Demon%E2%84%A2+SDS-Max+4-Cutter+Carbide-Tipped+Hammer+Drill+Bit&amp;qid=1695174071&amp;sr=8-10</v>
      </c>
      <c r="F6898" t="s">
        <v>5203</v>
      </c>
      <c r="G6898" t="e">
        <f ca="1">_xludf.IMAGE("https://edmondsonsupply.com/cdn/shop/products/z2umcsdaj3y4uvsfnxoh.webp?v=1677257156")</f>
        <v>#NAME?</v>
      </c>
      <c r="H6898" t="e">
        <f ca="1">_xludf.IMAGE("https://m.media-amazon.com/images/I/6182PTqKZGL._AC_UL320_.jpg")</f>
        <v>#NAME?</v>
      </c>
      <c r="I6898" t="s">
        <v>6830</v>
      </c>
      <c r="J6898">
        <v>55.99</v>
      </c>
      <c r="K6898" s="4">
        <v>-0.40350000000000003</v>
      </c>
      <c r="L6898">
        <v>3.6</v>
      </c>
      <c r="M6898">
        <v>4</v>
      </c>
      <c r="O6898" t="s">
        <v>25</v>
      </c>
      <c r="P6898" t="s">
        <v>6831</v>
      </c>
      <c r="Q6898" t="s">
        <v>6832</v>
      </c>
    </row>
    <row r="6899" spans="1:17" ht="15.5" x14ac:dyDescent="0.35">
      <c r="A6899" s="3" t="str">
        <f>HYPERLINK("https://edmondsonsupply.com/collections/electricians-tools/products/klein-tools-602-4dd-4-demolition-driver-1-4-keystone", "https://edmondsonsupply.com/collections/electricians-tools/products/klein-tools-602-4dd-4-demolition-driver-1-4-keystone")</f>
        <v>https://edmondsonsupply.com/collections/electricians-tools/products/klein-tools-602-4dd-4-demolition-driver-1-4-keystone</v>
      </c>
      <c r="B6899" s="3" t="str">
        <f>HYPERLINK("https://edmondsonsupply.com/products/klein-tools-602-4dd-4-demolition-driver-1-4-keystone", "https://edmondsonsupply.com/products/klein-tools-602-4dd-4-demolition-driver-1-4-keystone")</f>
        <v>https://edmondsonsupply.com/products/klein-tools-602-4dd-4-demolition-driver-1-4-keystone</v>
      </c>
      <c r="C6899" t="s">
        <v>3736</v>
      </c>
      <c r="D6899" t="s">
        <v>5516</v>
      </c>
      <c r="E6899" s="3" t="str">
        <f>HYPERLINK("https://www.amazon.com/Keystone-Tip-Screwdriver-Round-Shank-Klein-602-4/dp/B0000302WD/ref=sr_1_4?keywords=Klein+Tools+602-4DD+1%2F4-Inch+Keystone+Demolition+Driver%2C+4-Inch+Shank&amp;qid=1695173941&amp;sr=8-4", "https://www.amazon.com/Keystone-Tip-Screwdriver-Round-Shank-Klein-602-4/dp/B0000302WD/ref=sr_1_4?keywords=Klein+Tools+602-4DD+1%2F4-Inch+Keystone+Demolition+Driver%2C+4-Inch+Shank&amp;qid=1695173941&amp;sr=8-4")</f>
        <v>https://www.amazon.com/Keystone-Tip-Screwdriver-Round-Shank-Klein-602-4/dp/B0000302WD/ref=sr_1_4?keywords=Klein+Tools+602-4DD+1%2F4-Inch+Keystone+Demolition+Driver%2C+4-Inch+Shank&amp;qid=1695173941&amp;sr=8-4</v>
      </c>
      <c r="F6899" t="s">
        <v>5517</v>
      </c>
      <c r="G6899" t="e">
        <f ca="1">_xludf.IMAGE("https://edmondsonsupply.com/cdn/shop/products/602-4dd.jpg?v=1587143287")</f>
        <v>#NAME?</v>
      </c>
      <c r="H6899" t="e">
        <f ca="1">_xludf.IMAGE("https://m.media-amazon.com/images/I/51BHg1CmntL._AC_UL320_.jpg")</f>
        <v>#NAME?</v>
      </c>
      <c r="I6899" t="s">
        <v>252</v>
      </c>
      <c r="J6899">
        <v>9.49</v>
      </c>
      <c r="K6899" s="4">
        <v>-0.40649999999999997</v>
      </c>
      <c r="L6899">
        <v>4.8</v>
      </c>
      <c r="M6899">
        <v>879</v>
      </c>
      <c r="O6899" t="s">
        <v>25</v>
      </c>
      <c r="P6899" t="s">
        <v>3739</v>
      </c>
      <c r="Q6899" t="s">
        <v>3740</v>
      </c>
    </row>
    <row r="6900" spans="1:17" ht="15.5" x14ac:dyDescent="0.35">
      <c r="A6900" s="3" t="str">
        <f>HYPERLINK("https://edmondsonsupply.com/collections/electricians-tools/products/greenlee-gsb04-7-8-step-bit-4", "https://edmondsonsupply.com/collections/electricians-tools/products/greenlee-gsb04-7-8-step-bit-4")</f>
        <v>https://edmondsonsupply.com/collections/electricians-tools/products/greenlee-gsb04-7-8-step-bit-4</v>
      </c>
      <c r="B6900" s="3" t="str">
        <f>HYPERLINK("https://edmondsonsupply.com/products/greenlee-gsb04-7-8-step-bit-4", "https://edmondsonsupply.com/products/greenlee-gsb04-7-8-step-bit-4")</f>
        <v>https://edmondsonsupply.com/products/greenlee-gsb04-7-8-step-bit-4</v>
      </c>
      <c r="C6900" t="s">
        <v>5518</v>
      </c>
      <c r="D6900" t="s">
        <v>4378</v>
      </c>
      <c r="E6900" s="3" t="str">
        <f>HYPERLINK("https://www.amazon.com/Greenlee-GSB04-Step-Bit/dp/B08TVF22W4/ref=sr_1_1?keywords=Greenlee+GSB04+7%2F8%22+Step+Bit+%28%234%29&amp;qid=1695174001&amp;sr=8-1", "https://www.amazon.com/Greenlee-GSB04-Step-Bit/dp/B08TVF22W4/ref=sr_1_1?keywords=Greenlee+GSB04+7%2F8%22+Step+Bit+%28%234%29&amp;qid=1695174001&amp;sr=8-1")</f>
        <v>https://www.amazon.com/Greenlee-GSB04-Step-Bit/dp/B08TVF22W4/ref=sr_1_1?keywords=Greenlee+GSB04+7%2F8%22+Step+Bit+%28%234%29&amp;qid=1695174001&amp;sr=8-1</v>
      </c>
      <c r="F6900" t="s">
        <v>4379</v>
      </c>
      <c r="G6900" t="e">
        <f ca="1">_xludf.IMAGE("https://edmondsonsupply.com/cdn/shop/files/GSB04_CAT1_72dpi_1.jpg?v=1687789356")</f>
        <v>#NAME?</v>
      </c>
      <c r="H6900" t="e">
        <f ca="1">_xludf.IMAGE("https://m.media-amazon.com/images/I/41FX4czhS0L._AC_UY218_.jpg")</f>
        <v>#NAME?</v>
      </c>
      <c r="I6900" t="s">
        <v>5519</v>
      </c>
      <c r="J6900">
        <v>32</v>
      </c>
      <c r="K6900" s="4">
        <v>-0.40699999999999997</v>
      </c>
      <c r="L6900">
        <v>5</v>
      </c>
      <c r="M6900">
        <v>7</v>
      </c>
      <c r="O6900" t="s">
        <v>25</v>
      </c>
      <c r="P6900" t="s">
        <v>5520</v>
      </c>
      <c r="Q6900" t="s">
        <v>5521</v>
      </c>
    </row>
    <row r="6901" spans="1:17" ht="15.5" x14ac:dyDescent="0.35">
      <c r="A6901" s="3" t="str">
        <f>HYPERLINK("https://edmondsonsupply.com/collections/electricians-tools/products/channellock-430x-10-inch-speedgrip%E2%84%A2-straight-jaw-tongue-groove-pliers", "https://edmondsonsupply.com/collections/electricians-tools/products/channellock-430x-10-inch-speedgrip%E2%84%A2-straight-jaw-tongue-groove-pliers")</f>
        <v>https://edmondsonsupply.com/collections/electricians-tools/products/channellock-430x-10-inch-speedgrip%E2%84%A2-straight-jaw-tongue-groove-pliers</v>
      </c>
      <c r="B6901" s="3" t="str">
        <f>HYPERLINK("https://edmondsonsupply.com/products/channellock-430x-10-inch-speedgrip%e2%84%a2-straight-jaw-tongue-groove-pliers", "https://edmondsonsupply.com/products/channellock-430x-10-inch-speedgrip%e2%84%a2-straight-jaw-tongue-groove-pliers")</f>
        <v>https://edmondsonsupply.com/products/channellock-430x-10-inch-speedgrip%e2%84%a2-straight-jaw-tongue-groove-pliers</v>
      </c>
      <c r="C6901" t="s">
        <v>8050</v>
      </c>
      <c r="D6901" t="s">
        <v>4988</v>
      </c>
      <c r="E6901" s="3" t="str">
        <f>HYPERLINK("https://www.amazon.com/Channellock-426-8-Inch-Capacity-2-Inch/dp/B00004SBCS/ref=sr_1_7?keywords=Channellock+430X+10-Inch+SPEEDGRIP%E2%84%A2+Straight+Jaw+Tongue+%26+Groove+Pliers&amp;qid=1695174216&amp;sr=8-7", "https://www.amazon.com/Channellock-426-8-Inch-Capacity-2-Inch/dp/B00004SBCS/ref=sr_1_7?keywords=Channellock+430X+10-Inch+SPEEDGRIP%E2%84%A2+Straight+Jaw+Tongue+%26+Groove+Pliers&amp;qid=1695174216&amp;sr=8-7")</f>
        <v>https://www.amazon.com/Channellock-426-8-Inch-Capacity-2-Inch/dp/B00004SBCS/ref=sr_1_7?keywords=Channellock+430X+10-Inch+SPEEDGRIP%E2%84%A2+Straight+Jaw+Tongue+%26+Groove+Pliers&amp;qid=1695174216&amp;sr=8-7</v>
      </c>
      <c r="F6901" t="s">
        <v>4989</v>
      </c>
      <c r="G6901" t="e">
        <f ca="1">_xludf.IMAGE("https://edmondsonsupply.com/cdn/shop/products/430X.jpg?v=1647100497")</f>
        <v>#NAME?</v>
      </c>
      <c r="H6901" t="e">
        <f ca="1">_xludf.IMAGE("https://m.media-amazon.com/images/I/713NYKlIyoL._AC_UL320_.jpg")</f>
        <v>#NAME?</v>
      </c>
      <c r="I6901" t="s">
        <v>5375</v>
      </c>
      <c r="J6901">
        <v>15.95</v>
      </c>
      <c r="K6901" s="4">
        <v>-0.40820000000000001</v>
      </c>
      <c r="L6901">
        <v>4.7</v>
      </c>
      <c r="M6901">
        <v>1999</v>
      </c>
      <c r="O6901" t="s">
        <v>25</v>
      </c>
      <c r="P6901" t="s">
        <v>8051</v>
      </c>
      <c r="Q6901" t="s">
        <v>8052</v>
      </c>
    </row>
    <row r="6902" spans="1:17" ht="15.5" x14ac:dyDescent="0.35">
      <c r="A6902" s="3" t="str">
        <f>HYPERLINK("https://edmondsonsupply.com/collections/electricians-tools/products/channellock-430cb", "https://edmondsonsupply.com/collections/electricians-tools/products/channellock-430cb")</f>
        <v>https://edmondsonsupply.com/collections/electricians-tools/products/channellock-430cb</v>
      </c>
      <c r="B6902" s="3" t="str">
        <f>HYPERLINK("https://edmondsonsupply.com/products/channellock-430cb", "https://edmondsonsupply.com/products/channellock-430cb")</f>
        <v>https://edmondsonsupply.com/products/channellock-430cb</v>
      </c>
      <c r="C6902" t="s">
        <v>5374</v>
      </c>
      <c r="D6902" t="s">
        <v>4988</v>
      </c>
      <c r="E6902" s="3" t="str">
        <f>HYPERLINK("https://www.amazon.com/Channellock-426-8-Inch-Capacity-2-Inch/dp/B00004SBCS/ref=sr_1_4?keywords=Channellock+430CB+10%22+Code+Blue+Straight+Jaw+Tongue+%26+Groove+Pliers&amp;qid=1695173895&amp;sr=8-4", "https://www.amazon.com/Channellock-426-8-Inch-Capacity-2-Inch/dp/B00004SBCS/ref=sr_1_4?keywords=Channellock+430CB+10%22+Code+Blue+Straight+Jaw+Tongue+%26+Groove+Pliers&amp;qid=1695173895&amp;sr=8-4")</f>
        <v>https://www.amazon.com/Channellock-426-8-Inch-Capacity-2-Inch/dp/B00004SBCS/ref=sr_1_4?keywords=Channellock+430CB+10%22+Code+Blue+Straight+Jaw+Tongue+%26+Groove+Pliers&amp;qid=1695173895&amp;sr=8-4</v>
      </c>
      <c r="F6902" t="s">
        <v>4989</v>
      </c>
      <c r="G6902" t="e">
        <f ca="1">_xludf.IMAGE("https://edmondsonsupply.com/cdn/shop/products/430CB-683x1024.jpg?v=1587147133")</f>
        <v>#NAME?</v>
      </c>
      <c r="H6902" t="e">
        <f ca="1">_xludf.IMAGE("https://m.media-amazon.com/images/I/713NYKlIyoL._AC_UL320_.jpg")</f>
        <v>#NAME?</v>
      </c>
      <c r="I6902" t="s">
        <v>5375</v>
      </c>
      <c r="J6902">
        <v>15.95</v>
      </c>
      <c r="K6902" s="4">
        <v>-0.40820000000000001</v>
      </c>
      <c r="L6902">
        <v>4.7</v>
      </c>
      <c r="M6902">
        <v>1999</v>
      </c>
      <c r="O6902" t="s">
        <v>25</v>
      </c>
      <c r="P6902" t="s">
        <v>5376</v>
      </c>
      <c r="Q6902" t="s">
        <v>5377</v>
      </c>
    </row>
    <row r="6903" spans="1:17" ht="15.5" x14ac:dyDescent="0.35">
      <c r="A6903"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6903"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6903" t="s">
        <v>6351</v>
      </c>
      <c r="D6903" t="s">
        <v>5118</v>
      </c>
      <c r="E6903" s="3" t="str">
        <f>HYPERLINK("https://www.amazon.com/Journeyman-T-Handle-Klein-Tools-JTH9E10/dp/B004QV8H90/ref=sr_1_1?keywords=Klein+Tools+JTH9E10+5%2F32-Inch+Hex+Key%2C+Journeyman+T-Handle%2C+9-Inch&amp;qid=1695174218&amp;sr=8-1", "https://www.amazon.com/Journeyman-T-Handle-Klein-Tools-JTH9E10/dp/B004QV8H90/ref=sr_1_1?keywords=Klein+Tools+JTH9E10+5%2F32-Inch+Hex+Key%2C+Journeyman+T-Handle%2C+9-Inch&amp;qid=1695174218&amp;sr=8-1")</f>
        <v>https://www.amazon.com/Journeyman-T-Handle-Klein-Tools-JTH9E10/dp/B004QV8H90/ref=sr_1_1?keywords=Klein+Tools+JTH9E10+5%2F32-Inch+Hex+Key%2C+Journeyman+T-Handle%2C+9-Inch&amp;qid=1695174218&amp;sr=8-1</v>
      </c>
      <c r="F6903" t="s">
        <v>5119</v>
      </c>
      <c r="G6903" t="e">
        <f ca="1">_xludf.IMAGE("https://edmondsonsupply.com/cdn/shop/products/jth9e12_37b16542-2f59-465e-8bba-0a543803dfd0.jpg?v=1647892900")</f>
        <v>#NAME?</v>
      </c>
      <c r="H6903" t="e">
        <f ca="1">_xludf.IMAGE("https://m.media-amazon.com/images/I/51Yb8h41vLL._AC_UL320_.jpg")</f>
        <v>#NAME?</v>
      </c>
      <c r="I6903" t="s">
        <v>2389</v>
      </c>
      <c r="J6903">
        <v>4.49</v>
      </c>
      <c r="K6903" s="4">
        <v>-0.40920000000000001</v>
      </c>
      <c r="L6903">
        <v>4.8</v>
      </c>
      <c r="M6903">
        <v>294</v>
      </c>
      <c r="O6903" t="s">
        <v>171</v>
      </c>
      <c r="P6903" t="s">
        <v>138</v>
      </c>
      <c r="Q6903" t="s">
        <v>6352</v>
      </c>
    </row>
    <row r="6904" spans="1:17" ht="15.5" x14ac:dyDescent="0.35">
      <c r="A6904" s="3" t="str">
        <f>HYPERLINK("https://edmondsonsupply.com/collections/electricians-tools/products/milwaukee-48-22-2181-9-key-folding-hex-key-set-sae", "https://edmondsonsupply.com/collections/electricians-tools/products/milwaukee-48-22-2181-9-key-folding-hex-key-set-sae")</f>
        <v>https://edmondsonsupply.com/collections/electricians-tools/products/milwaukee-48-22-2181-9-key-folding-hex-key-set-sae</v>
      </c>
      <c r="B6904" s="3" t="str">
        <f>HYPERLINK("https://edmondsonsupply.com/products/milwaukee-48-22-2181-9-key-folding-hex-key-set-sae", "https://edmondsonsupply.com/products/milwaukee-48-22-2181-9-key-folding-hex-key-set-sae")</f>
        <v>https://edmondsonsupply.com/products/milwaukee-48-22-2181-9-key-folding-hex-key-set-sae</v>
      </c>
      <c r="C6904" t="s">
        <v>9012</v>
      </c>
      <c r="D6904" t="s">
        <v>9013</v>
      </c>
      <c r="E6904" s="3" t="str">
        <f>HYPERLINK("https://www.amazon.com/SATA-9-Piece-Construction-Ergonomic-Material/dp/B0779MSRZX/ref=sr_1_7?keywords=Milwaukee+48-22-2181+9-Key+Folding+Hex+Key+Set+-+SAE&amp;qid=1695174066&amp;sr=8-7", "https://www.amazon.com/SATA-9-Piece-Construction-Ergonomic-Material/dp/B0779MSRZX/ref=sr_1_7?keywords=Milwaukee+48-22-2181+9-Key+Folding+Hex+Key+Set+-+SAE&amp;qid=1695174066&amp;sr=8-7")</f>
        <v>https://www.amazon.com/SATA-9-Piece-Construction-Ergonomic-Material/dp/B0779MSRZX/ref=sr_1_7?keywords=Milwaukee+48-22-2181+9-Key+Folding+Hex+Key+Set+-+SAE&amp;qid=1695174066&amp;sr=8-7</v>
      </c>
      <c r="F6904" t="s">
        <v>9014</v>
      </c>
      <c r="G6904" t="e">
        <f ca="1">_xludf.IMAGE("https://edmondsonsupply.com/cdn/shop/products/48-22-2181_101.webp?v=1680111790")</f>
        <v>#NAME?</v>
      </c>
      <c r="H6904" t="e">
        <f ca="1">_xludf.IMAGE("https://m.media-amazon.com/images/I/81cQMqP9pWL._AC_UL320_.jpg")</f>
        <v>#NAME?</v>
      </c>
      <c r="I6904" t="s">
        <v>4985</v>
      </c>
      <c r="J6904">
        <v>9.99</v>
      </c>
      <c r="K6904" s="4">
        <v>-0.4113</v>
      </c>
      <c r="L6904">
        <v>4.5999999999999996</v>
      </c>
      <c r="M6904">
        <v>358</v>
      </c>
      <c r="O6904" t="s">
        <v>25</v>
      </c>
      <c r="P6904" t="s">
        <v>1707</v>
      </c>
      <c r="Q6904" t="s">
        <v>9015</v>
      </c>
    </row>
    <row r="6905" spans="1:17" ht="15.5" x14ac:dyDescent="0.35">
      <c r="A6905"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6905" s="3" t="str">
        <f>HYPERLINK("https://edmondsonsupply.com/products/klein-tools-5165-10-pocket-tool-pouch-knife-snap", "https://edmondsonsupply.com/products/klein-tools-5165-10-pocket-tool-pouch-knife-snap")</f>
        <v>https://edmondsonsupply.com/products/klein-tools-5165-10-pocket-tool-pouch-knife-snap</v>
      </c>
      <c r="C6905" t="s">
        <v>700</v>
      </c>
      <c r="D6905" t="s">
        <v>788</v>
      </c>
      <c r="E6905" s="3" t="str">
        <f>HYPERLINK("https://www.amazon.com/Linemans-Pouch-Klein-Tools-S5118PRS/dp/B0002RIA30/ref=sr_1_8?keywords=Klein+Tools+5165+10+Pocket+Leather+Tool+Pouch+with+Knife+Snap&amp;qid=1695173934&amp;sr=8-8", "https://www.amazon.com/Linemans-Pouch-Klein-Tools-S5118PRS/dp/B0002RIA30/ref=sr_1_8?keywords=Klein+Tools+5165+10+Pocket+Leather+Tool+Pouch+with+Knife+Snap&amp;qid=1695173934&amp;sr=8-8")</f>
        <v>https://www.amazon.com/Linemans-Pouch-Klein-Tools-S5118PRS/dp/B0002RIA30/ref=sr_1_8?keywords=Klein+Tools+5165+10+Pocket+Leather+Tool+Pouch+with+Knife+Snap&amp;qid=1695173934&amp;sr=8-8</v>
      </c>
      <c r="F6905" t="s">
        <v>789</v>
      </c>
      <c r="G6905" t="e">
        <f ca="1">_xludf.IMAGE("https://edmondsonsupply.com/cdn/shop/products/5165.jpg?v=1587145507")</f>
        <v>#NAME?</v>
      </c>
      <c r="H6905" t="e">
        <f ca="1">_xludf.IMAGE("https://m.media-amazon.com/images/I/51oBBMnS2PL._AC_UL320_.jpg")</f>
        <v>#NAME?</v>
      </c>
      <c r="I6905" t="s">
        <v>703</v>
      </c>
      <c r="J6905">
        <v>37.07</v>
      </c>
      <c r="K6905" s="4">
        <v>-0.41149999999999998</v>
      </c>
      <c r="L6905">
        <v>4.5</v>
      </c>
      <c r="M6905">
        <v>443</v>
      </c>
      <c r="O6905" t="s">
        <v>25</v>
      </c>
      <c r="P6905" t="s">
        <v>704</v>
      </c>
      <c r="Q6905" t="s">
        <v>705</v>
      </c>
    </row>
    <row r="6906" spans="1:17" ht="15.5" x14ac:dyDescent="0.35">
      <c r="A6906"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6906" s="3" t="str">
        <f>HYPERLINK("https://edmondsonsupply.com/products/klein-tools-9416r-1000v-insulated-tool-kit-3-piece", "https://edmondsonsupply.com/products/klein-tools-9416r-1000v-insulated-tool-kit-3-piece")</f>
        <v>https://edmondsonsupply.com/products/klein-tools-9416r-1000v-insulated-tool-kit-3-piece</v>
      </c>
      <c r="C6906" t="s">
        <v>6428</v>
      </c>
      <c r="D6906" t="s">
        <v>2245</v>
      </c>
      <c r="E6906" s="3" t="str">
        <f>HYPERLINK("https://www.amazon.com/Klein-Tools-33736INS-Screwdriver-Magnetizer/dp/B09GPZPMTD/ref=sr_1_7?keywords=Klein+Tools+9416R+1000V+Insulated+Tool+Kit%2C+3-Piece&amp;qid=1695174123&amp;sr=8-7", "https://www.amazon.com/Klein-Tools-33736INS-Screwdriver-Magnetizer/dp/B09GPZPMTD/ref=sr_1_7?keywords=Klein+Tools+9416R+1000V+Insulated+Tool+Kit%2C+3-Piece&amp;qid=1695174123&amp;sr=8-7")</f>
        <v>https://www.amazon.com/Klein-Tools-33736INS-Screwdriver-Magnetizer/dp/B09GPZPMTD/ref=sr_1_7?keywords=Klein+Tools+9416R+1000V+Insulated+Tool+Kit%2C+3-Piece&amp;qid=1695174123&amp;sr=8-7</v>
      </c>
      <c r="F6906" t="s">
        <v>2246</v>
      </c>
      <c r="G6906" t="e">
        <f ca="1">_xludf.IMAGE("https://edmondsonsupply.com/cdn/shop/products/9416r.jpg?v=1667327475")</f>
        <v>#NAME?</v>
      </c>
      <c r="H6906" t="e">
        <f ca="1">_xludf.IMAGE("https://m.media-amazon.com/images/I/51W2DUA3c7L._AC_UL320_.jpg")</f>
        <v>#NAME?</v>
      </c>
      <c r="I6906" t="s">
        <v>6429</v>
      </c>
      <c r="J6906">
        <v>49.99</v>
      </c>
      <c r="K6906" s="4">
        <v>-0.4118</v>
      </c>
      <c r="L6906">
        <v>4.8</v>
      </c>
      <c r="M6906">
        <v>419</v>
      </c>
      <c r="O6906" t="s">
        <v>25</v>
      </c>
      <c r="P6906" t="s">
        <v>6430</v>
      </c>
      <c r="Q6906" t="s">
        <v>6431</v>
      </c>
    </row>
    <row r="6907" spans="1:17" ht="15.5" x14ac:dyDescent="0.35">
      <c r="A6907" s="3" t="str">
        <f>HYPERLINK("https://edmondsonsupply.com/collections/electricians-tools/products/crescent-tools-caead332-eshok-guard%E2%84%A2-socket-isolator-1-2-x-2-1-2", "https://edmondsonsupply.com/collections/electricians-tools/products/crescent-tools-caead332-eshok-guard%E2%84%A2-socket-isolator-1-2-x-2-1-2")</f>
        <v>https://edmondsonsupply.com/collections/electricians-tools/products/crescent-tools-caead332-eshok-guard%E2%84%A2-socket-isolator-1-2-x-2-1-2</v>
      </c>
      <c r="B6907" s="3" t="str">
        <f>HYPERLINK("https://edmondsonsupply.com/products/crescent-tools-caead332-eshok-guard%e2%84%a2-socket-isolator-1-2-x-2-1-2", "https://edmondsonsupply.com/products/crescent-tools-caead332-eshok-guard%e2%84%a2-socket-isolator-1-2-x-2-1-2")</f>
        <v>https://edmondsonsupply.com/products/crescent-tools-caead332-eshok-guard%e2%84%a2-socket-isolator-1-2-x-2-1-2</v>
      </c>
      <c r="C6907" t="s">
        <v>9016</v>
      </c>
      <c r="D6907" t="s">
        <v>9017</v>
      </c>
      <c r="E6907" s="3" t="str">
        <f>HYPERLINK("https://www.amazon.com/CRESCENT-APEX-eSHOK-GUARD-Socket/dp/B08SP7FFB4/ref=sr_1_1?keywords=Crescent+Tools+CAEAD332+eSHOK-GUARD%E2%84%A2+Socket+Isolator+1%2F2%22+x+2-1%2F2%22&amp;qid=1695174131&amp;sr=8-1", "https://www.amazon.com/CRESCENT-APEX-eSHOK-GUARD-Socket/dp/B08SP7FFB4/ref=sr_1_1?keywords=Crescent+Tools+CAEAD332+eSHOK-GUARD%E2%84%A2+Socket+Isolator+1%2F2%22+x+2-1%2F2%22&amp;qid=1695174131&amp;sr=8-1")</f>
        <v>https://www.amazon.com/CRESCENT-APEX-eSHOK-GUARD-Socket/dp/B08SP7FFB4/ref=sr_1_1?keywords=Crescent+Tools+CAEAD332+eSHOK-GUARD%E2%84%A2+Socket+Isolator+1%2F2%22+x+2-1%2F2%22&amp;qid=1695174131&amp;sr=8-1</v>
      </c>
      <c r="F6907" t="s">
        <v>9018</v>
      </c>
      <c r="G6907" t="e">
        <f ca="1">_xludf.IMAGE("https://edmondsonsupply.com/cdn/shop/products/APX_CAEAD332_IMG_MAIN.jpg?v=1678747341")</f>
        <v>#NAME?</v>
      </c>
      <c r="H6907" t="e">
        <f ca="1">_xludf.IMAGE("https://m.media-amazon.com/images/I/31uJTqP0gpL._AC_UL320_.jpg")</f>
        <v>#NAME?</v>
      </c>
      <c r="I6907" t="s">
        <v>4229</v>
      </c>
      <c r="J6907">
        <v>9.11</v>
      </c>
      <c r="K6907" s="4">
        <v>-0.41189999999999999</v>
      </c>
      <c r="L6907">
        <v>4.9000000000000004</v>
      </c>
      <c r="M6907">
        <v>52</v>
      </c>
      <c r="O6907" t="s">
        <v>25</v>
      </c>
      <c r="P6907" t="s">
        <v>9019</v>
      </c>
      <c r="Q6907" t="s">
        <v>9020</v>
      </c>
    </row>
    <row r="6908" spans="1:17" ht="15.5" x14ac:dyDescent="0.35">
      <c r="A6908" s="3" t="str">
        <f>HYPERLINK("https://edmondsonsupply.com/collections/electricians-tools/products/greenlee-gsb07-7-8-step-bit-7", "https://edmondsonsupply.com/collections/electricians-tools/products/greenlee-gsb07-7-8-step-bit-7")</f>
        <v>https://edmondsonsupply.com/collections/electricians-tools/products/greenlee-gsb07-7-8-step-bit-7</v>
      </c>
      <c r="B6908" s="3" t="str">
        <f>HYPERLINK("https://edmondsonsupply.com/products/greenlee-gsb07-7-8-step-bit-7", "https://edmondsonsupply.com/products/greenlee-gsb07-7-8-step-bit-7")</f>
        <v>https://edmondsonsupply.com/products/greenlee-gsb07-7-8-step-bit-7</v>
      </c>
      <c r="C6908" t="s">
        <v>5522</v>
      </c>
      <c r="D6908" t="s">
        <v>4378</v>
      </c>
      <c r="E6908" s="3" t="str">
        <f>HYPERLINK("https://www.amazon.com/Greenlee-GSB04-Step-Bit/dp/B08TVF22W4/ref=sr_1_1?keywords=Greenlee+GSB07+7%2F8%22+Step+Bit+%28%237%29&amp;qid=1695174005&amp;sr=8-1", "https://www.amazon.com/Greenlee-GSB04-Step-Bit/dp/B08TVF22W4/ref=sr_1_1?keywords=Greenlee+GSB07+7%2F8%22+Step+Bit+%28%237%29&amp;qid=1695174005&amp;sr=8-1")</f>
        <v>https://www.amazon.com/Greenlee-GSB04-Step-Bit/dp/B08TVF22W4/ref=sr_1_1?keywords=Greenlee+GSB07+7%2F8%22+Step+Bit+%28%237%29&amp;qid=1695174005&amp;sr=8-1</v>
      </c>
      <c r="F6908" t="s">
        <v>4379</v>
      </c>
      <c r="G6908" t="e">
        <f ca="1">_xludf.IMAGE("https://edmondsonsupply.com/cdn/shop/files/GSB07_CAT1_72dpi.jpg?v=1687791534")</f>
        <v>#NAME?</v>
      </c>
      <c r="H6908" t="e">
        <f ca="1">_xludf.IMAGE("https://m.media-amazon.com/images/I/41FX4czhS0L._AC_UY218_.jpg")</f>
        <v>#NAME?</v>
      </c>
      <c r="I6908" t="s">
        <v>5523</v>
      </c>
      <c r="J6908">
        <v>32</v>
      </c>
      <c r="K6908" s="4">
        <v>-0.4138</v>
      </c>
      <c r="L6908">
        <v>5</v>
      </c>
      <c r="M6908">
        <v>7</v>
      </c>
      <c r="O6908" t="s">
        <v>25</v>
      </c>
      <c r="P6908" t="s">
        <v>5524</v>
      </c>
      <c r="Q6908" t="s">
        <v>5525</v>
      </c>
    </row>
    <row r="6909" spans="1:17" ht="15.5" x14ac:dyDescent="0.35">
      <c r="A6909" s="3" t="str">
        <f>HYPERLINK("https://edmondsonsupply.com/collections/electricians-tools/products/fluke-2ac-non-contact-voltage-tester-90-to-1000v", "https://edmondsonsupply.com/collections/electricians-tools/products/fluke-2ac-non-contact-voltage-tester-90-to-1000v")</f>
        <v>https://edmondsonsupply.com/collections/electricians-tools/products/fluke-2ac-non-contact-voltage-tester-90-to-1000v</v>
      </c>
      <c r="B6909" s="3" t="str">
        <f>HYPERLINK("https://edmondsonsupply.com/products/fluke-2ac-non-contact-voltage-tester-90-to-1000v", "https://edmondsonsupply.com/products/fluke-2ac-non-contact-voltage-tester-90-to-1000v")</f>
        <v>https://edmondsonsupply.com/products/fluke-2ac-non-contact-voltage-tester-90-to-1000v</v>
      </c>
      <c r="C6909" t="s">
        <v>9021</v>
      </c>
      <c r="D6909" t="s">
        <v>9022</v>
      </c>
      <c r="E6909" s="3" t="str">
        <f>HYPERLINK("https://www.amazon.com/Fluke-1AC-A1-II-VoltAlert-Non-Contact-Voltage/dp/B000EJ332O/ref=sr_1_1?keywords=Fluke+2AC+Non-Contact+Voltage+Tester%2C+90+to+1000V&amp;qid=1695174287&amp;sr=8-1", "https://www.amazon.com/Fluke-1AC-A1-II-VoltAlert-Non-Contact-Voltage/dp/B000EJ332O/ref=sr_1_1?keywords=Fluke+2AC+Non-Contact+Voltage+Tester%2C+90+to+1000V&amp;qid=1695174287&amp;sr=8-1")</f>
        <v>https://www.amazon.com/Fluke-1AC-A1-II-VoltAlert-Non-Contact-Voltage/dp/B000EJ332O/ref=sr_1_1?keywords=Fluke+2AC+Non-Contact+Voltage+Tester%2C+90+to+1000V&amp;qid=1695174287&amp;sr=8-1</v>
      </c>
      <c r="F6909" t="s">
        <v>9023</v>
      </c>
      <c r="G6909" t="e">
        <f ca="1">_xludf.IMAGE("https://edmondsonsupply.com/cdn/shop/products/e0010839_640x477_b6e1f28e-9ab2-49df-9514-6a2e4f0928d9.jpg?v=1633030920")</f>
        <v>#NAME?</v>
      </c>
      <c r="H6909" t="e">
        <f ca="1">_xludf.IMAGE("https://m.media-amazon.com/images/I/61UvsXlpIaL._AC_UL320_.jpg")</f>
        <v>#NAME?</v>
      </c>
      <c r="I6909" t="s">
        <v>8002</v>
      </c>
      <c r="J6909">
        <v>23.99</v>
      </c>
      <c r="K6909" s="4">
        <v>-0.41470000000000001</v>
      </c>
      <c r="L6909">
        <v>4.7</v>
      </c>
      <c r="M6909">
        <v>12116</v>
      </c>
      <c r="O6909" t="s">
        <v>25</v>
      </c>
      <c r="P6909" t="s">
        <v>5535</v>
      </c>
      <c r="Q6909" t="s">
        <v>9024</v>
      </c>
    </row>
    <row r="6910" spans="1:17" ht="15.5" x14ac:dyDescent="0.35">
      <c r="A6910" s="3" t="str">
        <f>HYPERLINK("https://edmondsonsupply.com/collections/electricians-tools/products/tajima-jpr-265-japan-pull%E2%84%A2-265-16-tpi-blade", "https://edmondsonsupply.com/collections/electricians-tools/products/tajima-jpr-265-japan-pull%E2%84%A2-265-16-tpi-blade")</f>
        <v>https://edmondsonsupply.com/collections/electricians-tools/products/tajima-jpr-265-japan-pull%E2%84%A2-265-16-tpi-blade</v>
      </c>
      <c r="B6910" s="3" t="str">
        <f>HYPERLINK("https://edmondsonsupply.com/products/tajima-jpr-265-japan-pull%e2%84%a2-265-16-tpi-blade", "https://edmondsonsupply.com/products/tajima-jpr-265-japan-pull%e2%84%a2-265-16-tpi-blade")</f>
        <v>https://edmondsonsupply.com/products/tajima-jpr-265-japan-pull%e2%84%a2-265-16-tpi-blade</v>
      </c>
      <c r="C6910" t="s">
        <v>7348</v>
      </c>
      <c r="D6910" t="s">
        <v>9025</v>
      </c>
      <c r="E6910" s="3" t="str">
        <f>HYPERLINK("https://www.amazon.com/TAJIMA-Pull-Stroke-Saw-Quick-Release-Elastomer/dp/B0042BAH6K/ref=sr_1_2?keywords=Tajima+JPR-265+Japan+Pull%E2%84%A2+265%2C+16+TPI+Blade&amp;qid=1695174192&amp;sr=8-2", "https://www.amazon.com/TAJIMA-Pull-Stroke-Saw-Quick-Release-Elastomer/dp/B0042BAH6K/ref=sr_1_2?keywords=Tajima+JPR-265+Japan+Pull%E2%84%A2+265%2C+16+TPI+Blade&amp;qid=1695174192&amp;sr=8-2")</f>
        <v>https://www.amazon.com/TAJIMA-Pull-Stroke-Saw-Quick-Release-Elastomer/dp/B0042BAH6K/ref=sr_1_2?keywords=Tajima+JPR-265+Japan+Pull%E2%84%A2+265%2C+16+TPI+Blade&amp;qid=1695174192&amp;sr=8-2</v>
      </c>
      <c r="F6910" t="s">
        <v>9026</v>
      </c>
      <c r="G6910" t="e">
        <f ca="1">_xludf.IMAGE("https://edmondsonsupply.com/cdn/shop/products/JPR-265.jpg?v=1655818417")</f>
        <v>#NAME?</v>
      </c>
      <c r="H6910" t="e">
        <f ca="1">_xludf.IMAGE("https://m.media-amazon.com/images/I/61ys54ygZsL._AC_UL320_.jpg")</f>
        <v>#NAME?</v>
      </c>
      <c r="I6910" t="s">
        <v>7351</v>
      </c>
      <c r="J6910">
        <v>18.62</v>
      </c>
      <c r="K6910" s="4">
        <v>-0.4148</v>
      </c>
      <c r="L6910">
        <v>4.5</v>
      </c>
      <c r="M6910">
        <v>37</v>
      </c>
      <c r="O6910" t="s">
        <v>25</v>
      </c>
      <c r="P6910" t="s">
        <v>260</v>
      </c>
      <c r="Q6910" t="s">
        <v>7352</v>
      </c>
    </row>
    <row r="6911" spans="1:17" ht="15.5" x14ac:dyDescent="0.35">
      <c r="A6911" s="3" t="str">
        <f>HYPERLINK("https://edmondsonsupply.com/collections/electricians-tools/products/milwaukee-48-11-2440-m12%E2%84%A2-redlithium%E2%84%A2-xc-4-0-extended-capacity-battery-pack", "https://edmondsonsupply.com/collections/electricians-tools/products/milwaukee-48-11-2440-m12%E2%84%A2-redlithium%E2%84%A2-xc-4-0-extended-capacity-battery-pack")</f>
        <v>https://edmondsonsupply.com/collections/electricians-tools/products/milwaukee-48-11-2440-m12%E2%84%A2-redlithium%E2%84%A2-xc-4-0-extended-capacity-battery-pack</v>
      </c>
      <c r="B6911" s="3" t="str">
        <f>HYPERLINK("https://edmondsonsupply.com/products/milwaukee-48-11-2440-m12%e2%84%a2-redlithium%e2%84%a2-xc-4-0-extended-capacity-battery-pack", "https://edmondsonsupply.com/products/milwaukee-48-11-2440-m12%e2%84%a2-redlithium%e2%84%a2-xc-4-0-extended-capacity-battery-pack")</f>
        <v>https://edmondsonsupply.com/products/milwaukee-48-11-2440-m12%e2%84%a2-redlithium%e2%84%a2-xc-4-0-extended-capacity-battery-pack</v>
      </c>
      <c r="C6911" t="s">
        <v>8285</v>
      </c>
      <c r="D6911" t="s">
        <v>9027</v>
      </c>
      <c r="E6911" s="3" t="str">
        <f>HYPERLINK("https://www.amazon.com/Milwaukee-48-11-2440-REDLITHIUM-Extended-Capacity/dp/B00BYFO1AA/ref=sr_1_1?keywords=Milwaukee+48-11-2440+M12%E2%84%A2+REDLITHIUM%E2%84%A2+XC+4.0+Extended+Capacity+Battery+Pack&amp;qid=1695174198&amp;sr=8-1", "https://www.amazon.com/Milwaukee-48-11-2440-REDLITHIUM-Extended-Capacity/dp/B00BYFO1AA/ref=sr_1_1?keywords=Milwaukee+48-11-2440+M12%E2%84%A2+REDLITHIUM%E2%84%A2+XC+4.0+Extended+Capacity+Battery+Pack&amp;qid=1695174198&amp;sr=8-1")</f>
        <v>https://www.amazon.com/Milwaukee-48-11-2440-REDLITHIUM-Extended-Capacity/dp/B00BYFO1AA/ref=sr_1_1?keywords=Milwaukee+48-11-2440+M12%E2%84%A2+REDLITHIUM%E2%84%A2+XC+4.0+Extended+Capacity+Battery+Pack&amp;qid=1695174198&amp;sr=8-1</v>
      </c>
      <c r="F6911" t="s">
        <v>9028</v>
      </c>
      <c r="G6911" t="e">
        <f ca="1">_xludf.IMAGE("https://edmondsonsupply.com/cdn/shop/products/64620_48-11-2440-lg.png?v=1654801817")</f>
        <v>#NAME?</v>
      </c>
      <c r="H6911" t="e">
        <f ca="1">_xludf.IMAGE("https://m.media-amazon.com/images/I/81RzIHvm69L._AC_UL320_.jpg")</f>
        <v>#NAME?</v>
      </c>
      <c r="I6911" t="s">
        <v>3253</v>
      </c>
      <c r="J6911">
        <v>51.99</v>
      </c>
      <c r="K6911" s="4">
        <v>-0.4158</v>
      </c>
      <c r="L6911">
        <v>4.8</v>
      </c>
      <c r="M6911">
        <v>3002</v>
      </c>
      <c r="O6911" t="s">
        <v>171</v>
      </c>
      <c r="P6911" t="s">
        <v>692</v>
      </c>
      <c r="Q6911" t="s">
        <v>8288</v>
      </c>
    </row>
    <row r="6912" spans="1:17" ht="15.5" x14ac:dyDescent="0.35">
      <c r="A6912" s="3" t="str">
        <f>HYPERLINK("https://edmondsonsupply.com/collections/electricians-tools/products/tajima-gk-g240-g-saw%E2%84%A2-240-folding-pull-stroke-saw-9-tpi-blade", "https://edmondsonsupply.com/collections/electricians-tools/products/tajima-gk-g240-g-saw%E2%84%A2-240-folding-pull-stroke-saw-9-tpi-blade")</f>
        <v>https://edmondsonsupply.com/collections/electricians-tools/products/tajima-gk-g240-g-saw%E2%84%A2-240-folding-pull-stroke-saw-9-tpi-blade</v>
      </c>
      <c r="B6912" s="3" t="str">
        <f>HYPERLINK("https://edmondsonsupply.com/products/tajima-gk-g240-g-saw%e2%84%a2-240-folding-pull-stroke-saw-9-tpi-blade", "https://edmondsonsupply.com/products/tajima-gk-g240-g-saw%e2%84%a2-240-folding-pull-stroke-saw-9-tpi-blade")</f>
        <v>https://edmondsonsupply.com/products/tajima-gk-g240-g-saw%e2%84%a2-240-folding-pull-stroke-saw-9-tpi-blade</v>
      </c>
      <c r="C6912" t="s">
        <v>9029</v>
      </c>
      <c r="D6912" t="s">
        <v>9030</v>
      </c>
      <c r="E6912" s="3" t="str">
        <f>HYPERLINK("https://www.amazon.com/TAJIMA-Pull-Stroke-Saw-Multi-Position-Elastomer/dp/B0008Z7FEG/ref=sr_1_1?keywords=Tajima+GK-G240+G-Saw%E2%84%A2+240+Folding+Pull-Stroke+Saw%2C+9+TPI+Blade&amp;qid=1695174237&amp;sr=8-1", "https://www.amazon.com/TAJIMA-Pull-Stroke-Saw-Multi-Position-Elastomer/dp/B0008Z7FEG/ref=sr_1_1?keywords=Tajima+GK-G240+G-Saw%E2%84%A2+240+Folding+Pull-Stroke+Saw%2C+9+TPI+Blade&amp;qid=1695174237&amp;sr=8-1")</f>
        <v>https://www.amazon.com/TAJIMA-Pull-Stroke-Saw-Multi-Position-Elastomer/dp/B0008Z7FEG/ref=sr_1_1?keywords=Tajima+GK-G240+G-Saw%E2%84%A2+240+Folding+Pull-Stroke+Saw%2C+9+TPI+Blade&amp;qid=1695174237&amp;sr=8-1</v>
      </c>
      <c r="F6912" t="s">
        <v>9031</v>
      </c>
      <c r="G6912" t="e">
        <f ca="1">_xludf.IMAGE("https://edmondsonsupply.com/cdn/shop/products/GK-G240.jpg?v=1637114454")</f>
        <v>#NAME?</v>
      </c>
      <c r="H6912" t="e">
        <f ca="1">_xludf.IMAGE("https://m.media-amazon.com/images/I/51sbHsvfz+L._AC_UL320_.jpg")</f>
        <v>#NAME?</v>
      </c>
      <c r="I6912" t="s">
        <v>9032</v>
      </c>
      <c r="J6912">
        <v>20.8</v>
      </c>
      <c r="K6912" s="4">
        <v>-0.42680000000000001</v>
      </c>
      <c r="L6912">
        <v>4.7</v>
      </c>
      <c r="M6912">
        <v>152</v>
      </c>
      <c r="O6912" t="s">
        <v>25</v>
      </c>
      <c r="P6912" t="s">
        <v>138</v>
      </c>
      <c r="Q6912" t="s">
        <v>9033</v>
      </c>
    </row>
    <row r="6913" spans="1:17" ht="15.5" x14ac:dyDescent="0.35">
      <c r="A6913" s="3" t="str">
        <f>HYPERLINK("https://edmondsonsupply.com/collections/electricians-tools/products/milwaukee-2880-20-m18-fuel%E2%84%A2-4-1-2-5-grinder-paddle-switch-no-lock", "https://edmondsonsupply.com/collections/electricians-tools/products/milwaukee-2880-20-m18-fuel%E2%84%A2-4-1-2-5-grinder-paddle-switch-no-lock")</f>
        <v>https://edmondsonsupply.com/collections/electricians-tools/products/milwaukee-2880-20-m18-fuel%E2%84%A2-4-1-2-5-grinder-paddle-switch-no-lock</v>
      </c>
      <c r="B6913" s="3" t="str">
        <f>HYPERLINK("https://edmondsonsupply.com/products/milwaukee-2880-20-m18-fuel%e2%84%a2-4-1-2-5-grinder-paddle-switch-no-lock", "https://edmondsonsupply.com/products/milwaukee-2880-20-m18-fuel%e2%84%a2-4-1-2-5-grinder-paddle-switch-no-lock")</f>
        <v>https://edmondsonsupply.com/products/milwaukee-2880-20-m18-fuel%e2%84%a2-4-1-2-5-grinder-paddle-switch-no-lock</v>
      </c>
      <c r="C6913" t="s">
        <v>6321</v>
      </c>
      <c r="D6913" t="s">
        <v>9034</v>
      </c>
      <c r="E6913" s="3" t="str">
        <f>HYPERLINK("https://www.amazon.com/Milwaukee-2880-20-Grinder-Paddle-Switch/dp/B09RX4R3TR/ref=sr_1_1?keywords=Milwaukee+2880-20+M18+FUEL%E2%84%A2+4-1%2F2%22+%2F+5%22+Grinder+Paddle+Switch%2C+No-Lock&amp;qid=1695174165&amp;sr=8-1", "https://www.amazon.com/Milwaukee-2880-20-Grinder-Paddle-Switch/dp/B09RX4R3TR/ref=sr_1_1?keywords=Milwaukee+2880-20+M18+FUEL%E2%84%A2+4-1%2F2%22+%2F+5%22+Grinder+Paddle+Switch%2C+No-Lock&amp;qid=1695174165&amp;sr=8-1")</f>
        <v>https://www.amazon.com/Milwaukee-2880-20-Grinder-Paddle-Switch/dp/B09RX4R3TR/ref=sr_1_1?keywords=Milwaukee+2880-20+M18+FUEL%E2%84%A2+4-1%2F2%22+%2F+5%22+Grinder+Paddle+Switch%2C+No-Lock&amp;qid=1695174165&amp;sr=8-1</v>
      </c>
      <c r="F6913" t="s">
        <v>9035</v>
      </c>
      <c r="G6913" t="e">
        <f ca="1">_xludf.IMAGE("https://edmondsonsupply.com/cdn/shop/products/2880-20_1.webp?v=1661698933")</f>
        <v>#NAME?</v>
      </c>
      <c r="H6913" t="e">
        <f ca="1">_xludf.IMAGE("https://m.media-amazon.com/images/I/71eDEAhB1NL._AC_UL320_.jpg")</f>
        <v>#NAME?</v>
      </c>
      <c r="I6913" t="s">
        <v>715</v>
      </c>
      <c r="J6913">
        <v>114</v>
      </c>
      <c r="K6913" s="4">
        <v>-0.42709999999999998</v>
      </c>
      <c r="L6913">
        <v>4.8</v>
      </c>
      <c r="M6913">
        <v>440</v>
      </c>
      <c r="O6913" t="s">
        <v>25</v>
      </c>
      <c r="P6913" t="s">
        <v>4885</v>
      </c>
      <c r="Q6913" t="s">
        <v>6324</v>
      </c>
    </row>
    <row r="6914" spans="1:17" ht="15.5" x14ac:dyDescent="0.35">
      <c r="A6914" s="3" t="str">
        <f>HYPERLINK("https://edmondsonsupply.com/collections/electricians-tools/products/klein-tools-69190-magnetic-hanger", "https://edmondsonsupply.com/collections/electricians-tools/products/klein-tools-69190-magnetic-hanger")</f>
        <v>https://edmondsonsupply.com/collections/electricians-tools/products/klein-tools-69190-magnetic-hanger</v>
      </c>
      <c r="B6914" s="3" t="str">
        <f>HYPERLINK("https://edmondsonsupply.com/products/klein-tools-69190-magnetic-hanger", "https://edmondsonsupply.com/products/klein-tools-69190-magnetic-hanger")</f>
        <v>https://edmondsonsupply.com/products/klein-tools-69190-magnetic-hanger</v>
      </c>
      <c r="C6914" t="s">
        <v>7906</v>
      </c>
      <c r="D6914" t="s">
        <v>9036</v>
      </c>
      <c r="E6914" s="3" t="str">
        <f>HYPERLINK("https://www.amazon.com/Magnetic-Replacement-Digital-Multimeter-KingSung/dp/B0BXCB7PJT/ref=sr_1_5?keywords=Klein+Tools+69190+Magnetic+Hanger&amp;qid=1695174256&amp;sr=8-5", "https://www.amazon.com/Magnetic-Replacement-Digital-Multimeter-KingSung/dp/B0BXCB7PJT/ref=sr_1_5?keywords=Klein+Tools+69190+Magnetic+Hanger&amp;qid=1695174256&amp;sr=8-5")</f>
        <v>https://www.amazon.com/Magnetic-Replacement-Digital-Multimeter-KingSung/dp/B0BXCB7PJT/ref=sr_1_5?keywords=Klein+Tools+69190+Magnetic+Hanger&amp;qid=1695174256&amp;sr=8-5</v>
      </c>
      <c r="F6914" t="s">
        <v>9037</v>
      </c>
      <c r="G6914" t="e">
        <f ca="1">_xludf.IMAGE("https://edmondsonsupply.com/cdn/shop/products/69190.jpg?v=1633031095")</f>
        <v>#NAME?</v>
      </c>
      <c r="H6914" t="e">
        <f ca="1">_xludf.IMAGE("https://m.media-amazon.com/images/I/71dbm03PU4L._AC_UL320_.jpg")</f>
        <v>#NAME?</v>
      </c>
      <c r="I6914" t="s">
        <v>3185</v>
      </c>
      <c r="J6914">
        <v>11.99</v>
      </c>
      <c r="K6914" s="4">
        <v>-0.42880000000000001</v>
      </c>
      <c r="L6914">
        <v>4.8</v>
      </c>
      <c r="M6914">
        <v>30</v>
      </c>
      <c r="O6914" t="s">
        <v>25</v>
      </c>
      <c r="P6914" t="s">
        <v>7909</v>
      </c>
      <c r="Q6914" t="s">
        <v>7910</v>
      </c>
    </row>
    <row r="6915" spans="1:17" ht="15.5" x14ac:dyDescent="0.35">
      <c r="A6915" s="3" t="str">
        <f>HYPERLINK("https://edmondsonsupply.com/collections/electricians-tools/products/klein-tools-cl390-ac-dc-digital-clamp-meter-auto-ranging-400-amp", "https://edmondsonsupply.com/collections/electricians-tools/products/klein-tools-cl390-ac-dc-digital-clamp-meter-auto-ranging-400-amp")</f>
        <v>https://edmondsonsupply.com/collections/electricians-tools/products/klein-tools-cl390-ac-dc-digital-clamp-meter-auto-ranging-400-amp</v>
      </c>
      <c r="B6915" s="3" t="str">
        <f>HYPERLINK("https://edmondsonsupply.com/products/klein-tools-cl390-ac-dc-digital-clamp-meter-auto-ranging-400-amp", "https://edmondsonsupply.com/products/klein-tools-cl390-ac-dc-digital-clamp-meter-auto-ranging-400-amp")</f>
        <v>https://edmondsonsupply.com/products/klein-tools-cl390-ac-dc-digital-clamp-meter-auto-ranging-400-amp</v>
      </c>
      <c r="C6915" t="s">
        <v>7150</v>
      </c>
      <c r="D6915" t="s">
        <v>8724</v>
      </c>
      <c r="E6915" s="3" t="str">
        <f>HYPERLINK("https://www.amazon.com/Klein-Tools-CL120-Auto-Ranging-Measurements/dp/B08CP6GL49/ref=sr_1_3?keywords=Klein+Tools+CL390+AC%2FDC+Digital+Clamp+Meter%2C+Auto-Ranging+400+Amp&amp;qid=1695174165&amp;sr=8-3", "https://www.amazon.com/Klein-Tools-CL120-Auto-Ranging-Measurements/dp/B08CP6GL49/ref=sr_1_3?keywords=Klein+Tools+CL390+AC%2FDC+Digital+Clamp+Meter%2C+Auto-Ranging+400+Amp&amp;qid=1695174165&amp;sr=8-3")</f>
        <v>https://www.amazon.com/Klein-Tools-CL120-Auto-Ranging-Measurements/dp/B08CP6GL49/ref=sr_1_3?keywords=Klein+Tools+CL390+AC%2FDC+Digital+Clamp+Meter%2C+Auto-Ranging+400+Amp&amp;qid=1695174165&amp;sr=8-3</v>
      </c>
      <c r="F6915" t="s">
        <v>8725</v>
      </c>
      <c r="G6915" t="e">
        <f ca="1">_xludf.IMAGE("https://edmondsonsupply.com/cdn/shop/products/cl390.jpg?v=1662670722")</f>
        <v>#NAME?</v>
      </c>
      <c r="H6915" t="e">
        <f ca="1">_xludf.IMAGE("https://m.media-amazon.com/images/I/61kcTqY2rFL._AC_UY218_.jpg")</f>
        <v>#NAME?</v>
      </c>
      <c r="I6915" t="s">
        <v>545</v>
      </c>
      <c r="J6915">
        <v>56.99</v>
      </c>
      <c r="K6915" s="4">
        <v>-0.4299</v>
      </c>
      <c r="L6915">
        <v>4.7</v>
      </c>
      <c r="M6915">
        <v>499</v>
      </c>
      <c r="O6915" t="s">
        <v>25</v>
      </c>
      <c r="P6915" t="s">
        <v>7153</v>
      </c>
      <c r="Q6915" t="s">
        <v>7154</v>
      </c>
    </row>
    <row r="6916" spans="1:17" ht="15.5" x14ac:dyDescent="0.35">
      <c r="A6916" s="3" t="str">
        <f>HYPERLINK("https://edmondsonsupply.com/collections/electricians-tools/products/klein-tools-ncvt3pkit-dual-range-ncvt-and-ac-dc-voltage-tester-electrical-test-kit", "https://edmondsonsupply.com/collections/electricians-tools/products/klein-tools-ncvt3pkit-dual-range-ncvt-and-ac-dc-voltage-tester-electrical-test-kit")</f>
        <v>https://edmondsonsupply.com/collections/electricians-tools/products/klein-tools-ncvt3pkit-dual-range-ncvt-and-ac-dc-voltage-tester-electrical-test-kit</v>
      </c>
      <c r="B6916" s="3" t="str">
        <f>HYPERLINK("https://edmondsonsupply.com/products/klein-tools-ncvt3pkit-dual-range-ncvt-and-ac-dc-voltage-tester-electrical-test-kit", "https://edmondsonsupply.com/products/klein-tools-ncvt3pkit-dual-range-ncvt-and-ac-dc-voltage-tester-electrical-test-kit")</f>
        <v>https://edmondsonsupply.com/products/klein-tools-ncvt3pkit-dual-range-ncvt-and-ac-dc-voltage-tester-electrical-test-kit</v>
      </c>
      <c r="C6916" t="s">
        <v>6529</v>
      </c>
      <c r="D6916" t="s">
        <v>5459</v>
      </c>
      <c r="E6916" s="3" t="str">
        <f>HYPERLINK("https://www.amazon.com/Klein-Tools-NCVT3PKIT-Electrical-Non-Contact/dp/B08SY9XFJK/ref=sr_1_2?keywords=Klein+Tools+NCVT3PKIT+Dual+Range+NCVT+and+AC%2FDC+Voltage+Tester+Electrical+Test+Kit&amp;qid=1695174124&amp;sr=8-2", "https://www.amazon.com/Klein-Tools-NCVT3PKIT-Electrical-Non-Contact/dp/B08SY9XFJK/ref=sr_1_2?keywords=Klein+Tools+NCVT3PKIT+Dual+Range+NCVT+and+AC%2FDC+Voltage+Tester+Electrical+Test+Kit&amp;qid=1695174124&amp;sr=8-2")</f>
        <v>https://www.amazon.com/Klein-Tools-NCVT3PKIT-Electrical-Non-Contact/dp/B08SY9XFJK/ref=sr_1_2?keywords=Klein+Tools+NCVT3PKIT+Dual+Range+NCVT+and+AC%2FDC+Voltage+Tester+Electrical+Test+Kit&amp;qid=1695174124&amp;sr=8-2</v>
      </c>
      <c r="F6916" t="s">
        <v>5460</v>
      </c>
      <c r="G6916" t="e">
        <f ca="1">_xludf.IMAGE("https://edmondsonsupply.com/cdn/shop/products/ncvt3pkit.jpg?v=1667228452")</f>
        <v>#NAME?</v>
      </c>
      <c r="H6916" t="e">
        <f ca="1">_xludf.IMAGE("https://m.media-amazon.com/images/I/519yG6StX0L._AC_UL320_.jpg")</f>
        <v>#NAME?</v>
      </c>
      <c r="I6916" t="s">
        <v>571</v>
      </c>
      <c r="J6916">
        <v>19.88</v>
      </c>
      <c r="K6916" s="4">
        <v>-0.43180000000000002</v>
      </c>
      <c r="L6916">
        <v>4.7</v>
      </c>
      <c r="M6916">
        <v>4231</v>
      </c>
      <c r="O6916" t="s">
        <v>25</v>
      </c>
      <c r="P6916" t="s">
        <v>6532</v>
      </c>
      <c r="Q6916" t="s">
        <v>6533</v>
      </c>
    </row>
    <row r="6917" spans="1:17" ht="15.5" x14ac:dyDescent="0.35">
      <c r="A6917" s="3" t="str">
        <f>HYPERLINK("https://edmondsonsupply.com/collections/electricians-tools/products/milwaukee-49-56-0233-4-1-2-hole-dozer%E2%84%A2-hole-saw-bi-metal-cup", "https://edmondsonsupply.com/collections/electricians-tools/products/milwaukee-49-56-0233-4-1-2-hole-dozer%E2%84%A2-hole-saw-bi-metal-cup")</f>
        <v>https://edmondsonsupply.com/collections/electricians-tools/products/milwaukee-49-56-0233-4-1-2-hole-dozer%E2%84%A2-hole-saw-bi-metal-cup</v>
      </c>
      <c r="B6917" s="3" t="str">
        <f>HYPERLINK("https://edmondsonsupply.com/products/milwaukee-49-56-0233-4-1-2-hole-dozer%e2%84%a2-hole-saw-bi-metal-cup", "https://edmondsonsupply.com/products/milwaukee-49-56-0233-4-1-2-hole-dozer%e2%84%a2-hole-saw-bi-metal-cup")</f>
        <v>https://edmondsonsupply.com/products/milwaukee-49-56-0233-4-1-2-hole-dozer%e2%84%a2-hole-saw-bi-metal-cup</v>
      </c>
      <c r="C6917" t="s">
        <v>8485</v>
      </c>
      <c r="D6917" t="s">
        <v>6447</v>
      </c>
      <c r="E6917" s="3" t="str">
        <f>HYPERLINK("https://www.amazon.com/Milwaukee-Electric-Tool-49-56-0193-Bi-Metal/dp/B0017WTULA/ref=sr_1_2?keywords=Milwaukee+49-56-0233+4-1%2F2%22+HOLE+DOZER%E2%84%A2+Hole+Saw+Bi-Metal+Cup&amp;qid=1695174061&amp;sr=8-2", "https://www.amazon.com/Milwaukee-Electric-Tool-49-56-0193-Bi-Metal/dp/B0017WTULA/ref=sr_1_2?keywords=Milwaukee+49-56-0233+4-1%2F2%22+HOLE+DOZER%E2%84%A2+Hole+Saw+Bi-Metal+Cup&amp;qid=1695174061&amp;sr=8-2")</f>
        <v>https://www.amazon.com/Milwaukee-Electric-Tool-49-56-0193-Bi-Metal/dp/B0017WTULA/ref=sr_1_2?keywords=Milwaukee+49-56-0233+4-1%2F2%22+HOLE+DOZER%E2%84%A2+Hole+Saw+Bi-Metal+Cup&amp;qid=1695174061&amp;sr=8-2</v>
      </c>
      <c r="F6917" t="s">
        <v>6448</v>
      </c>
      <c r="G6917" t="e">
        <f ca="1">_xludf.IMAGE("https://edmondsonsupply.com/cdn/shop/products/49-56-0052_101_1.webp?v=1678909204")</f>
        <v>#NAME?</v>
      </c>
      <c r="H6917" t="e">
        <f ca="1">_xludf.IMAGE("https://m.media-amazon.com/images/I/51Yfl2-hbuL._AC_UL320_.jpg")</f>
        <v>#NAME?</v>
      </c>
      <c r="I6917" t="s">
        <v>6282</v>
      </c>
      <c r="J6917">
        <v>18.45</v>
      </c>
      <c r="K6917" s="4">
        <v>-0.43209999999999998</v>
      </c>
      <c r="L6917">
        <v>4.5999999999999996</v>
      </c>
      <c r="M6917">
        <v>249</v>
      </c>
      <c r="O6917" t="s">
        <v>25</v>
      </c>
      <c r="P6917" t="s">
        <v>8486</v>
      </c>
      <c r="Q6917" t="s">
        <v>8487</v>
      </c>
    </row>
    <row r="6918" spans="1:17" ht="15.5" x14ac:dyDescent="0.35">
      <c r="A6918" s="3" t="str">
        <f>HYPERLINK("https://edmondsonsupply.com/collections/electricians-tools/products/diablo-tools-dou275rcgp-2-3-4-in-universal-fit-carbide-oscillating-blade-for-general-purpose-cuts", "https://edmondsonsupply.com/collections/electricians-tools/products/diablo-tools-dou275rcgp-2-3-4-in-universal-fit-carbide-oscillating-blade-for-general-purpose-cuts")</f>
        <v>https://edmondsonsupply.com/collections/electricians-tools/products/diablo-tools-dou275rcgp-2-3-4-in-universal-fit-carbide-oscillating-blade-for-general-purpose-cuts</v>
      </c>
      <c r="B6918" s="3" t="str">
        <f>HYPERLINK("https://edmondsonsupply.com/products/diablo-tools-dou275rcgp-2-3-4-in-universal-fit-carbide-oscillating-blade-for-general-purpose-cuts", "https://edmondsonsupply.com/products/diablo-tools-dou275rcgp-2-3-4-in-universal-fit-carbide-oscillating-blade-for-general-purpose-cuts")</f>
        <v>https://edmondsonsupply.com/products/diablo-tools-dou275rcgp-2-3-4-in-universal-fit-carbide-oscillating-blade-for-general-purpose-cuts</v>
      </c>
      <c r="C6918" t="s">
        <v>8452</v>
      </c>
      <c r="D6918" t="s">
        <v>5949</v>
      </c>
      <c r="E6918" s="3" t="str">
        <f>HYPERLINK("https://www.amazon.com/Diablo-Freud-DOU125CGP-Universal-Oscillating/dp/B089LGJV4X/ref=sr_1_2?keywords=Diablo+Tools+DOU275RCGP+2-3%2F4+in.+Universal+Fit+Carbide+Oscillating+Blade+for+General+Purpose+Cuts&amp;qid=1695174011&amp;sr=8-2", "https://www.amazon.com/Diablo-Freud-DOU125CGP-Universal-Oscillating/dp/B089LGJV4X/ref=sr_1_2?keywords=Diablo+Tools+DOU275RCGP+2-3%2F4+in.+Universal+Fit+Carbide+Oscillating+Blade+for+General+Purpose+Cuts&amp;qid=1695174011&amp;sr=8-2")</f>
        <v>https://www.amazon.com/Diablo-Freud-DOU125CGP-Universal-Oscillating/dp/B089LGJV4X/ref=sr_1_2?keywords=Diablo+Tools+DOU275RCGP+2-3%2F4+in.+Universal+Fit+Carbide+Oscillating+Blade+for+General+Purpose+Cuts&amp;qid=1695174011&amp;sr=8-2</v>
      </c>
      <c r="F6918" t="s">
        <v>5950</v>
      </c>
      <c r="G6918" t="e">
        <f ca="1">_xludf.IMAGE("https://edmondsonsupply.com/cdn/shop/files/kukkli8nylq54bgtz0o5.webp?v=1685720266")</f>
        <v>#NAME?</v>
      </c>
      <c r="H6918" t="e">
        <f ca="1">_xludf.IMAGE("https://m.media-amazon.com/images/I/71lNEMXVnHL._AC_UL320_.jpg")</f>
        <v>#NAME?</v>
      </c>
      <c r="I6918" t="s">
        <v>824</v>
      </c>
      <c r="J6918">
        <v>16.989999999999998</v>
      </c>
      <c r="K6918" s="4">
        <v>-0.43309999999999998</v>
      </c>
      <c r="L6918">
        <v>4.5999999999999996</v>
      </c>
      <c r="M6918">
        <v>38</v>
      </c>
      <c r="O6918" t="s">
        <v>25</v>
      </c>
      <c r="P6918" t="s">
        <v>8453</v>
      </c>
      <c r="Q6918" t="s">
        <v>8454</v>
      </c>
    </row>
    <row r="6919" spans="1:17" ht="15.5" x14ac:dyDescent="0.35">
      <c r="A6919"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6919" s="3" t="str">
        <f>HYPERLINK("https://edmondsonsupply.com/products/fluke-325-true-rms-clamp-meter", "https://edmondsonsupply.com/products/fluke-325-true-rms-clamp-meter")</f>
        <v>https://edmondsonsupply.com/products/fluke-325-true-rms-clamp-meter</v>
      </c>
      <c r="C6919" t="s">
        <v>7585</v>
      </c>
      <c r="D6919" t="s">
        <v>5951</v>
      </c>
      <c r="E6919" s="3" t="str">
        <f>HYPERLINK("https://www.amazon.com/Fluke-324-Temperature-Capacitance-Measurements/dp/B009AZ0TXE/ref=sr_1_5?keywords=Fluke+325+True+RMS+Clamp+Meter&amp;qid=1695174241&amp;sr=8-5", "https://www.amazon.com/Fluke-324-Temperature-Capacitance-Measurements/dp/B009AZ0TXE/ref=sr_1_5?keywords=Fluke+325+True+RMS+Clamp+Meter&amp;qid=1695174241&amp;sr=8-5")</f>
        <v>https://www.amazon.com/Fluke-324-Temperature-Capacitance-Measurements/dp/B009AZ0TXE/ref=sr_1_5?keywords=Fluke+325+True+RMS+Clamp+Meter&amp;qid=1695174241&amp;sr=8-5</v>
      </c>
      <c r="F6919" t="s">
        <v>5952</v>
      </c>
      <c r="G6919" t="e">
        <f ca="1">_xludf.IMAGE("https://edmondsonsupply.com/cdn/shop/products/Fluke_325_clamp_meter_1280x873px_E_NR-14655.jpg?v=1688679209")</f>
        <v>#NAME?</v>
      </c>
      <c r="H6919" t="e">
        <f ca="1">_xludf.IMAGE("https://m.media-amazon.com/images/I/51R3UJ4M4OL._AC_UY218_.jpg")</f>
        <v>#NAME?</v>
      </c>
      <c r="I6919" t="s">
        <v>7586</v>
      </c>
      <c r="J6919">
        <v>211.68</v>
      </c>
      <c r="K6919" s="4">
        <v>-0.43319999999999997</v>
      </c>
      <c r="L6919">
        <v>4.7</v>
      </c>
      <c r="M6919">
        <v>1254</v>
      </c>
      <c r="O6919" t="s">
        <v>25</v>
      </c>
      <c r="P6919" t="s">
        <v>4069</v>
      </c>
      <c r="Q6919" t="s">
        <v>7587</v>
      </c>
    </row>
    <row r="6920" spans="1:17" ht="15.5" x14ac:dyDescent="0.35">
      <c r="A6920"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6920"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6920" t="s">
        <v>8495</v>
      </c>
      <c r="D6920" t="s">
        <v>3274</v>
      </c>
      <c r="E6920" s="3" t="str">
        <f>HYPERLINK("https://www.amazon.com/Multi-Groove-Fiberglass-200-Foot-Klein-Tools/dp/B00N6Y8RRA/ref=sr_1_1?keywords=Klein+Tools+56014+Fiberglass+Fish+Tape+with+Spiral+Leader%2C+200-Foot&amp;qid=1695174145&amp;sr=8-1", "https://www.amazon.com/Multi-Groove-Fiberglass-200-Foot-Klein-Tools/dp/B00N6Y8RRA/ref=sr_1_1?keywords=Klein+Tools+56014+Fiberglass+Fish+Tape+with+Spiral+Leader%2C+200-Foot&amp;qid=1695174145&amp;sr=8-1")</f>
        <v>https://www.amazon.com/Multi-Groove-Fiberglass-200-Foot-Klein-Tools/dp/B00N6Y8RRA/ref=sr_1_1?keywords=Klein+Tools+56014+Fiberglass+Fish+Tape+with+Spiral+Leader%2C+200-Foot&amp;qid=1695174145&amp;sr=8-1</v>
      </c>
      <c r="F6920" t="s">
        <v>3275</v>
      </c>
      <c r="G6920" t="e">
        <f ca="1">_xludf.IMAGE("https://edmondsonsupply.com/cdn/shop/products/56014.jpg?v=1664478500")</f>
        <v>#NAME?</v>
      </c>
      <c r="H6920" t="e">
        <f ca="1">_xludf.IMAGE("https://m.media-amazon.com/images/I/61-dcSdFpvL._AC_UL320_.jpg")</f>
        <v>#NAME?</v>
      </c>
      <c r="I6920" t="s">
        <v>8498</v>
      </c>
      <c r="J6920">
        <v>199.99</v>
      </c>
      <c r="K6920" s="4">
        <v>-0.4335</v>
      </c>
      <c r="L6920">
        <v>4.4000000000000004</v>
      </c>
      <c r="M6920">
        <v>86</v>
      </c>
      <c r="O6920" t="s">
        <v>25</v>
      </c>
      <c r="P6920" t="s">
        <v>8499</v>
      </c>
      <c r="Q6920" t="s">
        <v>8500</v>
      </c>
    </row>
    <row r="6921" spans="1:17" ht="15.5" x14ac:dyDescent="0.35">
      <c r="A6921"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6921" s="3" t="str">
        <f>HYPERLINK("https://edmondsonsupply.com/products/klein-tools-32800-6-in-1-multi-nut-driver-heavy-duty", "https://edmondsonsupply.com/products/klein-tools-32800-6-in-1-multi-nut-driver-heavy-duty")</f>
        <v>https://edmondsonsupply.com/products/klein-tools-32800-6-in-1-multi-nut-driver-heavy-duty</v>
      </c>
      <c r="C6921" t="s">
        <v>8108</v>
      </c>
      <c r="D6921" t="s">
        <v>3545</v>
      </c>
      <c r="E6921" s="3" t="str">
        <f>HYPERLINK("https://www.amazon.com/Extended-Screwdriver-Klein-Tools-32560/dp/B005FQDHF4/ref=sr_1_6?keywords=Klein+Tools+32800+6-in-1+6-in-1+Multi-Bit+Nut+Driver%2C+Heavy+Duty&amp;qid=1695174226&amp;sr=8-6", "https://www.amazon.com/Extended-Screwdriver-Klein-Tools-32560/dp/B005FQDHF4/ref=sr_1_6?keywords=Klein+Tools+32800+6-in-1+6-in-1+Multi-Bit+Nut+Driver%2C+Heavy+Duty&amp;qid=1695174226&amp;sr=8-6")</f>
        <v>https://www.amazon.com/Extended-Screwdriver-Klein-Tools-32560/dp/B005FQDHF4/ref=sr_1_6?keywords=Klein+Tools+32800+6-in-1+6-in-1+Multi-Bit+Nut+Driver%2C+Heavy+Duty&amp;qid=1695174226&amp;sr=8-6</v>
      </c>
      <c r="F6921" t="s">
        <v>3546</v>
      </c>
      <c r="G6921" t="e">
        <f ca="1">_xludf.IMAGE("https://edmondsonsupply.com/cdn/shop/products/32800_alt2.jpg?v=1646595019")</f>
        <v>#NAME?</v>
      </c>
      <c r="H6921" t="e">
        <f ca="1">_xludf.IMAGE("https://m.media-amazon.com/images/I/516UhfUKmUL._AC_UL320_.jpg")</f>
        <v>#NAME?</v>
      </c>
      <c r="I6921" t="s">
        <v>26</v>
      </c>
      <c r="J6921">
        <v>16.989999999999998</v>
      </c>
      <c r="K6921" s="4">
        <v>-0.4335</v>
      </c>
      <c r="L6921">
        <v>4.8</v>
      </c>
      <c r="M6921">
        <v>679</v>
      </c>
      <c r="O6921" t="s">
        <v>25</v>
      </c>
      <c r="P6921" t="s">
        <v>8111</v>
      </c>
      <c r="Q6921" t="s">
        <v>8112</v>
      </c>
    </row>
    <row r="6922" spans="1:17" ht="15.5" x14ac:dyDescent="0.35">
      <c r="A6922" s="3" t="str">
        <f>HYPERLINK("https://edmondsonsupply.com/collections/electricians-tools/products/veto-pro-pac-tp-xxl-blackout-tool-pouch", "https://edmondsonsupply.com/collections/electricians-tools/products/veto-pro-pac-tp-xxl-blackout-tool-pouch")</f>
        <v>https://edmondsonsupply.com/collections/electricians-tools/products/veto-pro-pac-tp-xxl-blackout-tool-pouch</v>
      </c>
      <c r="B6922" s="3" t="str">
        <f>HYPERLINK("https://edmondsonsupply.com/products/veto-pro-pac-tp-xxl-blackout-tool-pouch", "https://edmondsonsupply.com/products/veto-pro-pac-tp-xxl-blackout-tool-pouch")</f>
        <v>https://edmondsonsupply.com/products/veto-pro-pac-tp-xxl-blackout-tool-pouch</v>
      </c>
      <c r="C6922" t="s">
        <v>758</v>
      </c>
      <c r="D6922" t="s">
        <v>371</v>
      </c>
      <c r="E6922" s="3" t="str">
        <f>HYPERLINK("https://www.amazon.com/Veto-TP-LC-Compact-Zippered-Service/dp/B09TPZKBDP/ref=sr_1_3?keywords=Veto+Pro+Pac+TP-XXL+Blackout+Tool+Pouch&amp;qid=1695173885&amp;sr=8-3", "https://www.amazon.com/Veto-TP-LC-Compact-Zippered-Service/dp/B09TPZKBDP/ref=sr_1_3?keywords=Veto+Pro+Pac+TP-XXL+Blackout+Tool+Pouch&amp;qid=1695173885&amp;sr=8-3")</f>
        <v>https://www.amazon.com/Veto-TP-LC-Compact-Zippered-Service/dp/B09TPZKBDP/ref=sr_1_3?keywords=Veto+Pro+Pac+TP-XXL+Blackout+Tool+Pouch&amp;qid=1695173885&amp;sr=8-3</v>
      </c>
      <c r="F6922" t="s">
        <v>372</v>
      </c>
      <c r="G6922" t="e">
        <f ca="1">_xludf.IMAGE("https://edmondsonsupply.com/cdn/shop/files/TP-xxl_blackout_600x830_0000_TP-XXL_BLACKOUT_0379.jpg?v=1685736106")</f>
        <v>#NAME?</v>
      </c>
      <c r="H6922" t="e">
        <f ca="1">_xludf.IMAGE("https://m.media-amazon.com/images/I/51b1SiebzcL._AC_UL320_.jpg")</f>
        <v>#NAME?</v>
      </c>
      <c r="I6922" t="s">
        <v>759</v>
      </c>
      <c r="J6922">
        <v>134.94999999999999</v>
      </c>
      <c r="K6922" s="4">
        <v>-0.43769999999999998</v>
      </c>
      <c r="L6922">
        <v>4.8</v>
      </c>
      <c r="M6922">
        <v>281</v>
      </c>
      <c r="O6922" t="s">
        <v>171</v>
      </c>
      <c r="P6922" t="s">
        <v>138</v>
      </c>
      <c r="Q6922" t="s">
        <v>760</v>
      </c>
    </row>
    <row r="6923" spans="1:17" ht="15.5" x14ac:dyDescent="0.35">
      <c r="A6923" s="3" t="str">
        <f>HYPERLINK("https://edmondsonsupply.com/collections/electricians-tools/products/diablo-tools-dmans1050-3-8-in-tile-stone-carbide-tipped-drill-bit", "https://edmondsonsupply.com/collections/electricians-tools/products/diablo-tools-dmans1050-3-8-in-tile-stone-carbide-tipped-drill-bit")</f>
        <v>https://edmondsonsupply.com/collections/electricians-tools/products/diablo-tools-dmans1050-3-8-in-tile-stone-carbide-tipped-drill-bit</v>
      </c>
      <c r="B6923" s="3" t="str">
        <f>HYPERLINK("https://edmondsonsupply.com/products/diablo-tools-dmans1050-3-8-in-tile-stone-carbide-tipped-drill-bit", "https://edmondsonsupply.com/products/diablo-tools-dmans1050-3-8-in-tile-stone-carbide-tipped-drill-bit")</f>
        <v>https://edmondsonsupply.com/products/diablo-tools-dmans1050-3-8-in-tile-stone-carbide-tipped-drill-bit</v>
      </c>
      <c r="C6923" t="s">
        <v>8891</v>
      </c>
      <c r="D6923" t="s">
        <v>9038</v>
      </c>
      <c r="E6923" s="3" t="str">
        <f>HYPERLINK("https://www.amazon.com/Diablo-Freud-DMANS1010-Carbide-Tipped/dp/B089LHTFX6/ref=sr_1_10?keywords=Diablo+Tools+DMANS1050+3%2F8+in.+Tile&amp;qid=1695174213&amp;sr=8-10", "https://www.amazon.com/Diablo-Freud-DMANS1010-Carbide-Tipped/dp/B089LHTFX6/ref=sr_1_10?keywords=Diablo+Tools+DMANS1050+3%2F8+in.+Tile&amp;qid=1695174213&amp;sr=8-10")</f>
        <v>https://www.amazon.com/Diablo-Freud-DMANS1010-Carbide-Tipped/dp/B089LHTFX6/ref=sr_1_10?keywords=Diablo+Tools+DMANS1050+3%2F8+in.+Tile&amp;qid=1695174213&amp;sr=8-10</v>
      </c>
      <c r="F6923" t="s">
        <v>9039</v>
      </c>
      <c r="G6923" t="e">
        <f ca="1">_xludf.IMAGE("https://edmondsonsupply.com/cdn/shop/products/1050.webp?v=1647637874")</f>
        <v>#NAME?</v>
      </c>
      <c r="H6923" t="e">
        <f ca="1">_xludf.IMAGE("https://m.media-amazon.com/images/I/61gwDacBESL._AC_UL320_.jpg")</f>
        <v>#NAME?</v>
      </c>
      <c r="I6923" t="s">
        <v>2784</v>
      </c>
      <c r="J6923">
        <v>8.39</v>
      </c>
      <c r="K6923" s="4">
        <v>-0.4395</v>
      </c>
      <c r="L6923">
        <v>4</v>
      </c>
      <c r="M6923">
        <v>1</v>
      </c>
      <c r="O6923" t="s">
        <v>25</v>
      </c>
      <c r="P6923" t="s">
        <v>138</v>
      </c>
      <c r="Q6923" t="s">
        <v>8894</v>
      </c>
    </row>
    <row r="6924" spans="1:17" ht="15.5" x14ac:dyDescent="0.35">
      <c r="A6924" s="3" t="str">
        <f>HYPERLINK("https://edmondsonsupply.com/collections/electricians-tools/products/klein-tools-cl320kit-hvac-digital-clamp-meter-electrical-test-kit", "https://edmondsonsupply.com/collections/electricians-tools/products/klein-tools-cl320kit-hvac-digital-clamp-meter-electrical-test-kit")</f>
        <v>https://edmondsonsupply.com/collections/electricians-tools/products/klein-tools-cl320kit-hvac-digital-clamp-meter-electrical-test-kit</v>
      </c>
      <c r="B6924" s="3" t="str">
        <f>HYPERLINK("https://edmondsonsupply.com/products/klein-tools-cl320kit-hvac-digital-clamp-meter-electrical-test-kit", "https://edmondsonsupply.com/products/klein-tools-cl320kit-hvac-digital-clamp-meter-electrical-test-kit")</f>
        <v>https://edmondsonsupply.com/products/klein-tools-cl320kit-hvac-digital-clamp-meter-electrical-test-kit</v>
      </c>
      <c r="C6924" t="s">
        <v>7545</v>
      </c>
      <c r="D6924" t="s">
        <v>1642</v>
      </c>
      <c r="E6924" s="3" t="str">
        <f>HYPERLINK("https://www.amazon.com/Multimeter-Electrical-Non-Contact-Klein-Tools/dp/B0CF2CFS1D/ref=sr_1_10?keywords=Klein+Tools+CL320KIT+HVAC+Digital+Clamp+Meter+Electrical+Test+Kit&amp;qid=1695174178&amp;sr=8-10", "https://www.amazon.com/Multimeter-Electrical-Non-Contact-Klein-Tools/dp/B0CF2CFS1D/ref=sr_1_10?keywords=Klein+Tools+CL320KIT+HVAC+Digital+Clamp+Meter+Electrical+Test+Kit&amp;qid=1695174178&amp;sr=8-10")</f>
        <v>https://www.amazon.com/Multimeter-Electrical-Non-Contact-Klein-Tools/dp/B0CF2CFS1D/ref=sr_1_10?keywords=Klein+Tools+CL320KIT+HVAC+Digital+Clamp+Meter+Electrical+Test+Kit&amp;qid=1695174178&amp;sr=8-10</v>
      </c>
      <c r="F6924" t="s">
        <v>1643</v>
      </c>
      <c r="G6924" t="e">
        <f ca="1">_xludf.IMAGE("https://edmondsonsupply.com/cdn/shop/products/cl320kit_photo.jpg?v=1660753251")</f>
        <v>#NAME?</v>
      </c>
      <c r="H6924" t="e">
        <f ca="1">_xludf.IMAGE("https://m.media-amazon.com/images/I/5182bo0BHaL._AC_UY218_.jpg")</f>
        <v>#NAME?</v>
      </c>
      <c r="I6924" t="s">
        <v>7548</v>
      </c>
      <c r="J6924">
        <v>66.48</v>
      </c>
      <c r="K6924" s="4">
        <v>-0.44130000000000003</v>
      </c>
      <c r="L6924">
        <v>4.8</v>
      </c>
      <c r="M6924">
        <v>1458</v>
      </c>
      <c r="O6924" t="s">
        <v>25</v>
      </c>
      <c r="P6924" t="s">
        <v>7549</v>
      </c>
      <c r="Q6924" t="s">
        <v>7550</v>
      </c>
    </row>
    <row r="6925" spans="1:17" ht="15.5" x14ac:dyDescent="0.35">
      <c r="A6925" s="3" t="str">
        <f>HYPERLINK("https://edmondsonsupply.com/collections/electricians-tools/products/klein-tools-510212blk-tool-bag-black-canvas-12-inch", "https://edmondsonsupply.com/collections/electricians-tools/products/klein-tools-510212blk-tool-bag-black-canvas-12-inch")</f>
        <v>https://edmondsonsupply.com/collections/electricians-tools/products/klein-tools-510212blk-tool-bag-black-canvas-12-inch</v>
      </c>
      <c r="B6925" s="3" t="str">
        <f>HYPERLINK("https://edmondsonsupply.com/products/klein-tools-510212blk-tool-bag-black-canvas-12-inch", "https://edmondsonsupply.com/products/klein-tools-510212blk-tool-bag-black-canvas-12-inch")</f>
        <v>https://edmondsonsupply.com/products/klein-tools-510212blk-tool-bag-black-canvas-12-inch</v>
      </c>
      <c r="C6925" t="s">
        <v>585</v>
      </c>
      <c r="D6925" t="s">
        <v>294</v>
      </c>
      <c r="E6925" s="3" t="str">
        <f>HYPERLINK("https://www.amazon.com/Utility-Zipper-12-5-Inch-Klein-Tools/dp/B007V8RXVI/ref=sr_1_8?keywords=Klein+Tools+510212BLK+Tool+Bag%2C+Black+Canvas%2C+12-Inch&amp;qid=1695174136&amp;sr=8-8", "https://www.amazon.com/Utility-Zipper-12-5-Inch-Klein-Tools/dp/B007V8RXVI/ref=sr_1_8?keywords=Klein+Tools+510212BLK+Tool+Bag%2C+Black+Canvas%2C+12-Inch&amp;qid=1695174136&amp;sr=8-8")</f>
        <v>https://www.amazon.com/Utility-Zipper-12-5-Inch-Klein-Tools/dp/B007V8RXVI/ref=sr_1_8?keywords=Klein+Tools+510212BLK+Tool+Bag%2C+Black+Canvas%2C+12-Inch&amp;qid=1695174136&amp;sr=8-8</v>
      </c>
      <c r="F6925" t="s">
        <v>295</v>
      </c>
      <c r="G6925" t="e">
        <f ca="1">_xludf.IMAGE("https://edmondsonsupply.com/cdn/shop/products/510212blk.jpg?v=1666026613")</f>
        <v>#NAME?</v>
      </c>
      <c r="H6925" t="e">
        <f ca="1">_xludf.IMAGE("https://m.media-amazon.com/images/I/61K2xaMr+oL._AC_UL320_.jpg")</f>
        <v>#NAME?</v>
      </c>
      <c r="I6925" t="s">
        <v>588</v>
      </c>
      <c r="J6925">
        <v>39</v>
      </c>
      <c r="K6925" s="4">
        <v>-0.44280000000000003</v>
      </c>
      <c r="L6925">
        <v>4.8</v>
      </c>
      <c r="M6925">
        <v>4463</v>
      </c>
      <c r="O6925" t="s">
        <v>25</v>
      </c>
      <c r="P6925" t="s">
        <v>589</v>
      </c>
      <c r="Q6925" t="s">
        <v>590</v>
      </c>
    </row>
    <row r="6926" spans="1:17" ht="15.5" x14ac:dyDescent="0.35">
      <c r="A6926" s="3" t="str">
        <f>HYPERLINK("https://edmondsonsupply.com/collections/electricians-tools/products/diablo-tools-d0704dh-7-1-4-in-x-4-tooth-fiber-cement", "https://edmondsonsupply.com/collections/electricians-tools/products/diablo-tools-d0704dh-7-1-4-in-x-4-tooth-fiber-cement")</f>
        <v>https://edmondsonsupply.com/collections/electricians-tools/products/diablo-tools-d0704dh-7-1-4-in-x-4-tooth-fiber-cement</v>
      </c>
      <c r="B6926" s="3" t="str">
        <f>HYPERLINK("https://edmondsonsupply.com/products/diablo-tools-d0704dh-7-1-4-in-x-4-tooth-fiber-cement", "https://edmondsonsupply.com/products/diablo-tools-d0704dh-7-1-4-in-x-4-tooth-fiber-cement")</f>
        <v>https://edmondsonsupply.com/products/diablo-tools-d0704dh-7-1-4-in-x-4-tooth-fiber-cement</v>
      </c>
      <c r="C6926" t="s">
        <v>6285</v>
      </c>
      <c r="D6926" t="s">
        <v>9040</v>
      </c>
      <c r="E6926" s="3" t="str">
        <f>HYPERLINK("https://www.amazon.com/TOMAX-PCDM71404-Polycrystalline-Diamond-Tipped/dp/B0856RR3RR/ref=sr_1_5?keywords=Diablo+Tools+D0704DH+7-1%2F4+in.+x+4+Tooth+Fiber+Cement&amp;qid=1695174050&amp;sr=8-5", "https://www.amazon.com/TOMAX-PCDM71404-Polycrystalline-Diamond-Tipped/dp/B0856RR3RR/ref=sr_1_5?keywords=Diablo+Tools+D0704DH+7-1%2F4+in.+x+4+Tooth+Fiber+Cement&amp;qid=1695174050&amp;sr=8-5")</f>
        <v>https://www.amazon.com/TOMAX-PCDM71404-Polycrystalline-Diamond-Tipped/dp/B0856RR3RR/ref=sr_1_5?keywords=Diablo+Tools+D0704DH+7-1%2F4+in.+x+4+Tooth+Fiber+Cement&amp;qid=1695174050&amp;sr=8-5</v>
      </c>
      <c r="F6926" t="s">
        <v>9041</v>
      </c>
      <c r="G6926" t="e">
        <f ca="1">_xludf.IMAGE("https://edmondsonsupply.com/cdn/shop/products/baadnmj6vhmqufio7ofn.webp?v=1679325375")</f>
        <v>#NAME?</v>
      </c>
      <c r="H6926" t="e">
        <f ca="1">_xludf.IMAGE("https://m.media-amazon.com/images/I/71KrPyDF71S._AC_UL320_.jpg")</f>
        <v>#NAME?</v>
      </c>
      <c r="I6926" t="s">
        <v>4108</v>
      </c>
      <c r="J6926">
        <v>24.99</v>
      </c>
      <c r="K6926" s="4">
        <v>-0.44429999999999997</v>
      </c>
      <c r="L6926">
        <v>4.4000000000000004</v>
      </c>
      <c r="M6926">
        <v>256</v>
      </c>
      <c r="O6926" t="s">
        <v>25</v>
      </c>
      <c r="P6926" t="s">
        <v>3833</v>
      </c>
      <c r="Q6926" t="s">
        <v>6288</v>
      </c>
    </row>
    <row r="6927" spans="1:17" ht="15.5" x14ac:dyDescent="0.35">
      <c r="A6927" s="3" t="str">
        <f>HYPERLINK("https://edmondsonsupply.com/collections/electricians-tools/products/diablo-tools-dmamx1360-1-1-2-in-x-16-in-x-21-in-rebar-demon%E2%84%A2-sds-max-4-cutter-carbide-tipped-hammer-drill-bit", "https://edmondsonsupply.com/collections/electricians-tools/products/diablo-tools-dmamx1360-1-1-2-in-x-16-in-x-21-in-rebar-demon%E2%84%A2-sds-max-4-cutter-carbide-tipped-hammer-drill-bit")</f>
        <v>https://edmondsonsupply.com/collections/electricians-tools/products/diablo-tools-dmamx1360-1-1-2-in-x-16-in-x-21-in-rebar-demon%E2%84%A2-sds-max-4-cutter-carbide-tipped-hammer-drill-bit</v>
      </c>
      <c r="B6927" s="3" t="str">
        <f>HYPERLINK("https://edmondsonsupply.com/products/diablo-tools-dmamx1360-1-1-2-in-x-16-in-x-21-in-rebar-demon%e2%84%a2-sds-max-4-cutter-carbide-tipped-hammer-drill-bit", "https://edmondsonsupply.com/products/diablo-tools-dmamx1360-1-1-2-in-x-16-in-x-21-in-rebar-demon%e2%84%a2-sds-max-4-cutter-carbide-tipped-hammer-drill-bit")</f>
        <v>https://edmondsonsupply.com/products/diablo-tools-dmamx1360-1-1-2-in-x-16-in-x-21-in-rebar-demon%e2%84%a2-sds-max-4-cutter-carbide-tipped-hammer-drill-bit</v>
      </c>
      <c r="C6927" t="s">
        <v>6827</v>
      </c>
      <c r="D6927" t="s">
        <v>5316</v>
      </c>
      <c r="E6927" s="3" t="str">
        <f>HYPERLINK("https://www.amazon.com/Diablo-SDS-Max-4-Cutter-Carbide-Hammer/dp/B089KWP4WK/ref=sr_1_7?keywords=Diablo+Tools+DMAMX1360+1-1%2F2+in.+x+16+in.+x+21+in.+Rebar+Demon%E2%84%A2+SDS-Max+4-Cutter+Carbide-Tipped+Hammer+Drill+Bit&amp;qid=1695174071&amp;sr=8-7", "https://www.amazon.com/Diablo-SDS-Max-4-Cutter-Carbide-Hammer/dp/B089KWP4WK/ref=sr_1_7?keywords=Diablo+Tools+DMAMX1360+1-1%2F2+in.+x+16+in.+x+21+in.+Rebar+Demon%E2%84%A2+SDS-Max+4-Cutter+Carbide-Tipped+Hammer+Drill+Bit&amp;qid=1695174071&amp;sr=8-7")</f>
        <v>https://www.amazon.com/Diablo-SDS-Max-4-Cutter-Carbide-Hammer/dp/B089KWP4WK/ref=sr_1_7?keywords=Diablo+Tools+DMAMX1360+1-1%2F2+in.+x+16+in.+x+21+in.+Rebar+Demon%E2%84%A2+SDS-Max+4-Cutter+Carbide-Tipped+Hammer+Drill+Bit&amp;qid=1695174071&amp;sr=8-7</v>
      </c>
      <c r="F6927" t="s">
        <v>5317</v>
      </c>
      <c r="G6927" t="e">
        <f ca="1">_xludf.IMAGE("https://edmondsonsupply.com/cdn/shop/products/z2umcsdaj3y4uvsfnxoh.webp?v=1677257156")</f>
        <v>#NAME?</v>
      </c>
      <c r="H6927" t="e">
        <f ca="1">_xludf.IMAGE("https://m.media-amazon.com/images/I/61yWWNP1xrL._AC_UL320_.jpg")</f>
        <v>#NAME?</v>
      </c>
      <c r="I6927" t="s">
        <v>6830</v>
      </c>
      <c r="J6927">
        <v>51.96</v>
      </c>
      <c r="K6927" s="4">
        <v>-0.44650000000000001</v>
      </c>
      <c r="L6927">
        <v>5</v>
      </c>
      <c r="M6927">
        <v>9</v>
      </c>
      <c r="O6927" t="s">
        <v>25</v>
      </c>
      <c r="P6927" t="s">
        <v>6831</v>
      </c>
      <c r="Q6927" t="s">
        <v>6832</v>
      </c>
    </row>
    <row r="6928" spans="1:17" ht="15.5" x14ac:dyDescent="0.35">
      <c r="A6928"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6928"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6928" t="s">
        <v>960</v>
      </c>
      <c r="D6928" t="s">
        <v>1022</v>
      </c>
      <c r="E6928" s="3" t="str">
        <f>HYPERLINK("https://www.amazon.com/Klein-Tools-60536-Professional-Protective/dp/B0BLQWVJDB/ref=sr_1_2?keywords=Klein+Tools+60539+Professional+Safety+Glasses%2C+Full+Frame%2C+Polarized+Lens&amp;qid=1695174102&amp;sr=8-2", "https://www.amazon.com/Klein-Tools-60536-Professional-Protective/dp/B0BLQWVJDB/ref=sr_1_2?keywords=Klein+Tools+60539+Professional+Safety+Glasses%2C+Full+Frame%2C+Polarized+Lens&amp;qid=1695174102&amp;sr=8-2")</f>
        <v>https://www.amazon.com/Klein-Tools-60536-Professional-Protective/dp/B0BLQWVJDB/ref=sr_1_2?keywords=Klein+Tools+60539+Professional+Safety+Glasses%2C+Full+Frame%2C+Polarized+Lens&amp;qid=1695174102&amp;sr=8-2</v>
      </c>
      <c r="F6928" t="s">
        <v>1023</v>
      </c>
      <c r="G6928" t="e">
        <f ca="1">_xludf.IMAGE("https://edmondsonsupply.com/cdn/shop/products/60539.jpg?v=1670948006")</f>
        <v>#NAME?</v>
      </c>
      <c r="H6928" t="e">
        <f ca="1">_xludf.IMAGE("https://m.media-amazon.com/images/I/41rAXCZifQL._AC_UL320_.jpg")</f>
        <v>#NAME?</v>
      </c>
      <c r="I6928" t="s">
        <v>26</v>
      </c>
      <c r="J6928">
        <v>16.600000000000001</v>
      </c>
      <c r="K6928" s="4">
        <v>-0.44650000000000001</v>
      </c>
      <c r="L6928">
        <v>4.4000000000000004</v>
      </c>
      <c r="M6928">
        <v>374</v>
      </c>
      <c r="O6928" t="s">
        <v>25</v>
      </c>
      <c r="P6928" t="s">
        <v>562</v>
      </c>
      <c r="Q6928" t="s">
        <v>961</v>
      </c>
    </row>
    <row r="6929" spans="1:17" ht="15.5" x14ac:dyDescent="0.35">
      <c r="A6929" s="3" t="str">
        <f>HYPERLINK("https://edmondsonsupply.com/collections/electricians-tools/products/klein-tools-jth6e11be-3-16-inch-ball-hex-key-journeyman-t-handle-6-inch", "https://edmondsonsupply.com/collections/electricians-tools/products/klein-tools-jth6e11be-3-16-inch-ball-hex-key-journeyman-t-handle-6-inch")</f>
        <v>https://edmondsonsupply.com/collections/electricians-tools/products/klein-tools-jth6e11be-3-16-inch-ball-hex-key-journeyman-t-handle-6-inch</v>
      </c>
      <c r="B6929" s="3" t="str">
        <f>HYPERLINK("https://edmondsonsupply.com/products/klein-tools-jth6e11be-3-16-inch-ball-hex-key-journeyman-t-handle-6-inch", "https://edmondsonsupply.com/products/klein-tools-jth6e11be-3-16-inch-ball-hex-key-journeyman-t-handle-6-inch")</f>
        <v>https://edmondsonsupply.com/products/klein-tools-jth6e11be-3-16-inch-ball-hex-key-journeyman-t-handle-6-inch</v>
      </c>
      <c r="C6929" t="s">
        <v>6976</v>
      </c>
      <c r="D6929" t="s">
        <v>4554</v>
      </c>
      <c r="E6929" s="3" t="str">
        <f>HYPERLINK("https://www.amazon.com/Journeyman-T-Handle-Klein-Tools-JTH6E11/dp/B004N5WF56/ref=sr_1_1?keywords=Klein+Tools+JTH6E11BE+3%2F16-Inch+Ball+Hex+Key%2C+Journeyman+T-Handle+6-Inch&amp;qid=1695174298&amp;sr=8-1", "https://www.amazon.com/Journeyman-T-Handle-Klein-Tools-JTH6E11/dp/B004N5WF56/ref=sr_1_1?keywords=Klein+Tools+JTH6E11BE+3%2F16-Inch+Ball+Hex+Key%2C+Journeyman+T-Handle+6-Inch&amp;qid=1695174298&amp;sr=8-1")</f>
        <v>https://www.amazon.com/Journeyman-T-Handle-Klein-Tools-JTH6E11/dp/B004N5WF56/ref=sr_1_1?keywords=Klein+Tools+JTH6E11BE+3%2F16-Inch+Ball+Hex+Key%2C+Journeyman+T-Handle+6-Inch&amp;qid=1695174298&amp;sr=8-1</v>
      </c>
      <c r="F6929" t="s">
        <v>4555</v>
      </c>
      <c r="G6929" t="e">
        <f ca="1">_xludf.IMAGE("https://edmondsonsupply.com/cdn/shop/products/jth6e13be_9dba8a6a-8a07-4d76-a54f-fe57b92b3fea.jpg?v=1610659188")</f>
        <v>#NAME?</v>
      </c>
      <c r="H6929" t="e">
        <f ca="1">_xludf.IMAGE("https://m.media-amazon.com/images/I/51Yb8h41vLL._AC_UL320_.jpg")</f>
        <v>#NAME?</v>
      </c>
      <c r="I6929" t="s">
        <v>6464</v>
      </c>
      <c r="J6929">
        <v>4.99</v>
      </c>
      <c r="K6929" s="4">
        <v>-0.45290000000000002</v>
      </c>
      <c r="L6929">
        <v>4.8</v>
      </c>
      <c r="M6929">
        <v>2479</v>
      </c>
      <c r="O6929" t="s">
        <v>25</v>
      </c>
      <c r="P6929" t="s">
        <v>138</v>
      </c>
      <c r="Q6929" t="s">
        <v>6977</v>
      </c>
    </row>
    <row r="6930" spans="1:17" ht="15.5" x14ac:dyDescent="0.35">
      <c r="A6930" s="3" t="str">
        <f>HYPERLINK("https://edmondsonsupply.com/collections/electricians-tools/products/klein-tools-51610-1-iron-conduit-bender-head", "https://edmondsonsupply.com/collections/electricians-tools/products/klein-tools-51610-1-iron-conduit-bender-head")</f>
        <v>https://edmondsonsupply.com/collections/electricians-tools/products/klein-tools-51610-1-iron-conduit-bender-head</v>
      </c>
      <c r="B6930" s="3" t="str">
        <f>HYPERLINK("https://edmondsonsupply.com/products/klein-tools-51610-1-iron-conduit-bender-head", "https://edmondsonsupply.com/products/klein-tools-51610-1-iron-conduit-bender-head")</f>
        <v>https://edmondsonsupply.com/products/klein-tools-51610-1-iron-conduit-bender-head</v>
      </c>
      <c r="C6930" t="s">
        <v>6220</v>
      </c>
      <c r="D6930" t="s">
        <v>6204</v>
      </c>
      <c r="E6930" s="3" t="str">
        <f>HYPERLINK("https://www.amazon.com/Conduit-Compatible-Klein-Tools-51608/dp/B08VYJMT3R/ref=sr_1_4?keywords=Klein+Tools+51610+1%22+Iron+Conduit+Bender+Head&amp;qid=1695174168&amp;sr=8-4", "https://www.amazon.com/Conduit-Compatible-Klein-Tools-51608/dp/B08VYJMT3R/ref=sr_1_4?keywords=Klein+Tools+51610+1%22+Iron+Conduit+Bender+Head&amp;qid=1695174168&amp;sr=8-4")</f>
        <v>https://www.amazon.com/Conduit-Compatible-Klein-Tools-51608/dp/B08VYJMT3R/ref=sr_1_4?keywords=Klein+Tools+51610+1%22+Iron+Conduit+Bender+Head&amp;qid=1695174168&amp;sr=8-4</v>
      </c>
      <c r="F6930" t="s">
        <v>6205</v>
      </c>
      <c r="G6930" t="e">
        <f ca="1">_xludf.IMAGE("https://edmondsonsupply.com/cdn/shop/products/51610.jpg?v=1661975879")</f>
        <v>#NAME?</v>
      </c>
      <c r="H6930" t="e">
        <f ca="1">_xludf.IMAGE("https://m.media-amazon.com/images/I/61mnVTiX18L._AC_UL320_.jpg")</f>
        <v>#NAME?</v>
      </c>
      <c r="I6930" t="s">
        <v>320</v>
      </c>
      <c r="J6930">
        <v>40.909999999999997</v>
      </c>
      <c r="K6930" s="4">
        <v>-0.45450000000000002</v>
      </c>
      <c r="L6930">
        <v>4.3</v>
      </c>
      <c r="M6930">
        <v>17</v>
      </c>
      <c r="O6930" t="s">
        <v>25</v>
      </c>
      <c r="P6930" t="s">
        <v>6223</v>
      </c>
      <c r="Q6930" t="s">
        <v>6224</v>
      </c>
    </row>
    <row r="6931" spans="1:17" ht="15.5" x14ac:dyDescent="0.35">
      <c r="A6931" s="3" t="str">
        <f>HYPERLINK("https://edmondsonsupply.com/collections/electricians-tools/products/klein-tools-56414-rechargeable-2-color-led-headlamp-with-adjustable-strap", "https://edmondsonsupply.com/collections/electricians-tools/products/klein-tools-56414-rechargeable-2-color-led-headlamp-with-adjustable-strap")</f>
        <v>https://edmondsonsupply.com/collections/electricians-tools/products/klein-tools-56414-rechargeable-2-color-led-headlamp-with-adjustable-strap</v>
      </c>
      <c r="B6931" s="3" t="str">
        <f>HYPERLINK("https://edmondsonsupply.com/products/klein-tools-56414-rechargeable-2-color-led-headlamp-with-adjustable-strap", "https://edmondsonsupply.com/products/klein-tools-56414-rechargeable-2-color-led-headlamp-with-adjustable-strap")</f>
        <v>https://edmondsonsupply.com/products/klein-tools-56414-rechargeable-2-color-led-headlamp-with-adjustable-strap</v>
      </c>
      <c r="C6931" t="s">
        <v>8533</v>
      </c>
      <c r="D6931" t="s">
        <v>7596</v>
      </c>
      <c r="E6931" s="3" t="str">
        <f>HYPERLINK("https://www.amazon.com/Klein-Tools-56049-Rechargeable-Headlamp/dp/B089DRF7QW/ref=sr_1_4?keywords=Klein+Tools+56414+Rechargeable+2-Color+LED+Headlamp+with+Adjustable+Strap&amp;qid=1695174150&amp;sr=8-4", "https://www.amazon.com/Klein-Tools-56049-Rechargeable-Headlamp/dp/B089DRF7QW/ref=sr_1_4?keywords=Klein+Tools+56414+Rechargeable+2-Color+LED+Headlamp+with+Adjustable+Strap&amp;qid=1695174150&amp;sr=8-4")</f>
        <v>https://www.amazon.com/Klein-Tools-56049-Rechargeable-Headlamp/dp/B089DRF7QW/ref=sr_1_4?keywords=Klein+Tools+56414+Rechargeable+2-Color+LED+Headlamp+with+Adjustable+Strap&amp;qid=1695174150&amp;sr=8-4</v>
      </c>
      <c r="F6931" t="s">
        <v>7597</v>
      </c>
      <c r="G6931" t="e">
        <f ca="1">_xludf.IMAGE("https://edmondsonsupply.com/cdn/shop/products/56414.jpg?v=1663954728")</f>
        <v>#NAME?</v>
      </c>
      <c r="H6931" t="e">
        <f ca="1">_xludf.IMAGE("https://m.media-amazon.com/images/I/61PyFw1jeZL._AC_UL320_.jpg")</f>
        <v>#NAME?</v>
      </c>
      <c r="I6931" t="s">
        <v>3359</v>
      </c>
      <c r="J6931">
        <v>29.97</v>
      </c>
      <c r="K6931" s="4">
        <v>-0.45479999999999998</v>
      </c>
      <c r="L6931">
        <v>4.5999999999999996</v>
      </c>
      <c r="M6931">
        <v>387</v>
      </c>
      <c r="O6931" t="s">
        <v>25</v>
      </c>
      <c r="P6931" t="s">
        <v>8536</v>
      </c>
      <c r="Q6931" t="s">
        <v>8537</v>
      </c>
    </row>
    <row r="6932" spans="1:17" ht="15.5" x14ac:dyDescent="0.35">
      <c r="A6932" s="3" t="str">
        <f>HYPERLINK("https://edmondsonsupply.com/collections/electricians-tools/products/diablo-tools-dou250bw3-2-1-2-in-universal-fit-bi-metal-oscillating-blades-for-nail-embedded-wood-3-pack", "https://edmondsonsupply.com/collections/electricians-tools/products/diablo-tools-dou250bw3-2-1-2-in-universal-fit-bi-metal-oscillating-blades-for-nail-embedded-wood-3-pack")</f>
        <v>https://edmondsonsupply.com/collections/electricians-tools/products/diablo-tools-dou250bw3-2-1-2-in-universal-fit-bi-metal-oscillating-blades-for-nail-embedded-wood-3-pack</v>
      </c>
      <c r="B6932"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6932" t="s">
        <v>5937</v>
      </c>
      <c r="D6932" t="s">
        <v>5960</v>
      </c>
      <c r="E6932" s="3" t="str">
        <f>HYPERLINK("https://www.amazon.com/Diablo-Freud-DOU250BW-Oscillating-Nail-Embedded/dp/B089KWP5Z2/ref=sr_1_2?keywords=Diablo+Tools+DOU250BW3+2-1%2F2+in.+Universal+Fit+Bi-Metal+Oscillating+Blades+for+Nail-Embedded+Wood+%283+pack%29&amp;qid=1695174017&amp;sr=8-2", "https://www.amazon.com/Diablo-Freud-DOU250BW-Oscillating-Nail-Embedded/dp/B089KWP5Z2/ref=sr_1_2?keywords=Diablo+Tools+DOU250BW3+2-1%2F2+in.+Universal+Fit+Bi-Metal+Oscillating+Blades+for+Nail-Embedded+Wood+%283+pack%29&amp;qid=1695174017&amp;sr=8-2")</f>
        <v>https://www.amazon.com/Diablo-Freud-DOU250BW-Oscillating-Nail-Embedded/dp/B089KWP5Z2/ref=sr_1_2?keywords=Diablo+Tools+DOU250BW3+2-1%2F2+in.+Universal+Fit+Bi-Metal+Oscillating+Blades+for+Nail-Embedded+Wood+%283+pack%29&amp;qid=1695174017&amp;sr=8-2</v>
      </c>
      <c r="F6932" t="s">
        <v>5961</v>
      </c>
      <c r="G6932" t="e">
        <f ca="1">_xludf.IMAGE("https://edmondsonsupply.com/cdn/shop/files/xcched1uye7bv2s0ryod_fbd674d3-3cd9-4e2a-a920-451af57abfde.webp?v=1686149226")</f>
        <v>#NAME?</v>
      </c>
      <c r="H6932" t="e">
        <f ca="1">_xludf.IMAGE("https://m.media-amazon.com/images/I/71fhfiK3NaL._AC_UL320_.jpg")</f>
        <v>#NAME?</v>
      </c>
      <c r="I6932" t="s">
        <v>5940</v>
      </c>
      <c r="J6932">
        <v>16.96</v>
      </c>
      <c r="K6932" s="4">
        <v>-0.45850000000000002</v>
      </c>
      <c r="L6932">
        <v>4.5999999999999996</v>
      </c>
      <c r="M6932">
        <v>31</v>
      </c>
      <c r="O6932" t="s">
        <v>25</v>
      </c>
      <c r="P6932" t="s">
        <v>5941</v>
      </c>
      <c r="Q6932" t="s">
        <v>5942</v>
      </c>
    </row>
    <row r="6933" spans="1:17" ht="15.5" x14ac:dyDescent="0.35">
      <c r="A6933"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6933"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6933" t="s">
        <v>8676</v>
      </c>
      <c r="D6933" t="s">
        <v>5960</v>
      </c>
      <c r="E6933" s="3" t="str">
        <f>HYPERLINK("https://www.amazon.com/Diablo-Freud-DOU250BW-Oscillating-Nail-Embedded/dp/B089KWP5Z2/ref=sr_1_4?keywords=Diablo+Tools+DOU250JBW3+2-1%2F2+in.+Universal+Fit+Bi-Metal+Oscillating+Blade+for+Clean+Wood+%283+pk%29&amp;qid=1695174010&amp;sr=8-4", "https://www.amazon.com/Diablo-Freud-DOU250BW-Oscillating-Nail-Embedded/dp/B089KWP5Z2/ref=sr_1_4?keywords=Diablo+Tools+DOU250JBW3+2-1%2F2+in.+Universal+Fit+Bi-Metal+Oscillating+Blade+for+Clean+Wood+%283+pk%29&amp;qid=1695174010&amp;sr=8-4")</f>
        <v>https://www.amazon.com/Diablo-Freud-DOU250BW-Oscillating-Nail-Embedded/dp/B089KWP5Z2/ref=sr_1_4?keywords=Diablo+Tools+DOU250JBW3+2-1%2F2+in.+Universal+Fit+Bi-Metal+Oscillating+Blade+for+Clean+Wood+%283+pk%29&amp;qid=1695174010&amp;sr=8-4</v>
      </c>
      <c r="F6933" t="s">
        <v>5961</v>
      </c>
      <c r="G6933" t="e">
        <f ca="1">_xludf.IMAGE("https://edmondsonsupply.com/cdn/shop/files/pycnap4eb1urn2hxvudq_1.webp?v=1685719587")</f>
        <v>#NAME?</v>
      </c>
      <c r="H6933" t="e">
        <f ca="1">_xludf.IMAGE("https://m.media-amazon.com/images/I/71fhfiK3NaL._AC_UL320_.jpg")</f>
        <v>#NAME?</v>
      </c>
      <c r="I6933" t="s">
        <v>5940</v>
      </c>
      <c r="J6933">
        <v>16.96</v>
      </c>
      <c r="K6933" s="4">
        <v>-0.45850000000000002</v>
      </c>
      <c r="L6933">
        <v>4.5999999999999996</v>
      </c>
      <c r="M6933">
        <v>31</v>
      </c>
      <c r="O6933" t="s">
        <v>25</v>
      </c>
      <c r="P6933" t="s">
        <v>8677</v>
      </c>
      <c r="Q6933" t="s">
        <v>8678</v>
      </c>
    </row>
    <row r="6934" spans="1:17" ht="15.5" x14ac:dyDescent="0.35">
      <c r="A6934" s="3" t="str">
        <f>HYPERLINK("https://edmondsonsupply.com/collections/electricians-tools/products/copy-of-milwaukee-48-11-1850-m18%E2%84%A2-redlithium%E2%84%A2-xc5-0-extended-capacity-battery-pack", "https://edmondsonsupply.com/collections/electricians-tools/products/copy-of-milwaukee-48-11-1850-m18%E2%84%A2-redlithium%E2%84%A2-xc5-0-extended-capacity-battery-pack")</f>
        <v>https://edmondsonsupply.com/collections/electricians-tools/products/copy-of-milwaukee-48-11-1850-m18%E2%84%A2-redlithium%E2%84%A2-xc5-0-extended-capacity-battery-pack</v>
      </c>
      <c r="B6934" s="3" t="str">
        <f>HYPERLINK("https://edmondsonsupply.com/products/copy-of-milwaukee-48-11-1850-m18%e2%84%a2-redlithium%e2%84%a2-xc5-0-extended-capacity-battery-pack", "https://edmondsonsupply.com/products/copy-of-milwaukee-48-11-1850-m18%e2%84%a2-redlithium%e2%84%a2-xc5-0-extended-capacity-battery-pack")</f>
        <v>https://edmondsonsupply.com/products/copy-of-milwaukee-48-11-1850-m18%e2%84%a2-redlithium%e2%84%a2-xc5-0-extended-capacity-battery-pack</v>
      </c>
      <c r="C6934" t="s">
        <v>9042</v>
      </c>
      <c r="D6934" t="s">
        <v>9043</v>
      </c>
      <c r="E6934" s="3" t="str">
        <f>HYPERLINK("https://www.amazon.com/Milwaukee-48-11-1850-Batteries-48-11-1852-pack/dp/B09NNHN8S8/ref=sr_1_1?keywords=Milwaukee+48-11-1852+M18%E2%84%A2+REDLITHIUM%E2%84%A2+XC5.0+Extended+Capacity+Battery+2-Pack&amp;qid=1695174190&amp;sr=8-1", "https://www.amazon.com/Milwaukee-48-11-1850-Batteries-48-11-1852-pack/dp/B09NNHN8S8/ref=sr_1_1?keywords=Milwaukee+48-11-1852+M18%E2%84%A2+REDLITHIUM%E2%84%A2+XC5.0+Extended+Capacity+Battery+2-Pack&amp;qid=1695174190&amp;sr=8-1")</f>
        <v>https://www.amazon.com/Milwaukee-48-11-1850-Batteries-48-11-1852-pack/dp/B09NNHN8S8/ref=sr_1_1?keywords=Milwaukee+48-11-1852+M18%E2%84%A2+REDLITHIUM%E2%84%A2+XC5.0+Extended+Capacity+Battery+2-Pack&amp;qid=1695174190&amp;sr=8-1</v>
      </c>
      <c r="F6934" t="s">
        <v>9044</v>
      </c>
      <c r="G6934" t="e">
        <f ca="1">_xludf.IMAGE("https://edmondsonsupply.com/cdn/shop/products/48-11-1852_2.png?v=1657136927")</f>
        <v>#NAME?</v>
      </c>
      <c r="H6934" t="e">
        <f ca="1">_xludf.IMAGE("https://m.media-amazon.com/images/I/61QtFZehTkL._AC_UL320_.jpg")</f>
        <v>#NAME?</v>
      </c>
      <c r="I6934" t="s">
        <v>8789</v>
      </c>
      <c r="J6934">
        <v>133.9</v>
      </c>
      <c r="K6934" s="4">
        <v>-0.4622</v>
      </c>
      <c r="L6934">
        <v>4.7</v>
      </c>
      <c r="M6934">
        <v>1293</v>
      </c>
      <c r="O6934" t="s">
        <v>25</v>
      </c>
      <c r="P6934" t="s">
        <v>9045</v>
      </c>
      <c r="Q6934" t="s">
        <v>9046</v>
      </c>
    </row>
    <row r="6935" spans="1:17" ht="15.5" x14ac:dyDescent="0.35">
      <c r="A6935" s="3" t="str">
        <f>HYPERLINK("https://edmondsonsupply.com/collections/electricians-tools/products/milwaukee-2997-22-m18-fuel%E2%84%A2-2-tool-combo-kit-hammer-drill-impact", "https://edmondsonsupply.com/collections/electricians-tools/products/milwaukee-2997-22-m18-fuel%E2%84%A2-2-tool-combo-kit-hammer-drill-impact")</f>
        <v>https://edmondsonsupply.com/collections/electricians-tools/products/milwaukee-2997-22-m18-fuel%E2%84%A2-2-tool-combo-kit-hammer-drill-impact</v>
      </c>
      <c r="B6935" s="3" t="str">
        <f>HYPERLINK("https://edmondsonsupply.com/products/milwaukee-2997-22-m18-fuel%e2%84%a2-2-tool-combo-kit-hammer-drill-impact", "https://edmondsonsupply.com/products/milwaukee-2997-22-m18-fuel%e2%84%a2-2-tool-combo-kit-hammer-drill-impact")</f>
        <v>https://edmondsonsupply.com/products/milwaukee-2997-22-m18-fuel%e2%84%a2-2-tool-combo-kit-hammer-drill-impact</v>
      </c>
      <c r="C6935" t="s">
        <v>4205</v>
      </c>
      <c r="D6935" t="s">
        <v>5542</v>
      </c>
      <c r="E6935" s="3" t="str">
        <f>HYPERLINK("https://www.amazon.com/Milwaukee-2598-22-FUEL-2-Tool-Combo/dp/B07F9Q4H5S/ref=sr_1_7?keywords=Milwaukee+2997-22+M18+FUEL%E2%84%A2+2-Tool+Combo+Kit%3A+Hammer+Drill%2FImpact&amp;qid=1695173909&amp;sr=8-7", "https://www.amazon.com/Milwaukee-2598-22-FUEL-2-Tool-Combo/dp/B07F9Q4H5S/ref=sr_1_7?keywords=Milwaukee+2997-22+M18+FUEL%E2%84%A2+2-Tool+Combo+Kit%3A+Hammer+Drill%2FImpact&amp;qid=1695173909&amp;sr=8-7")</f>
        <v>https://www.amazon.com/Milwaukee-2598-22-FUEL-2-Tool-Combo/dp/B07F9Q4H5S/ref=sr_1_7?keywords=Milwaukee+2997-22+M18+FUEL%E2%84%A2+2-Tool+Combo+Kit%3A+Hammer+Drill%2FImpact&amp;qid=1695173909&amp;sr=8-7</v>
      </c>
      <c r="F6935" t="s">
        <v>5543</v>
      </c>
      <c r="G6935" t="e">
        <f ca="1">_xludf.IMAGE("https://edmondsonsupply.com/cdn/shop/products/2997-22-1.png?v=1657217833")</f>
        <v>#NAME?</v>
      </c>
      <c r="H6935" t="e">
        <f ca="1">_xludf.IMAGE("https://m.media-amazon.com/images/I/617O-7-wU2L._AC_UL320_.jpg")</f>
        <v>#NAME?</v>
      </c>
      <c r="I6935" t="s">
        <v>4208</v>
      </c>
      <c r="J6935">
        <v>213.99</v>
      </c>
      <c r="K6935" s="4">
        <v>-0.4637</v>
      </c>
      <c r="L6935">
        <v>4.8</v>
      </c>
      <c r="M6935">
        <v>69</v>
      </c>
      <c r="O6935" t="s">
        <v>171</v>
      </c>
      <c r="P6935" t="s">
        <v>4209</v>
      </c>
      <c r="Q6935" t="s">
        <v>4210</v>
      </c>
    </row>
    <row r="6936" spans="1:17" ht="15.5" x14ac:dyDescent="0.35">
      <c r="A6936" s="3" t="str">
        <f>HYPERLINK("https://edmondsonsupply.com/collections/electricians-tools/products/klein-tools-jth9m8-8-mm-hex-key-journeyman%E2%84%A2-t-handle-9-inch", "https://edmondsonsupply.com/collections/electricians-tools/products/klein-tools-jth9m8-8-mm-hex-key-journeyman%E2%84%A2-t-handle-9-inch")</f>
        <v>https://edmondsonsupply.com/collections/electricians-tools/products/klein-tools-jth9m8-8-mm-hex-key-journeyman%E2%84%A2-t-handle-9-inch</v>
      </c>
      <c r="B6936" s="3" t="str">
        <f>HYPERLINK("https://edmondsonsupply.com/products/klein-tools-jth9m8-8-mm-hex-key-journeyman%e2%84%a2-t-handle-9-inch", "https://edmondsonsupply.com/products/klein-tools-jth9m8-8-mm-hex-key-journeyman%e2%84%a2-t-handle-9-inch")</f>
        <v>https://edmondsonsupply.com/products/klein-tools-jth9m8-8-mm-hex-key-journeyman%e2%84%a2-t-handle-9-inch</v>
      </c>
      <c r="C6936" t="s">
        <v>6674</v>
      </c>
      <c r="D6936" t="s">
        <v>7572</v>
      </c>
      <c r="E6936" s="3" t="str">
        <f>HYPERLINK("https://www.amazon.com/Journeyman-T-Handle-Klein-Tools-JTH9E08/dp/B004QV8DGW/ref=sr_1_8?keywords=Klein+Tools+JTH9M8+8+mm+Hex+Key%2C+Journeyman%E2%84%A2+T-Handle%2C+9-Inch&amp;qid=1695174169&amp;sr=8-8", "https://www.amazon.com/Journeyman-T-Handle-Klein-Tools-JTH9E08/dp/B004QV8DGW/ref=sr_1_8?keywords=Klein+Tools+JTH9M8+8+mm+Hex+Key%2C+Journeyman%E2%84%A2+T-Handle%2C+9-Inch&amp;qid=1695174169&amp;sr=8-8")</f>
        <v>https://www.amazon.com/Journeyman-T-Handle-Klein-Tools-JTH9E08/dp/B004QV8DGW/ref=sr_1_8?keywords=Klein+Tools+JTH9M8+8+mm+Hex+Key%2C+Journeyman%E2%84%A2+T-Handle%2C+9-Inch&amp;qid=1695174169&amp;sr=8-8</v>
      </c>
      <c r="F6936" t="s">
        <v>7573</v>
      </c>
      <c r="G6936" t="e">
        <f ca="1">_xludf.IMAGE("https://edmondsonsupply.com/cdn/shop/products/jth6m8_03ba3d30-ff38-4b9e-93e7-b0fc6da199d0.jpg?v=1662658324")</f>
        <v>#NAME?</v>
      </c>
      <c r="H6936" t="e">
        <f ca="1">_xludf.IMAGE("https://m.media-amazon.com/images/I/51Yb8h41vLL._AC_UL320_.jpg")</f>
        <v>#NAME?</v>
      </c>
      <c r="I6936" t="s">
        <v>1003</v>
      </c>
      <c r="J6936">
        <v>4.2699999999999996</v>
      </c>
      <c r="K6936" s="4">
        <v>-0.46560000000000001</v>
      </c>
      <c r="L6936">
        <v>4.5999999999999996</v>
      </c>
      <c r="M6936">
        <v>393</v>
      </c>
      <c r="O6936" t="s">
        <v>25</v>
      </c>
      <c r="P6936" t="s">
        <v>1481</v>
      </c>
      <c r="Q6936" t="s">
        <v>6675</v>
      </c>
    </row>
    <row r="6937" spans="1:17" ht="15.5" x14ac:dyDescent="0.35">
      <c r="A6937" s="3" t="str">
        <f>HYPERLINK("https://edmondsonsupply.com/collections/electricians-tools/products/klein-tools-32768-3-in-1-impact-flip-socket-set-1-4-inch-5-16-inch-2-piece", "https://edmondsonsupply.com/collections/electricians-tools/products/klein-tools-32768-3-in-1-impact-flip-socket-set-1-4-inch-5-16-inch-2-piece")</f>
        <v>https://edmondsonsupply.com/collections/electricians-tools/products/klein-tools-32768-3-in-1-impact-flip-socket-set-1-4-inch-5-16-inch-2-piece</v>
      </c>
      <c r="B6937" s="3" t="str">
        <f>HYPERLINK("https://edmondsonsupply.com/products/klein-tools-32768-3-in-1-impact-flip-socket-set-1-4-inch-5-16-inch-2-piece", "https://edmondsonsupply.com/products/klein-tools-32768-3-in-1-impact-flip-socket-set-1-4-inch-5-16-inch-2-piece")</f>
        <v>https://edmondsonsupply.com/products/klein-tools-32768-3-in-1-impact-flip-socket-set-1-4-inch-5-16-inch-2-piece</v>
      </c>
      <c r="C6937" t="s">
        <v>6439</v>
      </c>
      <c r="D6937" t="s">
        <v>8815</v>
      </c>
      <c r="E6937" s="3" t="str">
        <f>HYPERLINK("https://www.amazon.com/Klein-Tools-32766-16-Inch-Drivers/dp/B09R2L4GFJ/ref=sr_1_2?keywords=Klein+Tools+32768+3-in-1+Impact+Flip+Socket+Set%2C+1%2F4-Inch%2C+5%2F16-Inch%2C+2-Piece&amp;qid=1695174135&amp;sr=8-2", "https://www.amazon.com/Klein-Tools-32766-16-Inch-Drivers/dp/B09R2L4GFJ/ref=sr_1_2?keywords=Klein+Tools+32768+3-in-1+Impact+Flip+Socket+Set%2C+1%2F4-Inch%2C+5%2F16-Inch%2C+2-Piece&amp;qid=1695174135&amp;sr=8-2")</f>
        <v>https://www.amazon.com/Klein-Tools-32766-16-Inch-Drivers/dp/B09R2L4GFJ/ref=sr_1_2?keywords=Klein+Tools+32768+3-in-1+Impact+Flip+Socket+Set%2C+1%2F4-Inch%2C+5%2F16-Inch%2C+2-Piece&amp;qid=1695174135&amp;sr=8-2</v>
      </c>
      <c r="F6937" t="s">
        <v>8816</v>
      </c>
      <c r="G6937" t="e">
        <f ca="1">_xludf.IMAGE("https://edmondsonsupply.com/cdn/shop/products/32768.jpg?v=1666022946")</f>
        <v>#NAME?</v>
      </c>
      <c r="H6937" t="e">
        <f ca="1">_xludf.IMAGE("https://m.media-amazon.com/images/I/41MLWTR6goL._AC_UL320_.jpg")</f>
        <v>#NAME?</v>
      </c>
      <c r="I6937" t="s">
        <v>2784</v>
      </c>
      <c r="J6937">
        <v>7.99</v>
      </c>
      <c r="K6937" s="4">
        <v>-0.46629999999999999</v>
      </c>
      <c r="L6937">
        <v>4.5</v>
      </c>
      <c r="M6937">
        <v>1251</v>
      </c>
      <c r="O6937" t="s">
        <v>25</v>
      </c>
      <c r="P6937" t="s">
        <v>854</v>
      </c>
      <c r="Q6937" t="s">
        <v>6442</v>
      </c>
    </row>
    <row r="6938" spans="1:17" ht="15.5" x14ac:dyDescent="0.35">
      <c r="A6938" s="3" t="str">
        <f>HYPERLINK("https://edmondsonsupply.com/collections/electricians-tools/products/milwaukee-48-40-4515-8-circular-saw-metal-cutting-blade-42t", "https://edmondsonsupply.com/collections/electricians-tools/products/milwaukee-48-40-4515-8-circular-saw-metal-cutting-blade-42t")</f>
        <v>https://edmondsonsupply.com/collections/electricians-tools/products/milwaukee-48-40-4515-8-circular-saw-metal-cutting-blade-42t</v>
      </c>
      <c r="B6938" s="3" t="str">
        <f>HYPERLINK("https://edmondsonsupply.com/products/milwaukee-48-40-4515-8-circular-saw-metal-cutting-blade-42t", "https://edmondsonsupply.com/products/milwaukee-48-40-4515-8-circular-saw-metal-cutting-blade-42t")</f>
        <v>https://edmondsonsupply.com/products/milwaukee-48-40-4515-8-circular-saw-metal-cutting-blade-42t</v>
      </c>
      <c r="C6938" t="s">
        <v>5194</v>
      </c>
      <c r="D6938" t="s">
        <v>5544</v>
      </c>
      <c r="E6938" s="3" t="str">
        <f>HYPERLINK("https://www.amazon.com/Milwaukee-48-40-4225-Circular-Metal-Cutting/dp/B09F72V5K9/ref=sr_1_8?keywords=Milwaukee+48-40-4515+8%22+Circular+Saw+Metal+Cutting+Blade-+42T&amp;qid=1695174000&amp;sr=8-8", "https://www.amazon.com/Milwaukee-48-40-4225-Circular-Metal-Cutting/dp/B09F72V5K9/ref=sr_1_8?keywords=Milwaukee+48-40-4515+8%22+Circular+Saw+Metal+Cutting+Blade-+42T&amp;qid=1695174000&amp;sr=8-8")</f>
        <v>https://www.amazon.com/Milwaukee-48-40-4225-Circular-Metal-Cutting/dp/B09F72V5K9/ref=sr_1_8?keywords=Milwaukee+48-40-4515+8%22+Circular+Saw+Metal+Cutting+Blade-+42T&amp;qid=1695174000&amp;sr=8-8</v>
      </c>
      <c r="F6938" t="s">
        <v>5545</v>
      </c>
      <c r="G6938" t="e">
        <f ca="1">_xludf.IMAGE("https://edmondsonsupply.com/cdn/shop/files/48-40-4515_1.png?v=1687444386")</f>
        <v>#NAME?</v>
      </c>
      <c r="H6938" t="e">
        <f ca="1">_xludf.IMAGE("https://m.media-amazon.com/images/I/61-wUpbNXxL._AC_UL320_.jpg")</f>
        <v>#NAME?</v>
      </c>
      <c r="I6938" t="s">
        <v>5197</v>
      </c>
      <c r="J6938">
        <v>32</v>
      </c>
      <c r="K6938" s="4">
        <v>-0.46639999999999998</v>
      </c>
      <c r="L6938">
        <v>4.5999999999999996</v>
      </c>
      <c r="M6938">
        <v>3</v>
      </c>
      <c r="O6938" t="s">
        <v>25</v>
      </c>
      <c r="P6938" t="s">
        <v>5198</v>
      </c>
      <c r="Q6938" t="s">
        <v>5199</v>
      </c>
    </row>
    <row r="6939" spans="1:17" ht="15.5" x14ac:dyDescent="0.35">
      <c r="A6939"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6939" s="3" t="str">
        <f>HYPERLINK("https://edmondsonsupply.com/products/klein-tools-32800-6-in-1-multi-nut-driver-heavy-duty", "https://edmondsonsupply.com/products/klein-tools-32800-6-in-1-multi-nut-driver-heavy-duty")</f>
        <v>https://edmondsonsupply.com/products/klein-tools-32800-6-in-1-multi-nut-driver-heavy-duty</v>
      </c>
      <c r="C6939" t="s">
        <v>8108</v>
      </c>
      <c r="D6939" t="s">
        <v>9047</v>
      </c>
      <c r="E6939" s="3" t="str">
        <f>HYPERLINK("https://www.amazon.com/Multibit-Screwdriver-Klein-Tools-32559/dp/B005FQDHDG/ref=sr_1_3?keywords=Klein+Tools+32800+6-in-1+6-in-1+Multi-Bit+Nut+Driver%2C+Heavy+Duty&amp;qid=1695174226&amp;sr=8-3", "https://www.amazon.com/Multibit-Screwdriver-Klein-Tools-32559/dp/B005FQDHDG/ref=sr_1_3?keywords=Klein+Tools+32800+6-in-1+6-in-1+Multi-Bit+Nut+Driver%2C+Heavy+Duty&amp;qid=1695174226&amp;sr=8-3")</f>
        <v>https://www.amazon.com/Multibit-Screwdriver-Klein-Tools-32559/dp/B005FQDHDG/ref=sr_1_3?keywords=Klein+Tools+32800+6-in-1+6-in-1+Multi-Bit+Nut+Driver%2C+Heavy+Duty&amp;qid=1695174226&amp;sr=8-3</v>
      </c>
      <c r="F6939" t="s">
        <v>9048</v>
      </c>
      <c r="G6939" t="e">
        <f ca="1">_xludf.IMAGE("https://edmondsonsupply.com/cdn/shop/products/32800_alt2.jpg?v=1646595019")</f>
        <v>#NAME?</v>
      </c>
      <c r="H6939" t="e">
        <f ca="1">_xludf.IMAGE("https://m.media-amazon.com/images/I/514peoSo7EL._AC_UL320_.jpg")</f>
        <v>#NAME?</v>
      </c>
      <c r="I6939" t="s">
        <v>26</v>
      </c>
      <c r="J6939">
        <v>15.97</v>
      </c>
      <c r="K6939" s="4">
        <v>-0.46750000000000003</v>
      </c>
      <c r="L6939">
        <v>4.8</v>
      </c>
      <c r="M6939">
        <v>2201</v>
      </c>
      <c r="O6939" t="s">
        <v>25</v>
      </c>
      <c r="P6939" t="s">
        <v>8111</v>
      </c>
      <c r="Q6939" t="s">
        <v>8112</v>
      </c>
    </row>
    <row r="6940" spans="1:17" ht="15.5" x14ac:dyDescent="0.35">
      <c r="A6940" s="3" t="str">
        <f>HYPERLINK("https://edmondsonsupply.com/collections/electricians-tools/products/fluke-373-true-rms-ac-clamp-meter", "https://edmondsonsupply.com/collections/electricians-tools/products/fluke-373-true-rms-ac-clamp-meter")</f>
        <v>https://edmondsonsupply.com/collections/electricians-tools/products/fluke-373-true-rms-ac-clamp-meter</v>
      </c>
      <c r="B6940" s="3" t="str">
        <f>HYPERLINK("https://edmondsonsupply.com/products/fluke-373-true-rms-ac-clamp-meter", "https://edmondsonsupply.com/products/fluke-373-true-rms-ac-clamp-meter")</f>
        <v>https://edmondsonsupply.com/products/fluke-373-true-rms-ac-clamp-meter</v>
      </c>
      <c r="C6940" t="s">
        <v>5826</v>
      </c>
      <c r="D6940" t="s">
        <v>9049</v>
      </c>
      <c r="E6940" s="3" t="str">
        <f>HYPERLINK("https://www.amazon.com/FLUKE-362-True-rms-Clamp-Meter/dp/B00L7KZYSA/ref=sr_1_6?keywords=Fluke+373+True-RMS+AC+Clamp+Meter&amp;qid=1695173996&amp;sr=8-6", "https://www.amazon.com/FLUKE-362-True-rms-Clamp-Meter/dp/B00L7KZYSA/ref=sr_1_6?keywords=Fluke+373+True-RMS+AC+Clamp+Meter&amp;qid=1695173996&amp;sr=8-6")</f>
        <v>https://www.amazon.com/FLUKE-362-True-rms-Clamp-Meter/dp/B00L7KZYSA/ref=sr_1_6?keywords=Fluke+373+True-RMS+AC+Clamp+Meter&amp;qid=1695173996&amp;sr=8-6</v>
      </c>
      <c r="F6940" t="s">
        <v>9050</v>
      </c>
      <c r="G6940" t="e">
        <f ca="1">_xludf.IMAGE("https://edmondsonsupply.com/cdn/shop/files/f-373-01d-1500x1000.webp?v=1689369435")</f>
        <v>#NAME?</v>
      </c>
      <c r="H6940" t="e">
        <f ca="1">_xludf.IMAGE("https://m.media-amazon.com/images/I/21slynZmYNL._AC_UY218_.jpg")</f>
        <v>#NAME?</v>
      </c>
      <c r="I6940" t="s">
        <v>5829</v>
      </c>
      <c r="J6940">
        <v>154</v>
      </c>
      <c r="K6940" s="4">
        <v>-0.46910000000000002</v>
      </c>
      <c r="L6940">
        <v>4.5</v>
      </c>
      <c r="M6940">
        <v>141</v>
      </c>
      <c r="O6940" t="s">
        <v>25</v>
      </c>
      <c r="P6940" t="s">
        <v>138</v>
      </c>
      <c r="Q6940" t="s">
        <v>5830</v>
      </c>
    </row>
    <row r="6941" spans="1:17" ht="15.5" x14ac:dyDescent="0.35">
      <c r="A6941" s="3" t="str">
        <f>HYPERLINK("https://edmondsonsupply.com/collections/electricians-tools/products/milwaukee-2553-22", "https://edmondsonsupply.com/collections/electricians-tools/products/milwaukee-2553-22")</f>
        <v>https://edmondsonsupply.com/collections/electricians-tools/products/milwaukee-2553-22</v>
      </c>
      <c r="B6941" s="3" t="str">
        <f>HYPERLINK("https://edmondsonsupply.com/products/milwaukee-2553-22", "https://edmondsonsupply.com/products/milwaukee-2553-22")</f>
        <v>https://edmondsonsupply.com/products/milwaukee-2553-22</v>
      </c>
      <c r="C6941" t="s">
        <v>6686</v>
      </c>
      <c r="D6941" t="s">
        <v>8972</v>
      </c>
      <c r="E6941" s="3" t="str">
        <f>HYPERLINK("https://www.amazon.com/Milwaukee-Electric-Tools-MLW2553-20-Impact/dp/B077ZYMK1W/ref=sr_1_5?keywords=Milwaukee+2553-22+M12+FUEL%E2%84%A2+1%2F4%22+Hex+Impact+Driver+Kit&amp;qid=1695174118&amp;sr=8-5", "https://www.amazon.com/Milwaukee-Electric-Tools-MLW2553-20-Impact/dp/B077ZYMK1W/ref=sr_1_5?keywords=Milwaukee+2553-22+M12+FUEL%E2%84%A2+1%2F4%22+Hex+Impact+Driver+Kit&amp;qid=1695174118&amp;sr=8-5")</f>
        <v>https://www.amazon.com/Milwaukee-Electric-Tools-MLW2553-20-Impact/dp/B077ZYMK1W/ref=sr_1_5?keywords=Milwaukee+2553-22+M12+FUEL%E2%84%A2+1%2F4%22+Hex+Impact+Driver+Kit&amp;qid=1695174118&amp;sr=8-5</v>
      </c>
      <c r="F6941" t="s">
        <v>8973</v>
      </c>
      <c r="G6941" t="e">
        <f ca="1">_xludf.IMAGE("https://edmondsonsupply.com/cdn/shop/products/2553-22_Kit.webp?v=1668445129")</f>
        <v>#NAME?</v>
      </c>
      <c r="H6941" t="e">
        <f ca="1">_xludf.IMAGE("https://m.media-amazon.com/images/I/71gozUvKj2L._AC_UL320_.jpg")</f>
        <v>#NAME?</v>
      </c>
      <c r="I6941" t="s">
        <v>6689</v>
      </c>
      <c r="J6941">
        <v>88.99</v>
      </c>
      <c r="K6941" s="4">
        <v>-0.47339999999999999</v>
      </c>
      <c r="L6941">
        <v>4.8</v>
      </c>
      <c r="M6941">
        <v>2987</v>
      </c>
      <c r="O6941" t="s">
        <v>25</v>
      </c>
      <c r="P6941" t="s">
        <v>5012</v>
      </c>
      <c r="Q6941" t="s">
        <v>6690</v>
      </c>
    </row>
    <row r="6942" spans="1:17" ht="15.5" x14ac:dyDescent="0.35">
      <c r="A6942"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6942" s="3" t="str">
        <f>HYPERLINK("https://edmondsonsupply.com/products/klein-tools-j20017ne-heavy-duty-linemans-pliers-7-inch", "https://edmondsonsupply.com/products/klein-tools-j20017ne-heavy-duty-linemans-pliers-7-inch")</f>
        <v>https://edmondsonsupply.com/products/klein-tools-j20017ne-heavy-duty-linemans-pliers-7-inch</v>
      </c>
      <c r="C6942" t="s">
        <v>8097</v>
      </c>
      <c r="D6942" t="s">
        <v>9051</v>
      </c>
      <c r="E6942" s="3" t="str">
        <f>HYPERLINK("https://www.amazon.com/Diagonal-Cutting-Tapered-Klein-Tools-D220-7/dp/B0002RI9M2/ref=sr_1_10?keywords=Klein+Tools+J20017NE+Heavy-Duty+Lineman%27s+Pliers%2C+7-Inch&amp;qid=1695174165&amp;sr=8-10", "https://www.amazon.com/Diagonal-Cutting-Tapered-Klein-Tools-D220-7/dp/B0002RI9M2/ref=sr_1_10?keywords=Klein+Tools+J20017NE+Heavy-Duty+Lineman%27s+Pliers%2C+7-Inch&amp;qid=1695174165&amp;sr=8-10")</f>
        <v>https://www.amazon.com/Diagonal-Cutting-Tapered-Klein-Tools-D220-7/dp/B0002RI9M2/ref=sr_1_10?keywords=Klein+Tools+J20017NE+Heavy-Duty+Lineman%27s+Pliers%2C+7-Inch&amp;qid=1695174165&amp;sr=8-10</v>
      </c>
      <c r="F6942" t="s">
        <v>9052</v>
      </c>
      <c r="G6942" t="e">
        <f ca="1">_xludf.IMAGE("https://edmondsonsupply.com/cdn/shop/products/j20017ne.jpg?v=1662669673")</f>
        <v>#NAME?</v>
      </c>
      <c r="H6942" t="e">
        <f ca="1">_xludf.IMAGE("https://m.media-amazon.com/images/I/51gNINm2i-L._AC_UL320_.jpg")</f>
        <v>#NAME?</v>
      </c>
      <c r="I6942" t="s">
        <v>269</v>
      </c>
      <c r="J6942">
        <v>28.93</v>
      </c>
      <c r="K6942" s="4">
        <v>-0.47389999999999999</v>
      </c>
      <c r="L6942">
        <v>4.7</v>
      </c>
      <c r="M6942">
        <v>241</v>
      </c>
      <c r="O6942" t="s">
        <v>25</v>
      </c>
      <c r="P6942" t="s">
        <v>8100</v>
      </c>
      <c r="Q6942" t="s">
        <v>8101</v>
      </c>
    </row>
    <row r="6943" spans="1:17" ht="15.5" x14ac:dyDescent="0.35">
      <c r="A6943" s="3" t="str">
        <f>HYPERLINK("https://edmondsonsupply.com/collections/electricians-tools/products/greenlee-gsb12-1-3-8-step-bit-12", "https://edmondsonsupply.com/collections/electricians-tools/products/greenlee-gsb12-1-3-8-step-bit-12")</f>
        <v>https://edmondsonsupply.com/collections/electricians-tools/products/greenlee-gsb12-1-3-8-step-bit-12</v>
      </c>
      <c r="B6943" s="3" t="str">
        <f>HYPERLINK("https://edmondsonsupply.com/products/greenlee-gsb12-1-3-8-step-bit-12", "https://edmondsonsupply.com/products/greenlee-gsb12-1-3-8-step-bit-12")</f>
        <v>https://edmondsonsupply.com/products/greenlee-gsb12-1-3-8-step-bit-12</v>
      </c>
      <c r="C6943" t="s">
        <v>5549</v>
      </c>
      <c r="D6943" t="s">
        <v>3245</v>
      </c>
      <c r="E6943" s="3" t="str">
        <f>HYPERLINK("https://www.amazon.com/Greenlee-GSB12-Step-Bit-1-3/dp/B08TVF7KMP/ref=sr_1_1?keywords=Greenlee+GSB12+1-3%2F8%22+Step+Bit+%28%2312%29&amp;qid=1695174001&amp;sr=8-1", "https://www.amazon.com/Greenlee-GSB12-Step-Bit-1-3/dp/B08TVF7KMP/ref=sr_1_1?keywords=Greenlee+GSB12+1-3%2F8%22+Step+Bit+%28%2312%29&amp;qid=1695174001&amp;sr=8-1")</f>
        <v>https://www.amazon.com/Greenlee-GSB12-Step-Bit-1-3/dp/B08TVF7KMP/ref=sr_1_1?keywords=Greenlee+GSB12+1-3%2F8%22+Step+Bit+%28%2312%29&amp;qid=1695174001&amp;sr=8-1</v>
      </c>
      <c r="F6943" t="s">
        <v>3246</v>
      </c>
      <c r="G6943" t="e">
        <f ca="1">_xludf.IMAGE("https://edmondsonsupply.com/cdn/shop/files/GSB12_CAT1_72dpi.jpg?v=1687789899")</f>
        <v>#NAME?</v>
      </c>
      <c r="H6943" t="e">
        <f ca="1">_xludf.IMAGE("https://m.media-amazon.com/images/I/41Z8kxeeZfL._AC_UY218_.jpg")</f>
        <v>#NAME?</v>
      </c>
      <c r="I6943" t="s">
        <v>5550</v>
      </c>
      <c r="J6943">
        <v>45</v>
      </c>
      <c r="K6943" s="4">
        <v>-0.47549999999999998</v>
      </c>
      <c r="L6943">
        <v>4.8</v>
      </c>
      <c r="M6943">
        <v>27</v>
      </c>
      <c r="O6943" t="s">
        <v>25</v>
      </c>
      <c r="P6943" t="s">
        <v>5551</v>
      </c>
      <c r="Q6943" t="s">
        <v>5552</v>
      </c>
    </row>
    <row r="6944" spans="1:17" ht="15.5" x14ac:dyDescent="0.35">
      <c r="A6944" s="3" t="str">
        <f>HYPERLINK("https://edmondsonsupply.com/collections/electricians-tools/products/crescent-wiss-m7p-9-1-4-offset-straight-and-right-cut-aviation-snips", "https://edmondsonsupply.com/collections/electricians-tools/products/crescent-wiss-m7p-9-1-4-offset-straight-and-right-cut-aviation-snips")</f>
        <v>https://edmondsonsupply.com/collections/electricians-tools/products/crescent-wiss-m7p-9-1-4-offset-straight-and-right-cut-aviation-snips</v>
      </c>
      <c r="B6944" s="3" t="str">
        <f>HYPERLINK("https://edmondsonsupply.com/products/crescent-wiss-m7p-9-1-4-offset-straight-and-right-cut-aviation-snips", "https://edmondsonsupply.com/products/crescent-wiss-m7p-9-1-4-offset-straight-and-right-cut-aviation-snips")</f>
        <v>https://edmondsonsupply.com/products/crescent-wiss-m7p-9-1-4-offset-straight-and-right-cut-aviation-snips</v>
      </c>
      <c r="C6944" t="s">
        <v>7148</v>
      </c>
      <c r="D6944" t="s">
        <v>8998</v>
      </c>
      <c r="E6944" s="3" t="str">
        <f>HYPERLINK("https://www.amazon.com/Wiss-M2R-Compound-Action-Straight/dp/B00002N5KP/ref=sr_1_3?keywords=Crescent+Wiss+M7P+9-1%2F4%22+Offset+Straight+and+Right+Cut+Aviation+Snips&amp;qid=1695174041&amp;sr=8-3", "https://www.amazon.com/Wiss-M2R-Compound-Action-Straight/dp/B00002N5KP/ref=sr_1_3?keywords=Crescent+Wiss+M7P+9-1%2F4%22+Offset+Straight+and+Right+Cut+Aviation+Snips&amp;qid=1695174041&amp;sr=8-3")</f>
        <v>https://www.amazon.com/Wiss-M2R-Compound-Action-Straight/dp/B00002N5KP/ref=sr_1_3?keywords=Crescent+Wiss+M7P+9-1%2F4%22+Offset+Straight+and+Right+Cut+Aviation+Snips&amp;qid=1695174041&amp;sr=8-3</v>
      </c>
      <c r="F6944" t="s">
        <v>8999</v>
      </c>
      <c r="G6944" t="e">
        <f ca="1">_xludf.IMAGE("https://edmondsonsupply.com/cdn/shop/products/WIS_M7P_IMG_ANG_01.jpg?v=1679669941")</f>
        <v>#NAME?</v>
      </c>
      <c r="H6944" t="e">
        <f ca="1">_xludf.IMAGE("https://m.media-amazon.com/images/I/71ObA+hcEeL._AC_UL320_.jpg")</f>
        <v>#NAME?</v>
      </c>
      <c r="I6944" t="s">
        <v>1589</v>
      </c>
      <c r="J6944">
        <v>12</v>
      </c>
      <c r="K6944" s="4">
        <v>-0.47799999999999998</v>
      </c>
      <c r="L6944">
        <v>4.5999999999999996</v>
      </c>
      <c r="M6944">
        <v>723</v>
      </c>
      <c r="O6944" t="s">
        <v>25</v>
      </c>
      <c r="P6944" t="s">
        <v>7144</v>
      </c>
      <c r="Q6944" t="s">
        <v>7149</v>
      </c>
    </row>
    <row r="6945" spans="1:17" ht="15.5" x14ac:dyDescent="0.35">
      <c r="A6945" s="3" t="str">
        <f>HYPERLINK("https://edmondsonsupply.com/collections/electricians-tools/products/crescent-wiss-9-1-4-offset-straight-and-left-cut-aviation-snips", "https://edmondsonsupply.com/collections/electricians-tools/products/crescent-wiss-9-1-4-offset-straight-and-left-cut-aviation-snips")</f>
        <v>https://edmondsonsupply.com/collections/electricians-tools/products/crescent-wiss-9-1-4-offset-straight-and-left-cut-aviation-snips</v>
      </c>
      <c r="B6945" s="3" t="str">
        <f>HYPERLINK("https://edmondsonsupply.com/products/crescent-wiss-9-1-4-offset-straight-and-left-cut-aviation-snips", "https://edmondsonsupply.com/products/crescent-wiss-9-1-4-offset-straight-and-left-cut-aviation-snips")</f>
        <v>https://edmondsonsupply.com/products/crescent-wiss-9-1-4-offset-straight-and-left-cut-aviation-snips</v>
      </c>
      <c r="C6945" t="s">
        <v>7146</v>
      </c>
      <c r="D6945" t="s">
        <v>9000</v>
      </c>
      <c r="E6945" s="3" t="str">
        <f>HYPERLINK("https://www.amazon.com/Wiss-M1R-MetalMaster-Capacity-Straight/dp/B00002N5KO/ref=sr_1_3?keywords=Crescent+Wiss+M6P+9-1%2F4%22+Offset+Straight+and+Left+Cut+Aviation+Snips&amp;qid=1695174043&amp;sr=8-3", "https://www.amazon.com/Wiss-M1R-MetalMaster-Capacity-Straight/dp/B00002N5KO/ref=sr_1_3?keywords=Crescent+Wiss+M6P+9-1%2F4%22+Offset+Straight+and+Left+Cut+Aviation+Snips&amp;qid=1695174043&amp;sr=8-3")</f>
        <v>https://www.amazon.com/Wiss-M1R-MetalMaster-Capacity-Straight/dp/B00002N5KO/ref=sr_1_3?keywords=Crescent+Wiss+M6P+9-1%2F4%22+Offset+Straight+and+Left+Cut+Aviation+Snips&amp;qid=1695174043&amp;sr=8-3</v>
      </c>
      <c r="F6945" t="s">
        <v>9001</v>
      </c>
      <c r="G6945" t="e">
        <f ca="1">_xludf.IMAGE("https://edmondsonsupply.com/cdn/shop/products/WIS_M6P_IMG_MAIN_01.jpg?v=1679497499")</f>
        <v>#NAME?</v>
      </c>
      <c r="H6945" t="e">
        <f ca="1">_xludf.IMAGE("https://m.media-amazon.com/images/I/61SRWhDt0pL._AC_UL320_.jpg")</f>
        <v>#NAME?</v>
      </c>
      <c r="I6945" t="s">
        <v>1589</v>
      </c>
      <c r="J6945">
        <v>12</v>
      </c>
      <c r="K6945" s="4">
        <v>-0.47799999999999998</v>
      </c>
      <c r="L6945">
        <v>4.5999999999999996</v>
      </c>
      <c r="M6945">
        <v>1075</v>
      </c>
      <c r="O6945" t="s">
        <v>25</v>
      </c>
      <c r="P6945" t="s">
        <v>7144</v>
      </c>
      <c r="Q6945" t="s">
        <v>7147</v>
      </c>
    </row>
    <row r="6946" spans="1:17" ht="15.5" x14ac:dyDescent="0.35">
      <c r="A6946" s="3" t="str">
        <f>HYPERLINK("https://edmondsonsupply.com/collections/electricians-tools/products/milwaukee-48-03-3012-sds-max-to-spline-adapter", "https://edmondsonsupply.com/collections/electricians-tools/products/milwaukee-48-03-3012-sds-max-to-spline-adapter")</f>
        <v>https://edmondsonsupply.com/collections/electricians-tools/products/milwaukee-48-03-3012-sds-max-to-spline-adapter</v>
      </c>
      <c r="B6946" s="3" t="str">
        <f>HYPERLINK("https://edmondsonsupply.com/products/milwaukee-48-03-3012-sds-max-to-spline-adapter", "https://edmondsonsupply.com/products/milwaukee-48-03-3012-sds-max-to-spline-adapter")</f>
        <v>https://edmondsonsupply.com/products/milwaukee-48-03-3012-sds-max-to-spline-adapter</v>
      </c>
      <c r="C6946" t="s">
        <v>7528</v>
      </c>
      <c r="D6946" t="s">
        <v>7341</v>
      </c>
      <c r="E6946" s="3" t="str">
        <f>HYPERLINK("https://www.amazon.com/Milwaukee-48-03-3564-12-Inch-Spline-Adapter/dp/B0009H5R6Q/ref=sr_1_6?keywords=Milwaukee+48-03-3012+SDS-MAX+to+Spline+Bit+Adapter&amp;qid=1695174085&amp;sr=8-6", "https://www.amazon.com/Milwaukee-48-03-3564-12-Inch-Spline-Adapter/dp/B0009H5R6Q/ref=sr_1_6?keywords=Milwaukee+48-03-3012+SDS-MAX+to+Spline+Bit+Adapter&amp;qid=1695174085&amp;sr=8-6")</f>
        <v>https://www.amazon.com/Milwaukee-48-03-3564-12-Inch-Spline-Adapter/dp/B0009H5R6Q/ref=sr_1_6?keywords=Milwaukee+48-03-3012+SDS-MAX+to+Spline+Bit+Adapter&amp;qid=1695174085&amp;sr=8-6</v>
      </c>
      <c r="F6946" t="s">
        <v>7342</v>
      </c>
      <c r="G6946" t="e">
        <f ca="1">_xludf.IMAGE("https://edmondsonsupply.com/cdn/shop/products/48-03-3012.jpg?v=1674074396")</f>
        <v>#NAME?</v>
      </c>
      <c r="H6946" t="e">
        <f ca="1">_xludf.IMAGE("https://m.media-amazon.com/images/I/2157CNN6DQL._AC_UL320_.jpg")</f>
        <v>#NAME?</v>
      </c>
      <c r="I6946" t="s">
        <v>7529</v>
      </c>
      <c r="J6946">
        <v>73.88</v>
      </c>
      <c r="K6946" s="4">
        <v>-0.4793</v>
      </c>
      <c r="L6946">
        <v>1</v>
      </c>
      <c r="M6946">
        <v>1</v>
      </c>
      <c r="O6946" t="s">
        <v>25</v>
      </c>
      <c r="P6946" t="s">
        <v>7530</v>
      </c>
      <c r="Q6946" t="s">
        <v>7531</v>
      </c>
    </row>
    <row r="6947" spans="1:17" ht="15.5" x14ac:dyDescent="0.35">
      <c r="A6947"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6947"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6947" t="s">
        <v>8522</v>
      </c>
      <c r="D6947" t="s">
        <v>7541</v>
      </c>
      <c r="E6947" s="3" t="str">
        <f>HYPERLINK("https://www.amazon.com/Diablo-DOU350RBGP-Universal-Bi-Metal-Oscillating/dp/B089LLG8ZQ/ref=sr_1_10?keywords=Diablo+Tools+DOU125BF3+1-1%2F4+in.+Universal+Fit+Bi-Metal+Oscillating+Blade+for+Metal+%283+pack%29&amp;qid=1695174014&amp;sr=8-10", "https://www.amazon.com/Diablo-DOU350RBGP-Universal-Bi-Metal-Oscillating/dp/B089LLG8ZQ/ref=sr_1_10?keywords=Diablo+Tools+DOU125BF3+1-1%2F4+in.+Universal+Fit+Bi-Metal+Oscillating+Blade+for+Metal+%283+pack%29&amp;qid=1695174014&amp;sr=8-10")</f>
        <v>https://www.amazon.com/Diablo-DOU350RBGP-Universal-Bi-Metal-Oscillating/dp/B089LLG8ZQ/ref=sr_1_10?keywords=Diablo+Tools+DOU125BF3+1-1%2F4+in.+Universal+Fit+Bi-Metal+Oscillating+Blade+for+Metal+%283+pack%29&amp;qid=1695174014&amp;sr=8-10</v>
      </c>
      <c r="F6947" t="s">
        <v>7542</v>
      </c>
      <c r="G6947" t="e">
        <f ca="1">_xludf.IMAGE("https://edmondsonsupply.com/cdn/shop/files/k1d1qiwmm4npznsdbwtg_4dc7bdf3-43a4-4863-8a1d-f71b60bc7c6d.webp?v=1685468179")</f>
        <v>#NAME?</v>
      </c>
      <c r="H6947" t="e">
        <f ca="1">_xludf.IMAGE("https://m.media-amazon.com/images/I/71xBW7MA1oL._AC_UL320_.jpg")</f>
        <v>#NAME?</v>
      </c>
      <c r="I6947" t="s">
        <v>340</v>
      </c>
      <c r="J6947">
        <v>18.2</v>
      </c>
      <c r="K6947" s="4">
        <v>-0.47960000000000003</v>
      </c>
      <c r="L6947">
        <v>4.4000000000000004</v>
      </c>
      <c r="M6947">
        <v>8</v>
      </c>
      <c r="O6947" t="s">
        <v>25</v>
      </c>
      <c r="P6947" t="s">
        <v>8520</v>
      </c>
      <c r="Q6947" t="s">
        <v>8523</v>
      </c>
    </row>
    <row r="6948" spans="1:17" ht="15.5" x14ac:dyDescent="0.35">
      <c r="A6948" s="3" t="str">
        <f>HYPERLINK("https://edmondsonsupply.com/collections/electricians-tools/products/milwaukee-48-25-2122", "https://edmondsonsupply.com/collections/electricians-tools/products/milwaukee-48-25-2122")</f>
        <v>https://edmondsonsupply.com/collections/electricians-tools/products/milwaukee-48-25-2122</v>
      </c>
      <c r="B6948" s="3" t="str">
        <f>HYPERLINK("https://edmondsonsupply.com/products/milwaukee-48-25-2122", "https://edmondsonsupply.com/products/milwaukee-48-25-2122")</f>
        <v>https://edmondsonsupply.com/products/milwaukee-48-25-2122</v>
      </c>
      <c r="C6948" t="s">
        <v>3381</v>
      </c>
      <c r="D6948" t="s">
        <v>5558</v>
      </c>
      <c r="E6948" s="3" t="str">
        <f>HYPERLINK("https://www.amazon.com/Builders-Wholesale-Distribution-48-25-2122-Milwaukee/dp/B009HEHTMM/ref=sr_1_2?keywords=Milwaukee+48-25-2122+Standard+Selfeed+Bit%2C+2-1%2F8%22&amp;qid=1695174005&amp;sr=8-2", "https://www.amazon.com/Builders-Wholesale-Distribution-48-25-2122-Milwaukee/dp/B009HEHTMM/ref=sr_1_2?keywords=Milwaukee+48-25-2122+Standard+Selfeed+Bit%2C+2-1%2F8%22&amp;qid=1695174005&amp;sr=8-2")</f>
        <v>https://www.amazon.com/Builders-Wholesale-Distribution-48-25-2122-Milwaukee/dp/B009HEHTMM/ref=sr_1_2?keywords=Milwaukee+48-25-2122+Standard+Selfeed+Bit%2C+2-1%2F8%22&amp;qid=1695174005&amp;sr=8-2</v>
      </c>
      <c r="F6948" t="s">
        <v>5559</v>
      </c>
      <c r="G6948" t="e">
        <f ca="1">_xludf.IMAGE("https://edmondsonsupply.com/cdn/shop/files/64170_48-25-1372_1-lg.gif?v=1687367768")</f>
        <v>#NAME?</v>
      </c>
      <c r="H6948" t="e">
        <f ca="1">_xludf.IMAGE("https://m.media-amazon.com/images/I/71adYVeRVNL._AC_UL320_.jpg")</f>
        <v>#NAME?</v>
      </c>
      <c r="I6948" t="s">
        <v>380</v>
      </c>
      <c r="J6948">
        <v>25.95</v>
      </c>
      <c r="K6948" s="4">
        <v>-0.48070000000000002</v>
      </c>
      <c r="L6948">
        <v>4.4000000000000004</v>
      </c>
      <c r="M6948">
        <v>78</v>
      </c>
      <c r="O6948" t="s">
        <v>25</v>
      </c>
      <c r="P6948" t="s">
        <v>138</v>
      </c>
      <c r="Q6948" t="s">
        <v>3384</v>
      </c>
    </row>
    <row r="6949" spans="1:17" ht="15.5" x14ac:dyDescent="0.35">
      <c r="A6949"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6949"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6949" t="s">
        <v>5837</v>
      </c>
      <c r="D6949" t="s">
        <v>5298</v>
      </c>
      <c r="E6949" s="3" t="str">
        <f>HYPERLINK("https://www.amazon.com/Diablo-SDS-Max-4-Cutter-Carbide-Hammer/dp/B089KWFF8B/ref=sr_1_9?keywords=Diablo+Tools+DMAMXCC5010+2+in.+x+7+in.+SDS-Max+Carbide+Tipped+Core+Bit&amp;qid=1695174008&amp;sr=8-9", "https://www.amazon.com/Diablo-SDS-Max-4-Cutter-Carbide-Hammer/dp/B089KWFF8B/ref=sr_1_9?keywords=Diablo+Tools+DMAMXCC5010+2+in.+x+7+in.+SDS-Max+Carbide+Tipped+Core+Bit&amp;qid=1695174008&amp;sr=8-9")</f>
        <v>https://www.amazon.com/Diablo-SDS-Max-4-Cutter-Carbide-Hammer/dp/B089KWFF8B/ref=sr_1_9?keywords=Diablo+Tools+DMAMXCC5010+2+in.+x+7+in.+SDS-Max+Carbide+Tipped+Core+Bit&amp;qid=1695174008&amp;sr=8-9</v>
      </c>
      <c r="F6949" t="s">
        <v>5299</v>
      </c>
      <c r="G6949" t="e">
        <f ca="1">_xludf.IMAGE("https://edmondsonsupply.com/cdn/shop/files/kbs61qpkymnshwvx13k1.webp?v=1686583113")</f>
        <v>#NAME?</v>
      </c>
      <c r="H6949" t="e">
        <f ca="1">_xludf.IMAGE("https://m.media-amazon.com/images/I/611fTcYRNFL._AC_UL320_.jpg")</f>
        <v>#NAME?</v>
      </c>
      <c r="I6949" t="s">
        <v>5840</v>
      </c>
      <c r="J6949">
        <v>52.26</v>
      </c>
      <c r="K6949" s="4">
        <v>-0.48509999999999998</v>
      </c>
      <c r="L6949">
        <v>3.5</v>
      </c>
      <c r="M6949">
        <v>3</v>
      </c>
      <c r="O6949" t="s">
        <v>25</v>
      </c>
      <c r="P6949" t="s">
        <v>5841</v>
      </c>
      <c r="Q6949" t="s">
        <v>5842</v>
      </c>
    </row>
    <row r="6950" spans="1:17" ht="15.5" x14ac:dyDescent="0.35">
      <c r="A6950"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6950" s="3" t="str">
        <f>HYPERLINK("https://edmondsonsupply.com/products/diablo-tools-dmapl2530-1-in-x-16-in-x-18-in-sds-plus-2-cutter", "https://edmondsonsupply.com/products/diablo-tools-dmapl2530-1-in-x-16-in-x-18-in-sds-plus-2-cutter")</f>
        <v>https://edmondsonsupply.com/products/diablo-tools-dmapl2530-1-in-x-16-in-x-18-in-sds-plus-2-cutter</v>
      </c>
      <c r="C6950" t="s">
        <v>7435</v>
      </c>
      <c r="D6950" t="s">
        <v>9053</v>
      </c>
      <c r="E6950" s="3" t="str">
        <f>HYPERLINK("https://www.amazon.com/Diablo-DMAPL2250-16-SDS-Plus-2-Cutter/dp/B089KW3B6T/ref=sr_1_4?keywords=Diablo+Tools+DMAPL2530+1+in.+x+16+in.+x+18+in.+SDS-Plus+2-Cutter&amp;qid=1695174263&amp;sr=8-4", "https://www.amazon.com/Diablo-DMAPL2250-16-SDS-Plus-2-Cutter/dp/B089KW3B6T/ref=sr_1_4?keywords=Diablo+Tools+DMAPL2530+1+in.+x+16+in.+x+18+in.+SDS-Plus+2-Cutter&amp;qid=1695174263&amp;sr=8-4")</f>
        <v>https://www.amazon.com/Diablo-DMAPL2250-16-SDS-Plus-2-Cutter/dp/B089KW3B6T/ref=sr_1_4?keywords=Diablo+Tools+DMAPL2530+1+in.+x+16+in.+x+18+in.+SDS-Plus+2-Cutter&amp;qid=1695174263&amp;sr=8-4</v>
      </c>
      <c r="F6950" t="s">
        <v>9054</v>
      </c>
      <c r="G6950" t="e">
        <f ca="1">_xludf.IMAGE("https://edmondsonsupply.com/cdn/shop/products/DMAPL2530_Main-Image20200703.png?v=1627068300")</f>
        <v>#NAME?</v>
      </c>
      <c r="H6950" t="e">
        <f ca="1">_xludf.IMAGE("https://m.media-amazon.com/images/I/61JRNqT4IHL._AC_UL320_.jpg")</f>
        <v>#NAME?</v>
      </c>
      <c r="I6950" t="s">
        <v>7436</v>
      </c>
      <c r="J6950">
        <v>19.989999999999998</v>
      </c>
      <c r="K6950" s="4">
        <v>-0.48699999999999999</v>
      </c>
      <c r="L6950">
        <v>4.9000000000000004</v>
      </c>
      <c r="M6950">
        <v>8</v>
      </c>
      <c r="O6950" t="s">
        <v>25</v>
      </c>
      <c r="P6950" t="s">
        <v>7437</v>
      </c>
      <c r="Q6950" t="s">
        <v>7438</v>
      </c>
    </row>
    <row r="6951" spans="1:17" ht="15.5" x14ac:dyDescent="0.35">
      <c r="A6951"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6951" s="3" t="str">
        <f>HYPERLINK("https://edmondsonsupply.com/products/amprobe-thwd-3-relative-humidity-temperature-meter", "https://edmondsonsupply.com/products/amprobe-thwd-3-relative-humidity-temperature-meter")</f>
        <v>https://edmondsonsupply.com/products/amprobe-thwd-3-relative-humidity-temperature-meter</v>
      </c>
      <c r="C6951" t="s">
        <v>7258</v>
      </c>
      <c r="D6951" t="s">
        <v>9055</v>
      </c>
      <c r="E6951" s="3" t="str">
        <f>HYPERLINK("https://www.amazon.com/Amprobe-TH-1-Compact-Relative-Humidity/dp/B0029XQB9U/ref=sr_1_6?keywords=Amprobe+THWD-3+Relative+Humidity+Temperature+Meter&amp;qid=1695174239&amp;sr=8-6", "https://www.amazon.com/Amprobe-TH-1-Compact-Relative-Humidity/dp/B0029XQB9U/ref=sr_1_6?keywords=Amprobe+THWD-3+Relative+Humidity+Temperature+Meter&amp;qid=1695174239&amp;sr=8-6")</f>
        <v>https://www.amazon.com/Amprobe-TH-1-Compact-Relative-Humidity/dp/B0029XQB9U/ref=sr_1_6?keywords=Amprobe+THWD-3+Relative+Humidity+Temperature+Meter&amp;qid=1695174239&amp;sr=8-6</v>
      </c>
      <c r="F6951" t="s">
        <v>9056</v>
      </c>
      <c r="G6951" t="e">
        <f ca="1">_xludf.IMAGE("https://edmondsonsupply.com/cdn/shop/products/THWD-3.png?v=1633526329")</f>
        <v>#NAME?</v>
      </c>
      <c r="H6951" t="e">
        <f ca="1">_xludf.IMAGE("https://m.media-amazon.com/images/I/41NOi+eIckL._AC_UY218_.jpg")</f>
        <v>#NAME?</v>
      </c>
      <c r="I6951" t="s">
        <v>7261</v>
      </c>
      <c r="J6951">
        <v>90.21</v>
      </c>
      <c r="K6951" s="4">
        <v>-0.48849999999999999</v>
      </c>
      <c r="L6951">
        <v>3.6</v>
      </c>
      <c r="M6951">
        <v>13</v>
      </c>
      <c r="O6951" t="s">
        <v>25</v>
      </c>
      <c r="P6951" t="s">
        <v>4452</v>
      </c>
      <c r="Q6951" t="s">
        <v>7262</v>
      </c>
    </row>
    <row r="6952" spans="1:17" ht="15.5" x14ac:dyDescent="0.35">
      <c r="A6952" s="3" t="str">
        <f>HYPERLINK("https://edmondsonsupply.com/collections/electricians-tools/products/diablo-tools-dmamx1300-1-1-4-in-x-16-in-x-21-in-rebar-demon%E2%84%A2-sds-max-4-cutter-full-carbide-head-hammer-drill-bit", "https://edmondsonsupply.com/collections/electricians-tools/products/diablo-tools-dmamx1300-1-1-4-in-x-16-in-x-21-in-rebar-demon%E2%84%A2-sds-max-4-cutter-full-carbide-head-hammer-drill-bit")</f>
        <v>https://edmondsonsupply.com/collections/electricians-tools/products/diablo-tools-dmamx1300-1-1-4-in-x-16-in-x-21-in-rebar-demon%E2%84%A2-sds-max-4-cutter-full-carbide-head-hammer-drill-bit</v>
      </c>
      <c r="B6952" s="3" t="str">
        <f>HYPERLINK("https://edmondsonsupply.com/products/diablo-tools-dmamx1300-1-1-4-in-x-16-in-x-21-in-rebar-demon%e2%84%a2-sds-max-4-cutter-full-carbide-head-hammer-drill-bit", "https://edmondsonsupply.com/products/diablo-tools-dmamx1300-1-1-4-in-x-16-in-x-21-in-rebar-demon%e2%84%a2-sds-max-4-cutter-full-carbide-head-hammer-drill-bit")</f>
        <v>https://edmondsonsupply.com/products/diablo-tools-dmamx1300-1-1-4-in-x-16-in-x-21-in-rebar-demon%e2%84%a2-sds-max-4-cutter-full-carbide-head-hammer-drill-bit</v>
      </c>
      <c r="C6952" t="s">
        <v>2903</v>
      </c>
      <c r="D6952" t="s">
        <v>5560</v>
      </c>
      <c r="E6952" s="3" t="str">
        <f>HYPERLINK("https://www.amazon.com/Diablo-Freud-DMAPL4300-SDS-Plus-4-Cutter/dp/B089LL8JD8/ref=sr_1_8?keywords=Diablo+Tools+DMAMX1300+1-1%2F4+in.+x+16+in.+x+21+in.+Rebar+Demon%E2%84%A2+SDS-Max+4-Cutter+Full+Carbide+Head+Hammer+Drill+Bit&amp;qid=1695173871&amp;sr=8-8", "https://www.amazon.com/Diablo-Freud-DMAPL4300-SDS-Plus-4-Cutter/dp/B089LL8JD8/ref=sr_1_8?keywords=Diablo+Tools+DMAMX1300+1-1%2F4+in.+x+16+in.+x+21+in.+Rebar+Demon%E2%84%A2+SDS-Max+4-Cutter+Full+Carbide+Head+Hammer+Drill+Bit&amp;qid=1695173871&amp;sr=8-8")</f>
        <v>https://www.amazon.com/Diablo-Freud-DMAPL4300-SDS-Plus-4-Cutter/dp/B089LL8JD8/ref=sr_1_8?keywords=Diablo+Tools+DMAMX1300+1-1%2F4+in.+x+16+in.+x+21+in.+Rebar+Demon%E2%84%A2+SDS-Max+4-Cutter+Full+Carbide+Head+Hammer+Drill+Bit&amp;qid=1695173871&amp;sr=8-8</v>
      </c>
      <c r="F6952" t="s">
        <v>5561</v>
      </c>
      <c r="G6952" t="e">
        <f ca="1">_xludf.IMAGE("https://edmondsonsupply.com/cdn/shop/files/immoyh7jjmbau4fzhuq6_7dd7fd73-2865-4c12-9443-da45b48dbd51.webp?v=1685465465")</f>
        <v>#NAME?</v>
      </c>
      <c r="H6952" t="e">
        <f ca="1">_xludf.IMAGE("https://m.media-amazon.com/images/I/616UiJGsK1L._AC_UL320_.jpg")</f>
        <v>#NAME?</v>
      </c>
      <c r="I6952" t="s">
        <v>2906</v>
      </c>
      <c r="J6952">
        <v>33.950000000000003</v>
      </c>
      <c r="K6952" s="4">
        <v>-0.48870000000000002</v>
      </c>
      <c r="L6952">
        <v>4.5</v>
      </c>
      <c r="M6952">
        <v>16</v>
      </c>
      <c r="O6952" t="s">
        <v>171</v>
      </c>
      <c r="P6952" t="s">
        <v>2907</v>
      </c>
      <c r="Q6952" t="s">
        <v>2908</v>
      </c>
    </row>
    <row r="6953" spans="1:17" ht="15.5" x14ac:dyDescent="0.35">
      <c r="A6953" s="3" t="str">
        <f>HYPERLINK("https://edmondsonsupply.com/collections/electricians-tools/products/klein-tools-5165-10-pocket-tool-pouch-knife-snap", "https://edmondsonsupply.com/collections/electricians-tools/products/klein-tools-5165-10-pocket-tool-pouch-knife-snap")</f>
        <v>https://edmondsonsupply.com/collections/electricians-tools/products/klein-tools-5165-10-pocket-tool-pouch-knife-snap</v>
      </c>
      <c r="B6953" s="3" t="str">
        <f>HYPERLINK("https://edmondsonsupply.com/products/klein-tools-5165-10-pocket-tool-pouch-knife-snap", "https://edmondsonsupply.com/products/klein-tools-5165-10-pocket-tool-pouch-knife-snap")</f>
        <v>https://edmondsonsupply.com/products/klein-tools-5165-10-pocket-tool-pouch-knife-snap</v>
      </c>
      <c r="C6953" t="s">
        <v>700</v>
      </c>
      <c r="D6953" t="s">
        <v>790</v>
      </c>
      <c r="E6953" s="3" t="str">
        <f>HYPERLINK("https://www.amazon.com/Klein-Tools-5126-Leather-5-Pocket/dp/B0002RI620/ref=sr_1_3?keywords=Klein+Tools+5165+10+Pocket+Leather+Tool+Pouch+with+Knife+Snap&amp;qid=1695173934&amp;sr=8-3", "https://www.amazon.com/Klein-Tools-5126-Leather-5-Pocket/dp/B0002RI620/ref=sr_1_3?keywords=Klein+Tools+5165+10+Pocket+Leather+Tool+Pouch+with+Knife+Snap&amp;qid=1695173934&amp;sr=8-3")</f>
        <v>https://www.amazon.com/Klein-Tools-5126-Leather-5-Pocket/dp/B0002RI620/ref=sr_1_3?keywords=Klein+Tools+5165+10+Pocket+Leather+Tool+Pouch+with+Knife+Snap&amp;qid=1695173934&amp;sr=8-3</v>
      </c>
      <c r="F6953" t="s">
        <v>791</v>
      </c>
      <c r="G6953" t="e">
        <f ca="1">_xludf.IMAGE("https://edmondsonsupply.com/cdn/shop/products/5165.jpg?v=1587145507")</f>
        <v>#NAME?</v>
      </c>
      <c r="H6953" t="e">
        <f ca="1">_xludf.IMAGE("https://m.media-amazon.com/images/I/51nYBr7d-ML._AC_UL320_.jpg")</f>
        <v>#NAME?</v>
      </c>
      <c r="I6953" t="s">
        <v>703</v>
      </c>
      <c r="J6953">
        <v>32</v>
      </c>
      <c r="K6953" s="4">
        <v>-0.49199999999999999</v>
      </c>
      <c r="L6953">
        <v>4.5999999999999996</v>
      </c>
      <c r="M6953">
        <v>1343</v>
      </c>
      <c r="O6953" t="s">
        <v>25</v>
      </c>
      <c r="P6953" t="s">
        <v>704</v>
      </c>
      <c r="Q6953" t="s">
        <v>705</v>
      </c>
    </row>
    <row r="6954" spans="1:17" ht="15.5" x14ac:dyDescent="0.35">
      <c r="A6954" s="3" t="str">
        <f>HYPERLINK("https://edmondsonsupply.com/collections/electricians-tools/products/milwaukee-49-90-1900-hepa-filter", "https://edmondsonsupply.com/collections/electricians-tools/products/milwaukee-49-90-1900-hepa-filter")</f>
        <v>https://edmondsonsupply.com/collections/electricians-tools/products/milwaukee-49-90-1900-hepa-filter</v>
      </c>
      <c r="B6954" s="3" t="str">
        <f>HYPERLINK("https://edmondsonsupply.com/products/milwaukee-49-90-1900-hepa-filter", "https://edmondsonsupply.com/products/milwaukee-49-90-1900-hepa-filter")</f>
        <v>https://edmondsonsupply.com/products/milwaukee-49-90-1900-hepa-filter</v>
      </c>
      <c r="C6954" t="s">
        <v>5831</v>
      </c>
      <c r="D6954" t="s">
        <v>5962</v>
      </c>
      <c r="E6954" s="3" t="str">
        <f>HYPERLINK("https://www.amazon.com/49-90-1900-Replacement-Compatible-Milwaukee-Cordless/dp/B07VTP5MF3/ref=sr_1_4?keywords=Milwaukee+49-90-1900+HEPA+Filter&amp;qid=1695174010&amp;sr=8-4", "https://www.amazon.com/49-90-1900-Replacement-Compatible-Milwaukee-Cordless/dp/B07VTP5MF3/ref=sr_1_4?keywords=Milwaukee+49-90-1900+HEPA+Filter&amp;qid=1695174010&amp;sr=8-4")</f>
        <v>https://www.amazon.com/49-90-1900-Replacement-Compatible-Milwaukee-Cordless/dp/B07VTP5MF3/ref=sr_1_4?keywords=Milwaukee+49-90-1900+HEPA+Filter&amp;qid=1695174010&amp;sr=8-4</v>
      </c>
      <c r="F6954" t="s">
        <v>5963</v>
      </c>
      <c r="G6954" t="e">
        <f ca="1">_xludf.IMAGE("https://edmondsonsupply.com/cdn/shop/files/49-90-1900_1.png?v=1686234774")</f>
        <v>#NAME?</v>
      </c>
      <c r="H6954" t="e">
        <f ca="1">_xludf.IMAGE("https://m.media-amazon.com/images/I/61dXZ7mr8BL._AC_UL320_.jpg")</f>
        <v>#NAME?</v>
      </c>
      <c r="I6954" t="s">
        <v>2170</v>
      </c>
      <c r="J6954">
        <v>12.68</v>
      </c>
      <c r="K6954" s="4">
        <v>-0.4924</v>
      </c>
      <c r="L6954">
        <v>4.5999999999999996</v>
      </c>
      <c r="M6954">
        <v>287</v>
      </c>
      <c r="O6954" t="s">
        <v>25</v>
      </c>
      <c r="P6954" t="s">
        <v>2470</v>
      </c>
      <c r="Q6954" t="s">
        <v>5834</v>
      </c>
    </row>
    <row r="6955" spans="1:17" ht="15.5" x14ac:dyDescent="0.35">
      <c r="A6955" s="3" t="str">
        <f>HYPERLINK("https://edmondsonsupply.com/collections/electricians-tools/products/tajima-gs-25-7-5mbw-gs-lock%E2%84%A2-standard-metric-scale-25-ft-7-5-m-x-1-1-16-in-27mm-steel-blade-tape-measure", "https://edmondsonsupply.com/collections/electricians-tools/products/tajima-gs-25-7-5mbw-gs-lock%E2%84%A2-standard-metric-scale-25-ft-7-5-m-x-1-1-16-in-27mm-steel-blade-tape-measure")</f>
        <v>https://edmondsonsupply.com/collections/electricians-tools/products/tajima-gs-25-7-5mbw-gs-lock%E2%84%A2-standard-metric-scale-25-ft-7-5-m-x-1-1-16-in-27mm-steel-blade-tape-measure</v>
      </c>
      <c r="B6955" s="3" t="str">
        <f>HYPERLINK("https://edmondsonsupply.com/products/tajima-gs-25-7-5mbw-gs-lock%e2%84%a2-standard-metric-scale-25-ft-7-5-m-x-1-1-16-in-27mm-steel-blade-tape-measure", "https://edmondsonsupply.com/products/tajima-gs-25-7-5mbw-gs-lock%e2%84%a2-standard-metric-scale-25-ft-7-5-m-x-1-1-16-in-27mm-steel-blade-tape-measure")</f>
        <v>https://edmondsonsupply.com/products/tajima-gs-25-7-5mbw-gs-lock%e2%84%a2-standard-metric-scale-25-ft-7-5-m-x-1-1-16-in-27mm-steel-blade-tape-measure</v>
      </c>
      <c r="C6955" t="s">
        <v>8412</v>
      </c>
      <c r="D6955" t="s">
        <v>9057</v>
      </c>
      <c r="E6955" s="3" t="str">
        <f>HYPERLINK("https://www.amazon.com/TAJIMA-Tape-Measure-Measuring-Standard/dp/B0036ZIATE/ref=sr_1_2?keywords=Tajima+GS-25%2F7.5MBW+GS+Lock%E2%84%A2+Standard+%26+Metric+Scale%2C+25+ft%2F+7.5+m+x+1-1%2F16+in.%2F27mm+Steel+Blade+Tape+Measure&amp;qid=1695174191&amp;sr=8-2", "https://www.amazon.com/TAJIMA-Tape-Measure-Measuring-Standard/dp/B0036ZIATE/ref=sr_1_2?keywords=Tajima+GS-25%2F7.5MBW+GS+Lock%E2%84%A2+Standard+%26+Metric+Scale%2C+25+ft%2F+7.5+m+x+1-1%2F16+in.%2F27mm+Steel+Blade+Tape+Measure&amp;qid=1695174191&amp;sr=8-2")</f>
        <v>https://www.amazon.com/TAJIMA-Tape-Measure-Measuring-Standard/dp/B0036ZIATE/ref=sr_1_2?keywords=Tajima+GS-25%2F7.5MBW+GS+Lock%E2%84%A2+Standard+%26+Metric+Scale%2C+25+ft%2F+7.5+m+x+1-1%2F16+in.%2F27mm+Steel+Blade+Tape+Measure&amp;qid=1695174191&amp;sr=8-2</v>
      </c>
      <c r="F6955" t="s">
        <v>9058</v>
      </c>
      <c r="G6955" t="e">
        <f ca="1">_xludf.IMAGE("https://edmondsonsupply.com/cdn/shop/products/GS25-7.5MBW.jpg?v=1655830265")</f>
        <v>#NAME?</v>
      </c>
      <c r="H6955" t="e">
        <f ca="1">_xludf.IMAGE("https://m.media-amazon.com/images/I/8179sDJShCL._AC_UL320_.jpg")</f>
        <v>#NAME?</v>
      </c>
      <c r="I6955" t="s">
        <v>7638</v>
      </c>
      <c r="J6955">
        <v>21.37</v>
      </c>
      <c r="K6955" s="4">
        <v>-0.49349999999999999</v>
      </c>
      <c r="L6955">
        <v>4.7</v>
      </c>
      <c r="M6955">
        <v>137</v>
      </c>
      <c r="O6955" t="s">
        <v>25</v>
      </c>
      <c r="P6955" t="s">
        <v>138</v>
      </c>
      <c r="Q6955" t="s">
        <v>8413</v>
      </c>
    </row>
    <row r="6956" spans="1:17" ht="15.5" x14ac:dyDescent="0.35">
      <c r="A6956"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6956"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6956" t="s">
        <v>960</v>
      </c>
      <c r="D6956" t="s">
        <v>958</v>
      </c>
      <c r="E6956" s="3" t="str">
        <f>HYPERLINK("https://www.amazon.com/Klein-60164-Professional-Protective-Resistant/dp/B08B4BNSHM/ref=sr_1_9?keywords=Klein+Tools+60539+Professional+Safety+Glasses%2C+Full+Frame%2C+Polarized+Lens&amp;qid=1695174102&amp;sr=8-9", "https://www.amazon.com/Klein-60164-Professional-Protective-Resistant/dp/B08B4BNSHM/ref=sr_1_9?keywords=Klein+Tools+60539+Professional+Safety+Glasses%2C+Full+Frame%2C+Polarized+Lens&amp;qid=1695174102&amp;sr=8-9")</f>
        <v>https://www.amazon.com/Klein-60164-Professional-Protective-Resistant/dp/B08B4BNSHM/ref=sr_1_9?keywords=Klein+Tools+60539+Professional+Safety+Glasses%2C+Full+Frame%2C+Polarized+Lens&amp;qid=1695174102&amp;sr=8-9</v>
      </c>
      <c r="F6956" t="s">
        <v>959</v>
      </c>
      <c r="G6956" t="e">
        <f ca="1">_xludf.IMAGE("https://edmondsonsupply.com/cdn/shop/products/60539.jpg?v=1670948006")</f>
        <v>#NAME?</v>
      </c>
      <c r="H6956" t="e">
        <f ca="1">_xludf.IMAGE("https://m.media-amazon.com/images/I/41bNrH9NnFL._AC_UL320_.jpg")</f>
        <v>#NAME?</v>
      </c>
      <c r="I6956" t="s">
        <v>26</v>
      </c>
      <c r="J6956">
        <v>14.99</v>
      </c>
      <c r="K6956" s="4">
        <v>-0.50019999999999998</v>
      </c>
      <c r="L6956">
        <v>4.4000000000000004</v>
      </c>
      <c r="M6956">
        <v>463</v>
      </c>
      <c r="O6956" t="s">
        <v>25</v>
      </c>
      <c r="P6956" t="s">
        <v>562</v>
      </c>
      <c r="Q6956" t="s">
        <v>961</v>
      </c>
    </row>
    <row r="6957" spans="1:17" ht="15.5" x14ac:dyDescent="0.35">
      <c r="A6957" s="3" t="str">
        <f>HYPERLINK("https://edmondsonsupply.com/collections/electricians-tools/products/klein-tools-60539-professional-safety-glasses-full-frame-polarized-lens", "https://edmondsonsupply.com/collections/electricians-tools/products/klein-tools-60539-professional-safety-glasses-full-frame-polarized-lens")</f>
        <v>https://edmondsonsupply.com/collections/electricians-tools/products/klein-tools-60539-professional-safety-glasses-full-frame-polarized-lens</v>
      </c>
      <c r="B6957" s="3" t="str">
        <f>HYPERLINK("https://edmondsonsupply.com/products/klein-tools-60539-professional-safety-glasses-full-frame-polarized-lens", "https://edmondsonsupply.com/products/klein-tools-60539-professional-safety-glasses-full-frame-polarized-lens")</f>
        <v>https://edmondsonsupply.com/products/klein-tools-60539-professional-safety-glasses-full-frame-polarized-lens</v>
      </c>
      <c r="C6957" t="s">
        <v>960</v>
      </c>
      <c r="D6957" t="s">
        <v>956</v>
      </c>
      <c r="E6957" s="3" t="str">
        <f>HYPERLINK("https://www.amazon.com/Klein-60163-Professional-Protective-Resistant/dp/B08B48CZ5V/ref=sr_1_8?keywords=Klein+Tools+60539+Professional+Safety+Glasses%2C+Full+Frame%2C+Polarized+Lens&amp;qid=1695174102&amp;sr=8-8", "https://www.amazon.com/Klein-60163-Professional-Protective-Resistant/dp/B08B48CZ5V/ref=sr_1_8?keywords=Klein+Tools+60539+Professional+Safety+Glasses%2C+Full+Frame%2C+Polarized+Lens&amp;qid=1695174102&amp;sr=8-8")</f>
        <v>https://www.amazon.com/Klein-60163-Professional-Protective-Resistant/dp/B08B48CZ5V/ref=sr_1_8?keywords=Klein+Tools+60539+Professional+Safety+Glasses%2C+Full+Frame%2C+Polarized+Lens&amp;qid=1695174102&amp;sr=8-8</v>
      </c>
      <c r="F6957" t="s">
        <v>957</v>
      </c>
      <c r="G6957" t="e">
        <f ca="1">_xludf.IMAGE("https://edmondsonsupply.com/cdn/shop/products/60539.jpg?v=1670948006")</f>
        <v>#NAME?</v>
      </c>
      <c r="H6957" t="e">
        <f ca="1">_xludf.IMAGE("https://m.media-amazon.com/images/I/41IY8K6EFLL._AC_UL320_.jpg")</f>
        <v>#NAME?</v>
      </c>
      <c r="I6957" t="s">
        <v>26</v>
      </c>
      <c r="J6957">
        <v>14.99</v>
      </c>
      <c r="K6957" s="4">
        <v>-0.50019999999999998</v>
      </c>
      <c r="L6957">
        <v>4.4000000000000004</v>
      </c>
      <c r="M6957">
        <v>198</v>
      </c>
      <c r="O6957" t="s">
        <v>25</v>
      </c>
      <c r="P6957" t="s">
        <v>562</v>
      </c>
      <c r="Q6957" t="s">
        <v>961</v>
      </c>
    </row>
    <row r="6958" spans="1:17" ht="15.5" x14ac:dyDescent="0.35">
      <c r="A6958" s="3" t="str">
        <f>HYPERLINK("https://edmondsonsupply.com/collections/electricians-tools/products/klein-tools-aepjs3-bluetooth%C2%AE-jobsite-speaker-with-magnet-and-hook", "https://edmondsonsupply.com/collections/electricians-tools/products/klein-tools-aepjs3-bluetooth%C2%AE-jobsite-speaker-with-magnet-and-hook")</f>
        <v>https://edmondsonsupply.com/collections/electricians-tools/products/klein-tools-aepjs3-bluetooth%C2%AE-jobsite-speaker-with-magnet-and-hook</v>
      </c>
      <c r="B6958" s="3" t="str">
        <f>HYPERLINK("https://edmondsonsupply.com/products/klein-tools-aepjs3-bluetooth%c2%ae-jobsite-speaker-with-magnet-and-hook", "https://edmondsonsupply.com/products/klein-tools-aepjs3-bluetooth%c2%ae-jobsite-speaker-with-magnet-and-hook")</f>
        <v>https://edmondsonsupply.com/products/klein-tools-aepjs3-bluetooth%c2%ae-jobsite-speaker-with-magnet-and-hook</v>
      </c>
      <c r="C6958" t="s">
        <v>8238</v>
      </c>
      <c r="D6958" t="s">
        <v>9059</v>
      </c>
      <c r="E6958" s="3" t="str">
        <f>HYPERLINK("https://www.amazon.com/Klein-AEPJS2-Bluetooth%C3%82-Speaker-Magnetic/dp/B084LL5CM8/ref=sr_1_2?keywords=Klein+Tools+AEPJS3+Bluetooth%C2%AE+Jobsite+Speaker+with+Magnet+and+Hook&amp;qid=1695174159&amp;sr=8-2", "https://www.amazon.com/Klein-AEPJS2-Bluetooth%C3%82-Speaker-Magnetic/dp/B084LL5CM8/ref=sr_1_2?keywords=Klein+Tools+AEPJS3+Bluetooth%C2%AE+Jobsite+Speaker+with+Magnet+and+Hook&amp;qid=1695174159&amp;sr=8-2")</f>
        <v>https://www.amazon.com/Klein-AEPJS2-Bluetooth%C3%82-Speaker-Magnetic/dp/B084LL5CM8/ref=sr_1_2?keywords=Klein+Tools+AEPJS3+Bluetooth%C2%AE+Jobsite+Speaker+with+Magnet+and+Hook&amp;qid=1695174159&amp;sr=8-2</v>
      </c>
      <c r="F6958" t="s">
        <v>9060</v>
      </c>
      <c r="G6958" t="e">
        <f ca="1">_xludf.IMAGE("https://edmondsonsupply.com/cdn/shop/products/aepjs3_b.jpg?v=1663946789")</f>
        <v>#NAME?</v>
      </c>
      <c r="H6958" t="e">
        <f ca="1">_xludf.IMAGE("https://m.media-amazon.com/images/I/71LxxIwLvmL._AC_UY218_.jpg")</f>
        <v>#NAME?</v>
      </c>
      <c r="I6958" t="s">
        <v>8241</v>
      </c>
      <c r="J6958">
        <v>39.97</v>
      </c>
      <c r="K6958" s="4">
        <v>-0.50019999999999998</v>
      </c>
      <c r="L6958">
        <v>4.5</v>
      </c>
      <c r="M6958">
        <v>922</v>
      </c>
      <c r="O6958" t="s">
        <v>25</v>
      </c>
      <c r="P6958" t="s">
        <v>8242</v>
      </c>
      <c r="Q6958" t="s">
        <v>8243</v>
      </c>
    </row>
    <row r="6959" spans="1:17" ht="15.5" x14ac:dyDescent="0.35">
      <c r="A6959" s="3" t="str">
        <f>HYPERLINK("https://edmondsonsupply.com/collections/electricians-tools/products/fluke-st120-gfci-socket-tester-with-beeper", "https://edmondsonsupply.com/collections/electricians-tools/products/fluke-st120-gfci-socket-tester-with-beeper")</f>
        <v>https://edmondsonsupply.com/collections/electricians-tools/products/fluke-st120-gfci-socket-tester-with-beeper</v>
      </c>
      <c r="B6959" s="3" t="str">
        <f>HYPERLINK("https://edmondsonsupply.com/products/fluke-st120-gfci-socket-tester-with-beeper", "https://edmondsonsupply.com/products/fluke-st120-gfci-socket-tester-with-beeper")</f>
        <v>https://edmondsonsupply.com/products/fluke-st120-gfci-socket-tester-with-beeper</v>
      </c>
      <c r="C6959" t="s">
        <v>8860</v>
      </c>
      <c r="D6959" t="s">
        <v>8967</v>
      </c>
      <c r="E6959" s="3" t="str">
        <f>HYPERLINK("https://www.amazon.com/RLSOCO-Carrying-Fluke-Socket-Tester%EF%BC%88Case/dp/B0BJTZ98HX/ref=sr_1_5?keywords=Fluke+ST120%2B+GFCI+Socket+Tester+with+Beeper&amp;qid=1695174161&amp;sr=8-5", "https://www.amazon.com/RLSOCO-Carrying-Fluke-Socket-Tester%EF%BC%88Case/dp/B0BJTZ98HX/ref=sr_1_5?keywords=Fluke+ST120%2B+GFCI+Socket+Tester+with+Beeper&amp;qid=1695174161&amp;sr=8-5")</f>
        <v>https://www.amazon.com/RLSOCO-Carrying-Fluke-Socket-Tester%EF%BC%88Case/dp/B0BJTZ98HX/ref=sr_1_5?keywords=Fluke+ST120%2B+GFCI+Socket+Tester+with+Beeper&amp;qid=1695174161&amp;sr=8-5</v>
      </c>
      <c r="F6959" t="s">
        <v>8968</v>
      </c>
      <c r="G6959" t="e">
        <f ca="1">_xludf.IMAGE("https://edmondsonsupply.com/cdn/shop/products/F-st120-plus_01a_w.webp?v=1662582919")</f>
        <v>#NAME?</v>
      </c>
      <c r="H6959" t="e">
        <f ca="1">_xludf.IMAGE("https://m.media-amazon.com/images/I/71It6IXE9gL._AC_UL320_.jpg")</f>
        <v>#NAME?</v>
      </c>
      <c r="I6959" t="s">
        <v>577</v>
      </c>
      <c r="J6959">
        <v>9.99</v>
      </c>
      <c r="K6959" s="4">
        <v>-0.50029999999999997</v>
      </c>
      <c r="L6959">
        <v>4.5</v>
      </c>
      <c r="M6959">
        <v>27</v>
      </c>
      <c r="O6959" t="s">
        <v>25</v>
      </c>
      <c r="P6959" t="s">
        <v>1158</v>
      </c>
      <c r="Q6959" t="s">
        <v>8861</v>
      </c>
    </row>
    <row r="6960" spans="1:17" ht="15.5" x14ac:dyDescent="0.35">
      <c r="A6960" s="3" t="str">
        <f>HYPERLINK("https://edmondsonsupply.com/collections/electricians-tools/products/klein-tools-32538-10-fold-screwdriver-nut-driver-fractional-hex", "https://edmondsonsupply.com/collections/electricians-tools/products/klein-tools-32538-10-fold-screwdriver-nut-driver-fractional-hex")</f>
        <v>https://edmondsonsupply.com/collections/electricians-tools/products/klein-tools-32538-10-fold-screwdriver-nut-driver-fractional-hex</v>
      </c>
      <c r="B6960" s="3" t="str">
        <f>HYPERLINK("https://edmondsonsupply.com/products/klein-tools-32538-10-fold-screwdriver-nut-driver-fractional-hex", "https://edmondsonsupply.com/products/klein-tools-32538-10-fold-screwdriver-nut-driver-fractional-hex")</f>
        <v>https://edmondsonsupply.com/products/klein-tools-32538-10-fold-screwdriver-nut-driver-fractional-hex</v>
      </c>
      <c r="C6960" t="s">
        <v>7901</v>
      </c>
      <c r="D6960" t="s">
        <v>3976</v>
      </c>
      <c r="E6960" s="3" t="str">
        <f>HYPERLINK("https://www.amazon.com/Klein-Tools-32557-Multi-Bit-Screwdriver/dp/B005FQDH9A/ref=sr_1_3?keywords=Klein+Tools+32538+10-Fold+Screwdriver+%2F+Nut+Driver%2C+Fractional+Hex&amp;qid=1695174255&amp;sr=8-3", "https://www.amazon.com/Klein-Tools-32557-Multi-Bit-Screwdriver/dp/B005FQDH9A/ref=sr_1_3?keywords=Klein+Tools+32538+10-Fold+Screwdriver+%2F+Nut+Driver%2C+Fractional+Hex&amp;qid=1695174255&amp;sr=8-3")</f>
        <v>https://www.amazon.com/Klein-Tools-32557-Multi-Bit-Screwdriver/dp/B005FQDH9A/ref=sr_1_3?keywords=Klein+Tools+32538+10-Fold+Screwdriver+%2F+Nut+Driver%2C+Fractional+Hex&amp;qid=1695174255&amp;sr=8-3</v>
      </c>
      <c r="F6960" t="s">
        <v>3977</v>
      </c>
      <c r="G6960" t="e">
        <f ca="1">_xludf.IMAGE("https://edmondsonsupply.com/cdn/shop/products/32538.jpg?v=1642959018")</f>
        <v>#NAME?</v>
      </c>
      <c r="H6960" t="e">
        <f ca="1">_xludf.IMAGE("https://m.media-amazon.com/images/I/41vMDiO0rOL._AC_UL320_.jpg")</f>
        <v>#NAME?</v>
      </c>
      <c r="I6960" t="s">
        <v>26</v>
      </c>
      <c r="J6960">
        <v>14.98</v>
      </c>
      <c r="K6960" s="4">
        <v>-0.50049999999999994</v>
      </c>
      <c r="L6960">
        <v>4.8</v>
      </c>
      <c r="M6960">
        <v>921</v>
      </c>
      <c r="O6960" t="s">
        <v>25</v>
      </c>
      <c r="P6960" t="s">
        <v>4371</v>
      </c>
      <c r="Q6960" t="s">
        <v>7903</v>
      </c>
    </row>
    <row r="6961" spans="1:17" ht="15.5" x14ac:dyDescent="0.35">
      <c r="A6961"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6961" s="3" t="str">
        <f>HYPERLINK("https://edmondsonsupply.com/products/klein-tools-32535-10-in-1-10-fold-screwdriver-nut-driver", "https://edmondsonsupply.com/products/klein-tools-32535-10-in-1-10-fold-screwdriver-nut-driver")</f>
        <v>https://edmondsonsupply.com/products/klein-tools-32535-10-in-1-10-fold-screwdriver-nut-driver</v>
      </c>
      <c r="C6961" t="s">
        <v>4368</v>
      </c>
      <c r="D6961" t="s">
        <v>3976</v>
      </c>
      <c r="E6961" s="3" t="str">
        <f>HYPERLINK("https://www.amazon.com/Klein-Tools-32557-Multi-Bit-Screwdriver/dp/B005FQDH9A/ref=sr_1_3?keywords=Klein+Tools+32535+10-in-1+10+Fold+Screwdriver+%2F+Nut+Driver&amp;qid=1695173914&amp;sr=8-3", "https://www.amazon.com/Klein-Tools-32557-Multi-Bit-Screwdriver/dp/B005FQDH9A/ref=sr_1_3?keywords=Klein+Tools+32535+10-in-1+10+Fold+Screwdriver+%2F+Nut+Driver&amp;qid=1695173914&amp;sr=8-3")</f>
        <v>https://www.amazon.com/Klein-Tools-32557-Multi-Bit-Screwdriver/dp/B005FQDH9A/ref=sr_1_3?keywords=Klein+Tools+32535+10-in-1+10+Fold+Screwdriver+%2F+Nut+Driver&amp;qid=1695173914&amp;sr=8-3</v>
      </c>
      <c r="F6961" t="s">
        <v>3977</v>
      </c>
      <c r="G6961" t="e">
        <f ca="1">_xludf.IMAGE("https://edmondsonsupply.com/cdn/shop/products/32535.jpg?v=1633030894")</f>
        <v>#NAME?</v>
      </c>
      <c r="H6961" t="e">
        <f ca="1">_xludf.IMAGE("https://m.media-amazon.com/images/I/41vMDiO0rOL._AC_UL320_.jpg")</f>
        <v>#NAME?</v>
      </c>
      <c r="I6961" t="s">
        <v>26</v>
      </c>
      <c r="J6961">
        <v>14.98</v>
      </c>
      <c r="K6961" s="4">
        <v>-0.50049999999999994</v>
      </c>
      <c r="L6961">
        <v>4.8</v>
      </c>
      <c r="M6961">
        <v>921</v>
      </c>
      <c r="O6961" t="s">
        <v>25</v>
      </c>
      <c r="P6961" t="s">
        <v>4371</v>
      </c>
      <c r="Q6961" t="s">
        <v>4372</v>
      </c>
    </row>
    <row r="6962" spans="1:17" ht="15.5" x14ac:dyDescent="0.35">
      <c r="A6962"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6962" s="3" t="str">
        <f>HYPERLINK("https://edmondsonsupply.com/products/klein-tools-32800-6-in-1-multi-nut-driver-heavy-duty", "https://edmondsonsupply.com/products/klein-tools-32800-6-in-1-multi-nut-driver-heavy-duty")</f>
        <v>https://edmondsonsupply.com/products/klein-tools-32800-6-in-1-multi-nut-driver-heavy-duty</v>
      </c>
      <c r="C6962" t="s">
        <v>8108</v>
      </c>
      <c r="D6962" t="s">
        <v>3976</v>
      </c>
      <c r="E6962" s="3" t="str">
        <f>HYPERLINK("https://www.amazon.com/Klein-Tools-32557-Multi-Bit-Screwdriver/dp/B005FQDH9A/ref=sr_1_4?keywords=Klein+Tools+32800+6-in-1+6-in-1+Multi-Bit+Nut+Driver%2C+Heavy+Duty&amp;qid=1695174226&amp;sr=8-4", "https://www.amazon.com/Klein-Tools-32557-Multi-Bit-Screwdriver/dp/B005FQDH9A/ref=sr_1_4?keywords=Klein+Tools+32800+6-in-1+6-in-1+Multi-Bit+Nut+Driver%2C+Heavy+Duty&amp;qid=1695174226&amp;sr=8-4")</f>
        <v>https://www.amazon.com/Klein-Tools-32557-Multi-Bit-Screwdriver/dp/B005FQDH9A/ref=sr_1_4?keywords=Klein+Tools+32800+6-in-1+6-in-1+Multi-Bit+Nut+Driver%2C+Heavy+Duty&amp;qid=1695174226&amp;sr=8-4</v>
      </c>
      <c r="F6962" t="s">
        <v>3977</v>
      </c>
      <c r="G6962" t="e">
        <f ca="1">_xludf.IMAGE("https://edmondsonsupply.com/cdn/shop/products/32800_alt2.jpg?v=1646595019")</f>
        <v>#NAME?</v>
      </c>
      <c r="H6962" t="e">
        <f ca="1">_xludf.IMAGE("https://m.media-amazon.com/images/I/41vMDiO0rOL._AC_UL320_.jpg")</f>
        <v>#NAME?</v>
      </c>
      <c r="I6962" t="s">
        <v>26</v>
      </c>
      <c r="J6962">
        <v>14.98</v>
      </c>
      <c r="K6962" s="4">
        <v>-0.50049999999999994</v>
      </c>
      <c r="L6962">
        <v>4.8</v>
      </c>
      <c r="M6962">
        <v>921</v>
      </c>
      <c r="O6962" t="s">
        <v>25</v>
      </c>
      <c r="P6962" t="s">
        <v>8111</v>
      </c>
      <c r="Q6962" t="s">
        <v>8112</v>
      </c>
    </row>
    <row r="6963" spans="1:17" ht="15.5" x14ac:dyDescent="0.35">
      <c r="A6963" s="3" t="str">
        <f>HYPERLINK("https://edmondsonsupply.com/collections/electricians-tools/products/klein-tools-32510-magnetic-screwdriver-with-32-tamperproof-bits", "https://edmondsonsupply.com/collections/electricians-tools/products/klein-tools-32510-magnetic-screwdriver-with-32-tamperproof-bits")</f>
        <v>https://edmondsonsupply.com/collections/electricians-tools/products/klein-tools-32510-magnetic-screwdriver-with-32-tamperproof-bits</v>
      </c>
      <c r="B6963" s="3" t="str">
        <f>HYPERLINK("https://edmondsonsupply.com/products/klein-tools-32510-magnetic-screwdriver-with-32-tamperproof-bits", "https://edmondsonsupply.com/products/klein-tools-32510-magnetic-screwdriver-with-32-tamperproof-bits")</f>
        <v>https://edmondsonsupply.com/products/klein-tools-32510-magnetic-screwdriver-with-32-tamperproof-bits</v>
      </c>
      <c r="C6963" t="s">
        <v>8022</v>
      </c>
      <c r="D6963" t="s">
        <v>5001</v>
      </c>
      <c r="E6963" s="3" t="str">
        <f>HYPERLINK("https://www.amazon.com/Klein-Tools-32314-Screwdriver-Tamperproof/dp/B08J8GGQBL/ref=sr_1_9?keywords=Klein+Tools+32510+Magnetic+Screwdriver+with+32+Tamperproof+Bits&amp;qid=1695174211&amp;sr=8-9", "https://www.amazon.com/Klein-Tools-32314-Screwdriver-Tamperproof/dp/B08J8GGQBL/ref=sr_1_9?keywords=Klein+Tools+32510+Magnetic+Screwdriver+with+32+Tamperproof+Bits&amp;qid=1695174211&amp;sr=8-9")</f>
        <v>https://www.amazon.com/Klein-Tools-32314-Screwdriver-Tamperproof/dp/B08J8GGQBL/ref=sr_1_9?keywords=Klein+Tools+32510+Magnetic+Screwdriver+with+32+Tamperproof+Bits&amp;qid=1695174211&amp;sr=8-9</v>
      </c>
      <c r="F6963" t="s">
        <v>5002</v>
      </c>
      <c r="G6963" t="e">
        <f ca="1">_xludf.IMAGE("https://edmondsonsupply.com/cdn/shop/products/32510_alt2.jpg?v=1653267434")</f>
        <v>#NAME?</v>
      </c>
      <c r="H6963" t="e">
        <f ca="1">_xludf.IMAGE("https://m.media-amazon.com/images/I/51r5V2PttIL._AC_UL320_.jpg")</f>
        <v>#NAME?</v>
      </c>
      <c r="I6963" t="s">
        <v>824</v>
      </c>
      <c r="J6963">
        <v>14.97</v>
      </c>
      <c r="K6963" s="4">
        <v>-0.50049999999999994</v>
      </c>
      <c r="L6963">
        <v>4.7</v>
      </c>
      <c r="M6963">
        <v>2894</v>
      </c>
      <c r="O6963" t="s">
        <v>25</v>
      </c>
      <c r="P6963" t="s">
        <v>8025</v>
      </c>
      <c r="Q6963" t="s">
        <v>8026</v>
      </c>
    </row>
    <row r="6964" spans="1:17" ht="15.5" x14ac:dyDescent="0.35">
      <c r="A6964" s="3" t="str">
        <f>HYPERLINK("https://edmondsonsupply.com/collections/electricians-tools/products/klein-tools-60511-heavy-duty-knee-pad-sleeves-m-l", "https://edmondsonsupply.com/collections/electricians-tools/products/klein-tools-60511-heavy-duty-knee-pad-sleeves-m-l")</f>
        <v>https://edmondsonsupply.com/collections/electricians-tools/products/klein-tools-60511-heavy-duty-knee-pad-sleeves-m-l</v>
      </c>
      <c r="B6964" s="3" t="str">
        <f>HYPERLINK("https://edmondsonsupply.com/products/klein-tools-60511-heavy-duty-knee-pad-sleeves-m-l", "https://edmondsonsupply.com/products/klein-tools-60511-heavy-duty-knee-pad-sleeves-m-l")</f>
        <v>https://edmondsonsupply.com/products/klein-tools-60511-heavy-duty-knee-pad-sleeves-m-l</v>
      </c>
      <c r="C6964" t="s">
        <v>1024</v>
      </c>
      <c r="D6964" t="s">
        <v>1142</v>
      </c>
      <c r="E6964" s="3" t="str">
        <f>HYPERLINK("https://www.amazon.com/Klein-Tools-60592-Lightweight-Slip-Resistant/dp/B0B622FRN8/ref=sr_1_4?keywords=Klein+Tools+60511+Heavy+Duty+Knee+Pad+Sleeves%2C+M%2FL&amp;qid=1695174162&amp;sr=8-4", "https://www.amazon.com/Klein-Tools-60592-Lightweight-Slip-Resistant/dp/B0B622FRN8/ref=sr_1_4?keywords=Klein+Tools+60511+Heavy+Duty+Knee+Pad+Sleeves%2C+M%2FL&amp;qid=1695174162&amp;sr=8-4")</f>
        <v>https://www.amazon.com/Klein-Tools-60592-Lightweight-Slip-Resistant/dp/B0B622FRN8/ref=sr_1_4?keywords=Klein+Tools+60511+Heavy+Duty+Knee+Pad+Sleeves%2C+M%2FL&amp;qid=1695174162&amp;sr=8-4</v>
      </c>
      <c r="F6964" t="s">
        <v>1143</v>
      </c>
      <c r="G6964" t="e">
        <f ca="1">_xludf.IMAGE("https://edmondsonsupply.com/cdn/shop/products/60511_60611_b.jpg?v=1663253024")</f>
        <v>#NAME?</v>
      </c>
      <c r="H6964" t="e">
        <f ca="1">_xludf.IMAGE("https://m.media-amazon.com/images/I/61SeDj1bXKL._AC_UL320_.jpg")</f>
        <v>#NAME?</v>
      </c>
      <c r="I6964" t="s">
        <v>198</v>
      </c>
      <c r="J6964">
        <v>19.97</v>
      </c>
      <c r="K6964" s="4">
        <v>-0.50060000000000004</v>
      </c>
      <c r="L6964">
        <v>4.0999999999999996</v>
      </c>
      <c r="M6964">
        <v>147</v>
      </c>
      <c r="O6964" t="s">
        <v>25</v>
      </c>
      <c r="P6964" t="s">
        <v>1027</v>
      </c>
      <c r="Q6964" t="s">
        <v>1028</v>
      </c>
    </row>
    <row r="6965" spans="1:17" ht="15.5" x14ac:dyDescent="0.35">
      <c r="A6965" s="3" t="str">
        <f>HYPERLINK("https://edmondsonsupply.com/collections/electricians-tools/products/klein-tools-60615-heavy-duty-knee-pad-sleeves-s-m", "https://edmondsonsupply.com/collections/electricians-tools/products/klein-tools-60615-heavy-duty-knee-pad-sleeves-s-m")</f>
        <v>https://edmondsonsupply.com/collections/electricians-tools/products/klein-tools-60615-heavy-duty-knee-pad-sleeves-s-m</v>
      </c>
      <c r="B6965" s="3" t="str">
        <f>HYPERLINK("https://edmondsonsupply.com/products/klein-tools-60615-heavy-duty-knee-pad-sleeves-s-m", "https://edmondsonsupply.com/products/klein-tools-60615-heavy-duty-knee-pad-sleeves-s-m")</f>
        <v>https://edmondsonsupply.com/products/klein-tools-60615-heavy-duty-knee-pad-sleeves-s-m</v>
      </c>
      <c r="C6965" t="s">
        <v>1029</v>
      </c>
      <c r="D6965" t="s">
        <v>1142</v>
      </c>
      <c r="E6965" s="3" t="str">
        <f>HYPERLINK("https://www.amazon.com/Klein-Tools-60592-Lightweight-Slip-Resistant/dp/B0B622FRN8/ref=sr_1_3?keywords=Klein+Tools+60615+Heavy+Duty+Knee+Pad+Sleeves%2C+S%2FM&amp;qid=1695174031&amp;sr=8-3", "https://www.amazon.com/Klein-Tools-60592-Lightweight-Slip-Resistant/dp/B0B622FRN8/ref=sr_1_3?keywords=Klein+Tools+60615+Heavy+Duty+Knee+Pad+Sleeves%2C+S%2FM&amp;qid=1695174031&amp;sr=8-3")</f>
        <v>https://www.amazon.com/Klein-Tools-60592-Lightweight-Slip-Resistant/dp/B0B622FRN8/ref=sr_1_3?keywords=Klein+Tools+60615+Heavy+Duty+Knee+Pad+Sleeves%2C+S%2FM&amp;qid=1695174031&amp;sr=8-3</v>
      </c>
      <c r="F6965" t="s">
        <v>1143</v>
      </c>
      <c r="G6965" t="e">
        <f ca="1">_xludf.IMAGE("https://edmondsonsupply.com/cdn/shop/products/60511_60611_b_f68c12ff-69e9-4ee5-9cc0-02cf7484e091.jpg?v=1681743847")</f>
        <v>#NAME?</v>
      </c>
      <c r="H6965" t="e">
        <f ca="1">_xludf.IMAGE("https://m.media-amazon.com/images/I/61SeDj1bXKL._AC_UL320_.jpg")</f>
        <v>#NAME?</v>
      </c>
      <c r="I6965" t="s">
        <v>198</v>
      </c>
      <c r="J6965">
        <v>19.97</v>
      </c>
      <c r="K6965" s="4">
        <v>-0.50060000000000004</v>
      </c>
      <c r="L6965">
        <v>4.0999999999999996</v>
      </c>
      <c r="M6965">
        <v>147</v>
      </c>
      <c r="O6965" t="s">
        <v>25</v>
      </c>
      <c r="P6965" t="s">
        <v>1027</v>
      </c>
      <c r="Q6965" t="s">
        <v>1030</v>
      </c>
    </row>
    <row r="6966" spans="1:17" ht="15.5" x14ac:dyDescent="0.35">
      <c r="A6966"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6966" s="3" t="str">
        <f>HYPERLINK("https://edmondsonsupply.com/products/klein-tools-935dag-digital-angle-gauge-and-level", "https://edmondsonsupply.com/products/klein-tools-935dag-digital-angle-gauge-and-level")</f>
        <v>https://edmondsonsupply.com/products/klein-tools-935dag-digital-angle-gauge-and-level</v>
      </c>
      <c r="C6966" t="s">
        <v>1924</v>
      </c>
      <c r="D6966" t="s">
        <v>5571</v>
      </c>
      <c r="E6966" s="3" t="str">
        <f>HYPERLINK("https://www.amazon.com/CaseSack-Consolidation-Digital-Electronic-ACCU-Bend/dp/B08Y67WSYP/ref=sr_1_10?keywords=Klein+Tools+935DAG+Digital+Angle+Gauge+and+Level&amp;qid=1695173893&amp;sr=8-10", "https://www.amazon.com/CaseSack-Consolidation-Digital-Electronic-ACCU-Bend/dp/B08Y67WSYP/ref=sr_1_10?keywords=Klein+Tools+935DAG+Digital+Angle+Gauge+and+Level&amp;qid=1695173893&amp;sr=8-10")</f>
        <v>https://www.amazon.com/CaseSack-Consolidation-Digital-Electronic-ACCU-Bend/dp/B08Y67WSYP/ref=sr_1_10?keywords=Klein+Tools+935DAG+Digital+Angle+Gauge+and+Level&amp;qid=1695173893&amp;sr=8-10</v>
      </c>
      <c r="F6966" t="s">
        <v>5572</v>
      </c>
      <c r="G6966" t="e">
        <f ca="1">_xludf.IMAGE("https://edmondsonsupply.com/cdn/shop/products/935dag.jpg?v=1587145032")</f>
        <v>#NAME?</v>
      </c>
      <c r="H6966" t="e">
        <f ca="1">_xludf.IMAGE("https://m.media-amazon.com/images/I/A1Pqjwl+TsL._AC_UL320_.jpg")</f>
        <v>#NAME?</v>
      </c>
      <c r="I6966" t="s">
        <v>824</v>
      </c>
      <c r="J6966">
        <v>14.86</v>
      </c>
      <c r="K6966" s="4">
        <v>-0.50419999999999998</v>
      </c>
      <c r="L6966">
        <v>4.5</v>
      </c>
      <c r="M6966">
        <v>46</v>
      </c>
      <c r="O6966" t="s">
        <v>25</v>
      </c>
      <c r="P6966" t="s">
        <v>73</v>
      </c>
      <c r="Q6966" t="s">
        <v>1927</v>
      </c>
    </row>
    <row r="6967" spans="1:17" ht="15.5" x14ac:dyDescent="0.35">
      <c r="A6967"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6967" s="3" t="str">
        <f>HYPERLINK("https://edmondsonsupply.com/products/diablo-tools-d0660x-6-1-2-in-x-60-tooth-ultra-finish-saw-blade", "https://edmondsonsupply.com/products/diablo-tools-d0660x-6-1-2-in-x-60-tooth-ultra-finish-saw-blade")</f>
        <v>https://edmondsonsupply.com/products/diablo-tools-d0660x-6-1-2-in-x-60-tooth-ultra-finish-saw-blade</v>
      </c>
      <c r="C6967" t="s">
        <v>6681</v>
      </c>
      <c r="D6967" t="s">
        <v>9061</v>
      </c>
      <c r="E6967" s="3" t="str">
        <f>HYPERLINK("https://www.amazon.com/Echo-Corner-Fine-Finish-Circular-Thin-Kerf/dp/B0BZM6J5V7/ref=sr_1_3?keywords=Diablo+Tools+D0660X+6-1%2F2+in.+x+60+Tooth+Ultra+Finish+Saw+Blade&amp;qid=1695174055&amp;sr=8-3", "https://www.amazon.com/Echo-Corner-Fine-Finish-Circular-Thin-Kerf/dp/B0BZM6J5V7/ref=sr_1_3?keywords=Diablo+Tools+D0660X+6-1%2F2+in.+x+60+Tooth+Ultra+Finish+Saw+Blade&amp;qid=1695174055&amp;sr=8-3")</f>
        <v>https://www.amazon.com/Echo-Corner-Fine-Finish-Circular-Thin-Kerf/dp/B0BZM6J5V7/ref=sr_1_3?keywords=Diablo+Tools+D0660X+6-1%2F2+in.+x+60+Tooth+Ultra+Finish+Saw+Blade&amp;qid=1695174055&amp;sr=8-3</v>
      </c>
      <c r="F6967" t="s">
        <v>9062</v>
      </c>
      <c r="G6967" t="e">
        <f ca="1">_xludf.IMAGE("https://edmondsonsupply.com/cdn/shop/products/ma8p1gcmhxpwwhymtiim.webp?v=1678983644")</f>
        <v>#NAME?</v>
      </c>
      <c r="H6967" t="e">
        <f ca="1">_xludf.IMAGE("https://m.media-amazon.com/images/I/816ii0GM5bL._AC_UL320_.jpg")</f>
        <v>#NAME?</v>
      </c>
      <c r="I6967" t="s">
        <v>1716</v>
      </c>
      <c r="J6967">
        <v>11.38</v>
      </c>
      <c r="K6967" s="4">
        <v>-0.50460000000000005</v>
      </c>
      <c r="L6967">
        <v>4.8</v>
      </c>
      <c r="M6967">
        <v>13</v>
      </c>
      <c r="O6967" t="s">
        <v>25</v>
      </c>
      <c r="P6967" t="s">
        <v>6682</v>
      </c>
      <c r="Q6967" t="s">
        <v>6683</v>
      </c>
    </row>
    <row r="6968" spans="1:17" ht="15.5" x14ac:dyDescent="0.35">
      <c r="A6968"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6968"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6968" t="s">
        <v>8905</v>
      </c>
      <c r="D6968" t="s">
        <v>5484</v>
      </c>
      <c r="E6968" s="3" t="str">
        <f>HYPERLINK("https://www.amazon.com/Milwaukee-Electric-48-11-2430-Redlithium-Compact/dp/B01M4LEIPF/ref=sr_1_10?keywords=Milwaukee+48-11-2411+M12+REDLITHIUM%E2%84%A2+Compact+Battery+Two+Pack&amp;qid=1695174226&amp;sr=8-10", "https://www.amazon.com/Milwaukee-Electric-48-11-2430-Redlithium-Compact/dp/B01M4LEIPF/ref=sr_1_10?keywords=Milwaukee+48-11-2411+M12+REDLITHIUM%E2%84%A2+Compact+Battery+Two+Pack&amp;qid=1695174226&amp;sr=8-10")</f>
        <v>https://www.amazon.com/Milwaukee-Electric-48-11-2430-Redlithium-Compact/dp/B01M4LEIPF/ref=sr_1_10?keywords=Milwaukee+48-11-2411+M12+REDLITHIUM%E2%84%A2+Compact+Battery+Two+Pack&amp;qid=1695174226&amp;sr=8-10</v>
      </c>
      <c r="F6968" t="s">
        <v>5485</v>
      </c>
      <c r="G6968" t="e">
        <f ca="1">_xludf.IMAGE("https://edmondsonsupply.com/cdn/shop/products/65014_48-11-2411-lg.jpg?v=1655484824")</f>
        <v>#NAME?</v>
      </c>
      <c r="H6968" t="e">
        <f ca="1">_xludf.IMAGE("https://m.media-amazon.com/images/I/61f9ucOtdML._AC_UL320_.jpg")</f>
        <v>#NAME?</v>
      </c>
      <c r="I6968" t="s">
        <v>3253</v>
      </c>
      <c r="J6968">
        <v>43.99</v>
      </c>
      <c r="K6968" s="4">
        <v>-0.50570000000000004</v>
      </c>
      <c r="L6968">
        <v>4.8</v>
      </c>
      <c r="M6968">
        <v>456</v>
      </c>
      <c r="O6968" t="s">
        <v>171</v>
      </c>
      <c r="P6968" t="s">
        <v>8908</v>
      </c>
      <c r="Q6968" t="s">
        <v>8909</v>
      </c>
    </row>
    <row r="6969" spans="1:17" ht="15.5" x14ac:dyDescent="0.35">
      <c r="A6969" s="3" t="str">
        <f>HYPERLINK("https://edmondsonsupply.com/collections/electricians-tools/products/klein-tools-jth9e10-5-32-inch-hex-key-journeyman-t-handle-9-inch", "https://edmondsonsupply.com/collections/electricians-tools/products/klein-tools-jth9e10-5-32-inch-hex-key-journeyman-t-handle-9-inch")</f>
        <v>https://edmondsonsupply.com/collections/electricians-tools/products/klein-tools-jth9e10-5-32-inch-hex-key-journeyman-t-handle-9-inch</v>
      </c>
      <c r="B6969" s="3" t="str">
        <f>HYPERLINK("https://edmondsonsupply.com/products/klein-tools-jth9e10-5-32-inch-hex-key-journeyman-t-handle-9-inch", "https://edmondsonsupply.com/products/klein-tools-jth9e10-5-32-inch-hex-key-journeyman-t-handle-9-inch")</f>
        <v>https://edmondsonsupply.com/products/klein-tools-jth9e10-5-32-inch-hex-key-journeyman-t-handle-9-inch</v>
      </c>
      <c r="C6969" t="s">
        <v>6351</v>
      </c>
      <c r="D6969" t="s">
        <v>8472</v>
      </c>
      <c r="E6969" s="3" t="str">
        <f>HYPERLINK("https://www.amazon.com/Journeyman-T-Handle-Klein-Tools-JTH6E10BE/dp/B004QW4EPK/ref=sr_1_4?keywords=Klein+Tools+JTH9E10+5%2F32-Inch+Hex+Key%2C+Journeyman+T-Handle%2C+9-Inch&amp;qid=1695174218&amp;sr=8-4", "https://www.amazon.com/Journeyman-T-Handle-Klein-Tools-JTH6E10BE/dp/B004QW4EPK/ref=sr_1_4?keywords=Klein+Tools+JTH9E10+5%2F32-Inch+Hex+Key%2C+Journeyman+T-Handle%2C+9-Inch&amp;qid=1695174218&amp;sr=8-4")</f>
        <v>https://www.amazon.com/Journeyman-T-Handle-Klein-Tools-JTH6E10BE/dp/B004QW4EPK/ref=sr_1_4?keywords=Klein+Tools+JTH9E10+5%2F32-Inch+Hex+Key%2C+Journeyman+T-Handle%2C+9-Inch&amp;qid=1695174218&amp;sr=8-4</v>
      </c>
      <c r="F6969" t="s">
        <v>8473</v>
      </c>
      <c r="G6969" t="e">
        <f ca="1">_xludf.IMAGE("https://edmondsonsupply.com/cdn/shop/products/jth9e12_37b16542-2f59-465e-8bba-0a543803dfd0.jpg?v=1647892900")</f>
        <v>#NAME?</v>
      </c>
      <c r="H6969" t="e">
        <f ca="1">_xludf.IMAGE("https://m.media-amazon.com/images/I/51f9vBFVXgL._AC_UL320_.jpg")</f>
        <v>#NAME?</v>
      </c>
      <c r="I6969" t="s">
        <v>2389</v>
      </c>
      <c r="J6969">
        <v>3.72</v>
      </c>
      <c r="K6969" s="4">
        <v>-0.51049999999999995</v>
      </c>
      <c r="L6969">
        <v>4.8</v>
      </c>
      <c r="M6969">
        <v>456</v>
      </c>
      <c r="O6969" t="s">
        <v>171</v>
      </c>
      <c r="P6969" t="s">
        <v>138</v>
      </c>
      <c r="Q6969" t="s">
        <v>6352</v>
      </c>
    </row>
    <row r="6970" spans="1:17" ht="15.5" x14ac:dyDescent="0.35">
      <c r="A6970" s="3" t="str">
        <f>HYPERLINK("https://edmondsonsupply.com/collections/electricians-tools/products/milwaukee-2829-22-m18-fuel%E2%84%A2-compact-band-saw-kit", "https://edmondsonsupply.com/collections/electricians-tools/products/milwaukee-2829-22-m18-fuel%E2%84%A2-compact-band-saw-kit")</f>
        <v>https://edmondsonsupply.com/collections/electricians-tools/products/milwaukee-2829-22-m18-fuel%E2%84%A2-compact-band-saw-kit</v>
      </c>
      <c r="B6970" s="3" t="str">
        <f>HYPERLINK("https://edmondsonsupply.com/products/milwaukee-2829-22-m18-fuel%e2%84%a2-compact-band-saw-kit", "https://edmondsonsupply.com/products/milwaukee-2829-22-m18-fuel%e2%84%a2-compact-band-saw-kit")</f>
        <v>https://edmondsonsupply.com/products/milwaukee-2829-22-m18-fuel%e2%84%a2-compact-band-saw-kit</v>
      </c>
      <c r="C6970" t="s">
        <v>5964</v>
      </c>
      <c r="D6970" t="s">
        <v>5965</v>
      </c>
      <c r="E6970" s="3" t="str">
        <f>HYPERLINK("https://www.amazon.com/Milwaukee-2829-22-FUEL-Compact-Band/dp/B09PQBHPNH/ref=sr_1_1?keywords=Milwaukee+2829-22+M18+FUEL%E2%84%A2+Compact+Band+Saw+Kit&amp;qid=1695174042&amp;sr=8-1", "https://www.amazon.com/Milwaukee-2829-22-FUEL-Compact-Band/dp/B09PQBHPNH/ref=sr_1_1?keywords=Milwaukee+2829-22+M18+FUEL%E2%84%A2+Compact+Band+Saw+Kit&amp;qid=1695174042&amp;sr=8-1")</f>
        <v>https://www.amazon.com/Milwaukee-2829-22-FUEL-Compact-Band/dp/B09PQBHPNH/ref=sr_1_1?keywords=Milwaukee+2829-22+M18+FUEL%E2%84%A2+Compact+Band+Saw+Kit&amp;qid=1695174042&amp;sr=8-1</v>
      </c>
      <c r="F6970" t="s">
        <v>5966</v>
      </c>
      <c r="G6970" t="e">
        <f ca="1">_xludf.IMAGE("https://edmondsonsupply.com/cdn/shop/files/2829-22_1.png?v=1686231471")</f>
        <v>#NAME?</v>
      </c>
      <c r="H6970" t="e">
        <f ca="1">_xludf.IMAGE("https://m.media-amazon.com/images/I/51miXQepRJL._AC_UL320_.jpg")</f>
        <v>#NAME?</v>
      </c>
      <c r="I6970" t="s">
        <v>5967</v>
      </c>
      <c r="J6970">
        <v>253.99</v>
      </c>
      <c r="K6970" s="4">
        <v>-0.51060000000000005</v>
      </c>
      <c r="L6970">
        <v>5</v>
      </c>
      <c r="M6970">
        <v>1</v>
      </c>
      <c r="O6970" t="s">
        <v>25</v>
      </c>
      <c r="P6970" t="s">
        <v>5968</v>
      </c>
      <c r="Q6970" t="s">
        <v>5969</v>
      </c>
    </row>
    <row r="6971" spans="1:17" ht="15.5" x14ac:dyDescent="0.35">
      <c r="A6971" s="3" t="str">
        <f>HYPERLINK("https://edmondsonsupply.com/collections/electricians-tools/products/klein-tools-56059-multi-groove-fiberglass-fish-tape-200-foot", "https://edmondsonsupply.com/collections/electricians-tools/products/klein-tools-56059-multi-groove-fiberglass-fish-tape-200-foot")</f>
        <v>https://edmondsonsupply.com/collections/electricians-tools/products/klein-tools-56059-multi-groove-fiberglass-fish-tape-200-foot</v>
      </c>
      <c r="B6971" s="3" t="str">
        <f>HYPERLINK("https://edmondsonsupply.com/products/klein-tools-56059-multi-groove-fiberglass-fish-tape-200-foot", "https://edmondsonsupply.com/products/klein-tools-56059-multi-groove-fiberglass-fish-tape-200-foot")</f>
        <v>https://edmondsonsupply.com/products/klein-tools-56059-multi-groove-fiberglass-fish-tape-200-foot</v>
      </c>
      <c r="C6971" t="s">
        <v>7681</v>
      </c>
      <c r="D6971" t="s">
        <v>9063</v>
      </c>
      <c r="E6971" s="3" t="str">
        <f>HYPERLINK("https://www.amazon.com/Klein-Tools-56382-Multi-Groove-Fiberglass/dp/B081ZTKDLJ/ref=sr_1_6?keywords=Klein+Tools+56059+Multi-Groove+Fiberglass+Fish+Tape+200-Foot&amp;qid=1695174221&amp;sr=8-6", "https://www.amazon.com/Klein-Tools-56382-Multi-Groove-Fiberglass/dp/B081ZTKDLJ/ref=sr_1_6?keywords=Klein+Tools+56059+Multi-Groove+Fiberglass+Fish+Tape+200-Foot&amp;qid=1695174221&amp;sr=8-6")</f>
        <v>https://www.amazon.com/Klein-Tools-56382-Multi-Groove-Fiberglass/dp/B081ZTKDLJ/ref=sr_1_6?keywords=Klein+Tools+56059+Multi-Groove+Fiberglass+Fish+Tape+200-Foot&amp;qid=1695174221&amp;sr=8-6</v>
      </c>
      <c r="F6971" t="s">
        <v>9064</v>
      </c>
      <c r="G6971" t="e">
        <f ca="1">_xludf.IMAGE("https://edmondsonsupply.com/cdn/shop/products/56059.jpg?v=1648938340")</f>
        <v>#NAME?</v>
      </c>
      <c r="H6971" t="e">
        <f ca="1">_xludf.IMAGE("https://m.media-amazon.com/images/I/51ObZVU2LaL._AC_UL320_.jpg")</f>
        <v>#NAME?</v>
      </c>
      <c r="I6971" t="s">
        <v>7682</v>
      </c>
      <c r="J6971">
        <v>89.99</v>
      </c>
      <c r="K6971" s="4">
        <v>-0.51349999999999996</v>
      </c>
      <c r="L6971">
        <v>4.5</v>
      </c>
      <c r="M6971">
        <v>102</v>
      </c>
      <c r="O6971" t="s">
        <v>25</v>
      </c>
      <c r="P6971" t="s">
        <v>7683</v>
      </c>
      <c r="Q6971" t="s">
        <v>7684</v>
      </c>
    </row>
    <row r="6972" spans="1:17" ht="15.5" x14ac:dyDescent="0.35">
      <c r="A6972" s="3" t="str">
        <f>HYPERLINK("https://edmondsonsupply.com/collections/electricians-tools/products/milwaukee-48-03-3010-carbide-bit-spline-to-sds-max-adapter", "https://edmondsonsupply.com/collections/electricians-tools/products/milwaukee-48-03-3010-carbide-bit-spline-to-sds-max-adapter")</f>
        <v>https://edmondsonsupply.com/collections/electricians-tools/products/milwaukee-48-03-3010-carbide-bit-spline-to-sds-max-adapter</v>
      </c>
      <c r="B6972" s="3" t="str">
        <f>HYPERLINK("https://edmondsonsupply.com/products/milwaukee-48-03-3010-carbide-bit-spline-to-sds-max-adapter", "https://edmondsonsupply.com/products/milwaukee-48-03-3010-carbide-bit-spline-to-sds-max-adapter")</f>
        <v>https://edmondsonsupply.com/products/milwaukee-48-03-3010-carbide-bit-spline-to-sds-max-adapter</v>
      </c>
      <c r="C6972" t="s">
        <v>7616</v>
      </c>
      <c r="D6972" t="s">
        <v>7341</v>
      </c>
      <c r="E6972" s="3" t="str">
        <f>HYPERLINK("https://www.amazon.com/Milwaukee-48-03-3564-12-Inch-Spline-Adapter/dp/B0009H5R6Q/ref=sr_1_7?keywords=Milwaukee+48-03-3010+Spline+to+SDS-MAX+Bit+Adapter&amp;qid=1695174101&amp;sr=8-7", "https://www.amazon.com/Milwaukee-48-03-3564-12-Inch-Spline-Adapter/dp/B0009H5R6Q/ref=sr_1_7?keywords=Milwaukee+48-03-3010+Spline+to+SDS-MAX+Bit+Adapter&amp;qid=1695174101&amp;sr=8-7")</f>
        <v>https://www.amazon.com/Milwaukee-48-03-3564-12-Inch-Spline-Adapter/dp/B0009H5R6Q/ref=sr_1_7?keywords=Milwaukee+48-03-3010+Spline+to+SDS-MAX+Bit+Adapter&amp;qid=1695174101&amp;sr=8-7</v>
      </c>
      <c r="F6972" t="s">
        <v>7342</v>
      </c>
      <c r="G6972" t="e">
        <f ca="1">_xludf.IMAGE("https://edmondsonsupply.com/cdn/shop/products/48-03-3010.webp?v=1674075943")</f>
        <v>#NAME?</v>
      </c>
      <c r="H6972" t="e">
        <f ca="1">_xludf.IMAGE("https://m.media-amazon.com/images/I/2157CNN6DQL._AC_UL320_.jpg")</f>
        <v>#NAME?</v>
      </c>
      <c r="I6972" t="s">
        <v>7617</v>
      </c>
      <c r="J6972">
        <v>73.88</v>
      </c>
      <c r="K6972" s="4">
        <v>-0.51359999999999995</v>
      </c>
      <c r="L6972">
        <v>1</v>
      </c>
      <c r="M6972">
        <v>1</v>
      </c>
      <c r="O6972" t="s">
        <v>25</v>
      </c>
      <c r="P6972" t="s">
        <v>7618</v>
      </c>
      <c r="Q6972" t="s">
        <v>7619</v>
      </c>
    </row>
    <row r="6973" spans="1:17" ht="15.5" x14ac:dyDescent="0.35">
      <c r="A6973"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6973"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6973" t="s">
        <v>8522</v>
      </c>
      <c r="D6973" t="s">
        <v>8586</v>
      </c>
      <c r="E6973" s="3" t="str">
        <f>HYPERLINK("https://www.amazon.com/Diablo-Universal-Carbide-Oscillating-Blade/dp/B089LHKRPN/ref=sr_1_6?keywords=Diablo+Tools+DOU125BF3+1-1%2F4+in.+Universal+Fit+Bi-Metal+Oscillating+Blade+for+Metal+%283+pack%29&amp;qid=1695174014&amp;sr=8-6", "https://www.amazon.com/Diablo-Universal-Carbide-Oscillating-Blade/dp/B089LHKRPN/ref=sr_1_6?keywords=Diablo+Tools+DOU125BF3+1-1%2F4+in.+Universal+Fit+Bi-Metal+Oscillating+Blade+for+Metal+%283+pack%29&amp;qid=1695174014&amp;sr=8-6")</f>
        <v>https://www.amazon.com/Diablo-Universal-Carbide-Oscillating-Blade/dp/B089LHKRPN/ref=sr_1_6?keywords=Diablo+Tools+DOU125BF3+1-1%2F4+in.+Universal+Fit+Bi-Metal+Oscillating+Blade+for+Metal+%283+pack%29&amp;qid=1695174014&amp;sr=8-6</v>
      </c>
      <c r="F6973" t="s">
        <v>8587</v>
      </c>
      <c r="G6973" t="e">
        <f ca="1">_xludf.IMAGE("https://edmondsonsupply.com/cdn/shop/files/k1d1qiwmm4npznsdbwtg_4dc7bdf3-43a4-4863-8a1d-f71b60bc7c6d.webp?v=1685468179")</f>
        <v>#NAME?</v>
      </c>
      <c r="H6973" t="e">
        <f ca="1">_xludf.IMAGE("https://m.media-amazon.com/images/I/71izb0UUOkL._AC_UL320_.jpg")</f>
        <v>#NAME?</v>
      </c>
      <c r="I6973" t="s">
        <v>340</v>
      </c>
      <c r="J6973">
        <v>16.989999999999998</v>
      </c>
      <c r="K6973" s="4">
        <v>-0.51419999999999999</v>
      </c>
      <c r="L6973">
        <v>4.3</v>
      </c>
      <c r="M6973">
        <v>19</v>
      </c>
      <c r="O6973" t="s">
        <v>25</v>
      </c>
      <c r="P6973" t="s">
        <v>8520</v>
      </c>
      <c r="Q6973" t="s">
        <v>8523</v>
      </c>
    </row>
    <row r="6974" spans="1:17" ht="15.5" x14ac:dyDescent="0.35">
      <c r="A6974"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6974"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6974" t="s">
        <v>8522</v>
      </c>
      <c r="D6974" t="s">
        <v>7662</v>
      </c>
      <c r="E6974" s="3" t="str">
        <f>HYPERLINK("https://www.amazon.com/Diablo-Freud-DOU125BF3-Universal-Oscillating/dp/B089KTHL1Z/ref=sr_1_1?keywords=Diablo+Tools+DOU125BF3+1-1%2F4+in.+Universal+Fit+Bi-Metal+Oscillating+Blade+for+Metal+%283+pack%29&amp;qid=1695174014&amp;sr=8-1", "https://www.amazon.com/Diablo-Freud-DOU125BF3-Universal-Oscillating/dp/B089KTHL1Z/ref=sr_1_1?keywords=Diablo+Tools+DOU125BF3+1-1%2F4+in.+Universal+Fit+Bi-Metal+Oscillating+Blade+for+Metal+%283+pack%29&amp;qid=1695174014&amp;sr=8-1")</f>
        <v>https://www.amazon.com/Diablo-Freud-DOU125BF3-Universal-Oscillating/dp/B089KTHL1Z/ref=sr_1_1?keywords=Diablo+Tools+DOU125BF3+1-1%2F4+in.+Universal+Fit+Bi-Metal+Oscillating+Blade+for+Metal+%283+pack%29&amp;qid=1695174014&amp;sr=8-1</v>
      </c>
      <c r="F6974" t="s">
        <v>7663</v>
      </c>
      <c r="G6974" t="e">
        <f ca="1">_xludf.IMAGE("https://edmondsonsupply.com/cdn/shop/files/k1d1qiwmm4npznsdbwtg_4dc7bdf3-43a4-4863-8a1d-f71b60bc7c6d.webp?v=1685468179")</f>
        <v>#NAME?</v>
      </c>
      <c r="H6974" t="e">
        <f ca="1">_xludf.IMAGE("https://m.media-amazon.com/images/I/61mZfXlj-XL._AC_UL320_.jpg")</f>
        <v>#NAME?</v>
      </c>
      <c r="I6974" t="s">
        <v>340</v>
      </c>
      <c r="J6974">
        <v>16.989999999999998</v>
      </c>
      <c r="K6974" s="4">
        <v>-0.51419999999999999</v>
      </c>
      <c r="L6974">
        <v>4.2</v>
      </c>
      <c r="M6974">
        <v>14</v>
      </c>
      <c r="O6974" t="s">
        <v>25</v>
      </c>
      <c r="P6974" t="s">
        <v>8520</v>
      </c>
      <c r="Q6974" t="s">
        <v>8523</v>
      </c>
    </row>
    <row r="6975" spans="1:17" ht="15.5" x14ac:dyDescent="0.35">
      <c r="A6975"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6975"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6975" t="s">
        <v>8519</v>
      </c>
      <c r="D6975" t="s">
        <v>7662</v>
      </c>
      <c r="E6975" s="3" t="str">
        <f>HYPERLINK("https://www.amazon.com/Diablo-Freud-DOU125BF3-Universal-Oscillating/dp/B089KTHL1Z/ref=sr_1_6?keywords=Diablo+Tools+DOU125JBW3+1-1%2F4+in.+Universal+Fit+Bi-Metal+Oscillating+Blades+for+Clean+Wood&amp;qid=1695174271&amp;sr=8-6", "https://www.amazon.com/Diablo-Freud-DOU125BF3-Universal-Oscillating/dp/B089KTHL1Z/ref=sr_1_6?keywords=Diablo+Tools+DOU125JBW3+1-1%2F4+in.+Universal+Fit+Bi-Metal+Oscillating+Blades+for+Clean+Wood&amp;qid=1695174271&amp;sr=8-6")</f>
        <v>https://www.amazon.com/Diablo-Freud-DOU125BF3-Universal-Oscillating/dp/B089KTHL1Z/ref=sr_1_6?keywords=Diablo+Tools+DOU125JBW3+1-1%2F4+in.+Universal+Fit+Bi-Metal+Oscillating+Blades+for+Clean+Wood&amp;qid=1695174271&amp;sr=8-6</v>
      </c>
      <c r="F6975" t="s">
        <v>7663</v>
      </c>
      <c r="G6975" t="e">
        <f ca="1">_xludf.IMAGE("https://edmondsonsupply.com/cdn/shop/products/DOU125JBW3_Main-Image.png?v=1633031095")</f>
        <v>#NAME?</v>
      </c>
      <c r="H6975" t="e">
        <f ca="1">_xludf.IMAGE("https://m.media-amazon.com/images/I/61mZfXlj-XL._AC_UL320_.jpg")</f>
        <v>#NAME?</v>
      </c>
      <c r="I6975" t="s">
        <v>340</v>
      </c>
      <c r="J6975">
        <v>16.989999999999998</v>
      </c>
      <c r="K6975" s="4">
        <v>-0.51419999999999999</v>
      </c>
      <c r="L6975">
        <v>4.2</v>
      </c>
      <c r="M6975">
        <v>14</v>
      </c>
      <c r="O6975" t="s">
        <v>25</v>
      </c>
      <c r="P6975" t="s">
        <v>8520</v>
      </c>
      <c r="Q6975" t="s">
        <v>8521</v>
      </c>
    </row>
    <row r="6976" spans="1:17" ht="15.5" x14ac:dyDescent="0.35">
      <c r="A6976" s="3" t="str">
        <f>HYPERLINK("https://edmondsonsupply.com/collections/electricians-tools/products/klein-tools-ktsb03-step-drill-bit-double-fluted-3-1-4-to-3-4-inch", "https://edmondsonsupply.com/collections/electricians-tools/products/klein-tools-ktsb03-step-drill-bit-double-fluted-3-1-4-to-3-4-inch")</f>
        <v>https://edmondsonsupply.com/collections/electricians-tools/products/klein-tools-ktsb03-step-drill-bit-double-fluted-3-1-4-to-3-4-inch</v>
      </c>
      <c r="B6976" s="3" t="str">
        <f>HYPERLINK("https://edmondsonsupply.com/products/klein-tools-ktsb03-step-drill-bit-double-fluted-3-1-4-to-3-4-inch", "https://edmondsonsupply.com/products/klein-tools-ktsb03-step-drill-bit-double-fluted-3-1-4-to-3-4-inch")</f>
        <v>https://edmondsonsupply.com/products/klein-tools-ktsb03-step-drill-bit-double-fluted-3-1-4-to-3-4-inch</v>
      </c>
      <c r="C6976" t="s">
        <v>1978</v>
      </c>
      <c r="D6976" t="s">
        <v>5180</v>
      </c>
      <c r="E6976" s="3" t="str">
        <f>HYPERLINK("https://www.amazon.com/Jerax-tools-Drilling-Stainless-Aluminum/dp/B094VCMB17/ref=sr_1_5?keywords=Klein+Tools+KTSB03+Step+Drill+Bit+Double+Fluted&amp;qid=1695173948&amp;sr=8-5", "https://www.amazon.com/Jerax-tools-Drilling-Stainless-Aluminum/dp/B094VCMB17/ref=sr_1_5?keywords=Klein+Tools+KTSB03+Step+Drill+Bit+Double+Fluted&amp;qid=1695173948&amp;sr=8-5")</f>
        <v>https://www.amazon.com/Jerax-tools-Drilling-Stainless-Aluminum/dp/B094VCMB17/ref=sr_1_5?keywords=Klein+Tools+KTSB03+Step+Drill+Bit+Double+Fluted&amp;qid=1695173948&amp;sr=8-5</v>
      </c>
      <c r="F6976" t="s">
        <v>5181</v>
      </c>
      <c r="G6976" t="e">
        <f ca="1">_xludf.IMAGE("https://edmondsonsupply.com/cdn/shop/products/ktsb03.jpg?v=1666012212")</f>
        <v>#NAME?</v>
      </c>
      <c r="H6976" t="e">
        <f ca="1">_xludf.IMAGE("https://m.media-amazon.com/images/I/51fvUl5tapL._AC_UY218_.jpg")</f>
        <v>#NAME?</v>
      </c>
      <c r="I6976" t="s">
        <v>571</v>
      </c>
      <c r="J6976">
        <v>16.95</v>
      </c>
      <c r="K6976" s="4">
        <v>-0.51559999999999995</v>
      </c>
      <c r="L6976">
        <v>4.5</v>
      </c>
      <c r="M6976">
        <v>713</v>
      </c>
      <c r="O6976" t="s">
        <v>25</v>
      </c>
      <c r="P6976" t="s">
        <v>1981</v>
      </c>
      <c r="Q6976" t="s">
        <v>1982</v>
      </c>
    </row>
    <row r="6977" spans="1:17" ht="15.5" x14ac:dyDescent="0.35">
      <c r="A6977" s="3" t="str">
        <f>HYPERLINK("https://edmondsonsupply.com/collections/electricians-tools/products/diablo-tools-dmamx1220", "https://edmondsonsupply.com/collections/electricians-tools/products/diablo-tools-dmamx1220")</f>
        <v>https://edmondsonsupply.com/collections/electricians-tools/products/diablo-tools-dmamx1220</v>
      </c>
      <c r="B6977" s="3" t="str">
        <f>HYPERLINK("https://edmondsonsupply.com/products/diablo-tools-dmamx1220", "https://edmondsonsupply.com/products/diablo-tools-dmamx1220")</f>
        <v>https://edmondsonsupply.com/products/diablo-tools-dmamx1220</v>
      </c>
      <c r="C6977" t="s">
        <v>7454</v>
      </c>
      <c r="D6977" t="s">
        <v>9065</v>
      </c>
      <c r="E6977" s="3" t="str">
        <f>HYPERLINK("https://www.amazon.com/Diablo-Freud-DMAPL4200-SDS-Plus-4-Cutter/dp/B089KW2QV1/ref=sr_1_10?keywords=Diablo+Tools+DMAMX1220+1+in.+x+16+in.+x+21+in.+Rebar+Demon%E2%84%A2+SDS-Max+4-Cutter+Full+Carbide+Head+Hammer+Drill+Bit&amp;qid=1695174109&amp;sr=8-10", "https://www.amazon.com/Diablo-Freud-DMAPL4200-SDS-Plus-4-Cutter/dp/B089KW2QV1/ref=sr_1_10?keywords=Diablo+Tools+DMAMX1220+1+in.+x+16+in.+x+21+in.+Rebar+Demon%E2%84%A2+SDS-Max+4-Cutter+Full+Carbide+Head+Hammer+Drill+Bit&amp;qid=1695174109&amp;sr=8-10")</f>
        <v>https://www.amazon.com/Diablo-Freud-DMAPL4200-SDS-Plus-4-Cutter/dp/B089KW2QV1/ref=sr_1_10?keywords=Diablo+Tools+DMAMX1220+1+in.+x+16+in.+x+21+in.+Rebar+Demon%E2%84%A2+SDS-Max+4-Cutter+Full+Carbide+Head+Hammer+Drill+Bit&amp;qid=1695174109&amp;sr=8-10</v>
      </c>
      <c r="F6977" t="s">
        <v>9066</v>
      </c>
      <c r="G6977" t="e">
        <f ca="1">_xludf.IMAGE("https://edmondsonsupply.com/cdn/shop/products/immoyh7jjmbau4fzhuq6.webp?v=1670431066")</f>
        <v>#NAME?</v>
      </c>
      <c r="H6977" t="e">
        <f ca="1">_xludf.IMAGE("https://m.media-amazon.com/images/I/61rW+ROVmNL._AC_UL320_.jpg")</f>
        <v>#NAME?</v>
      </c>
      <c r="I6977" t="s">
        <v>7455</v>
      </c>
      <c r="J6977">
        <v>22</v>
      </c>
      <c r="K6977" s="4">
        <v>-0.51849999999999996</v>
      </c>
      <c r="L6977">
        <v>4.7</v>
      </c>
      <c r="M6977">
        <v>18</v>
      </c>
      <c r="O6977" t="s">
        <v>25</v>
      </c>
      <c r="P6977" t="s">
        <v>7456</v>
      </c>
      <c r="Q6977" t="s">
        <v>7457</v>
      </c>
    </row>
    <row r="6978" spans="1:17" ht="15.5" x14ac:dyDescent="0.35">
      <c r="A6978"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6978" s="3" t="str">
        <f>HYPERLINK("https://edmondsonsupply.com/products/klein-tools-56341-stainless-steel-fish-tape-1-8-inch-x-240-foot", "https://edmondsonsupply.com/products/klein-tools-56341-stainless-steel-fish-tape-1-8-inch-x-240-foot")</f>
        <v>https://edmondsonsupply.com/products/klein-tools-56341-stainless-steel-fish-tape-1-8-inch-x-240-foot</v>
      </c>
      <c r="C6978" t="s">
        <v>7829</v>
      </c>
      <c r="D6978" t="s">
        <v>9067</v>
      </c>
      <c r="E6978" s="3" t="str">
        <f>HYPERLINK("https://www.amazon.com/Klein-Tools-56333-Optimized-120-Foot/dp/B081TVVJTY/ref=sr_1_6?keywords=Klein+Tools+56341+Stainless+Steel+Fish+Tape%2C+1%2F8-Inch+x+240-Foot&amp;qid=1695174134&amp;sr=8-6", "https://www.amazon.com/Klein-Tools-56333-Optimized-120-Foot/dp/B081TVVJTY/ref=sr_1_6?keywords=Klein+Tools+56341+Stainless+Steel+Fish+Tape%2C+1%2F8-Inch+x+240-Foot&amp;qid=1695174134&amp;sr=8-6")</f>
        <v>https://www.amazon.com/Klein-Tools-56333-Optimized-120-Foot/dp/B081TVVJTY/ref=sr_1_6?keywords=Klein+Tools+56341+Stainless+Steel+Fish+Tape%2C+1%2F8-Inch+x+240-Foot&amp;qid=1695174134&amp;sr=8-6</v>
      </c>
      <c r="F6978" t="s">
        <v>9068</v>
      </c>
      <c r="G6978" t="e">
        <f ca="1">_xludf.IMAGE("https://edmondsonsupply.com/cdn/shop/products/56341.jpg?v=1666901345")</f>
        <v>#NAME?</v>
      </c>
      <c r="H6978" t="e">
        <f ca="1">_xludf.IMAGE("https://m.media-amazon.com/images/I/51qsQYpwj0L._AC_UL320_.jpg")</f>
        <v>#NAME?</v>
      </c>
      <c r="I6978" t="s">
        <v>7832</v>
      </c>
      <c r="J6978">
        <v>54.97</v>
      </c>
      <c r="K6978" s="4">
        <v>-0.52200000000000002</v>
      </c>
      <c r="L6978">
        <v>4.5999999999999996</v>
      </c>
      <c r="M6978">
        <v>334</v>
      </c>
      <c r="O6978" t="s">
        <v>25</v>
      </c>
      <c r="P6978" t="s">
        <v>7833</v>
      </c>
      <c r="Q6978" t="s">
        <v>7834</v>
      </c>
    </row>
    <row r="6979" spans="1:17" ht="15.5" x14ac:dyDescent="0.35">
      <c r="A6979" s="3" t="str">
        <f>HYPERLINK("https://edmondsonsupply.com/collections/electricians-tools/products/uniweld-70075-ratchet-wrenches", "https://edmondsonsupply.com/collections/electricians-tools/products/uniweld-70075-ratchet-wrenches")</f>
        <v>https://edmondsonsupply.com/collections/electricians-tools/products/uniweld-70075-ratchet-wrenches</v>
      </c>
      <c r="B6979" s="3" t="str">
        <f>HYPERLINK("https://edmondsonsupply.com/products/uniweld-70075-ratchet-wrenches", "https://edmondsonsupply.com/products/uniweld-70075-ratchet-wrenches")</f>
        <v>https://edmondsonsupply.com/products/uniweld-70075-ratchet-wrenches</v>
      </c>
      <c r="C6979" t="s">
        <v>7245</v>
      </c>
      <c r="D6979" t="s">
        <v>9069</v>
      </c>
      <c r="E6979" s="3" t="str">
        <f>HYPERLINK("https://www.amazon.com/FOCMKEAS-8-7-16-Reversible-Heavy-Duty%EF%BC%8C72/dp/B0B6JJX8CH/ref=sr_1_4?keywords=uniweld+70075+heavy+duty+offset+ratchet+wrench&amp;qid=1695174182&amp;sr=8-4", "https://www.amazon.com/FOCMKEAS-8-7-16-Reversible-Heavy-Duty%EF%BC%8C72/dp/B0B6JJX8CH/ref=sr_1_4?keywords=uniweld+70075+heavy+duty+offset+ratchet+wrench&amp;qid=1695174182&amp;sr=8-4")</f>
        <v>https://www.amazon.com/FOCMKEAS-8-7-16-Reversible-Heavy-Duty%EF%BC%8C72/dp/B0B6JJX8CH/ref=sr_1_4?keywords=uniweld+70075+heavy+duty+offset+ratchet+wrench&amp;qid=1695174182&amp;sr=8-4</v>
      </c>
      <c r="F6979" t="s">
        <v>9070</v>
      </c>
      <c r="G6979" t="e">
        <f ca="1">_xludf.IMAGE("https://edmondsonsupply.com/cdn/shop/products/70075_pkg.jpg?v=1656078756")</f>
        <v>#NAME?</v>
      </c>
      <c r="H6979" t="e">
        <f ca="1">_xludf.IMAGE("https://m.media-amazon.com/images/I/41cC2VWmXML._AC_UL320_.jpg")</f>
        <v>#NAME?</v>
      </c>
      <c r="I6979" t="s">
        <v>3185</v>
      </c>
      <c r="J6979">
        <v>9.99</v>
      </c>
      <c r="K6979" s="4">
        <v>-0.52410000000000001</v>
      </c>
      <c r="L6979">
        <v>3.9</v>
      </c>
      <c r="M6979">
        <v>12</v>
      </c>
      <c r="O6979" t="s">
        <v>25</v>
      </c>
      <c r="P6979" t="s">
        <v>7248</v>
      </c>
      <c r="Q6979" t="s">
        <v>7249</v>
      </c>
    </row>
    <row r="6980" spans="1:17" ht="15.5" x14ac:dyDescent="0.35">
      <c r="A6980"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6980"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6980" t="s">
        <v>6755</v>
      </c>
      <c r="D6980" t="s">
        <v>7866</v>
      </c>
      <c r="E6980" s="3" t="str">
        <f>HYPERLINK("https://www.amazon.com/Klein-Tools-6824INS-Screwdriver-Cushion-Grip/dp/B0BF78XBPX/ref=sr_1_4?keywords=Klein+Tools+602-4-INS+1%2F4-Inch+Cabinet+Tip+Insulated+Screwdriver%2C+4-Inch&amp;qid=1695174266&amp;sr=8-4", "https://www.amazon.com/Klein-Tools-6824INS-Screwdriver-Cushion-Grip/dp/B0BF78XBPX/ref=sr_1_4?keywords=Klein+Tools+602-4-INS+1%2F4-Inch+Cabinet+Tip+Insulated+Screwdriver%2C+4-Inch&amp;qid=1695174266&amp;sr=8-4")</f>
        <v>https://www.amazon.com/Klein-Tools-6824INS-Screwdriver-Cushion-Grip/dp/B0BF78XBPX/ref=sr_1_4?keywords=Klein+Tools+602-4-INS+1%2F4-Inch+Cabinet+Tip+Insulated+Screwdriver%2C+4-Inch&amp;qid=1695174266&amp;sr=8-4</v>
      </c>
      <c r="F6980" t="s">
        <v>7867</v>
      </c>
      <c r="G6980" t="e">
        <f ca="1">_xludf.IMAGE("https://edmondsonsupply.com/cdn/shop/products/602-4-ins-photo.jpg?v=1633031051")</f>
        <v>#NAME?</v>
      </c>
      <c r="H6980" t="e">
        <f ca="1">_xludf.IMAGE("https://m.media-amazon.com/images/I/410Gu3snLdL._AC_UL320_.jpg")</f>
        <v>#NAME?</v>
      </c>
      <c r="I6980" t="s">
        <v>3185</v>
      </c>
      <c r="J6980">
        <v>9.99</v>
      </c>
      <c r="K6980" s="4">
        <v>-0.52410000000000001</v>
      </c>
      <c r="L6980">
        <v>4.9000000000000004</v>
      </c>
      <c r="M6980">
        <v>205</v>
      </c>
      <c r="O6980" t="s">
        <v>25</v>
      </c>
      <c r="P6980" t="s">
        <v>6758</v>
      </c>
      <c r="Q6980" t="s">
        <v>6759</v>
      </c>
    </row>
    <row r="6981" spans="1:17" ht="15.5" x14ac:dyDescent="0.35">
      <c r="A6981" s="3" t="str">
        <f>HYPERLINK("https://edmondsonsupply.com/collections/electricians-tools/products/wiha-tools-66992-22-piece-magicring-ball-end-hex-l-key-set-inch-metric", "https://edmondsonsupply.com/collections/electricians-tools/products/wiha-tools-66992-22-piece-magicring-ball-end-hex-l-key-set-inch-metric")</f>
        <v>https://edmondsonsupply.com/collections/electricians-tools/products/wiha-tools-66992-22-piece-magicring-ball-end-hex-l-key-set-inch-metric</v>
      </c>
      <c r="B6981" s="3" t="str">
        <f>HYPERLINK("https://edmondsonsupply.com/products/wiha-tools-66992-22-piece-magicring-ball-end-hex-l-key-set-inch-metric", "https://edmondsonsupply.com/products/wiha-tools-66992-22-piece-magicring-ball-end-hex-l-key-set-inch-metric")</f>
        <v>https://edmondsonsupply.com/products/wiha-tools-66992-22-piece-magicring-ball-end-hex-l-key-set-inch-metric</v>
      </c>
      <c r="C6981" t="s">
        <v>4919</v>
      </c>
      <c r="D6981" t="s">
        <v>4396</v>
      </c>
      <c r="E6981" s="3" t="str">
        <f>HYPERLINK("https://www.amazon.com/Wiha-66991-MagicRing-Holder-Piece/dp/B000WTAK2C/ref=sr_1_2?keywords=Wiha+Tools+66992+22+Piece+MagicRing+Ball+End+Hex+L-Key+Set+-+Inch+-+Metric&amp;qid=1695173977&amp;sr=8-2", "https://www.amazon.com/Wiha-66991-MagicRing-Holder-Piece/dp/B000WTAK2C/ref=sr_1_2?keywords=Wiha+Tools+66992+22+Piece+MagicRing+Ball+End+Hex+L-Key+Set+-+Inch+-+Metric&amp;qid=1695173977&amp;sr=8-2")</f>
        <v>https://www.amazon.com/Wiha-66991-MagicRing-Holder-Piece/dp/B000WTAK2C/ref=sr_1_2?keywords=Wiha+Tools+66992+22+Piece+MagicRing+Ball+End+Hex+L-Key+Set+-+Inch+-+Metric&amp;qid=1695173977&amp;sr=8-2</v>
      </c>
      <c r="F6981" t="s">
        <v>4397</v>
      </c>
      <c r="G6981" t="e">
        <f ca="1">_xludf.IMAGE("https://edmondsonsupply.com/cdn/shop/files/29417a271125353d697d01cfdfb24cc6e99901ce_1000x_6829985f-7f40-4410-b5be-ba7bc87b2a14.webp?v=1690840271")</f>
        <v>#NAME?</v>
      </c>
      <c r="H6981" t="e">
        <f ca="1">_xludf.IMAGE("https://m.media-amazon.com/images/I/61jqxmDwZLL._AC_UL320_.jpg")</f>
        <v>#NAME?</v>
      </c>
      <c r="I6981" t="s">
        <v>4922</v>
      </c>
      <c r="J6981">
        <v>39.99</v>
      </c>
      <c r="K6981" s="4">
        <v>-0.52500000000000002</v>
      </c>
      <c r="L6981">
        <v>4.8</v>
      </c>
      <c r="M6981">
        <v>17</v>
      </c>
      <c r="O6981" t="s">
        <v>25</v>
      </c>
      <c r="P6981" t="s">
        <v>4923</v>
      </c>
      <c r="Q6981" t="s">
        <v>4924</v>
      </c>
    </row>
    <row r="6982" spans="1:17" ht="15.5" x14ac:dyDescent="0.35">
      <c r="A6982" s="3" t="str">
        <f>HYPERLINK("https://edmondsonsupply.com/collections/electricians-tools/products/veto-pro-pac-tech-pac-wheeler-backpack-tool-bag", "https://edmondsonsupply.com/collections/electricians-tools/products/veto-pro-pac-tech-pac-wheeler-backpack-tool-bag")</f>
        <v>https://edmondsonsupply.com/collections/electricians-tools/products/veto-pro-pac-tech-pac-wheeler-backpack-tool-bag</v>
      </c>
      <c r="B6982" s="3" t="str">
        <f>HYPERLINK("https://edmondsonsupply.com/products/veto-pro-pac-tech-pac-wheeler-backpack-tool-bag", "https://edmondsonsupply.com/products/veto-pro-pac-tech-pac-wheeler-backpack-tool-bag")</f>
        <v>https://edmondsonsupply.com/products/veto-pro-pac-tech-pac-wheeler-backpack-tool-bag</v>
      </c>
      <c r="C6982" t="s">
        <v>756</v>
      </c>
      <c r="D6982" t="s">
        <v>501</v>
      </c>
      <c r="E6982" s="3" t="str">
        <f>HYPERLINK("https://www.amazon.com/VETO-PRO-PAC-TECH-MCT-Tool/dp/B01CENNFYS/ref=sr_1_5?keywords=Veto+Pro+Pac+TECH+PAC+WHEELER+Backpack+Tool+Bag&amp;qid=1695173855&amp;sr=8-5", "https://www.amazon.com/VETO-PRO-PAC-TECH-MCT-Tool/dp/B01CENNFYS/ref=sr_1_5?keywords=Veto+Pro+Pac+TECH+PAC+WHEELER+Backpack+Tool+Bag&amp;qid=1695173855&amp;sr=8-5")</f>
        <v>https://www.amazon.com/VETO-PRO-PAC-TECH-MCT-Tool/dp/B01CENNFYS/ref=sr_1_5?keywords=Veto+Pro+Pac+TECH+PAC+WHEELER+Backpack+Tool+Bag&amp;qid=1695173855&amp;sr=8-5</v>
      </c>
      <c r="F6982" t="s">
        <v>502</v>
      </c>
      <c r="G6982" t="e">
        <f ca="1">_xludf.IMAGE("https://edmondsonsupply.com/cdn/shop/products/01_TECH-PAC-WHEELER.jpg?v=1633031176")</f>
        <v>#NAME?</v>
      </c>
      <c r="H6982" t="e">
        <f ca="1">_xludf.IMAGE("https://m.media-amazon.com/images/I/61GanfvVX6L._AC_UL320_.jpg")</f>
        <v>#NAME?</v>
      </c>
      <c r="I6982" t="s">
        <v>42</v>
      </c>
      <c r="J6982">
        <v>189.95</v>
      </c>
      <c r="K6982" s="4">
        <v>-0.52510000000000001</v>
      </c>
      <c r="L6982">
        <v>4.8</v>
      </c>
      <c r="M6982">
        <v>2083</v>
      </c>
      <c r="O6982" t="s">
        <v>25</v>
      </c>
      <c r="P6982" t="s">
        <v>138</v>
      </c>
      <c r="Q6982" t="s">
        <v>757</v>
      </c>
    </row>
    <row r="6983" spans="1:17" ht="15.5" x14ac:dyDescent="0.35">
      <c r="A6983" s="3" t="str">
        <f>HYPERLINK("https://edmondsonsupply.com/collections/electricians-tools/products/fluke-tl220-suregrip%E2%84%A2-industrial-test-lead-set", "https://edmondsonsupply.com/collections/electricians-tools/products/fluke-tl220-suregrip%E2%84%A2-industrial-test-lead-set")</f>
        <v>https://edmondsonsupply.com/collections/electricians-tools/products/fluke-tl220-suregrip%E2%84%A2-industrial-test-lead-set</v>
      </c>
      <c r="B6983" s="3" t="str">
        <f>HYPERLINK("https://edmondsonsupply.com/products/fluke-tl220-suregrip%e2%84%a2-industrial-test-lead-set", "https://edmondsonsupply.com/products/fluke-tl220-suregrip%e2%84%a2-industrial-test-lead-set")</f>
        <v>https://edmondsonsupply.com/products/fluke-tl220-suregrip%e2%84%a2-industrial-test-lead-set</v>
      </c>
      <c r="C6983" t="s">
        <v>8431</v>
      </c>
      <c r="D6983" t="s">
        <v>9071</v>
      </c>
      <c r="E6983" s="3" t="str">
        <f>HYPERLINK("https://www.amazon.com/Fluke-TL221-Test-Extension-FLK-TL221/dp/B008FM2XPA/ref=sr_1_2?keywords=Fluke+TL220+SureGrip%E2%84%A2+Industrial+Test+Lead+Set&amp;qid=1695174242&amp;sr=8-2", "https://www.amazon.com/Fluke-TL221-Test-Extension-FLK-TL221/dp/B008FM2XPA/ref=sr_1_2?keywords=Fluke+TL220+SureGrip%E2%84%A2+Industrial+Test+Lead+Set&amp;qid=1695174242&amp;sr=8-2")</f>
        <v>https://www.amazon.com/Fluke-TL221-Test-Extension-FLK-TL221/dp/B008FM2XPA/ref=sr_1_2?keywords=Fluke+TL220+SureGrip%E2%84%A2+Industrial+Test+Lead+Set&amp;qid=1695174242&amp;sr=8-2</v>
      </c>
      <c r="F6983" t="s">
        <v>9072</v>
      </c>
      <c r="G6983" t="e">
        <f ca="1">_xludf.IMAGE("https://edmondsonsupply.com/cdn/shop/products/220.png?v=1633540209")</f>
        <v>#NAME?</v>
      </c>
      <c r="H6983" t="e">
        <f ca="1">_xludf.IMAGE("https://m.media-amazon.com/images/I/21cU9qMCp7L._AC_UY218_.jpg")</f>
        <v>#NAME?</v>
      </c>
      <c r="I6983" t="s">
        <v>8434</v>
      </c>
      <c r="J6983">
        <v>44.5</v>
      </c>
      <c r="K6983" s="4">
        <v>-0.52649999999999997</v>
      </c>
      <c r="L6983">
        <v>5</v>
      </c>
      <c r="M6983">
        <v>10</v>
      </c>
      <c r="O6983" t="s">
        <v>25</v>
      </c>
      <c r="P6983" t="s">
        <v>8435</v>
      </c>
      <c r="Q6983" t="s">
        <v>8436</v>
      </c>
    </row>
    <row r="6984" spans="1:17" ht="15.5" x14ac:dyDescent="0.35">
      <c r="A6984" s="3" t="str">
        <f>HYPERLINK("https://edmondsonsupply.com/collections/electricians-tools/products/klein-tools-pnd-12-5-1-2-inch-power-nut-driver-5-inch-length", "https://edmondsonsupply.com/collections/electricians-tools/products/klein-tools-pnd-12-5-1-2-inch-power-nut-driver-5-inch-length")</f>
        <v>https://edmondsonsupply.com/collections/electricians-tools/products/klein-tools-pnd-12-5-1-2-inch-power-nut-driver-5-inch-length</v>
      </c>
      <c r="B6984" s="3" t="str">
        <f>HYPERLINK("https://edmondsonsupply.com/products/klein-tools-pnd-12-5-1-2-inch-power-nut-driver-5-inch-length", "https://edmondsonsupply.com/products/klein-tools-pnd-12-5-1-2-inch-power-nut-driver-5-inch-length")</f>
        <v>https://edmondsonsupply.com/products/klein-tools-pnd-12-5-1-2-inch-power-nut-driver-5-inch-length</v>
      </c>
      <c r="C6984" t="s">
        <v>1684</v>
      </c>
      <c r="D6984" t="s">
        <v>5585</v>
      </c>
      <c r="E6984" s="3" t="str">
        <f>HYPERLINK("https://www.amazon.com/16-Inch-Drivers-Klein-Tools-32767/dp/B09R3CWH91/ref=sr_1_5?keywords=Klein+Tools+PND-12-5+1%2F2-Inch+Power+Nut+Driver+5-Inch+Length&amp;qid=1695173880&amp;sr=8-5", "https://www.amazon.com/16-Inch-Drivers-Klein-Tools-32767/dp/B09R3CWH91/ref=sr_1_5?keywords=Klein+Tools+PND-12-5+1%2F2-Inch+Power+Nut+Driver+5-Inch+Length&amp;qid=1695173880&amp;sr=8-5")</f>
        <v>https://www.amazon.com/16-Inch-Drivers-Klein-Tools-32767/dp/B09R3CWH91/ref=sr_1_5?keywords=Klein+Tools+PND-12-5+1%2F2-Inch+Power+Nut+Driver+5-Inch+Length&amp;qid=1695173880&amp;sr=8-5</v>
      </c>
      <c r="F6984" t="s">
        <v>5586</v>
      </c>
      <c r="G6984" t="e">
        <f ca="1">_xludf.IMAGE("https://edmondsonsupply.com/cdn/shop/products/pnd125.jpg?v=1633031028")</f>
        <v>#NAME?</v>
      </c>
      <c r="H6984" t="e">
        <f ca="1">_xludf.IMAGE("https://m.media-amazon.com/images/I/51a0o6PdKNL._AC_UL320_.jpg")</f>
        <v>#NAME?</v>
      </c>
      <c r="I6984" t="s">
        <v>1687</v>
      </c>
      <c r="J6984">
        <v>8.99</v>
      </c>
      <c r="K6984" s="4">
        <v>-0.52659999999999996</v>
      </c>
      <c r="L6984">
        <v>4.4000000000000004</v>
      </c>
      <c r="M6984">
        <v>806</v>
      </c>
      <c r="O6984" t="s">
        <v>25</v>
      </c>
      <c r="P6984" t="s">
        <v>1688</v>
      </c>
      <c r="Q6984" t="s">
        <v>1689</v>
      </c>
    </row>
    <row r="6985" spans="1:17" ht="15.5" x14ac:dyDescent="0.35">
      <c r="A6985" s="3" t="str">
        <f>HYPERLINK("https://edmondsonsupply.com/collections/electricians-tools/products/milwaukee-2953-22-m18-fuel%E2%84%A2-1-4-hex-impact-driver-kit", "https://edmondsonsupply.com/collections/electricians-tools/products/milwaukee-2953-22-m18-fuel%E2%84%A2-1-4-hex-impact-driver-kit")</f>
        <v>https://edmondsonsupply.com/collections/electricians-tools/products/milwaukee-2953-22-m18-fuel%E2%84%A2-1-4-hex-impact-driver-kit</v>
      </c>
      <c r="B6985" s="3" t="str">
        <f>HYPERLINK("https://edmondsonsupply.com/products/milwaukee-2953-22-m18-fuel%e2%84%a2-1-4-hex-impact-driver-kit", "https://edmondsonsupply.com/products/milwaukee-2953-22-m18-fuel%e2%84%a2-1-4-hex-impact-driver-kit")</f>
        <v>https://edmondsonsupply.com/products/milwaukee-2953-22-m18-fuel%e2%84%a2-1-4-hex-impact-driver-kit</v>
      </c>
      <c r="C6985" t="s">
        <v>7565</v>
      </c>
      <c r="D6985" t="s">
        <v>8692</v>
      </c>
      <c r="E6985" s="3" t="str">
        <f>HYPERLINK("https://www.amazon.com/Milwaukee-3453-22-Cordless-Lithium-Batteries/dp/B0BLT6PSKS/ref=sr_1_6?keywords=Milwaukee+2953-22+M18+FUEL%E2%84%A2+1%2F4%22+Hex+Impact+Driver+Kit&amp;qid=1695174155&amp;sr=8-6", "https://www.amazon.com/Milwaukee-3453-22-Cordless-Lithium-Batteries/dp/B0BLT6PSKS/ref=sr_1_6?keywords=Milwaukee+2953-22+M18+FUEL%E2%84%A2+1%2F4%22+Hex+Impact+Driver+Kit&amp;qid=1695174155&amp;sr=8-6")</f>
        <v>https://www.amazon.com/Milwaukee-3453-22-Cordless-Lithium-Batteries/dp/B0BLT6PSKS/ref=sr_1_6?keywords=Milwaukee+2953-22+M18+FUEL%E2%84%A2+1%2F4%22+Hex+Impact+Driver+Kit&amp;qid=1695174155&amp;sr=8-6</v>
      </c>
      <c r="F6985" t="s">
        <v>8693</v>
      </c>
      <c r="G6985" t="e">
        <f ca="1">_xludf.IMAGE("https://edmondsonsupply.com/cdn/shop/products/29532022ImageReel2.webp?v=1663599746")</f>
        <v>#NAME?</v>
      </c>
      <c r="H6985" t="e">
        <f ca="1">_xludf.IMAGE("https://m.media-amazon.com/images/I/71EfdWfKpQL._AC_UL320_.jpg")</f>
        <v>#NAME?</v>
      </c>
      <c r="I6985" t="s">
        <v>5012</v>
      </c>
      <c r="J6985">
        <v>140.99</v>
      </c>
      <c r="K6985" s="4">
        <v>-0.52849999999999997</v>
      </c>
      <c r="L6985">
        <v>4.7</v>
      </c>
      <c r="M6985">
        <v>51</v>
      </c>
      <c r="O6985" t="s">
        <v>25</v>
      </c>
      <c r="P6985" t="s">
        <v>7566</v>
      </c>
      <c r="Q6985" t="s">
        <v>7567</v>
      </c>
    </row>
    <row r="6986" spans="1:17" ht="15.5" x14ac:dyDescent="0.35">
      <c r="A6986" s="3" t="str">
        <f>HYPERLINK("https://edmondsonsupply.com/collections/electricians-tools/products/klein-tools-69191-11a-replacement-fuse", "https://edmondsonsupply.com/collections/electricians-tools/products/klein-tools-69191-11a-replacement-fuse")</f>
        <v>https://edmondsonsupply.com/collections/electricians-tools/products/klein-tools-69191-11a-replacement-fuse</v>
      </c>
      <c r="B6986" s="3" t="str">
        <f>HYPERLINK("https://edmondsonsupply.com/products/klein-tools-69191-11a-replacement-fuse", "https://edmondsonsupply.com/products/klein-tools-69191-11a-replacement-fuse")</f>
        <v>https://edmondsonsupply.com/products/klein-tools-69191-11a-replacement-fuse</v>
      </c>
      <c r="C6986" t="s">
        <v>9073</v>
      </c>
      <c r="D6986" t="s">
        <v>9074</v>
      </c>
      <c r="E6986" s="3" t="str">
        <f>HYPERLINK("https://www.amazon.com/Replacement-Fuse-Klein-Tools-69191/dp/B007GSH3W2/ref=sr_1_1?keywords=Klein+Tools+69191+11A+Replacement+Fuse&amp;qid=1695174280&amp;sr=8-1", "https://www.amazon.com/Replacement-Fuse-Klein-Tools-69191/dp/B007GSH3W2/ref=sr_1_1?keywords=Klein+Tools+69191+11A+Replacement+Fuse&amp;qid=1695174280&amp;sr=8-1")</f>
        <v>https://www.amazon.com/Replacement-Fuse-Klein-Tools-69191/dp/B007GSH3W2/ref=sr_1_1?keywords=Klein+Tools+69191+11A+Replacement+Fuse&amp;qid=1695174280&amp;sr=8-1</v>
      </c>
      <c r="F6986" t="s">
        <v>9075</v>
      </c>
      <c r="G6986" t="e">
        <f ca="1">_xludf.IMAGE("https://edmondsonsupply.com/cdn/shop/products/69191.jpg?v=1633030994")</f>
        <v>#NAME?</v>
      </c>
      <c r="H6986" t="e">
        <f ca="1">_xludf.IMAGE("https://m.media-amazon.com/images/I/61VhhtUpssL._AC_UL320_.jpg")</f>
        <v>#NAME?</v>
      </c>
      <c r="I6986" t="s">
        <v>9076</v>
      </c>
      <c r="J6986">
        <v>6.99</v>
      </c>
      <c r="K6986" s="4">
        <v>-0.52929999999999999</v>
      </c>
      <c r="L6986">
        <v>4.5999999999999996</v>
      </c>
      <c r="M6986">
        <v>20</v>
      </c>
      <c r="O6986" t="s">
        <v>25</v>
      </c>
      <c r="P6986" t="s">
        <v>4772</v>
      </c>
      <c r="Q6986" t="s">
        <v>9077</v>
      </c>
    </row>
    <row r="6987" spans="1:17" ht="15.5" x14ac:dyDescent="0.35">
      <c r="A6987" s="3" t="str">
        <f>HYPERLINK("https://edmondsonsupply.com/collections/electricians-tools/products/veto-pro-pac-tech-pac-backpack-tool-bag-1", "https://edmondsonsupply.com/collections/electricians-tools/products/veto-pro-pac-tech-pac-backpack-tool-bag-1")</f>
        <v>https://edmondsonsupply.com/collections/electricians-tools/products/veto-pro-pac-tech-pac-backpack-tool-bag-1</v>
      </c>
      <c r="B6987" s="3" t="str">
        <f>HYPERLINK("https://edmondsonsupply.com/products/veto-pro-pac-tech-pac-backpack-tool-bag-1", "https://edmondsonsupply.com/products/veto-pro-pac-tech-pac-backpack-tool-bag-1")</f>
        <v>https://edmondsonsupply.com/products/veto-pro-pac-tech-pac-backpack-tool-bag-1</v>
      </c>
      <c r="C6987" t="s">
        <v>8235</v>
      </c>
      <c r="D6987" t="s">
        <v>9078</v>
      </c>
      <c r="E6987" s="3" t="str">
        <f>HYPERLINK("https://www.amazon.com/Klein-Tools-62805BPTECH-Tradesman-Extra-Large/dp/B0C7HMWCW6/ref=sr_1_7?keywords=Veto+Pro+Pac+TECH+PAC+LT+Laptop+Backpack+Tool+Bag&amp;qid=1695174263&amp;sr=8-7", "https://www.amazon.com/Klein-Tools-62805BPTECH-Tradesman-Extra-Large/dp/B0C7HMWCW6/ref=sr_1_7?keywords=Veto+Pro+Pac+TECH+PAC+LT+Laptop+Backpack+Tool+Bag&amp;qid=1695174263&amp;sr=8-7")</f>
        <v>https://www.amazon.com/Klein-Tools-62805BPTECH-Tradesman-Extra-Large/dp/B0C7HMWCW6/ref=sr_1_7?keywords=Veto+Pro+Pac+TECH+PAC+LT+Laptop+Backpack+Tool+Bag&amp;qid=1695174263&amp;sr=8-7</v>
      </c>
      <c r="F6987" t="s">
        <v>9079</v>
      </c>
      <c r="G6987" t="e">
        <f ca="1">_xludf.IMAGE("https://edmondsonsupply.com/cdn/shop/products/LT_1.jpg?v=1587146035")</f>
        <v>#NAME?</v>
      </c>
      <c r="H6987" t="e">
        <f ca="1">_xludf.IMAGE("https://m.media-amazon.com/images/I/61VlhMDQGbL._AC_UL320_.jpg")</f>
        <v>#NAME?</v>
      </c>
      <c r="I6987" t="s">
        <v>8236</v>
      </c>
      <c r="J6987">
        <v>136.47999999999999</v>
      </c>
      <c r="K6987" s="4">
        <v>-0.52939999999999998</v>
      </c>
      <c r="L6987">
        <v>3.3</v>
      </c>
      <c r="M6987">
        <v>3</v>
      </c>
      <c r="O6987" t="s">
        <v>25</v>
      </c>
      <c r="P6987" t="s">
        <v>138</v>
      </c>
      <c r="Q6987" t="s">
        <v>8237</v>
      </c>
    </row>
    <row r="6988" spans="1:17" ht="15.5" x14ac:dyDescent="0.35">
      <c r="A6988"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6988" s="3" t="str">
        <f>HYPERLINK("https://edmondsonsupply.com/products/klein-tools-610-stubby-nut-driver-set-1-1-2-inch-shafts-2-piece", "https://edmondsonsupply.com/products/klein-tools-610-stubby-nut-driver-set-1-1-2-inch-shafts-2-piece")</f>
        <v>https://edmondsonsupply.com/products/klein-tools-610-stubby-nut-driver-set-1-1-2-inch-shafts-2-piece</v>
      </c>
      <c r="C6988" t="s">
        <v>3030</v>
      </c>
      <c r="D6988" t="s">
        <v>5587</v>
      </c>
      <c r="E6988" s="3" t="str">
        <f>HYPERLINK("https://www.amazon.com/4-Inch-Comfordome-Klein-Tools-SS8/dp/B00093D5HS/ref=sr_1_5?keywords=Klein+Tools+610+Stubby+Nut+Driver+Set+1-1%2F2-Inch+Shafts+2-Piece&amp;qid=1695173958&amp;sr=8-5", "https://www.amazon.com/4-Inch-Comfordome-Klein-Tools-SS8/dp/B00093D5HS/ref=sr_1_5?keywords=Klein+Tools+610+Stubby+Nut+Driver+Set+1-1%2F2-Inch+Shafts+2-Piece&amp;qid=1695173958&amp;sr=8-5")</f>
        <v>https://www.amazon.com/4-Inch-Comfordome-Klein-Tools-SS8/dp/B00093D5HS/ref=sr_1_5?keywords=Klein+Tools+610+Stubby+Nut+Driver+Set+1-1%2F2-Inch+Shafts+2-Piece&amp;qid=1695173958&amp;sr=8-5</v>
      </c>
      <c r="F6988" t="s">
        <v>5588</v>
      </c>
      <c r="G6988" t="e">
        <f ca="1">_xludf.IMAGE("https://edmondsonsupply.com/cdn/shop/products/610m_169714eb-6816-4f42-aa86-ea17ea5fcbbb.jpg?v=1633030110")</f>
        <v>#NAME?</v>
      </c>
      <c r="H6988" t="e">
        <f ca="1">_xludf.IMAGE("https://m.media-amazon.com/images/I/51OCOP+vN8L._AC_UL320_.jpg")</f>
        <v>#NAME?</v>
      </c>
      <c r="I6988" t="s">
        <v>252</v>
      </c>
      <c r="J6988">
        <v>7.51</v>
      </c>
      <c r="K6988" s="4">
        <v>-0.53029999999999999</v>
      </c>
      <c r="L6988">
        <v>4.2</v>
      </c>
      <c r="M6988">
        <v>19</v>
      </c>
      <c r="O6988" t="s">
        <v>25</v>
      </c>
      <c r="P6988" t="s">
        <v>3031</v>
      </c>
      <c r="Q6988" t="s">
        <v>3032</v>
      </c>
    </row>
    <row r="6989" spans="1:17" ht="15.5" x14ac:dyDescent="0.35">
      <c r="A6989" s="3" t="str">
        <f>HYPERLINK("https://edmondsonsupply.com/collections/electricians-tools/products/klein-tools-610-stubby-nut-driver-set-1-1-2-inch-shafts-2-piece", "https://edmondsonsupply.com/collections/electricians-tools/products/klein-tools-610-stubby-nut-driver-set-1-1-2-inch-shafts-2-piece")</f>
        <v>https://edmondsonsupply.com/collections/electricians-tools/products/klein-tools-610-stubby-nut-driver-set-1-1-2-inch-shafts-2-piece</v>
      </c>
      <c r="B6989" s="3" t="str">
        <f>HYPERLINK("https://edmondsonsupply.com/products/klein-tools-610-stubby-nut-driver-set-1-1-2-inch-shafts-2-piece", "https://edmondsonsupply.com/products/klein-tools-610-stubby-nut-driver-set-1-1-2-inch-shafts-2-piece")</f>
        <v>https://edmondsonsupply.com/products/klein-tools-610-stubby-nut-driver-set-1-1-2-inch-shafts-2-piece</v>
      </c>
      <c r="C6989" t="s">
        <v>3030</v>
      </c>
      <c r="D6989" t="s">
        <v>5589</v>
      </c>
      <c r="E6989" s="3" t="str">
        <f>HYPERLINK("https://www.amazon.com/4-Inch-Cushion-Klein-Tools-610-1/dp/B001BZHUKQ/ref=sr_1_3?keywords=Klein+Tools+610+Stubby+Nut+Driver+Set+1-1%2F2-Inch+Shafts+2-Piece&amp;qid=1695173958&amp;sr=8-3", "https://www.amazon.com/4-Inch-Cushion-Klein-Tools-610-1/dp/B001BZHUKQ/ref=sr_1_3?keywords=Klein+Tools+610+Stubby+Nut+Driver+Set+1-1%2F2-Inch+Shafts+2-Piece&amp;qid=1695173958&amp;sr=8-3")</f>
        <v>https://www.amazon.com/4-Inch-Cushion-Klein-Tools-610-1/dp/B001BZHUKQ/ref=sr_1_3?keywords=Klein+Tools+610+Stubby+Nut+Driver+Set+1-1%2F2-Inch+Shafts+2-Piece&amp;qid=1695173958&amp;sr=8-3</v>
      </c>
      <c r="F6989" t="s">
        <v>5590</v>
      </c>
      <c r="G6989" t="e">
        <f ca="1">_xludf.IMAGE("https://edmondsonsupply.com/cdn/shop/products/610m_169714eb-6816-4f42-aa86-ea17ea5fcbbb.jpg?v=1633030110")</f>
        <v>#NAME?</v>
      </c>
      <c r="H6989" t="e">
        <f ca="1">_xludf.IMAGE("https://m.media-amazon.com/images/I/41jfNPcsXfL._AC_UL320_.jpg")</f>
        <v>#NAME?</v>
      </c>
      <c r="I6989" t="s">
        <v>252</v>
      </c>
      <c r="J6989">
        <v>7.49</v>
      </c>
      <c r="K6989" s="4">
        <v>-0.53159999999999996</v>
      </c>
      <c r="L6989">
        <v>4.8</v>
      </c>
      <c r="M6989">
        <v>260</v>
      </c>
      <c r="O6989" t="s">
        <v>25</v>
      </c>
      <c r="P6989" t="s">
        <v>3031</v>
      </c>
      <c r="Q6989" t="s">
        <v>3032</v>
      </c>
    </row>
    <row r="6990" spans="1:17" ht="15.5" x14ac:dyDescent="0.35">
      <c r="A6990" s="3" t="str">
        <f>HYPERLINK("https://edmondsonsupply.com/collections/electricians-tools/products/milwaukee-48-40-4515-8-circular-saw-metal-cutting-blade-42t", "https://edmondsonsupply.com/collections/electricians-tools/products/milwaukee-48-40-4515-8-circular-saw-metal-cutting-blade-42t")</f>
        <v>https://edmondsonsupply.com/collections/electricians-tools/products/milwaukee-48-40-4515-8-circular-saw-metal-cutting-blade-42t</v>
      </c>
      <c r="B6990" s="3" t="str">
        <f>HYPERLINK("https://edmondsonsupply.com/products/milwaukee-48-40-4515-8-circular-saw-metal-cutting-blade-42t", "https://edmondsonsupply.com/products/milwaukee-48-40-4515-8-circular-saw-metal-cutting-blade-42t")</f>
        <v>https://edmondsonsupply.com/products/milwaukee-48-40-4515-8-circular-saw-metal-cutting-blade-42t</v>
      </c>
      <c r="C6990" t="s">
        <v>5194</v>
      </c>
      <c r="D6990" t="s">
        <v>5593</v>
      </c>
      <c r="E6990" s="3" t="str">
        <f>HYPERLINK("https://www.amazon.com/Milwaukee-48-40-4006-Non-Ferrous-Cutting-Circular/dp/B000MW57T0/ref=sr_1_1?keywords=Milwaukee+48-40-4515+8%22+Circular+Saw+Metal+Cutting+Blade-+42T&amp;qid=1695174000&amp;sr=8-1", "https://www.amazon.com/Milwaukee-48-40-4006-Non-Ferrous-Cutting-Circular/dp/B000MW57T0/ref=sr_1_1?keywords=Milwaukee+48-40-4515+8%22+Circular+Saw+Metal+Cutting+Blade-+42T&amp;qid=1695174000&amp;sr=8-1")</f>
        <v>https://www.amazon.com/Milwaukee-48-40-4006-Non-Ferrous-Cutting-Circular/dp/B000MW57T0/ref=sr_1_1?keywords=Milwaukee+48-40-4515+8%22+Circular+Saw+Metal+Cutting+Blade-+42T&amp;qid=1695174000&amp;sr=8-1</v>
      </c>
      <c r="F6990" t="s">
        <v>5594</v>
      </c>
      <c r="G6990" t="e">
        <f ca="1">_xludf.IMAGE("https://edmondsonsupply.com/cdn/shop/files/48-40-4515_1.png?v=1687444386")</f>
        <v>#NAME?</v>
      </c>
      <c r="H6990" t="e">
        <f ca="1">_xludf.IMAGE("https://m.media-amazon.com/images/I/71kEzDsGyxL._AC_UL320_.jpg")</f>
        <v>#NAME?</v>
      </c>
      <c r="I6990" t="s">
        <v>5197</v>
      </c>
      <c r="J6990">
        <v>27.99</v>
      </c>
      <c r="K6990" s="4">
        <v>-0.5333</v>
      </c>
      <c r="L6990">
        <v>5</v>
      </c>
      <c r="M6990">
        <v>2</v>
      </c>
      <c r="O6990" t="s">
        <v>25</v>
      </c>
      <c r="P6990" t="s">
        <v>5198</v>
      </c>
      <c r="Q6990" t="s">
        <v>5199</v>
      </c>
    </row>
    <row r="6991" spans="1:17" ht="15.5" x14ac:dyDescent="0.35">
      <c r="A6991" s="3" t="str">
        <f>HYPERLINK("https://edmondsonsupply.com/collections/electricians-tools/products/greenlee-gsb12-1-3-8-step-bit-12", "https://edmondsonsupply.com/collections/electricians-tools/products/greenlee-gsb12-1-3-8-step-bit-12")</f>
        <v>https://edmondsonsupply.com/collections/electricians-tools/products/greenlee-gsb12-1-3-8-step-bit-12</v>
      </c>
      <c r="B6991" s="3" t="str">
        <f>HYPERLINK("https://edmondsonsupply.com/products/greenlee-gsb12-1-3-8-step-bit-12", "https://edmondsonsupply.com/products/greenlee-gsb12-1-3-8-step-bit-12")</f>
        <v>https://edmondsonsupply.com/products/greenlee-gsb12-1-3-8-step-bit-12</v>
      </c>
      <c r="C6991" t="s">
        <v>5549</v>
      </c>
      <c r="D6991" t="s">
        <v>5595</v>
      </c>
      <c r="E6991" s="3" t="str">
        <f>HYPERLINK("https://www.amazon.com/Milwaukee-48-89-9212-Step-Bit-12/dp/B00LP43CPU/ref=sr_1_3?keywords=Greenlee+GSB12+1-3%2F8%22+Step+Bit+%28%2312%29&amp;qid=1695174001&amp;sr=8-3", "https://www.amazon.com/Milwaukee-48-89-9212-Step-Bit-12/dp/B00LP43CPU/ref=sr_1_3?keywords=Greenlee+GSB12+1-3%2F8%22+Step+Bit+%28%2312%29&amp;qid=1695174001&amp;sr=8-3")</f>
        <v>https://www.amazon.com/Milwaukee-48-89-9212-Step-Bit-12/dp/B00LP43CPU/ref=sr_1_3?keywords=Greenlee+GSB12+1-3%2F8%22+Step+Bit+%28%2312%29&amp;qid=1695174001&amp;sr=8-3</v>
      </c>
      <c r="F6991" t="s">
        <v>5596</v>
      </c>
      <c r="G6991" t="e">
        <f ca="1">_xludf.IMAGE("https://edmondsonsupply.com/cdn/shop/files/GSB12_CAT1_72dpi.jpg?v=1687789899")</f>
        <v>#NAME?</v>
      </c>
      <c r="H6991" t="e">
        <f ca="1">_xludf.IMAGE("https://m.media-amazon.com/images/I/51M5oiL9tAL._AC_UY218_.jpg")</f>
        <v>#NAME?</v>
      </c>
      <c r="I6991" t="s">
        <v>5550</v>
      </c>
      <c r="J6991">
        <v>40</v>
      </c>
      <c r="K6991" s="4">
        <v>-0.53369999999999995</v>
      </c>
      <c r="L6991">
        <v>4.5</v>
      </c>
      <c r="M6991">
        <v>103</v>
      </c>
      <c r="O6991" t="s">
        <v>25</v>
      </c>
      <c r="P6991" t="s">
        <v>5551</v>
      </c>
      <c r="Q6991" t="s">
        <v>5552</v>
      </c>
    </row>
    <row r="6992" spans="1:17" ht="15.5" x14ac:dyDescent="0.35">
      <c r="A6992"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6992"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6992" t="s">
        <v>3118</v>
      </c>
      <c r="D6992" t="s">
        <v>3163</v>
      </c>
      <c r="E6992" s="3" t="str">
        <f>HYPERLINK("https://www.amazon.com/Journeyman-T-Handle-Klein-Tools-JTH9E14/dp/B004QVAH4I/ref=sr_1_7?keywords=Klein+Tools+JTH4E17+1%2F2-Inch+Hex+Key%2C+Journeyman+T-Handle%2C+4-Inch&amp;qid=1695173921&amp;sr=8-7", "https://www.amazon.com/Journeyman-T-Handle-Klein-Tools-JTH9E14/dp/B004QVAH4I/ref=sr_1_7?keywords=Klein+Tools+JTH4E17+1%2F2-Inch+Hex+Key%2C+Journeyman+T-Handle%2C+4-Inch&amp;qid=1695173921&amp;sr=8-7")</f>
        <v>https://www.amazon.com/Journeyman-T-Handle-Klein-Tools-JTH9E14/dp/B004QVAH4I/ref=sr_1_7?keywords=Klein+Tools+JTH4E17+1%2F2-Inch+Hex+Key%2C+Journeyman+T-Handle%2C+4-Inch&amp;qid=1695173921&amp;sr=8-7</v>
      </c>
      <c r="F6992" t="s">
        <v>3164</v>
      </c>
      <c r="G6992" t="e">
        <f ca="1">_xludf.IMAGE("https://edmondsonsupply.com/cdn/shop/products/jth4e17_583549be-7b42-43c7-9c3d-a92f2416ede5.jpg?v=1610655610")</f>
        <v>#NAME?</v>
      </c>
      <c r="H6992" t="e">
        <f ca="1">_xludf.IMAGE("https://m.media-amazon.com/images/I/51Yb8h41vLL._AC_UL320_.jpg")</f>
        <v>#NAME?</v>
      </c>
      <c r="I6992" t="s">
        <v>252</v>
      </c>
      <c r="J6992">
        <v>7.44</v>
      </c>
      <c r="K6992" s="4">
        <v>-0.53469999999999995</v>
      </c>
      <c r="L6992">
        <v>4.8</v>
      </c>
      <c r="M6992">
        <v>114</v>
      </c>
      <c r="O6992" t="s">
        <v>25</v>
      </c>
      <c r="P6992" t="s">
        <v>3121</v>
      </c>
      <c r="Q6992" t="s">
        <v>3122</v>
      </c>
    </row>
    <row r="6993" spans="1:17" ht="15.5" x14ac:dyDescent="0.35">
      <c r="A6993"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6993"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6993" t="s">
        <v>9080</v>
      </c>
      <c r="D6993" t="s">
        <v>9081</v>
      </c>
      <c r="E6993" s="3" t="str">
        <f>HYPERLINK("https://www.amazon.com/Simple-Plus-Replacement-Lithium-ion-Compatible/dp/B0CC87H42Z/ref=sr_1_10?keywords=Milwaukee+48-11-2412+M12+REDLITHIUM%E2%84%A2+XC+Battery+Two+Pack&amp;qid=1695174210&amp;sr=8-10", "https://www.amazon.com/Simple-Plus-Replacement-Lithium-ion-Compatible/dp/B0CC87H42Z/ref=sr_1_10?keywords=Milwaukee+48-11-2412+M12+REDLITHIUM%E2%84%A2+XC+Battery+Two+Pack&amp;qid=1695174210&amp;sr=8-10")</f>
        <v>https://www.amazon.com/Simple-Plus-Replacement-Lithium-ion-Compatible/dp/B0CC87H42Z/ref=sr_1_10?keywords=Milwaukee+48-11-2412+M12+REDLITHIUM%E2%84%A2+XC+Battery+Two+Pack&amp;qid=1695174210&amp;sr=8-10</v>
      </c>
      <c r="F6993" t="s">
        <v>9082</v>
      </c>
      <c r="G6993" t="e">
        <f ca="1">_xludf.IMAGE("https://edmondsonsupply.com/cdn/shop/products/48-11-2412.jpg?v=1654795924")</f>
        <v>#NAME?</v>
      </c>
      <c r="H6993" t="e">
        <f ca="1">_xludf.IMAGE("https://m.media-amazon.com/images/I/71UXyIHg7vL._AC_UL320_.jpg")</f>
        <v>#NAME?</v>
      </c>
      <c r="I6993" t="s">
        <v>739</v>
      </c>
      <c r="J6993">
        <v>59.99</v>
      </c>
      <c r="K6993" s="4">
        <v>-0.53500000000000003</v>
      </c>
      <c r="L6993">
        <v>5</v>
      </c>
      <c r="M6993">
        <v>5</v>
      </c>
      <c r="O6993" t="s">
        <v>25</v>
      </c>
      <c r="P6993" t="s">
        <v>9083</v>
      </c>
      <c r="Q6993" t="s">
        <v>9084</v>
      </c>
    </row>
    <row r="6994" spans="1:17" ht="15.5" x14ac:dyDescent="0.35">
      <c r="A6994"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6994" s="3" t="str">
        <f>HYPERLINK("https://edmondsonsupply.com/products/klein-tools-9416r-1000v-insulated-tool-kit-3-piece", "https://edmondsonsupply.com/products/klein-tools-9416r-1000v-insulated-tool-kit-3-piece")</f>
        <v>https://edmondsonsupply.com/products/klein-tools-9416r-1000v-insulated-tool-kit-3-piece</v>
      </c>
      <c r="C6994" t="s">
        <v>6428</v>
      </c>
      <c r="D6994" t="s">
        <v>4851</v>
      </c>
      <c r="E6994" s="3" t="str">
        <f>HYPERLINK("https://www.amazon.com/Klein-Tools-85076INS-Screwdriver-Screwdrivers/dp/B0BF76JDCC/ref=sr_1_6?keywords=Klein+Tools+9416R+1000V+Insulated+Tool+Kit%2C+3-Piece&amp;qid=1695174123&amp;sr=8-6", "https://www.amazon.com/Klein-Tools-85076INS-Screwdriver-Screwdrivers/dp/B0BF76JDCC/ref=sr_1_6?keywords=Klein+Tools+9416R+1000V+Insulated+Tool+Kit%2C+3-Piece&amp;qid=1695174123&amp;sr=8-6")</f>
        <v>https://www.amazon.com/Klein-Tools-85076INS-Screwdriver-Screwdrivers/dp/B0BF76JDCC/ref=sr_1_6?keywords=Klein+Tools+9416R+1000V+Insulated+Tool+Kit%2C+3-Piece&amp;qid=1695174123&amp;sr=8-6</v>
      </c>
      <c r="F6994" t="s">
        <v>4852</v>
      </c>
      <c r="G6994" t="e">
        <f ca="1">_xludf.IMAGE("https://edmondsonsupply.com/cdn/shop/products/9416r.jpg?v=1667327475")</f>
        <v>#NAME?</v>
      </c>
      <c r="H6994" t="e">
        <f ca="1">_xludf.IMAGE("https://m.media-amazon.com/images/I/51wtKAQ0TLL._AC_UL320_.jpg")</f>
        <v>#NAME?</v>
      </c>
      <c r="I6994" t="s">
        <v>6429</v>
      </c>
      <c r="J6994">
        <v>39.43</v>
      </c>
      <c r="K6994" s="4">
        <v>-0.53610000000000002</v>
      </c>
      <c r="L6994">
        <v>4.8</v>
      </c>
      <c r="M6994">
        <v>207</v>
      </c>
      <c r="O6994" t="s">
        <v>25</v>
      </c>
      <c r="P6994" t="s">
        <v>6430</v>
      </c>
      <c r="Q6994" t="s">
        <v>6431</v>
      </c>
    </row>
    <row r="6995" spans="1:17" ht="15.5" x14ac:dyDescent="0.35">
      <c r="A6995" s="3" t="str">
        <f>HYPERLINK("https://edmondsonsupply.com/collections/electricians-tools/products/greenlee-gsb09-1-1-8-step-bit-9", "https://edmondsonsupply.com/collections/electricians-tools/products/greenlee-gsb09-1-1-8-step-bit-9")</f>
        <v>https://edmondsonsupply.com/collections/electricians-tools/products/greenlee-gsb09-1-1-8-step-bit-9</v>
      </c>
      <c r="B6995" s="3" t="str">
        <f>HYPERLINK("https://edmondsonsupply.com/products/greenlee-gsb09-1-1-8-step-bit-9", "https://edmondsonsupply.com/products/greenlee-gsb09-1-1-8-step-bit-9")</f>
        <v>https://edmondsonsupply.com/products/greenlee-gsb09-1-1-8-step-bit-9</v>
      </c>
      <c r="C6995" t="s">
        <v>4952</v>
      </c>
      <c r="D6995" t="s">
        <v>4378</v>
      </c>
      <c r="E6995" s="3" t="str">
        <f>HYPERLINK("https://www.amazon.com/Greenlee-GSB04-Step-Bit/dp/B08TVF22W4/ref=sr_1_2?keywords=Greenlee+GSB09+1-1%2F8%22+Step+Bit+%28%239%29&amp;qid=1695173992&amp;sr=8-2", "https://www.amazon.com/Greenlee-GSB04-Step-Bit/dp/B08TVF22W4/ref=sr_1_2?keywords=Greenlee+GSB09+1-1%2F8%22+Step+Bit+%28%239%29&amp;qid=1695173992&amp;sr=8-2")</f>
        <v>https://www.amazon.com/Greenlee-GSB04-Step-Bit/dp/B08TVF22W4/ref=sr_1_2?keywords=Greenlee+GSB09+1-1%2F8%22+Step+Bit+%28%239%29&amp;qid=1695173992&amp;sr=8-2</v>
      </c>
      <c r="F6995" t="s">
        <v>4379</v>
      </c>
      <c r="G6995" t="e">
        <f ca="1">_xludf.IMAGE("https://edmondsonsupply.com/cdn/shop/files/GSB09_CAT1_72dpi.jpg?v=1687787938")</f>
        <v>#NAME?</v>
      </c>
      <c r="H6995" t="e">
        <f ca="1">_xludf.IMAGE("https://m.media-amazon.com/images/I/41FX4czhS0L._AC_UY218_.jpg")</f>
        <v>#NAME?</v>
      </c>
      <c r="I6995" t="s">
        <v>4953</v>
      </c>
      <c r="J6995">
        <v>32</v>
      </c>
      <c r="K6995" s="4">
        <v>-0.53800000000000003</v>
      </c>
      <c r="L6995">
        <v>5</v>
      </c>
      <c r="M6995">
        <v>7</v>
      </c>
      <c r="O6995" t="s">
        <v>25</v>
      </c>
      <c r="P6995" t="s">
        <v>4954</v>
      </c>
      <c r="Q6995" t="s">
        <v>4955</v>
      </c>
    </row>
    <row r="6996" spans="1:17" ht="15.5" x14ac:dyDescent="0.35">
      <c r="A6996" s="3" t="str">
        <f>HYPERLINK("https://edmondsonsupply.com/collections/electricians-tools/products/milwaukee-49-22-4175-hole-dozer%E2%84%A2-general-purpose-hole-saw-kit-15pc", "https://edmondsonsupply.com/collections/electricians-tools/products/milwaukee-49-22-4175-hole-dozer%E2%84%A2-general-purpose-hole-saw-kit-15pc")</f>
        <v>https://edmondsonsupply.com/collections/electricians-tools/products/milwaukee-49-22-4175-hole-dozer%E2%84%A2-general-purpose-hole-saw-kit-15pc</v>
      </c>
      <c r="B6996" s="3" t="str">
        <f>HYPERLINK("https://edmondsonsupply.com/products/milwaukee-49-22-4175-hole-dozer%e2%84%a2-general-purpose-hole-saw-kit-15pc", "https://edmondsonsupply.com/products/milwaukee-49-22-4175-hole-dozer%e2%84%a2-general-purpose-hole-saw-kit-15pc")</f>
        <v>https://edmondsonsupply.com/products/milwaukee-49-22-4175-hole-dozer%e2%84%a2-general-purpose-hole-saw-kit-15pc</v>
      </c>
      <c r="C6996" t="s">
        <v>8929</v>
      </c>
      <c r="D6996" t="s">
        <v>9085</v>
      </c>
      <c r="E6996" s="3" t="str">
        <f>HYPERLINK("https://www.amazon.com/Milwaukee-49-22-4025-13-Piece-General-Purpose/dp/B0045CSOIY/ref=sr_1_2?keywords=Milwaukee+49-22-4175+HOLE+DOZER%E2%84%A2+General-Purpose+Hole+Saw+Kit+-+15PC&amp;qid=1695174120&amp;sr=8-2", "https://www.amazon.com/Milwaukee-49-22-4025-13-Piece-General-Purpose/dp/B0045CSOIY/ref=sr_1_2?keywords=Milwaukee+49-22-4175+HOLE+DOZER%E2%84%A2+General-Purpose+Hole+Saw+Kit+-+15PC&amp;qid=1695174120&amp;sr=8-2")</f>
        <v>https://www.amazon.com/Milwaukee-49-22-4025-13-Piece-General-Purpose/dp/B0045CSOIY/ref=sr_1_2?keywords=Milwaukee+49-22-4175+HOLE+DOZER%E2%84%A2+General-Purpose+Hole+Saw+Kit+-+15PC&amp;qid=1695174120&amp;sr=8-2</v>
      </c>
      <c r="F6996" t="s">
        <v>9086</v>
      </c>
      <c r="G6996" t="e">
        <f ca="1">_xludf.IMAGE("https://edmondsonsupply.com/cdn/shop/products/49-22-4175_101.webp?v=1668783398")</f>
        <v>#NAME?</v>
      </c>
      <c r="H6996" t="e">
        <f ca="1">_xludf.IMAGE("https://m.media-amazon.com/images/I/81+9kik30LL._AC_UL320_.jpg")</f>
        <v>#NAME?</v>
      </c>
      <c r="I6996" t="s">
        <v>7293</v>
      </c>
      <c r="J6996">
        <v>69</v>
      </c>
      <c r="K6996" s="4">
        <v>-0.53990000000000005</v>
      </c>
      <c r="L6996">
        <v>4.5</v>
      </c>
      <c r="M6996">
        <v>447</v>
      </c>
      <c r="O6996" t="s">
        <v>25</v>
      </c>
      <c r="P6996" t="s">
        <v>8932</v>
      </c>
      <c r="Q6996" t="s">
        <v>8933</v>
      </c>
    </row>
    <row r="6997" spans="1:17" ht="15.5" x14ac:dyDescent="0.35">
      <c r="A6997" s="3" t="str">
        <f>HYPERLINK("https://edmondsonsupply.com/collections/electricians-tools/products/diablo-tools-d0604dh-6-1-2-in-x-4-tooth-fiber-cement", "https://edmondsonsupply.com/collections/electricians-tools/products/diablo-tools-d0604dh-6-1-2-in-x-4-tooth-fiber-cement")</f>
        <v>https://edmondsonsupply.com/collections/electricians-tools/products/diablo-tools-d0604dh-6-1-2-in-x-4-tooth-fiber-cement</v>
      </c>
      <c r="B6997" s="3" t="str">
        <f>HYPERLINK("https://edmondsonsupply.com/products/diablo-tools-d0604dh-6-1-2-in-x-4-tooth-fiber-cement", "https://edmondsonsupply.com/products/diablo-tools-d0604dh-6-1-2-in-x-4-tooth-fiber-cement")</f>
        <v>https://edmondsonsupply.com/products/diablo-tools-d0604dh-6-1-2-in-x-4-tooth-fiber-cement</v>
      </c>
      <c r="C6997" t="s">
        <v>6483</v>
      </c>
      <c r="D6997" t="s">
        <v>9087</v>
      </c>
      <c r="E6997" s="3" t="str">
        <f>HYPERLINK("https://www.amazon.com/TOMAX-PCDM61204-Polycrystalline-Diamond-Tipped/dp/B0978VYT2W/ref=sr_1_3?keywords=Diablo+Tools+D0604DH+6-1%2F2+in.+x+4+Tooth+Fiber+Cement&amp;qid=1695174076&amp;sr=8-3", "https://www.amazon.com/TOMAX-PCDM61204-Polycrystalline-Diamond-Tipped/dp/B0978VYT2W/ref=sr_1_3?keywords=Diablo+Tools+D0604DH+6-1%2F2+in.+x+4+Tooth+Fiber+Cement&amp;qid=1695174076&amp;sr=8-3")</f>
        <v>https://www.amazon.com/TOMAX-PCDM61204-Polycrystalline-Diamond-Tipped/dp/B0978VYT2W/ref=sr_1_3?keywords=Diablo+Tools+D0604DH+6-1%2F2+in.+x+4+Tooth+Fiber+Cement&amp;qid=1695174076&amp;sr=8-3</v>
      </c>
      <c r="F6997" t="s">
        <v>9088</v>
      </c>
      <c r="G6997" t="e">
        <f ca="1">_xludf.IMAGE("https://edmondsonsupply.com/cdn/shop/products/b97gznmuns4ffl0mabzf.webp?v=1679319668")</f>
        <v>#NAME?</v>
      </c>
      <c r="H6997" t="e">
        <f ca="1">_xludf.IMAGE("https://m.media-amazon.com/images/I/71ISlYFv-2S._AC_UL320_.jpg")</f>
        <v>#NAME?</v>
      </c>
      <c r="I6997" t="s">
        <v>380</v>
      </c>
      <c r="J6997">
        <v>22.99</v>
      </c>
      <c r="K6997" s="4">
        <v>-0.53990000000000005</v>
      </c>
      <c r="L6997">
        <v>4.4000000000000004</v>
      </c>
      <c r="M6997">
        <v>256</v>
      </c>
      <c r="O6997" t="s">
        <v>25</v>
      </c>
      <c r="P6997" t="s">
        <v>6486</v>
      </c>
      <c r="Q6997" t="s">
        <v>6487</v>
      </c>
    </row>
    <row r="6998" spans="1:17" ht="15.5" x14ac:dyDescent="0.35">
      <c r="A6998" s="3" t="str">
        <f>HYPERLINK("https://edmondsonsupply.com/collections/electricians-tools/products/milwaukee-2880-22-m18-fuel%E2%84%A2-4-1-2-5-grinder-paddle-switch-no-lock-kit", "https://edmondsonsupply.com/collections/electricians-tools/products/milwaukee-2880-22-m18-fuel%E2%84%A2-4-1-2-5-grinder-paddle-switch-no-lock-kit")</f>
        <v>https://edmondsonsupply.com/collections/electricians-tools/products/milwaukee-2880-22-m18-fuel%E2%84%A2-4-1-2-5-grinder-paddle-switch-no-lock-kit</v>
      </c>
      <c r="B6998" s="3" t="str">
        <f>HYPERLINK("https://edmondsonsupply.com/products/milwaukee-2880-22-m18-fuel%e2%84%a2-4-1-2-5-grinder-paddle-switch-no-lock-kit", "https://edmondsonsupply.com/products/milwaukee-2880-22-m18-fuel%e2%84%a2-4-1-2-5-grinder-paddle-switch-no-lock-kit")</f>
        <v>https://edmondsonsupply.com/products/milwaukee-2880-22-m18-fuel%e2%84%a2-4-1-2-5-grinder-paddle-switch-no-lock-kit</v>
      </c>
      <c r="C6998" t="s">
        <v>7129</v>
      </c>
      <c r="D6998" t="s">
        <v>7815</v>
      </c>
      <c r="E6998" s="3" t="str">
        <f>HYPERLINK("https://www.amazon.com/2880-20-Milwaukee-Grinder-Paddle-No-Lock/dp/B0C1BWXP7W/ref=sr_1_4?keywords=Milwaukee+2880-22+M18+FUEL%E2%84%A2+4-1%2F2%22+%2F+5%22+Grinder+Paddle+Switch%2C+No-Lock+%28Kit%29&amp;qid=1695174132&amp;sr=8-4", "https://www.amazon.com/2880-20-Milwaukee-Grinder-Paddle-No-Lock/dp/B0C1BWXP7W/ref=sr_1_4?keywords=Milwaukee+2880-22+M18+FUEL%E2%84%A2+4-1%2F2%22+%2F+5%22+Grinder+Paddle+Switch%2C+No-Lock+%28Kit%29&amp;qid=1695174132&amp;sr=8-4")</f>
        <v>https://www.amazon.com/2880-20-Milwaukee-Grinder-Paddle-No-Lock/dp/B0C1BWXP7W/ref=sr_1_4?keywords=Milwaukee+2880-22+M18+FUEL%E2%84%A2+4-1%2F2%22+%2F+5%22+Grinder+Paddle+Switch%2C+No-Lock+%28Kit%29&amp;qid=1695174132&amp;sr=8-4</v>
      </c>
      <c r="F6998" t="s">
        <v>7816</v>
      </c>
      <c r="G6998" t="e">
        <f ca="1">_xludf.IMAGE("https://edmondsonsupply.com/cdn/shop/products/2880-22_1.png?v=1668015986")</f>
        <v>#NAME?</v>
      </c>
      <c r="H6998" t="e">
        <f ca="1">_xludf.IMAGE("https://m.media-amazon.com/images/I/611hF2k6v8L._AC_UL320_.jpg")</f>
        <v>#NAME?</v>
      </c>
      <c r="I6998" t="s">
        <v>7130</v>
      </c>
      <c r="J6998">
        <v>205</v>
      </c>
      <c r="K6998" s="4">
        <v>-0.54339999999999999</v>
      </c>
      <c r="L6998">
        <v>3</v>
      </c>
      <c r="M6998">
        <v>1</v>
      </c>
      <c r="O6998" t="s">
        <v>171</v>
      </c>
      <c r="P6998" t="s">
        <v>7131</v>
      </c>
      <c r="Q6998" t="s">
        <v>7132</v>
      </c>
    </row>
    <row r="6999" spans="1:17" ht="15.5" x14ac:dyDescent="0.35">
      <c r="A6999"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6999"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6999" t="s">
        <v>3118</v>
      </c>
      <c r="D6999" t="s">
        <v>5599</v>
      </c>
      <c r="E6999" s="3" t="str">
        <f>HYPERLINK("https://www.amazon.com/Klein-Tools-JTH4E13-Journeyman-T-Handle/dp/B007GH2CDS/ref=sr_1_3?keywords=Klein+Tools+JTH4E17+1%2F2-Inch+Hex+Key%2C+Journeyman+T-Handle%2C+4-Inch&amp;qid=1695173921&amp;sr=8-3", "https://www.amazon.com/Klein-Tools-JTH4E13-Journeyman-T-Handle/dp/B007GH2CDS/ref=sr_1_3?keywords=Klein+Tools+JTH4E17+1%2F2-Inch+Hex+Key%2C+Journeyman+T-Handle%2C+4-Inch&amp;qid=1695173921&amp;sr=8-3")</f>
        <v>https://www.amazon.com/Klein-Tools-JTH4E13-Journeyman-T-Handle/dp/B007GH2CDS/ref=sr_1_3?keywords=Klein+Tools+JTH4E17+1%2F2-Inch+Hex+Key%2C+Journeyman+T-Handle%2C+4-Inch&amp;qid=1695173921&amp;sr=8-3</v>
      </c>
      <c r="F6999" t="s">
        <v>5600</v>
      </c>
      <c r="G6999" t="e">
        <f ca="1">_xludf.IMAGE("https://edmondsonsupply.com/cdn/shop/products/jth4e17_583549be-7b42-43c7-9c3d-a92f2416ede5.jpg?v=1610655610")</f>
        <v>#NAME?</v>
      </c>
      <c r="H6999" t="e">
        <f ca="1">_xludf.IMAGE("https://m.media-amazon.com/images/I/41ERRKlO36L._AC_UL320_.jpg")</f>
        <v>#NAME?</v>
      </c>
      <c r="I6999" t="s">
        <v>252</v>
      </c>
      <c r="J6999">
        <v>7.3</v>
      </c>
      <c r="K6999" s="4">
        <v>-0.54349999999999998</v>
      </c>
      <c r="L6999">
        <v>4.8</v>
      </c>
      <c r="M6999">
        <v>2479</v>
      </c>
      <c r="O6999" t="s">
        <v>25</v>
      </c>
      <c r="P6999" t="s">
        <v>3121</v>
      </c>
      <c r="Q6999" t="s">
        <v>3122</v>
      </c>
    </row>
    <row r="7000" spans="1:17" ht="15.5" x14ac:dyDescent="0.35">
      <c r="A7000" s="3" t="str">
        <f>HYPERLINK("https://edmondsonsupply.com/collections/electricians-tools/products/milwaukee-48-11-2402-m12%E2%84%A2-xc-high-capacity-redlithium%E2%84%A2-battery", "https://edmondsonsupply.com/collections/electricians-tools/products/milwaukee-48-11-2402-m12%E2%84%A2-xc-high-capacity-redlithium%E2%84%A2-battery")</f>
        <v>https://edmondsonsupply.com/collections/electricians-tools/products/milwaukee-48-11-2402-m12%E2%84%A2-xc-high-capacity-redlithium%E2%84%A2-battery</v>
      </c>
      <c r="B7000" s="3" t="str">
        <f>HYPERLINK("https://edmondsonsupply.com/products/milwaukee-48-11-2402-m12%e2%84%a2-xc-high-capacity-redlithium%e2%84%a2-battery", "https://edmondsonsupply.com/products/milwaukee-48-11-2402-m12%e2%84%a2-xc-high-capacity-redlithium%e2%84%a2-battery")</f>
        <v>https://edmondsonsupply.com/products/milwaukee-48-11-2402-m12%e2%84%a2-xc-high-capacity-redlithium%e2%84%a2-battery</v>
      </c>
      <c r="C7000" t="s">
        <v>8976</v>
      </c>
      <c r="D7000" t="s">
        <v>9089</v>
      </c>
      <c r="E7000" s="3" t="str">
        <f>HYPERLINK("https://www.amazon.com/Yongcell-Replacement-48-11-2460-48-11-2440-48-11-2402/dp/B093L9ZWCS/ref=sr_1_6?keywords=Milwaukee+48-11-2402+M12%E2%84%A2+XC+High+Capacity+REDLITHIUM%E2%84%A2+Battery&amp;qid=1695174209&amp;sr=8-6", "https://www.amazon.com/Yongcell-Replacement-48-11-2460-48-11-2440-48-11-2402/dp/B093L9ZWCS/ref=sr_1_6?keywords=Milwaukee+48-11-2402+M12%E2%84%A2+XC+High+Capacity+REDLITHIUM%E2%84%A2+Battery&amp;qid=1695174209&amp;sr=8-6")</f>
        <v>https://www.amazon.com/Yongcell-Replacement-48-11-2460-48-11-2440-48-11-2402/dp/B093L9ZWCS/ref=sr_1_6?keywords=Milwaukee+48-11-2402+M12%E2%84%A2+XC+High+Capacity+REDLITHIUM%E2%84%A2+Battery&amp;qid=1695174209&amp;sr=8-6</v>
      </c>
      <c r="F7000" t="s">
        <v>9090</v>
      </c>
      <c r="G7000" t="e">
        <f ca="1">_xludf.IMAGE("https://edmondsonsupply.com/cdn/shop/products/56222_48-11-2402v1-lg.webp?v=1654795509")</f>
        <v>#NAME?</v>
      </c>
      <c r="H7000" t="e">
        <f ca="1">_xludf.IMAGE("https://m.media-amazon.com/images/I/71BQqHmVNoS._AC_UL320_.jpg")</f>
        <v>#NAME?</v>
      </c>
      <c r="I7000" t="s">
        <v>4741</v>
      </c>
      <c r="J7000">
        <v>35.979999999999997</v>
      </c>
      <c r="K7000" s="4">
        <v>-0.54459999999999997</v>
      </c>
      <c r="L7000">
        <v>4.5999999999999996</v>
      </c>
      <c r="M7000">
        <v>131</v>
      </c>
      <c r="O7000" t="s">
        <v>25</v>
      </c>
      <c r="P7000" t="s">
        <v>8979</v>
      </c>
      <c r="Q7000" t="s">
        <v>8980</v>
      </c>
    </row>
    <row r="7001" spans="1:17" ht="15.5" x14ac:dyDescent="0.35">
      <c r="A7001"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7001"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7001" t="s">
        <v>7170</v>
      </c>
      <c r="D7001" t="s">
        <v>1894</v>
      </c>
      <c r="E7001" s="3" t="str">
        <f>HYPERLINK("https://www.amazon.com/Magnetic-16-Inch-Klein-Tools-646M/dp/B000936QV0/ref=sr_1_2?keywords=Klein+Tools+635-4+Nut+Driver+Set%2C+Magnetic+Nut+Drivers%2C+Heavy+Duty%2C+4-Piece&amp;qid=1695174225&amp;sr=8-2", "https://www.amazon.com/Magnetic-16-Inch-Klein-Tools-646M/dp/B000936QV0/ref=sr_1_2?keywords=Klein+Tools+635-4+Nut+Driver+Set%2C+Magnetic+Nut+Drivers%2C+Heavy+Duty%2C+4-Piece&amp;qid=1695174225&amp;sr=8-2")</f>
        <v>https://www.amazon.com/Magnetic-16-Inch-Klein-Tools-646M/dp/B000936QV0/ref=sr_1_2?keywords=Klein+Tools+635-4+Nut+Driver+Set%2C+Magnetic+Nut+Drivers%2C+Heavy+Duty%2C+4-Piece&amp;qid=1695174225&amp;sr=8-2</v>
      </c>
      <c r="F7001" t="s">
        <v>1895</v>
      </c>
      <c r="G7001" t="e">
        <f ca="1">_xludf.IMAGE("https://edmondsonsupply.com/cdn/shop/products/635-4.jpg?v=1640815398")</f>
        <v>#NAME?</v>
      </c>
      <c r="H7001" t="e">
        <f ca="1">_xludf.IMAGE("https://m.media-amazon.com/images/I/41lkJ6KRq9L._AC_UL320_.jpg")</f>
        <v>#NAME?</v>
      </c>
      <c r="I7001" t="s">
        <v>269</v>
      </c>
      <c r="J7001">
        <v>24.99</v>
      </c>
      <c r="K7001" s="4">
        <v>-0.54559999999999997</v>
      </c>
      <c r="L7001">
        <v>4.8</v>
      </c>
      <c r="M7001">
        <v>1654</v>
      </c>
      <c r="O7001" t="s">
        <v>25</v>
      </c>
      <c r="P7001" t="s">
        <v>7171</v>
      </c>
      <c r="Q7001" t="s">
        <v>7172</v>
      </c>
    </row>
    <row r="7002" spans="1:17" ht="15.5" x14ac:dyDescent="0.35">
      <c r="A7002" s="3" t="str">
        <f>HYPERLINK("https://edmondsonsupply.com/collections/electricians-tools/products/klein-tools-j20017ne-heavy-duty-linemans-pliers-7-inch", "https://edmondsonsupply.com/collections/electricians-tools/products/klein-tools-j20017ne-heavy-duty-linemans-pliers-7-inch")</f>
        <v>https://edmondsonsupply.com/collections/electricians-tools/products/klein-tools-j20017ne-heavy-duty-linemans-pliers-7-inch</v>
      </c>
      <c r="B7002" s="3" t="str">
        <f>HYPERLINK("https://edmondsonsupply.com/products/klein-tools-j20017ne-heavy-duty-linemans-pliers-7-inch", "https://edmondsonsupply.com/products/klein-tools-j20017ne-heavy-duty-linemans-pliers-7-inch")</f>
        <v>https://edmondsonsupply.com/products/klein-tools-j20017ne-heavy-duty-linemans-pliers-7-inch</v>
      </c>
      <c r="C7002" t="s">
        <v>8097</v>
      </c>
      <c r="D7002" t="s">
        <v>8965</v>
      </c>
      <c r="E7002" s="3" t="str">
        <f>HYPERLINK("https://www.amazon.com/Klein-Tools-D203-7-Side-Cutters-7-Inch/dp/B000G67F24/ref=sr_1_7?keywords=Klein+Tools+J20017NE+Heavy-Duty+Lineman%27s+Pliers%2C+7-Inch&amp;qid=1695174165&amp;sr=8-7", "https://www.amazon.com/Klein-Tools-D203-7-Side-Cutters-7-Inch/dp/B000G67F24/ref=sr_1_7?keywords=Klein+Tools+J20017NE+Heavy-Duty+Lineman%27s+Pliers%2C+7-Inch&amp;qid=1695174165&amp;sr=8-7")</f>
        <v>https://www.amazon.com/Klein-Tools-D203-7-Side-Cutters-7-Inch/dp/B000G67F24/ref=sr_1_7?keywords=Klein+Tools+J20017NE+Heavy-Duty+Lineman%27s+Pliers%2C+7-Inch&amp;qid=1695174165&amp;sr=8-7</v>
      </c>
      <c r="F7002" t="s">
        <v>8966</v>
      </c>
      <c r="G7002" t="e">
        <f ca="1">_xludf.IMAGE("https://edmondsonsupply.com/cdn/shop/products/j20017ne.jpg?v=1662669673")</f>
        <v>#NAME?</v>
      </c>
      <c r="H7002" t="e">
        <f ca="1">_xludf.IMAGE("https://m.media-amazon.com/images/I/51DWCz6ft0L._AC_UL320_.jpg")</f>
        <v>#NAME?</v>
      </c>
      <c r="I7002" t="s">
        <v>269</v>
      </c>
      <c r="J7002">
        <v>24.97</v>
      </c>
      <c r="K7002" s="4">
        <v>-0.54590000000000005</v>
      </c>
      <c r="L7002">
        <v>4.8</v>
      </c>
      <c r="M7002">
        <v>582</v>
      </c>
      <c r="O7002" t="s">
        <v>25</v>
      </c>
      <c r="P7002" t="s">
        <v>8100</v>
      </c>
      <c r="Q7002" t="s">
        <v>8101</v>
      </c>
    </row>
    <row r="7003" spans="1:17" ht="15.5" x14ac:dyDescent="0.35">
      <c r="A7003" s="3" t="str">
        <f>HYPERLINK("https://edmondsonsupply.com/collections/electricians-tools/products/milwaukee-2912-22-m18-fuel%E2%84%A2-1-sds-plus-rotary-hammer-kit", "https://edmondsonsupply.com/collections/electricians-tools/products/milwaukee-2912-22-m18-fuel%E2%84%A2-1-sds-plus-rotary-hammer-kit")</f>
        <v>https://edmondsonsupply.com/collections/electricians-tools/products/milwaukee-2912-22-m18-fuel%E2%84%A2-1-sds-plus-rotary-hammer-kit</v>
      </c>
      <c r="B7003" s="3" t="str">
        <f>HYPERLINK("https://edmondsonsupply.com/products/milwaukee-2912-22-m18-fuel%e2%84%a2-1-sds-plus-rotary-hammer-kit", "https://edmondsonsupply.com/products/milwaukee-2912-22-m18-fuel%e2%84%a2-1-sds-plus-rotary-hammer-kit")</f>
        <v>https://edmondsonsupply.com/products/milwaukee-2912-22-m18-fuel%e2%84%a2-1-sds-plus-rotary-hammer-kit</v>
      </c>
      <c r="C7003" t="s">
        <v>3848</v>
      </c>
      <c r="D7003" t="s">
        <v>5601</v>
      </c>
      <c r="E7003" s="3" t="str">
        <f>HYPERLINK("https://www.amazon.com/Milwaukee-2912-20-Brushless-Rotary-Hammer/dp/B09PMSKXRV/ref=sr_1_4?keywords=Milwaukee+2912-22+M18+FUEL%E2%84%A2+1%22+SDS+Plus+Rotary+Hammer+Kit&amp;qid=1695174040&amp;sr=8-4", "https://www.amazon.com/Milwaukee-2912-20-Brushless-Rotary-Hammer/dp/B09PMSKXRV/ref=sr_1_4?keywords=Milwaukee+2912-22+M18+FUEL%E2%84%A2+1%22+SDS+Plus+Rotary+Hammer+Kit&amp;qid=1695174040&amp;sr=8-4")</f>
        <v>https://www.amazon.com/Milwaukee-2912-20-Brushless-Rotary-Hammer/dp/B09PMSKXRV/ref=sr_1_4?keywords=Milwaukee+2912-22+M18+FUEL%E2%84%A2+1%22+SDS+Plus+Rotary+Hammer+Kit&amp;qid=1695174040&amp;sr=8-4</v>
      </c>
      <c r="F7003" t="s">
        <v>5602</v>
      </c>
      <c r="G7003" t="e">
        <f ca="1">_xludf.IMAGE("https://edmondsonsupply.com/cdn/shop/files/2912-20_1.webp?v=1686934956")</f>
        <v>#NAME?</v>
      </c>
      <c r="H7003" t="e">
        <f ca="1">_xludf.IMAGE("https://m.media-amazon.com/images/I/41U4w5Nkf8L._AC_UL320_.jpg")</f>
        <v>#NAME?</v>
      </c>
      <c r="I7003" t="s">
        <v>3851</v>
      </c>
      <c r="J7003">
        <v>271.35000000000002</v>
      </c>
      <c r="K7003" s="4">
        <v>-0.54700000000000004</v>
      </c>
      <c r="L7003">
        <v>4.7</v>
      </c>
      <c r="M7003">
        <v>124</v>
      </c>
      <c r="O7003" t="s">
        <v>25</v>
      </c>
      <c r="P7003" t="s">
        <v>3852</v>
      </c>
      <c r="Q7003" t="s">
        <v>3853</v>
      </c>
    </row>
    <row r="7004" spans="1:17" ht="15.5" x14ac:dyDescent="0.35">
      <c r="A7004"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7004"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7004" t="s">
        <v>6755</v>
      </c>
      <c r="D7004" t="s">
        <v>5516</v>
      </c>
      <c r="E7004" s="3" t="str">
        <f>HYPERLINK("https://www.amazon.com/Keystone-Tip-Screwdriver-Round-Shank-Klein-602-4/dp/B0000302WD/ref=sr_1_8?keywords=Klein+Tools+602-4-INS+1%2F4-Inch+Cabinet+Tip+Insulated+Screwdriver%2C+4-Inch&amp;qid=1695174266&amp;sr=8-8", "https://www.amazon.com/Keystone-Tip-Screwdriver-Round-Shank-Klein-602-4/dp/B0000302WD/ref=sr_1_8?keywords=Klein+Tools+602-4-INS+1%2F4-Inch+Cabinet+Tip+Insulated+Screwdriver%2C+4-Inch&amp;qid=1695174266&amp;sr=8-8")</f>
        <v>https://www.amazon.com/Keystone-Tip-Screwdriver-Round-Shank-Klein-602-4/dp/B0000302WD/ref=sr_1_8?keywords=Klein+Tools+602-4-INS+1%2F4-Inch+Cabinet+Tip+Insulated+Screwdriver%2C+4-Inch&amp;qid=1695174266&amp;sr=8-8</v>
      </c>
      <c r="F7004" t="s">
        <v>5517</v>
      </c>
      <c r="G7004" t="e">
        <f ca="1">_xludf.IMAGE("https://edmondsonsupply.com/cdn/shop/products/602-4-ins-photo.jpg?v=1633031051")</f>
        <v>#NAME?</v>
      </c>
      <c r="H7004" t="e">
        <f ca="1">_xludf.IMAGE("https://m.media-amazon.com/images/I/51BHg1CmntL._AC_UL320_.jpg")</f>
        <v>#NAME?</v>
      </c>
      <c r="I7004" t="s">
        <v>3185</v>
      </c>
      <c r="J7004">
        <v>9.49</v>
      </c>
      <c r="K7004" s="4">
        <v>-0.54790000000000005</v>
      </c>
      <c r="L7004">
        <v>4.8</v>
      </c>
      <c r="M7004">
        <v>879</v>
      </c>
      <c r="O7004" t="s">
        <v>25</v>
      </c>
      <c r="P7004" t="s">
        <v>6758</v>
      </c>
      <c r="Q7004" t="s">
        <v>6759</v>
      </c>
    </row>
    <row r="7005" spans="1:17" ht="15.5" x14ac:dyDescent="0.35">
      <c r="A7005"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7005"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7005" t="s">
        <v>8334</v>
      </c>
      <c r="D7005" t="s">
        <v>8506</v>
      </c>
      <c r="E7005" s="3" t="str">
        <f>HYPERLINK("https://www.amazon.com/Diablo-Freud-DMAPL4230-SDS-Plus-4-Cutter/dp/B089LCN234/ref=sr_1_10?keywords=Diablo+Tools+DMAPL4310+1+in.+x+16+in.+x+18+in.+Rebar+Demon%E2%84%A2+SDS-Plus+4-Cutter+Full+Carbide+Head+Hammer+Drill+Bit&amp;qid=1695174259&amp;sr=8-10", "https://www.amazon.com/Diablo-Freud-DMAPL4230-SDS-Plus-4-Cutter/dp/B089LCN234/ref=sr_1_10?keywords=Diablo+Tools+DMAPL4310+1+in.+x+16+in.+x+18+in.+Rebar+Demon%E2%84%A2+SDS-Plus+4-Cutter+Full+Carbide+Head+Hammer+Drill+Bit&amp;qid=1695174259&amp;sr=8-10")</f>
        <v>https://www.amazon.com/Diablo-Freud-DMAPL4230-SDS-Plus-4-Cutter/dp/B089LCN234/ref=sr_1_10?keywords=Diablo+Tools+DMAPL4310+1+in.+x+16+in.+x+18+in.+Rebar+Demon%E2%84%A2+SDS-Plus+4-Cutter+Full+Carbide+Head+Hammer+Drill+Bit&amp;qid=1695174259&amp;sr=8-10</v>
      </c>
      <c r="F7005" t="s">
        <v>8507</v>
      </c>
      <c r="G7005" t="e">
        <f ca="1">_xludf.IMAGE("https://edmondsonsupply.com/cdn/shop/products/DMAPL4310_Main-Image20200701.png?v=1633031094")</f>
        <v>#NAME?</v>
      </c>
      <c r="H7005" t="e">
        <f ca="1">_xludf.IMAGE("https://m.media-amazon.com/images/I/61r649wmyhL._AC_UL320_.jpg")</f>
        <v>#NAME?</v>
      </c>
      <c r="I7005" t="s">
        <v>380</v>
      </c>
      <c r="J7005">
        <v>22.5</v>
      </c>
      <c r="K7005" s="4">
        <v>-0.54969999999999997</v>
      </c>
      <c r="L7005">
        <v>4.7</v>
      </c>
      <c r="M7005">
        <v>47</v>
      </c>
      <c r="O7005" t="s">
        <v>25</v>
      </c>
      <c r="P7005" t="s">
        <v>8335</v>
      </c>
      <c r="Q7005" t="s">
        <v>8336</v>
      </c>
    </row>
    <row r="7006" spans="1:17" ht="15.5" x14ac:dyDescent="0.35">
      <c r="A7006"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7006"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7006" t="s">
        <v>7911</v>
      </c>
      <c r="D7006" t="s">
        <v>6176</v>
      </c>
      <c r="E7006" s="3" t="str">
        <f>HYPERLINK("https://www.amazon.com/Aluminum-Benchmark-Technology-Klein-Tools/dp/B08L41G5G5/ref=sr_1_2?keywords=Klein+Tools+51605+Iron+Conduit+Bender+Full+Assembly%2C+1-Inch+EMT+with+Angle+Setter%E2%84%A2&amp;qid=1695174157&amp;sr=8-2", "https://www.amazon.com/Aluminum-Benchmark-Technology-Klein-Tools/dp/B08L41G5G5/ref=sr_1_2?keywords=Klein+Tools+51605+Iron+Conduit+Bender+Full+Assembly%2C+1-Inch+EMT+with+Angle+Setter%E2%84%A2&amp;qid=1695174157&amp;sr=8-2")</f>
        <v>https://www.amazon.com/Aluminum-Benchmark-Technology-Klein-Tools/dp/B08L41G5G5/ref=sr_1_2?keywords=Klein+Tools+51605+Iron+Conduit+Bender+Full+Assembly%2C+1-Inch+EMT+with+Angle+Setter%E2%84%A2&amp;qid=1695174157&amp;sr=8-2</v>
      </c>
      <c r="F7006" t="s">
        <v>6177</v>
      </c>
      <c r="G7006" t="e">
        <f ca="1">_xludf.IMAGE("https://edmondsonsupply.com/cdn/shop/products/51605.jpg?v=1663938749")</f>
        <v>#NAME?</v>
      </c>
      <c r="H7006" t="e">
        <f ca="1">_xludf.IMAGE("https://m.media-amazon.com/images/I/419ZjlOD69L._AC_UL320_.jpg")</f>
        <v>#NAME?</v>
      </c>
      <c r="I7006" t="s">
        <v>545</v>
      </c>
      <c r="J7006">
        <v>44.99</v>
      </c>
      <c r="K7006" s="4">
        <v>-0.55000000000000004</v>
      </c>
      <c r="L7006">
        <v>4.7</v>
      </c>
      <c r="M7006">
        <v>343</v>
      </c>
      <c r="O7006" t="s">
        <v>25</v>
      </c>
      <c r="P7006" t="s">
        <v>2225</v>
      </c>
      <c r="Q7006" t="s">
        <v>7912</v>
      </c>
    </row>
    <row r="7007" spans="1:17" ht="15.5" x14ac:dyDescent="0.35">
      <c r="A7007"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7007"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7007" t="s">
        <v>8905</v>
      </c>
      <c r="D7007" t="s">
        <v>9091</v>
      </c>
      <c r="E7007" s="3" t="str">
        <f>HYPERLINK("https://www.amazon.com/Milwaukee-48-11-2420-REDLITHIUM-Compact-Battery/dp/B01ACZQRWM/ref=sr_1_4?keywords=Milwaukee+48-11-2411+M12+REDLITHIUM%E2%84%A2+Compact+Battery+Two+Pack&amp;qid=1695174226&amp;sr=8-4", "https://www.amazon.com/Milwaukee-48-11-2420-REDLITHIUM-Compact-Battery/dp/B01ACZQRWM/ref=sr_1_4?keywords=Milwaukee+48-11-2411+M12+REDLITHIUM%E2%84%A2+Compact+Battery+Two+Pack&amp;qid=1695174226&amp;sr=8-4")</f>
        <v>https://www.amazon.com/Milwaukee-48-11-2420-REDLITHIUM-Compact-Battery/dp/B01ACZQRWM/ref=sr_1_4?keywords=Milwaukee+48-11-2411+M12+REDLITHIUM%E2%84%A2+Compact+Battery+Two+Pack&amp;qid=1695174226&amp;sr=8-4</v>
      </c>
      <c r="F7007" t="s">
        <v>9092</v>
      </c>
      <c r="G7007" t="e">
        <f ca="1">_xludf.IMAGE("https://edmondsonsupply.com/cdn/shop/products/65014_48-11-2411-lg.jpg?v=1655484824")</f>
        <v>#NAME?</v>
      </c>
      <c r="H7007" t="e">
        <f ca="1">_xludf.IMAGE("https://m.media-amazon.com/images/I/71FD2PgnPEL._AC_UL320_.jpg")</f>
        <v>#NAME?</v>
      </c>
      <c r="I7007" t="s">
        <v>3253</v>
      </c>
      <c r="J7007">
        <v>39.950000000000003</v>
      </c>
      <c r="K7007" s="4">
        <v>-0.55110000000000003</v>
      </c>
      <c r="L7007">
        <v>4.4000000000000004</v>
      </c>
      <c r="M7007">
        <v>61</v>
      </c>
      <c r="O7007" t="s">
        <v>171</v>
      </c>
      <c r="P7007" t="s">
        <v>8908</v>
      </c>
      <c r="Q7007" t="s">
        <v>8909</v>
      </c>
    </row>
    <row r="7008" spans="1:17" ht="15.5" x14ac:dyDescent="0.35">
      <c r="A7008" s="3" t="str">
        <f>HYPERLINK("https://edmondsonsupply.com/collections/electricians-tools/products/klein-tools-63060-ratcheting-cable-cutter", "https://edmondsonsupply.com/collections/electricians-tools/products/klein-tools-63060-ratcheting-cable-cutter")</f>
        <v>https://edmondsonsupply.com/collections/electricians-tools/products/klein-tools-63060-ratcheting-cable-cutter</v>
      </c>
      <c r="B7008" s="3" t="str">
        <f>HYPERLINK("https://edmondsonsupply.com/products/klein-tools-63060-ratcheting-cable-cutter", "https://edmondsonsupply.com/products/klein-tools-63060-ratcheting-cable-cutter")</f>
        <v>https://edmondsonsupply.com/products/klein-tools-63060-ratcheting-cable-cutter</v>
      </c>
      <c r="C7008" t="s">
        <v>7427</v>
      </c>
      <c r="D7008" t="s">
        <v>9093</v>
      </c>
      <c r="E7008" s="3" t="str">
        <f>HYPERLINK("https://www.amazon.com/Klein-Tools-Moving-Blade-Cutter/dp/B082PKYVVZ/ref=sr_1_4?keywords=Klein+Tools+63060+Ratcheting+Cable+Cutter&amp;qid=1695174295&amp;sr=8-4", "https://www.amazon.com/Klein-Tools-Moving-Blade-Cutter/dp/B082PKYVVZ/ref=sr_1_4?keywords=Klein+Tools+63060+Ratcheting+Cable+Cutter&amp;qid=1695174295&amp;sr=8-4")</f>
        <v>https://www.amazon.com/Klein-Tools-Moving-Blade-Cutter/dp/B082PKYVVZ/ref=sr_1_4?keywords=Klein+Tools+63060+Ratcheting+Cable+Cutter&amp;qid=1695174295&amp;sr=8-4</v>
      </c>
      <c r="F7008" t="s">
        <v>9094</v>
      </c>
      <c r="G7008" t="e">
        <f ca="1">_xludf.IMAGE("https://edmondsonsupply.com/cdn/shop/products/63060.jpg?v=1633030887")</f>
        <v>#NAME?</v>
      </c>
      <c r="H7008" t="e">
        <f ca="1">_xludf.IMAGE("https://m.media-amazon.com/images/I/61MS5vru-xL._AC_UL320_.jpg")</f>
        <v>#NAME?</v>
      </c>
      <c r="I7008" t="s">
        <v>400</v>
      </c>
      <c r="J7008">
        <v>89.73</v>
      </c>
      <c r="K7008" s="4">
        <v>-0.55130000000000001</v>
      </c>
      <c r="L7008">
        <v>5</v>
      </c>
      <c r="M7008">
        <v>1</v>
      </c>
      <c r="O7008" t="s">
        <v>25</v>
      </c>
      <c r="P7008" t="s">
        <v>7430</v>
      </c>
      <c r="Q7008" t="s">
        <v>7431</v>
      </c>
    </row>
    <row r="7009" spans="1:17" ht="15.5" x14ac:dyDescent="0.35">
      <c r="A7009" s="3" t="str">
        <f>HYPERLINK("https://edmondsonsupply.com/collections/electricians-tools/products/klein-tools-31852-carbide-hole-cutter-7-8-inch", "https://edmondsonsupply.com/collections/electricians-tools/products/klein-tools-31852-carbide-hole-cutter-7-8-inch")</f>
        <v>https://edmondsonsupply.com/collections/electricians-tools/products/klein-tools-31852-carbide-hole-cutter-7-8-inch</v>
      </c>
      <c r="B7009" s="3" t="str">
        <f>HYPERLINK("https://edmondsonsupply.com/products/klein-tools-31852-carbide-hole-cutter-7-8-inch", "https://edmondsonsupply.com/products/klein-tools-31852-carbide-hole-cutter-7-8-inch")</f>
        <v>https://edmondsonsupply.com/products/klein-tools-31852-carbide-hole-cutter-7-8-inch</v>
      </c>
      <c r="C7009" t="s">
        <v>8329</v>
      </c>
      <c r="D7009" t="s">
        <v>9095</v>
      </c>
      <c r="E7009" s="3" t="str">
        <f>HYPERLINK("https://www.amazon.com/Jerax-tools-Carbide-Stainless-Plastic/dp/B0BKPRDZ76/ref=sr_1_9?keywords=Klein+Tools+31852+Carbide+Hole+Cutter%2C+7%2F8-Inch&amp;qid=1695174280&amp;sr=8-9", "https://www.amazon.com/Jerax-tools-Carbide-Stainless-Plastic/dp/B0BKPRDZ76/ref=sr_1_9?keywords=Klein+Tools+31852+Carbide+Hole+Cutter%2C+7%2F8-Inch&amp;qid=1695174280&amp;sr=8-9")</f>
        <v>https://www.amazon.com/Jerax-tools-Carbide-Stainless-Plastic/dp/B0BKPRDZ76/ref=sr_1_9?keywords=Klein+Tools+31852+Carbide+Hole+Cutter%2C+7%2F8-Inch&amp;qid=1695174280&amp;sr=8-9</v>
      </c>
      <c r="F7009" t="s">
        <v>9096</v>
      </c>
      <c r="G7009" t="e">
        <f ca="1">_xludf.IMAGE("https://edmondsonsupply.com/cdn/shop/products/31852.jpg?v=1633030927")</f>
        <v>#NAME?</v>
      </c>
      <c r="H7009" t="e">
        <f ca="1">_xludf.IMAGE("https://m.media-amazon.com/images/I/51UNwTPTYTL._AC_UL320_.jpg")</f>
        <v>#NAME?</v>
      </c>
      <c r="I7009" t="s">
        <v>4310</v>
      </c>
      <c r="J7009">
        <v>14.99</v>
      </c>
      <c r="K7009" s="4">
        <v>-0.55900000000000005</v>
      </c>
      <c r="L7009">
        <v>5</v>
      </c>
      <c r="M7009">
        <v>1</v>
      </c>
      <c r="O7009" t="s">
        <v>25</v>
      </c>
      <c r="P7009" t="s">
        <v>8332</v>
      </c>
      <c r="Q7009" t="s">
        <v>8333</v>
      </c>
    </row>
    <row r="7010" spans="1:17" ht="15.5" x14ac:dyDescent="0.35">
      <c r="A7010" s="3" t="str">
        <f>HYPERLINK("https://edmondsonsupply.com/collections/electricians-tools/products/diablo-tools-dmapl4310-1-in-x-16-in-x-18-in-rebar-demon%E2%84%A2-sds-plus-4-cutter-full-carbide-head-hammer-drill-bit", "https://edmondsonsupply.com/collections/electricians-tools/products/diablo-tools-dmapl4310-1-in-x-16-in-x-18-in-rebar-demon%E2%84%A2-sds-plus-4-cutter-full-carbide-head-hammer-drill-bit")</f>
        <v>https://edmondsonsupply.com/collections/electricians-tools/products/diablo-tools-dmapl4310-1-in-x-16-in-x-18-in-rebar-demon%E2%84%A2-sds-plus-4-cutter-full-carbide-head-hammer-drill-bit</v>
      </c>
      <c r="B7010" s="3" t="str">
        <f>HYPERLINK("https://edmondsonsupply.com/products/diablo-tools-dmapl4310-1-in-x-16-in-x-18-in-rebar-demon%e2%84%a2-sds-plus-4-cutter-full-carbide-head-hammer-drill-bit", "https://edmondsonsupply.com/products/diablo-tools-dmapl4310-1-in-x-16-in-x-18-in-rebar-demon%e2%84%a2-sds-plus-4-cutter-full-carbide-head-hammer-drill-bit")</f>
        <v>https://edmondsonsupply.com/products/diablo-tools-dmapl4310-1-in-x-16-in-x-18-in-rebar-demon%e2%84%a2-sds-plus-4-cutter-full-carbide-head-hammer-drill-bit</v>
      </c>
      <c r="C7010" t="s">
        <v>8334</v>
      </c>
      <c r="D7010" t="s">
        <v>9065</v>
      </c>
      <c r="E7010" s="3" t="str">
        <f>HYPERLINK("https://www.amazon.com/Diablo-Freud-DMAPL4200-SDS-Plus-4-Cutter/dp/B089KW2QV1/ref=sr_1_6?keywords=Diablo+Tools+DMAPL4310+1+in.+x+16+in.+x+18+in.+Rebar+Demon%E2%84%A2+SDS-Plus+4-Cutter+Full+Carbide+Head+Hammer+Drill+Bit&amp;qid=1695174259&amp;sr=8-6", "https://www.amazon.com/Diablo-Freud-DMAPL4200-SDS-Plus-4-Cutter/dp/B089KW2QV1/ref=sr_1_6?keywords=Diablo+Tools+DMAPL4310+1+in.+x+16+in.+x+18+in.+Rebar+Demon%E2%84%A2+SDS-Plus+4-Cutter+Full+Carbide+Head+Hammer+Drill+Bit&amp;qid=1695174259&amp;sr=8-6")</f>
        <v>https://www.amazon.com/Diablo-Freud-DMAPL4200-SDS-Plus-4-Cutter/dp/B089KW2QV1/ref=sr_1_6?keywords=Diablo+Tools+DMAPL4310+1+in.+x+16+in.+x+18+in.+Rebar+Demon%E2%84%A2+SDS-Plus+4-Cutter+Full+Carbide+Head+Hammer+Drill+Bit&amp;qid=1695174259&amp;sr=8-6</v>
      </c>
      <c r="F7010" t="s">
        <v>9066</v>
      </c>
      <c r="G7010" t="e">
        <f ca="1">_xludf.IMAGE("https://edmondsonsupply.com/cdn/shop/products/DMAPL4310_Main-Image20200701.png?v=1633031094")</f>
        <v>#NAME?</v>
      </c>
      <c r="H7010" t="e">
        <f ca="1">_xludf.IMAGE("https://m.media-amazon.com/images/I/61rW+ROVmNL._AC_UL320_.jpg")</f>
        <v>#NAME?</v>
      </c>
      <c r="I7010" t="s">
        <v>380</v>
      </c>
      <c r="J7010">
        <v>22</v>
      </c>
      <c r="K7010" s="4">
        <v>-0.55969999999999998</v>
      </c>
      <c r="L7010">
        <v>4.7</v>
      </c>
      <c r="M7010">
        <v>18</v>
      </c>
      <c r="O7010" t="s">
        <v>25</v>
      </c>
      <c r="P7010" t="s">
        <v>8335</v>
      </c>
      <c r="Q7010" t="s">
        <v>8336</v>
      </c>
    </row>
    <row r="7011" spans="1:17" ht="15.5" x14ac:dyDescent="0.35">
      <c r="A7011"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7011" s="3" t="str">
        <f>HYPERLINK("https://edmondsonsupply.com/products/fluke-80ak-a-thermocouple-adapter-type-k", "https://edmondsonsupply.com/products/fluke-80ak-a-thermocouple-adapter-type-k")</f>
        <v>https://edmondsonsupply.com/products/fluke-80ak-a-thermocouple-adapter-type-k</v>
      </c>
      <c r="C7011" t="s">
        <v>7188</v>
      </c>
      <c r="D7011" t="s">
        <v>9097</v>
      </c>
      <c r="E7011" s="3" t="str">
        <f>HYPERLINK("https://www.amazon.com/80BK-Thermocouple-Temperature-Probe-Clamp/dp/B09Q926Y72/ref=sr_1_7?keywords=Fluke+80AK-A+Thermocouple+Adapter%2C+Type+K&amp;qid=1695174160&amp;sr=8-7", "https://www.amazon.com/80BK-Thermocouple-Temperature-Probe-Clamp/dp/B09Q926Y72/ref=sr_1_7?keywords=Fluke+80AK-A+Thermocouple+Adapter%2C+Type+K&amp;qid=1695174160&amp;sr=8-7")</f>
        <v>https://www.amazon.com/80BK-Thermocouple-Temperature-Probe-Clamp/dp/B09Q926Y72/ref=sr_1_7?keywords=Fluke+80AK-A+Thermocouple+Adapter%2C+Type+K&amp;qid=1695174160&amp;sr=8-7</v>
      </c>
      <c r="F7011" t="s">
        <v>9098</v>
      </c>
      <c r="G7011" t="e">
        <f ca="1">_xludf.IMAGE("https://edmondsonsupply.com/cdn/shop/products/f-80ak-a_01a_h-1500x1000.webp?v=1662642921")</f>
        <v>#NAME?</v>
      </c>
      <c r="H7011" t="e">
        <f ca="1">_xludf.IMAGE("https://m.media-amazon.com/images/I/61KQc8gbGxL._AC_UY218_.jpg")</f>
        <v>#NAME?</v>
      </c>
      <c r="I7011" t="s">
        <v>198</v>
      </c>
      <c r="J7011">
        <v>17.579999999999998</v>
      </c>
      <c r="K7011" s="4">
        <v>-0.56040000000000001</v>
      </c>
      <c r="L7011">
        <v>4.3</v>
      </c>
      <c r="M7011">
        <v>6</v>
      </c>
      <c r="O7011" t="s">
        <v>25</v>
      </c>
      <c r="P7011" t="s">
        <v>3496</v>
      </c>
      <c r="Q7011" t="s">
        <v>7191</v>
      </c>
    </row>
    <row r="7012" spans="1:17" ht="15.5" x14ac:dyDescent="0.35">
      <c r="A7012"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7012" s="3" t="str">
        <f>HYPERLINK("https://edmondsonsupply.com/products/fluke-80ak-a-thermocouple-adapter-type-k", "https://edmondsonsupply.com/products/fluke-80ak-a-thermocouple-adapter-type-k")</f>
        <v>https://edmondsonsupply.com/products/fluke-80ak-a-thermocouple-adapter-type-k</v>
      </c>
      <c r="C7012" t="s">
        <v>7188</v>
      </c>
      <c r="D7012" t="s">
        <v>9099</v>
      </c>
      <c r="E7012" s="3" t="str">
        <f>HYPERLINK("https://www.amazon.com/Thermocouple-Temperature-Probe-Clamp-80BK/dp/B07JVYZST8/ref=sr_1_4?keywords=Fluke+80AK-A+Thermocouple+Adapter%2C+Type+K&amp;qid=1695174160&amp;sr=8-4", "https://www.amazon.com/Thermocouple-Temperature-Probe-Clamp-80BK/dp/B07JVYZST8/ref=sr_1_4?keywords=Fluke+80AK-A+Thermocouple+Adapter%2C+Type+K&amp;qid=1695174160&amp;sr=8-4")</f>
        <v>https://www.amazon.com/Thermocouple-Temperature-Probe-Clamp-80BK/dp/B07JVYZST8/ref=sr_1_4?keywords=Fluke+80AK-A+Thermocouple+Adapter%2C+Type+K&amp;qid=1695174160&amp;sr=8-4</v>
      </c>
      <c r="F7012" t="s">
        <v>9100</v>
      </c>
      <c r="G7012" t="e">
        <f ca="1">_xludf.IMAGE("https://edmondsonsupply.com/cdn/shop/products/f-80ak-a_01a_h-1500x1000.webp?v=1662642921")</f>
        <v>#NAME?</v>
      </c>
      <c r="H7012" t="e">
        <f ca="1">_xludf.IMAGE("https://m.media-amazon.com/images/I/51hF6ZaqGWL._AC_UY218_.jpg")</f>
        <v>#NAME?</v>
      </c>
      <c r="I7012" t="s">
        <v>198</v>
      </c>
      <c r="J7012">
        <v>17.579999999999998</v>
      </c>
      <c r="K7012" s="4">
        <v>-0.56040000000000001</v>
      </c>
      <c r="L7012">
        <v>4.5</v>
      </c>
      <c r="M7012">
        <v>213</v>
      </c>
      <c r="O7012" t="s">
        <v>25</v>
      </c>
      <c r="P7012" t="s">
        <v>3496</v>
      </c>
      <c r="Q7012" t="s">
        <v>7191</v>
      </c>
    </row>
    <row r="7013" spans="1:17" ht="15.5" x14ac:dyDescent="0.35">
      <c r="A7013"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7013" s="3" t="str">
        <f>HYPERLINK("https://edmondsonsupply.com/products/fluke-80ak-a-thermocouple-adapter-type-k", "https://edmondsonsupply.com/products/fluke-80ak-a-thermocouple-adapter-type-k")</f>
        <v>https://edmondsonsupply.com/products/fluke-80ak-a-thermocouple-adapter-type-k</v>
      </c>
      <c r="C7013" t="s">
        <v>7188</v>
      </c>
      <c r="D7013" t="s">
        <v>9101</v>
      </c>
      <c r="E7013" s="3" t="str">
        <f>HYPERLINK("https://www.amazon.com/Thermocouple-Temperature-Probe-Clamp-80BK/dp/B09P4ZY2QZ/ref=sr_1_3?keywords=Fluke+80AK-A+Thermocouple+Adapter%2C+Type+K&amp;qid=1695174160&amp;sr=8-3", "https://www.amazon.com/Thermocouple-Temperature-Probe-Clamp-80BK/dp/B09P4ZY2QZ/ref=sr_1_3?keywords=Fluke+80AK-A+Thermocouple+Adapter%2C+Type+K&amp;qid=1695174160&amp;sr=8-3")</f>
        <v>https://www.amazon.com/Thermocouple-Temperature-Probe-Clamp-80BK/dp/B09P4ZY2QZ/ref=sr_1_3?keywords=Fluke+80AK-A+Thermocouple+Adapter%2C+Type+K&amp;qid=1695174160&amp;sr=8-3</v>
      </c>
      <c r="F7013" t="s">
        <v>9102</v>
      </c>
      <c r="G7013" t="e">
        <f ca="1">_xludf.IMAGE("https://edmondsonsupply.com/cdn/shop/products/f-80ak-a_01a_h-1500x1000.webp?v=1662642921")</f>
        <v>#NAME?</v>
      </c>
      <c r="H7013" t="e">
        <f ca="1">_xludf.IMAGE("https://m.media-amazon.com/images/I/61W04cxOQhL._AC_UY218_.jpg")</f>
        <v>#NAME?</v>
      </c>
      <c r="I7013" t="s">
        <v>198</v>
      </c>
      <c r="J7013">
        <v>17.579999999999998</v>
      </c>
      <c r="K7013" s="4">
        <v>-0.56040000000000001</v>
      </c>
      <c r="L7013">
        <v>4.7</v>
      </c>
      <c r="M7013">
        <v>28</v>
      </c>
      <c r="O7013" t="s">
        <v>25</v>
      </c>
      <c r="P7013" t="s">
        <v>3496</v>
      </c>
      <c r="Q7013" t="s">
        <v>7191</v>
      </c>
    </row>
    <row r="7014" spans="1:17" ht="15.5" x14ac:dyDescent="0.35">
      <c r="A7014" s="3" t="str">
        <f>HYPERLINK("https://edmondsonsupply.com/collections/electricians-tools/products/klein-tools-44005c-hawkbill-lockback-knife-with-clip", "https://edmondsonsupply.com/collections/electricians-tools/products/klein-tools-44005c-hawkbill-lockback-knife-with-clip")</f>
        <v>https://edmondsonsupply.com/collections/electricians-tools/products/klein-tools-44005c-hawkbill-lockback-knife-with-clip</v>
      </c>
      <c r="B7014" s="3" t="str">
        <f>HYPERLINK("https://edmondsonsupply.com/products/klein-tools-44005c-hawkbill-lockback-knife-with-clip", "https://edmondsonsupply.com/products/klein-tools-44005c-hawkbill-lockback-knife-with-clip")</f>
        <v>https://edmondsonsupply.com/products/klein-tools-44005c-hawkbill-lockback-knife-with-clip</v>
      </c>
      <c r="C7014" t="s">
        <v>7808</v>
      </c>
      <c r="D7014" t="s">
        <v>4139</v>
      </c>
      <c r="E7014" s="3" t="str">
        <f>HYPERLINK("https://www.amazon.com/Replaceable-Mechanism-Klein-Tools-44218/dp/B071YR1Q2L/ref=sr_1_3?keywords=Klein+Tools+44005C+Hawkbill+Lockback+Knife+with+Clip&amp;qid=1695174149&amp;sr=8-3", "https://www.amazon.com/Replaceable-Mechanism-Klein-Tools-44218/dp/B071YR1Q2L/ref=sr_1_3?keywords=Klein+Tools+44005C+Hawkbill+Lockback+Knife+with+Clip&amp;qid=1695174149&amp;sr=8-3")</f>
        <v>https://www.amazon.com/Replaceable-Mechanism-Klein-Tools-44218/dp/B071YR1Q2L/ref=sr_1_3?keywords=Klein+Tools+44005C+Hawkbill+Lockback+Knife+with+Clip&amp;qid=1695174149&amp;sr=8-3</v>
      </c>
      <c r="F7014" t="s">
        <v>4140</v>
      </c>
      <c r="G7014" t="e">
        <f ca="1">_xludf.IMAGE("https://edmondsonsupply.com/cdn/shop/products/44005c.jpg?v=1664810854")</f>
        <v>#NAME?</v>
      </c>
      <c r="H7014" t="e">
        <f ca="1">_xludf.IMAGE("https://m.media-amazon.com/images/I/41ToQfPYPnL._AC_UL320_.jpg")</f>
        <v>#NAME?</v>
      </c>
      <c r="I7014" t="s">
        <v>1931</v>
      </c>
      <c r="J7014">
        <v>21.97</v>
      </c>
      <c r="K7014" s="4">
        <v>-0.5605</v>
      </c>
      <c r="L7014">
        <v>4.8</v>
      </c>
      <c r="M7014">
        <v>3348</v>
      </c>
      <c r="O7014" t="s">
        <v>25</v>
      </c>
      <c r="P7014" t="s">
        <v>7811</v>
      </c>
      <c r="Q7014" t="s">
        <v>7812</v>
      </c>
    </row>
    <row r="7015" spans="1:17" ht="15.5" x14ac:dyDescent="0.35">
      <c r="A7015" s="3" t="str">
        <f>HYPERLINK("https://edmondsonsupply.com/collections/electricians-tools/products/klein-tools-srs56038-polymer-fish-rod-set-glow-in-the-dark", "https://edmondsonsupply.com/collections/electricians-tools/products/klein-tools-srs56038-polymer-fish-rod-set-glow-in-the-dark")</f>
        <v>https://edmondsonsupply.com/collections/electricians-tools/products/klein-tools-srs56038-polymer-fish-rod-set-glow-in-the-dark</v>
      </c>
      <c r="B7015" s="3" t="str">
        <f>HYPERLINK("https://edmondsonsupply.com/products/klein-tools-srs56038-polymer-fish-rod-set-glow-in-the-dark", "https://edmondsonsupply.com/products/klein-tools-srs56038-polymer-fish-rod-set-glow-in-the-dark")</f>
        <v>https://edmondsonsupply.com/products/klein-tools-srs56038-polymer-fish-rod-set-glow-in-the-dark</v>
      </c>
      <c r="C7015" t="s">
        <v>2467</v>
      </c>
      <c r="D7015" t="s">
        <v>2467</v>
      </c>
      <c r="E7015" s="3" t="str">
        <f>HYPERLINK("https://www.amazon.com/Polymer-Glow-Klein-Tools-SRS56038/dp/B01C0GADSA/ref=sr_1_1?keywords=Klein+Tools+SRS56038+Polymer+Fish+Rod+Set+Glow-in-The-Dark&amp;qid=1695173917&amp;sr=8-1", "https://www.amazon.com/Polymer-Glow-Klein-Tools-SRS56038/dp/B01C0GADSA/ref=sr_1_1?keywords=Klein+Tools+SRS56038+Polymer+Fish+Rod+Set+Glow-in-The-Dark&amp;qid=1695173917&amp;sr=8-1")</f>
        <v>https://www.amazon.com/Polymer-Glow-Klein-Tools-SRS56038/dp/B01C0GADSA/ref=sr_1_1?keywords=Klein+Tools+SRS56038+Polymer+Fish+Rod+Set+Glow-in-The-Dark&amp;qid=1695173917&amp;sr=8-1</v>
      </c>
      <c r="F7015" t="s">
        <v>5614</v>
      </c>
      <c r="G7015" t="e">
        <f ca="1">_xludf.IMAGE("https://edmondsonsupply.com/cdn/shop/products/srs56038.jpg?v=1633030781")</f>
        <v>#NAME?</v>
      </c>
      <c r="H7015" t="e">
        <f ca="1">_xludf.IMAGE("https://m.media-amazon.com/images/I/513o+u6HGjL._AC_UL320_.jpg")</f>
        <v>#NAME?</v>
      </c>
      <c r="I7015" t="s">
        <v>824</v>
      </c>
      <c r="J7015">
        <v>12.99</v>
      </c>
      <c r="K7015" s="4">
        <v>-0.56659999999999999</v>
      </c>
      <c r="L7015">
        <v>3.8</v>
      </c>
      <c r="M7015">
        <v>40</v>
      </c>
      <c r="O7015" t="s">
        <v>25</v>
      </c>
      <c r="P7015" t="s">
        <v>2470</v>
      </c>
      <c r="Q7015" t="s">
        <v>2471</v>
      </c>
    </row>
    <row r="7016" spans="1:17" ht="15.5" x14ac:dyDescent="0.35">
      <c r="A7016"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7016" s="3" t="str">
        <f>HYPERLINK("https://edmondsonsupply.com/products/klein-tools-935dag-digital-angle-gauge-and-level", "https://edmondsonsupply.com/products/klein-tools-935dag-digital-angle-gauge-and-level")</f>
        <v>https://edmondsonsupply.com/products/klein-tools-935dag-digital-angle-gauge-and-level</v>
      </c>
      <c r="C7016" t="s">
        <v>1924</v>
      </c>
      <c r="D7016" t="s">
        <v>5615</v>
      </c>
      <c r="E7016" s="3"/>
      <c r="F7016" t="s">
        <v>5616</v>
      </c>
      <c r="G7016" t="e">
        <f ca="1">_xludf.IMAGE("https://edmondsonsupply.com/cdn/shop/products/935dag.jpg?v=1587145032")</f>
        <v>#NAME?</v>
      </c>
      <c r="H7016" t="e">
        <f ca="1">_xludf.IMAGE("https://m.media-amazon.com/images/I/81IUpkXJVgL._AC_UL320_.jpg")</f>
        <v>#NAME?</v>
      </c>
      <c r="I7016" t="s">
        <v>824</v>
      </c>
      <c r="J7016">
        <v>12.99</v>
      </c>
      <c r="K7016" s="4">
        <v>-0.56659999999999999</v>
      </c>
      <c r="L7016">
        <v>4.7</v>
      </c>
      <c r="M7016">
        <v>411</v>
      </c>
      <c r="O7016" t="s">
        <v>25</v>
      </c>
      <c r="P7016" t="s">
        <v>73</v>
      </c>
      <c r="Q7016" t="s">
        <v>1927</v>
      </c>
    </row>
    <row r="7017" spans="1:17" ht="15.5" x14ac:dyDescent="0.35">
      <c r="A7017"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7017" s="3" t="str">
        <f>HYPERLINK("https://edmondsonsupply.com/products/klein-tools-935dag-digital-angle-gauge-and-level", "https://edmondsonsupply.com/products/klein-tools-935dag-digital-angle-gauge-and-level")</f>
        <v>https://edmondsonsupply.com/products/klein-tools-935dag-digital-angle-gauge-and-level</v>
      </c>
      <c r="C7017" t="s">
        <v>1924</v>
      </c>
      <c r="D7017" t="s">
        <v>5615</v>
      </c>
      <c r="E7017" s="3" t="str">
        <f>HYPERLINK("https://www.amazon.com/Compatible-Electronic-Protractors-Carrying-Batteries/dp/B09JW639MH/ref=sr_1_6?keywords=Klein+Tools+935DAG+Digital+Angle+Gauge+and+Level&amp;qid=1695173893&amp;sr=8-6", "https://www.amazon.com/Compatible-Electronic-Protractors-Carrying-Batteries/dp/B09JW639MH/ref=sr_1_6?keywords=Klein+Tools+935DAG+Digital+Angle+Gauge+and+Level&amp;qid=1695173893&amp;sr=8-6")</f>
        <v>https://www.amazon.com/Compatible-Electronic-Protractors-Carrying-Batteries/dp/B09JW639MH/ref=sr_1_6?keywords=Klein+Tools+935DAG+Digital+Angle+Gauge+and+Level&amp;qid=1695173893&amp;sr=8-6</v>
      </c>
      <c r="F7017" t="s">
        <v>5616</v>
      </c>
      <c r="G7017" t="e">
        <f ca="1">_xludf.IMAGE("https://edmondsonsupply.com/cdn/shop/products/935dag.jpg?v=1587145032")</f>
        <v>#NAME?</v>
      </c>
      <c r="H7017" t="e">
        <f ca="1">_xludf.IMAGE("https://m.media-amazon.com/images/I/81IUpkXJVgL._AC_UL320_.jpg")</f>
        <v>#NAME?</v>
      </c>
      <c r="I7017" t="s">
        <v>824</v>
      </c>
      <c r="J7017">
        <v>12.99</v>
      </c>
      <c r="K7017" s="4">
        <v>-0.56659999999999999</v>
      </c>
      <c r="L7017">
        <v>4.7</v>
      </c>
      <c r="M7017">
        <v>411</v>
      </c>
      <c r="O7017" t="s">
        <v>25</v>
      </c>
      <c r="P7017" t="s">
        <v>73</v>
      </c>
      <c r="Q7017" t="s">
        <v>1927</v>
      </c>
    </row>
    <row r="7018" spans="1:17" ht="15.5" x14ac:dyDescent="0.35">
      <c r="A7018" s="3" t="str">
        <f>HYPERLINK("https://edmondsonsupply.com/collections/electricians-tools/products/klein-tools-et60-electronic-ac-dc-voltage-tester-12-to-600v", "https://edmondsonsupply.com/collections/electricians-tools/products/klein-tools-et60-electronic-ac-dc-voltage-tester-12-to-600v")</f>
        <v>https://edmondsonsupply.com/collections/electricians-tools/products/klein-tools-et60-electronic-ac-dc-voltage-tester-12-to-600v</v>
      </c>
      <c r="B7018" s="3" t="str">
        <f>HYPERLINK("https://edmondsonsupply.com/products/klein-tools-et60-electronic-ac-dc-voltage-tester-12-to-600v", "https://edmondsonsupply.com/products/klein-tools-et60-electronic-ac-dc-voltage-tester-12-to-600v")</f>
        <v>https://edmondsonsupply.com/products/klein-tools-et60-electronic-ac-dc-voltage-tester-12-to-600v</v>
      </c>
      <c r="C7018" t="s">
        <v>8444</v>
      </c>
      <c r="D7018" t="s">
        <v>6202</v>
      </c>
      <c r="E7018" s="3" t="str">
        <f>HYPERLINK("https://www.amazon.com/Klein-Tools-Voltage-Electronic-Non-Contact/dp/B0C8JZWTZY/ref=sr_1_4?keywords=Klein+Tools+ET60+Electronic+AC%2FDC+Voltage+Tester%2C+12+to+600V&amp;qid=1695174278&amp;sr=8-4", "https://www.amazon.com/Klein-Tools-Voltage-Electronic-Non-Contact/dp/B0C8JZWTZY/ref=sr_1_4?keywords=Klein+Tools+ET60+Electronic+AC%2FDC+Voltage+Tester%2C+12+to+600V&amp;qid=1695174278&amp;sr=8-4")</f>
        <v>https://www.amazon.com/Klein-Tools-Voltage-Electronic-Non-Contact/dp/B0C8JZWTZY/ref=sr_1_4?keywords=Klein+Tools+ET60+Electronic+AC%2FDC+Voltage+Tester%2C+12+to+600V&amp;qid=1695174278&amp;sr=8-4</v>
      </c>
      <c r="F7018" t="s">
        <v>6203</v>
      </c>
      <c r="G7018" t="e">
        <f ca="1">_xludf.IMAGE("https://edmondsonsupply.com/cdn/shop/products/et60.jpg?v=1633030979")</f>
        <v>#NAME?</v>
      </c>
      <c r="H7018" t="e">
        <f ca="1">_xludf.IMAGE("https://m.media-amazon.com/images/I/31V2UrptDcL._AC_UL320_.jpg")</f>
        <v>#NAME?</v>
      </c>
      <c r="I7018" t="s">
        <v>824</v>
      </c>
      <c r="J7018">
        <v>12.97</v>
      </c>
      <c r="K7018" s="4">
        <v>-0.56720000000000004</v>
      </c>
      <c r="L7018">
        <v>4.8</v>
      </c>
      <c r="M7018">
        <v>7922</v>
      </c>
      <c r="O7018" t="s">
        <v>25</v>
      </c>
      <c r="P7018" t="s">
        <v>8445</v>
      </c>
      <c r="Q7018" t="s">
        <v>8446</v>
      </c>
    </row>
    <row r="7019" spans="1:17" ht="15.5" x14ac:dyDescent="0.35">
      <c r="A7019"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19"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19" t="s">
        <v>6718</v>
      </c>
      <c r="D7019" t="s">
        <v>9103</v>
      </c>
      <c r="E7019" s="3" t="str">
        <f>HYPERLINK("https://www.amazon.com/48-59-1808-Compatible-48-59-1812-48-59-1810-48-59-2401/dp/B0C42MN95K/ref=sr_1_8?keywords=Milwaukee+48-59-1812+M18%E2%84%A2+%26+M12%E2%84%A2+Multi-Voltage+Charger&amp;qid=1695174184&amp;sr=8-8", "https://www.amazon.com/48-59-1808-Compatible-48-59-1812-48-59-1810-48-59-2401/dp/B0C42MN95K/ref=sr_1_8?keywords=Milwaukee+48-59-1812+M18%E2%84%A2+%26+M12%E2%84%A2+Multi-Voltage+Charger&amp;qid=1695174184&amp;sr=8-8")</f>
        <v>https://www.amazon.com/48-59-1808-Compatible-48-59-1812-48-59-1810-48-59-2401/dp/B0C42MN95K/ref=sr_1_8?keywords=Milwaukee+48-59-1812+M18%E2%84%A2+%26+M12%E2%84%A2+Multi-Voltage+Charger&amp;qid=1695174184&amp;sr=8-8</v>
      </c>
      <c r="F7019" t="s">
        <v>9104</v>
      </c>
      <c r="G7019" t="e">
        <f ca="1">_xludf.IMAGE("https://edmondsonsupply.com/cdn/shop/products/60113_48-59-1812_3-lg.webp?v=1656530513")</f>
        <v>#NAME?</v>
      </c>
      <c r="H7019" t="e">
        <f ca="1">_xludf.IMAGE("https://m.media-amazon.com/images/I/61oayNc6FdL._AC_UL320_.jpg")</f>
        <v>#NAME?</v>
      </c>
      <c r="I7019" t="s">
        <v>4741</v>
      </c>
      <c r="J7019">
        <v>33.99</v>
      </c>
      <c r="K7019" s="4">
        <v>-0.56969999999999998</v>
      </c>
      <c r="L7019">
        <v>4.5</v>
      </c>
      <c r="M7019">
        <v>21</v>
      </c>
      <c r="O7019" t="s">
        <v>25</v>
      </c>
      <c r="P7019" t="s">
        <v>6721</v>
      </c>
      <c r="Q7019" t="s">
        <v>6722</v>
      </c>
    </row>
    <row r="7020" spans="1:17" ht="15.5" x14ac:dyDescent="0.35">
      <c r="A7020" s="3" t="str">
        <f>HYPERLINK("https://edmondsonsupply.com/collections/electricians-tools/products/klein-tools-93ldm100c-compact-laser-distance-measure", "https://edmondsonsupply.com/collections/electricians-tools/products/klein-tools-93ldm100c-compact-laser-distance-measure")</f>
        <v>https://edmondsonsupply.com/collections/electricians-tools/products/klein-tools-93ldm100c-compact-laser-distance-measure</v>
      </c>
      <c r="B7020" s="3" t="str">
        <f>HYPERLINK("https://edmondsonsupply.com/products/klein-tools-93ldm100c-compact-laser-distance-measure", "https://edmondsonsupply.com/products/klein-tools-93ldm100c-compact-laser-distance-measure")</f>
        <v>https://edmondsonsupply.com/products/klein-tools-93ldm100c-compact-laser-distance-measure</v>
      </c>
      <c r="C7020" t="s">
        <v>4590</v>
      </c>
      <c r="D7020" t="s">
        <v>5619</v>
      </c>
      <c r="E7020" s="3" t="str">
        <f>HYPERLINK("https://www.amazon.com/Aproca-Protective-Compatible-Electromagnetic-Radiation/dp/B07H2S8KRM/ref=sr_1_2?keywords=Klein+Tools+93LDM100C+Compact+Laser+Distance+Measure&amp;qid=1695173876&amp;sr=8-2", "https://www.amazon.com/Aproca-Protective-Compatible-Electromagnetic-Radiation/dp/B07H2S8KRM/ref=sr_1_2?keywords=Klein+Tools+93LDM100C+Compact+Laser+Distance+Measure&amp;qid=1695173876&amp;sr=8-2")</f>
        <v>https://www.amazon.com/Aproca-Protective-Compatible-Electromagnetic-Radiation/dp/B07H2S8KRM/ref=sr_1_2?keywords=Klein+Tools+93LDM100C+Compact+Laser+Distance+Measure&amp;qid=1695173876&amp;sr=8-2</v>
      </c>
      <c r="F7020" t="s">
        <v>5620</v>
      </c>
      <c r="G7020" t="e">
        <f ca="1">_xludf.IMAGE("https://edmondsonsupply.com/cdn/shop/products/93ldm100c.jpg?v=1666806501")</f>
        <v>#NAME?</v>
      </c>
      <c r="H7020" t="e">
        <f ca="1">_xludf.IMAGE("https://m.media-amazon.com/images/I/71r6lbsdXsL._AC_UL320_.jpg")</f>
        <v>#NAME?</v>
      </c>
      <c r="I7020" t="s">
        <v>340</v>
      </c>
      <c r="J7020">
        <v>14.99</v>
      </c>
      <c r="K7020" s="4">
        <v>-0.57130000000000003</v>
      </c>
      <c r="L7020">
        <v>4.4000000000000004</v>
      </c>
      <c r="M7020">
        <v>63</v>
      </c>
      <c r="O7020" t="s">
        <v>25</v>
      </c>
      <c r="P7020" t="s">
        <v>4593</v>
      </c>
      <c r="Q7020" t="s">
        <v>4594</v>
      </c>
    </row>
    <row r="7021" spans="1:17" ht="15.5" x14ac:dyDescent="0.35">
      <c r="A7021"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7021"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7021" t="s">
        <v>6587</v>
      </c>
      <c r="D7021" t="s">
        <v>9105</v>
      </c>
      <c r="E7021" s="3" t="str">
        <f>HYPERLINK("https://www.amazon.com/KAIWEETS-Non-Contact-Electrical-Breakpoint-Finder-HT100B/dp/B09FX5GC12/ref=sr_1_9?keywords=Klein+Tools+NCVT-2P+Dual+Range+Non-Contact+Voltage+Tester+12+-+1000V+AC&amp;qid=1695174301&amp;sr=8-9", "https://www.amazon.com/KAIWEETS-Non-Contact-Electrical-Breakpoint-Finder-HT100B/dp/B09FX5GC12/ref=sr_1_9?keywords=Klein+Tools+NCVT-2P+Dual+Range+Non-Contact+Voltage+Tester+12+-+1000V+AC&amp;qid=1695174301&amp;sr=8-9")</f>
        <v>https://www.amazon.com/KAIWEETS-Non-Contact-Electrical-Breakpoint-Finder-HT100B/dp/B09FX5GC12/ref=sr_1_9?keywords=Klein+Tools+NCVT-2P+Dual+Range+Non-Contact+Voltage+Tester+12+-+1000V+AC&amp;qid=1695174301&amp;sr=8-9</v>
      </c>
      <c r="F7021" t="s">
        <v>9106</v>
      </c>
      <c r="G7021" t="e">
        <f ca="1">_xludf.IMAGE("https://edmondsonsupply.com/cdn/shop/products/ncvt2p.jpg?v=1633030824")</f>
        <v>#NAME?</v>
      </c>
      <c r="H7021" t="e">
        <f ca="1">_xludf.IMAGE("https://m.media-amazon.com/images/I/61nvl3MItJL._AC_UL320_.jpg")</f>
        <v>#NAME?</v>
      </c>
      <c r="I7021" t="s">
        <v>6588</v>
      </c>
      <c r="J7021">
        <v>11.98</v>
      </c>
      <c r="K7021" s="4">
        <v>-0.57169999999999999</v>
      </c>
      <c r="L7021">
        <v>4.5</v>
      </c>
      <c r="M7021">
        <v>16343</v>
      </c>
      <c r="O7021" t="s">
        <v>25</v>
      </c>
      <c r="P7021" t="s">
        <v>6589</v>
      </c>
      <c r="Q7021" t="s">
        <v>6590</v>
      </c>
    </row>
    <row r="7022" spans="1:17" ht="15.5" x14ac:dyDescent="0.35">
      <c r="A7022" s="3" t="str">
        <f>HYPERLINK("https://edmondsonsupply.com/collections/electricians-tools/products/milwaukee-2864-20-m18-fuel%E2%84%A2-w-one-key%E2%84%A2-high-torque-impact-wrench-3-4-friction-ring-bare-tool", "https://edmondsonsupply.com/collections/electricians-tools/products/milwaukee-2864-20-m18-fuel%E2%84%A2-w-one-key%E2%84%A2-high-torque-impact-wrench-3-4-friction-ring-bare-tool")</f>
        <v>https://edmondsonsupply.com/collections/electricians-tools/products/milwaukee-2864-20-m18-fuel%E2%84%A2-w-one-key%E2%84%A2-high-torque-impact-wrench-3-4-friction-ring-bare-tool</v>
      </c>
      <c r="B7022" s="3" t="str">
        <f>HYPERLINK("https://edmondsonsupply.com/products/milwaukee-2864-20-m18-fuel%e2%84%a2-w-one-key%e2%84%a2-high-torque-impact-wrench-3-4-friction-ring-bare-tool", "https://edmondsonsupply.com/products/milwaukee-2864-20-m18-fuel%e2%84%a2-w-one-key%e2%84%a2-high-torque-impact-wrench-3-4-friction-ring-bare-tool")</f>
        <v>https://edmondsonsupply.com/products/milwaukee-2864-20-m18-fuel%e2%84%a2-w-one-key%e2%84%a2-high-torque-impact-wrench-3-4-friction-ring-bare-tool</v>
      </c>
      <c r="C7022" t="s">
        <v>9107</v>
      </c>
      <c r="D7022" t="s">
        <v>9108</v>
      </c>
      <c r="E7022" s="3" t="str">
        <f>HYPERLINK("https://www.amazon.com/Milwaukee-2663-20-Torque-Impact-Friction/dp/B07G9H1FHX/ref=sr_1_9?keywords=Milwaukee+2864-20+M18+FUEL%E2%84%A2+w%2F+ONE-KEY%E2%84%A2+High+Torque+Impact+Wrench+3%2F4%22+Friction+Ring+Bare+Tool&amp;qid=1695174060&amp;sr=8-9", "https://www.amazon.com/Milwaukee-2663-20-Torque-Impact-Friction/dp/B07G9H1FHX/ref=sr_1_9?keywords=Milwaukee+2864-20+M18+FUEL%E2%84%A2+w%2F+ONE-KEY%E2%84%A2+High+Torque+Impact+Wrench+3%2F4%22+Friction+Ring+Bare+Tool&amp;qid=1695174060&amp;sr=8-9")</f>
        <v>https://www.amazon.com/Milwaukee-2663-20-Torque-Impact-Friction/dp/B07G9H1FHX/ref=sr_1_9?keywords=Milwaukee+2864-20+M18+FUEL%E2%84%A2+w%2F+ONE-KEY%E2%84%A2+High+Torque+Impact+Wrench+3%2F4%22+Friction+Ring+Bare+Tool&amp;qid=1695174060&amp;sr=8-9</v>
      </c>
      <c r="F7022" t="s">
        <v>9109</v>
      </c>
      <c r="G7022" t="e">
        <f ca="1">_xludf.IMAGE("https://edmondsonsupply.com/cdn/shop/products/2864-20_3.webp?v=1678898538")</f>
        <v>#NAME?</v>
      </c>
      <c r="H7022" t="e">
        <f ca="1">_xludf.IMAGE("https://m.media-amazon.com/images/I/31BwKxDDZbL._AC_UL320_.jpg")</f>
        <v>#NAME?</v>
      </c>
      <c r="I7022" t="s">
        <v>9110</v>
      </c>
      <c r="J7022">
        <v>148.57</v>
      </c>
      <c r="K7022" s="4">
        <v>-0.57430000000000003</v>
      </c>
      <c r="L7022">
        <v>4.5</v>
      </c>
      <c r="M7022">
        <v>123</v>
      </c>
      <c r="O7022" t="s">
        <v>25</v>
      </c>
      <c r="P7022" t="s">
        <v>9111</v>
      </c>
      <c r="Q7022" t="s">
        <v>9112</v>
      </c>
    </row>
    <row r="7023" spans="1:17" ht="15.5" x14ac:dyDescent="0.35">
      <c r="A7023" s="3" t="str">
        <f>HYPERLINK("https://edmondsonsupply.com/collections/electricians-tools/products/fluke-80ak-a-thermocouple-adapter-type-k", "https://edmondsonsupply.com/collections/electricians-tools/products/fluke-80ak-a-thermocouple-adapter-type-k")</f>
        <v>https://edmondsonsupply.com/collections/electricians-tools/products/fluke-80ak-a-thermocouple-adapter-type-k</v>
      </c>
      <c r="B7023" s="3" t="str">
        <f>HYPERLINK("https://edmondsonsupply.com/products/fluke-80ak-a-thermocouple-adapter-type-k", "https://edmondsonsupply.com/products/fluke-80ak-a-thermocouple-adapter-type-k")</f>
        <v>https://edmondsonsupply.com/products/fluke-80ak-a-thermocouple-adapter-type-k</v>
      </c>
      <c r="C7023" t="s">
        <v>7188</v>
      </c>
      <c r="D7023" t="s">
        <v>9113</v>
      </c>
      <c r="E7023" s="3" t="str">
        <f>HYPERLINK("https://www.amazon.com/Thermocouple-Temperature-Probe-Clamp-80BK/dp/B09V31L5V4/ref=sr_1_6?keywords=Fluke+80AK-A+Thermocouple+Adapter%2C+Type+K&amp;qid=1695174160&amp;sr=8-6", "https://www.amazon.com/Thermocouple-Temperature-Probe-Clamp-80BK/dp/B09V31L5V4/ref=sr_1_6?keywords=Fluke+80AK-A+Thermocouple+Adapter%2C+Type+K&amp;qid=1695174160&amp;sr=8-6")</f>
        <v>https://www.amazon.com/Thermocouple-Temperature-Probe-Clamp-80BK/dp/B09V31L5V4/ref=sr_1_6?keywords=Fluke+80AK-A+Thermocouple+Adapter%2C+Type+K&amp;qid=1695174160&amp;sr=8-6</v>
      </c>
      <c r="F7023" t="s">
        <v>9114</v>
      </c>
      <c r="G7023" t="e">
        <f ca="1">_xludf.IMAGE("https://edmondsonsupply.com/cdn/shop/products/f-80ak-a_01a_h-1500x1000.webp?v=1662642921")</f>
        <v>#NAME?</v>
      </c>
      <c r="H7023" t="e">
        <f ca="1">_xludf.IMAGE("https://m.media-amazon.com/images/I/31Hx6guC1tL._AC_UY218_.jpg")</f>
        <v>#NAME?</v>
      </c>
      <c r="I7023" t="s">
        <v>198</v>
      </c>
      <c r="J7023">
        <v>16.989999999999998</v>
      </c>
      <c r="K7023" s="4">
        <v>-0.57509999999999994</v>
      </c>
      <c r="L7023">
        <v>4.5</v>
      </c>
      <c r="M7023">
        <v>6</v>
      </c>
      <c r="O7023" t="s">
        <v>25</v>
      </c>
      <c r="P7023" t="s">
        <v>3496</v>
      </c>
      <c r="Q7023" t="s">
        <v>7191</v>
      </c>
    </row>
    <row r="7024" spans="1:17" ht="15.5" x14ac:dyDescent="0.35">
      <c r="A7024" s="3" t="str">
        <f>HYPERLINK("https://edmondsonsupply.com/collections/electricians-tools/products/klein-tools-et920-usb-digital-meter-usb-a-and-usb-c", "https://edmondsonsupply.com/collections/electricians-tools/products/klein-tools-et920-usb-digital-meter-usb-a-and-usb-c")</f>
        <v>https://edmondsonsupply.com/collections/electricians-tools/products/klein-tools-et920-usb-digital-meter-usb-a-and-usb-c</v>
      </c>
      <c r="B7024" s="3" t="str">
        <f>HYPERLINK("https://edmondsonsupply.com/products/klein-tools-et920-usb-digital-meter-usb-a-and-usb-c", "https://edmondsonsupply.com/products/klein-tools-et920-usb-digital-meter-usb-a-and-usb-c")</f>
        <v>https://edmondsonsupply.com/products/klein-tools-et920-usb-digital-meter-usb-a-and-usb-c</v>
      </c>
      <c r="C7024" t="s">
        <v>6471</v>
      </c>
      <c r="D7024" t="s">
        <v>9115</v>
      </c>
      <c r="E7024" s="3" t="str">
        <f>HYPERLINK("https://www.amazon.com/Klein-Tools-ET920-Capacity-Resistance/dp/B07GXZHPVR/ref=sr_1_1?keywords=Klein+Tools+ET920+USB+Digital+Meter%2C+USB-A+and+USB-C&amp;qid=1695174224&amp;sr=8-1", "https://www.amazon.com/Klein-Tools-ET920-Capacity-Resistance/dp/B07GXZHPVR/ref=sr_1_1?keywords=Klein+Tools+ET920+USB+Digital+Meter%2C+USB-A+and+USB-C&amp;qid=1695174224&amp;sr=8-1")</f>
        <v>https://www.amazon.com/Klein-Tools-ET920-Capacity-Resistance/dp/B07GXZHPVR/ref=sr_1_1?keywords=Klein+Tools+ET920+USB+Digital+Meter%2C+USB-A+and+USB-C&amp;qid=1695174224&amp;sr=8-1</v>
      </c>
      <c r="F7024" t="s">
        <v>9116</v>
      </c>
      <c r="G7024" t="e">
        <f ca="1">_xludf.IMAGE("https://edmondsonsupply.com/cdn/shop/products/et920.jpg?v=1642643803")</f>
        <v>#NAME?</v>
      </c>
      <c r="H7024" t="e">
        <f ca="1">_xludf.IMAGE("https://m.media-amazon.com/images/I/51jtQ7jBYaL._AC_UL320_.jpg")</f>
        <v>#NAME?</v>
      </c>
      <c r="I7024" t="s">
        <v>246</v>
      </c>
      <c r="J7024">
        <v>16.98</v>
      </c>
      <c r="K7024" s="4">
        <v>-0.57520000000000004</v>
      </c>
      <c r="L7024">
        <v>4.5</v>
      </c>
      <c r="M7024">
        <v>1279</v>
      </c>
      <c r="O7024" t="s">
        <v>25</v>
      </c>
      <c r="P7024" t="s">
        <v>6474</v>
      </c>
      <c r="Q7024" t="s">
        <v>6475</v>
      </c>
    </row>
    <row r="7025" spans="1:17" ht="15.5" x14ac:dyDescent="0.35">
      <c r="A7025"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7025" s="3" t="str">
        <f>HYPERLINK("https://edmondsonsupply.com/products/klein-tools-32800-6-in-1-multi-nut-driver-heavy-duty", "https://edmondsonsupply.com/products/klein-tools-32800-6-in-1-multi-nut-driver-heavy-duty")</f>
        <v>https://edmondsonsupply.com/products/klein-tools-32800-6-in-1-multi-nut-driver-heavy-duty</v>
      </c>
      <c r="C7025" t="s">
        <v>8108</v>
      </c>
      <c r="D7025" t="s">
        <v>4896</v>
      </c>
      <c r="E7025" s="3" t="str">
        <f>HYPERLINK("https://www.amazon.com/Multi-Bit-Screwdriver-Klein-Tools-32562/dp/B007SF5DNE/ref=sr_1_10?keywords=Klein+Tools+32800+6-in-1+6-in-1+Multi-Bit+Nut+Driver%2C+Heavy+Duty&amp;qid=1695174226&amp;sr=8-10", "https://www.amazon.com/Multi-Bit-Screwdriver-Klein-Tools-32562/dp/B007SF5DNE/ref=sr_1_10?keywords=Klein+Tools+32800+6-in-1+6-in-1+Multi-Bit+Nut+Driver%2C+Heavy+Duty&amp;qid=1695174226&amp;sr=8-10")</f>
        <v>https://www.amazon.com/Multi-Bit-Screwdriver-Klein-Tools-32562/dp/B007SF5DNE/ref=sr_1_10?keywords=Klein+Tools+32800+6-in-1+6-in-1+Multi-Bit+Nut+Driver%2C+Heavy+Duty&amp;qid=1695174226&amp;sr=8-10</v>
      </c>
      <c r="F7025" t="s">
        <v>4897</v>
      </c>
      <c r="G7025" t="e">
        <f ca="1">_xludf.IMAGE("https://edmondsonsupply.com/cdn/shop/products/32800_alt2.jpg?v=1646595019")</f>
        <v>#NAME?</v>
      </c>
      <c r="H7025" t="e">
        <f ca="1">_xludf.IMAGE("https://m.media-amazon.com/images/I/515fclR4vsL._AC_UL320_.jpg")</f>
        <v>#NAME?</v>
      </c>
      <c r="I7025" t="s">
        <v>26</v>
      </c>
      <c r="J7025">
        <v>12.6</v>
      </c>
      <c r="K7025" s="4">
        <v>-0.57989999999999997</v>
      </c>
      <c r="L7025">
        <v>4.7</v>
      </c>
      <c r="M7025">
        <v>481</v>
      </c>
      <c r="O7025" t="s">
        <v>25</v>
      </c>
      <c r="P7025" t="s">
        <v>8111</v>
      </c>
      <c r="Q7025" t="s">
        <v>8112</v>
      </c>
    </row>
    <row r="7026" spans="1:17" ht="15.5" x14ac:dyDescent="0.35">
      <c r="A7026"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7026"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7026" t="s">
        <v>4395</v>
      </c>
      <c r="D7026" t="s">
        <v>5627</v>
      </c>
      <c r="E7026" s="3" t="str">
        <f>HYPERLINK("https://www.amazon.com/Wiha-66995-6-Piece-Metric-L-Key/dp/B002S0O7U4/ref=sr_1_1?keywords=Wiha+Tools+66990+9+Piece+MagicRing+Ball+End+Long+Arm+Hex+L-Key+Set+-+Metric&amp;qid=1695173977&amp;sr=8-1", "https://www.amazon.com/Wiha-66995-6-Piece-Metric-L-Key/dp/B002S0O7U4/ref=sr_1_1?keywords=Wiha+Tools+66990+9+Piece+MagicRing+Ball+End+Long+Arm+Hex+L-Key+Set+-+Metric&amp;qid=1695173977&amp;sr=8-1")</f>
        <v>https://www.amazon.com/Wiha-66995-6-Piece-Metric-L-Key/dp/B002S0O7U4/ref=sr_1_1?keywords=Wiha+Tools+66990+9+Piece+MagicRing+Ball+End+Long+Arm+Hex+L-Key+Set+-+Metric&amp;qid=1695173977&amp;sr=8-1</v>
      </c>
      <c r="F7026" t="s">
        <v>5628</v>
      </c>
      <c r="G7026" t="e">
        <f ca="1">_xludf.IMAGE("https://edmondsonsupply.com/cdn/shop/files/13e958aad91c16597a10bc35346fe94965ff7cc5_1000x_585c36ae-bd90-4c7e-95df-eb1519527f63.webp?v=1690841217")</f>
        <v>#NAME?</v>
      </c>
      <c r="H7026" t="e">
        <f ca="1">_xludf.IMAGE("https://m.media-amazon.com/images/I/61emfyjx68L._AC_UL320_.jpg")</f>
        <v>#NAME?</v>
      </c>
      <c r="I7026" t="s">
        <v>4398</v>
      </c>
      <c r="J7026">
        <v>16.22</v>
      </c>
      <c r="K7026" s="4">
        <v>-0.58689999999999998</v>
      </c>
      <c r="L7026">
        <v>4.5</v>
      </c>
      <c r="M7026">
        <v>80</v>
      </c>
      <c r="O7026" t="s">
        <v>25</v>
      </c>
      <c r="P7026" t="s">
        <v>4399</v>
      </c>
      <c r="Q7026" t="s">
        <v>4400</v>
      </c>
    </row>
    <row r="7027" spans="1:17" ht="15.5" x14ac:dyDescent="0.35">
      <c r="A7027" s="3" t="str">
        <f>HYPERLINK("https://edmondsonsupply.com/collections/electricians-tools/products/klein-tools-2138neeins-insulated-pliers-slim-handle-side-cutters-8-inch", "https://edmondsonsupply.com/collections/electricians-tools/products/klein-tools-2138neeins-insulated-pliers-slim-handle-side-cutters-8-inch")</f>
        <v>https://edmondsonsupply.com/collections/electricians-tools/products/klein-tools-2138neeins-insulated-pliers-slim-handle-side-cutters-8-inch</v>
      </c>
      <c r="B7027" s="3" t="str">
        <f>HYPERLINK("https://edmondsonsupply.com/products/klein-tools-2138neeins-insulated-pliers-slim-handle-side-cutters-8-inch", "https://edmondsonsupply.com/products/klein-tools-2138neeins-insulated-pliers-slim-handle-side-cutters-8-inch")</f>
        <v>https://edmondsonsupply.com/products/klein-tools-2138neeins-insulated-pliers-slim-handle-side-cutters-8-inch</v>
      </c>
      <c r="C7027" t="s">
        <v>5004</v>
      </c>
      <c r="D7027" t="s">
        <v>5226</v>
      </c>
      <c r="E7027" s="3" t="str">
        <f>HYPERLINK("https://www.amazon.com/Linemans-Alligator-Klein-Tools-D203-8/dp/B0000302WQ/ref=sr_1_10?keywords=Klein+Tools+2138NEEINS+Insulated+Pliers%2C+Slim+Handle+Side+Cutters%2C+8-Inch&amp;qid=1695173956&amp;sr=8-10", "https://www.amazon.com/Linemans-Alligator-Klein-Tools-D203-8/dp/B0000302WQ/ref=sr_1_10?keywords=Klein+Tools+2138NEEINS+Insulated+Pliers%2C+Slim+Handle+Side+Cutters%2C+8-Inch&amp;qid=1695173956&amp;sr=8-10")</f>
        <v>https://www.amazon.com/Linemans-Alligator-Klein-Tools-D203-8/dp/B0000302WQ/ref=sr_1_10?keywords=Klein+Tools+2138NEEINS+Insulated+Pliers%2C+Slim+Handle+Side+Cutters%2C+8-Inch&amp;qid=1695173956&amp;sr=8-10</v>
      </c>
      <c r="F7027" t="s">
        <v>5227</v>
      </c>
      <c r="G7027" t="e">
        <f ca="1">_xludf.IMAGE("https://edmondsonsupply.com/cdn/shop/files/2138neeins.jpg?v=1694611719")</f>
        <v>#NAME?</v>
      </c>
      <c r="H7027" t="e">
        <f ca="1">_xludf.IMAGE("https://m.media-amazon.com/images/I/51Ifjz4aftL._AC_UL320_.jpg")</f>
        <v>#NAME?</v>
      </c>
      <c r="I7027" t="s">
        <v>588</v>
      </c>
      <c r="J7027">
        <v>28.74</v>
      </c>
      <c r="K7027" s="4">
        <v>-0.58940000000000003</v>
      </c>
      <c r="L7027">
        <v>4.8</v>
      </c>
      <c r="M7027">
        <v>935</v>
      </c>
      <c r="O7027" t="s">
        <v>25</v>
      </c>
      <c r="P7027" t="s">
        <v>5007</v>
      </c>
      <c r="Q7027" t="s">
        <v>5008</v>
      </c>
    </row>
    <row r="7028" spans="1:17" ht="15.5" x14ac:dyDescent="0.35">
      <c r="A7028" s="3" t="str">
        <f>HYPERLINK("https://edmondsonsupply.com/collections/electricians-tools/products/klein-tools-602-4-ins-1-4-inch-cabinet-tip-insulated-screwdriver-4-inch", "https://edmondsonsupply.com/collections/electricians-tools/products/klein-tools-602-4-ins-1-4-inch-cabinet-tip-insulated-screwdriver-4-inch")</f>
        <v>https://edmondsonsupply.com/collections/electricians-tools/products/klein-tools-602-4-ins-1-4-inch-cabinet-tip-insulated-screwdriver-4-inch</v>
      </c>
      <c r="B7028" s="3" t="str">
        <f>HYPERLINK("https://edmondsonsupply.com/products/klein-tools-602-4-ins-1-4-inch-cabinet-tip-insulated-screwdriver-4-inch", "https://edmondsonsupply.com/products/klein-tools-602-4-ins-1-4-inch-cabinet-tip-insulated-screwdriver-4-inch")</f>
        <v>https://edmondsonsupply.com/products/klein-tools-602-4-ins-1-4-inch-cabinet-tip-insulated-screwdriver-4-inch</v>
      </c>
      <c r="C7028" t="s">
        <v>6755</v>
      </c>
      <c r="D7028" t="s">
        <v>8401</v>
      </c>
      <c r="E7028" s="3" t="str">
        <f>HYPERLINK("https://www.amazon.com/Cabinet-Screwdriver-Klein-Tools-605-4/dp/B000BQWOO8/ref=sr_1_7?keywords=Klein+Tools+602-4-INS+1%2F4-Inch+Cabinet+Tip+Insulated+Screwdriver%2C+4-Inch&amp;qid=1695174266&amp;sr=8-7", "https://www.amazon.com/Cabinet-Screwdriver-Klein-Tools-605-4/dp/B000BQWOO8/ref=sr_1_7?keywords=Klein+Tools+602-4-INS+1%2F4-Inch+Cabinet+Tip+Insulated+Screwdriver%2C+4-Inch&amp;qid=1695174266&amp;sr=8-7")</f>
        <v>https://www.amazon.com/Cabinet-Screwdriver-Klein-Tools-605-4/dp/B000BQWOO8/ref=sr_1_7?keywords=Klein+Tools+602-4-INS+1%2F4-Inch+Cabinet+Tip+Insulated+Screwdriver%2C+4-Inch&amp;qid=1695174266&amp;sr=8-7</v>
      </c>
      <c r="F7028" t="s">
        <v>8402</v>
      </c>
      <c r="G7028" t="e">
        <f ca="1">_xludf.IMAGE("https://edmondsonsupply.com/cdn/shop/products/602-4-ins-photo.jpg?v=1633031051")</f>
        <v>#NAME?</v>
      </c>
      <c r="H7028" t="e">
        <f ca="1">_xludf.IMAGE("https://m.media-amazon.com/images/I/41WLDr2SP+L._AC_UL320_.jpg")</f>
        <v>#NAME?</v>
      </c>
      <c r="I7028" t="s">
        <v>3185</v>
      </c>
      <c r="J7028">
        <v>8.57</v>
      </c>
      <c r="K7028" s="4">
        <v>-0.5917</v>
      </c>
      <c r="L7028">
        <v>4.8</v>
      </c>
      <c r="M7028">
        <v>1227</v>
      </c>
      <c r="O7028" t="s">
        <v>25</v>
      </c>
      <c r="P7028" t="s">
        <v>6758</v>
      </c>
      <c r="Q7028" t="s">
        <v>6759</v>
      </c>
    </row>
    <row r="7029" spans="1:17" ht="15.5" x14ac:dyDescent="0.35">
      <c r="A7029" s="3" t="str">
        <f>HYPERLINK("https://edmondsonsupply.com/collections/electricians-tools/products/amprobe-thwd-3-relative-humidity-temperature-meter", "https://edmondsonsupply.com/collections/electricians-tools/products/amprobe-thwd-3-relative-humidity-temperature-meter")</f>
        <v>https://edmondsonsupply.com/collections/electricians-tools/products/amprobe-thwd-3-relative-humidity-temperature-meter</v>
      </c>
      <c r="B7029" s="3" t="str">
        <f>HYPERLINK("https://edmondsonsupply.com/products/amprobe-thwd-3-relative-humidity-temperature-meter", "https://edmondsonsupply.com/products/amprobe-thwd-3-relative-humidity-temperature-meter")</f>
        <v>https://edmondsonsupply.com/products/amprobe-thwd-3-relative-humidity-temperature-meter</v>
      </c>
      <c r="C7029" t="s">
        <v>7258</v>
      </c>
      <c r="D7029" t="s">
        <v>9117</v>
      </c>
      <c r="E7029" s="3" t="str">
        <f>HYPERLINK("https://www.amazon.com/Amprobe-TR200-Temperature-Relative-Humidity/dp/B004JV21AI/ref=sr_1_10?keywords=Amprobe+THWD-3+Relative+Humidity+Temperature+Meter&amp;qid=1695174239&amp;sr=8-10", "https://www.amazon.com/Amprobe-TR200-Temperature-Relative-Humidity/dp/B004JV21AI/ref=sr_1_10?keywords=Amprobe+THWD-3+Relative+Humidity+Temperature+Meter&amp;qid=1695174239&amp;sr=8-10")</f>
        <v>https://www.amazon.com/Amprobe-TR200-Temperature-Relative-Humidity/dp/B004JV21AI/ref=sr_1_10?keywords=Amprobe+THWD-3+Relative+Humidity+Temperature+Meter&amp;qid=1695174239&amp;sr=8-10</v>
      </c>
      <c r="F7029" t="s">
        <v>9118</v>
      </c>
      <c r="G7029" t="e">
        <f ca="1">_xludf.IMAGE("https://edmondsonsupply.com/cdn/shop/products/THWD-3.png?v=1633526329")</f>
        <v>#NAME?</v>
      </c>
      <c r="H7029" t="e">
        <f ca="1">_xludf.IMAGE("https://m.media-amazon.com/images/I/81tQJVsc7CL._AC_UY218_.jpg")</f>
        <v>#NAME?</v>
      </c>
      <c r="I7029" t="s">
        <v>7261</v>
      </c>
      <c r="J7029">
        <v>71.5</v>
      </c>
      <c r="K7029" s="4">
        <v>-0.59460000000000002</v>
      </c>
      <c r="L7029">
        <v>1.7</v>
      </c>
      <c r="M7029">
        <v>2</v>
      </c>
      <c r="O7029" t="s">
        <v>25</v>
      </c>
      <c r="P7029" t="s">
        <v>4452</v>
      </c>
      <c r="Q7029" t="s">
        <v>7262</v>
      </c>
    </row>
    <row r="7030" spans="1:17" ht="15.5" x14ac:dyDescent="0.35">
      <c r="A7030" s="3" t="str">
        <f>HYPERLINK("https://edmondsonsupply.com/collections/electricians-tools/products/milwaukee-48-11-2440-m12%E2%84%A2-redlithium%E2%84%A2-xc-4-0-extended-capacity-battery-pack", "https://edmondsonsupply.com/collections/electricians-tools/products/milwaukee-48-11-2440-m12%E2%84%A2-redlithium%E2%84%A2-xc-4-0-extended-capacity-battery-pack")</f>
        <v>https://edmondsonsupply.com/collections/electricians-tools/products/milwaukee-48-11-2440-m12%E2%84%A2-redlithium%E2%84%A2-xc-4-0-extended-capacity-battery-pack</v>
      </c>
      <c r="B7030" s="3" t="str">
        <f>HYPERLINK("https://edmondsonsupply.com/products/milwaukee-48-11-2440-m12%e2%84%a2-redlithium%e2%84%a2-xc-4-0-extended-capacity-battery-pack", "https://edmondsonsupply.com/products/milwaukee-48-11-2440-m12%e2%84%a2-redlithium%e2%84%a2-xc-4-0-extended-capacity-battery-pack")</f>
        <v>https://edmondsonsupply.com/products/milwaukee-48-11-2440-m12%e2%84%a2-redlithium%e2%84%a2-xc-4-0-extended-capacity-battery-pack</v>
      </c>
      <c r="C7030" t="s">
        <v>8285</v>
      </c>
      <c r="D7030" t="s">
        <v>9089</v>
      </c>
      <c r="E7030" s="3" t="str">
        <f>HYPERLINK("https://www.amazon.com/Yongcell-Replacement-48-11-2460-48-11-2440-48-11-2402/dp/B093L9ZWCS/ref=sr_1_7?keywords=Milwaukee+48-11-2440+M12%E2%84%A2+REDLITHIUM%E2%84%A2+XC+4.0+Extended+Capacity+Battery+Pack&amp;qid=1695174198&amp;sr=8-7", "https://www.amazon.com/Yongcell-Replacement-48-11-2460-48-11-2440-48-11-2402/dp/B093L9ZWCS/ref=sr_1_7?keywords=Milwaukee+48-11-2440+M12%E2%84%A2+REDLITHIUM%E2%84%A2+XC+4.0+Extended+Capacity+Battery+Pack&amp;qid=1695174198&amp;sr=8-7")</f>
        <v>https://www.amazon.com/Yongcell-Replacement-48-11-2460-48-11-2440-48-11-2402/dp/B093L9ZWCS/ref=sr_1_7?keywords=Milwaukee+48-11-2440+M12%E2%84%A2+REDLITHIUM%E2%84%A2+XC+4.0+Extended+Capacity+Battery+Pack&amp;qid=1695174198&amp;sr=8-7</v>
      </c>
      <c r="F7030" t="s">
        <v>9090</v>
      </c>
      <c r="G7030" t="e">
        <f ca="1">_xludf.IMAGE("https://edmondsonsupply.com/cdn/shop/products/64620_48-11-2440-lg.png?v=1654801817")</f>
        <v>#NAME?</v>
      </c>
      <c r="H7030" t="e">
        <f ca="1">_xludf.IMAGE("https://m.media-amazon.com/images/I/71BQqHmVNoS._AC_UL320_.jpg")</f>
        <v>#NAME?</v>
      </c>
      <c r="I7030" t="s">
        <v>3253</v>
      </c>
      <c r="J7030">
        <v>35.979999999999997</v>
      </c>
      <c r="K7030" s="4">
        <v>-0.59570000000000001</v>
      </c>
      <c r="L7030">
        <v>4.5999999999999996</v>
      </c>
      <c r="M7030">
        <v>131</v>
      </c>
      <c r="O7030" t="s">
        <v>171</v>
      </c>
      <c r="P7030" t="s">
        <v>692</v>
      </c>
      <c r="Q7030" t="s">
        <v>8288</v>
      </c>
    </row>
    <row r="7031" spans="1:17" ht="15.5" x14ac:dyDescent="0.35">
      <c r="A7031"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7031"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7031" t="s">
        <v>9080</v>
      </c>
      <c r="D7031" t="s">
        <v>9027</v>
      </c>
      <c r="E7031" s="3" t="str">
        <f>HYPERLINK("https://www.amazon.com/Milwaukee-48-11-2440-REDLITHIUM-Extended-Capacity/dp/B00BYFO1AA/ref=sr_1_4?keywords=Milwaukee+48-11-2412+M12+REDLITHIUM%E2%84%A2+XC+Battery+Two+Pack&amp;qid=1695174210&amp;sr=8-4", "https://www.amazon.com/Milwaukee-48-11-2440-REDLITHIUM-Extended-Capacity/dp/B00BYFO1AA/ref=sr_1_4?keywords=Milwaukee+48-11-2412+M12+REDLITHIUM%E2%84%A2+XC+Battery+Two+Pack&amp;qid=1695174210&amp;sr=8-4")</f>
        <v>https://www.amazon.com/Milwaukee-48-11-2440-REDLITHIUM-Extended-Capacity/dp/B00BYFO1AA/ref=sr_1_4?keywords=Milwaukee+48-11-2412+M12+REDLITHIUM%E2%84%A2+XC+Battery+Two+Pack&amp;qid=1695174210&amp;sr=8-4</v>
      </c>
      <c r="F7031" t="s">
        <v>9028</v>
      </c>
      <c r="G7031" t="e">
        <f ca="1">_xludf.IMAGE("https://edmondsonsupply.com/cdn/shop/products/48-11-2412.jpg?v=1654795924")</f>
        <v>#NAME?</v>
      </c>
      <c r="H7031" t="e">
        <f ca="1">_xludf.IMAGE("https://m.media-amazon.com/images/I/81RzIHvm69L._AC_UL320_.jpg")</f>
        <v>#NAME?</v>
      </c>
      <c r="I7031" t="s">
        <v>739</v>
      </c>
      <c r="J7031">
        <v>51.99</v>
      </c>
      <c r="K7031" s="4">
        <v>-0.59699999999999998</v>
      </c>
      <c r="L7031">
        <v>4.8</v>
      </c>
      <c r="M7031">
        <v>3002</v>
      </c>
      <c r="O7031" t="s">
        <v>25</v>
      </c>
      <c r="P7031" t="s">
        <v>9083</v>
      </c>
      <c r="Q7031" t="s">
        <v>9084</v>
      </c>
    </row>
    <row r="7032" spans="1:17" ht="15.5" x14ac:dyDescent="0.35">
      <c r="A7032" s="3" t="str">
        <f>HYPERLINK("https://edmondsonsupply.com/collections/electricians-tools/products/klein-tools-rt310-afci-gfci-outlet-tester", "https://edmondsonsupply.com/collections/electricians-tools/products/klein-tools-rt310-afci-gfci-outlet-tester")</f>
        <v>https://edmondsonsupply.com/collections/electricians-tools/products/klein-tools-rt310-afci-gfci-outlet-tester</v>
      </c>
      <c r="B7032" s="3" t="str">
        <f>HYPERLINK("https://edmondsonsupply.com/products/klein-tools-rt310-afci-gfci-outlet-tester", "https://edmondsonsupply.com/products/klein-tools-rt310-afci-gfci-outlet-tester")</f>
        <v>https://edmondsonsupply.com/products/klein-tools-rt310-afci-gfci-outlet-tester</v>
      </c>
      <c r="C7032" t="s">
        <v>6210</v>
      </c>
      <c r="D7032" t="s">
        <v>9119</v>
      </c>
      <c r="E7032" s="3" t="str">
        <f>HYPERLINK("https://www.amazon.com/khanka-Travel-Compatible-Outlet-Device/dp/B088BCQT7K/ref=sr_1_2?keywords=Klein+Tools+RT310+AFCI+%2F+GFCI+Outlet+Tester&amp;qid=1695173970&amp;sr=8-2", "https://www.amazon.com/khanka-Travel-Compatible-Outlet-Device/dp/B088BCQT7K/ref=sr_1_2?keywords=Klein+Tools+RT310+AFCI+%2F+GFCI+Outlet+Tester&amp;qid=1695173970&amp;sr=8-2")</f>
        <v>https://www.amazon.com/khanka-Travel-Compatible-Outlet-Device/dp/B088BCQT7K/ref=sr_1_2?keywords=Klein+Tools+RT310+AFCI+%2F+GFCI+Outlet+Tester&amp;qid=1695173970&amp;sr=8-2</v>
      </c>
      <c r="F7032" t="s">
        <v>9120</v>
      </c>
      <c r="G7032" t="e">
        <f ca="1">_xludf.IMAGE("https://edmondsonsupply.com/cdn/shop/products/rt310.jpg?v=1587148552")</f>
        <v>#NAME?</v>
      </c>
      <c r="H7032" t="e">
        <f ca="1">_xludf.IMAGE("https://m.media-amazon.com/images/I/71VUKzcSJ4L._AC_UL320_.jpg")</f>
        <v>#NAME?</v>
      </c>
      <c r="I7032" t="s">
        <v>246</v>
      </c>
      <c r="J7032">
        <v>15.99</v>
      </c>
      <c r="K7032" s="4">
        <v>-0.59989999999999999</v>
      </c>
      <c r="L7032">
        <v>4.5999999999999996</v>
      </c>
      <c r="M7032">
        <v>32</v>
      </c>
      <c r="O7032" t="s">
        <v>25</v>
      </c>
      <c r="P7032" t="s">
        <v>6213</v>
      </c>
      <c r="Q7032" t="s">
        <v>6214</v>
      </c>
    </row>
    <row r="7033" spans="1:17" ht="15.5" x14ac:dyDescent="0.35">
      <c r="A7033"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7033"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7033" t="s">
        <v>6824</v>
      </c>
      <c r="D7033" t="s">
        <v>9121</v>
      </c>
      <c r="E7033" s="3" t="str">
        <f>HYPERLINK("https://www.amazon.com/co2crea-Replacement-Circuit-Breaker-Integrated/dp/B087JRTB7S/ref=sr_1_6?keywords=Klein+Tools+ET310+Digital+Circuit+Breaker+Finder+with+GFCI+Outlet+Tester&amp;qid=1695173862&amp;sr=8-6", "https://www.amazon.com/co2crea-Replacement-Circuit-Breaker-Integrated/dp/B087JRTB7S/ref=sr_1_6?keywords=Klein+Tools+ET310+Digital+Circuit+Breaker+Finder+with+GFCI+Outlet+Tester&amp;qid=1695173862&amp;sr=8-6")</f>
        <v>https://www.amazon.com/co2crea-Replacement-Circuit-Breaker-Integrated/dp/B087JRTB7S/ref=sr_1_6?keywords=Klein+Tools+ET310+Digital+Circuit+Breaker+Finder+with+GFCI+Outlet+Tester&amp;qid=1695173862&amp;sr=8-6</v>
      </c>
      <c r="F7033" t="s">
        <v>9122</v>
      </c>
      <c r="G7033" t="e">
        <f ca="1">_xludf.IMAGE("https://edmondsonsupply.com/cdn/shop/products/et310_c.jpg?v=1646963918")</f>
        <v>#NAME?</v>
      </c>
      <c r="H7033" t="e">
        <f ca="1">_xludf.IMAGE("https://m.media-amazon.com/images/I/91gT7GX46hL._AC_UL320_.jpg")</f>
        <v>#NAME?</v>
      </c>
      <c r="I7033" t="s">
        <v>380</v>
      </c>
      <c r="J7033">
        <v>19.989999999999998</v>
      </c>
      <c r="K7033" s="4">
        <v>-0.6</v>
      </c>
      <c r="L7033">
        <v>4.5999999999999996</v>
      </c>
      <c r="M7033">
        <v>422</v>
      </c>
      <c r="O7033" t="s">
        <v>25</v>
      </c>
      <c r="P7033" t="s">
        <v>6825</v>
      </c>
      <c r="Q7033" t="s">
        <v>6826</v>
      </c>
    </row>
    <row r="7034" spans="1:17" ht="15.5" x14ac:dyDescent="0.35">
      <c r="A7034" s="3" t="str">
        <f>HYPERLINK("https://edmondsonsupply.com/collections/electricians-tools/products/klein-tools-51605-iron-conduit-bender-full-assembly-1-inch-emt-with-angle-setter%E2%84%A2", "https://edmondsonsupply.com/collections/electricians-tools/products/klein-tools-51605-iron-conduit-bender-full-assembly-1-inch-emt-with-angle-setter%E2%84%A2")</f>
        <v>https://edmondsonsupply.com/collections/electricians-tools/products/klein-tools-51605-iron-conduit-bender-full-assembly-1-inch-emt-with-angle-setter%E2%84%A2</v>
      </c>
      <c r="B7034" s="3" t="str">
        <f>HYPERLINK("https://edmondsonsupply.com/products/klein-tools-51605-iron-conduit-bender-full-assembly-1-inch-emt-with-angle-setter%e2%84%a2", "https://edmondsonsupply.com/products/klein-tools-51605-iron-conduit-bender-full-assembly-1-inch-emt-with-angle-setter%e2%84%a2")</f>
        <v>https://edmondsonsupply.com/products/klein-tools-51605-iron-conduit-bender-full-assembly-1-inch-emt-with-angle-setter%e2%84%a2</v>
      </c>
      <c r="C7034" t="s">
        <v>7911</v>
      </c>
      <c r="D7034" t="s">
        <v>6208</v>
      </c>
      <c r="E7034" s="3" t="str">
        <f>HYPERLINK("https://www.amazon.com/Aluminum-Benchmark-Technology-Klein-Tools/dp/B08L41DC9N/ref=sr_1_4?keywords=Klein+Tools+51605+Iron+Conduit+Bender+Full+Assembly%2C+1-Inch+EMT+with+Angle+Setter%E2%84%A2&amp;qid=1695174157&amp;sr=8-4", "https://www.amazon.com/Aluminum-Benchmark-Technology-Klein-Tools/dp/B08L41DC9N/ref=sr_1_4?keywords=Klein+Tools+51605+Iron+Conduit+Bender+Full+Assembly%2C+1-Inch+EMT+with+Angle+Setter%E2%84%A2&amp;qid=1695174157&amp;sr=8-4")</f>
        <v>https://www.amazon.com/Aluminum-Benchmark-Technology-Klein-Tools/dp/B08L41DC9N/ref=sr_1_4?keywords=Klein+Tools+51605+Iron+Conduit+Bender+Full+Assembly%2C+1-Inch+EMT+with+Angle+Setter%E2%84%A2&amp;qid=1695174157&amp;sr=8-4</v>
      </c>
      <c r="F7034" t="s">
        <v>6209</v>
      </c>
      <c r="G7034" t="e">
        <f ca="1">_xludf.IMAGE("https://edmondsonsupply.com/cdn/shop/products/51605.jpg?v=1663938749")</f>
        <v>#NAME?</v>
      </c>
      <c r="H7034" t="e">
        <f ca="1">_xludf.IMAGE("https://m.media-amazon.com/images/I/41JBDxEE8NL._AC_UL320_.jpg")</f>
        <v>#NAME?</v>
      </c>
      <c r="I7034" t="s">
        <v>545</v>
      </c>
      <c r="J7034">
        <v>39.97</v>
      </c>
      <c r="K7034" s="4">
        <v>-0.60019999999999996</v>
      </c>
      <c r="L7034">
        <v>4.8</v>
      </c>
      <c r="M7034">
        <v>258</v>
      </c>
      <c r="O7034" t="s">
        <v>25</v>
      </c>
      <c r="P7034" t="s">
        <v>2225</v>
      </c>
      <c r="Q7034" t="s">
        <v>7912</v>
      </c>
    </row>
    <row r="7035" spans="1:17" ht="15.5" x14ac:dyDescent="0.35">
      <c r="A7035" s="3" t="str">
        <f>HYPERLINK("https://edmondsonsupply.com/collections/electricians-tools/products/klein-tools-32717-all-in-1-precision-screwdriver-set-with-case", "https://edmondsonsupply.com/collections/electricians-tools/products/klein-tools-32717-all-in-1-precision-screwdriver-set-with-case")</f>
        <v>https://edmondsonsupply.com/collections/electricians-tools/products/klein-tools-32717-all-in-1-precision-screwdriver-set-with-case</v>
      </c>
      <c r="B7035" s="3" t="str">
        <f>HYPERLINK("https://edmondsonsupply.com/products/klein-tools-32717-all-in-1-precision-screwdriver-set-with-case", "https://edmondsonsupply.com/products/klein-tools-32717-all-in-1-precision-screwdriver-set-with-case")</f>
        <v>https://edmondsonsupply.com/products/klein-tools-32717-all-in-1-precision-screwdriver-set-with-case</v>
      </c>
      <c r="C7035" t="s">
        <v>6701</v>
      </c>
      <c r="D7035" t="s">
        <v>9123</v>
      </c>
      <c r="E7035" s="3" t="str">
        <f>HYPERLINK("https://www.amazon.com/Screwdriver-Electronics-Klein-Tools-32581/dp/B01EOY7LTA/ref=sr_1_3?keywords=Klein+Tools+32717+All-in-1+Precision+Screwdriver+Set+with+Case&amp;qid=1695174242&amp;sr=8-3", "https://www.amazon.com/Screwdriver-Electronics-Klein-Tools-32581/dp/B01EOY7LTA/ref=sr_1_3?keywords=Klein+Tools+32717+All-in-1+Precision+Screwdriver+Set+with+Case&amp;qid=1695174242&amp;sr=8-3")</f>
        <v>https://www.amazon.com/Screwdriver-Electronics-Klein-Tools-32581/dp/B01EOY7LTA/ref=sr_1_3?keywords=Klein+Tools+32717+All-in-1+Precision+Screwdriver+Set+with+Case&amp;qid=1695174242&amp;sr=8-3</v>
      </c>
      <c r="F7035" t="s">
        <v>9124</v>
      </c>
      <c r="G7035" t="e">
        <f ca="1">_xludf.IMAGE("https://edmondsonsupply.com/cdn/shop/products/32717.jpg?v=1633031161")</f>
        <v>#NAME?</v>
      </c>
      <c r="H7035" t="e">
        <f ca="1">_xludf.IMAGE("https://m.media-amazon.com/images/I/31v0ZtokP0L._AC_UL320_.jpg")</f>
        <v>#NAME?</v>
      </c>
      <c r="I7035" t="s">
        <v>824</v>
      </c>
      <c r="J7035">
        <v>11.97</v>
      </c>
      <c r="K7035" s="4">
        <v>-0.60060000000000002</v>
      </c>
      <c r="L7035">
        <v>4.8</v>
      </c>
      <c r="M7035">
        <v>17708</v>
      </c>
      <c r="O7035" t="s">
        <v>25</v>
      </c>
      <c r="P7035" t="s">
        <v>562</v>
      </c>
      <c r="Q7035" t="s">
        <v>6704</v>
      </c>
    </row>
    <row r="7036" spans="1:17" ht="15.5" x14ac:dyDescent="0.35">
      <c r="A7036" s="3" t="str">
        <f>HYPERLINK("https://edmondsonsupply.com/collections/electricians-tools/products/diablo-tools-dou250jbw3-2-1-2-in-universal-fit-bi-metal-oscillating-blade-for-clean-wood-3-pk", "https://edmondsonsupply.com/collections/electricians-tools/products/diablo-tools-dou250jbw3-2-1-2-in-universal-fit-bi-metal-oscillating-blade-for-clean-wood-3-pk")</f>
        <v>https://edmondsonsupply.com/collections/electricians-tools/products/diablo-tools-dou250jbw3-2-1-2-in-universal-fit-bi-metal-oscillating-blade-for-clean-wood-3-pk</v>
      </c>
      <c r="B7036" s="3" t="str">
        <f>HYPERLINK("https://edmondsonsupply.com/products/diablo-tools-dou250jbw3-2-1-2-in-universal-fit-bi-metal-oscillating-blade-for-clean-wood-3-pk", "https://edmondsonsupply.com/products/diablo-tools-dou250jbw3-2-1-2-in-universal-fit-bi-metal-oscillating-blade-for-clean-wood-3-pk")</f>
        <v>https://edmondsonsupply.com/products/diablo-tools-dou250jbw3-2-1-2-in-universal-fit-bi-metal-oscillating-blade-for-clean-wood-3-pk</v>
      </c>
      <c r="C7036" t="s">
        <v>8676</v>
      </c>
      <c r="D7036" t="s">
        <v>8767</v>
      </c>
      <c r="E7036" s="3" t="str">
        <f>HYPERLINK("https://www.amazon.com/Diablo-Freud-DOU125JBW-Universal-Oscillating/dp/B089KV62LL/ref=sr_1_5?keywords=Diablo+Tools+DOU250JBW3+2-1%2F2+in.+Universal+Fit+Bi-Metal+Oscillating+Blade+for+Clean+Wood+%283+pk%29&amp;qid=1695174010&amp;sr=8-5", "https://www.amazon.com/Diablo-Freud-DOU125JBW-Universal-Oscillating/dp/B089KV62LL/ref=sr_1_5?keywords=Diablo+Tools+DOU250JBW3+2-1%2F2+in.+Universal+Fit+Bi-Metal+Oscillating+Blade+for+Clean+Wood+%283+pk%29&amp;qid=1695174010&amp;sr=8-5")</f>
        <v>https://www.amazon.com/Diablo-Freud-DOU125JBW-Universal-Oscillating/dp/B089KV62LL/ref=sr_1_5?keywords=Diablo+Tools+DOU250JBW3+2-1%2F2+in.+Universal+Fit+Bi-Metal+Oscillating+Blade+for+Clean+Wood+%283+pk%29&amp;qid=1695174010&amp;sr=8-5</v>
      </c>
      <c r="F7036" t="s">
        <v>8768</v>
      </c>
      <c r="G7036" t="e">
        <f ca="1">_xludf.IMAGE("https://edmondsonsupply.com/cdn/shop/files/pycnap4eb1urn2hxvudq_1.webp?v=1685719587")</f>
        <v>#NAME?</v>
      </c>
      <c r="H7036" t="e">
        <f ca="1">_xludf.IMAGE("https://m.media-amazon.com/images/I/61wFHtmEH5L._AC_UL320_.jpg")</f>
        <v>#NAME?</v>
      </c>
      <c r="I7036" t="s">
        <v>5940</v>
      </c>
      <c r="J7036">
        <v>12.49</v>
      </c>
      <c r="K7036" s="4">
        <v>-0.60119999999999996</v>
      </c>
      <c r="L7036">
        <v>4.8</v>
      </c>
      <c r="M7036">
        <v>12</v>
      </c>
      <c r="O7036" t="s">
        <v>25</v>
      </c>
      <c r="P7036" t="s">
        <v>8677</v>
      </c>
      <c r="Q7036" t="s">
        <v>8678</v>
      </c>
    </row>
    <row r="7037" spans="1:17" ht="15.5" x14ac:dyDescent="0.35">
      <c r="A7037" s="3" t="str">
        <f>HYPERLINK("https://edmondsonsupply.com/collections/electricians-tools/products/klein-tools-44033-stainless-steel-pocket-knife-2-1-4-inch-drop-point-blade", "https://edmondsonsupply.com/collections/electricians-tools/products/klein-tools-44033-stainless-steel-pocket-knife-2-1-4-inch-drop-point-blade")</f>
        <v>https://edmondsonsupply.com/collections/electricians-tools/products/klein-tools-44033-stainless-steel-pocket-knife-2-1-4-inch-drop-point-blade</v>
      </c>
      <c r="B7037" s="3" t="str">
        <f>HYPERLINK("https://edmondsonsupply.com/products/klein-tools-44033-stainless-steel-pocket-knife-2-1-4-inch-drop-point-blade", "https://edmondsonsupply.com/products/klein-tools-44033-stainless-steel-pocket-knife-2-1-4-inch-drop-point-blade")</f>
        <v>https://edmondsonsupply.com/products/klein-tools-44033-stainless-steel-pocket-knife-2-1-4-inch-drop-point-blade</v>
      </c>
      <c r="C7037" t="s">
        <v>9007</v>
      </c>
      <c r="D7037" t="s">
        <v>8248</v>
      </c>
      <c r="E7037" s="3" t="str">
        <f>HYPERLINK("https://www.amazon.com/Folding-Stainless-Klein-Tools-44213/dp/B07BXX31Y8/ref=sr_1_9?keywords=Klein+Tools+44033+Stainless+Steel+Pocket+Knife%2C+2-1%2F4-Inch+Drop+Point+Blade&amp;qid=1695174208&amp;sr=8-9", "https://www.amazon.com/Folding-Stainless-Klein-Tools-44213/dp/B07BXX31Y8/ref=sr_1_9?keywords=Klein+Tools+44033+Stainless+Steel+Pocket+Knife%2C+2-1%2F4-Inch+Drop+Point+Blade&amp;qid=1695174208&amp;sr=8-9")</f>
        <v>https://www.amazon.com/Folding-Stainless-Klein-Tools-44213/dp/B07BXX31Y8/ref=sr_1_9?keywords=Klein+Tools+44033+Stainless+Steel+Pocket+Knife%2C+2-1%2F4-Inch+Drop+Point+Blade&amp;qid=1695174208&amp;sr=8-9</v>
      </c>
      <c r="F7037" t="s">
        <v>8249</v>
      </c>
      <c r="G7037" t="e">
        <f ca="1">_xludf.IMAGE("https://edmondsonsupply.com/cdn/shop/products/44033.jpg?v=1649893400")</f>
        <v>#NAME?</v>
      </c>
      <c r="H7037" t="e">
        <f ca="1">_xludf.IMAGE("https://m.media-amazon.com/images/I/51jhjHRblxL._AC_UL320_.jpg")</f>
        <v>#NAME?</v>
      </c>
      <c r="I7037" t="s">
        <v>9010</v>
      </c>
      <c r="J7037">
        <v>29.97</v>
      </c>
      <c r="K7037" s="4">
        <v>-0.60170000000000001</v>
      </c>
      <c r="L7037">
        <v>4.5</v>
      </c>
      <c r="M7037">
        <v>110</v>
      </c>
      <c r="O7037" t="s">
        <v>25</v>
      </c>
      <c r="P7037" t="s">
        <v>138</v>
      </c>
      <c r="Q7037" t="s">
        <v>9011</v>
      </c>
    </row>
    <row r="7038" spans="1:17" ht="15.5" x14ac:dyDescent="0.35">
      <c r="A7038"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7038"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7038" t="s">
        <v>8495</v>
      </c>
      <c r="D7038" t="s">
        <v>4511</v>
      </c>
      <c r="E7038" s="3" t="str">
        <f>HYPERLINK("https://www.amazon.com/Klein-Tools-56380-Multi-Groove-Fiberglass/dp/B0822229DW/ref=sr_1_5?keywords=Klein+Tools+56014+Fiberglass+Fish+Tape+with+Spiral+Leader%2C+200-Foot&amp;qid=1695174145&amp;sr=8-5", "https://www.amazon.com/Klein-Tools-56380-Multi-Groove-Fiberglass/dp/B0822229DW/ref=sr_1_5?keywords=Klein+Tools+56014+Fiberglass+Fish+Tape+with+Spiral+Leader%2C+200-Foot&amp;qid=1695174145&amp;sr=8-5")</f>
        <v>https://www.amazon.com/Klein-Tools-56380-Multi-Groove-Fiberglass/dp/B0822229DW/ref=sr_1_5?keywords=Klein+Tools+56014+Fiberglass+Fish+Tape+with+Spiral+Leader%2C+200-Foot&amp;qid=1695174145&amp;sr=8-5</v>
      </c>
      <c r="F7038" t="s">
        <v>4512</v>
      </c>
      <c r="G7038" t="e">
        <f ca="1">_xludf.IMAGE("https://edmondsonsupply.com/cdn/shop/products/56014.jpg?v=1664478500")</f>
        <v>#NAME?</v>
      </c>
      <c r="H7038" t="e">
        <f ca="1">_xludf.IMAGE("https://m.media-amazon.com/images/I/51m05Po5U+L._AC_UL320_.jpg")</f>
        <v>#NAME?</v>
      </c>
      <c r="I7038" t="s">
        <v>8498</v>
      </c>
      <c r="J7038">
        <v>139.99</v>
      </c>
      <c r="K7038" s="4">
        <v>-0.60340000000000005</v>
      </c>
      <c r="L7038">
        <v>4.7</v>
      </c>
      <c r="M7038">
        <v>87</v>
      </c>
      <c r="O7038" t="s">
        <v>25</v>
      </c>
      <c r="P7038" t="s">
        <v>8499</v>
      </c>
      <c r="Q7038" t="s">
        <v>8500</v>
      </c>
    </row>
    <row r="7039" spans="1:17" ht="15.5" x14ac:dyDescent="0.35">
      <c r="A7039" s="3" t="str">
        <f>HYPERLINK("https://edmondsonsupply.com/collections/electricians-tools/products/milwaukee-2729-22-m18-fuel%E2%84%A2-deep-cut-band-saw-kit", "https://edmondsonsupply.com/collections/electricians-tools/products/milwaukee-2729-22-m18-fuel%E2%84%A2-deep-cut-band-saw-kit")</f>
        <v>https://edmondsonsupply.com/collections/electricians-tools/products/milwaukee-2729-22-m18-fuel%E2%84%A2-deep-cut-band-saw-kit</v>
      </c>
      <c r="B7039" s="3" t="str">
        <f>HYPERLINK("https://edmondsonsupply.com/products/milwaukee-2729-22-m18-fuel%e2%84%a2-deep-cut-band-saw-kit", "https://edmondsonsupply.com/products/milwaukee-2729-22-m18-fuel%e2%84%a2-deep-cut-band-saw-kit")</f>
        <v>https://edmondsonsupply.com/products/milwaukee-2729-22-m18-fuel%e2%84%a2-deep-cut-band-saw-kit</v>
      </c>
      <c r="C7039" t="s">
        <v>8508</v>
      </c>
      <c r="D7039" t="s">
        <v>8830</v>
      </c>
      <c r="E7039" s="3" t="str">
        <f>HYPERLINK("https://www.amazon.com/Milwaukee-2729-20-Fuel-Deep-Band/dp/B00LBHJ688/ref=sr_1_4?keywords=Milwaukee+2729-22+M18+FUEL%E2%84%A2+Deep+Cut+Band+Saw+Kit&amp;qid=1695174171&amp;sr=8-4", "https://www.amazon.com/Milwaukee-2729-20-Fuel-Deep-Band/dp/B00LBHJ688/ref=sr_1_4?keywords=Milwaukee+2729-22+M18+FUEL%E2%84%A2+Deep+Cut+Band+Saw+Kit&amp;qid=1695174171&amp;sr=8-4")</f>
        <v>https://www.amazon.com/Milwaukee-2729-20-Fuel-Deep-Band/dp/B00LBHJ688/ref=sr_1_4?keywords=Milwaukee+2729-22+M18+FUEL%E2%84%A2+Deep+Cut+Band+Saw+Kit&amp;qid=1695174171&amp;sr=8-4</v>
      </c>
      <c r="F7039" t="s">
        <v>8831</v>
      </c>
      <c r="G7039" t="e">
        <f ca="1">_xludf.IMAGE("https://edmondsonsupply.com/cdn/shop/products/190813alex272922XC50Kit.webp?v=1661701754")</f>
        <v>#NAME?</v>
      </c>
      <c r="H7039" t="e">
        <f ca="1">_xludf.IMAGE("https://m.media-amazon.com/images/I/81MBdLmrZgL._AC_UL320_.jpg")</f>
        <v>#NAME?</v>
      </c>
      <c r="I7039" t="s">
        <v>8511</v>
      </c>
      <c r="J7039">
        <v>289</v>
      </c>
      <c r="K7039" s="4">
        <v>-0.60360000000000003</v>
      </c>
      <c r="L7039">
        <v>4.8</v>
      </c>
      <c r="M7039">
        <v>453</v>
      </c>
      <c r="O7039" t="s">
        <v>25</v>
      </c>
      <c r="P7039" t="s">
        <v>8512</v>
      </c>
      <c r="Q7039" t="s">
        <v>8513</v>
      </c>
    </row>
    <row r="7040" spans="1:17" ht="15.5" x14ac:dyDescent="0.35">
      <c r="A7040"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7040" s="3" t="str">
        <f>HYPERLINK("https://edmondsonsupply.com/products/klein-tools-94130-1000v-insulated-tool-kit-5-piece", "https://edmondsonsupply.com/products/klein-tools-94130-1000v-insulated-tool-kit-5-piece")</f>
        <v>https://edmondsonsupply.com/products/klein-tools-94130-1000v-insulated-tool-kit-5-piece</v>
      </c>
      <c r="C7040" t="s">
        <v>2221</v>
      </c>
      <c r="D7040" t="s">
        <v>4851</v>
      </c>
      <c r="E7040" s="3" t="str">
        <f>HYPERLINK("https://www.amazon.com/Klein-Tools-85076INS-Screwdriver-Screwdrivers/dp/B0BF76JDCC/ref=sr_1_9?keywords=Klein+Tools+94130+1000V+Insulated+Tool+Kit%2C+5-Piece&amp;qid=1695173888&amp;sr=8-9", "https://www.amazon.com/Klein-Tools-85076INS-Screwdriver-Screwdrivers/dp/B0BF76JDCC/ref=sr_1_9?keywords=Klein+Tools+94130+1000V+Insulated+Tool+Kit%2C+5-Piece&amp;qid=1695173888&amp;sr=8-9")</f>
        <v>https://www.amazon.com/Klein-Tools-85076INS-Screwdriver-Screwdrivers/dp/B0BF76JDCC/ref=sr_1_9?keywords=Klein+Tools+94130+1000V+Insulated+Tool+Kit%2C+5-Piece&amp;qid=1695173888&amp;sr=8-9</v>
      </c>
      <c r="F7040" t="s">
        <v>4852</v>
      </c>
      <c r="G7040" t="e">
        <f ca="1">_xludf.IMAGE("https://edmondsonsupply.com/cdn/shop/products/94130.jpg?v=1633030386")</f>
        <v>#NAME?</v>
      </c>
      <c r="H7040" t="e">
        <f ca="1">_xludf.IMAGE("https://m.media-amazon.com/images/I/51wtKAQ0TLL._AC_UL320_.jpg")</f>
        <v>#NAME?</v>
      </c>
      <c r="I7040" t="s">
        <v>2224</v>
      </c>
      <c r="J7040">
        <v>39.43</v>
      </c>
      <c r="K7040" s="4">
        <v>-0.60570000000000002</v>
      </c>
      <c r="L7040">
        <v>4.8</v>
      </c>
      <c r="M7040">
        <v>207</v>
      </c>
      <c r="O7040" t="s">
        <v>25</v>
      </c>
      <c r="P7040" t="s">
        <v>2225</v>
      </c>
      <c r="Q7040" t="s">
        <v>2226</v>
      </c>
    </row>
    <row r="7041" spans="1:17" ht="15.5" x14ac:dyDescent="0.35">
      <c r="A7041" s="3" t="str">
        <f>HYPERLINK("https://edmondsonsupply.com/collections/electricians-tools/products/diablo-tools-d0660x-6-1-2-in-x-60-tooth-ultra-finish-saw-blade", "https://edmondsonsupply.com/collections/electricians-tools/products/diablo-tools-d0660x-6-1-2-in-x-60-tooth-ultra-finish-saw-blade")</f>
        <v>https://edmondsonsupply.com/collections/electricians-tools/products/diablo-tools-d0660x-6-1-2-in-x-60-tooth-ultra-finish-saw-blade</v>
      </c>
      <c r="B7041" s="3" t="str">
        <f>HYPERLINK("https://edmondsonsupply.com/products/diablo-tools-d0660x-6-1-2-in-x-60-tooth-ultra-finish-saw-blade", "https://edmondsonsupply.com/products/diablo-tools-d0660x-6-1-2-in-x-60-tooth-ultra-finish-saw-blade")</f>
        <v>https://edmondsonsupply.com/products/diablo-tools-d0660x-6-1-2-in-x-60-tooth-ultra-finish-saw-blade</v>
      </c>
      <c r="C7041" t="s">
        <v>6681</v>
      </c>
      <c r="D7041" t="s">
        <v>9125</v>
      </c>
      <c r="E7041" s="3" t="str">
        <f>HYPERLINK("https://www.amazon.com/Echo-Corner-Ultra-Thin-Woodworking-Fine-Finish/dp/B0BPKXNG29/ref=sr_1_5?keywords=Diablo+Tools+D0660X+6-1%2F2+in.+x+60+Tooth+Ultra+Finish+Saw+Blade&amp;qid=1695174055&amp;sr=8-5", "https://www.amazon.com/Echo-Corner-Ultra-Thin-Woodworking-Fine-Finish/dp/B0BPKXNG29/ref=sr_1_5?keywords=Diablo+Tools+D0660X+6-1%2F2+in.+x+60+Tooth+Ultra+Finish+Saw+Blade&amp;qid=1695174055&amp;sr=8-5")</f>
        <v>https://www.amazon.com/Echo-Corner-Ultra-Thin-Woodworking-Fine-Finish/dp/B0BPKXNG29/ref=sr_1_5?keywords=Diablo+Tools+D0660X+6-1%2F2+in.+x+60+Tooth+Ultra+Finish+Saw+Blade&amp;qid=1695174055&amp;sr=8-5</v>
      </c>
      <c r="F7041" t="s">
        <v>9126</v>
      </c>
      <c r="G7041" t="e">
        <f ca="1">_xludf.IMAGE("https://edmondsonsupply.com/cdn/shop/products/ma8p1gcmhxpwwhymtiim.webp?v=1678983644")</f>
        <v>#NAME?</v>
      </c>
      <c r="H7041" t="e">
        <f ca="1">_xludf.IMAGE("https://m.media-amazon.com/images/I/71-7e9mN5hL._AC_UL320_.jpg")</f>
        <v>#NAME?</v>
      </c>
      <c r="I7041" t="s">
        <v>1716</v>
      </c>
      <c r="J7041">
        <v>8.99</v>
      </c>
      <c r="K7041" s="4">
        <v>-0.60860000000000003</v>
      </c>
      <c r="L7041">
        <v>4.5999999999999996</v>
      </c>
      <c r="M7041">
        <v>89</v>
      </c>
      <c r="O7041" t="s">
        <v>25</v>
      </c>
      <c r="P7041" t="s">
        <v>6682</v>
      </c>
      <c r="Q7041" t="s">
        <v>6683</v>
      </c>
    </row>
    <row r="7042" spans="1:17" ht="15.5" x14ac:dyDescent="0.35">
      <c r="A7042" s="3" t="str">
        <f>HYPERLINK("https://edmondsonsupply.com/collections/electricians-tools/products/diablo-tools-dou250bw3-2-1-2-in-universal-fit-bi-metal-oscillating-blades-for-nail-embedded-wood-3-pack", "https://edmondsonsupply.com/collections/electricians-tools/products/diablo-tools-dou250bw3-2-1-2-in-universal-fit-bi-metal-oscillating-blades-for-nail-embedded-wood-3-pack")</f>
        <v>https://edmondsonsupply.com/collections/electricians-tools/products/diablo-tools-dou250bw3-2-1-2-in-universal-fit-bi-metal-oscillating-blades-for-nail-embedded-wood-3-pack</v>
      </c>
      <c r="B7042" s="3" t="str">
        <f>HYPERLINK("https://edmondsonsupply.com/products/diablo-tools-dou250bw3-2-1-2-in-universal-fit-bi-metal-oscillating-blades-for-nail-embedded-wood-3-pack", "https://edmondsonsupply.com/products/diablo-tools-dou250bw3-2-1-2-in-universal-fit-bi-metal-oscillating-blades-for-nail-embedded-wood-3-pack")</f>
        <v>https://edmondsonsupply.com/products/diablo-tools-dou250bw3-2-1-2-in-universal-fit-bi-metal-oscillating-blades-for-nail-embedded-wood-3-pack</v>
      </c>
      <c r="C7042" t="s">
        <v>5937</v>
      </c>
      <c r="D7042" t="s">
        <v>5970</v>
      </c>
      <c r="E7042" s="3" t="str">
        <f>HYPERLINK("https://www.amazon.com/Diablo-Universal-Bi-Metal-Oscillating-Nail-Embedded/dp/B089LDN2LT/ref=sr_1_4?keywords=Diablo+Tools+DOU250BW3+2-1%2F2+in.+Universal+Fit+Bi-Metal+Oscillating+Blades+for+Nail-Embedded+Wood+%283+pack%29&amp;qid=1695174017&amp;sr=8-4", "https://www.amazon.com/Diablo-Universal-Bi-Metal-Oscillating-Nail-Embedded/dp/B089LDN2LT/ref=sr_1_4?keywords=Diablo+Tools+DOU250BW3+2-1%2F2+in.+Universal+Fit+Bi-Metal+Oscillating+Blades+for+Nail-Embedded+Wood+%283+pack%29&amp;qid=1695174017&amp;sr=8-4")</f>
        <v>https://www.amazon.com/Diablo-Universal-Bi-Metal-Oscillating-Nail-Embedded/dp/B089LDN2LT/ref=sr_1_4?keywords=Diablo+Tools+DOU250BW3+2-1%2F2+in.+Universal+Fit+Bi-Metal+Oscillating+Blades+for+Nail-Embedded+Wood+%283+pack%29&amp;qid=1695174017&amp;sr=8-4</v>
      </c>
      <c r="F7042" t="s">
        <v>5971</v>
      </c>
      <c r="G7042" t="e">
        <f ca="1">_xludf.IMAGE("https://edmondsonsupply.com/cdn/shop/files/xcched1uye7bv2s0ryod_fbd674d3-3cd9-4e2a-a920-451af57abfde.webp?v=1686149226")</f>
        <v>#NAME?</v>
      </c>
      <c r="H7042" t="e">
        <f ca="1">_xludf.IMAGE("https://m.media-amazon.com/images/I/613ig7mNjfL._AC_UL320_.jpg")</f>
        <v>#NAME?</v>
      </c>
      <c r="I7042" t="s">
        <v>5940</v>
      </c>
      <c r="J7042">
        <v>12.14</v>
      </c>
      <c r="K7042" s="4">
        <v>-0.61240000000000006</v>
      </c>
      <c r="L7042">
        <v>4.8</v>
      </c>
      <c r="M7042">
        <v>12</v>
      </c>
      <c r="O7042" t="s">
        <v>25</v>
      </c>
      <c r="P7042" t="s">
        <v>5941</v>
      </c>
      <c r="Q7042" t="s">
        <v>5942</v>
      </c>
    </row>
    <row r="7043" spans="1:17" ht="15.5" x14ac:dyDescent="0.35">
      <c r="A7043" s="3" t="str">
        <f>HYPERLINK("https://edmondsonsupply.com/collections/electricians-tools/products/klein-tools-56014-fiberglass-fish-tape-with-spiral-leader-200-foot", "https://edmondsonsupply.com/collections/electricians-tools/products/klein-tools-56014-fiberglass-fish-tape-with-spiral-leader-200-foot")</f>
        <v>https://edmondsonsupply.com/collections/electricians-tools/products/klein-tools-56014-fiberglass-fish-tape-with-spiral-leader-200-foot</v>
      </c>
      <c r="B7043" s="3" t="str">
        <f>HYPERLINK("https://edmondsonsupply.com/products/klein-tools-56014-fiberglass-fish-tape-with-spiral-leader-200-foot", "https://edmondsonsupply.com/products/klein-tools-56014-fiberglass-fish-tape-with-spiral-leader-200-foot")</f>
        <v>https://edmondsonsupply.com/products/klein-tools-56014-fiberglass-fish-tape-with-spiral-leader-200-foot</v>
      </c>
      <c r="C7043" t="s">
        <v>8495</v>
      </c>
      <c r="D7043" t="s">
        <v>9127</v>
      </c>
      <c r="E7043" s="3" t="str">
        <f>HYPERLINK("https://www.amazon.com/Klein-Tools-56350-Fiberglass-0-182-Inch/dp/B081ZTJTB5/ref=sr_1_4?keywords=Klein+Tools+56014+Fiberglass+Fish+Tape+with+Spiral+Leader%2C+200-Foot&amp;qid=1695174145&amp;sr=8-4", "https://www.amazon.com/Klein-Tools-56350-Fiberglass-0-182-Inch/dp/B081ZTJTB5/ref=sr_1_4?keywords=Klein+Tools+56014+Fiberglass+Fish+Tape+with+Spiral+Leader%2C+200-Foot&amp;qid=1695174145&amp;sr=8-4")</f>
        <v>https://www.amazon.com/Klein-Tools-56350-Fiberglass-0-182-Inch/dp/B081ZTJTB5/ref=sr_1_4?keywords=Klein+Tools+56014+Fiberglass+Fish+Tape+with+Spiral+Leader%2C+200-Foot&amp;qid=1695174145&amp;sr=8-4</v>
      </c>
      <c r="F7043" t="s">
        <v>9128</v>
      </c>
      <c r="G7043" t="e">
        <f ca="1">_xludf.IMAGE("https://edmondsonsupply.com/cdn/shop/products/56014.jpg?v=1664478500")</f>
        <v>#NAME?</v>
      </c>
      <c r="H7043" t="e">
        <f ca="1">_xludf.IMAGE("https://m.media-amazon.com/images/I/51tGreVpcBL._AC_UL320_.jpg")</f>
        <v>#NAME?</v>
      </c>
      <c r="I7043" t="s">
        <v>8498</v>
      </c>
      <c r="J7043">
        <v>134.94999999999999</v>
      </c>
      <c r="K7043" s="4">
        <v>-0.61770000000000003</v>
      </c>
      <c r="L7043">
        <v>4.9000000000000004</v>
      </c>
      <c r="M7043">
        <v>14</v>
      </c>
      <c r="O7043" t="s">
        <v>25</v>
      </c>
      <c r="P7043" t="s">
        <v>8499</v>
      </c>
      <c r="Q7043" t="s">
        <v>8500</v>
      </c>
    </row>
    <row r="7044" spans="1:17" ht="15.5" x14ac:dyDescent="0.35">
      <c r="A7044" s="3" t="str">
        <f>HYPERLINK("https://edmondsonsupply.com/collections/electricians-tools/products/milwaukee-2729-22-m18-fuel%E2%84%A2-deep-cut-band-saw-kit", "https://edmondsonsupply.com/collections/electricians-tools/products/milwaukee-2729-22-m18-fuel%E2%84%A2-deep-cut-band-saw-kit")</f>
        <v>https://edmondsonsupply.com/collections/electricians-tools/products/milwaukee-2729-22-m18-fuel%E2%84%A2-deep-cut-band-saw-kit</v>
      </c>
      <c r="B7044" s="3" t="str">
        <f>HYPERLINK("https://edmondsonsupply.com/products/milwaukee-2729-22-m18-fuel%e2%84%a2-deep-cut-band-saw-kit", "https://edmondsonsupply.com/products/milwaukee-2729-22-m18-fuel%e2%84%a2-deep-cut-band-saw-kit")</f>
        <v>https://edmondsonsupply.com/products/milwaukee-2729-22-m18-fuel%e2%84%a2-deep-cut-band-saw-kit</v>
      </c>
      <c r="C7044" t="s">
        <v>8508</v>
      </c>
      <c r="D7044" t="s">
        <v>8882</v>
      </c>
      <c r="E7044" s="3" t="str">
        <f>HYPERLINK("https://www.amazon.com/Milwaukee-2729-20-FUEL-Deep-Model/dp/B013P2ZGK8/ref=sr_1_3?keywords=Milwaukee+2729-22+M18+FUEL%E2%84%A2+Deep+Cut+Band+Saw+Kit&amp;qid=1695174171&amp;sr=8-3", "https://www.amazon.com/Milwaukee-2729-20-FUEL-Deep-Model/dp/B013P2ZGK8/ref=sr_1_3?keywords=Milwaukee+2729-22+M18+FUEL%E2%84%A2+Deep+Cut+Band+Saw+Kit&amp;qid=1695174171&amp;sr=8-3")</f>
        <v>https://www.amazon.com/Milwaukee-2729-20-FUEL-Deep-Model/dp/B013P2ZGK8/ref=sr_1_3?keywords=Milwaukee+2729-22+M18+FUEL%E2%84%A2+Deep+Cut+Band+Saw+Kit&amp;qid=1695174171&amp;sr=8-3</v>
      </c>
      <c r="F7044" t="s">
        <v>8883</v>
      </c>
      <c r="G7044" t="e">
        <f ca="1">_xludf.IMAGE("https://edmondsonsupply.com/cdn/shop/products/190813alex272922XC50Kit.webp?v=1661701754")</f>
        <v>#NAME?</v>
      </c>
      <c r="H7044" t="e">
        <f ca="1">_xludf.IMAGE("https://m.media-amazon.com/images/I/51VhcKqlfwL._AC_UL320_.jpg")</f>
        <v>#NAME?</v>
      </c>
      <c r="I7044" t="s">
        <v>8511</v>
      </c>
      <c r="J7044">
        <v>276.85000000000002</v>
      </c>
      <c r="K7044" s="4">
        <v>-0.62019999999999997</v>
      </c>
      <c r="L7044">
        <v>4.8</v>
      </c>
      <c r="M7044">
        <v>446</v>
      </c>
      <c r="O7044" t="s">
        <v>25</v>
      </c>
      <c r="P7044" t="s">
        <v>8512</v>
      </c>
      <c r="Q7044" t="s">
        <v>8513</v>
      </c>
    </row>
    <row r="7045" spans="1:17" ht="15.5" x14ac:dyDescent="0.35">
      <c r="A7045" s="3" t="str">
        <f>HYPERLINK("https://edmondsonsupply.com/collections/electricians-tools/products/diablo-tools-dou125cgp3-1-1-4-in-universal-fit-carbide-oscillating-blades-for-general-purpose-cuts-3-pack", "https://edmondsonsupply.com/collections/electricians-tools/products/diablo-tools-dou125cgp3-1-1-4-in-universal-fit-carbide-oscillating-blades-for-general-purpose-cuts-3-pack")</f>
        <v>https://edmondsonsupply.com/collections/electricians-tools/products/diablo-tools-dou125cgp3-1-1-4-in-universal-fit-carbide-oscillating-blades-for-general-purpose-cuts-3-pack</v>
      </c>
      <c r="B7045" s="3" t="str">
        <f>HYPERLINK("https://edmondsonsupply.com/products/diablo-tools-dou125cgp3-1-1-4-in-universal-fit-carbide-oscillating-blades-for-general-purpose-cuts-3-pack", "https://edmondsonsupply.com/products/diablo-tools-dou125cgp3-1-1-4-in-universal-fit-carbide-oscillating-blades-for-general-purpose-cuts-3-pack")</f>
        <v>https://edmondsonsupply.com/products/diablo-tools-dou125cgp3-1-1-4-in-universal-fit-carbide-oscillating-blades-for-general-purpose-cuts-3-pack</v>
      </c>
      <c r="C7045" t="s">
        <v>5957</v>
      </c>
      <c r="D7045" t="s">
        <v>5949</v>
      </c>
      <c r="E7045" s="3" t="str">
        <f>HYPERLINK("https://www.amazon.com/Diablo-Freud-DOU125CGP-Universal-Oscillating/dp/B089LGJV4X/ref=sr_1_4?keywords=Diablo+Tools+DOU125CGP3+1-1%2F4+in.+Universal+Fit+Carbide+Oscillating+Blades+for+General+Purpose+Cuts+%283+Pack%29&amp;qid=1695174046&amp;sr=8-4", "https://www.amazon.com/Diablo-Freud-DOU125CGP-Universal-Oscillating/dp/B089LGJV4X/ref=sr_1_4?keywords=Diablo+Tools+DOU125CGP3+1-1%2F4+in.+Universal+Fit+Carbide+Oscillating+Blades+for+General+Purpose+Cuts+%283+Pack%29&amp;qid=1695174046&amp;sr=8-4")</f>
        <v>https://www.amazon.com/Diablo-Freud-DOU125CGP-Universal-Oscillating/dp/B089LGJV4X/ref=sr_1_4?keywords=Diablo+Tools+DOU125CGP3+1-1%2F4+in.+Universal+Fit+Carbide+Oscillating+Blades+for+General+Purpose+Cuts+%283+Pack%29&amp;qid=1695174046&amp;sr=8-4</v>
      </c>
      <c r="F7045" t="s">
        <v>5950</v>
      </c>
      <c r="G7045" t="e">
        <f ca="1">_xludf.IMAGE("https://edmondsonsupply.com/cdn/shop/files/htobgrjt150mygkkk6to_1.webp?v=1686147205")</f>
        <v>#NAME?</v>
      </c>
      <c r="H7045" t="e">
        <f ca="1">_xludf.IMAGE("https://m.media-amazon.com/images/I/71lNEMXVnHL._AC_UL320_.jpg")</f>
        <v>#NAME?</v>
      </c>
      <c r="I7045" t="s">
        <v>4108</v>
      </c>
      <c r="J7045">
        <v>16.989999999999998</v>
      </c>
      <c r="K7045" s="4">
        <v>-0.62219999999999998</v>
      </c>
      <c r="L7045">
        <v>4.5999999999999996</v>
      </c>
      <c r="M7045">
        <v>38</v>
      </c>
      <c r="O7045" t="s">
        <v>25</v>
      </c>
      <c r="P7045" t="s">
        <v>5958</v>
      </c>
      <c r="Q7045" t="s">
        <v>5959</v>
      </c>
    </row>
    <row r="7046" spans="1:17" ht="15.5" x14ac:dyDescent="0.35">
      <c r="A7046"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7046"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7046" t="s">
        <v>6824</v>
      </c>
      <c r="D7046" t="s">
        <v>9129</v>
      </c>
      <c r="E7046" s="3" t="str">
        <f>HYPERLINK("https://www.amazon.com/CaseSack-Consolidation-Integrated-Receptacle-Accessory/dp/B08TPHYW37/ref=sr_1_10?keywords=Klein+Tools+ET310+Digital+Circuit+Breaker+Finder+with+GFCI+Outlet+Tester&amp;qid=1695173862&amp;sr=8-10", "https://www.amazon.com/CaseSack-Consolidation-Integrated-Receptacle-Accessory/dp/B08TPHYW37/ref=sr_1_10?keywords=Klein+Tools+ET310+Digital+Circuit+Breaker+Finder+with+GFCI+Outlet+Tester&amp;qid=1695173862&amp;sr=8-10")</f>
        <v>https://www.amazon.com/CaseSack-Consolidation-Integrated-Receptacle-Accessory/dp/B08TPHYW37/ref=sr_1_10?keywords=Klein+Tools+ET310+Digital+Circuit+Breaker+Finder+with+GFCI+Outlet+Tester&amp;qid=1695173862&amp;sr=8-10</v>
      </c>
      <c r="F7046" t="s">
        <v>9130</v>
      </c>
      <c r="G7046" t="e">
        <f ca="1">_xludf.IMAGE("https://edmondsonsupply.com/cdn/shop/products/et310_c.jpg?v=1646963918")</f>
        <v>#NAME?</v>
      </c>
      <c r="H7046" t="e">
        <f ca="1">_xludf.IMAGE("https://m.media-amazon.com/images/I/91QJZ0WaD3L._AC_UL320_.jpg")</f>
        <v>#NAME?</v>
      </c>
      <c r="I7046" t="s">
        <v>380</v>
      </c>
      <c r="J7046">
        <v>18.68</v>
      </c>
      <c r="K7046" s="4">
        <v>-0.62619999999999998</v>
      </c>
      <c r="L7046">
        <v>4.0999999999999996</v>
      </c>
      <c r="M7046">
        <v>826</v>
      </c>
      <c r="O7046" t="s">
        <v>25</v>
      </c>
      <c r="P7046" t="s">
        <v>6825</v>
      </c>
      <c r="Q7046" t="s">
        <v>6826</v>
      </c>
    </row>
    <row r="7047" spans="1:17" ht="15.5" x14ac:dyDescent="0.35">
      <c r="A7047" s="3" t="str">
        <f>HYPERLINK("https://edmondsonsupply.com/collections/electricians-tools/products/klein-tools-935dag-digital-angle-gauge-and-level", "https://edmondsonsupply.com/collections/electricians-tools/products/klein-tools-935dag-digital-angle-gauge-and-level")</f>
        <v>https://edmondsonsupply.com/collections/electricians-tools/products/klein-tools-935dag-digital-angle-gauge-and-level</v>
      </c>
      <c r="B7047" s="3" t="str">
        <f>HYPERLINK("https://edmondsonsupply.com/products/klein-tools-935dag-digital-angle-gauge-and-level", "https://edmondsonsupply.com/products/klein-tools-935dag-digital-angle-gauge-and-level")</f>
        <v>https://edmondsonsupply.com/products/klein-tools-935dag-digital-angle-gauge-and-level</v>
      </c>
      <c r="C7047" t="s">
        <v>1924</v>
      </c>
      <c r="D7047" t="s">
        <v>5652</v>
      </c>
      <c r="E7047" s="3" t="str">
        <f>HYPERLINK("https://www.amazon.com/Aproca-Storage-Travel-Digital-Electronic/dp/B08LKV462K/ref=sr_1_9?keywords=Klein+Tools+935DAG+Digital+Angle+Gauge+and+Level&amp;qid=1695173893&amp;sr=8-9", "https://www.amazon.com/Aproca-Storage-Travel-Digital-Electronic/dp/B08LKV462K/ref=sr_1_9?keywords=Klein+Tools+935DAG+Digital+Angle+Gauge+and+Level&amp;qid=1695173893&amp;sr=8-9")</f>
        <v>https://www.amazon.com/Aproca-Storage-Travel-Digital-Electronic/dp/B08LKV462K/ref=sr_1_9?keywords=Klein+Tools+935DAG+Digital+Angle+Gauge+and+Level&amp;qid=1695173893&amp;sr=8-9</v>
      </c>
      <c r="F7047" t="s">
        <v>5653</v>
      </c>
      <c r="G7047" t="e">
        <f ca="1">_xludf.IMAGE("https://edmondsonsupply.com/cdn/shop/products/935dag.jpg?v=1587145032")</f>
        <v>#NAME?</v>
      </c>
      <c r="H7047" t="e">
        <f ca="1">_xludf.IMAGE("https://m.media-amazon.com/images/I/71x6NsHDAdL._AC_UL320_.jpg")</f>
        <v>#NAME?</v>
      </c>
      <c r="I7047" t="s">
        <v>824</v>
      </c>
      <c r="J7047">
        <v>10.99</v>
      </c>
      <c r="K7047" s="4">
        <v>-0.63329999999999997</v>
      </c>
      <c r="L7047">
        <v>4.4000000000000004</v>
      </c>
      <c r="M7047">
        <v>69</v>
      </c>
      <c r="O7047" t="s">
        <v>25</v>
      </c>
      <c r="P7047" t="s">
        <v>73</v>
      </c>
      <c r="Q7047" t="s">
        <v>1927</v>
      </c>
    </row>
    <row r="7048" spans="1:17" ht="15.5" x14ac:dyDescent="0.35">
      <c r="A7048"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7048" s="3" t="str">
        <f>HYPERLINK("https://edmondsonsupply.com/products/klein-tools-32800-6-in-1-multi-nut-driver-heavy-duty", "https://edmondsonsupply.com/products/klein-tools-32800-6-in-1-multi-nut-driver-heavy-duty")</f>
        <v>https://edmondsonsupply.com/products/klein-tools-32800-6-in-1-multi-nut-driver-heavy-duty</v>
      </c>
      <c r="C7048" t="s">
        <v>8108</v>
      </c>
      <c r="D7048" t="s">
        <v>9131</v>
      </c>
      <c r="E7048" s="3" t="str">
        <f>HYPERLINK("https://www.amazon.com/Klein-Tools-32561-Screwdriver-Multi-Bit/dp/B005FQDHHC/ref=sr_1_8?keywords=Klein+Tools+32800+6-in-1+6-in-1+Multi-Bit+Nut+Driver%2C+Heavy+Duty&amp;qid=1695174226&amp;sr=8-8", "https://www.amazon.com/Klein-Tools-32561-Screwdriver-Multi-Bit/dp/B005FQDHHC/ref=sr_1_8?keywords=Klein+Tools+32800+6-in-1+6-in-1+Multi-Bit+Nut+Driver%2C+Heavy+Duty&amp;qid=1695174226&amp;sr=8-8")</f>
        <v>https://www.amazon.com/Klein-Tools-32561-Screwdriver-Multi-Bit/dp/B005FQDHHC/ref=sr_1_8?keywords=Klein+Tools+32800+6-in-1+6-in-1+Multi-Bit+Nut+Driver%2C+Heavy+Duty&amp;qid=1695174226&amp;sr=8-8</v>
      </c>
      <c r="F7048" t="s">
        <v>9132</v>
      </c>
      <c r="G7048" t="e">
        <f ca="1">_xludf.IMAGE("https://edmondsonsupply.com/cdn/shop/products/32800_alt2.jpg?v=1646595019")</f>
        <v>#NAME?</v>
      </c>
      <c r="H7048" t="e">
        <f ca="1">_xludf.IMAGE("https://m.media-amazon.com/images/I/61cyqZhSgsL._AC_UL320_.jpg")</f>
        <v>#NAME?</v>
      </c>
      <c r="I7048" t="s">
        <v>26</v>
      </c>
      <c r="J7048">
        <v>10.97</v>
      </c>
      <c r="K7048" s="4">
        <v>-0.63419999999999999</v>
      </c>
      <c r="L7048">
        <v>4.8</v>
      </c>
      <c r="M7048">
        <v>13277</v>
      </c>
      <c r="O7048" t="s">
        <v>25</v>
      </c>
      <c r="P7048" t="s">
        <v>8111</v>
      </c>
      <c r="Q7048" t="s">
        <v>8112</v>
      </c>
    </row>
    <row r="7049" spans="1:17" ht="15.5" x14ac:dyDescent="0.35">
      <c r="A7049" s="3" t="str">
        <f>HYPERLINK("https://edmondsonsupply.com/collections/electricians-tools/products/diablo-tools-dmapl2500-7-8-in-x-8-in-x-10-in-sds-plus-2-cutter", "https://edmondsonsupply.com/collections/electricians-tools/products/diablo-tools-dmapl2500-7-8-in-x-8-in-x-10-in-sds-plus-2-cutter")</f>
        <v>https://edmondsonsupply.com/collections/electricians-tools/products/diablo-tools-dmapl2500-7-8-in-x-8-in-x-10-in-sds-plus-2-cutter</v>
      </c>
      <c r="B7049" s="3" t="str">
        <f>HYPERLINK("https://edmondsonsupply.com/products/diablo-tools-dmapl2500-7-8-in-x-8-in-x-10-in-sds-plus-2-cutter", "https://edmondsonsupply.com/products/diablo-tools-dmapl2500-7-8-in-x-8-in-x-10-in-sds-plus-2-cutter")</f>
        <v>https://edmondsonsupply.com/products/diablo-tools-dmapl2500-7-8-in-x-8-in-x-10-in-sds-plus-2-cutter</v>
      </c>
      <c r="C7049" t="s">
        <v>7534</v>
      </c>
      <c r="D7049" t="s">
        <v>5912</v>
      </c>
      <c r="E7049" s="3" t="str">
        <f>HYPERLINK("https://www.amazon.com/Diablo-DMAPL2290-16-SDS-Plus-2-Cutter/dp/B089KVPSVG/ref=sr_1_9?keywords=Diablo+Tools+DMAPL2500+7%2F8+in.+x+8+in.+x+10+in.+SDS-Plus+2-Cutter&amp;qid=1695174221&amp;sr=8-9", "https://www.amazon.com/Diablo-DMAPL2290-16-SDS-Plus-2-Cutter/dp/B089KVPSVG/ref=sr_1_9?keywords=Diablo+Tools+DMAPL2500+7%2F8+in.+x+8+in.+x+10+in.+SDS-Plus+2-Cutter&amp;qid=1695174221&amp;sr=8-9")</f>
        <v>https://www.amazon.com/Diablo-DMAPL2290-16-SDS-Plus-2-Cutter/dp/B089KVPSVG/ref=sr_1_9?keywords=Diablo+Tools+DMAPL2500+7%2F8+in.+x+8+in.+x+10+in.+SDS-Plus+2-Cutter&amp;qid=1695174221&amp;sr=8-9</v>
      </c>
      <c r="F7049" t="s">
        <v>5913</v>
      </c>
      <c r="G7049" t="e">
        <f ca="1">_xludf.IMAGE("https://edmondsonsupply.com/cdn/shop/products/2500.webp?v=1647636219")</f>
        <v>#NAME?</v>
      </c>
      <c r="H7049" t="e">
        <f ca="1">_xludf.IMAGE("https://m.media-amazon.com/images/I/61fcva10QfL._AC_UL320_.jpg")</f>
        <v>#NAME?</v>
      </c>
      <c r="I7049" t="s">
        <v>7535</v>
      </c>
      <c r="J7049">
        <v>10.54</v>
      </c>
      <c r="K7049" s="4">
        <v>-0.63619999999999999</v>
      </c>
      <c r="L7049">
        <v>4.7</v>
      </c>
      <c r="M7049">
        <v>6</v>
      </c>
      <c r="O7049" t="s">
        <v>25</v>
      </c>
      <c r="P7049" t="s">
        <v>6809</v>
      </c>
      <c r="Q7049" t="s">
        <v>7536</v>
      </c>
    </row>
    <row r="7050" spans="1:17" ht="15.5" x14ac:dyDescent="0.35">
      <c r="A7050" s="3" t="str">
        <f>HYPERLINK("https://edmondsonsupply.com/collections/electricians-tools/products/edge-eyewear-sr116-reclus-black-frame-smoke-lens-safety-glasses", "https://edmondsonsupply.com/collections/electricians-tools/products/edge-eyewear-sr116-reclus-black-frame-smoke-lens-safety-glasses")</f>
        <v>https://edmondsonsupply.com/collections/electricians-tools/products/edge-eyewear-sr116-reclus-black-frame-smoke-lens-safety-glasses</v>
      </c>
      <c r="B7050" s="3" t="str">
        <f>HYPERLINK("https://edmondsonsupply.com/products/edge-eyewear-sr116-reclus-black-frame-smoke-lens-safety-glasses", "https://edmondsonsupply.com/products/edge-eyewear-sr116-reclus-black-frame-smoke-lens-safety-glasses")</f>
        <v>https://edmondsonsupply.com/products/edge-eyewear-sr116-reclus-black-frame-smoke-lens-safety-glasses</v>
      </c>
      <c r="C7050" t="s">
        <v>985</v>
      </c>
      <c r="D7050" t="s">
        <v>1335</v>
      </c>
      <c r="E7050" s="3" t="str">
        <f>HYPERLINK("https://www.amazon.com/Edge-Eyewear-DZ116-G2-Safety-Glasses/dp/B00OYIMUDE/ref=sr_1_5?keywords=Edge+Eyewear+SR116+Reclus+-+Black+Frame%2FSmoke+Lens%2C+Safety+Glasses&amp;qid=1695174291&amp;sr=8-5", "https://www.amazon.com/Edge-Eyewear-DZ116-G2-Safety-Glasses/dp/B00OYIMUDE/ref=sr_1_5?keywords=Edge+Eyewear+SR116+Reclus+-+Black+Frame%2FSmoke+Lens%2C+Safety+Glasses&amp;qid=1695174291&amp;sr=8-5")</f>
        <v>https://www.amazon.com/Edge-Eyewear-DZ116-G2-Safety-Glasses/dp/B00OYIMUDE/ref=sr_1_5?keywords=Edge+Eyewear+SR116+Reclus+-+Black+Frame%2FSmoke+Lens%2C+Safety+Glasses&amp;qid=1695174291&amp;sr=8-5</v>
      </c>
      <c r="F7050" t="s">
        <v>1336</v>
      </c>
      <c r="G7050" t="e">
        <f ca="1">_xludf.IMAGE("https://edmondsonsupply.com/cdn/shop/products/SR116_1512x_cc8649c7-14e6-4c1c-9513-7dd61f5f7eb9.png?v=1633030940")</f>
        <v>#NAME?</v>
      </c>
      <c r="H7050" t="e">
        <f ca="1">_xludf.IMAGE("https://m.media-amazon.com/images/I/41bqa6uxQlL._AC_UL320_.jpg")</f>
        <v>#NAME?</v>
      </c>
      <c r="I7050" t="s">
        <v>988</v>
      </c>
      <c r="J7050">
        <v>5.99</v>
      </c>
      <c r="K7050" s="4">
        <v>-0.63629999999999998</v>
      </c>
      <c r="L7050">
        <v>4.3</v>
      </c>
      <c r="M7050">
        <v>468</v>
      </c>
      <c r="O7050" t="s">
        <v>25</v>
      </c>
      <c r="P7050" t="s">
        <v>989</v>
      </c>
      <c r="Q7050" t="s">
        <v>990</v>
      </c>
    </row>
    <row r="7051" spans="1:17" ht="15.5" x14ac:dyDescent="0.35">
      <c r="A7051" s="3" t="str">
        <f>HYPERLINK("https://edmondsonsupply.com/collections/electricians-tools/products/fluke-62-max-handheld-infrared-laser-thermometer", "https://edmondsonsupply.com/collections/electricians-tools/products/fluke-62-max-handheld-infrared-laser-thermometer")</f>
        <v>https://edmondsonsupply.com/collections/electricians-tools/products/fluke-62-max-handheld-infrared-laser-thermometer</v>
      </c>
      <c r="B7051" s="3" t="str">
        <f>HYPERLINK("https://edmondsonsupply.com/products/fluke-62-max-handheld-infrared-laser-thermometer", "https://edmondsonsupply.com/products/fluke-62-max-handheld-infrared-laser-thermometer")</f>
        <v>https://edmondsonsupply.com/products/fluke-62-max-handheld-infrared-laser-thermometer</v>
      </c>
      <c r="C7051" t="s">
        <v>8963</v>
      </c>
      <c r="D7051" t="s">
        <v>9133</v>
      </c>
      <c r="E7051" s="3" t="str">
        <f>HYPERLINK("https://www.amazon.com/HTLNUZD-59-Thermometer-Precision-Temperature/dp/B0B82FZVVM/ref=sr_1_2?keywords=Fluke+62+MAX+Handheld+Infrared+Laser+Thermometer&amp;qid=1695174240&amp;sr=8-2", "https://www.amazon.com/HTLNUZD-59-Thermometer-Precision-Temperature/dp/B0B82FZVVM/ref=sr_1_2?keywords=Fluke+62+MAX+Handheld+Infrared+Laser+Thermometer&amp;qid=1695174240&amp;sr=8-2")</f>
        <v>https://www.amazon.com/HTLNUZD-59-Thermometer-Precision-Temperature/dp/B0B82FZVVM/ref=sr_1_2?keywords=Fluke+62+MAX+Handheld+Infrared+Laser+Thermometer&amp;qid=1695174240&amp;sr=8-2</v>
      </c>
      <c r="F7051" t="s">
        <v>9134</v>
      </c>
      <c r="G7051" t="e">
        <f ca="1">_xludf.IMAGE("https://edmondsonsupply.com/cdn/shop/products/Fluke_62_MAX__back_499x1024px_E_NR-18387.jpg?v=1633031180")</f>
        <v>#NAME?</v>
      </c>
      <c r="H7051" t="e">
        <f ca="1">_xludf.IMAGE("https://m.media-amazon.com/images/I/51Z7Dlek9xL._AC_UY218_.jpg")</f>
        <v>#NAME?</v>
      </c>
      <c r="I7051" t="s">
        <v>483</v>
      </c>
      <c r="J7051">
        <v>65.23</v>
      </c>
      <c r="K7051" s="4">
        <v>-0.63759999999999994</v>
      </c>
      <c r="L7051">
        <v>5</v>
      </c>
      <c r="M7051">
        <v>1</v>
      </c>
      <c r="O7051" t="s">
        <v>25</v>
      </c>
      <c r="P7051" t="s">
        <v>400</v>
      </c>
      <c r="Q7051" t="s">
        <v>8964</v>
      </c>
    </row>
    <row r="7052" spans="1:17" ht="15.5" x14ac:dyDescent="0.35">
      <c r="A7052"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7052"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7052" t="s">
        <v>8519</v>
      </c>
      <c r="D7052" t="s">
        <v>8767</v>
      </c>
      <c r="E7052" s="3" t="str">
        <f>HYPERLINK("https://www.amazon.com/Diablo-Freud-DOU125JBW-Universal-Oscillating/dp/B089KV62LL/ref=sr_1_2?keywords=Diablo+Tools+DOU125JBW3+1-1%2F4+in.+Universal+Fit+Bi-Metal+Oscillating+Blades+for+Clean+Wood&amp;qid=1695174271&amp;sr=8-2", "https://www.amazon.com/Diablo-Freud-DOU125JBW-Universal-Oscillating/dp/B089KV62LL/ref=sr_1_2?keywords=Diablo+Tools+DOU125JBW3+1-1%2F4+in.+Universal+Fit+Bi-Metal+Oscillating+Blades+for+Clean+Wood&amp;qid=1695174271&amp;sr=8-2")</f>
        <v>https://www.amazon.com/Diablo-Freud-DOU125JBW-Universal-Oscillating/dp/B089KV62LL/ref=sr_1_2?keywords=Diablo+Tools+DOU125JBW3+1-1%2F4+in.+Universal+Fit+Bi-Metal+Oscillating+Blades+for+Clean+Wood&amp;qid=1695174271&amp;sr=8-2</v>
      </c>
      <c r="F7052" t="s">
        <v>8768</v>
      </c>
      <c r="G7052" t="e">
        <f ca="1">_xludf.IMAGE("https://edmondsonsupply.com/cdn/shop/products/DOU125JBW3_Main-Image.png?v=1633031095")</f>
        <v>#NAME?</v>
      </c>
      <c r="H7052" t="e">
        <f ca="1">_xludf.IMAGE("https://m.media-amazon.com/images/I/61wFHtmEH5L._AC_UL320_.jpg")</f>
        <v>#NAME?</v>
      </c>
      <c r="I7052" t="s">
        <v>340</v>
      </c>
      <c r="J7052">
        <v>12.49</v>
      </c>
      <c r="K7052" s="4">
        <v>-0.64280000000000004</v>
      </c>
      <c r="L7052">
        <v>4.8</v>
      </c>
      <c r="M7052">
        <v>12</v>
      </c>
      <c r="O7052" t="s">
        <v>25</v>
      </c>
      <c r="P7052" t="s">
        <v>8520</v>
      </c>
      <c r="Q7052" t="s">
        <v>8521</v>
      </c>
    </row>
    <row r="7053" spans="1:17" ht="15.5" x14ac:dyDescent="0.35">
      <c r="A7053"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7053"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7053" t="s">
        <v>8522</v>
      </c>
      <c r="D7053" t="s">
        <v>8767</v>
      </c>
      <c r="E7053" s="3" t="str">
        <f>HYPERLINK("https://www.amazon.com/Diablo-Freud-DOU125JBW-Universal-Oscillating/dp/B089KV62LL/ref=sr_1_8?keywords=Diablo+Tools+DOU125BF3+1-1%2F4+in.+Universal+Fit+Bi-Metal+Oscillating+Blade+for+Metal+%283+pack%29&amp;qid=1695174014&amp;sr=8-8", "https://www.amazon.com/Diablo-Freud-DOU125JBW-Universal-Oscillating/dp/B089KV62LL/ref=sr_1_8?keywords=Diablo+Tools+DOU125BF3+1-1%2F4+in.+Universal+Fit+Bi-Metal+Oscillating+Blade+for+Metal+%283+pack%29&amp;qid=1695174014&amp;sr=8-8")</f>
        <v>https://www.amazon.com/Diablo-Freud-DOU125JBW-Universal-Oscillating/dp/B089KV62LL/ref=sr_1_8?keywords=Diablo+Tools+DOU125BF3+1-1%2F4+in.+Universal+Fit+Bi-Metal+Oscillating+Blade+for+Metal+%283+pack%29&amp;qid=1695174014&amp;sr=8-8</v>
      </c>
      <c r="F7053" t="s">
        <v>8768</v>
      </c>
      <c r="G7053" t="e">
        <f ca="1">_xludf.IMAGE("https://edmondsonsupply.com/cdn/shop/files/k1d1qiwmm4npznsdbwtg_4dc7bdf3-43a4-4863-8a1d-f71b60bc7c6d.webp?v=1685468179")</f>
        <v>#NAME?</v>
      </c>
      <c r="H7053" t="e">
        <f ca="1">_xludf.IMAGE("https://m.media-amazon.com/images/I/61wFHtmEH5L._AC_UL320_.jpg")</f>
        <v>#NAME?</v>
      </c>
      <c r="I7053" t="s">
        <v>340</v>
      </c>
      <c r="J7053">
        <v>12.49</v>
      </c>
      <c r="K7053" s="4">
        <v>-0.64280000000000004</v>
      </c>
      <c r="L7053">
        <v>4.8</v>
      </c>
      <c r="M7053">
        <v>12</v>
      </c>
      <c r="O7053" t="s">
        <v>25</v>
      </c>
      <c r="P7053" t="s">
        <v>8520</v>
      </c>
      <c r="Q7053" t="s">
        <v>8523</v>
      </c>
    </row>
    <row r="7054" spans="1:17" ht="15.5" x14ac:dyDescent="0.35">
      <c r="A7054" s="3" t="str">
        <f>HYPERLINK("https://edmondsonsupply.com/collections/electricians-tools/products/klein-tools-vdv500-123-probe-pro-tracing-probe", "https://edmondsonsupply.com/collections/electricians-tools/products/klein-tools-vdv500-123-probe-pro-tracing-probe")</f>
        <v>https://edmondsonsupply.com/collections/electricians-tools/products/klein-tools-vdv500-123-probe-pro-tracing-probe</v>
      </c>
      <c r="B7054" s="3" t="str">
        <f>HYPERLINK("https://edmondsonsupply.com/products/klein-tools-vdv500-123-probe-pro-tracing-probe", "https://edmondsonsupply.com/products/klein-tools-vdv500-123-probe-pro-tracing-probe")</f>
        <v>https://edmondsonsupply.com/products/klein-tools-vdv500-123-probe-pro-tracing-probe</v>
      </c>
      <c r="C7054" t="s">
        <v>6065</v>
      </c>
      <c r="D7054" t="s">
        <v>9135</v>
      </c>
      <c r="E7054" s="3" t="str">
        <f>HYPERLINK("https://www.amazon.com/Hermitshell-VDV500-063-Toner-Pro-Generator-VDV500-123/dp/B0BTVNKJSQ/ref=sr_1_2?keywords=Klein+Tools+VDV500-123+Probe-PRO+Tracing+Probe&amp;qid=1695173898&amp;sr=8-2", "https://www.amazon.com/Hermitshell-VDV500-063-Toner-Pro-Generator-VDV500-123/dp/B0BTVNKJSQ/ref=sr_1_2?keywords=Klein+Tools+VDV500-123+Probe-PRO+Tracing+Probe&amp;qid=1695173898&amp;sr=8-2")</f>
        <v>https://www.amazon.com/Hermitshell-VDV500-063-Toner-Pro-Generator-VDV500-123/dp/B0BTVNKJSQ/ref=sr_1_2?keywords=Klein+Tools+VDV500-123+Probe-PRO+Tracing+Probe&amp;qid=1695173898&amp;sr=8-2</v>
      </c>
      <c r="F7054" t="s">
        <v>9136</v>
      </c>
      <c r="G7054" t="e">
        <f ca="1">_xludf.IMAGE("https://edmondsonsupply.com/cdn/shop/products/vdv500123.jpg?v=1587142783")</f>
        <v>#NAME?</v>
      </c>
      <c r="H7054" t="e">
        <f ca="1">_xludf.IMAGE("https://m.media-amazon.com/images/I/61XSSZG2aoL._AC_UY218_.jpg")</f>
        <v>#NAME?</v>
      </c>
      <c r="I7054" t="s">
        <v>946</v>
      </c>
      <c r="J7054">
        <v>15.99</v>
      </c>
      <c r="K7054" s="4">
        <v>-0.64459999999999995</v>
      </c>
      <c r="L7054">
        <v>4.8</v>
      </c>
      <c r="M7054">
        <v>14</v>
      </c>
      <c r="O7054" t="s">
        <v>25</v>
      </c>
      <c r="P7054" t="s">
        <v>6068</v>
      </c>
      <c r="Q7054" t="s">
        <v>6069</v>
      </c>
    </row>
    <row r="7055" spans="1:17" ht="15.5" x14ac:dyDescent="0.35">
      <c r="A7055"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55"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55" t="s">
        <v>6718</v>
      </c>
      <c r="D7055" t="s">
        <v>9137</v>
      </c>
      <c r="E7055" s="3" t="str">
        <f>HYPERLINK("https://www.amazon.com/Multi-Voltage-48-59-1812-Compatible-48-11-1850-48-11-1852/dp/B0BZP3Q17Q/ref=sr_1_5?keywords=Milwaukee+48-59-1812+M18%E2%84%A2+%26+M12%E2%84%A2+Multi-Voltage+Charger&amp;qid=1695174184&amp;sr=8-5", "https://www.amazon.com/Multi-Voltage-48-59-1812-Compatible-48-11-1850-48-11-1852/dp/B0BZP3Q17Q/ref=sr_1_5?keywords=Milwaukee+48-59-1812+M18%E2%84%A2+%26+M12%E2%84%A2+Multi-Voltage+Charger&amp;qid=1695174184&amp;sr=8-5")</f>
        <v>https://www.amazon.com/Multi-Voltage-48-59-1812-Compatible-48-11-1850-48-11-1852/dp/B0BZP3Q17Q/ref=sr_1_5?keywords=Milwaukee+48-59-1812+M18%E2%84%A2+%26+M12%E2%84%A2+Multi-Voltage+Charger&amp;qid=1695174184&amp;sr=8-5</v>
      </c>
      <c r="F7055" t="s">
        <v>9138</v>
      </c>
      <c r="G7055" t="e">
        <f ca="1">_xludf.IMAGE("https://edmondsonsupply.com/cdn/shop/products/60113_48-59-1812_3-lg.webp?v=1656530513")</f>
        <v>#NAME?</v>
      </c>
      <c r="H7055" t="e">
        <f ca="1">_xludf.IMAGE("https://m.media-amazon.com/images/I/71Uu6-RH+YL._AC_UL320_.jpg")</f>
        <v>#NAME?</v>
      </c>
      <c r="I7055" t="s">
        <v>4741</v>
      </c>
      <c r="J7055">
        <v>27.99</v>
      </c>
      <c r="K7055" s="4">
        <v>-0.64570000000000005</v>
      </c>
      <c r="L7055">
        <v>4.3</v>
      </c>
      <c r="M7055">
        <v>24</v>
      </c>
      <c r="O7055" t="s">
        <v>25</v>
      </c>
      <c r="P7055" t="s">
        <v>6721</v>
      </c>
      <c r="Q7055" t="s">
        <v>6722</v>
      </c>
    </row>
    <row r="7056" spans="1:17" ht="15.5" x14ac:dyDescent="0.35">
      <c r="A7056" s="3" t="str">
        <f>HYPERLINK("https://edmondsonsupply.com/collections/electricians-tools/products/diablo-tools-dmapl2290-7-16-in-x-10-in-x-12-in-sds-plus-2-cutter", "https://edmondsonsupply.com/collections/electricians-tools/products/diablo-tools-dmapl2290-7-16-in-x-10-in-x-12-in-sds-plus-2-cutter")</f>
        <v>https://edmondsonsupply.com/collections/electricians-tools/products/diablo-tools-dmapl2290-7-16-in-x-10-in-x-12-in-sds-plus-2-cutter</v>
      </c>
      <c r="B7056" s="3" t="str">
        <f>HYPERLINK("https://edmondsonsupply.com/products/diablo-tools-dmapl2290-7-16-in-x-10-in-x-12-in-sds-plus-2-cutter", "https://edmondsonsupply.com/products/diablo-tools-dmapl2290-7-16-in-x-10-in-x-12-in-sds-plus-2-cutter")</f>
        <v>https://edmondsonsupply.com/products/diablo-tools-dmapl2290-7-16-in-x-10-in-x-12-in-sds-plus-2-cutter</v>
      </c>
      <c r="C7056" t="s">
        <v>5860</v>
      </c>
      <c r="D7056" t="s">
        <v>5974</v>
      </c>
      <c r="E7056" s="3" t="str">
        <f>HYPERLINK("https://www.amazon.com/Bosch-HC2074-SDS-plus-Bulldog-Rotary/dp/B000AMXOF6/ref=sr_1_10?keywords=Diablo+Tools+DMAPL2290+7%2F16+in.+x+10+in.+x+12+in.+SDS-Plus+2-Cutter&amp;qid=1695174015&amp;sr=8-10", "https://www.amazon.com/Bosch-HC2074-SDS-plus-Bulldog-Rotary/dp/B000AMXOF6/ref=sr_1_10?keywords=Diablo+Tools+DMAPL2290+7%2F16+in.+x+10+in.+x+12+in.+SDS-Plus+2-Cutter&amp;qid=1695174015&amp;sr=8-10")</f>
        <v>https://www.amazon.com/Bosch-HC2074-SDS-plus-Bulldog-Rotary/dp/B000AMXOF6/ref=sr_1_10?keywords=Diablo+Tools+DMAPL2290+7%2F16+in.+x+10+in.+x+12+in.+SDS-Plus+2-Cutter&amp;qid=1695174015&amp;sr=8-10</v>
      </c>
      <c r="F7056" t="s">
        <v>5975</v>
      </c>
      <c r="G7056" t="e">
        <f ca="1">_xludf.IMAGE("https://edmondsonsupply.com/cdn/shop/files/lgvfccwvf9ikjakt8qfb.webp?v=1686146379")</f>
        <v>#NAME?</v>
      </c>
      <c r="H7056" t="e">
        <f ca="1">_xludf.IMAGE("https://m.media-amazon.com/images/I/61UHBPkvguL._AC_UL320_.jpg")</f>
        <v>#NAME?</v>
      </c>
      <c r="I7056" t="s">
        <v>1140</v>
      </c>
      <c r="J7056">
        <v>3.7</v>
      </c>
      <c r="K7056" s="4">
        <v>-0.64759999999999995</v>
      </c>
      <c r="L7056">
        <v>4.7</v>
      </c>
      <c r="M7056">
        <v>9693</v>
      </c>
      <c r="O7056" t="s">
        <v>25</v>
      </c>
      <c r="P7056" t="s">
        <v>5863</v>
      </c>
      <c r="Q7056" t="s">
        <v>5864</v>
      </c>
    </row>
    <row r="7057" spans="1:17" ht="15.5" x14ac:dyDescent="0.35">
      <c r="A7057" s="3" t="str">
        <f>HYPERLINK("https://edmondsonsupply.com/collections/electricians-tools/products/klein-tools-vdv427-300-impact-punchdown-tool-66-110-blade", "https://edmondsonsupply.com/collections/electricians-tools/products/klein-tools-vdv427-300-impact-punchdown-tool-66-110-blade")</f>
        <v>https://edmondsonsupply.com/collections/electricians-tools/products/klein-tools-vdv427-300-impact-punchdown-tool-66-110-blade</v>
      </c>
      <c r="B7057" s="3" t="str">
        <f>HYPERLINK("https://edmondsonsupply.com/products/klein-tools-vdv427-300-impact-punchdown-tool-66-110-blade", "https://edmondsonsupply.com/products/klein-tools-vdv427-300-impact-punchdown-tool-66-110-blade")</f>
        <v>https://edmondsonsupply.com/products/klein-tools-vdv427-300-impact-punchdown-tool-66-110-blade</v>
      </c>
      <c r="C7057" t="s">
        <v>6289</v>
      </c>
      <c r="D7057" t="s">
        <v>9139</v>
      </c>
      <c r="E7057" s="3" t="str">
        <f>HYPERLINK("https://www.amazon.com/FBLFOBELI-VDV427-300-Punchdown-Shockproof-Carrying/dp/B09Q88VB6C/ref=sr_1_2?keywords=Klein+Tools+VDV427-300+Impact+Punchdown+Tool%2C+66%2F110+Blade&amp;qid=1695174221&amp;sr=8-2", "https://www.amazon.com/FBLFOBELI-VDV427-300-Punchdown-Shockproof-Carrying/dp/B09Q88VB6C/ref=sr_1_2?keywords=Klein+Tools+VDV427-300+Impact+Punchdown+Tool%2C+66%2F110+Blade&amp;qid=1695174221&amp;sr=8-2")</f>
        <v>https://www.amazon.com/FBLFOBELI-VDV427-300-Punchdown-Shockproof-Carrying/dp/B09Q88VB6C/ref=sr_1_2?keywords=Klein+Tools+VDV427-300+Impact+Punchdown+Tool%2C+66%2F110+Blade&amp;qid=1695174221&amp;sr=8-2</v>
      </c>
      <c r="F7057" t="s">
        <v>9140</v>
      </c>
      <c r="G7057" t="e">
        <f ca="1">_xludf.IMAGE("https://edmondsonsupply.com/cdn/shop/products/vdv427300.jpg?v=1646010568")</f>
        <v>#NAME?</v>
      </c>
      <c r="H7057" t="e">
        <f ca="1">_xludf.IMAGE("https://m.media-amazon.com/images/I/71K5+VIUifL._AC_UL320_.jpg")</f>
        <v>#NAME?</v>
      </c>
      <c r="I7057" t="s">
        <v>246</v>
      </c>
      <c r="J7057">
        <v>13.99</v>
      </c>
      <c r="K7057" s="4">
        <v>-0.65</v>
      </c>
      <c r="L7057">
        <v>4.8</v>
      </c>
      <c r="M7057">
        <v>7</v>
      </c>
      <c r="O7057" t="s">
        <v>25</v>
      </c>
      <c r="P7057" t="s">
        <v>1027</v>
      </c>
      <c r="Q7057" t="s">
        <v>6292</v>
      </c>
    </row>
    <row r="7058" spans="1:17" ht="15.5" x14ac:dyDescent="0.35">
      <c r="A7058"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7058" s="3" t="str">
        <f>HYPERLINK("https://edmondsonsupply.com/products/klein-tools-56341-stainless-steel-fish-tape-1-8-inch-x-240-foot", "https://edmondsonsupply.com/products/klein-tools-56341-stainless-steel-fish-tape-1-8-inch-x-240-foot")</f>
        <v>https://edmondsonsupply.com/products/klein-tools-56341-stainless-steel-fish-tape-1-8-inch-x-240-foot</v>
      </c>
      <c r="C7058" t="s">
        <v>7829</v>
      </c>
      <c r="D7058" t="s">
        <v>9141</v>
      </c>
      <c r="E7058" s="3" t="str">
        <f>HYPERLINK("https://www.amazon.com/65-Foot-Measuring-Klein-Tools-56002/dp/B007KFRMY0/ref=sr_1_4?keywords=Klein+Tools+56341+Stainless+Steel+Fish+Tape%2C+1%2F8-Inch+x+240-Foot&amp;qid=1695174134&amp;sr=8-4", "https://www.amazon.com/65-Foot-Measuring-Klein-Tools-56002/dp/B007KFRMY0/ref=sr_1_4?keywords=Klein+Tools+56341+Stainless+Steel+Fish+Tape%2C+1%2F8-Inch+x+240-Foot&amp;qid=1695174134&amp;sr=8-4")</f>
        <v>https://www.amazon.com/65-Foot-Measuring-Klein-Tools-56002/dp/B007KFRMY0/ref=sr_1_4?keywords=Klein+Tools+56341+Stainless+Steel+Fish+Tape%2C+1%2F8-Inch+x+240-Foot&amp;qid=1695174134&amp;sr=8-4</v>
      </c>
      <c r="F7058" t="s">
        <v>9142</v>
      </c>
      <c r="G7058" t="e">
        <f ca="1">_xludf.IMAGE("https://edmondsonsupply.com/cdn/shop/products/56341.jpg?v=1666901345")</f>
        <v>#NAME?</v>
      </c>
      <c r="H7058" t="e">
        <f ca="1">_xludf.IMAGE("https://m.media-amazon.com/images/I/51JsZKupteL._AC_UL320_.jpg")</f>
        <v>#NAME?</v>
      </c>
      <c r="I7058" t="s">
        <v>7832</v>
      </c>
      <c r="J7058">
        <v>39.97</v>
      </c>
      <c r="K7058" s="4">
        <v>-0.65239999999999998</v>
      </c>
      <c r="L7058">
        <v>4.4000000000000004</v>
      </c>
      <c r="M7058">
        <v>140</v>
      </c>
      <c r="O7058" t="s">
        <v>25</v>
      </c>
      <c r="P7058" t="s">
        <v>7833</v>
      </c>
      <c r="Q7058" t="s">
        <v>7834</v>
      </c>
    </row>
    <row r="7059" spans="1:17" ht="15.5" x14ac:dyDescent="0.35">
      <c r="A7059"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7059"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7059" t="s">
        <v>8522</v>
      </c>
      <c r="D7059" t="s">
        <v>5970</v>
      </c>
      <c r="E7059" s="3" t="str">
        <f>HYPERLINK("https://www.amazon.com/Diablo-Universal-Bi-Metal-Oscillating-Nail-Embedded/dp/B089LDN2LT/ref=sr_1_9?keywords=Diablo+Tools+DOU125BF3+1-1%2F4+in.+Universal+Fit+Bi-Metal+Oscillating+Blade+for+Metal+%283+pack%29&amp;qid=1695174014&amp;sr=8-9", "https://www.amazon.com/Diablo-Universal-Bi-Metal-Oscillating-Nail-Embedded/dp/B089LDN2LT/ref=sr_1_9?keywords=Diablo+Tools+DOU125BF3+1-1%2F4+in.+Universal+Fit+Bi-Metal+Oscillating+Blade+for+Metal+%283+pack%29&amp;qid=1695174014&amp;sr=8-9")</f>
        <v>https://www.amazon.com/Diablo-Universal-Bi-Metal-Oscillating-Nail-Embedded/dp/B089LDN2LT/ref=sr_1_9?keywords=Diablo+Tools+DOU125BF3+1-1%2F4+in.+Universal+Fit+Bi-Metal+Oscillating+Blade+for+Metal+%283+pack%29&amp;qid=1695174014&amp;sr=8-9</v>
      </c>
      <c r="F7059" t="s">
        <v>5971</v>
      </c>
      <c r="G7059" t="e">
        <f ca="1">_xludf.IMAGE("https://edmondsonsupply.com/cdn/shop/files/k1d1qiwmm4npznsdbwtg_4dc7bdf3-43a4-4863-8a1d-f71b60bc7c6d.webp?v=1685468179")</f>
        <v>#NAME?</v>
      </c>
      <c r="H7059" t="e">
        <f ca="1">_xludf.IMAGE("https://m.media-amazon.com/images/I/613ig7mNjfL._AC_UL320_.jpg")</f>
        <v>#NAME?</v>
      </c>
      <c r="I7059" t="s">
        <v>340</v>
      </c>
      <c r="J7059">
        <v>12.14</v>
      </c>
      <c r="K7059" s="4">
        <v>-0.65280000000000005</v>
      </c>
      <c r="L7059">
        <v>4.8</v>
      </c>
      <c r="M7059">
        <v>12</v>
      </c>
      <c r="O7059" t="s">
        <v>25</v>
      </c>
      <c r="P7059" t="s">
        <v>8520</v>
      </c>
      <c r="Q7059" t="s">
        <v>8523</v>
      </c>
    </row>
    <row r="7060" spans="1:17" ht="15.5" x14ac:dyDescent="0.35">
      <c r="A7060"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7060"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7060" t="s">
        <v>8776</v>
      </c>
      <c r="D7060" t="s">
        <v>5970</v>
      </c>
      <c r="E7060" s="3" t="str">
        <f>HYPERLINK("https://www.amazon.com/Diablo-Universal-Bi-Metal-Oscillating-Nail-Embedded/dp/B089LDN2LT/ref=sr_1_2?keywords=Diablo+Tools+DOS125BW3+1-1%2F4+in.+Starlock+Bi-Metal+Oscillating+Blades+for+Nail-Embedded+Wood&amp;qid=1695174253&amp;sr=8-2", "https://www.amazon.com/Diablo-Universal-Bi-Metal-Oscillating-Nail-Embedded/dp/B089LDN2LT/ref=sr_1_2?keywords=Diablo+Tools+DOS125BW3+1-1%2F4+in.+Starlock+Bi-Metal+Oscillating+Blades+for+Nail-Embedded+Wood&amp;qid=1695174253&amp;sr=8-2")</f>
        <v>https://www.amazon.com/Diablo-Universal-Bi-Metal-Oscillating-Nail-Embedded/dp/B089LDN2LT/ref=sr_1_2?keywords=Diablo+Tools+DOS125BW3+1-1%2F4+in.+Starlock+Bi-Metal+Oscillating+Blades+for+Nail-Embedded+Wood&amp;qid=1695174253&amp;sr=8-2</v>
      </c>
      <c r="F7060" t="s">
        <v>5971</v>
      </c>
      <c r="G7060" t="e">
        <f ca="1">_xludf.IMAGE("https://edmondsonsupply.com/cdn/shop/products/DOS125BW3_Main-Image.png?v=1633031100")</f>
        <v>#NAME?</v>
      </c>
      <c r="H7060" t="e">
        <f ca="1">_xludf.IMAGE("https://m.media-amazon.com/images/I/613ig7mNjfL._AC_UL320_.jpg")</f>
        <v>#NAME?</v>
      </c>
      <c r="I7060" t="s">
        <v>340</v>
      </c>
      <c r="J7060">
        <v>12.14</v>
      </c>
      <c r="K7060" s="4">
        <v>-0.65280000000000005</v>
      </c>
      <c r="L7060">
        <v>4.8</v>
      </c>
      <c r="M7060">
        <v>12</v>
      </c>
      <c r="O7060" t="s">
        <v>25</v>
      </c>
      <c r="P7060" t="s">
        <v>8777</v>
      </c>
      <c r="Q7060" t="s">
        <v>8778</v>
      </c>
    </row>
    <row r="7061" spans="1:17" ht="15.5" x14ac:dyDescent="0.35">
      <c r="A7061" s="3" t="str">
        <f>HYPERLINK("https://edmondsonsupply.com/collections/electricians-tools/products/diablo-tools-dou125jbw3-1-1-4-in-universal-fit-bi-metal-oscillating-blades-for-clean-wood", "https://edmondsonsupply.com/collections/electricians-tools/products/diablo-tools-dou125jbw3-1-1-4-in-universal-fit-bi-metal-oscillating-blades-for-clean-wood")</f>
        <v>https://edmondsonsupply.com/collections/electricians-tools/products/diablo-tools-dou125jbw3-1-1-4-in-universal-fit-bi-metal-oscillating-blades-for-clean-wood</v>
      </c>
      <c r="B7061" s="3" t="str">
        <f>HYPERLINK("https://edmondsonsupply.com/products/diablo-tools-dou125jbw3-1-1-4-in-universal-fit-bi-metal-oscillating-blades-for-clean-wood", "https://edmondsonsupply.com/products/diablo-tools-dou125jbw3-1-1-4-in-universal-fit-bi-metal-oscillating-blades-for-clean-wood")</f>
        <v>https://edmondsonsupply.com/products/diablo-tools-dou125jbw3-1-1-4-in-universal-fit-bi-metal-oscillating-blades-for-clean-wood</v>
      </c>
      <c r="C7061" t="s">
        <v>8519</v>
      </c>
      <c r="D7061" t="s">
        <v>5970</v>
      </c>
      <c r="E7061" s="3" t="str">
        <f>HYPERLINK("https://www.amazon.com/Diablo-Universal-Bi-Metal-Oscillating-Nail-Embedded/dp/B089LDN2LT/ref=sr_1_3?keywords=Diablo+Tools+DOU125JBW3+1-1%2F4+in.+Universal+Fit+Bi-Metal+Oscillating+Blades+for+Clean+Wood&amp;qid=1695174271&amp;sr=8-3", "https://www.amazon.com/Diablo-Universal-Bi-Metal-Oscillating-Nail-Embedded/dp/B089LDN2LT/ref=sr_1_3?keywords=Diablo+Tools+DOU125JBW3+1-1%2F4+in.+Universal+Fit+Bi-Metal+Oscillating+Blades+for+Clean+Wood&amp;qid=1695174271&amp;sr=8-3")</f>
        <v>https://www.amazon.com/Diablo-Universal-Bi-Metal-Oscillating-Nail-Embedded/dp/B089LDN2LT/ref=sr_1_3?keywords=Diablo+Tools+DOU125JBW3+1-1%2F4+in.+Universal+Fit+Bi-Metal+Oscillating+Blades+for+Clean+Wood&amp;qid=1695174271&amp;sr=8-3</v>
      </c>
      <c r="F7061" t="s">
        <v>5971</v>
      </c>
      <c r="G7061" t="e">
        <f ca="1">_xludf.IMAGE("https://edmondsonsupply.com/cdn/shop/products/DOU125JBW3_Main-Image.png?v=1633031095")</f>
        <v>#NAME?</v>
      </c>
      <c r="H7061" t="e">
        <f ca="1">_xludf.IMAGE("https://m.media-amazon.com/images/I/613ig7mNjfL._AC_UL320_.jpg")</f>
        <v>#NAME?</v>
      </c>
      <c r="I7061" t="s">
        <v>340</v>
      </c>
      <c r="J7061">
        <v>12.14</v>
      </c>
      <c r="K7061" s="4">
        <v>-0.65280000000000005</v>
      </c>
      <c r="L7061">
        <v>4.8</v>
      </c>
      <c r="M7061">
        <v>12</v>
      </c>
      <c r="O7061" t="s">
        <v>25</v>
      </c>
      <c r="P7061" t="s">
        <v>8520</v>
      </c>
      <c r="Q7061" t="s">
        <v>8521</v>
      </c>
    </row>
    <row r="7062" spans="1:17" ht="15.5" x14ac:dyDescent="0.35">
      <c r="A7062" s="3" t="str">
        <f>HYPERLINK("https://edmondsonsupply.com/collections/electricians-tools/products/diablo-tools-dmamxcc5050-4-in-x-7-in-sds-max-carbide-tipped-core-bit", "https://edmondsonsupply.com/collections/electricians-tools/products/diablo-tools-dmamxcc5050-4-in-x-7-in-sds-max-carbide-tipped-core-bit")</f>
        <v>https://edmondsonsupply.com/collections/electricians-tools/products/diablo-tools-dmamxcc5050-4-in-x-7-in-sds-max-carbide-tipped-core-bit</v>
      </c>
      <c r="B7062" s="3" t="str">
        <f>HYPERLINK("https://edmondsonsupply.com/products/diablo-tools-dmamxcc5050-4-in-x-7-in-sds-max-carbide-tipped-core-bit", "https://edmondsonsupply.com/products/diablo-tools-dmamxcc5050-4-in-x-7-in-sds-max-carbide-tipped-core-bit")</f>
        <v>https://edmondsonsupply.com/products/diablo-tools-dmamxcc5050-4-in-x-7-in-sds-max-carbide-tipped-core-bit</v>
      </c>
      <c r="C7062" t="s">
        <v>5906</v>
      </c>
      <c r="D7062" t="s">
        <v>5298</v>
      </c>
      <c r="E7062" s="3" t="str">
        <f>HYPERLINK("https://www.amazon.com/Diablo-SDS-Max-4-Cutter-Carbide-Hammer/dp/B089KWFF8B/ref=sr_1_10?keywords=Diablo+Tools+DMAMXCC5050+4+in.+x+7+in.+SDS-Max+Carbide+Tipped+Core+Bit&amp;qid=1695174004&amp;sr=8-10", "https://www.amazon.com/Diablo-SDS-Max-4-Cutter-Carbide-Hammer/dp/B089KWFF8B/ref=sr_1_10?keywords=Diablo+Tools+DMAMXCC5050+4+in.+x+7+in.+SDS-Max+Carbide+Tipped+Core+Bit&amp;qid=1695174004&amp;sr=8-10")</f>
        <v>https://www.amazon.com/Diablo-SDS-Max-4-Cutter-Carbide-Hammer/dp/B089KWFF8B/ref=sr_1_10?keywords=Diablo+Tools+DMAMXCC5050+4+in.+x+7+in.+SDS-Max+Carbide+Tipped+Core+Bit&amp;qid=1695174004&amp;sr=8-10</v>
      </c>
      <c r="F7062" t="s">
        <v>5299</v>
      </c>
      <c r="G7062" t="e">
        <f ca="1">_xludf.IMAGE("https://edmondsonsupply.com/cdn/shop/files/yghx7uqdjxchri5fikny.webp?v=1686586834")</f>
        <v>#NAME?</v>
      </c>
      <c r="H7062" t="e">
        <f ca="1">_xludf.IMAGE("https://m.media-amazon.com/images/I/611fTcYRNFL._AC_UL320_.jpg")</f>
        <v>#NAME?</v>
      </c>
      <c r="I7062" t="s">
        <v>5907</v>
      </c>
      <c r="J7062">
        <v>52.26</v>
      </c>
      <c r="K7062" s="4">
        <v>-0.65480000000000005</v>
      </c>
      <c r="L7062">
        <v>3.5</v>
      </c>
      <c r="M7062">
        <v>3</v>
      </c>
      <c r="O7062" t="s">
        <v>25</v>
      </c>
      <c r="P7062" t="s">
        <v>5908</v>
      </c>
      <c r="Q7062" t="s">
        <v>5909</v>
      </c>
    </row>
    <row r="7063" spans="1:17" ht="15.5" x14ac:dyDescent="0.35">
      <c r="A7063" s="3" t="str">
        <f>HYPERLINK("https://edmondsonsupply.com/collections/electricians-tools/products/milwaukee-2745-20-m18-fuel-30-degree-framing-nailer-tool-only", "https://edmondsonsupply.com/collections/electricians-tools/products/milwaukee-2745-20-m18-fuel-30-degree-framing-nailer-tool-only")</f>
        <v>https://edmondsonsupply.com/collections/electricians-tools/products/milwaukee-2745-20-m18-fuel-30-degree-framing-nailer-tool-only</v>
      </c>
      <c r="B7063" s="3" t="str">
        <f>HYPERLINK("https://edmondsonsupply.com/products/milwaukee-2745-20-m18-fuel-30-degree-framing-nailer-tool-only", "https://edmondsonsupply.com/products/milwaukee-2745-20-m18-fuel-30-degree-framing-nailer-tool-only")</f>
        <v>https://edmondsonsupply.com/products/milwaukee-2745-20-m18-fuel-30-degree-framing-nailer-tool-only</v>
      </c>
      <c r="C7063" t="s">
        <v>8300</v>
      </c>
      <c r="D7063" t="s">
        <v>7325</v>
      </c>
      <c r="E7063" s="3" t="str">
        <f>HYPERLINK("https://www.amazon.com/Fortool-48-08-2745-Milwaukee-Magnesium-Extension/dp/B09YP6L87F/ref=sr_1_4?keywords=Milwaukee+2745-20+M18+FUEL+30+Degree+Framing+Nailer%2C+Tool+Only&amp;qid=1695174292&amp;sr=8-4", "https://www.amazon.com/Fortool-48-08-2745-Milwaukee-Magnesium-Extension/dp/B09YP6L87F/ref=sr_1_4?keywords=Milwaukee+2745-20+M18+FUEL+30+Degree+Framing+Nailer%2C+Tool+Only&amp;qid=1695174292&amp;sr=8-4")</f>
        <v>https://www.amazon.com/Fortool-48-08-2745-Milwaukee-Magnesium-Extension/dp/B09YP6L87F/ref=sr_1_4?keywords=Milwaukee+2745-20+M18+FUEL+30+Degree+Framing+Nailer%2C+Tool+Only&amp;qid=1695174292&amp;sr=8-4</v>
      </c>
      <c r="F7063" t="s">
        <v>7326</v>
      </c>
      <c r="G7063" t="e">
        <f ca="1">_xludf.IMAGE("https://edmondsonsupply.com/cdn/shop/products/nail1.png?v=1633030878")</f>
        <v>#NAME?</v>
      </c>
      <c r="H7063" t="e">
        <f ca="1">_xludf.IMAGE("https://m.media-amazon.com/images/I/71Gy7pjCzKL._AC_UL320_.jpg")</f>
        <v>#NAME?</v>
      </c>
      <c r="I7063" t="s">
        <v>8297</v>
      </c>
      <c r="J7063">
        <v>129.99</v>
      </c>
      <c r="K7063" s="4">
        <v>-0.65700000000000003</v>
      </c>
      <c r="L7063">
        <v>3</v>
      </c>
      <c r="M7063">
        <v>2</v>
      </c>
      <c r="O7063" t="s">
        <v>25</v>
      </c>
      <c r="P7063" t="s">
        <v>8298</v>
      </c>
      <c r="Q7063" t="s">
        <v>8301</v>
      </c>
    </row>
    <row r="7064" spans="1:17" ht="15.5" x14ac:dyDescent="0.35">
      <c r="A7064" s="3" t="str">
        <f>HYPERLINK("https://edmondsonsupply.com/collections/electricians-tools/products/milwaukee-48-22-8392r-packout%E2%84%A2-20oz-tumbler", "https://edmondsonsupply.com/collections/electricians-tools/products/milwaukee-48-22-8392r-packout%E2%84%A2-20oz-tumbler")</f>
        <v>https://edmondsonsupply.com/collections/electricians-tools/products/milwaukee-48-22-8392r-packout%E2%84%A2-20oz-tumbler</v>
      </c>
      <c r="B7064" s="3" t="str">
        <f>HYPERLINK("https://edmondsonsupply.com/products/milwaukee-48-22-8392r-packout%e2%84%a2-20oz-tumbler", "https://edmondsonsupply.com/products/milwaukee-48-22-8392r-packout%e2%84%a2-20oz-tumbler")</f>
        <v>https://edmondsonsupply.com/products/milwaukee-48-22-8392r-packout%e2%84%a2-20oz-tumbler</v>
      </c>
      <c r="C7064" t="s">
        <v>5658</v>
      </c>
      <c r="D7064" t="s">
        <v>5659</v>
      </c>
      <c r="E7064" s="3" t="str">
        <f>HYPERLINK("https://www.amazon.com/Replacement-Milwaukee-48-22-8392R-Resealable-Gasket-Seals/dp/B0C9R4T855/ref=sr_1_4?keywords=Milwaukee+48-22-8392R+PACKOUT%E2%84%A2+20oz+Tumbler&amp;qid=1695173984&amp;sr=8-4", "https://www.amazon.com/Replacement-Milwaukee-48-22-8392R-Resealable-Gasket-Seals/dp/B0C9R4T855/ref=sr_1_4?keywords=Milwaukee+48-22-8392R+PACKOUT%E2%84%A2+20oz+Tumbler&amp;qid=1695173984&amp;sr=8-4")</f>
        <v>https://www.amazon.com/Replacement-Milwaukee-48-22-8392R-Resealable-Gasket-Seals/dp/B0C9R4T855/ref=sr_1_4?keywords=Milwaukee+48-22-8392R+PACKOUT%E2%84%A2+20oz+Tumbler&amp;qid=1695173984&amp;sr=8-4</v>
      </c>
      <c r="F7064" t="s">
        <v>5660</v>
      </c>
      <c r="G7064" t="e">
        <f ca="1">_xludf.IMAGE("https://edmondsonsupply.com/cdn/shop/files/48-22-8392R_1.png?v=1691501431")</f>
        <v>#NAME?</v>
      </c>
      <c r="H7064" t="e">
        <f ca="1">_xludf.IMAGE("https://m.media-amazon.com/images/I/51mMrDh3TyL._AC_UL320_.jpg")</f>
        <v>#NAME?</v>
      </c>
      <c r="I7064" t="s">
        <v>5661</v>
      </c>
      <c r="J7064">
        <v>10.09</v>
      </c>
      <c r="K7064" s="4">
        <v>-0.65759999999999996</v>
      </c>
      <c r="L7064">
        <v>5</v>
      </c>
      <c r="M7064">
        <v>1</v>
      </c>
      <c r="O7064" t="s">
        <v>25</v>
      </c>
      <c r="P7064" t="s">
        <v>5662</v>
      </c>
      <c r="Q7064" t="s">
        <v>5663</v>
      </c>
    </row>
    <row r="7065" spans="1:17" ht="15.5" x14ac:dyDescent="0.35">
      <c r="A7065"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65"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65" t="s">
        <v>6718</v>
      </c>
      <c r="D7065" t="s">
        <v>9143</v>
      </c>
      <c r="E7065" s="3" t="str">
        <f>HYPERLINK("https://www.amazon.com/Milwaukee-48-59-1812-Voltage-Lithium-Battery/dp/B007PDBHBG/ref=sr_1_1?keywords=Milwaukee+48-59-1812+M18%E2%84%A2+%26+M12%E2%84%A2+Multi-Voltage+Charger&amp;qid=1695174184&amp;sr=8-1", "https://www.amazon.com/Milwaukee-48-59-1812-Voltage-Lithium-Battery/dp/B007PDBHBG/ref=sr_1_1?keywords=Milwaukee+48-59-1812+M18%E2%84%A2+%26+M12%E2%84%A2+Multi-Voltage+Charger&amp;qid=1695174184&amp;sr=8-1")</f>
        <v>https://www.amazon.com/Milwaukee-48-59-1812-Voltage-Lithium-Battery/dp/B007PDBHBG/ref=sr_1_1?keywords=Milwaukee+48-59-1812+M18%E2%84%A2+%26+M12%E2%84%A2+Multi-Voltage+Charger&amp;qid=1695174184&amp;sr=8-1</v>
      </c>
      <c r="F7065" t="s">
        <v>9144</v>
      </c>
      <c r="G7065" t="e">
        <f ca="1">_xludf.IMAGE("https://edmondsonsupply.com/cdn/shop/products/60113_48-59-1812_3-lg.webp?v=1656530513")</f>
        <v>#NAME?</v>
      </c>
      <c r="H7065" t="e">
        <f ca="1">_xludf.IMAGE("https://m.media-amazon.com/images/I/81NpBsEe5xL._AC_UL320_.jpg")</f>
        <v>#NAME?</v>
      </c>
      <c r="I7065" t="s">
        <v>4741</v>
      </c>
      <c r="J7065">
        <v>27</v>
      </c>
      <c r="K7065" s="4">
        <v>-0.65820000000000001</v>
      </c>
      <c r="L7065">
        <v>4.5999999999999996</v>
      </c>
      <c r="M7065">
        <v>4835</v>
      </c>
      <c r="O7065" t="s">
        <v>25</v>
      </c>
      <c r="P7065" t="s">
        <v>6721</v>
      </c>
      <c r="Q7065" t="s">
        <v>6722</v>
      </c>
    </row>
    <row r="7066" spans="1:17" ht="15.5" x14ac:dyDescent="0.35">
      <c r="A7066" s="3" t="str">
        <f>HYPERLINK("https://edmondsonsupply.com/collections/electricians-tools/products/diablo-tools-dou125bf3-1-1-4-in-universal-fit-bi-metal-oscillating-blade-for-metal-3-packack", "https://edmondsonsupply.com/collections/electricians-tools/products/diablo-tools-dou125bf3-1-1-4-in-universal-fit-bi-metal-oscillating-blade-for-metal-3-packack")</f>
        <v>https://edmondsonsupply.com/collections/electricians-tools/products/diablo-tools-dou125bf3-1-1-4-in-universal-fit-bi-metal-oscillating-blade-for-metal-3-packack</v>
      </c>
      <c r="B7066" s="3" t="str">
        <f>HYPERLINK("https://edmondsonsupply.com/products/diablo-tools-dou125bf3-1-1-4-in-universal-fit-bi-metal-oscillating-blade-for-metal-3-packack", "https://edmondsonsupply.com/products/diablo-tools-dou125bf3-1-1-4-in-universal-fit-bi-metal-oscillating-blade-for-metal-3-packack")</f>
        <v>https://edmondsonsupply.com/products/diablo-tools-dou125bf3-1-1-4-in-universal-fit-bi-metal-oscillating-blade-for-metal-3-packack</v>
      </c>
      <c r="C7066" t="s">
        <v>8522</v>
      </c>
      <c r="D7066" t="s">
        <v>8827</v>
      </c>
      <c r="E7066" s="3" t="str">
        <f>HYPERLINK("https://www.amazon.com/Diablo-Freud-DOU125BF-Universal-Oscillating/dp/B089KV143Y/ref=sr_1_4?keywords=Diablo+Tools+DOU125BF3+1-1%2F4+in.+Universal+Fit+Bi-Metal+Oscillating+Blade+for+Metal+%283+pack%29&amp;qid=1695174014&amp;sr=8-4", "https://www.amazon.com/Diablo-Freud-DOU125BF-Universal-Oscillating/dp/B089KV143Y/ref=sr_1_4?keywords=Diablo+Tools+DOU125BF3+1-1%2F4+in.+Universal+Fit+Bi-Metal+Oscillating+Blade+for+Metal+%283+pack%29&amp;qid=1695174014&amp;sr=8-4")</f>
        <v>https://www.amazon.com/Diablo-Freud-DOU125BF-Universal-Oscillating/dp/B089KV143Y/ref=sr_1_4?keywords=Diablo+Tools+DOU125BF3+1-1%2F4+in.+Universal+Fit+Bi-Metal+Oscillating+Blade+for+Metal+%283+pack%29&amp;qid=1695174014&amp;sr=8-4</v>
      </c>
      <c r="F7066" t="s">
        <v>8828</v>
      </c>
      <c r="G7066" t="e">
        <f ca="1">_xludf.IMAGE("https://edmondsonsupply.com/cdn/shop/files/k1d1qiwmm4npznsdbwtg_4dc7bdf3-43a4-4863-8a1d-f71b60bc7c6d.webp?v=1685468179")</f>
        <v>#NAME?</v>
      </c>
      <c r="H7066" t="e">
        <f ca="1">_xludf.IMAGE("https://m.media-amazon.com/images/I/61mZfXlj-XL._AC_UL320_.jpg")</f>
        <v>#NAME?</v>
      </c>
      <c r="I7066" t="s">
        <v>340</v>
      </c>
      <c r="J7066">
        <v>11.95</v>
      </c>
      <c r="K7066" s="4">
        <v>-0.6583</v>
      </c>
      <c r="L7066">
        <v>3.7</v>
      </c>
      <c r="M7066">
        <v>8</v>
      </c>
      <c r="O7066" t="s">
        <v>25</v>
      </c>
      <c r="P7066" t="s">
        <v>8520</v>
      </c>
      <c r="Q7066" t="s">
        <v>8523</v>
      </c>
    </row>
    <row r="7067" spans="1:17" ht="15.5" x14ac:dyDescent="0.35">
      <c r="A7067"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67"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67" t="s">
        <v>6718</v>
      </c>
      <c r="D7067" t="s">
        <v>9145</v>
      </c>
      <c r="E7067" s="3" t="str">
        <f>HYPERLINK("https://www.amazon.com/Voltage-Lithium-Battery-Milwaukee-48-59-1812/dp/B07FMY32P1/ref=sr_1_2?keywords=Milwaukee+48-59-1812+M18%E2%84%A2+%26+M12%E2%84%A2+Multi-Voltage+Charger&amp;qid=1695174184&amp;sr=8-2", "https://www.amazon.com/Voltage-Lithium-Battery-Milwaukee-48-59-1812/dp/B07FMY32P1/ref=sr_1_2?keywords=Milwaukee+48-59-1812+M18%E2%84%A2+%26+M12%E2%84%A2+Multi-Voltage+Charger&amp;qid=1695174184&amp;sr=8-2")</f>
        <v>https://www.amazon.com/Voltage-Lithium-Battery-Milwaukee-48-59-1812/dp/B07FMY32P1/ref=sr_1_2?keywords=Milwaukee+48-59-1812+M18%E2%84%A2+%26+M12%E2%84%A2+Multi-Voltage+Charger&amp;qid=1695174184&amp;sr=8-2</v>
      </c>
      <c r="F7067" t="s">
        <v>9146</v>
      </c>
      <c r="G7067" t="e">
        <f ca="1">_xludf.IMAGE("https://edmondsonsupply.com/cdn/shop/products/60113_48-59-1812_3-lg.webp?v=1656530513")</f>
        <v>#NAME?</v>
      </c>
      <c r="H7067" t="e">
        <f ca="1">_xludf.IMAGE("https://m.media-amazon.com/images/I/71SCF7elt5L._AC_UL320_.jpg")</f>
        <v>#NAME?</v>
      </c>
      <c r="I7067" t="s">
        <v>4741</v>
      </c>
      <c r="J7067">
        <v>26.98</v>
      </c>
      <c r="K7067" s="4">
        <v>-0.65849999999999997</v>
      </c>
      <c r="L7067">
        <v>4.5999999999999996</v>
      </c>
      <c r="M7067">
        <v>1794</v>
      </c>
      <c r="O7067" t="s">
        <v>25</v>
      </c>
      <c r="P7067" t="s">
        <v>6721</v>
      </c>
      <c r="Q7067" t="s">
        <v>6722</v>
      </c>
    </row>
    <row r="7068" spans="1:17" ht="15.5" x14ac:dyDescent="0.35">
      <c r="A7068"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7068"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7068" t="s">
        <v>8776</v>
      </c>
      <c r="D7068" t="s">
        <v>9147</v>
      </c>
      <c r="E7068" s="3" t="str">
        <f>HYPERLINK("https://www.amazon.com/Bosch-OSL114C-2-Starlock-Oscillating-Carbide/dp/B01DDA7QZA/ref=sr_1_9?keywords=Diablo+Tools+DOS125BW3+1-1%2F4+in.+Starlock+Bi-Metal+Oscillating+Blades+for+Nail-Embedded+Wood&amp;qid=1695174253&amp;sr=8-9", "https://www.amazon.com/Bosch-OSL114C-2-Starlock-Oscillating-Carbide/dp/B01DDA7QZA/ref=sr_1_9?keywords=Diablo+Tools+DOS125BW3+1-1%2F4+in.+Starlock+Bi-Metal+Oscillating+Blades+for+Nail-Embedded+Wood&amp;qid=1695174253&amp;sr=8-9")</f>
        <v>https://www.amazon.com/Bosch-OSL114C-2-Starlock-Oscillating-Carbide/dp/B01DDA7QZA/ref=sr_1_9?keywords=Diablo+Tools+DOS125BW3+1-1%2F4+in.+Starlock+Bi-Metal+Oscillating+Blades+for+Nail-Embedded+Wood&amp;qid=1695174253&amp;sr=8-9</v>
      </c>
      <c r="F7068" t="s">
        <v>9148</v>
      </c>
      <c r="G7068" t="e">
        <f ca="1">_xludf.IMAGE("https://edmondsonsupply.com/cdn/shop/products/DOS125BW3_Main-Image.png?v=1633031100")</f>
        <v>#NAME?</v>
      </c>
      <c r="H7068" t="e">
        <f ca="1">_xludf.IMAGE("https://m.media-amazon.com/images/I/61p6lFst-PL._AC_UL320_.jpg")</f>
        <v>#NAME?</v>
      </c>
      <c r="I7068" t="s">
        <v>340</v>
      </c>
      <c r="J7068">
        <v>11.91</v>
      </c>
      <c r="K7068" s="4">
        <v>-0.65939999999999999</v>
      </c>
      <c r="L7068">
        <v>4.7</v>
      </c>
      <c r="M7068">
        <v>1399</v>
      </c>
      <c r="O7068" t="s">
        <v>25</v>
      </c>
      <c r="P7068" t="s">
        <v>8777</v>
      </c>
      <c r="Q7068" t="s">
        <v>8778</v>
      </c>
    </row>
    <row r="7069" spans="1:17" ht="15.5" x14ac:dyDescent="0.35">
      <c r="A7069" s="3" t="str">
        <f>HYPERLINK("https://edmondsonsupply.com/collections/electricians-tools/products/milwaukee-48-22-1502-fastback%E2%84%A2-folding-utility-knife-w-blade-storage", "https://edmondsonsupply.com/collections/electricians-tools/products/milwaukee-48-22-1502-fastback%E2%84%A2-folding-utility-knife-w-blade-storage")</f>
        <v>https://edmondsonsupply.com/collections/electricians-tools/products/milwaukee-48-22-1502-fastback%E2%84%A2-folding-utility-knife-w-blade-storage</v>
      </c>
      <c r="B7069" s="3" t="str">
        <f>HYPERLINK("https://edmondsonsupply.com/products/milwaukee-48-22-1502-fastback%e2%84%a2-folding-utility-knife-w-blade-storage", "https://edmondsonsupply.com/products/milwaukee-48-22-1502-fastback%e2%84%a2-folding-utility-knife-w-blade-storage")</f>
        <v>https://edmondsonsupply.com/products/milwaukee-48-22-1502-fastback%e2%84%a2-folding-utility-knife-w-blade-storage</v>
      </c>
      <c r="C7069" t="s">
        <v>2783</v>
      </c>
      <c r="D7069" t="s">
        <v>5664</v>
      </c>
      <c r="E7069" s="3" t="str">
        <f>HYPERLINK("https://www.amazon.com/Milwaukee-48-22-1933-Deburred-Carbide-Lockback/dp/B00D5YLP5W/ref=sr_1_7?keywords=Milwaukee+48-22-1502+FASTBACK%E2%84%A2+Folding+Utility+Knife+w%2F+Blade+Storage&amp;qid=1695173847&amp;sr=8-7", "https://www.amazon.com/Milwaukee-48-22-1933-Deburred-Carbide-Lockback/dp/B00D5YLP5W/ref=sr_1_7?keywords=Milwaukee+48-22-1502+FASTBACK%E2%84%A2+Folding+Utility+Knife+w%2F+Blade+Storage&amp;qid=1695173847&amp;sr=8-7")</f>
        <v>https://www.amazon.com/Milwaukee-48-22-1933-Deburred-Carbide-Lockback/dp/B00D5YLP5W/ref=sr_1_7?keywords=Milwaukee+48-22-1502+FASTBACK%E2%84%A2+Folding+Utility+Knife+w%2F+Blade+Storage&amp;qid=1695173847&amp;sr=8-7</v>
      </c>
      <c r="F7069" t="s">
        <v>5665</v>
      </c>
      <c r="G7069" t="e">
        <f ca="1">_xludf.IMAGE("https://edmondsonsupply.com/cdn/shop/products/48-22-1502_3.png?v=1587148345")</f>
        <v>#NAME?</v>
      </c>
      <c r="H7069" t="e">
        <f ca="1">_xludf.IMAGE("https://m.media-amazon.com/images/I/41vPWO+PD8L._AC_UL320_.jpg")</f>
        <v>#NAME?</v>
      </c>
      <c r="I7069" t="s">
        <v>2784</v>
      </c>
      <c r="J7069">
        <v>4.99</v>
      </c>
      <c r="K7069" s="4">
        <v>-0.66669999999999996</v>
      </c>
      <c r="L7069">
        <v>4.5</v>
      </c>
      <c r="M7069">
        <v>65</v>
      </c>
      <c r="O7069" t="s">
        <v>25</v>
      </c>
      <c r="P7069" t="s">
        <v>1707</v>
      </c>
      <c r="Q7069" t="s">
        <v>2785</v>
      </c>
    </row>
    <row r="7070" spans="1:17" ht="15.5" x14ac:dyDescent="0.35">
      <c r="A7070" s="3" t="str">
        <f>HYPERLINK("https://edmondsonsupply.com/collections/electricians-tools/products/klein-tools-56115-fiberglass-fish-tape-repair-kit", "https://edmondsonsupply.com/collections/electricians-tools/products/klein-tools-56115-fiberglass-fish-tape-repair-kit")</f>
        <v>https://edmondsonsupply.com/collections/electricians-tools/products/klein-tools-56115-fiberglass-fish-tape-repair-kit</v>
      </c>
      <c r="B7070" s="3" t="str">
        <f>HYPERLINK("https://edmondsonsupply.com/products/klein-tools-56115-fiberglass-fish-tape-repair-kit", "https://edmondsonsupply.com/products/klein-tools-56115-fiberglass-fish-tape-repair-kit")</f>
        <v>https://edmondsonsupply.com/products/klein-tools-56115-fiberglass-fish-tape-repair-kit</v>
      </c>
      <c r="C7070" t="s">
        <v>8459</v>
      </c>
      <c r="D7070" t="s">
        <v>6141</v>
      </c>
      <c r="E7070" s="3" t="str">
        <f>HYPERLINK("https://www.amazon.com/Illuminated-Attachments-Klein-Tools-80050/dp/B09FRBGCZD/ref=sr_1_7?keywords=Klein+Tools+56115+Fiberglass+Fish+Tape+Repair+Kit&amp;qid=1695174148&amp;sr=8-7", "https://www.amazon.com/Illuminated-Attachments-Klein-Tools-80050/dp/B09FRBGCZD/ref=sr_1_7?keywords=Klein+Tools+56115+Fiberglass+Fish+Tape+Repair+Kit&amp;qid=1695174148&amp;sr=8-7")</f>
        <v>https://www.amazon.com/Illuminated-Attachments-Klein-Tools-80050/dp/B09FRBGCZD/ref=sr_1_7?keywords=Klein+Tools+56115+Fiberglass+Fish+Tape+Repair+Kit&amp;qid=1695174148&amp;sr=8-7</v>
      </c>
      <c r="F7070" t="s">
        <v>6142</v>
      </c>
      <c r="G7070" t="e">
        <f ca="1">_xludf.IMAGE("https://edmondsonsupply.com/cdn/shop/products/56115.jpg?v=1666107209")</f>
        <v>#NAME?</v>
      </c>
      <c r="H7070" t="e">
        <f ca="1">_xludf.IMAGE("https://m.media-amazon.com/images/I/51K8WFeudSL._AC_UL320_.jpg")</f>
        <v>#NAME?</v>
      </c>
      <c r="I7070" t="s">
        <v>4155</v>
      </c>
      <c r="J7070">
        <v>49.99</v>
      </c>
      <c r="K7070" s="4">
        <v>-0.66669999999999996</v>
      </c>
      <c r="L7070">
        <v>4.3</v>
      </c>
      <c r="M7070">
        <v>22</v>
      </c>
      <c r="O7070" t="s">
        <v>25</v>
      </c>
      <c r="P7070" t="s">
        <v>8462</v>
      </c>
      <c r="Q7070" t="s">
        <v>8463</v>
      </c>
    </row>
    <row r="7071" spans="1:17" ht="15.5" x14ac:dyDescent="0.35">
      <c r="A7071" s="3" t="str">
        <f>HYPERLINK("https://edmondsonsupply.com/collections/electricians-tools/products/klein-tools-32800-6-in-1-multi-nut-driver-heavy-duty", "https://edmondsonsupply.com/collections/electricians-tools/products/klein-tools-32800-6-in-1-multi-nut-driver-heavy-duty")</f>
        <v>https://edmondsonsupply.com/collections/electricians-tools/products/klein-tools-32800-6-in-1-multi-nut-driver-heavy-duty</v>
      </c>
      <c r="B7071" s="3" t="str">
        <f>HYPERLINK("https://edmondsonsupply.com/products/klein-tools-32800-6-in-1-multi-nut-driver-heavy-duty", "https://edmondsonsupply.com/products/klein-tools-32800-6-in-1-multi-nut-driver-heavy-duty")</f>
        <v>https://edmondsonsupply.com/products/klein-tools-32800-6-in-1-multi-nut-driver-heavy-duty</v>
      </c>
      <c r="C7071" t="s">
        <v>8108</v>
      </c>
      <c r="D7071" t="s">
        <v>9149</v>
      </c>
      <c r="E7071" s="3" t="str">
        <f>HYPERLINK("https://www.amazon.com/Screwdriver-Driver-Yellow-Klein-32476/dp/B000RFPDXC/ref=sr_1_5?keywords=Klein+Tools+32800+6-in-1+6-in-1+Multi-Bit+Nut+Driver%2C+Heavy+Duty&amp;qid=1695174226&amp;sr=8-5", "https://www.amazon.com/Screwdriver-Driver-Yellow-Klein-32476/dp/B000RFPDXC/ref=sr_1_5?keywords=Klein+Tools+32800+6-in-1+6-in-1+Multi-Bit+Nut+Driver%2C+Heavy+Duty&amp;qid=1695174226&amp;sr=8-5")</f>
        <v>https://www.amazon.com/Screwdriver-Driver-Yellow-Klein-32476/dp/B000RFPDXC/ref=sr_1_5?keywords=Klein+Tools+32800+6-in-1+6-in-1+Multi-Bit+Nut+Driver%2C+Heavy+Duty&amp;qid=1695174226&amp;sr=8-5</v>
      </c>
      <c r="F7071" t="s">
        <v>9150</v>
      </c>
      <c r="G7071" t="e">
        <f ca="1">_xludf.IMAGE("https://edmondsonsupply.com/cdn/shop/products/32800_alt2.jpg?v=1646595019")</f>
        <v>#NAME?</v>
      </c>
      <c r="H7071" t="e">
        <f ca="1">_xludf.IMAGE("https://m.media-amazon.com/images/I/51ZkueHIEQL._AC_UL320_.jpg")</f>
        <v>#NAME?</v>
      </c>
      <c r="I7071" t="s">
        <v>26</v>
      </c>
      <c r="J7071">
        <v>9.98</v>
      </c>
      <c r="K7071" s="4">
        <v>-0.66720000000000002</v>
      </c>
      <c r="L7071">
        <v>4.8</v>
      </c>
      <c r="M7071">
        <v>1242</v>
      </c>
      <c r="O7071" t="s">
        <v>25</v>
      </c>
      <c r="P7071" t="s">
        <v>8111</v>
      </c>
      <c r="Q7071" t="s">
        <v>8112</v>
      </c>
    </row>
    <row r="7072" spans="1:17" ht="15.5" x14ac:dyDescent="0.35">
      <c r="A7072"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72"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72" t="s">
        <v>6718</v>
      </c>
      <c r="D7072" t="s">
        <v>9151</v>
      </c>
      <c r="E7072" s="3" t="str">
        <f>HYPERLINK("https://www.amazon.com/Multi-Voltage-Replacement-48-59-1812-Compatible-Lithium-ion/dp/B094GWNXTK/ref=sr_1_10?keywords=Milwaukee+48-59-1812+M18%E2%84%A2+%26+M12%E2%84%A2+Multi-Voltage+Charger&amp;qid=1695174184&amp;sr=8-10", "https://www.amazon.com/Multi-Voltage-Replacement-48-59-1812-Compatible-Lithium-ion/dp/B094GWNXTK/ref=sr_1_10?keywords=Milwaukee+48-59-1812+M18%E2%84%A2+%26+M12%E2%84%A2+Multi-Voltage+Charger&amp;qid=1695174184&amp;sr=8-10")</f>
        <v>https://www.amazon.com/Multi-Voltage-Replacement-48-59-1812-Compatible-Lithium-ion/dp/B094GWNXTK/ref=sr_1_10?keywords=Milwaukee+48-59-1812+M18%E2%84%A2+%26+M12%E2%84%A2+Multi-Voltage+Charger&amp;qid=1695174184&amp;sr=8-10</v>
      </c>
      <c r="F7072" t="s">
        <v>9152</v>
      </c>
      <c r="G7072" t="e">
        <f ca="1">_xludf.IMAGE("https://edmondsonsupply.com/cdn/shop/products/60113_48-59-1812_3-lg.webp?v=1656530513")</f>
        <v>#NAME?</v>
      </c>
      <c r="H7072" t="e">
        <f ca="1">_xludf.IMAGE("https://m.media-amazon.com/images/I/71e5iPPW1uS._AC_UL320_.jpg")</f>
        <v>#NAME?</v>
      </c>
      <c r="I7072" t="s">
        <v>4741</v>
      </c>
      <c r="J7072">
        <v>25.99</v>
      </c>
      <c r="K7072" s="4">
        <v>-0.67100000000000004</v>
      </c>
      <c r="L7072">
        <v>4.5</v>
      </c>
      <c r="M7072">
        <v>417</v>
      </c>
      <c r="O7072" t="s">
        <v>25</v>
      </c>
      <c r="P7072" t="s">
        <v>6721</v>
      </c>
      <c r="Q7072" t="s">
        <v>6722</v>
      </c>
    </row>
    <row r="7073" spans="1:17" ht="15.5" x14ac:dyDescent="0.35">
      <c r="A7073"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7073"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7073" t="s">
        <v>7170</v>
      </c>
      <c r="D7073" t="s">
        <v>4058</v>
      </c>
      <c r="E7073" s="3" t="str">
        <f>HYPERLINK("https://www.amazon.com/Klein-Tools-610M-16-Inch-Magnetic/dp/B00093DZO6/ref=sr_1_9?keywords=Klein+Tools+635-4+Nut+Driver+Set%2C+Magnetic+Nut+Drivers%2C+Heavy+Duty%2C+4-Piece&amp;qid=1695174225&amp;sr=8-9", "https://www.amazon.com/Klein-Tools-610M-16-Inch-Magnetic/dp/B00093DZO6/ref=sr_1_9?keywords=Klein+Tools+635-4+Nut+Driver+Set%2C+Magnetic+Nut+Drivers%2C+Heavy+Duty%2C+4-Piece&amp;qid=1695174225&amp;sr=8-9")</f>
        <v>https://www.amazon.com/Klein-Tools-610M-16-Inch-Magnetic/dp/B00093DZO6/ref=sr_1_9?keywords=Klein+Tools+635-4+Nut+Driver+Set%2C+Magnetic+Nut+Drivers%2C+Heavy+Duty%2C+4-Piece&amp;qid=1695174225&amp;sr=8-9</v>
      </c>
      <c r="F7073" t="s">
        <v>4059</v>
      </c>
      <c r="G7073" t="e">
        <f ca="1">_xludf.IMAGE("https://edmondsonsupply.com/cdn/shop/products/635-4.jpg?v=1640815398")</f>
        <v>#NAME?</v>
      </c>
      <c r="H7073" t="e">
        <f ca="1">_xludf.IMAGE("https://m.media-amazon.com/images/I/51lgiheW64L._AC_UL320_.jpg")</f>
        <v>#NAME?</v>
      </c>
      <c r="I7073" t="s">
        <v>269</v>
      </c>
      <c r="J7073">
        <v>17.989999999999998</v>
      </c>
      <c r="K7073" s="4">
        <v>-0.67279999999999995</v>
      </c>
      <c r="L7073">
        <v>4.8</v>
      </c>
      <c r="M7073">
        <v>559</v>
      </c>
      <c r="O7073" t="s">
        <v>25</v>
      </c>
      <c r="P7073" t="s">
        <v>7171</v>
      </c>
      <c r="Q7073" t="s">
        <v>7172</v>
      </c>
    </row>
    <row r="7074" spans="1:17" ht="15.5" x14ac:dyDescent="0.35">
      <c r="A7074" s="3" t="str">
        <f>HYPERLINK("https://edmondsonsupply.com/collections/electricians-tools/products/milwaukee-48-11-2411-m12-redlithium%E2%84%A2-compact-battery-two-pack", "https://edmondsonsupply.com/collections/electricians-tools/products/milwaukee-48-11-2411-m12-redlithium%E2%84%A2-compact-battery-two-pack")</f>
        <v>https://edmondsonsupply.com/collections/electricians-tools/products/milwaukee-48-11-2411-m12-redlithium%E2%84%A2-compact-battery-two-pack</v>
      </c>
      <c r="B7074" s="3" t="str">
        <f>HYPERLINK("https://edmondsonsupply.com/products/milwaukee-48-11-2411-m12-redlithium%e2%84%a2-compact-battery-two-pack", "https://edmondsonsupply.com/products/milwaukee-48-11-2411-m12-redlithium%e2%84%a2-compact-battery-two-pack")</f>
        <v>https://edmondsonsupply.com/products/milwaukee-48-11-2411-m12-redlithium%e2%84%a2-compact-battery-two-pack</v>
      </c>
      <c r="C7074" t="s">
        <v>8905</v>
      </c>
      <c r="D7074" t="s">
        <v>9153</v>
      </c>
      <c r="E7074" s="3" t="str">
        <f>HYPERLINK("https://www.amazon.com/Milwaukee-48-11-2420-REDLITHIUM-Compact-Battery/dp/B00CHU9ZDE/ref=sr_1_1?keywords=Milwaukee+48-11-2411+M12+REDLITHIUM%E2%84%A2+Compact+Battery+Two+Pack&amp;qid=1695174226&amp;sr=8-1", "https://www.amazon.com/Milwaukee-48-11-2420-REDLITHIUM-Compact-Battery/dp/B00CHU9ZDE/ref=sr_1_1?keywords=Milwaukee+48-11-2411+M12+REDLITHIUM%E2%84%A2+Compact+Battery+Two+Pack&amp;qid=1695174226&amp;sr=8-1")</f>
        <v>https://www.amazon.com/Milwaukee-48-11-2420-REDLITHIUM-Compact-Battery/dp/B00CHU9ZDE/ref=sr_1_1?keywords=Milwaukee+48-11-2411+M12+REDLITHIUM%E2%84%A2+Compact+Battery+Two+Pack&amp;qid=1695174226&amp;sr=8-1</v>
      </c>
      <c r="F7074" t="s">
        <v>9154</v>
      </c>
      <c r="G7074" t="e">
        <f ca="1">_xludf.IMAGE("https://edmondsonsupply.com/cdn/shop/products/65014_48-11-2411-lg.jpg?v=1655484824")</f>
        <v>#NAME?</v>
      </c>
      <c r="H7074" t="e">
        <f ca="1">_xludf.IMAGE("https://m.media-amazon.com/images/I/51pGuoAJJNL._AC_UL320_.jpg")</f>
        <v>#NAME?</v>
      </c>
      <c r="I7074" t="s">
        <v>3253</v>
      </c>
      <c r="J7074">
        <v>29</v>
      </c>
      <c r="K7074" s="4">
        <v>-0.67420000000000002</v>
      </c>
      <c r="L7074">
        <v>4.8</v>
      </c>
      <c r="M7074">
        <v>4509</v>
      </c>
      <c r="O7074" t="s">
        <v>171</v>
      </c>
      <c r="P7074" t="s">
        <v>8908</v>
      </c>
      <c r="Q7074" t="s">
        <v>8909</v>
      </c>
    </row>
    <row r="7075" spans="1:17" ht="15.5" x14ac:dyDescent="0.35">
      <c r="A7075" s="3" t="str">
        <f>HYPERLINK("https://edmondsonsupply.com/collections/electricians-tools/products/milwaukee-2980-22-m18-fuel%E2%84%A2-4-1-2-6-braking-grinder-kit-paddle-switch-no-lock", "https://edmondsonsupply.com/collections/electricians-tools/products/milwaukee-2980-22-m18-fuel%E2%84%A2-4-1-2-6-braking-grinder-kit-paddle-switch-no-lock")</f>
        <v>https://edmondsonsupply.com/collections/electricians-tools/products/milwaukee-2980-22-m18-fuel%E2%84%A2-4-1-2-6-braking-grinder-kit-paddle-switch-no-lock</v>
      </c>
      <c r="B7075" s="3" t="str">
        <f>HYPERLINK("https://edmondsonsupply.com/products/milwaukee-2980-22-m18-fuel%e2%84%a2-4-1-2-6-braking-grinder-kit-paddle-switch-no-lock", "https://edmondsonsupply.com/products/milwaukee-2980-22-m18-fuel%e2%84%a2-4-1-2-6-braking-grinder-kit-paddle-switch-no-lock")</f>
        <v>https://edmondsonsupply.com/products/milwaukee-2980-22-m18-fuel%e2%84%a2-4-1-2-6-braking-grinder-kit-paddle-switch-no-lock</v>
      </c>
      <c r="C7075" t="s">
        <v>5976</v>
      </c>
      <c r="D7075" t="s">
        <v>5977</v>
      </c>
      <c r="E7075" s="3" t="str">
        <f>HYPERLINK("https://www.amazon.com/Milwaukee-2980-20-M18-FUEL-4-1/dp/B07VXK6NBC/ref=sr_1_1?keywords=Milwaukee+2980-22+M18+FUEL%E2%84%A2+4-1%2F2%E2%80%9D+-+6%E2%80%9D+Braking+Grinder+Kit%2C+Paddle+Switch+No-Lock&amp;qid=1695174008&amp;sr=8-1", "https://www.amazon.com/Milwaukee-2980-20-M18-FUEL-4-1/dp/B07VXK6NBC/ref=sr_1_1?keywords=Milwaukee+2980-22+M18+FUEL%E2%84%A2+4-1%2F2%E2%80%9D+-+6%E2%80%9D+Braking+Grinder+Kit%2C+Paddle+Switch+No-Lock&amp;qid=1695174008&amp;sr=8-1")</f>
        <v>https://www.amazon.com/Milwaukee-2980-20-M18-FUEL-4-1/dp/B07VXK6NBC/ref=sr_1_1?keywords=Milwaukee+2980-22+M18+FUEL%E2%84%A2+4-1%2F2%E2%80%9D+-+6%E2%80%9D+Braking+Grinder+Kit%2C+Paddle+Switch+No-Lock&amp;qid=1695174008&amp;sr=8-1</v>
      </c>
      <c r="F7075" t="s">
        <v>5978</v>
      </c>
      <c r="G7075" t="e">
        <f ca="1">_xludf.IMAGE("https://edmondsonsupply.com/cdn/shop/files/2980-21_2.webp?v=1686157900")</f>
        <v>#NAME?</v>
      </c>
      <c r="H7075" t="e">
        <f ca="1">_xludf.IMAGE("https://m.media-amazon.com/images/I/31Kt4bbcseL._AC_UL320_.jpg")</f>
        <v>#NAME?</v>
      </c>
      <c r="I7075" t="s">
        <v>5967</v>
      </c>
      <c r="J7075">
        <v>168.87</v>
      </c>
      <c r="K7075" s="4">
        <v>-0.67459999999999998</v>
      </c>
      <c r="L7075">
        <v>4.8</v>
      </c>
      <c r="M7075">
        <v>359</v>
      </c>
      <c r="O7075" t="s">
        <v>25</v>
      </c>
      <c r="P7075" t="s">
        <v>5968</v>
      </c>
      <c r="Q7075" t="s">
        <v>5979</v>
      </c>
    </row>
    <row r="7076" spans="1:17" ht="15.5" x14ac:dyDescent="0.35">
      <c r="A7076"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76"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76" t="s">
        <v>6718</v>
      </c>
      <c r="D7076" t="s">
        <v>9155</v>
      </c>
      <c r="E7076" s="3" t="str">
        <f>HYPERLINK("https://www.amazon.com/Biswaye-48-59-1812-48-11-2420-48-11-2440-48-11-1820/dp/B078X9YD57/ref=sr_1_4?keywords=Milwaukee+48-59-1812+M18%E2%84%A2+%26+M12%E2%84%A2+Multi-Voltage+Charger&amp;qid=1695174184&amp;sr=8-4", "https://www.amazon.com/Biswaye-48-59-1812-48-11-2420-48-11-2440-48-11-1820/dp/B078X9YD57/ref=sr_1_4?keywords=Milwaukee+48-59-1812+M18%E2%84%A2+%26+M12%E2%84%A2+Multi-Voltage+Charger&amp;qid=1695174184&amp;sr=8-4")</f>
        <v>https://www.amazon.com/Biswaye-48-59-1812-48-11-2420-48-11-2440-48-11-1820/dp/B078X9YD57/ref=sr_1_4?keywords=Milwaukee+48-59-1812+M18%E2%84%A2+%26+M12%E2%84%A2+Multi-Voltage+Charger&amp;qid=1695174184&amp;sr=8-4</v>
      </c>
      <c r="F7076" t="s">
        <v>9156</v>
      </c>
      <c r="G7076" t="e">
        <f ca="1">_xludf.IMAGE("https://edmondsonsupply.com/cdn/shop/products/60113_48-59-1812_3-lg.webp?v=1656530513")</f>
        <v>#NAME?</v>
      </c>
      <c r="H7076" t="e">
        <f ca="1">_xludf.IMAGE("https://m.media-amazon.com/images/I/61vbxmdTU-L._AC_UL320_.jpg")</f>
        <v>#NAME?</v>
      </c>
      <c r="I7076" t="s">
        <v>4741</v>
      </c>
      <c r="J7076">
        <v>25.65</v>
      </c>
      <c r="K7076" s="4">
        <v>-0.67530000000000001</v>
      </c>
      <c r="L7076">
        <v>4.5999999999999996</v>
      </c>
      <c r="M7076">
        <v>938</v>
      </c>
      <c r="O7076" t="s">
        <v>25</v>
      </c>
      <c r="P7076" t="s">
        <v>6721</v>
      </c>
      <c r="Q7076" t="s">
        <v>6722</v>
      </c>
    </row>
    <row r="7077" spans="1:17" ht="15.5" x14ac:dyDescent="0.35">
      <c r="A7077" s="3" t="str">
        <f>HYPERLINK("https://edmondsonsupply.com/collections/electricians-tools/products/klein-tools-et920-usb-digital-meter-usb-a-and-usb-c", "https://edmondsonsupply.com/collections/electricians-tools/products/klein-tools-et920-usb-digital-meter-usb-a-and-usb-c")</f>
        <v>https://edmondsonsupply.com/collections/electricians-tools/products/klein-tools-et920-usb-digital-meter-usb-a-and-usb-c</v>
      </c>
      <c r="B7077" s="3" t="str">
        <f>HYPERLINK("https://edmondsonsupply.com/products/klein-tools-et920-usb-digital-meter-usb-a-and-usb-c", "https://edmondsonsupply.com/products/klein-tools-et920-usb-digital-meter-usb-a-and-usb-c")</f>
        <v>https://edmondsonsupply.com/products/klein-tools-et920-usb-digital-meter-usb-a-and-usb-c</v>
      </c>
      <c r="C7077" t="s">
        <v>6471</v>
      </c>
      <c r="D7077" t="s">
        <v>9157</v>
      </c>
      <c r="E7077" s="3" t="str">
        <f>HYPERLINK("https://www.amazon.com/YOJOCK-Multimeter-Capacity-Voltmeter-Detector/dp/B0B99Z2GJK/ref=sr_1_4?keywords=Klein+Tools+ET920+USB+Digital+Meter%2C+USB-A+and+USB-C&amp;qid=1695174224&amp;sr=8-4", "https://www.amazon.com/YOJOCK-Multimeter-Capacity-Voltmeter-Detector/dp/B0B99Z2GJK/ref=sr_1_4?keywords=Klein+Tools+ET920+USB+Digital+Meter%2C+USB-A+and+USB-C&amp;qid=1695174224&amp;sr=8-4")</f>
        <v>https://www.amazon.com/YOJOCK-Multimeter-Capacity-Voltmeter-Detector/dp/B0B99Z2GJK/ref=sr_1_4?keywords=Klein+Tools+ET920+USB+Digital+Meter%2C+USB-A+and+USB-C&amp;qid=1695174224&amp;sr=8-4</v>
      </c>
      <c r="F7077" t="s">
        <v>9158</v>
      </c>
      <c r="G7077" t="e">
        <f ca="1">_xludf.IMAGE("https://edmondsonsupply.com/cdn/shop/products/et920.jpg?v=1642643803")</f>
        <v>#NAME?</v>
      </c>
      <c r="H7077" t="e">
        <f ca="1">_xludf.IMAGE("https://m.media-amazon.com/images/I/618dV4sHrLL._AC_UL320_.jpg")</f>
        <v>#NAME?</v>
      </c>
      <c r="I7077" t="s">
        <v>246</v>
      </c>
      <c r="J7077">
        <v>12.74</v>
      </c>
      <c r="K7077" s="4">
        <v>-0.68130000000000002</v>
      </c>
      <c r="L7077">
        <v>4.3</v>
      </c>
      <c r="M7077">
        <v>222</v>
      </c>
      <c r="O7077" t="s">
        <v>25</v>
      </c>
      <c r="P7077" t="s">
        <v>6474</v>
      </c>
      <c r="Q7077" t="s">
        <v>6475</v>
      </c>
    </row>
    <row r="7078" spans="1:17" ht="15.5" x14ac:dyDescent="0.35">
      <c r="A7078" s="3" t="str">
        <f>HYPERLINK("https://edmondsonsupply.com/collections/electricians-tools/products/klein-tools-65064-2-in-1-hex-head-screwdriver-1-4-5-16", "https://edmondsonsupply.com/collections/electricians-tools/products/klein-tools-65064-2-in-1-hex-head-screwdriver-1-4-5-16")</f>
        <v>https://edmondsonsupply.com/collections/electricians-tools/products/klein-tools-65064-2-in-1-hex-head-screwdriver-1-4-5-16</v>
      </c>
      <c r="B7078" s="3" t="str">
        <f>HYPERLINK("https://edmondsonsupply.com/products/klein-tools-65064-2-in-1-hex-head-screwdriver-1-4-5-16", "https://edmondsonsupply.com/products/klein-tools-65064-2-in-1-hex-head-screwdriver-1-4-5-16")</f>
        <v>https://edmondsonsupply.com/products/klein-tools-65064-2-in-1-hex-head-screwdriver-1-4-5-16</v>
      </c>
      <c r="C7078" t="s">
        <v>2093</v>
      </c>
      <c r="D7078" t="s">
        <v>5668</v>
      </c>
      <c r="E7078" s="3" t="str">
        <f>HYPERLINK("https://www.amazon.com/Klein-Tools-32483-Screwdriver-Phillips/dp/B000936PUC/ref=sr_1_10?keywords=Klein+Tools+65064+2-in-1+Nut+Driver%2C+Hex+Head%2C+1%2F4-Inch+and+5%2F16-Inch&amp;qid=1695173915&amp;sr=8-10", "https://www.amazon.com/Klein-Tools-32483-Screwdriver-Phillips/dp/B000936PUC/ref=sr_1_10?keywords=Klein+Tools+65064+2-in-1+Nut+Driver%2C+Hex+Head%2C+1%2F4-Inch+and+5%2F16-Inch&amp;qid=1695173915&amp;sr=8-10")</f>
        <v>https://www.amazon.com/Klein-Tools-32483-Screwdriver-Phillips/dp/B000936PUC/ref=sr_1_10?keywords=Klein+Tools+65064+2-in-1+Nut+Driver%2C+Hex+Head%2C+1%2F4-Inch+and+5%2F16-Inch&amp;qid=1695173915&amp;sr=8-10</v>
      </c>
      <c r="F7078" t="s">
        <v>5669</v>
      </c>
      <c r="G7078" t="e">
        <f ca="1">_xludf.IMAGE("https://edmondsonsupply.com/cdn/shop/products/65064.jpg?v=1587147719")</f>
        <v>#NAME?</v>
      </c>
      <c r="H7078" t="e">
        <f ca="1">_xludf.IMAGE("https://m.media-amazon.com/images/I/51KFiDupheL._AC_UL320_.jpg")</f>
        <v>#NAME?</v>
      </c>
      <c r="I7078" t="s">
        <v>143</v>
      </c>
      <c r="J7078">
        <v>4.99</v>
      </c>
      <c r="K7078" s="4">
        <v>-0.6875</v>
      </c>
      <c r="L7078">
        <v>4.7</v>
      </c>
      <c r="M7078">
        <v>4276</v>
      </c>
      <c r="O7078" t="s">
        <v>25</v>
      </c>
      <c r="P7078" t="s">
        <v>2096</v>
      </c>
      <c r="Q7078" t="s">
        <v>2097</v>
      </c>
    </row>
    <row r="7079" spans="1:17" ht="15.5" x14ac:dyDescent="0.35">
      <c r="A7079" s="3" t="str">
        <f>HYPERLINK("https://edmondsonsupply.com/collections/electricians-tools/products/klein-tools-635-6-nut-driver-set-magnetic-nut-drivers-heavy-duty-6-piece", "https://edmondsonsupply.com/collections/electricians-tools/products/klein-tools-635-6-nut-driver-set-magnetic-nut-drivers-heavy-duty-6-piece")</f>
        <v>https://edmondsonsupply.com/collections/electricians-tools/products/klein-tools-635-6-nut-driver-set-magnetic-nut-drivers-heavy-duty-6-piece</v>
      </c>
      <c r="B7079" s="3" t="str">
        <f>HYPERLINK("https://edmondsonsupply.com/products/klein-tools-635-6-nut-driver-set-magnetic-nut-drivers-heavy-duty-6-piece", "https://edmondsonsupply.com/products/klein-tools-635-6-nut-driver-set-magnetic-nut-drivers-heavy-duty-6-piece")</f>
        <v>https://edmondsonsupply.com/products/klein-tools-635-6-nut-driver-set-magnetic-nut-drivers-heavy-duty-6-piece</v>
      </c>
      <c r="C7079" t="s">
        <v>7877</v>
      </c>
      <c r="D7079" t="s">
        <v>1894</v>
      </c>
      <c r="E7079" s="3" t="str">
        <f>HYPERLINK("https://www.amazon.com/Magnetic-16-Inch-Klein-Tools-646M/dp/B000936QV0/ref=sr_1_4?keywords=Klein+Tools+635-6+Nut+Driver+Set%2C+Magnetic+Nut+Drivers%2C+Heavy+Duty%2C+6-Piece&amp;qid=1695174277&amp;sr=8-4", "https://www.amazon.com/Magnetic-16-Inch-Klein-Tools-646M/dp/B000936QV0/ref=sr_1_4?keywords=Klein+Tools+635-6+Nut+Driver+Set%2C+Magnetic+Nut+Drivers%2C+Heavy+Duty%2C+6-Piece&amp;qid=1695174277&amp;sr=8-4")</f>
        <v>https://www.amazon.com/Magnetic-16-Inch-Klein-Tools-646M/dp/B000936QV0/ref=sr_1_4?keywords=Klein+Tools+635-6+Nut+Driver+Set%2C+Magnetic+Nut+Drivers%2C+Heavy+Duty%2C+6-Piece&amp;qid=1695174277&amp;sr=8-4</v>
      </c>
      <c r="F7079" t="s">
        <v>1895</v>
      </c>
      <c r="G7079" t="e">
        <f ca="1">_xludf.IMAGE("https://edmondsonsupply.com/cdn/shop/products/635-6.jpg?v=1633031003")</f>
        <v>#NAME?</v>
      </c>
      <c r="H7079" t="e">
        <f ca="1">_xludf.IMAGE("https://m.media-amazon.com/images/I/41lkJ6KRq9L._AC_UL320_.jpg")</f>
        <v>#NAME?</v>
      </c>
      <c r="I7079" t="s">
        <v>300</v>
      </c>
      <c r="J7079">
        <v>24.99</v>
      </c>
      <c r="K7079" s="4">
        <v>-0.68759999999999999</v>
      </c>
      <c r="L7079">
        <v>4.8</v>
      </c>
      <c r="M7079">
        <v>1654</v>
      </c>
      <c r="O7079" t="s">
        <v>25</v>
      </c>
      <c r="P7079" t="s">
        <v>6296</v>
      </c>
      <c r="Q7079" t="s">
        <v>7878</v>
      </c>
    </row>
    <row r="7080" spans="1:17" ht="15.5" x14ac:dyDescent="0.35">
      <c r="A7080" s="3" t="str">
        <f>HYPERLINK("https://edmondsonsupply.com/collections/electricians-tools/products/klein-tools-50611-magnetic-wire-puller", "https://edmondsonsupply.com/collections/electricians-tools/products/klein-tools-50611-magnetic-wire-puller")</f>
        <v>https://edmondsonsupply.com/collections/electricians-tools/products/klein-tools-50611-magnetic-wire-puller</v>
      </c>
      <c r="B7080" s="3" t="str">
        <f>HYPERLINK("https://edmondsonsupply.com/products/klein-tools-50611-magnetic-wire-puller", "https://edmondsonsupply.com/products/klein-tools-50611-magnetic-wire-puller")</f>
        <v>https://edmondsonsupply.com/products/klein-tools-50611-magnetic-wire-puller</v>
      </c>
      <c r="C7080" t="s">
        <v>7886</v>
      </c>
      <c r="D7080" t="s">
        <v>8632</v>
      </c>
      <c r="E7080" s="3" t="str">
        <f>HYPERLINK("https://www.amazon.com/Klein-Tools-50611ML-Replacement-Stainless-Steel/dp/B09C6RH3Z9/ref=sr_1_2?keywords=Klein+Tools+50611+Magnetic+Wire+Puller&amp;qid=1695174156&amp;sr=8-2", "https://www.amazon.com/Klein-Tools-50611ML-Replacement-Stainless-Steel/dp/B09C6RH3Z9/ref=sr_1_2?keywords=Klein+Tools+50611+Magnetic+Wire+Puller&amp;qid=1695174156&amp;sr=8-2")</f>
        <v>https://www.amazon.com/Klein-Tools-50611ML-Replacement-Stainless-Steel/dp/B09C6RH3Z9/ref=sr_1_2?keywords=Klein+Tools+50611+Magnetic+Wire+Puller&amp;qid=1695174156&amp;sr=8-2</v>
      </c>
      <c r="F7080" t="s">
        <v>8633</v>
      </c>
      <c r="G7080" t="e">
        <f ca="1">_xludf.IMAGE("https://edmondsonsupply.com/cdn/shop/products/50611.jpg?v=1663951524")</f>
        <v>#NAME?</v>
      </c>
      <c r="H7080" t="e">
        <f ca="1">_xludf.IMAGE("https://m.media-amazon.com/images/I/31ni9F4mVRL._AC_UL320_.jpg")</f>
        <v>#NAME?</v>
      </c>
      <c r="I7080" t="s">
        <v>356</v>
      </c>
      <c r="J7080">
        <v>21.61</v>
      </c>
      <c r="K7080" s="4">
        <v>-0.69120000000000004</v>
      </c>
      <c r="L7080">
        <v>4</v>
      </c>
      <c r="M7080">
        <v>8</v>
      </c>
      <c r="O7080" t="s">
        <v>25</v>
      </c>
      <c r="P7080" t="s">
        <v>5007</v>
      </c>
      <c r="Q7080" t="s">
        <v>7887</v>
      </c>
    </row>
    <row r="7081" spans="1:17" ht="15.5" x14ac:dyDescent="0.35">
      <c r="A7081" s="3" t="str">
        <f>HYPERLINK("https://edmondsonsupply.com/collections/electricians-tools/products/fluke-80pk-1-bead-probe", "https://edmondsonsupply.com/collections/electricians-tools/products/fluke-80pk-1-bead-probe")</f>
        <v>https://edmondsonsupply.com/collections/electricians-tools/products/fluke-80pk-1-bead-probe</v>
      </c>
      <c r="B7081" s="3" t="str">
        <f>HYPERLINK("https://edmondsonsupply.com/products/fluke-80pk-1-bead-probe", "https://edmondsonsupply.com/products/fluke-80pk-1-bead-probe")</f>
        <v>https://edmondsonsupply.com/products/fluke-80pk-1-bead-probe</v>
      </c>
      <c r="C7081" t="s">
        <v>8672</v>
      </c>
      <c r="D7081" t="s">
        <v>9101</v>
      </c>
      <c r="E7081" s="3"/>
      <c r="F7081" t="s">
        <v>9102</v>
      </c>
      <c r="G7081" t="e">
        <f ca="1">_xludf.IMAGE("https://edmondsonsupply.com/cdn/shop/products/80pk-1a.png?v=1633466414")</f>
        <v>#NAME?</v>
      </c>
      <c r="H7081" t="e">
        <f ca="1">_xludf.IMAGE("https://m.media-amazon.com/images/I/61W04cxOQhL._AC_UY218_.jpg")</f>
        <v>#NAME?</v>
      </c>
      <c r="I7081" t="s">
        <v>1765</v>
      </c>
      <c r="J7081">
        <v>17.579999999999998</v>
      </c>
      <c r="K7081" s="4">
        <v>-0.6915</v>
      </c>
      <c r="L7081">
        <v>4.7</v>
      </c>
      <c r="M7081">
        <v>28</v>
      </c>
      <c r="O7081" t="s">
        <v>25</v>
      </c>
      <c r="P7081" t="s">
        <v>905</v>
      </c>
      <c r="Q7081" t="s">
        <v>8675</v>
      </c>
    </row>
    <row r="7082" spans="1:17" ht="15.5" x14ac:dyDescent="0.35">
      <c r="A7082" s="3" t="str">
        <f>HYPERLINK("https://edmondsonsupply.com/collections/electricians-tools/products/fluke-80pk-1-bead-probe", "https://edmondsonsupply.com/collections/electricians-tools/products/fluke-80pk-1-bead-probe")</f>
        <v>https://edmondsonsupply.com/collections/electricians-tools/products/fluke-80pk-1-bead-probe</v>
      </c>
      <c r="B7082" s="3" t="str">
        <f>HYPERLINK("https://edmondsonsupply.com/products/fluke-80pk-1-bead-probe", "https://edmondsonsupply.com/products/fluke-80pk-1-bead-probe")</f>
        <v>https://edmondsonsupply.com/products/fluke-80pk-1-bead-probe</v>
      </c>
      <c r="C7082" t="s">
        <v>8672</v>
      </c>
      <c r="D7082" t="s">
        <v>9099</v>
      </c>
      <c r="E7082" s="3" t="str">
        <f>HYPERLINK("https://www.amazon.com/Thermocouple-Temperature-Probe-Clamp-80BK/dp/B07JVYZST8/ref=sr_1_6?keywords=Fluke+80PK-1+Bead+Probe&amp;qid=1695174239&amp;sr=8-6", "https://www.amazon.com/Thermocouple-Temperature-Probe-Clamp-80BK/dp/B07JVYZST8/ref=sr_1_6?keywords=Fluke+80PK-1+Bead+Probe&amp;qid=1695174239&amp;sr=8-6")</f>
        <v>https://www.amazon.com/Thermocouple-Temperature-Probe-Clamp-80BK/dp/B07JVYZST8/ref=sr_1_6?keywords=Fluke+80PK-1+Bead+Probe&amp;qid=1695174239&amp;sr=8-6</v>
      </c>
      <c r="F7082" t="s">
        <v>9100</v>
      </c>
      <c r="G7082" t="e">
        <f ca="1">_xludf.IMAGE("https://edmondsonsupply.com/cdn/shop/products/80pk-1a.png?v=1633466414")</f>
        <v>#NAME?</v>
      </c>
      <c r="H7082" t="e">
        <f ca="1">_xludf.IMAGE("https://m.media-amazon.com/images/I/51hF6ZaqGWL._AC_UY218_.jpg")</f>
        <v>#NAME?</v>
      </c>
      <c r="I7082" t="s">
        <v>1765</v>
      </c>
      <c r="J7082">
        <v>17.579999999999998</v>
      </c>
      <c r="K7082" s="4">
        <v>-0.6915</v>
      </c>
      <c r="L7082">
        <v>4.5</v>
      </c>
      <c r="M7082">
        <v>213</v>
      </c>
      <c r="O7082" t="s">
        <v>25</v>
      </c>
      <c r="P7082" t="s">
        <v>905</v>
      </c>
      <c r="Q7082" t="s">
        <v>8675</v>
      </c>
    </row>
    <row r="7083" spans="1:17" ht="15.5" x14ac:dyDescent="0.35">
      <c r="A7083" s="3" t="str">
        <f>HYPERLINK("https://edmondsonsupply.com/collections/electricians-tools/products/milwaukee-48-59-1812-m18%E2%84%A2-m12%E2%84%A2-multi-voltage-charger", "https://edmondsonsupply.com/collections/electricians-tools/products/milwaukee-48-59-1812-m18%E2%84%A2-m12%E2%84%A2-multi-voltage-charger")</f>
        <v>https://edmondsonsupply.com/collections/electricians-tools/products/milwaukee-48-59-1812-m18%E2%84%A2-m12%E2%84%A2-multi-voltage-charger</v>
      </c>
      <c r="B7083" s="3" t="str">
        <f>HYPERLINK("https://edmondsonsupply.com/products/milwaukee-48-59-1812-m18%e2%84%a2-m12%e2%84%a2-multi-voltage-charger", "https://edmondsonsupply.com/products/milwaukee-48-59-1812-m18%e2%84%a2-m12%e2%84%a2-multi-voltage-charger")</f>
        <v>https://edmondsonsupply.com/products/milwaukee-48-59-1812-m18%e2%84%a2-m12%e2%84%a2-multi-voltage-charger</v>
      </c>
      <c r="C7083" t="s">
        <v>6718</v>
      </c>
      <c r="D7083" t="s">
        <v>9159</v>
      </c>
      <c r="E7083" s="3" t="str">
        <f>HYPERLINK("https://www.amazon.com/Eichxo-48-59-1812-Compatible-48-11-2420-48-11-2440/dp/B089NGH7NS/ref=sr_1_3?keywords=Milwaukee+48-59-1812+M18%E2%84%A2+%26+M12%E2%84%A2+Multi-Voltage+Charger&amp;qid=1695174184&amp;sr=8-3", "https://www.amazon.com/Eichxo-48-59-1812-Compatible-48-11-2420-48-11-2440/dp/B089NGH7NS/ref=sr_1_3?keywords=Milwaukee+48-59-1812+M18%E2%84%A2+%26+M12%E2%84%A2+Multi-Voltage+Charger&amp;qid=1695174184&amp;sr=8-3")</f>
        <v>https://www.amazon.com/Eichxo-48-59-1812-Compatible-48-11-2420-48-11-2440/dp/B089NGH7NS/ref=sr_1_3?keywords=Milwaukee+48-59-1812+M18%E2%84%A2+%26+M12%E2%84%A2+Multi-Voltage+Charger&amp;qid=1695174184&amp;sr=8-3</v>
      </c>
      <c r="F7083" t="s">
        <v>9160</v>
      </c>
      <c r="G7083" t="e">
        <f ca="1">_xludf.IMAGE("https://edmondsonsupply.com/cdn/shop/products/60113_48-59-1812_3-lg.webp?v=1656530513")</f>
        <v>#NAME?</v>
      </c>
      <c r="H7083" t="e">
        <f ca="1">_xludf.IMAGE("https://m.media-amazon.com/images/I/71V0OaVfJ8L._AC_UL320_.jpg")</f>
        <v>#NAME?</v>
      </c>
      <c r="I7083" t="s">
        <v>4741</v>
      </c>
      <c r="J7083">
        <v>23.99</v>
      </c>
      <c r="K7083" s="4">
        <v>-0.69630000000000003</v>
      </c>
      <c r="L7083">
        <v>4.5999999999999996</v>
      </c>
      <c r="M7083">
        <v>74</v>
      </c>
      <c r="O7083" t="s">
        <v>25</v>
      </c>
      <c r="P7083" t="s">
        <v>6721</v>
      </c>
      <c r="Q7083" t="s">
        <v>6722</v>
      </c>
    </row>
    <row r="7084" spans="1:17" ht="15.5" x14ac:dyDescent="0.35">
      <c r="A7084" s="3" t="str">
        <f>HYPERLINK("https://edmondsonsupply.com/collections/electricians-tools/products/klein-tools-66070-flip-impact-socket-set-7-piece", "https://edmondsonsupply.com/collections/electricians-tools/products/klein-tools-66070-flip-impact-socket-set-7-piece")</f>
        <v>https://edmondsonsupply.com/collections/electricians-tools/products/klein-tools-66070-flip-impact-socket-set-7-piece</v>
      </c>
      <c r="B7084" s="3" t="str">
        <f>HYPERLINK("https://edmondsonsupply.com/products/klein-tools-66070-flip-impact-socket-set-7-piece", "https://edmondsonsupply.com/products/klein-tools-66070-flip-impact-socket-set-7-piece")</f>
        <v>https://edmondsonsupply.com/products/klein-tools-66070-flip-impact-socket-set-7-piece</v>
      </c>
      <c r="C7084" t="s">
        <v>6659</v>
      </c>
      <c r="D7084" t="s">
        <v>6621</v>
      </c>
      <c r="E7084" s="3" t="str">
        <f>HYPERLINK("https://www.amazon.com/16-Inch-Drivers-Klein-Tools-32768/dp/B09Q52LQ5G/ref=sr_1_4?keywords=Klein+Tools+66070+Flip+Impact+Socket+Set%2C+7-Piece&amp;qid=1695173845&amp;sr=8-4", "https://www.amazon.com/16-Inch-Drivers-Klein-Tools-32768/dp/B09Q52LQ5G/ref=sr_1_4?keywords=Klein+Tools+66070+Flip+Impact+Socket+Set%2C+7-Piece&amp;qid=1695173845&amp;sr=8-4")</f>
        <v>https://www.amazon.com/16-Inch-Drivers-Klein-Tools-32768/dp/B09Q52LQ5G/ref=sr_1_4?keywords=Klein+Tools+66070+Flip+Impact+Socket+Set%2C+7-Piece&amp;qid=1695173845&amp;sr=8-4</v>
      </c>
      <c r="F7084" t="s">
        <v>6622</v>
      </c>
      <c r="G7084" t="e">
        <f ca="1">_xludf.IMAGE("https://edmondsonsupply.com/cdn/shop/products/66070_b.jpg?v=1663251434")</f>
        <v>#NAME?</v>
      </c>
      <c r="H7084" t="e">
        <f ca="1">_xludf.IMAGE("https://m.media-amazon.com/images/I/51WsqEdVfRL._AC_UL320_.jpg")</f>
        <v>#NAME?</v>
      </c>
      <c r="I7084" t="s">
        <v>380</v>
      </c>
      <c r="J7084">
        <v>14.95</v>
      </c>
      <c r="K7084" s="4">
        <v>-0.70079999999999998</v>
      </c>
      <c r="L7084">
        <v>4.4000000000000004</v>
      </c>
      <c r="M7084">
        <v>1288</v>
      </c>
      <c r="O7084" t="s">
        <v>25</v>
      </c>
      <c r="P7084" t="s">
        <v>1114</v>
      </c>
      <c r="Q7084" t="s">
        <v>6662</v>
      </c>
    </row>
    <row r="7085" spans="1:17" ht="15.5" x14ac:dyDescent="0.35">
      <c r="A7085"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7085"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7085" t="s">
        <v>9080</v>
      </c>
      <c r="D7085" t="s">
        <v>9161</v>
      </c>
      <c r="E7085" s="3" t="str">
        <f>HYPERLINK("https://www.amazon.com/Biswaye-48-11-2402-48-11-2401-48-11-2420-48-11-2411/dp/B07C7S59HN/ref=sr_1_2?keywords=Milwaukee+48-11-2412+M12+REDLITHIUM%E2%84%A2+XC+Battery+Two+Pack&amp;qid=1695174210&amp;sr=8-2", "https://www.amazon.com/Biswaye-48-11-2402-48-11-2401-48-11-2420-48-11-2411/dp/B07C7S59HN/ref=sr_1_2?keywords=Milwaukee+48-11-2412+M12+REDLITHIUM%E2%84%A2+XC+Battery+Two+Pack&amp;qid=1695174210&amp;sr=8-2")</f>
        <v>https://www.amazon.com/Biswaye-48-11-2402-48-11-2401-48-11-2420-48-11-2411/dp/B07C7S59HN/ref=sr_1_2?keywords=Milwaukee+48-11-2412+M12+REDLITHIUM%E2%84%A2+XC+Battery+Two+Pack&amp;qid=1695174210&amp;sr=8-2</v>
      </c>
      <c r="F7085" t="s">
        <v>9162</v>
      </c>
      <c r="G7085" t="e">
        <f ca="1">_xludf.IMAGE("https://edmondsonsupply.com/cdn/shop/products/48-11-2412.jpg?v=1654795924")</f>
        <v>#NAME?</v>
      </c>
      <c r="H7085" t="e">
        <f ca="1">_xludf.IMAGE("https://m.media-amazon.com/images/I/61-b7UVQ5eL._AC_UL320_.jpg")</f>
        <v>#NAME?</v>
      </c>
      <c r="I7085" t="s">
        <v>739</v>
      </c>
      <c r="J7085">
        <v>37.99</v>
      </c>
      <c r="K7085" s="4">
        <v>-0.70550000000000002</v>
      </c>
      <c r="L7085">
        <v>4.5</v>
      </c>
      <c r="M7085">
        <v>470</v>
      </c>
      <c r="O7085" t="s">
        <v>25</v>
      </c>
      <c r="P7085" t="s">
        <v>9083</v>
      </c>
      <c r="Q7085" t="s">
        <v>9084</v>
      </c>
    </row>
    <row r="7086" spans="1:17" ht="15.5" x14ac:dyDescent="0.35">
      <c r="A7086" s="3" t="str">
        <f>HYPERLINK("https://edmondsonsupply.com/collections/electricians-tools/products/veto-pro-pac-tp-xxl-tool-pouch", "https://edmondsonsupply.com/collections/electricians-tools/products/veto-pro-pac-tp-xxl-tool-pouch")</f>
        <v>https://edmondsonsupply.com/collections/electricians-tools/products/veto-pro-pac-tp-xxl-tool-pouch</v>
      </c>
      <c r="B7086" s="3" t="str">
        <f>HYPERLINK("https://edmondsonsupply.com/products/veto-pro-pac-tp-xxl-tool-pouch", "https://edmondsonsupply.com/products/veto-pro-pac-tp-xxl-tool-pouch")</f>
        <v>https://edmondsonsupply.com/products/veto-pro-pac-tp-xxl-tool-pouch</v>
      </c>
      <c r="C7086" t="s">
        <v>451</v>
      </c>
      <c r="D7086" t="s">
        <v>730</v>
      </c>
      <c r="E7086" s="3" t="str">
        <f>HYPERLINK("https://www.amazon.com/Veto-Pro-Pac-MB-Pouch/dp/B008471S4I/ref=sr_1_8?keywords=Veto+Pro+Pac+TP-XXL+Tool+Pouch&amp;qid=1695173851&amp;sr=8-8", "https://www.amazon.com/Veto-Pro-Pac-MB-Pouch/dp/B008471S4I/ref=sr_1_8?keywords=Veto+Pro+Pac+TP-XXL+Tool+Pouch&amp;qid=1695173851&amp;sr=8-8")</f>
        <v>https://www.amazon.com/Veto-Pro-Pac-MB-Pouch/dp/B008471S4I/ref=sr_1_8?keywords=Veto+Pro+Pac+TP-XXL+Tool+Pouch&amp;qid=1695173851&amp;sr=8-8</v>
      </c>
      <c r="F7086" t="s">
        <v>731</v>
      </c>
      <c r="G7086" t="e">
        <f ca="1">_xludf.IMAGE("https://edmondsonsupply.com/cdn/shop/products/01_TP-XXL.jpg?v=1633031173")</f>
        <v>#NAME?</v>
      </c>
      <c r="H7086" t="e">
        <f ca="1">_xludf.IMAGE("https://m.media-amazon.com/images/I/91BzQgD8ZJL._AC_UL320_.jpg")</f>
        <v>#NAME?</v>
      </c>
      <c r="I7086" t="s">
        <v>454</v>
      </c>
      <c r="J7086">
        <v>59.95</v>
      </c>
      <c r="K7086" s="4">
        <v>-0.71450000000000002</v>
      </c>
      <c r="L7086">
        <v>4.8</v>
      </c>
      <c r="M7086">
        <v>544</v>
      </c>
      <c r="O7086" t="s">
        <v>25</v>
      </c>
      <c r="P7086" t="s">
        <v>138</v>
      </c>
      <c r="Q7086" t="s">
        <v>455</v>
      </c>
    </row>
    <row r="7087" spans="1:17" ht="15.5" x14ac:dyDescent="0.35">
      <c r="A7087"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7087" s="3" t="str">
        <f>HYPERLINK("https://edmondsonsupply.com/products/klein-tools-935dagl-digital-level-with-programmable-angles", "https://edmondsonsupply.com/products/klein-tools-935dagl-digital-level-with-programmable-angles")</f>
        <v>https://edmondsonsupply.com/products/klein-tools-935dagl-digital-level-with-programmable-angles</v>
      </c>
      <c r="C7087" t="s">
        <v>7122</v>
      </c>
      <c r="D7087" t="s">
        <v>9163</v>
      </c>
      <c r="E7087" s="3" t="str">
        <f>HYPERLINK("https://www.amazon.com/Tourmate-Storage-Compatible-935DAGL-Digital/dp/B0BMFXM5QG/ref=sr_1_8?keywords=Klein+Tools+935DAGL+Digital+Level+with+Programmable+Angles&amp;qid=1695174178&amp;sr=8-8", "https://www.amazon.com/Tourmate-Storage-Compatible-935DAGL-Digital/dp/B0BMFXM5QG/ref=sr_1_8?keywords=Klein+Tools+935DAGL+Digital+Level+with+Programmable+Angles&amp;qid=1695174178&amp;sr=8-8")</f>
        <v>https://www.amazon.com/Tourmate-Storage-Compatible-935DAGL-Digital/dp/B0BMFXM5QG/ref=sr_1_8?keywords=Klein+Tools+935DAGL+Digital+Level+with+Programmable+Angles&amp;qid=1695174178&amp;sr=8-8</v>
      </c>
      <c r="F7087" t="s">
        <v>9164</v>
      </c>
      <c r="G7087" t="e">
        <f ca="1">_xludf.IMAGE("https://edmondsonsupply.com/cdn/shop/products/935dagl.jpg?v=1660749694")</f>
        <v>#NAME?</v>
      </c>
      <c r="H7087" t="e">
        <f ca="1">_xludf.IMAGE("https://m.media-amazon.com/images/I/814-6FvomjL._AC_UL320_.jpg")</f>
        <v>#NAME?</v>
      </c>
      <c r="I7087" t="s">
        <v>5197</v>
      </c>
      <c r="J7087">
        <v>16.989999999999998</v>
      </c>
      <c r="K7087" s="4">
        <v>-0.7167</v>
      </c>
      <c r="L7087">
        <v>5</v>
      </c>
      <c r="M7087">
        <v>1</v>
      </c>
      <c r="O7087" t="s">
        <v>25</v>
      </c>
      <c r="P7087" t="s">
        <v>7123</v>
      </c>
      <c r="Q7087" t="s">
        <v>7124</v>
      </c>
    </row>
    <row r="7088" spans="1:17" ht="15.5" x14ac:dyDescent="0.35">
      <c r="A7088"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7088" s="3" t="str">
        <f>HYPERLINK("https://edmondsonsupply.com/products/klein-tools-935dagl-digital-level-with-programmable-angles", "https://edmondsonsupply.com/products/klein-tools-935dagl-digital-level-with-programmable-angles")</f>
        <v>https://edmondsonsupply.com/products/klein-tools-935dagl-digital-level-with-programmable-angles</v>
      </c>
      <c r="C7088" t="s">
        <v>7122</v>
      </c>
      <c r="D7088" t="s">
        <v>9165</v>
      </c>
      <c r="E7088" s="3" t="str">
        <f>HYPERLINK("https://www.amazon.com/Aenllosi-Carrying-Compatible-935DAGL-Digital/dp/B092PRLB35/ref=sr_1_9?keywords=Klein+Tools+935DAGL+Digital+Level+with+Programmable+Angles&amp;qid=1695174178&amp;sr=8-9", "https://www.amazon.com/Aenllosi-Carrying-Compatible-935DAGL-Digital/dp/B092PRLB35/ref=sr_1_9?keywords=Klein+Tools+935DAGL+Digital+Level+with+Programmable+Angles&amp;qid=1695174178&amp;sr=8-9")</f>
        <v>https://www.amazon.com/Aenllosi-Carrying-Compatible-935DAGL-Digital/dp/B092PRLB35/ref=sr_1_9?keywords=Klein+Tools+935DAGL+Digital+Level+with+Programmable+Angles&amp;qid=1695174178&amp;sr=8-9</v>
      </c>
      <c r="F7088" t="s">
        <v>9166</v>
      </c>
      <c r="G7088" t="e">
        <f ca="1">_xludf.IMAGE("https://edmondsonsupply.com/cdn/shop/products/935dagl.jpg?v=1660749694")</f>
        <v>#NAME?</v>
      </c>
      <c r="H7088" t="e">
        <f ca="1">_xludf.IMAGE("https://m.media-amazon.com/images/I/81AX7yjEwxL._AC_UL320_.jpg")</f>
        <v>#NAME?</v>
      </c>
      <c r="I7088" t="s">
        <v>5197</v>
      </c>
      <c r="J7088">
        <v>16.989999999999998</v>
      </c>
      <c r="K7088" s="4">
        <v>-0.7167</v>
      </c>
      <c r="L7088">
        <v>4.5999999999999996</v>
      </c>
      <c r="M7088">
        <v>531</v>
      </c>
      <c r="O7088" t="s">
        <v>25</v>
      </c>
      <c r="P7088" t="s">
        <v>7123</v>
      </c>
      <c r="Q7088" t="s">
        <v>7124</v>
      </c>
    </row>
    <row r="7089" spans="1:17" ht="15.5" x14ac:dyDescent="0.35">
      <c r="A7089" s="3" t="str">
        <f>HYPERLINK("https://edmondsonsupply.com/collections/electricians-tools/products/klein-tools-ktsb15-step-drill-bit-15-double-fluted-7-8-to-1-3-8-inch", "https://edmondsonsupply.com/collections/electricians-tools/products/klein-tools-ktsb15-step-drill-bit-15-double-fluted-7-8-to-1-3-8-inch")</f>
        <v>https://edmondsonsupply.com/collections/electricians-tools/products/klein-tools-ktsb15-step-drill-bit-15-double-fluted-7-8-to-1-3-8-inch</v>
      </c>
      <c r="B7089" s="3" t="str">
        <f>HYPERLINK("https://edmondsonsupply.com/products/klein-tools-ktsb15-step-drill-bit-15-double-fluted-7-8-to-1-3-8-inch", "https://edmondsonsupply.com/products/klein-tools-ktsb15-step-drill-bit-15-double-fluted-7-8-to-1-3-8-inch")</f>
        <v>https://edmondsonsupply.com/products/klein-tools-ktsb15-step-drill-bit-15-double-fluted-7-8-to-1-3-8-inch</v>
      </c>
      <c r="C7089" t="s">
        <v>8694</v>
      </c>
      <c r="D7089" t="s">
        <v>8994</v>
      </c>
      <c r="E7089" s="3" t="str">
        <f>HYPERLINK("https://www.amazon.com/Jerax-tools-Straight-Stainless-highlighted/dp/B094VN88HK/ref=sr_1_8?keywords=Klein+Tools+KTSB15+Step+Drill+Bit&amp;qid=1695174298&amp;sr=8-8", "https://www.amazon.com/Jerax-tools-Straight-Stainless-highlighted/dp/B094VN88HK/ref=sr_1_8?keywords=Klein+Tools+KTSB15+Step+Drill+Bit&amp;qid=1695174298&amp;sr=8-8")</f>
        <v>https://www.amazon.com/Jerax-tools-Straight-Stainless-highlighted/dp/B094VN88HK/ref=sr_1_8?keywords=Klein+Tools+KTSB15+Step+Drill+Bit&amp;qid=1695174298&amp;sr=8-8</v>
      </c>
      <c r="F7089" t="s">
        <v>8995</v>
      </c>
      <c r="G7089" t="e">
        <f ca="1">_xludf.IMAGE("https://edmondsonsupply.com/cdn/shop/products/ktsb15.jpg?v=1633030886")</f>
        <v>#NAME?</v>
      </c>
      <c r="H7089" t="e">
        <f ca="1">_xludf.IMAGE("https://m.media-amazon.com/images/I/61uPaRTO-SL._AC_UY218_.jpg")</f>
        <v>#NAME?</v>
      </c>
      <c r="I7089" t="s">
        <v>5197</v>
      </c>
      <c r="J7089">
        <v>16.95</v>
      </c>
      <c r="K7089" s="4">
        <v>-0.71740000000000004</v>
      </c>
      <c r="L7089">
        <v>4.5</v>
      </c>
      <c r="M7089">
        <v>713</v>
      </c>
      <c r="O7089" t="s">
        <v>25</v>
      </c>
      <c r="P7089" t="s">
        <v>8697</v>
      </c>
      <c r="Q7089" t="s">
        <v>8698</v>
      </c>
    </row>
    <row r="7090" spans="1:17" ht="15.5" x14ac:dyDescent="0.35">
      <c r="A7090" s="3" t="str">
        <f>HYPERLINK("https://edmondsonsupply.com/collections/electricians-tools/products/diablo-tools-dmapl2530-1-in-x-16-in-x-18-in-sds-plus-2-cutter", "https://edmondsonsupply.com/collections/electricians-tools/products/diablo-tools-dmapl2530-1-in-x-16-in-x-18-in-sds-plus-2-cutter")</f>
        <v>https://edmondsonsupply.com/collections/electricians-tools/products/diablo-tools-dmapl2530-1-in-x-16-in-x-18-in-sds-plus-2-cutter</v>
      </c>
      <c r="B7090" s="3" t="str">
        <f>HYPERLINK("https://edmondsonsupply.com/products/diablo-tools-dmapl2530-1-in-x-16-in-x-18-in-sds-plus-2-cutter", "https://edmondsonsupply.com/products/diablo-tools-dmapl2530-1-in-x-16-in-x-18-in-sds-plus-2-cutter")</f>
        <v>https://edmondsonsupply.com/products/diablo-tools-dmapl2530-1-in-x-16-in-x-18-in-sds-plus-2-cutter</v>
      </c>
      <c r="C7090" t="s">
        <v>7435</v>
      </c>
      <c r="D7090" t="s">
        <v>9167</v>
      </c>
      <c r="E7090" s="3" t="str">
        <f>HYPERLINK("https://www.amazon.com/Diablo-DMAPL2170-16-SDS-Plus-2-Cutter/dp/B089LGDL7F/ref=sr_1_2?keywords=Diablo+Tools+DMAPL2530+1+in.+x+16+in.+x+18+in.+SDS-Plus+2-Cutter&amp;qid=1695174263&amp;sr=8-2", "https://www.amazon.com/Diablo-DMAPL2170-16-SDS-Plus-2-Cutter/dp/B089LGDL7F/ref=sr_1_2?keywords=Diablo+Tools+DMAPL2530+1+in.+x+16+in.+x+18+in.+SDS-Plus+2-Cutter&amp;qid=1695174263&amp;sr=8-2")</f>
        <v>https://www.amazon.com/Diablo-DMAPL2170-16-SDS-Plus-2-Cutter/dp/B089LGDL7F/ref=sr_1_2?keywords=Diablo+Tools+DMAPL2530+1+in.+x+16+in.+x+18+in.+SDS-Plus+2-Cutter&amp;qid=1695174263&amp;sr=8-2</v>
      </c>
      <c r="F7090" t="s">
        <v>9168</v>
      </c>
      <c r="G7090" t="e">
        <f ca="1">_xludf.IMAGE("https://edmondsonsupply.com/cdn/shop/products/DMAPL2530_Main-Image20200703.png?v=1627068300")</f>
        <v>#NAME?</v>
      </c>
      <c r="H7090" t="e">
        <f ca="1">_xludf.IMAGE("https://m.media-amazon.com/images/I/61cUBcEwKHL._AC_UL320_.jpg")</f>
        <v>#NAME?</v>
      </c>
      <c r="I7090" t="s">
        <v>7436</v>
      </c>
      <c r="J7090">
        <v>10.94</v>
      </c>
      <c r="K7090" s="4">
        <v>-0.71930000000000005</v>
      </c>
      <c r="L7090">
        <v>4.7</v>
      </c>
      <c r="M7090">
        <v>15</v>
      </c>
      <c r="O7090" t="s">
        <v>25</v>
      </c>
      <c r="P7090" t="s">
        <v>7437</v>
      </c>
      <c r="Q7090" t="s">
        <v>7438</v>
      </c>
    </row>
    <row r="7091" spans="1:17" ht="15.5" x14ac:dyDescent="0.35">
      <c r="A7091" s="3" t="str">
        <f>HYPERLINK("https://edmondsonsupply.com/collections/electricians-tools/products/pipe-vise-apw14-14-aluminum-pipe-wrench", "https://edmondsonsupply.com/collections/electricians-tools/products/pipe-vise-apw14-14-aluminum-pipe-wrench")</f>
        <v>https://edmondsonsupply.com/collections/electricians-tools/products/pipe-vise-apw14-14-aluminum-pipe-wrench</v>
      </c>
      <c r="B7091" s="3" t="str">
        <f>HYPERLINK("https://edmondsonsupply.com/products/pipe-vise-apw14-14-aluminum-pipe-wrench", "https://edmondsonsupply.com/products/pipe-vise-apw14-14-aluminum-pipe-wrench")</f>
        <v>https://edmondsonsupply.com/products/pipe-vise-apw14-14-aluminum-pipe-wrench</v>
      </c>
      <c r="C7091" t="s">
        <v>9169</v>
      </c>
      <c r="D7091" t="s">
        <v>9170</v>
      </c>
      <c r="E7091" s="3" t="str">
        <f>HYPERLINK("https://www.amazon.com/Aluminum-Wrench-Heavy-Forge-Plumbing/dp/B071DKXWNL/ref=sr_1_4?keywords=Pipe+Vise+APW14+14%22+HD+Aluminum+Pipe+Wrench&amp;qid=1695174037&amp;sr=8-4", "https://www.amazon.com/Aluminum-Wrench-Heavy-Forge-Plumbing/dp/B071DKXWNL/ref=sr_1_4?keywords=Pipe+Vise+APW14+14%22+HD+Aluminum+Pipe+Wrench&amp;qid=1695174037&amp;sr=8-4")</f>
        <v>https://www.amazon.com/Aluminum-Wrench-Heavy-Forge-Plumbing/dp/B071DKXWNL/ref=sr_1_4?keywords=Pipe+Vise+APW14+14%22+HD+Aluminum+Pipe+Wrench&amp;qid=1695174037&amp;sr=8-4</v>
      </c>
      <c r="F7091" t="s">
        <v>9171</v>
      </c>
      <c r="G7091" t="e">
        <f ca="1">_xludf.IMAGE("https://edmondsonsupply.com/cdn/shop/products/APW14.png?v=1681257860")</f>
        <v>#NAME?</v>
      </c>
      <c r="H7091" t="e">
        <f ca="1">_xludf.IMAGE("https://m.media-amazon.com/images/I/41KV0UI8SdL._AC_UL320_.jpg")</f>
        <v>#NAME?</v>
      </c>
      <c r="I7091" t="s">
        <v>9172</v>
      </c>
      <c r="J7091">
        <v>18.95</v>
      </c>
      <c r="K7091" s="4">
        <v>-0.72929999999999995</v>
      </c>
      <c r="L7091">
        <v>4.4000000000000004</v>
      </c>
      <c r="M7091">
        <v>76</v>
      </c>
      <c r="O7091" t="s">
        <v>25</v>
      </c>
      <c r="P7091" t="s">
        <v>138</v>
      </c>
      <c r="Q7091" t="s">
        <v>9173</v>
      </c>
    </row>
    <row r="7092" spans="1:17" ht="15.5" x14ac:dyDescent="0.35">
      <c r="A7092" s="3" t="str">
        <f>HYPERLINK("https://edmondsonsupply.com/collections/electricians-tools/products/diablo-tools-dou125cgp10-1-1-4-in-universal-fit-carbide-oscillating-blade-for-general-purpose-cuts", "https://edmondsonsupply.com/collections/electricians-tools/products/diablo-tools-dou125cgp10-1-1-4-in-universal-fit-carbide-oscillating-blade-for-general-purpose-cuts")</f>
        <v>https://edmondsonsupply.com/collections/electricians-tools/products/diablo-tools-dou125cgp10-1-1-4-in-universal-fit-carbide-oscillating-blade-for-general-purpose-cuts</v>
      </c>
      <c r="B7092" s="3" t="str">
        <f>HYPERLINK("https://edmondsonsupply.com/products/diablo-tools-dou125cgp10-1-1-4-in-universal-fit-carbide-oscillating-blade-for-general-purpose-cuts", "https://edmondsonsupply.com/products/diablo-tools-dou125cgp10-1-1-4-in-universal-fit-carbide-oscillating-blade-for-general-purpose-cuts")</f>
        <v>https://edmondsonsupply.com/products/diablo-tools-dou125cgp10-1-1-4-in-universal-fit-carbide-oscillating-blade-for-general-purpose-cuts</v>
      </c>
      <c r="C7092" t="s">
        <v>9174</v>
      </c>
      <c r="D7092" t="s">
        <v>5887</v>
      </c>
      <c r="E7092" s="3" t="str">
        <f>HYPERLINK("https://www.amazon.com/Diablo-Freud-DOU125CGP3-Universal-Oscillating/dp/B089KW6C8Q/ref=sr_1_2?keywords=Diablo+Tools+DOU125CGP10+1-1%2F4+in.+Universal+Fit+Carbide+Oscillating+Blade+for+General+Purpose+Cuts+%2810+pk%29&amp;qid=1695174065&amp;sr=8-2", "https://www.amazon.com/Diablo-Freud-DOU125CGP3-Universal-Oscillating/dp/B089KW6C8Q/ref=sr_1_2?keywords=Diablo+Tools+DOU125CGP10+1-1%2F4+in.+Universal+Fit+Carbide+Oscillating+Blade+for+General+Purpose+Cuts+%2810+pk%29&amp;qid=1695174065&amp;sr=8-2")</f>
        <v>https://www.amazon.com/Diablo-Freud-DOU125CGP3-Universal-Oscillating/dp/B089KW6C8Q/ref=sr_1_2?keywords=Diablo+Tools+DOU125CGP10+1-1%2F4+in.+Universal+Fit+Carbide+Oscillating+Blade+for+General+Purpose+Cuts+%2810+pk%29&amp;qid=1695174065&amp;sr=8-2</v>
      </c>
      <c r="F7092" t="s">
        <v>5888</v>
      </c>
      <c r="G7092" t="e">
        <f ca="1">_xludf.IMAGE("https://edmondsonsupply.com/cdn/shop/products/htobgrjt150mygkkk6to.webp?v=1677258458")</f>
        <v>#NAME?</v>
      </c>
      <c r="H7092" t="e">
        <f ca="1">_xludf.IMAGE("https://m.media-amazon.com/images/I/71lNEMXVnHL._AC_UL320_.jpg")</f>
        <v>#NAME?</v>
      </c>
      <c r="I7092" t="s">
        <v>8435</v>
      </c>
      <c r="J7092">
        <v>27.99</v>
      </c>
      <c r="K7092" s="4">
        <v>-0.73340000000000005</v>
      </c>
      <c r="L7092">
        <v>4.5</v>
      </c>
      <c r="M7092">
        <v>139</v>
      </c>
      <c r="O7092" t="s">
        <v>171</v>
      </c>
      <c r="P7092" t="s">
        <v>9175</v>
      </c>
      <c r="Q7092" t="s">
        <v>9176</v>
      </c>
    </row>
    <row r="7093" spans="1:17" ht="15.5" x14ac:dyDescent="0.35">
      <c r="A7093" s="3" t="str">
        <f>HYPERLINK("https://edmondsonsupply.com/collections/electricians-tools/products/klein-tools-et310-digital-circuit-breaker-finder-with-gfci-outlet-tester", "https://edmondsonsupply.com/collections/electricians-tools/products/klein-tools-et310-digital-circuit-breaker-finder-with-gfci-outlet-tester")</f>
        <v>https://edmondsonsupply.com/collections/electricians-tools/products/klein-tools-et310-digital-circuit-breaker-finder-with-gfci-outlet-tester</v>
      </c>
      <c r="B7093" s="3" t="str">
        <f>HYPERLINK("https://edmondsonsupply.com/products/klein-tools-et310-digital-circuit-breaker-finder-with-gfci-outlet-tester", "https://edmondsonsupply.com/products/klein-tools-et310-digital-circuit-breaker-finder-with-gfci-outlet-tester")</f>
        <v>https://edmondsonsupply.com/products/klein-tools-et310-digital-circuit-breaker-finder-with-gfci-outlet-tester</v>
      </c>
      <c r="C7093" t="s">
        <v>6824</v>
      </c>
      <c r="D7093" t="s">
        <v>7961</v>
      </c>
      <c r="E7093" s="3" t="str">
        <f>HYPERLINK("https://www.amazon.com/Klein-Tools-ET310TRANS-Replacement-Transmitter/dp/B0B6PZ31KW/ref=sr_1_3?keywords=Klein+Tools+ET310+Digital+Circuit+Breaker+Finder+with+GFCI+Outlet+Tester&amp;qid=1695173862&amp;sr=8-3", "https://www.amazon.com/Klein-Tools-ET310TRANS-Replacement-Transmitter/dp/B0B6PZ31KW/ref=sr_1_3?keywords=Klein+Tools+ET310+Digital+Circuit+Breaker+Finder+with+GFCI+Outlet+Tester&amp;qid=1695173862&amp;sr=8-3")</f>
        <v>https://www.amazon.com/Klein-Tools-ET310TRANS-Replacement-Transmitter/dp/B0B6PZ31KW/ref=sr_1_3?keywords=Klein+Tools+ET310+Digital+Circuit+Breaker+Finder+with+GFCI+Outlet+Tester&amp;qid=1695173862&amp;sr=8-3</v>
      </c>
      <c r="F7093" t="s">
        <v>7962</v>
      </c>
      <c r="G7093" t="e">
        <f ca="1">_xludf.IMAGE("https://edmondsonsupply.com/cdn/shop/products/et310_c.jpg?v=1646963918")</f>
        <v>#NAME?</v>
      </c>
      <c r="H7093" t="e">
        <f ca="1">_xludf.IMAGE("https://m.media-amazon.com/images/I/41ZLBVj0ZYL._AC_UL320_.jpg")</f>
        <v>#NAME?</v>
      </c>
      <c r="I7093" t="s">
        <v>380</v>
      </c>
      <c r="J7093">
        <v>12.99</v>
      </c>
      <c r="K7093" s="4">
        <v>-0.74</v>
      </c>
      <c r="L7093">
        <v>4.8</v>
      </c>
      <c r="M7093">
        <v>30</v>
      </c>
      <c r="O7093" t="s">
        <v>25</v>
      </c>
      <c r="P7093" t="s">
        <v>6825</v>
      </c>
      <c r="Q7093" t="s">
        <v>6826</v>
      </c>
    </row>
    <row r="7094" spans="1:17" ht="15.5" x14ac:dyDescent="0.35">
      <c r="A7094"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7094" s="3" t="str">
        <f>HYPERLINK("https://edmondsonsupply.com/products/klein-tools-935dagl-digital-level-with-programmable-angles", "https://edmondsonsupply.com/products/klein-tools-935dagl-digital-level-with-programmable-angles")</f>
        <v>https://edmondsonsupply.com/products/klein-tools-935dagl-digital-level-with-programmable-angles</v>
      </c>
      <c r="C7094" t="s">
        <v>7122</v>
      </c>
      <c r="D7094" t="s">
        <v>9177</v>
      </c>
      <c r="E7094" s="3" t="str">
        <f>HYPERLINK("https://www.amazon.com/JINMEI-Dedicated-935DAGL-Digital-Programmable/dp/B0966VF1XW/ref=sr_1_3?keywords=Klein+Tools+935DAGL+Digital+Level+with+Programmable+Angles&amp;qid=1695174178&amp;sr=8-3", "https://www.amazon.com/JINMEI-Dedicated-935DAGL-Digital-Programmable/dp/B0966VF1XW/ref=sr_1_3?keywords=Klein+Tools+935DAGL+Digital+Level+with+Programmable+Angles&amp;qid=1695174178&amp;sr=8-3")</f>
        <v>https://www.amazon.com/JINMEI-Dedicated-935DAGL-Digital-Programmable/dp/B0966VF1XW/ref=sr_1_3?keywords=Klein+Tools+935DAGL+Digital+Level+with+Programmable+Angles&amp;qid=1695174178&amp;sr=8-3</v>
      </c>
      <c r="F7094" t="s">
        <v>9178</v>
      </c>
      <c r="G7094" t="e">
        <f ca="1">_xludf.IMAGE("https://edmondsonsupply.com/cdn/shop/products/935dagl.jpg?v=1660749694")</f>
        <v>#NAME?</v>
      </c>
      <c r="H7094" t="e">
        <f ca="1">_xludf.IMAGE("https://m.media-amazon.com/images/I/71xWDKFCpDS._AC_UL320_.jpg")</f>
        <v>#NAME?</v>
      </c>
      <c r="I7094" t="s">
        <v>5197</v>
      </c>
      <c r="J7094">
        <v>14.99</v>
      </c>
      <c r="K7094" s="4">
        <v>-0.75</v>
      </c>
      <c r="L7094">
        <v>4.4000000000000004</v>
      </c>
      <c r="M7094">
        <v>25</v>
      </c>
      <c r="O7094" t="s">
        <v>25</v>
      </c>
      <c r="P7094" t="s">
        <v>7123</v>
      </c>
      <c r="Q7094" t="s">
        <v>7124</v>
      </c>
    </row>
    <row r="7095" spans="1:17" ht="15.5" x14ac:dyDescent="0.35">
      <c r="A7095" s="3" t="str">
        <f>HYPERLINK("https://edmondsonsupply.com/collections/electricians-tools/products/klein-tools-ncvt-2p-dual-range-non-contact-voltage-tester-12-1000v-ac", "https://edmondsonsupply.com/collections/electricians-tools/products/klein-tools-ncvt-2p-dual-range-non-contact-voltage-tester-12-1000v-ac")</f>
        <v>https://edmondsonsupply.com/collections/electricians-tools/products/klein-tools-ncvt-2p-dual-range-non-contact-voltage-tester-12-1000v-ac</v>
      </c>
      <c r="B7095" s="3" t="str">
        <f>HYPERLINK("https://edmondsonsupply.com/products/klein-tools-ncvt-2p-dual-range-non-contact-voltage-tester-12-1000v-ac", "https://edmondsonsupply.com/products/klein-tools-ncvt-2p-dual-range-non-contact-voltage-tester-12-1000v-ac")</f>
        <v>https://edmondsonsupply.com/products/klein-tools-ncvt-2p-dual-range-non-contact-voltage-tester-12-1000v-ac</v>
      </c>
      <c r="C7095" t="s">
        <v>6587</v>
      </c>
      <c r="D7095" t="s">
        <v>9179</v>
      </c>
      <c r="E7095" s="3" t="str">
        <f>HYPERLINK("https://www.amazon.com/Binval-Non-Contact-48V-1000V-Electrical-Breakpoint/dp/B0B8J45S13/ref=sr_1_10?keywords=Klein+Tools+NCVT-2P+Dual+Range+Non-Contact+Voltage+Tester+12+-+1000V+AC&amp;qid=1695174301&amp;sr=8-10", "https://www.amazon.com/Binval-Non-Contact-48V-1000V-Electrical-Breakpoint/dp/B0B8J45S13/ref=sr_1_10?keywords=Klein+Tools+NCVT-2P+Dual+Range+Non-Contact+Voltage+Tester+12+-+1000V+AC&amp;qid=1695174301&amp;sr=8-10")</f>
        <v>https://www.amazon.com/Binval-Non-Contact-48V-1000V-Electrical-Breakpoint/dp/B0B8J45S13/ref=sr_1_10?keywords=Klein+Tools+NCVT-2P+Dual+Range+Non-Contact+Voltage+Tester+12+-+1000V+AC&amp;qid=1695174301&amp;sr=8-10</v>
      </c>
      <c r="F7095" t="s">
        <v>9180</v>
      </c>
      <c r="G7095" t="e">
        <f ca="1">_xludf.IMAGE("https://edmondsonsupply.com/cdn/shop/products/ncvt2p.jpg?v=1633030824")</f>
        <v>#NAME?</v>
      </c>
      <c r="H7095" t="e">
        <f ca="1">_xludf.IMAGE("https://m.media-amazon.com/images/I/61hnJLfbVwL._AC_UL320_.jpg")</f>
        <v>#NAME?</v>
      </c>
      <c r="I7095" t="s">
        <v>6588</v>
      </c>
      <c r="J7095">
        <v>6.99</v>
      </c>
      <c r="K7095" s="4">
        <v>-0.75009999999999999</v>
      </c>
      <c r="L7095">
        <v>4.5</v>
      </c>
      <c r="M7095">
        <v>21</v>
      </c>
      <c r="O7095" t="s">
        <v>25</v>
      </c>
      <c r="P7095" t="s">
        <v>6589</v>
      </c>
      <c r="Q7095" t="s">
        <v>6590</v>
      </c>
    </row>
    <row r="7096" spans="1:17" ht="15.5" x14ac:dyDescent="0.35">
      <c r="A7096" s="3" t="str">
        <f>HYPERLINK("https://edmondsonsupply.com/collections/electricians-tools/products/veto-pro-pac-tp-xxl-blackout-tool-pouch", "https://edmondsonsupply.com/collections/electricians-tools/products/veto-pro-pac-tp-xxl-blackout-tool-pouch")</f>
        <v>https://edmondsonsupply.com/collections/electricians-tools/products/veto-pro-pac-tp-xxl-blackout-tool-pouch</v>
      </c>
      <c r="B7096" s="3" t="str">
        <f>HYPERLINK("https://edmondsonsupply.com/products/veto-pro-pac-tp-xxl-blackout-tool-pouch", "https://edmondsonsupply.com/products/veto-pro-pac-tp-xxl-blackout-tool-pouch")</f>
        <v>https://edmondsonsupply.com/products/veto-pro-pac-tp-xxl-blackout-tool-pouch</v>
      </c>
      <c r="C7096" t="s">
        <v>758</v>
      </c>
      <c r="D7096" t="s">
        <v>728</v>
      </c>
      <c r="E7096" s="3" t="str">
        <f>HYPERLINK("https://www.amazon.com/Veto-Pro-Pac-TP3-Pouch/dp/B008471T42/ref=sr_1_7?keywords=Veto+Pro+Pac+TP-XXL+Blackout+Tool+Pouch&amp;qid=1695173885&amp;sr=8-7", "https://www.amazon.com/Veto-Pro-Pac-TP3-Pouch/dp/B008471T42/ref=sr_1_7?keywords=Veto+Pro+Pac+TP-XXL+Blackout+Tool+Pouch&amp;qid=1695173885&amp;sr=8-7")</f>
        <v>https://www.amazon.com/Veto-Pro-Pac-TP3-Pouch/dp/B008471T42/ref=sr_1_7?keywords=Veto+Pro+Pac+TP-XXL+Blackout+Tool+Pouch&amp;qid=1695173885&amp;sr=8-7</v>
      </c>
      <c r="F7096" t="s">
        <v>729</v>
      </c>
      <c r="G7096" t="e">
        <f ca="1">_xludf.IMAGE("https://edmondsonsupply.com/cdn/shop/files/TP-xxl_blackout_600x830_0000_TP-XXL_BLACKOUT_0379.jpg?v=1685736106")</f>
        <v>#NAME?</v>
      </c>
      <c r="H7096" t="e">
        <f ca="1">_xludf.IMAGE("https://m.media-amazon.com/images/I/911jQmUqGIL._AC_UL320_.jpg")</f>
        <v>#NAME?</v>
      </c>
      <c r="I7096" t="s">
        <v>759</v>
      </c>
      <c r="J7096">
        <v>59.95</v>
      </c>
      <c r="K7096" s="4">
        <v>-0.75019999999999998</v>
      </c>
      <c r="L7096">
        <v>4.7</v>
      </c>
      <c r="M7096">
        <v>512</v>
      </c>
      <c r="O7096" t="s">
        <v>171</v>
      </c>
      <c r="P7096" t="s">
        <v>138</v>
      </c>
      <c r="Q7096" t="s">
        <v>760</v>
      </c>
    </row>
    <row r="7097" spans="1:17" ht="15.5" x14ac:dyDescent="0.35">
      <c r="A7097" s="3" t="str">
        <f>HYPERLINK("https://edmondsonsupply.com/collections/electricians-tools/products/klein-tools-jth4e17-1-2-inch-hex-key-journeyman-t-handle-4-inch-1", "https://edmondsonsupply.com/collections/electricians-tools/products/klein-tools-jth4e17-1-2-inch-hex-key-journeyman-t-handle-4-inch-1")</f>
        <v>https://edmondsonsupply.com/collections/electricians-tools/products/klein-tools-jth4e17-1-2-inch-hex-key-journeyman-t-handle-4-inch-1</v>
      </c>
      <c r="B7097" s="3" t="str">
        <f>HYPERLINK("https://edmondsonsupply.com/products/klein-tools-jth4e17-1-2-inch-hex-key-journeyman-t-handle-4-inch-1", "https://edmondsonsupply.com/products/klein-tools-jth4e17-1-2-inch-hex-key-journeyman-t-handle-4-inch-1")</f>
        <v>https://edmondsonsupply.com/products/klein-tools-jth4e17-1-2-inch-hex-key-journeyman-t-handle-4-inch-1</v>
      </c>
      <c r="C7097" t="s">
        <v>3118</v>
      </c>
      <c r="D7097" t="s">
        <v>5678</v>
      </c>
      <c r="E7097" s="3" t="str">
        <f>HYPERLINK("https://www.amazon.com/Journeyman-T-Handle-Klein-Tools-JTH6M4/dp/B005G394YO/ref=sr_1_6?keywords=Klein+Tools+JTH4E17+1%2F2-Inch+Hex+Key%2C+Journeyman+T-Handle%2C+4-Inch&amp;qid=1695173921&amp;sr=8-6", "https://www.amazon.com/Journeyman-T-Handle-Klein-Tools-JTH6M4/dp/B005G394YO/ref=sr_1_6?keywords=Klein+Tools+JTH4E17+1%2F2-Inch+Hex+Key%2C+Journeyman+T-Handle%2C+4-Inch&amp;qid=1695173921&amp;sr=8-6")</f>
        <v>https://www.amazon.com/Journeyman-T-Handle-Klein-Tools-JTH6M4/dp/B005G394YO/ref=sr_1_6?keywords=Klein+Tools+JTH4E17+1%2F2-Inch+Hex+Key%2C+Journeyman+T-Handle%2C+4-Inch&amp;qid=1695173921&amp;sr=8-6</v>
      </c>
      <c r="F7097" t="s">
        <v>5679</v>
      </c>
      <c r="G7097" t="e">
        <f ca="1">_xludf.IMAGE("https://edmondsonsupply.com/cdn/shop/products/jth4e17_583549be-7b42-43c7-9c3d-a92f2416ede5.jpg?v=1610655610")</f>
        <v>#NAME?</v>
      </c>
      <c r="H7097" t="e">
        <f ca="1">_xludf.IMAGE("https://m.media-amazon.com/images/I/51+1x0vz9XL._AC_UL320_.jpg")</f>
        <v>#NAME?</v>
      </c>
      <c r="I7097" t="s">
        <v>252</v>
      </c>
      <c r="J7097">
        <v>3.99</v>
      </c>
      <c r="K7097" s="4">
        <v>-0.75049999999999994</v>
      </c>
      <c r="L7097">
        <v>4.8</v>
      </c>
      <c r="M7097">
        <v>1532</v>
      </c>
      <c r="O7097" t="s">
        <v>25</v>
      </c>
      <c r="P7097" t="s">
        <v>3121</v>
      </c>
      <c r="Q7097" t="s">
        <v>3122</v>
      </c>
    </row>
    <row r="7098" spans="1:17" ht="15.5" x14ac:dyDescent="0.35">
      <c r="A7098" s="3" t="str">
        <f>HYPERLINK("https://edmondsonsupply.com/collections/electricians-tools/products/klein-tools-51608-1-2-inch-iron-conduit-bender-head", "https://edmondsonsupply.com/collections/electricians-tools/products/klein-tools-51608-1-2-inch-iron-conduit-bender-head")</f>
        <v>https://edmondsonsupply.com/collections/electricians-tools/products/klein-tools-51608-1-2-inch-iron-conduit-bender-head</v>
      </c>
      <c r="B7098" s="3" t="str">
        <f>HYPERLINK("https://edmondsonsupply.com/products/klein-tools-51608-1-2-inch-iron-conduit-bender-head", "https://edmondsonsupply.com/products/klein-tools-51608-1-2-inch-iron-conduit-bender-head")</f>
        <v>https://edmondsonsupply.com/products/klein-tools-51608-1-2-inch-iron-conduit-bender-head</v>
      </c>
      <c r="C7098" t="s">
        <v>6789</v>
      </c>
      <c r="D7098" t="s">
        <v>7987</v>
      </c>
      <c r="E7098" s="3" t="str">
        <f>HYPERLINK("https://www.amazon.com/Klein-Tools-51611-Conduit-Benders/dp/B08L5J5TRQ/ref=sr_1_6?keywords=Klein+Tools+51608+1%2F2-inch+Iron+Conduit+Bender+Head&amp;qid=1695174222&amp;sr=8-6", "https://www.amazon.com/Klein-Tools-51611-Conduit-Benders/dp/B08L5J5TRQ/ref=sr_1_6?keywords=Klein+Tools+51608+1%2F2-inch+Iron+Conduit+Bender+Head&amp;qid=1695174222&amp;sr=8-6")</f>
        <v>https://www.amazon.com/Klein-Tools-51611-Conduit-Benders/dp/B08L5J5TRQ/ref=sr_1_6?keywords=Klein+Tools+51608+1%2F2-inch+Iron+Conduit+Bender+Head&amp;qid=1695174222&amp;sr=8-6</v>
      </c>
      <c r="F7098" t="s">
        <v>7988</v>
      </c>
      <c r="G7098" t="e">
        <f ca="1">_xludf.IMAGE("https://edmondsonsupply.com/cdn/shop/products/51608.jpg?v=1643679335")</f>
        <v>#NAME?</v>
      </c>
      <c r="H7098" t="e">
        <f ca="1">_xludf.IMAGE("https://m.media-amazon.com/images/I/51VnnTm4FKL._AC_UL320_.jpg")</f>
        <v>#NAME?</v>
      </c>
      <c r="I7098" t="s">
        <v>198</v>
      </c>
      <c r="J7098">
        <v>9.9700000000000006</v>
      </c>
      <c r="K7098" s="4">
        <v>-0.75070000000000003</v>
      </c>
      <c r="L7098">
        <v>4.4000000000000004</v>
      </c>
      <c r="M7098">
        <v>68</v>
      </c>
      <c r="O7098" t="s">
        <v>25</v>
      </c>
      <c r="P7098" t="s">
        <v>6790</v>
      </c>
      <c r="Q7098" t="s">
        <v>6791</v>
      </c>
    </row>
    <row r="7099" spans="1:17" ht="15.5" x14ac:dyDescent="0.35">
      <c r="A7099" s="3" t="str">
        <f>HYPERLINK("https://edmondsonsupply.com/collections/electricians-tools/products/diablo-tools-dmamxcc5010-2-in-x-7-in-sds-max-carbide-tipped-core-bit", "https://edmondsonsupply.com/collections/electricians-tools/products/diablo-tools-dmamxcc5010-2-in-x-7-in-sds-max-carbide-tipped-core-bit")</f>
        <v>https://edmondsonsupply.com/collections/electricians-tools/products/diablo-tools-dmamxcc5010-2-in-x-7-in-sds-max-carbide-tipped-core-bit</v>
      </c>
      <c r="B7099" s="3" t="str">
        <f>HYPERLINK("https://edmondsonsupply.com/products/diablo-tools-dmamxcc5010-2-in-x-7-in-sds-max-carbide-tipped-core-bit", "https://edmondsonsupply.com/products/diablo-tools-dmamxcc5010-2-in-x-7-in-sds-max-carbide-tipped-core-bit")</f>
        <v>https://edmondsonsupply.com/products/diablo-tools-dmamxcc5010-2-in-x-7-in-sds-max-carbide-tipped-core-bit</v>
      </c>
      <c r="C7099" t="s">
        <v>5837</v>
      </c>
      <c r="D7099" t="s">
        <v>5980</v>
      </c>
      <c r="E7099" s="3" t="str">
        <f>HYPERLINK("https://www.amazon.com/Sabre-U-Flute-Carbide-Concrete-Drivers/dp/B0BF5T89Y5/ref=sr_1_5?keywords=Diablo+Tools+DMAMXCC5010+2+in.+x+7+in.+SDS-Max+Carbide+Tipped+Core+Bit&amp;qid=1695174008&amp;sr=8-5", "https://www.amazon.com/Sabre-U-Flute-Carbide-Concrete-Drivers/dp/B0BF5T89Y5/ref=sr_1_5?keywords=Diablo+Tools+DMAMXCC5010+2+in.+x+7+in.+SDS-Max+Carbide+Tipped+Core+Bit&amp;qid=1695174008&amp;sr=8-5")</f>
        <v>https://www.amazon.com/Sabre-U-Flute-Carbide-Concrete-Drivers/dp/B0BF5T89Y5/ref=sr_1_5?keywords=Diablo+Tools+DMAMXCC5010+2+in.+x+7+in.+SDS-Max+Carbide+Tipped+Core+Bit&amp;qid=1695174008&amp;sr=8-5</v>
      </c>
      <c r="F7099" t="s">
        <v>5981</v>
      </c>
      <c r="G7099" t="e">
        <f ca="1">_xludf.IMAGE("https://edmondsonsupply.com/cdn/shop/files/kbs61qpkymnshwvx13k1.webp?v=1686583113")</f>
        <v>#NAME?</v>
      </c>
      <c r="H7099" t="e">
        <f ca="1">_xludf.IMAGE("https://m.media-amazon.com/images/I/61K848Vxn2L._AC_UL320_.jpg")</f>
        <v>#NAME?</v>
      </c>
      <c r="I7099" t="s">
        <v>5840</v>
      </c>
      <c r="J7099">
        <v>24.99</v>
      </c>
      <c r="K7099" s="4">
        <v>-0.75380000000000003</v>
      </c>
      <c r="L7099">
        <v>4.5999999999999996</v>
      </c>
      <c r="M7099">
        <v>180</v>
      </c>
      <c r="O7099" t="s">
        <v>25</v>
      </c>
      <c r="P7099" t="s">
        <v>5841</v>
      </c>
      <c r="Q7099" t="s">
        <v>5842</v>
      </c>
    </row>
    <row r="7100" spans="1:17" ht="15.5" x14ac:dyDescent="0.35">
      <c r="A7100"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7100"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7100" t="s">
        <v>9181</v>
      </c>
      <c r="D7100" t="s">
        <v>9182</v>
      </c>
      <c r="E7100" s="3" t="str">
        <f>HYPERLINK("https://www.amazon.com/48-44-2872-Replacement-Milwaukee-Brushless-Rotatable/dp/B0BQNCBGBR/ref=sr_1_7?keywords=Milwaukee+2872-20+M18%E2%84%A2+Brushless+Threaded+Rod+Cutter+%28Tool+Only%29&amp;qid=1695174132&amp;sr=8-7", "https://www.amazon.com/48-44-2872-Replacement-Milwaukee-Brushless-Rotatable/dp/B0BQNCBGBR/ref=sr_1_7?keywords=Milwaukee+2872-20+M18%E2%84%A2+Brushless+Threaded+Rod+Cutter+%28Tool+Only%29&amp;qid=1695174132&amp;sr=8-7")</f>
        <v>https://www.amazon.com/48-44-2872-Replacement-Milwaukee-Brushless-Rotatable/dp/B0BQNCBGBR/ref=sr_1_7?keywords=Milwaukee+2872-20+M18%E2%84%A2+Brushless+Threaded+Rod+Cutter+%28Tool+Only%29&amp;qid=1695174132&amp;sr=8-7</v>
      </c>
      <c r="F7100" t="s">
        <v>9183</v>
      </c>
      <c r="G7100" t="e">
        <f ca="1">_xludf.IMAGE("https://edmondsonsupply.com/cdn/shop/products/2872-20_2.webp?v=1668024311")</f>
        <v>#NAME?</v>
      </c>
      <c r="H7100" t="e">
        <f ca="1">_xludf.IMAGE("https://m.media-amazon.com/images/I/41l4Zl2dPPL._AC_UL320_.jpg")</f>
        <v>#NAME?</v>
      </c>
      <c r="I7100" t="s">
        <v>9184</v>
      </c>
      <c r="J7100">
        <v>85</v>
      </c>
      <c r="K7100" s="4">
        <v>-0.7571</v>
      </c>
      <c r="L7100">
        <v>3.6</v>
      </c>
      <c r="M7100">
        <v>3</v>
      </c>
      <c r="O7100" t="s">
        <v>25</v>
      </c>
      <c r="P7100" t="s">
        <v>9185</v>
      </c>
      <c r="Q7100" t="s">
        <v>9186</v>
      </c>
    </row>
    <row r="7101" spans="1:17" ht="15.5" x14ac:dyDescent="0.35">
      <c r="A7101" s="3" t="str">
        <f>HYPERLINK("https://edmondsonsupply.com/collections/electricians-tools/products/klein-tools-9416r-1000v-insulated-tool-kit-3-piece", "https://edmondsonsupply.com/collections/electricians-tools/products/klein-tools-9416r-1000v-insulated-tool-kit-3-piece")</f>
        <v>https://edmondsonsupply.com/collections/electricians-tools/products/klein-tools-9416r-1000v-insulated-tool-kit-3-piece</v>
      </c>
      <c r="B7101" s="3" t="str">
        <f>HYPERLINK("https://edmondsonsupply.com/products/klein-tools-9416r-1000v-insulated-tool-kit-3-piece", "https://edmondsonsupply.com/products/klein-tools-9416r-1000v-insulated-tool-kit-3-piece")</f>
        <v>https://edmondsonsupply.com/products/klein-tools-9416r-1000v-insulated-tool-kit-3-piece</v>
      </c>
      <c r="C7101" t="s">
        <v>6428</v>
      </c>
      <c r="D7101" t="s">
        <v>5091</v>
      </c>
      <c r="E7101" s="3" t="str">
        <f>HYPERLINK("https://www.amazon.com/Klein-Tools-85073INS-Insulated-Screwdriver/dp/B0BF79WQZX/ref=sr_1_4?keywords=Klein+Tools+9416R+1000V+Insulated+Tool+Kit%2C+3-Piece&amp;qid=1695174123&amp;sr=8-4", "https://www.amazon.com/Klein-Tools-85073INS-Insulated-Screwdriver/dp/B0BF79WQZX/ref=sr_1_4?keywords=Klein+Tools+9416R+1000V+Insulated+Tool+Kit%2C+3-Piece&amp;qid=1695174123&amp;sr=8-4")</f>
        <v>https://www.amazon.com/Klein-Tools-85073INS-Insulated-Screwdriver/dp/B0BF79WQZX/ref=sr_1_4?keywords=Klein+Tools+9416R+1000V+Insulated+Tool+Kit%2C+3-Piece&amp;qid=1695174123&amp;sr=8-4</v>
      </c>
      <c r="F7101" t="s">
        <v>5092</v>
      </c>
      <c r="G7101" t="e">
        <f ca="1">_xludf.IMAGE("https://edmondsonsupply.com/cdn/shop/products/9416r.jpg?v=1667327475")</f>
        <v>#NAME?</v>
      </c>
      <c r="H7101" t="e">
        <f ca="1">_xludf.IMAGE("https://m.media-amazon.com/images/I/51dL7msUIqL._AC_UL320_.jpg")</f>
        <v>#NAME?</v>
      </c>
      <c r="I7101" t="s">
        <v>6429</v>
      </c>
      <c r="J7101">
        <v>19.97</v>
      </c>
      <c r="K7101" s="4">
        <v>-0.76500000000000001</v>
      </c>
      <c r="L7101">
        <v>4.9000000000000004</v>
      </c>
      <c r="M7101">
        <v>205</v>
      </c>
      <c r="O7101" t="s">
        <v>25</v>
      </c>
      <c r="P7101" t="s">
        <v>6430</v>
      </c>
      <c r="Q7101" t="s">
        <v>6431</v>
      </c>
    </row>
    <row r="7102" spans="1:17" ht="15.5" x14ac:dyDescent="0.35">
      <c r="A7102" s="3" t="str">
        <f>HYPERLINK("https://edmondsonsupply.com/collections/electricians-tools/products/klein-tools-31856-1-1-8-inch-carbide-hole-cutter", "https://edmondsonsupply.com/collections/electricians-tools/products/klein-tools-31856-1-1-8-inch-carbide-hole-cutter")</f>
        <v>https://edmondsonsupply.com/collections/electricians-tools/products/klein-tools-31856-1-1-8-inch-carbide-hole-cutter</v>
      </c>
      <c r="B7102" s="3" t="str">
        <f>HYPERLINK("https://edmondsonsupply.com/products/klein-tools-31856-1-1-8-inch-carbide-hole-cutter", "https://edmondsonsupply.com/products/klein-tools-31856-1-1-8-inch-carbide-hole-cutter")</f>
        <v>https://edmondsonsupply.com/products/klein-tools-31856-1-1-8-inch-carbide-hole-cutter</v>
      </c>
      <c r="C7102" t="s">
        <v>6035</v>
      </c>
      <c r="D7102" t="s">
        <v>9187</v>
      </c>
      <c r="E7102" s="3" t="str">
        <f>HYPERLINK("https://www.amazon.com/ASNOMY-Tungsten-Carbide-Titanium-Plated-Plastic/dp/B096FNS45K/ref=sr_1_10?keywords=Klein+Tools+31856+1-1%2F8-Inch+Carbide+Hole+Cutter&amp;qid=1695174011&amp;sr=8-10", "https://www.amazon.com/ASNOMY-Tungsten-Carbide-Titanium-Plated-Plastic/dp/B096FNS45K/ref=sr_1_10?keywords=Klein+Tools+31856+1-1%2F8-Inch+Carbide+Hole+Cutter&amp;qid=1695174011&amp;sr=8-10")</f>
        <v>https://www.amazon.com/ASNOMY-Tungsten-Carbide-Titanium-Plated-Plastic/dp/B096FNS45K/ref=sr_1_10?keywords=Klein+Tools+31856+1-1%2F8-Inch+Carbide+Hole+Cutter&amp;qid=1695174011&amp;sr=8-10</v>
      </c>
      <c r="F7102" t="s">
        <v>9188</v>
      </c>
      <c r="G7102" t="e">
        <f ca="1">_xludf.IMAGE("https://edmondsonsupply.com/cdn/shop/files/31856.jpg?v=1685712345")</f>
        <v>#NAME?</v>
      </c>
      <c r="H7102" t="e">
        <f ca="1">_xludf.IMAGE("https://m.media-amazon.com/images/I/51dDMdgdtSS._AC_UL320_.jpg")</f>
        <v>#NAME?</v>
      </c>
      <c r="I7102" t="s">
        <v>261</v>
      </c>
      <c r="J7102">
        <v>7.99</v>
      </c>
      <c r="K7102" s="4">
        <v>-0.77800000000000002</v>
      </c>
      <c r="L7102">
        <v>4.3</v>
      </c>
      <c r="M7102">
        <v>902</v>
      </c>
      <c r="O7102" t="s">
        <v>25</v>
      </c>
      <c r="P7102" t="s">
        <v>6038</v>
      </c>
      <c r="Q7102" t="s">
        <v>6039</v>
      </c>
    </row>
    <row r="7103" spans="1:17" ht="15.5" x14ac:dyDescent="0.35">
      <c r="A7103" s="3" t="str">
        <f>HYPERLINK("https://edmondsonsupply.com/collections/electricians-tools/products/klein-tools-56341-stainless-steel-fish-tape-1-8-inch-x-240-foot", "https://edmondsonsupply.com/collections/electricians-tools/products/klein-tools-56341-stainless-steel-fish-tape-1-8-inch-x-240-foot")</f>
        <v>https://edmondsonsupply.com/collections/electricians-tools/products/klein-tools-56341-stainless-steel-fish-tape-1-8-inch-x-240-foot</v>
      </c>
      <c r="B7103" s="3" t="str">
        <f>HYPERLINK("https://edmondsonsupply.com/products/klein-tools-56341-stainless-steel-fish-tape-1-8-inch-x-240-foot", "https://edmondsonsupply.com/products/klein-tools-56341-stainless-steel-fish-tape-1-8-inch-x-240-foot")</f>
        <v>https://edmondsonsupply.com/products/klein-tools-56341-stainless-steel-fish-tape-1-8-inch-x-240-foot</v>
      </c>
      <c r="C7103" t="s">
        <v>7829</v>
      </c>
      <c r="D7103" t="s">
        <v>9189</v>
      </c>
      <c r="E7103" s="3" t="str">
        <f>HYPERLINK("https://www.amazon.com/Klein-Tools-56331-Optimized-Housing/dp/B081TVR4N7/ref=sr_1_8?keywords=Klein+Tools+56341+Stainless+Steel+Fish+Tape%2C+1%2F8-Inch+x+240-Foot&amp;qid=1695174134&amp;sr=8-8", "https://www.amazon.com/Klein-Tools-56331-Optimized-Housing/dp/B081TVR4N7/ref=sr_1_8?keywords=Klein+Tools+56341+Stainless+Steel+Fish+Tape%2C+1%2F8-Inch+x+240-Foot&amp;qid=1695174134&amp;sr=8-8")</f>
        <v>https://www.amazon.com/Klein-Tools-56331-Optimized-Housing/dp/B081TVR4N7/ref=sr_1_8?keywords=Klein+Tools+56341+Stainless+Steel+Fish+Tape%2C+1%2F8-Inch+x+240-Foot&amp;qid=1695174134&amp;sr=8-8</v>
      </c>
      <c r="F7103" t="s">
        <v>9190</v>
      </c>
      <c r="G7103" t="e">
        <f ca="1">_xludf.IMAGE("https://edmondsonsupply.com/cdn/shop/products/56341.jpg?v=1666901345")</f>
        <v>#NAME?</v>
      </c>
      <c r="H7103" t="e">
        <f ca="1">_xludf.IMAGE("https://m.media-amazon.com/images/I/71Wab7hH7jS._AC_UL320_.jpg")</f>
        <v>#NAME?</v>
      </c>
      <c r="I7103" t="s">
        <v>7832</v>
      </c>
      <c r="J7103">
        <v>24.99</v>
      </c>
      <c r="K7103" s="4">
        <v>-0.78269999999999995</v>
      </c>
      <c r="L7103">
        <v>4.5999999999999996</v>
      </c>
      <c r="M7103">
        <v>5187</v>
      </c>
      <c r="O7103" t="s">
        <v>25</v>
      </c>
      <c r="P7103" t="s">
        <v>7833</v>
      </c>
      <c r="Q7103" t="s">
        <v>7834</v>
      </c>
    </row>
    <row r="7104" spans="1:17" ht="15.5" x14ac:dyDescent="0.35">
      <c r="A7104" s="3" t="str">
        <f>HYPERLINK("https://edmondsonsupply.com/collections/electricians-tools/products/milwaukee-48-22-1540-fastback%E2%84%A2-5-in-1-folding-knife", "https://edmondsonsupply.com/collections/electricians-tools/products/milwaukee-48-22-1540-fastback%E2%84%A2-5-in-1-folding-knife")</f>
        <v>https://edmondsonsupply.com/collections/electricians-tools/products/milwaukee-48-22-1540-fastback%E2%84%A2-5-in-1-folding-knife</v>
      </c>
      <c r="B7104" s="3" t="str">
        <f>HYPERLINK("https://edmondsonsupply.com/products/milwaukee-48-22-1540-fastback%e2%84%a2-5-in-1-folding-knife", "https://edmondsonsupply.com/products/milwaukee-48-22-1540-fastback%e2%84%a2-5-in-1-folding-knife")</f>
        <v>https://edmondsonsupply.com/products/milwaukee-48-22-1540-fastback%e2%84%a2-5-in-1-folding-knife</v>
      </c>
      <c r="C7104" t="s">
        <v>2507</v>
      </c>
      <c r="D7104" t="s">
        <v>5664</v>
      </c>
      <c r="E7104" s="3" t="str">
        <f>HYPERLINK("https://www.amazon.com/Milwaukee-48-22-1933-Deburred-Carbide-Lockback/dp/B00D5YLP5W/ref=sr_1_6?keywords=Milwaukee+48-22-1540+FASTBACK%E2%84%A2+5-in-1+Folding+Knife&amp;qid=1695173855&amp;sr=8-6", "https://www.amazon.com/Milwaukee-48-22-1933-Deburred-Carbide-Lockback/dp/B00D5YLP5W/ref=sr_1_6?keywords=Milwaukee+48-22-1540+FASTBACK%E2%84%A2+5-in-1+Folding+Knife&amp;qid=1695173855&amp;sr=8-6")</f>
        <v>https://www.amazon.com/Milwaukee-48-22-1933-Deburred-Carbide-Lockback/dp/B00D5YLP5W/ref=sr_1_6?keywords=Milwaukee+48-22-1540+FASTBACK%E2%84%A2+5-in-1+Folding+Knife&amp;qid=1695173855&amp;sr=8-6</v>
      </c>
      <c r="F7104" t="s">
        <v>5665</v>
      </c>
      <c r="G7104" t="e">
        <f ca="1">_xludf.IMAGE("https://edmondsonsupply.com/cdn/shop/products/48-22-1540_1.png?v=1587142762")</f>
        <v>#NAME?</v>
      </c>
      <c r="H7104" t="e">
        <f ca="1">_xludf.IMAGE("https://m.media-amazon.com/images/I/41vPWO+PD8L._AC_UL320_.jpg")</f>
        <v>#NAME?</v>
      </c>
      <c r="I7104" t="s">
        <v>2510</v>
      </c>
      <c r="J7104">
        <v>4.99</v>
      </c>
      <c r="K7104" s="4">
        <v>-0.79179999999999995</v>
      </c>
      <c r="L7104">
        <v>4.5</v>
      </c>
      <c r="M7104">
        <v>65</v>
      </c>
      <c r="O7104" t="s">
        <v>25</v>
      </c>
      <c r="P7104" t="s">
        <v>2511</v>
      </c>
      <c r="Q7104" t="s">
        <v>2512</v>
      </c>
    </row>
    <row r="7105" spans="1:17" ht="15.5" x14ac:dyDescent="0.35">
      <c r="A7105" s="3" t="str">
        <f>HYPERLINK("https://edmondsonsupply.com/collections/electricians-tools/products/fluke-c60-soft-carrying-case", "https://edmondsonsupply.com/collections/electricians-tools/products/fluke-c60-soft-carrying-case")</f>
        <v>https://edmondsonsupply.com/collections/electricians-tools/products/fluke-c60-soft-carrying-case</v>
      </c>
      <c r="B7105" s="3" t="str">
        <f>HYPERLINK("https://edmondsonsupply.com/products/fluke-c60-soft-carrying-case", "https://edmondsonsupply.com/products/fluke-c60-soft-carrying-case")</f>
        <v>https://edmondsonsupply.com/products/fluke-c60-soft-carrying-case</v>
      </c>
      <c r="C7105" t="s">
        <v>265</v>
      </c>
      <c r="D7105" t="s">
        <v>803</v>
      </c>
      <c r="E7105" s="3" t="str">
        <f>HYPERLINK("https://www.amazon.com/KingSung-Zippered-Multimeter-Shock-Proof-Single-Layer/dp/B0B7HW73BH/ref=sr_1_6?keywords=Fluke+C60+Soft+Carrying+Case&amp;qid=1695174290&amp;sr=8-6", "https://www.amazon.com/KingSung-Zippered-Multimeter-Shock-Proof-Single-Layer/dp/B0B7HW73BH/ref=sr_1_6?keywords=Fluke+C60+Soft+Carrying+Case&amp;qid=1695174290&amp;sr=8-6")</f>
        <v>https://www.amazon.com/KingSung-Zippered-Multimeter-Shock-Proof-Single-Layer/dp/B0B7HW73BH/ref=sr_1_6?keywords=Fluke+C60+Soft+Carrying+Case&amp;qid=1695174290&amp;sr=8-6</v>
      </c>
      <c r="F7105" t="s">
        <v>804</v>
      </c>
      <c r="G7105" t="e">
        <f ca="1">_xludf.IMAGE("https://edmondsonsupply.com/cdn/shop/products/c60.png?v=1633030926")</f>
        <v>#NAME?</v>
      </c>
      <c r="H7105" t="e">
        <f ca="1">_xludf.IMAGE("https://m.media-amazon.com/images/I/81t9HZxI6YL._AC_UL320_.jpg")</f>
        <v>#NAME?</v>
      </c>
      <c r="I7105" t="s">
        <v>268</v>
      </c>
      <c r="J7105">
        <v>9.99</v>
      </c>
      <c r="K7105" s="4">
        <v>-0.79810000000000003</v>
      </c>
      <c r="L7105">
        <v>4.4000000000000004</v>
      </c>
      <c r="M7105">
        <v>40</v>
      </c>
      <c r="O7105" t="s">
        <v>25</v>
      </c>
      <c r="P7105" t="s">
        <v>269</v>
      </c>
      <c r="Q7105" t="s">
        <v>270</v>
      </c>
    </row>
    <row r="7106" spans="1:17" ht="15.5" x14ac:dyDescent="0.35">
      <c r="A7106" s="3" t="str">
        <f>HYPERLINK("https://edmondsonsupply.com/collections/electricians-tools/products/klein-tools-94130-1000v-insulated-tool-kit-5-piece", "https://edmondsonsupply.com/collections/electricians-tools/products/klein-tools-94130-1000v-insulated-tool-kit-5-piece")</f>
        <v>https://edmondsonsupply.com/collections/electricians-tools/products/klein-tools-94130-1000v-insulated-tool-kit-5-piece</v>
      </c>
      <c r="B7106" s="3" t="str">
        <f>HYPERLINK("https://edmondsonsupply.com/products/klein-tools-94130-1000v-insulated-tool-kit-5-piece", "https://edmondsonsupply.com/products/klein-tools-94130-1000v-insulated-tool-kit-5-piece")</f>
        <v>https://edmondsonsupply.com/products/klein-tools-94130-1000v-insulated-tool-kit-5-piece</v>
      </c>
      <c r="C7106" t="s">
        <v>2221</v>
      </c>
      <c r="D7106" t="s">
        <v>5091</v>
      </c>
      <c r="E7106" s="3" t="str">
        <f>HYPERLINK("https://www.amazon.com/Klein-Tools-85073INS-Insulated-Screwdriver/dp/B0BF79WQZX/ref=sr_1_6?keywords=Klein+Tools+94130+1000V+Insulated+Tool+Kit%2C+5-Piece&amp;qid=1695173888&amp;sr=8-6", "https://www.amazon.com/Klein-Tools-85073INS-Insulated-Screwdriver/dp/B0BF79WQZX/ref=sr_1_6?keywords=Klein+Tools+94130+1000V+Insulated+Tool+Kit%2C+5-Piece&amp;qid=1695173888&amp;sr=8-6")</f>
        <v>https://www.amazon.com/Klein-Tools-85073INS-Insulated-Screwdriver/dp/B0BF79WQZX/ref=sr_1_6?keywords=Klein+Tools+94130+1000V+Insulated+Tool+Kit%2C+5-Piece&amp;qid=1695173888&amp;sr=8-6</v>
      </c>
      <c r="F7106" t="s">
        <v>5092</v>
      </c>
      <c r="G7106" t="e">
        <f ca="1">_xludf.IMAGE("https://edmondsonsupply.com/cdn/shop/products/94130.jpg?v=1633030386")</f>
        <v>#NAME?</v>
      </c>
      <c r="H7106" t="e">
        <f ca="1">_xludf.IMAGE("https://m.media-amazon.com/images/I/51dL7msUIqL._AC_UL320_.jpg")</f>
        <v>#NAME?</v>
      </c>
      <c r="I7106" t="s">
        <v>2224</v>
      </c>
      <c r="J7106">
        <v>19.97</v>
      </c>
      <c r="K7106" s="4">
        <v>-0.80030000000000001</v>
      </c>
      <c r="L7106">
        <v>4.9000000000000004</v>
      </c>
      <c r="M7106">
        <v>205</v>
      </c>
      <c r="O7106" t="s">
        <v>25</v>
      </c>
      <c r="P7106" t="s">
        <v>2225</v>
      </c>
      <c r="Q7106" t="s">
        <v>2226</v>
      </c>
    </row>
    <row r="7107" spans="1:17" ht="15.5" x14ac:dyDescent="0.35">
      <c r="A7107" s="3" t="str">
        <f>HYPERLINK("https://edmondsonsupply.com/collections/electricians-tools/products/wiha-tools-66990-9-piece-magicring-ball-end-long-arm-hex-l-key-set-metric", "https://edmondsonsupply.com/collections/electricians-tools/products/wiha-tools-66990-9-piece-magicring-ball-end-long-arm-hex-l-key-set-metric")</f>
        <v>https://edmondsonsupply.com/collections/electricians-tools/products/wiha-tools-66990-9-piece-magicring-ball-end-long-arm-hex-l-key-set-metric</v>
      </c>
      <c r="B7107" s="3" t="str">
        <f>HYPERLINK("https://edmondsonsupply.com/products/wiha-tools-66990-9-piece-magicring-ball-end-long-arm-hex-l-key-set-metric", "https://edmondsonsupply.com/products/wiha-tools-66990-9-piece-magicring-ball-end-long-arm-hex-l-key-set-metric")</f>
        <v>https://edmondsonsupply.com/products/wiha-tools-66990-9-piece-magicring-ball-end-long-arm-hex-l-key-set-metric</v>
      </c>
      <c r="C7107" t="s">
        <v>4395</v>
      </c>
      <c r="D7107" t="s">
        <v>5694</v>
      </c>
      <c r="E7107" s="3" t="str">
        <f>HYPERLINK("https://www.amazon.com/GEARWRENCH-Piece-Metric-Ball-Long/dp/B098TYMJ3X/ref=sr_1_4?keywords=Wiha+Tools+66990+9+Piece+MagicRing+Ball+End+Long+Arm+Hex+L-Key+Set+-+Metric&amp;qid=1695173977&amp;sr=8-4", "https://www.amazon.com/GEARWRENCH-Piece-Metric-Ball-Long/dp/B098TYMJ3X/ref=sr_1_4?keywords=Wiha+Tools+66990+9+Piece+MagicRing+Ball+End+Long+Arm+Hex+L-Key+Set+-+Metric&amp;qid=1695173977&amp;sr=8-4")</f>
        <v>https://www.amazon.com/GEARWRENCH-Piece-Metric-Ball-Long/dp/B098TYMJ3X/ref=sr_1_4?keywords=Wiha+Tools+66990+9+Piece+MagicRing+Ball+End+Long+Arm+Hex+L-Key+Set+-+Metric&amp;qid=1695173977&amp;sr=8-4</v>
      </c>
      <c r="F7107" t="s">
        <v>5695</v>
      </c>
      <c r="G7107" t="e">
        <f ca="1">_xludf.IMAGE("https://edmondsonsupply.com/cdn/shop/files/13e958aad91c16597a10bc35346fe94965ff7cc5_1000x_585c36ae-bd90-4c7e-95df-eb1519527f63.webp?v=1690841217")</f>
        <v>#NAME?</v>
      </c>
      <c r="H7107" t="e">
        <f ca="1">_xludf.IMAGE("https://m.media-amazon.com/images/I/71dwiLrur9S._AC_UL320_.jpg")</f>
        <v>#NAME?</v>
      </c>
      <c r="I7107" t="s">
        <v>4398</v>
      </c>
      <c r="J7107">
        <v>7.83</v>
      </c>
      <c r="K7107" s="4">
        <v>-0.80059999999999998</v>
      </c>
      <c r="L7107">
        <v>4.7</v>
      </c>
      <c r="M7107">
        <v>255</v>
      </c>
      <c r="O7107" t="s">
        <v>25</v>
      </c>
      <c r="P7107" t="s">
        <v>4399</v>
      </c>
      <c r="Q7107" t="s">
        <v>4400</v>
      </c>
    </row>
    <row r="7108" spans="1:17" ht="15.5" x14ac:dyDescent="0.35">
      <c r="A7108" s="3" t="str">
        <f>HYPERLINK("https://edmondsonsupply.com/collections/electricians-tools/products/klein-tools-635-4-nut-driver-set-magnetic-nut-drivers-heavy-duty-4-piece", "https://edmondsonsupply.com/collections/electricians-tools/products/klein-tools-635-4-nut-driver-set-magnetic-nut-drivers-heavy-duty-4-piece")</f>
        <v>https://edmondsonsupply.com/collections/electricians-tools/products/klein-tools-635-4-nut-driver-set-magnetic-nut-drivers-heavy-duty-4-piece</v>
      </c>
      <c r="B7108" s="3" t="str">
        <f>HYPERLINK("https://edmondsonsupply.com/products/klein-tools-635-4-nut-driver-set-magnetic-nut-drivers-heavy-duty-4-piece", "https://edmondsonsupply.com/products/klein-tools-635-4-nut-driver-set-magnetic-nut-drivers-heavy-duty-4-piece")</f>
        <v>https://edmondsonsupply.com/products/klein-tools-635-4-nut-driver-set-magnetic-nut-drivers-heavy-duty-4-piece</v>
      </c>
      <c r="C7108" t="s">
        <v>7170</v>
      </c>
      <c r="D7108" t="s">
        <v>3438</v>
      </c>
      <c r="E7108" s="3" t="str">
        <f>HYPERLINK("https://www.amazon.com/4-Inch-Magnetic-Cushion-Klein-Tools/dp/B01D6DZRFA/ref=sr_1_5?keywords=Klein+Tools+635-4+Nut+Driver+Set%2C+Magnetic+Nut+Drivers%2C+Heavy+Duty%2C+4-Piece&amp;qid=1695174225&amp;sr=8-5", "https://www.amazon.com/4-Inch-Magnetic-Cushion-Klein-Tools/dp/B01D6DZRFA/ref=sr_1_5?keywords=Klein+Tools+635-4+Nut+Driver+Set%2C+Magnetic+Nut+Drivers%2C+Heavy+Duty%2C+4-Piece&amp;qid=1695174225&amp;sr=8-5")</f>
        <v>https://www.amazon.com/4-Inch-Magnetic-Cushion-Klein-Tools/dp/B01D6DZRFA/ref=sr_1_5?keywords=Klein+Tools+635-4+Nut+Driver+Set%2C+Magnetic+Nut+Drivers%2C+Heavy+Duty%2C+4-Piece&amp;qid=1695174225&amp;sr=8-5</v>
      </c>
      <c r="F7108" t="s">
        <v>3439</v>
      </c>
      <c r="G7108" t="e">
        <f ca="1">_xludf.IMAGE("https://edmondsonsupply.com/cdn/shop/products/635-4.jpg?v=1640815398")</f>
        <v>#NAME?</v>
      </c>
      <c r="H7108" t="e">
        <f ca="1">_xludf.IMAGE("https://m.media-amazon.com/images/I/41DrStZKvjL._AC_UL320_.jpg")</f>
        <v>#NAME?</v>
      </c>
      <c r="I7108" t="s">
        <v>269</v>
      </c>
      <c r="J7108">
        <v>10.91</v>
      </c>
      <c r="K7108" s="4">
        <v>-0.80159999999999998</v>
      </c>
      <c r="L7108">
        <v>4.7</v>
      </c>
      <c r="M7108">
        <v>971</v>
      </c>
      <c r="O7108" t="s">
        <v>25</v>
      </c>
      <c r="P7108" t="s">
        <v>7171</v>
      </c>
      <c r="Q7108" t="s">
        <v>7172</v>
      </c>
    </row>
    <row r="7109" spans="1:17" ht="15.5" x14ac:dyDescent="0.35">
      <c r="A7109" s="3" t="str">
        <f>HYPERLINK("https://edmondsonsupply.com/collections/electricians-tools/products/klein-tools-vdv526-200-lan-scout-%C2%AE-jr-2-cable-tester", "https://edmondsonsupply.com/collections/electricians-tools/products/klein-tools-vdv526-200-lan-scout-%C2%AE-jr-2-cable-tester")</f>
        <v>https://edmondsonsupply.com/collections/electricians-tools/products/klein-tools-vdv526-200-lan-scout-%C2%AE-jr-2-cable-tester</v>
      </c>
      <c r="B7109" s="3" t="str">
        <f>HYPERLINK("https://edmondsonsupply.com/products/klein-tools-vdv526-200-lan-scout-%c2%ae-jr-2-cable-tester", "https://edmondsonsupply.com/products/klein-tools-vdv526-200-lan-scout-%c2%ae-jr-2-cable-tester")</f>
        <v>https://edmondsonsupply.com/products/klein-tools-vdv526-200-lan-scout-%c2%ae-jr-2-cable-tester</v>
      </c>
      <c r="C7109" t="s">
        <v>6500</v>
      </c>
      <c r="D7109" t="s">
        <v>9191</v>
      </c>
      <c r="E7109" s="3" t="str">
        <f>HYPERLINK("https://www.amazon.com/Klein-Tools-VDV999-200-Replacement-Continuity/dp/B092XBPPXV/ref=sr_1_2?keywords=Klein+Tools+VDV526-200+LAN+Scout+%C2%AE+Jr.+2+Cable+Tester&amp;qid=1695174153&amp;sr=8-2", "https://www.amazon.com/Klein-Tools-VDV999-200-Replacement-Continuity/dp/B092XBPPXV/ref=sr_1_2?keywords=Klein+Tools+VDV526-200+LAN+Scout+%C2%AE+Jr.+2+Cable+Tester&amp;qid=1695174153&amp;sr=8-2")</f>
        <v>https://www.amazon.com/Klein-Tools-VDV999-200-Replacement-Continuity/dp/B092XBPPXV/ref=sr_1_2?keywords=Klein+Tools+VDV526-200+LAN+Scout+%C2%AE+Jr.+2+Cable+Tester&amp;qid=1695174153&amp;sr=8-2</v>
      </c>
      <c r="F7109" t="s">
        <v>9192</v>
      </c>
      <c r="G7109" t="e">
        <f ca="1">_xludf.IMAGE("https://edmondsonsupply.com/cdn/shop/products/vdv526200.jpg?v=1663689949")</f>
        <v>#NAME?</v>
      </c>
      <c r="H7109" t="e">
        <f ca="1">_xludf.IMAGE("https://m.media-amazon.com/images/I/41g0sTAqWKS._AC_UY218_.jpg")</f>
        <v>#NAME?</v>
      </c>
      <c r="I7109" t="s">
        <v>3359</v>
      </c>
      <c r="J7109">
        <v>10.89</v>
      </c>
      <c r="K7109" s="4">
        <v>-0.80189999999999995</v>
      </c>
      <c r="L7109">
        <v>4.3</v>
      </c>
      <c r="M7109">
        <v>27</v>
      </c>
      <c r="O7109" t="s">
        <v>25</v>
      </c>
      <c r="P7109" t="s">
        <v>6503</v>
      </c>
      <c r="Q7109" t="s">
        <v>6504</v>
      </c>
    </row>
    <row r="7110" spans="1:17" ht="15.5" x14ac:dyDescent="0.35">
      <c r="A7110" s="3" t="str">
        <f>HYPERLINK("https://edmondsonsupply.com/collections/electricians-tools/products/diablo-tools-dos125bw3-1-1-4-in-starlock-bi-metal-oscillating-blades-for-nail-embedded-wood", "https://edmondsonsupply.com/collections/electricians-tools/products/diablo-tools-dos125bw3-1-1-4-in-starlock-bi-metal-oscillating-blades-for-nail-embedded-wood")</f>
        <v>https://edmondsonsupply.com/collections/electricians-tools/products/diablo-tools-dos125bw3-1-1-4-in-starlock-bi-metal-oscillating-blades-for-nail-embedded-wood</v>
      </c>
      <c r="B7110" s="3" t="str">
        <f>HYPERLINK("https://edmondsonsupply.com/products/diablo-tools-dos125bw3-1-1-4-in-starlock-bi-metal-oscillating-blades-for-nail-embedded-wood", "https://edmondsonsupply.com/products/diablo-tools-dos125bw3-1-1-4-in-starlock-bi-metal-oscillating-blades-for-nail-embedded-wood")</f>
        <v>https://edmondsonsupply.com/products/diablo-tools-dos125bw3-1-1-4-in-starlock-bi-metal-oscillating-blades-for-nail-embedded-wood</v>
      </c>
      <c r="C7110" t="s">
        <v>8776</v>
      </c>
      <c r="D7110" t="s">
        <v>9193</v>
      </c>
      <c r="E7110" s="3" t="str">
        <f>HYPERLINK("https://www.amazon.com/Bosch-OSL114F-3-Starlock-Oscillating-Bi-Metal/dp/B01DDA7VU0/ref=sr_1_7?keywords=Diablo+Tools+DOS125BW3+1-1%2F4+in.+Starlock+Bi-Metal+Oscillating+Blades+for+Nail-Embedded+Wood&amp;qid=1695174253&amp;sr=8-7", "https://www.amazon.com/Bosch-OSL114F-3-Starlock-Oscillating-Bi-Metal/dp/B01DDA7VU0/ref=sr_1_7?keywords=Diablo+Tools+DOS125BW3+1-1%2F4+in.+Starlock+Bi-Metal+Oscillating+Blades+for+Nail-Embedded+Wood&amp;qid=1695174253&amp;sr=8-7")</f>
        <v>https://www.amazon.com/Bosch-OSL114F-3-Starlock-Oscillating-Bi-Metal/dp/B01DDA7VU0/ref=sr_1_7?keywords=Diablo+Tools+DOS125BW3+1-1%2F4+in.+Starlock+Bi-Metal+Oscillating+Blades+for+Nail-Embedded+Wood&amp;qid=1695174253&amp;sr=8-7</v>
      </c>
      <c r="F7110" t="s">
        <v>9194</v>
      </c>
      <c r="G7110" t="e">
        <f ca="1">_xludf.IMAGE("https://edmondsonsupply.com/cdn/shop/products/DOS125BW3_Main-Image.png?v=1633031100")</f>
        <v>#NAME?</v>
      </c>
      <c r="H7110" t="e">
        <f ca="1">_xludf.IMAGE("https://m.media-amazon.com/images/I/71tfMS58-jL._AC_UL320_.jpg")</f>
        <v>#NAME?</v>
      </c>
      <c r="I7110" t="s">
        <v>340</v>
      </c>
      <c r="J7110">
        <v>6.82</v>
      </c>
      <c r="K7110" s="4">
        <v>-0.80500000000000005</v>
      </c>
      <c r="L7110">
        <v>4.7</v>
      </c>
      <c r="M7110">
        <v>771</v>
      </c>
      <c r="O7110" t="s">
        <v>25</v>
      </c>
      <c r="P7110" t="s">
        <v>8777</v>
      </c>
      <c r="Q7110" t="s">
        <v>8778</v>
      </c>
    </row>
    <row r="7111" spans="1:17" ht="15.5" x14ac:dyDescent="0.35">
      <c r="A7111" s="3" t="str">
        <f>HYPERLINK("https://edmondsonsupply.com/collections/electricians-tools/products/klein-tools-66080-2-in-1-penta-hex-flip-socket-with-adapter", "https://edmondsonsupply.com/collections/electricians-tools/products/klein-tools-66080-2-in-1-penta-hex-flip-socket-with-adapter")</f>
        <v>https://edmondsonsupply.com/collections/electricians-tools/products/klein-tools-66080-2-in-1-penta-hex-flip-socket-with-adapter</v>
      </c>
      <c r="B7111" s="3" t="str">
        <f>HYPERLINK("https://edmondsonsupply.com/products/klein-tools-66080-2-in-1-penta-hex-flip-socket-with-adapter", "https://edmondsonsupply.com/products/klein-tools-66080-2-in-1-penta-hex-flip-socket-with-adapter")</f>
        <v>https://edmondsonsupply.com/products/klein-tools-66080-2-in-1-penta-hex-flip-socket-with-adapter</v>
      </c>
      <c r="C7111" t="s">
        <v>9195</v>
      </c>
      <c r="D7111" t="s">
        <v>7234</v>
      </c>
      <c r="E7111" s="3" t="str">
        <f>HYPERLINK("https://www.amazon.com/Klein-Tools-66079-Impact-Adapter/dp/B0B33WGYX5/ref=sr_1_2?keywords=Klein+Tools+66080+2-in-1+Penta%2FHex+Flip+Socket+with+Adapter&amp;qid=1695174165&amp;sr=8-2", "https://www.amazon.com/Klein-Tools-66079-Impact-Adapter/dp/B0B33WGYX5/ref=sr_1_2?keywords=Klein+Tools+66080+2-in-1+Penta%2FHex+Flip+Socket+with+Adapter&amp;qid=1695174165&amp;sr=8-2")</f>
        <v>https://www.amazon.com/Klein-Tools-66079-Impact-Adapter/dp/B0B33WGYX5/ref=sr_1_2?keywords=Klein+Tools+66080+2-in-1+Penta%2FHex+Flip+Socket+with+Adapter&amp;qid=1695174165&amp;sr=8-2</v>
      </c>
      <c r="F7111" t="s">
        <v>7235</v>
      </c>
      <c r="G7111" t="e">
        <f ca="1">_xludf.IMAGE("https://edmondsonsupply.com/cdn/shop/products/66080.jpg?v=1663076636")</f>
        <v>#NAME?</v>
      </c>
      <c r="H7111" t="e">
        <f ca="1">_xludf.IMAGE("https://m.media-amazon.com/images/I/41eZRUf3qGL._AC_UL320_.jpg")</f>
        <v>#NAME?</v>
      </c>
      <c r="I7111" t="s">
        <v>2614</v>
      </c>
      <c r="J7111">
        <v>9.6</v>
      </c>
      <c r="K7111" s="4">
        <v>-0.8095</v>
      </c>
      <c r="L7111">
        <v>3.8</v>
      </c>
      <c r="M7111">
        <v>5</v>
      </c>
      <c r="O7111" t="s">
        <v>25</v>
      </c>
      <c r="P7111" t="s">
        <v>9196</v>
      </c>
      <c r="Q7111" t="s">
        <v>9197</v>
      </c>
    </row>
    <row r="7112" spans="1:17" ht="15.5" x14ac:dyDescent="0.35">
      <c r="A7112"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7112" s="3" t="str">
        <f>HYPERLINK("https://edmondsonsupply.com/products/klein-tools-31902-bi-metal-hole-saw-kit-8-piece", "https://edmondsonsupply.com/products/klein-tools-31902-bi-metal-hole-saw-kit-8-piece")</f>
        <v>https://edmondsonsupply.com/products/klein-tools-31902-bi-metal-hole-saw-kit-8-piece</v>
      </c>
      <c r="C7112" t="s">
        <v>6259</v>
      </c>
      <c r="D7112" t="s">
        <v>7386</v>
      </c>
      <c r="E7112" s="3" t="str">
        <f>HYPERLINK("https://www.amazon.com/Bi-Metal-8-Inch-Klein-Tools-31958/dp/B01987566S/ref=sr_1_5?keywords=Klein+Tools+31902+Bi-Metal+Hole+Saw+Kit%2C+8-Piece&amp;qid=1695174040&amp;sr=8-5", "https://www.amazon.com/Bi-Metal-8-Inch-Klein-Tools-31958/dp/B01987566S/ref=sr_1_5?keywords=Klein+Tools+31902+Bi-Metal+Hole+Saw+Kit%2C+8-Piece&amp;qid=1695174040&amp;sr=8-5")</f>
        <v>https://www.amazon.com/Bi-Metal-8-Inch-Klein-Tools-31958/dp/B01987566S/ref=sr_1_5?keywords=Klein+Tools+31902+Bi-Metal+Hole+Saw+Kit%2C+8-Piece&amp;qid=1695174040&amp;sr=8-5</v>
      </c>
      <c r="F7112" t="s">
        <v>7387</v>
      </c>
      <c r="G7112" t="e">
        <f ca="1">_xludf.IMAGE("https://edmondsonsupply.com/cdn/shop/products/31902.jpg?v=1679665390")</f>
        <v>#NAME?</v>
      </c>
      <c r="H7112" t="e">
        <f ca="1">_xludf.IMAGE("https://m.media-amazon.com/images/I/417oWF+SE6L._AC_UL320_.jpg")</f>
        <v>#NAME?</v>
      </c>
      <c r="I7112" t="s">
        <v>320</v>
      </c>
      <c r="J7112">
        <v>13.99</v>
      </c>
      <c r="K7112" s="4">
        <v>-0.81340000000000001</v>
      </c>
      <c r="L7112">
        <v>4.5999999999999996</v>
      </c>
      <c r="M7112">
        <v>252</v>
      </c>
      <c r="O7112" t="s">
        <v>25</v>
      </c>
      <c r="P7112" t="s">
        <v>6260</v>
      </c>
      <c r="Q7112" t="s">
        <v>6261</v>
      </c>
    </row>
    <row r="7113" spans="1:17" ht="15.5" x14ac:dyDescent="0.35">
      <c r="A7113" s="3" t="str">
        <f>HYPERLINK("https://edmondsonsupply.com/collections/electricians-tools/products/klein-tools-vdv526-052-cable-tester-lan-scout%C2%AE-jr-continuity-tester", "https://edmondsonsupply.com/collections/electricians-tools/products/klein-tools-vdv526-052-cable-tester-lan-scout%C2%AE-jr-continuity-tester")</f>
        <v>https://edmondsonsupply.com/collections/electricians-tools/products/klein-tools-vdv526-052-cable-tester-lan-scout%C2%AE-jr-continuity-tester</v>
      </c>
      <c r="B7113" s="3" t="str">
        <f>HYPERLINK("https://edmondsonsupply.com/products/klein-tools-vdv526-052-cable-tester-lan-scout%c2%ae-jr-continuity-tester", "https://edmondsonsupply.com/products/klein-tools-vdv526-052-cable-tester-lan-scout%c2%ae-jr-continuity-tester")</f>
        <v>https://edmondsonsupply.com/products/klein-tools-vdv526-052-cable-tester-lan-scout%c2%ae-jr-continuity-tester</v>
      </c>
      <c r="C7113" t="s">
        <v>6595</v>
      </c>
      <c r="D7113" t="s">
        <v>9191</v>
      </c>
      <c r="E7113" s="3" t="str">
        <f>HYPERLINK("https://www.amazon.com/Klein-Tools-VDV999-200-Replacement-Continuity/dp/B092XBPPXV/ref=sr_1_2?keywords=Klein+Tools+VDV526-052+Cable+Tester%2C+LAN+Scout%C2%AE+Jr.+Continuity+Tester&amp;qid=1695174034&amp;sr=8-2", "https://www.amazon.com/Klein-Tools-VDV999-200-Replacement-Continuity/dp/B092XBPPXV/ref=sr_1_2?keywords=Klein+Tools+VDV526-052+Cable+Tester%2C+LAN+Scout%C2%AE+Jr.+Continuity+Tester&amp;qid=1695174034&amp;sr=8-2")</f>
        <v>https://www.amazon.com/Klein-Tools-VDV999-200-Replacement-Continuity/dp/B092XBPPXV/ref=sr_1_2?keywords=Klein+Tools+VDV526-052+Cable+Tester%2C+LAN+Scout%C2%AE+Jr.+Continuity+Tester&amp;qid=1695174034&amp;sr=8-2</v>
      </c>
      <c r="F7113" t="s">
        <v>9192</v>
      </c>
      <c r="G7113" t="e">
        <f ca="1">_xludf.IMAGE("https://edmondsonsupply.com/cdn/shop/files/vdv526-052.jpg?v=1685032494")</f>
        <v>#NAME?</v>
      </c>
      <c r="H7113" t="e">
        <f ca="1">_xludf.IMAGE("https://m.media-amazon.com/images/I/41g0sTAqWKS._AC_UY218_.jpg")</f>
        <v>#NAME?</v>
      </c>
      <c r="I7113" t="s">
        <v>5197</v>
      </c>
      <c r="J7113">
        <v>10.89</v>
      </c>
      <c r="K7113" s="4">
        <v>-0.81840000000000002</v>
      </c>
      <c r="L7113">
        <v>4.3</v>
      </c>
      <c r="M7113">
        <v>27</v>
      </c>
      <c r="O7113" t="s">
        <v>25</v>
      </c>
      <c r="P7113" t="s">
        <v>6596</v>
      </c>
      <c r="Q7113" t="s">
        <v>6597</v>
      </c>
    </row>
    <row r="7114" spans="1:17" ht="15.5" x14ac:dyDescent="0.35">
      <c r="A7114" s="3" t="str">
        <f>HYPERLINK("https://edmondsonsupply.com/collections/electricians-tools/products/klein-tools-32535-10-in-1-10-fold-screwdriver-nut-driver", "https://edmondsonsupply.com/collections/electricians-tools/products/klein-tools-32535-10-in-1-10-fold-screwdriver-nut-driver")</f>
        <v>https://edmondsonsupply.com/collections/electricians-tools/products/klein-tools-32535-10-in-1-10-fold-screwdriver-nut-driver</v>
      </c>
      <c r="B7114" s="3" t="str">
        <f>HYPERLINK("https://edmondsonsupply.com/products/klein-tools-32535-10-in-1-10-fold-screwdriver-nut-driver", "https://edmondsonsupply.com/products/klein-tools-32535-10-in-1-10-fold-screwdriver-nut-driver")</f>
        <v>https://edmondsonsupply.com/products/klein-tools-32535-10-in-1-10-fold-screwdriver-nut-driver</v>
      </c>
      <c r="C7114" t="s">
        <v>4368</v>
      </c>
      <c r="D7114" t="s">
        <v>5668</v>
      </c>
      <c r="E7114" s="3" t="str">
        <f>HYPERLINK("https://www.amazon.com/Klein-Tools-32483-Screwdriver-Phillips/dp/B000936PUC/ref=sr_1_6?keywords=Klein+Tools+32535+10-in-1+10+Fold+Screwdriver+%2F+Nut+Driver&amp;qid=1695173914&amp;sr=8-6", "https://www.amazon.com/Klein-Tools-32483-Screwdriver-Phillips/dp/B000936PUC/ref=sr_1_6?keywords=Klein+Tools+32535+10-in-1+10+Fold+Screwdriver+%2F+Nut+Driver&amp;qid=1695173914&amp;sr=8-6")</f>
        <v>https://www.amazon.com/Klein-Tools-32483-Screwdriver-Phillips/dp/B000936PUC/ref=sr_1_6?keywords=Klein+Tools+32535+10-in-1+10+Fold+Screwdriver+%2F+Nut+Driver&amp;qid=1695173914&amp;sr=8-6</v>
      </c>
      <c r="F7114" t="s">
        <v>5669</v>
      </c>
      <c r="G7114" t="e">
        <f ca="1">_xludf.IMAGE("https://edmondsonsupply.com/cdn/shop/products/32535.jpg?v=1633030894")</f>
        <v>#NAME?</v>
      </c>
      <c r="H7114" t="e">
        <f ca="1">_xludf.IMAGE("https://m.media-amazon.com/images/I/51KFiDupheL._AC_UL320_.jpg")</f>
        <v>#NAME?</v>
      </c>
      <c r="I7114" t="s">
        <v>26</v>
      </c>
      <c r="J7114">
        <v>4.99</v>
      </c>
      <c r="K7114" s="4">
        <v>-0.83360000000000001</v>
      </c>
      <c r="L7114">
        <v>4.7</v>
      </c>
      <c r="M7114">
        <v>4276</v>
      </c>
      <c r="O7114" t="s">
        <v>25</v>
      </c>
      <c r="P7114" t="s">
        <v>4371</v>
      </c>
      <c r="Q7114" t="s">
        <v>4372</v>
      </c>
    </row>
    <row r="7115" spans="1:17" ht="15.5" x14ac:dyDescent="0.35">
      <c r="A7115" s="3" t="str">
        <f>HYPERLINK("https://edmondsonsupply.com/collections/electricians-tools/products/diablo-tools-dou125cgp10-1-1-4-in-universal-fit-carbide-oscillating-blade-for-general-purpose-cuts", "https://edmondsonsupply.com/collections/electricians-tools/products/diablo-tools-dou125cgp10-1-1-4-in-universal-fit-carbide-oscillating-blade-for-general-purpose-cuts")</f>
        <v>https://edmondsonsupply.com/collections/electricians-tools/products/diablo-tools-dou125cgp10-1-1-4-in-universal-fit-carbide-oscillating-blade-for-general-purpose-cuts</v>
      </c>
      <c r="B7115" s="3" t="str">
        <f>HYPERLINK("https://edmondsonsupply.com/products/diablo-tools-dou125cgp10-1-1-4-in-universal-fit-carbide-oscillating-blade-for-general-purpose-cuts", "https://edmondsonsupply.com/products/diablo-tools-dou125cgp10-1-1-4-in-universal-fit-carbide-oscillating-blade-for-general-purpose-cuts")</f>
        <v>https://edmondsonsupply.com/products/diablo-tools-dou125cgp10-1-1-4-in-universal-fit-carbide-oscillating-blade-for-general-purpose-cuts</v>
      </c>
      <c r="C7115" t="s">
        <v>9174</v>
      </c>
      <c r="D7115" t="s">
        <v>5949</v>
      </c>
      <c r="E7115" s="3" t="str">
        <f>HYPERLINK("https://www.amazon.com/Diablo-Freud-DOU125CGP-Universal-Oscillating/dp/B089LGJV4X/ref=sr_1_1?keywords=Diablo+Tools+DOU125CGP10+1-1%2F4+in.+Universal+Fit+Carbide+Oscillating+Blade+for+General+Purpose+Cuts+%2810+pk%29&amp;qid=1695174065&amp;sr=8-1", "https://www.amazon.com/Diablo-Freud-DOU125CGP-Universal-Oscillating/dp/B089LGJV4X/ref=sr_1_1?keywords=Diablo+Tools+DOU125CGP10+1-1%2F4+in.+Universal+Fit+Carbide+Oscillating+Blade+for+General+Purpose+Cuts+%2810+pk%29&amp;qid=1695174065&amp;sr=8-1")</f>
        <v>https://www.amazon.com/Diablo-Freud-DOU125CGP-Universal-Oscillating/dp/B089LGJV4X/ref=sr_1_1?keywords=Diablo+Tools+DOU125CGP10+1-1%2F4+in.+Universal+Fit+Carbide+Oscillating+Blade+for+General+Purpose+Cuts+%2810+pk%29&amp;qid=1695174065&amp;sr=8-1</v>
      </c>
      <c r="F7115" t="s">
        <v>5950</v>
      </c>
      <c r="G7115" t="e">
        <f ca="1">_xludf.IMAGE("https://edmondsonsupply.com/cdn/shop/products/htobgrjt150mygkkk6to.webp?v=1677258458")</f>
        <v>#NAME?</v>
      </c>
      <c r="H7115" t="e">
        <f ca="1">_xludf.IMAGE("https://m.media-amazon.com/images/I/71lNEMXVnHL._AC_UL320_.jpg")</f>
        <v>#NAME?</v>
      </c>
      <c r="I7115" t="s">
        <v>8435</v>
      </c>
      <c r="J7115">
        <v>16.989999999999998</v>
      </c>
      <c r="K7115" s="4">
        <v>-0.83819999999999995</v>
      </c>
      <c r="L7115">
        <v>4.5999999999999996</v>
      </c>
      <c r="M7115">
        <v>38</v>
      </c>
      <c r="O7115" t="s">
        <v>171</v>
      </c>
      <c r="P7115" t="s">
        <v>9175</v>
      </c>
      <c r="Q7115" t="s">
        <v>9176</v>
      </c>
    </row>
    <row r="7116" spans="1:17" ht="15.5" x14ac:dyDescent="0.35">
      <c r="A7116" s="3" t="str">
        <f>HYPERLINK("https://edmondsonsupply.com/collections/electricians-tools/products/klein-tools-510212blk-tool-bag-black-canvas-12-inch", "https://edmondsonsupply.com/collections/electricians-tools/products/klein-tools-510212blk-tool-bag-black-canvas-12-inch")</f>
        <v>https://edmondsonsupply.com/collections/electricians-tools/products/klein-tools-510212blk-tool-bag-black-canvas-12-inch</v>
      </c>
      <c r="B7116" s="3" t="str">
        <f>HYPERLINK("https://edmondsonsupply.com/products/klein-tools-510212blk-tool-bag-black-canvas-12-inch", "https://edmondsonsupply.com/products/klein-tools-510212blk-tool-bag-black-canvas-12-inch")</f>
        <v>https://edmondsonsupply.com/products/klein-tools-510212blk-tool-bag-black-canvas-12-inch</v>
      </c>
      <c r="C7116" t="s">
        <v>585</v>
      </c>
      <c r="D7116" t="s">
        <v>805</v>
      </c>
      <c r="E7116" s="3" t="str">
        <f>HYPERLINK("https://www.amazon.com/Klein-Tools-5139B-Cordura-Ballistic/dp/B000OQSS6S/ref=sr_1_5?keywords=Klein+Tools+510212BLK+Tool+Bag%2C+Black+Canvas%2C+12-Inch&amp;qid=1695174136&amp;sr=8-5", "https://www.amazon.com/Klein-Tools-5139B-Cordura-Ballistic/dp/B000OQSS6S/ref=sr_1_5?keywords=Klein+Tools+510212BLK+Tool+Bag%2C+Black+Canvas%2C+12-Inch&amp;qid=1695174136&amp;sr=8-5")</f>
        <v>https://www.amazon.com/Klein-Tools-5139B-Cordura-Ballistic/dp/B000OQSS6S/ref=sr_1_5?keywords=Klein+Tools+510212BLK+Tool+Bag%2C+Black+Canvas%2C+12-Inch&amp;qid=1695174136&amp;sr=8-5</v>
      </c>
      <c r="F7116" t="s">
        <v>806</v>
      </c>
      <c r="G7116" t="e">
        <f ca="1">_xludf.IMAGE("https://edmondsonsupply.com/cdn/shop/products/510212blk.jpg?v=1666026613")</f>
        <v>#NAME?</v>
      </c>
      <c r="H7116" t="e">
        <f ca="1">_xludf.IMAGE("https://m.media-amazon.com/images/I/61oItU6FQmL._AC_UL320_.jpg")</f>
        <v>#NAME?</v>
      </c>
      <c r="I7116" t="s">
        <v>588</v>
      </c>
      <c r="J7116">
        <v>10.99</v>
      </c>
      <c r="K7116" s="4">
        <v>-0.84299999999999997</v>
      </c>
      <c r="L7116">
        <v>4.8</v>
      </c>
      <c r="M7116">
        <v>2712</v>
      </c>
      <c r="O7116" t="s">
        <v>25</v>
      </c>
      <c r="P7116" t="s">
        <v>589</v>
      </c>
      <c r="Q7116" t="s">
        <v>590</v>
      </c>
    </row>
    <row r="7117" spans="1:17" ht="15.5" x14ac:dyDescent="0.35">
      <c r="A7117" s="3" t="str">
        <f>HYPERLINK("https://edmondsonsupply.com/collections/electricians-tools/products/klein-tools-et600-insulation-resistance-tester", "https://edmondsonsupply.com/collections/electricians-tools/products/klein-tools-et600-insulation-resistance-tester")</f>
        <v>https://edmondsonsupply.com/collections/electricians-tools/products/klein-tools-et600-insulation-resistance-tester</v>
      </c>
      <c r="B7117" s="3" t="str">
        <f>HYPERLINK("https://edmondsonsupply.com/products/klein-tools-et600-insulation-resistance-tester", "https://edmondsonsupply.com/products/klein-tools-et600-insulation-resistance-tester")</f>
        <v>https://edmondsonsupply.com/products/klein-tools-et600-insulation-resistance-tester</v>
      </c>
      <c r="C7117" t="s">
        <v>6505</v>
      </c>
      <c r="D7117" t="s">
        <v>9198</v>
      </c>
      <c r="E7117" s="3" t="str">
        <f>HYPERLINK("https://www.amazon.com/RLSOCO-Klein-Multimeter-Megohmmeter-Insulation-Tester/dp/B0BYH8S16J/ref=sr_1_6?keywords=Klein+Tools+ET600+Insulation+Resistance+Tester&amp;qid=1695173907&amp;sr=8-6", "https://www.amazon.com/RLSOCO-Klein-Multimeter-Megohmmeter-Insulation-Tester/dp/B0BYH8S16J/ref=sr_1_6?keywords=Klein+Tools+ET600+Insulation+Resistance+Tester&amp;qid=1695173907&amp;sr=8-6")</f>
        <v>https://www.amazon.com/RLSOCO-Klein-Multimeter-Megohmmeter-Insulation-Tester/dp/B0BYH8S16J/ref=sr_1_6?keywords=Klein+Tools+ET600+Insulation+Resistance+Tester&amp;qid=1695173907&amp;sr=8-6</v>
      </c>
      <c r="F7117" t="s">
        <v>9199</v>
      </c>
      <c r="G7117" t="e">
        <f ca="1">_xludf.IMAGE("https://edmondsonsupply.com/cdn/shop/products/et600_accessories_b.jpg?v=1677685603")</f>
        <v>#NAME?</v>
      </c>
      <c r="H7117" t="e">
        <f ca="1">_xludf.IMAGE("https://m.media-amazon.com/images/I/81KLTELWY+L._AC_UY218_.jpg")</f>
        <v>#NAME?</v>
      </c>
      <c r="I7117" t="s">
        <v>6506</v>
      </c>
      <c r="J7117">
        <v>24.99</v>
      </c>
      <c r="K7117" s="4">
        <v>-0.84850000000000003</v>
      </c>
      <c r="L7117">
        <v>4.4000000000000004</v>
      </c>
      <c r="M7117">
        <v>3</v>
      </c>
      <c r="O7117" t="s">
        <v>25</v>
      </c>
      <c r="P7117" t="s">
        <v>6507</v>
      </c>
      <c r="Q7117" t="s">
        <v>6508</v>
      </c>
    </row>
    <row r="7118" spans="1:17" ht="15.5" x14ac:dyDescent="0.35">
      <c r="A7118" s="3" t="str">
        <f>HYPERLINK("https://edmondsonsupply.com/collections/electricians-tools/products/klein-tools-935dagl-digital-level-with-programmable-angles", "https://edmondsonsupply.com/collections/electricians-tools/products/klein-tools-935dagl-digital-level-with-programmable-angles")</f>
        <v>https://edmondsonsupply.com/collections/electricians-tools/products/klein-tools-935dagl-digital-level-with-programmable-angles</v>
      </c>
      <c r="B7118" s="3" t="str">
        <f>HYPERLINK("https://edmondsonsupply.com/products/klein-tools-935dagl-digital-level-with-programmable-angles", "https://edmondsonsupply.com/products/klein-tools-935dagl-digital-level-with-programmable-angles")</f>
        <v>https://edmondsonsupply.com/products/klein-tools-935dagl-digital-level-with-programmable-angles</v>
      </c>
      <c r="C7118" t="s">
        <v>7122</v>
      </c>
      <c r="D7118" t="s">
        <v>9200</v>
      </c>
      <c r="E7118" s="3" t="str">
        <f>HYPERLINK("https://www.amazon.com/Klein-Tools-69346-Plumbers-935DAGL/dp/B08ZT2R999/ref=sr_1_4?keywords=Klein+Tools+935DAGL+Digital+Level+with+Programmable+Angles&amp;qid=1695174178&amp;sr=8-4", "https://www.amazon.com/Klein-Tools-69346-Plumbers-935DAGL/dp/B08ZT2R999/ref=sr_1_4?keywords=Klein+Tools+935DAGL+Digital+Level+with+Programmable+Angles&amp;qid=1695174178&amp;sr=8-4")</f>
        <v>https://www.amazon.com/Klein-Tools-69346-Plumbers-935DAGL/dp/B08ZT2R999/ref=sr_1_4?keywords=Klein+Tools+935DAGL+Digital+Level+with+Programmable+Angles&amp;qid=1695174178&amp;sr=8-4</v>
      </c>
      <c r="F7118" t="s">
        <v>9201</v>
      </c>
      <c r="G7118" t="e">
        <f ca="1">_xludf.IMAGE("https://edmondsonsupply.com/cdn/shop/products/935dagl.jpg?v=1660749694")</f>
        <v>#NAME?</v>
      </c>
      <c r="H7118" t="e">
        <f ca="1">_xludf.IMAGE("https://m.media-amazon.com/images/I/51jUEHY1GwL._AC_UL320_.jpg")</f>
        <v>#NAME?</v>
      </c>
      <c r="I7118" t="s">
        <v>5197</v>
      </c>
      <c r="J7118">
        <v>8.99</v>
      </c>
      <c r="K7118" s="4">
        <v>-0.85009999999999997</v>
      </c>
      <c r="L7118">
        <v>4.2</v>
      </c>
      <c r="M7118">
        <v>279</v>
      </c>
      <c r="O7118" t="s">
        <v>25</v>
      </c>
      <c r="P7118" t="s">
        <v>7123</v>
      </c>
      <c r="Q7118" t="s">
        <v>7124</v>
      </c>
    </row>
    <row r="7119" spans="1:17" ht="15.5" x14ac:dyDescent="0.35">
      <c r="A7119" s="3" t="str">
        <f>HYPERLINK("https://edmondsonsupply.com/collections/electricians-tools/products/klein-tools-31870-carbide-hole-cutter-2-1-2-inch", "https://edmondsonsupply.com/collections/electricians-tools/products/klein-tools-31870-carbide-hole-cutter-2-1-2-inch")</f>
        <v>https://edmondsonsupply.com/collections/electricians-tools/products/klein-tools-31870-carbide-hole-cutter-2-1-2-inch</v>
      </c>
      <c r="B7119" s="3" t="str">
        <f>HYPERLINK("https://edmondsonsupply.com/products/klein-tools-31870-carbide-hole-cutter-2-1-2-inch", "https://edmondsonsupply.com/products/klein-tools-31870-carbide-hole-cutter-2-1-2-inch")</f>
        <v>https://edmondsonsupply.com/products/klein-tools-31870-carbide-hole-cutter-2-1-2-inch</v>
      </c>
      <c r="C7119" t="s">
        <v>6295</v>
      </c>
      <c r="D7119" t="s">
        <v>8657</v>
      </c>
      <c r="E7119" s="3" t="str">
        <f>HYPERLINK("https://www.amazon.com/Bi-Metal-2-Inch-Klein-Tools-31940/dp/B0171X0J7W/ref=sr_1_6?keywords=Klein+Tools+31870+Carbide+Hole+Cutter%2C+2-1%2F2-Inch&amp;qid=1695174279&amp;sr=8-6", "https://www.amazon.com/Bi-Metal-2-Inch-Klein-Tools-31940/dp/B0171X0J7W/ref=sr_1_6?keywords=Klein+Tools+31870+Carbide+Hole+Cutter%2C+2-1%2F2-Inch&amp;qid=1695174279&amp;sr=8-6")</f>
        <v>https://www.amazon.com/Bi-Metal-2-Inch-Klein-Tools-31940/dp/B0171X0J7W/ref=sr_1_6?keywords=Klein+Tools+31870+Carbide+Hole+Cutter%2C+2-1%2F2-Inch&amp;qid=1695174279&amp;sr=8-6</v>
      </c>
      <c r="F7119" t="s">
        <v>8658</v>
      </c>
      <c r="G7119" t="e">
        <f ca="1">_xludf.IMAGE("https://edmondsonsupply.com/cdn/shop/products/31870_alt1.jpg?v=1633030999")</f>
        <v>#NAME?</v>
      </c>
      <c r="H7119" t="e">
        <f ca="1">_xludf.IMAGE("https://m.media-amazon.com/images/I/41Jwj0FSz4L._AC_UL320_.jpg")</f>
        <v>#NAME?</v>
      </c>
      <c r="I7119" t="s">
        <v>300</v>
      </c>
      <c r="J7119">
        <v>11.98</v>
      </c>
      <c r="K7119" s="4">
        <v>-0.85019999999999996</v>
      </c>
      <c r="L7119">
        <v>4.5999999999999996</v>
      </c>
      <c r="M7119">
        <v>406</v>
      </c>
      <c r="O7119" t="s">
        <v>25</v>
      </c>
      <c r="P7119" t="s">
        <v>6296</v>
      </c>
      <c r="Q7119" t="s">
        <v>6297</v>
      </c>
    </row>
    <row r="7120" spans="1:17" ht="15.5" x14ac:dyDescent="0.35">
      <c r="A7120" s="3" t="str">
        <f>HYPERLINK("https://edmondsonsupply.com/collections/electricians-tools/products/milwaukee-48-11-2412-m12-redlithium%E2%84%A2-xc-battery-two-pack", "https://edmondsonsupply.com/collections/electricians-tools/products/milwaukee-48-11-2412-m12-redlithium%E2%84%A2-xc-battery-two-pack")</f>
        <v>https://edmondsonsupply.com/collections/electricians-tools/products/milwaukee-48-11-2412-m12-redlithium%E2%84%A2-xc-battery-two-pack</v>
      </c>
      <c r="B7120" s="3" t="str">
        <f>HYPERLINK("https://edmondsonsupply.com/products/milwaukee-48-11-2412-m12-redlithium%e2%84%a2-xc-battery-two-pack", "https://edmondsonsupply.com/products/milwaukee-48-11-2412-m12-redlithium%e2%84%a2-xc-battery-two-pack")</f>
        <v>https://edmondsonsupply.com/products/milwaukee-48-11-2412-m12-redlithium%e2%84%a2-xc-battery-two-pack</v>
      </c>
      <c r="C7120" t="s">
        <v>9080</v>
      </c>
      <c r="D7120" t="s">
        <v>9202</v>
      </c>
      <c r="E7120" s="3" t="str">
        <f>HYPERLINK("https://www.amazon.com/Replacement-48-11-2420-48-11-2440-48-11-2402-48-11-2411/dp/B08H5F4FDF/ref=sr_1_1?keywords=Milwaukee+48-11-2412+M12+REDLITHIUM%E2%84%A2+XC+Battery+Two+Pack&amp;qid=1695174210&amp;sr=8-1", "https://www.amazon.com/Replacement-48-11-2420-48-11-2440-48-11-2402-48-11-2411/dp/B08H5F4FDF/ref=sr_1_1?keywords=Milwaukee+48-11-2412+M12+REDLITHIUM%E2%84%A2+XC+Battery+Two+Pack&amp;qid=1695174210&amp;sr=8-1")</f>
        <v>https://www.amazon.com/Replacement-48-11-2420-48-11-2440-48-11-2402-48-11-2411/dp/B08H5F4FDF/ref=sr_1_1?keywords=Milwaukee+48-11-2412+M12+REDLITHIUM%E2%84%A2+XC+Battery+Two+Pack&amp;qid=1695174210&amp;sr=8-1</v>
      </c>
      <c r="F7120" t="s">
        <v>9203</v>
      </c>
      <c r="G7120" t="e">
        <f ca="1">_xludf.IMAGE("https://edmondsonsupply.com/cdn/shop/products/48-11-2412.jpg?v=1654795924")</f>
        <v>#NAME?</v>
      </c>
      <c r="H7120" t="e">
        <f ca="1">_xludf.IMAGE("https://m.media-amazon.com/images/I/71cGUkJ7ZzL._AC_UL320_.jpg")</f>
        <v>#NAME?</v>
      </c>
      <c r="I7120" t="s">
        <v>739</v>
      </c>
      <c r="J7120">
        <v>18.989999999999998</v>
      </c>
      <c r="K7120" s="4">
        <v>-0.8528</v>
      </c>
      <c r="L7120">
        <v>4.2</v>
      </c>
      <c r="M7120">
        <v>538</v>
      </c>
      <c r="O7120" t="s">
        <v>25</v>
      </c>
      <c r="P7120" t="s">
        <v>9083</v>
      </c>
      <c r="Q7120" t="s">
        <v>9084</v>
      </c>
    </row>
    <row r="7121" spans="1:17" ht="15.5" x14ac:dyDescent="0.35">
      <c r="A7121"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7121" s="3" t="str">
        <f>HYPERLINK("https://edmondsonsupply.com/products/fluke-62-max-mini-infrared-thermometer", "https://edmondsonsupply.com/products/fluke-62-max-mini-infrared-thermometer")</f>
        <v>https://edmondsonsupply.com/products/fluke-62-max-mini-infrared-thermometer</v>
      </c>
      <c r="C7121" t="s">
        <v>2312</v>
      </c>
      <c r="D7121" t="s">
        <v>5704</v>
      </c>
      <c r="E7121" s="3" t="str">
        <f>HYPERLINK("https://www.amazon.com/Aproca-Storage-Travel-Fluke-Thermometer/dp/B07WMQ8G1Q/ref=sr_1_9?keywords=Fluke+62+MAX+Mini+Infrared+Thermometer&amp;qid=1695173898&amp;sr=8-9", "https://www.amazon.com/Aproca-Storage-Travel-Fluke-Thermometer/dp/B07WMQ8G1Q/ref=sr_1_9?keywords=Fluke+62+MAX+Mini+Infrared+Thermometer&amp;qid=1695173898&amp;sr=8-9")</f>
        <v>https://www.amazon.com/Aproca-Storage-Travel-Fluke-Thermometer/dp/B07WMQ8G1Q/ref=sr_1_9?keywords=Fluke+62+MAX+Mini+Infrared+Thermometer&amp;qid=1695173898&amp;sr=8-9</v>
      </c>
      <c r="F7121" t="s">
        <v>5705</v>
      </c>
      <c r="G7121" t="e">
        <f ca="1">_xludf.IMAGE("https://edmondsonsupply.com/cdn/shop/products/62max.jpg?v=1633030769")</f>
        <v>#NAME?</v>
      </c>
      <c r="H7121" t="e">
        <f ca="1">_xludf.IMAGE("https://m.media-amazon.com/images/I/81nOJJ+KQaL._AC_UY218_.jpg")</f>
        <v>#NAME?</v>
      </c>
      <c r="I7121" t="s">
        <v>2315</v>
      </c>
      <c r="J7121">
        <v>16.989999999999998</v>
      </c>
      <c r="K7121" s="4">
        <v>-0.8619</v>
      </c>
      <c r="L7121">
        <v>4.7</v>
      </c>
      <c r="M7121">
        <v>58</v>
      </c>
      <c r="O7121" t="s">
        <v>171</v>
      </c>
      <c r="P7121" t="s">
        <v>460</v>
      </c>
      <c r="Q7121" t="s">
        <v>2316</v>
      </c>
    </row>
    <row r="7122" spans="1:17" ht="15.5" x14ac:dyDescent="0.35">
      <c r="A7122" s="3" t="str">
        <f>HYPERLINK("https://edmondsonsupply.com/collections/electricians-tools/products/fluke-62-max-mini-infrared-thermometer", "https://edmondsonsupply.com/collections/electricians-tools/products/fluke-62-max-mini-infrared-thermometer")</f>
        <v>https://edmondsonsupply.com/collections/electricians-tools/products/fluke-62-max-mini-infrared-thermometer</v>
      </c>
      <c r="B7122" s="3" t="str">
        <f>HYPERLINK("https://edmondsonsupply.com/products/fluke-62-max-mini-infrared-thermometer", "https://edmondsonsupply.com/products/fluke-62-max-mini-infrared-thermometer")</f>
        <v>https://edmondsonsupply.com/products/fluke-62-max-mini-infrared-thermometer</v>
      </c>
      <c r="C7122" t="s">
        <v>2312</v>
      </c>
      <c r="D7122" t="s">
        <v>5706</v>
      </c>
      <c r="E7122" s="3" t="str">
        <f>HYPERLINK("https://www.amazon.com/co2crea-Travel-Infrared-Thermometer-Yellow/dp/B08FHPGX3X/ref=sr_1_2?keywords=Fluke+62+MAX+Mini+Infrared+Thermometer&amp;qid=1695173898&amp;sr=8-2", "https://www.amazon.com/co2crea-Travel-Infrared-Thermometer-Yellow/dp/B08FHPGX3X/ref=sr_1_2?keywords=Fluke+62+MAX+Mini+Infrared+Thermometer&amp;qid=1695173898&amp;sr=8-2")</f>
        <v>https://www.amazon.com/co2crea-Travel-Infrared-Thermometer-Yellow/dp/B08FHPGX3X/ref=sr_1_2?keywords=Fluke+62+MAX+Mini+Infrared+Thermometer&amp;qid=1695173898&amp;sr=8-2</v>
      </c>
      <c r="F7122" t="s">
        <v>5707</v>
      </c>
      <c r="G7122" t="e">
        <f ca="1">_xludf.IMAGE("https://edmondsonsupply.com/cdn/shop/products/62max.jpg?v=1633030769")</f>
        <v>#NAME?</v>
      </c>
      <c r="H7122" t="e">
        <f ca="1">_xludf.IMAGE("https://m.media-amazon.com/images/I/819lhKmR58L._AC_UY218_.jpg")</f>
        <v>#NAME?</v>
      </c>
      <c r="I7122" t="s">
        <v>2315</v>
      </c>
      <c r="J7122">
        <v>16.989999999999998</v>
      </c>
      <c r="K7122" s="4">
        <v>-0.8619</v>
      </c>
      <c r="L7122">
        <v>4.5999999999999996</v>
      </c>
      <c r="M7122">
        <v>519</v>
      </c>
      <c r="O7122" t="s">
        <v>171</v>
      </c>
      <c r="P7122" t="s">
        <v>460</v>
      </c>
      <c r="Q7122" t="s">
        <v>2316</v>
      </c>
    </row>
    <row r="7123" spans="1:17" ht="15.5" x14ac:dyDescent="0.35">
      <c r="A7123" s="3" t="str">
        <f>HYPERLINK("https://edmondsonsupply.com/collections/electricians-tools/products/klein-tools-56115-fiberglass-fish-tape-repair-kit", "https://edmondsonsupply.com/collections/electricians-tools/products/klein-tools-56115-fiberglass-fish-tape-repair-kit")</f>
        <v>https://edmondsonsupply.com/collections/electricians-tools/products/klein-tools-56115-fiberglass-fish-tape-repair-kit</v>
      </c>
      <c r="B7123" s="3" t="str">
        <f>HYPERLINK("https://edmondsonsupply.com/products/klein-tools-56115-fiberglass-fish-tape-repair-kit", "https://edmondsonsupply.com/products/klein-tools-56115-fiberglass-fish-tape-repair-kit")</f>
        <v>https://edmondsonsupply.com/products/klein-tools-56115-fiberglass-fish-tape-repair-kit</v>
      </c>
      <c r="C7123" t="s">
        <v>8459</v>
      </c>
      <c r="D7123" t="s">
        <v>9204</v>
      </c>
      <c r="E7123" s="3" t="str">
        <f>HYPERLINK("https://www.amazon.com/Klein-Tools-56025-Non-conductive-Repair/dp/B00HAN9204/ref=sr_1_2?keywords=Klein+Tools+56115+Fiberglass+Fish+Tape+Repair+Kit&amp;qid=1695174148&amp;sr=8-2", "https://www.amazon.com/Klein-Tools-56025-Non-conductive-Repair/dp/B00HAN9204/ref=sr_1_2?keywords=Klein+Tools+56115+Fiberglass+Fish+Tape+Repair+Kit&amp;qid=1695174148&amp;sr=8-2")</f>
        <v>https://www.amazon.com/Klein-Tools-56025-Non-conductive-Repair/dp/B00HAN9204/ref=sr_1_2?keywords=Klein+Tools+56115+Fiberglass+Fish+Tape+Repair+Kit&amp;qid=1695174148&amp;sr=8-2</v>
      </c>
      <c r="F7123" t="s">
        <v>9205</v>
      </c>
      <c r="G7123" t="e">
        <f ca="1">_xludf.IMAGE("https://edmondsonsupply.com/cdn/shop/products/56115.jpg?v=1666107209")</f>
        <v>#NAME?</v>
      </c>
      <c r="H7123" t="e">
        <f ca="1">_xludf.IMAGE("https://m.media-amazon.com/images/I/61oANbkd41L._AC_UL320_.jpg")</f>
        <v>#NAME?</v>
      </c>
      <c r="I7123" t="s">
        <v>4155</v>
      </c>
      <c r="J7123">
        <v>19.989999999999998</v>
      </c>
      <c r="K7123" s="4">
        <v>-0.86670000000000003</v>
      </c>
      <c r="L7123">
        <v>4.5</v>
      </c>
      <c r="M7123">
        <v>194</v>
      </c>
      <c r="O7123" t="s">
        <v>25</v>
      </c>
      <c r="P7123" t="s">
        <v>8462</v>
      </c>
      <c r="Q7123" t="s">
        <v>8463</v>
      </c>
    </row>
    <row r="7124" spans="1:17" ht="15.5" x14ac:dyDescent="0.35">
      <c r="A7124" s="3" t="str">
        <f>HYPERLINK("https://edmondsonsupply.com/collections/electricians-tools/products/klein-tools-et450-advanced-circuit-tracer-kit", "https://edmondsonsupply.com/collections/electricians-tools/products/klein-tools-et450-advanced-circuit-tracer-kit")</f>
        <v>https://edmondsonsupply.com/collections/electricians-tools/products/klein-tools-et450-advanced-circuit-tracer-kit</v>
      </c>
      <c r="B7124" s="3" t="str">
        <f>HYPERLINK("https://edmondsonsupply.com/products/klein-tools-et450-advanced-circuit-tracer-kit", "https://edmondsonsupply.com/products/klein-tools-et450-advanced-circuit-tracer-kit")</f>
        <v>https://edmondsonsupply.com/products/klein-tools-et450-advanced-circuit-tracer-kit</v>
      </c>
      <c r="C7124" t="s">
        <v>2849</v>
      </c>
      <c r="D7124" t="s">
        <v>5713</v>
      </c>
      <c r="E7124" s="3" t="str">
        <f>HYPERLINK("https://www.amazon.com/RLSOCO-Advanced-Circuit-Kit-Compact-Organizer/dp/B0BVVRMV9H/ref=sr_1_2?keywords=Klein+Tools+ET450+Advanced+Circuit+Tracer+Kit&amp;qid=1695173869&amp;sr=8-2", "https://www.amazon.com/RLSOCO-Advanced-Circuit-Kit-Compact-Organizer/dp/B0BVVRMV9H/ref=sr_1_2?keywords=Klein+Tools+ET450+Advanced+Circuit+Tracer+Kit&amp;qid=1695173869&amp;sr=8-2")</f>
        <v>https://www.amazon.com/RLSOCO-Advanced-Circuit-Kit-Compact-Organizer/dp/B0BVVRMV9H/ref=sr_1_2?keywords=Klein+Tools+ET450+Advanced+Circuit+Tracer+Kit&amp;qid=1695173869&amp;sr=8-2</v>
      </c>
      <c r="F7124" t="s">
        <v>5714</v>
      </c>
      <c r="G7124" t="e">
        <f ca="1">_xludf.IMAGE("https://edmondsonsupply.com/cdn/shop/products/et450.jpg?v=1660165248")</f>
        <v>#NAME?</v>
      </c>
      <c r="H7124" t="e">
        <f ca="1">_xludf.IMAGE("https://m.media-amazon.com/images/I/81VXJWrj4rL._AC_UL320_.jpg")</f>
        <v>#NAME?</v>
      </c>
      <c r="I7124" t="s">
        <v>759</v>
      </c>
      <c r="J7124">
        <v>28.99</v>
      </c>
      <c r="K7124" s="4">
        <v>-0.87919999999999998</v>
      </c>
      <c r="L7124">
        <v>4.4000000000000004</v>
      </c>
      <c r="M7124">
        <v>17</v>
      </c>
      <c r="O7124" t="s">
        <v>25</v>
      </c>
      <c r="P7124" t="s">
        <v>2852</v>
      </c>
      <c r="Q7124" t="s">
        <v>2853</v>
      </c>
    </row>
    <row r="7125" spans="1:17" ht="15.5" x14ac:dyDescent="0.35">
      <c r="A7125" s="3" t="str">
        <f>HYPERLINK("https://edmondsonsupply.com/collections/electricians-tools/products/klein-tools-80028-electricians-tool-kit-28-piece", "https://edmondsonsupply.com/collections/electricians-tools/products/klein-tools-80028-electricians-tool-kit-28-piece")</f>
        <v>https://edmondsonsupply.com/collections/electricians-tools/products/klein-tools-80028-electricians-tool-kit-28-piece</v>
      </c>
      <c r="B7125" s="3" t="str">
        <f>HYPERLINK("https://edmondsonsupply.com/products/klein-tools-80028-electricians-tool-kit-28-piece", "https://edmondsonsupply.com/products/klein-tools-80028-electricians-tool-kit-28-piece")</f>
        <v>https://edmondsonsupply.com/products/klein-tools-80028-electricians-tool-kit-28-piece</v>
      </c>
      <c r="C7125" t="s">
        <v>4066</v>
      </c>
      <c r="D7125" t="s">
        <v>5715</v>
      </c>
      <c r="E7125" s="3" t="str">
        <f>HYPERLINK("https://www.amazon.com/Klein-Tools-80019-Screwdriver-Industrial/dp/B08VW84W2G/ref=sr_1_5?keywords=Klein+Tools+80028+Electrician%27s+Tool+Kit%2C+28-Piece&amp;qid=1695173883&amp;sr=8-5", "https://www.amazon.com/Klein-Tools-80019-Screwdriver-Industrial/dp/B08VW84W2G/ref=sr_1_5?keywords=Klein+Tools+80028+Electrician%27s+Tool+Kit%2C+28-Piece&amp;qid=1695173883&amp;sr=8-5")</f>
        <v>https://www.amazon.com/Klein-Tools-80019-Screwdriver-Industrial/dp/B08VW84W2G/ref=sr_1_5?keywords=Klein+Tools+80028+Electrician%27s+Tool+Kit%2C+28-Piece&amp;qid=1695173883&amp;sr=8-5</v>
      </c>
      <c r="F7125" t="s">
        <v>5716</v>
      </c>
      <c r="G7125" t="e">
        <f ca="1">_xludf.IMAGE("https://edmondsonsupply.com/cdn/shop/files/80028_d.jpg?v=1686062794")</f>
        <v>#NAME?</v>
      </c>
      <c r="H7125" t="e">
        <f ca="1">_xludf.IMAGE("https://m.media-amazon.com/images/I/61UoMiQVT8L._AC_UL320_.jpg")</f>
        <v>#NAME?</v>
      </c>
      <c r="I7125" t="s">
        <v>4069</v>
      </c>
      <c r="J7125">
        <v>49.99</v>
      </c>
      <c r="K7125" s="4">
        <v>-0.87949999999999995</v>
      </c>
      <c r="L7125">
        <v>4.8</v>
      </c>
      <c r="M7125">
        <v>1119</v>
      </c>
      <c r="O7125" t="s">
        <v>25</v>
      </c>
      <c r="P7125" t="s">
        <v>4070</v>
      </c>
      <c r="Q7125" t="s">
        <v>4071</v>
      </c>
    </row>
    <row r="7126" spans="1:17" ht="15.5" x14ac:dyDescent="0.35">
      <c r="A7126"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7126" s="3" t="str">
        <f>HYPERLINK("https://edmondsonsupply.com/products/klein-tools-31902-bi-metal-hole-saw-kit-8-piece", "https://edmondsonsupply.com/products/klein-tools-31902-bi-metal-hole-saw-kit-8-piece")</f>
        <v>https://edmondsonsupply.com/products/klein-tools-31902-bi-metal-hole-saw-kit-8-piece</v>
      </c>
      <c r="C7126" t="s">
        <v>6259</v>
      </c>
      <c r="D7126" t="s">
        <v>6049</v>
      </c>
      <c r="E7126" s="3" t="str">
        <f>HYPERLINK("https://www.amazon.com/Bi-Metal-8-Inch-Klein-Tools-31922/dp/B019874Q0K/ref=sr_1_7?keywords=Klein+Tools+31902+Bi-Metal+Hole+Saw+Kit%2C+8-Piece&amp;qid=1695174040&amp;sr=8-7", "https://www.amazon.com/Bi-Metal-8-Inch-Klein-Tools-31922/dp/B019874Q0K/ref=sr_1_7?keywords=Klein+Tools+31902+Bi-Metal+Hole+Saw+Kit%2C+8-Piece&amp;qid=1695174040&amp;sr=8-7")</f>
        <v>https://www.amazon.com/Bi-Metal-8-Inch-Klein-Tools-31922/dp/B019874Q0K/ref=sr_1_7?keywords=Klein+Tools+31902+Bi-Metal+Hole+Saw+Kit%2C+8-Piece&amp;qid=1695174040&amp;sr=8-7</v>
      </c>
      <c r="F7126" t="s">
        <v>7576</v>
      </c>
      <c r="G7126" t="e">
        <f ca="1">_xludf.IMAGE("https://edmondsonsupply.com/cdn/shop/products/31902.jpg?v=1679665390")</f>
        <v>#NAME?</v>
      </c>
      <c r="H7126" t="e">
        <f ca="1">_xludf.IMAGE("https://m.media-amazon.com/images/I/41GAmyLoB4L._AC_UL320_.jpg")</f>
        <v>#NAME?</v>
      </c>
      <c r="I7126" t="s">
        <v>320</v>
      </c>
      <c r="J7126">
        <v>8.99</v>
      </c>
      <c r="K7126" s="4">
        <v>-0.88009999999999999</v>
      </c>
      <c r="L7126">
        <v>4.5</v>
      </c>
      <c r="M7126">
        <v>366</v>
      </c>
      <c r="O7126" t="s">
        <v>25</v>
      </c>
      <c r="P7126" t="s">
        <v>6260</v>
      </c>
      <c r="Q7126" t="s">
        <v>6261</v>
      </c>
    </row>
    <row r="7127" spans="1:17" ht="15.5" x14ac:dyDescent="0.35">
      <c r="A7127" s="3" t="str">
        <f>HYPERLINK("https://edmondsonsupply.com/collections/electricians-tools/products/klein-tools-31902-bi-metal-hole-saw-kit-8-piece", "https://edmondsonsupply.com/collections/electricians-tools/products/klein-tools-31902-bi-metal-hole-saw-kit-8-piece")</f>
        <v>https://edmondsonsupply.com/collections/electricians-tools/products/klein-tools-31902-bi-metal-hole-saw-kit-8-piece</v>
      </c>
      <c r="B7127" s="3" t="str">
        <f>HYPERLINK("https://edmondsonsupply.com/products/klein-tools-31902-bi-metal-hole-saw-kit-8-piece", "https://edmondsonsupply.com/products/klein-tools-31902-bi-metal-hole-saw-kit-8-piece")</f>
        <v>https://edmondsonsupply.com/products/klein-tools-31902-bi-metal-hole-saw-kit-8-piece</v>
      </c>
      <c r="C7127" t="s">
        <v>6259</v>
      </c>
      <c r="D7127" t="s">
        <v>9206</v>
      </c>
      <c r="E7127" s="3" t="str">
        <f>HYPERLINK("https://www.amazon.com/Bi-Metal-SUNGATOR-14-Piece-General-Drywall/dp/B07N1KNR4M/ref=sr_1_8?keywords=Klein+Tools+31902+Bi-Metal+Hole+Saw+Kit%2C+8-Piece&amp;qid=1695174040&amp;sr=8-8", "https://www.amazon.com/Bi-Metal-SUNGATOR-14-Piece-General-Drywall/dp/B07N1KNR4M/ref=sr_1_8?keywords=Klein+Tools+31902+Bi-Metal+Hole+Saw+Kit%2C+8-Piece&amp;qid=1695174040&amp;sr=8-8")</f>
        <v>https://www.amazon.com/Bi-Metal-SUNGATOR-14-Piece-General-Drywall/dp/B07N1KNR4M/ref=sr_1_8?keywords=Klein+Tools+31902+Bi-Metal+Hole+Saw+Kit%2C+8-Piece&amp;qid=1695174040&amp;sr=8-8</v>
      </c>
      <c r="F7127" t="s">
        <v>9207</v>
      </c>
      <c r="G7127" t="e">
        <f ca="1">_xludf.IMAGE("https://edmondsonsupply.com/cdn/shop/products/31902.jpg?v=1679665390")</f>
        <v>#NAME?</v>
      </c>
      <c r="H7127" t="e">
        <f ca="1">_xludf.IMAGE("https://m.media-amazon.com/images/I/61hKcjE+14L._AC_UL320_.jpg")</f>
        <v>#NAME?</v>
      </c>
      <c r="I7127" t="s">
        <v>320</v>
      </c>
      <c r="J7127">
        <v>8.99</v>
      </c>
      <c r="K7127" s="4">
        <v>-0.88009999999999999</v>
      </c>
      <c r="L7127">
        <v>4.4000000000000004</v>
      </c>
      <c r="M7127">
        <v>3398</v>
      </c>
      <c r="O7127" t="s">
        <v>25</v>
      </c>
      <c r="P7127" t="s">
        <v>6260</v>
      </c>
      <c r="Q7127" t="s">
        <v>6261</v>
      </c>
    </row>
    <row r="7128" spans="1:17" ht="15.5" x14ac:dyDescent="0.35">
      <c r="A7128" s="3" t="str">
        <f>HYPERLINK("https://edmondsonsupply.com/collections/electricians-tools/products/milwaukee-0970-20-m18-fuel%E2%84%A2-packout%E2%84%A2-2-5-gallon-wet-dry-vacuum", "https://edmondsonsupply.com/collections/electricians-tools/products/milwaukee-0970-20-m18-fuel%E2%84%A2-packout%E2%84%A2-2-5-gallon-wet-dry-vacuum")</f>
        <v>https://edmondsonsupply.com/collections/electricians-tools/products/milwaukee-0970-20-m18-fuel%E2%84%A2-packout%E2%84%A2-2-5-gallon-wet-dry-vacuum</v>
      </c>
      <c r="B7128"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7128" t="s">
        <v>4882</v>
      </c>
      <c r="D7128" t="s">
        <v>5717</v>
      </c>
      <c r="E7128" s="3" t="str">
        <f>HYPERLINK("https://www.amazon.com/KitchenKipper-14-37-0016-Assembly-Compatible-Milwaukee/dp/B0C5QLZ8LK/ref=sr_1_3?keywords=Milwaukee+0970-20+M18+FUEL%E2%84%A2+PACKOUT%E2%84%A2+2.5+Gallon+Wet%2FDry+Vacuum&amp;qid=1695173920&amp;sr=8-3", "https://www.amazon.com/KitchenKipper-14-37-0016-Assembly-Compatible-Milwaukee/dp/B0C5QLZ8LK/ref=sr_1_3?keywords=Milwaukee+0970-20+M18+FUEL%E2%84%A2+PACKOUT%E2%84%A2+2.5+Gallon+Wet%2FDry+Vacuum&amp;qid=1695173920&amp;sr=8-3")</f>
        <v>https://www.amazon.com/KitchenKipper-14-37-0016-Assembly-Compatible-Milwaukee/dp/B0C5QLZ8LK/ref=sr_1_3?keywords=Milwaukee+0970-20+M18+FUEL%E2%84%A2+PACKOUT%E2%84%A2+2.5+Gallon+Wet%2FDry+Vacuum&amp;qid=1695173920&amp;sr=8-3</v>
      </c>
      <c r="F7128" t="s">
        <v>5718</v>
      </c>
      <c r="G7128" t="e">
        <f ca="1">_xludf.IMAGE("https://edmondsonsupply.com/cdn/shop/products/0970-20_3webp.webp?v=1668442362")</f>
        <v>#NAME?</v>
      </c>
      <c r="H7128" t="e">
        <f ca="1">_xludf.IMAGE("https://m.media-amazon.com/images/I/51+EmXP9D+L._AC_UL320_.jpg")</f>
        <v>#NAME?</v>
      </c>
      <c r="I7128" t="s">
        <v>715</v>
      </c>
      <c r="J7128">
        <v>22.99</v>
      </c>
      <c r="K7128" s="4">
        <v>-0.88449999999999995</v>
      </c>
      <c r="L7128">
        <v>5</v>
      </c>
      <c r="M7128">
        <v>3</v>
      </c>
      <c r="O7128" t="s">
        <v>171</v>
      </c>
      <c r="P7128" t="s">
        <v>4885</v>
      </c>
      <c r="Q7128" t="s">
        <v>4886</v>
      </c>
    </row>
    <row r="7129" spans="1:17" ht="15.5" x14ac:dyDescent="0.35">
      <c r="A7129" s="3" t="str">
        <f>HYPERLINK("https://edmondsonsupply.com/collections/electricians-tools/products/milwaukee-2554-20-m12-fuel%E2%84%A2-3-8-stubby-impact-wrench-tool-only", "https://edmondsonsupply.com/collections/electricians-tools/products/milwaukee-2554-20-m12-fuel%E2%84%A2-3-8-stubby-impact-wrench-tool-only")</f>
        <v>https://edmondsonsupply.com/collections/electricians-tools/products/milwaukee-2554-20-m12-fuel%E2%84%A2-3-8-stubby-impact-wrench-tool-only</v>
      </c>
      <c r="B7129" s="3" t="str">
        <f>HYPERLINK("https://edmondsonsupply.com/products/milwaukee-2554-20-m12-fuel%e2%84%a2-3-8-stubby-impact-wrench-tool-only", "https://edmondsonsupply.com/products/milwaukee-2554-20-m12-fuel%e2%84%a2-3-8-stubby-impact-wrench-tool-only")</f>
        <v>https://edmondsonsupply.com/products/milwaukee-2554-20-m12-fuel%e2%84%a2-3-8-stubby-impact-wrench-tool-only</v>
      </c>
      <c r="C7129" t="s">
        <v>9208</v>
      </c>
      <c r="D7129" t="s">
        <v>9209</v>
      </c>
      <c r="E7129" s="3" t="str">
        <f>HYPERLINK("https://www.amazon.com/Khanka-Storage-Replacement-Milwaukee-2554-20/dp/B09Y1XBLTR/ref=sr_1_3?keywords=Milwaukee+2554-20+M12+FUEL%E2%84%A2+3%2F8%22+Stubby+Impact+Wrench+%28Tool+Only%29&amp;qid=1695174093&amp;sr=8-3", "https://www.amazon.com/Khanka-Storage-Replacement-Milwaukee-2554-20/dp/B09Y1XBLTR/ref=sr_1_3?keywords=Milwaukee+2554-20+M12+FUEL%E2%84%A2+3%2F8%22+Stubby+Impact+Wrench+%28Tool+Only%29&amp;qid=1695174093&amp;sr=8-3")</f>
        <v>https://www.amazon.com/Khanka-Storage-Replacement-Milwaukee-2554-20/dp/B09Y1XBLTR/ref=sr_1_3?keywords=Milwaukee+2554-20+M12+FUEL%E2%84%A2+3%2F8%22+Stubby+Impact+Wrench+%28Tool+Only%29&amp;qid=1695174093&amp;sr=8-3</v>
      </c>
      <c r="F7129" t="s">
        <v>9210</v>
      </c>
      <c r="G7129" t="e">
        <f ca="1">_xludf.IMAGE("https://edmondsonsupply.com/cdn/shop/products/2554-20_1.webp?v=1671646494")</f>
        <v>#NAME?</v>
      </c>
      <c r="H7129" t="e">
        <f ca="1">_xludf.IMAGE("https://m.media-amazon.com/images/I/81IKdaIxH0L._AC_UL320_.jpg")</f>
        <v>#NAME?</v>
      </c>
      <c r="I7129" t="s">
        <v>715</v>
      </c>
      <c r="J7129">
        <v>22.99</v>
      </c>
      <c r="K7129" s="4">
        <v>-0.88449999999999995</v>
      </c>
      <c r="L7129">
        <v>4.8</v>
      </c>
      <c r="M7129">
        <v>96</v>
      </c>
      <c r="O7129" t="s">
        <v>25</v>
      </c>
      <c r="P7129" t="s">
        <v>9211</v>
      </c>
      <c r="Q7129" t="s">
        <v>9212</v>
      </c>
    </row>
    <row r="7130" spans="1:17" ht="15.5" x14ac:dyDescent="0.35">
      <c r="A7130"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7130"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7130" t="s">
        <v>9181</v>
      </c>
      <c r="D7130" t="s">
        <v>9213</v>
      </c>
      <c r="E7130" s="3" t="str">
        <f>HYPERLINK("https://www.amazon.com/48-44-2872-Brushless-Milwaukee-Rotatable-Markings%EF%BC%8C1/dp/B0C1FVXFHM/ref=sr_1_6?keywords=Milwaukee+2872-20+M18%E2%84%A2+Brushless+Threaded+Rod+Cutter+%28Tool+Only%29&amp;qid=1695174132&amp;sr=8-6", "https://www.amazon.com/48-44-2872-Brushless-Milwaukee-Rotatable-Markings%EF%BC%8C1/dp/B0C1FVXFHM/ref=sr_1_6?keywords=Milwaukee+2872-20+M18%E2%84%A2+Brushless+Threaded+Rod+Cutter+%28Tool+Only%29&amp;qid=1695174132&amp;sr=8-6")</f>
        <v>https://www.amazon.com/48-44-2872-Brushless-Milwaukee-Rotatable-Markings%EF%BC%8C1/dp/B0C1FVXFHM/ref=sr_1_6?keywords=Milwaukee+2872-20+M18%E2%84%A2+Brushless+Threaded+Rod+Cutter+%28Tool+Only%29&amp;qid=1695174132&amp;sr=8-6</v>
      </c>
      <c r="F7130" t="s">
        <v>9214</v>
      </c>
      <c r="G7130" t="e">
        <f ca="1">_xludf.IMAGE("https://edmondsonsupply.com/cdn/shop/products/2872-20_2.webp?v=1668024311")</f>
        <v>#NAME?</v>
      </c>
      <c r="H7130" t="e">
        <f ca="1">_xludf.IMAGE("https://m.media-amazon.com/images/I/51KlpQmcnDL._AC_UL320_.jpg")</f>
        <v>#NAME?</v>
      </c>
      <c r="I7130" t="s">
        <v>9184</v>
      </c>
      <c r="J7130">
        <v>37.99</v>
      </c>
      <c r="K7130" s="4">
        <v>-0.89149999999999996</v>
      </c>
      <c r="L7130">
        <v>4.2</v>
      </c>
      <c r="M7130">
        <v>4</v>
      </c>
      <c r="O7130" t="s">
        <v>25</v>
      </c>
      <c r="P7130" t="s">
        <v>9185</v>
      </c>
      <c r="Q7130" t="s">
        <v>9186</v>
      </c>
    </row>
    <row r="7131" spans="1:17" ht="15.5" x14ac:dyDescent="0.35">
      <c r="A7131"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7131"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7131" t="s">
        <v>9181</v>
      </c>
      <c r="D7131" t="s">
        <v>9215</v>
      </c>
      <c r="E7131" s="3" t="str">
        <f>HYPERLINK("https://www.amazon.com/Fortool-48-44-2872-Replacement-Milwaukee-Brushless/dp/B0B15BFYP1/ref=sr_1_2?keywords=Milwaukee+2872-20+M18%E2%84%A2+Brushless+Threaded+Rod+Cutter+%28Tool+Only%29&amp;qid=1695174132&amp;sr=8-2", "https://www.amazon.com/Fortool-48-44-2872-Replacement-Milwaukee-Brushless/dp/B0B15BFYP1/ref=sr_1_2?keywords=Milwaukee+2872-20+M18%E2%84%A2+Brushless+Threaded+Rod+Cutter+%28Tool+Only%29&amp;qid=1695174132&amp;sr=8-2")</f>
        <v>https://www.amazon.com/Fortool-48-44-2872-Replacement-Milwaukee-Brushless/dp/B0B15BFYP1/ref=sr_1_2?keywords=Milwaukee+2872-20+M18%E2%84%A2+Brushless+Threaded+Rod+Cutter+%28Tool+Only%29&amp;qid=1695174132&amp;sr=8-2</v>
      </c>
      <c r="F7131" t="s">
        <v>9216</v>
      </c>
      <c r="G7131" t="e">
        <f ca="1">_xludf.IMAGE("https://edmondsonsupply.com/cdn/shop/products/2872-20_2.webp?v=1668024311")</f>
        <v>#NAME?</v>
      </c>
      <c r="H7131" t="e">
        <f ca="1">_xludf.IMAGE("https://m.media-amazon.com/images/I/81-M-iQ0pSL._AC_UL320_.jpg")</f>
        <v>#NAME?</v>
      </c>
      <c r="I7131" t="s">
        <v>9184</v>
      </c>
      <c r="J7131">
        <v>37.950000000000003</v>
      </c>
      <c r="K7131" s="4">
        <v>-0.89159999999999995</v>
      </c>
      <c r="L7131">
        <v>5</v>
      </c>
      <c r="M7131">
        <v>8</v>
      </c>
      <c r="O7131" t="s">
        <v>25</v>
      </c>
      <c r="P7131" t="s">
        <v>9185</v>
      </c>
      <c r="Q7131" t="s">
        <v>9186</v>
      </c>
    </row>
    <row r="7132" spans="1:17" ht="15.5" x14ac:dyDescent="0.35">
      <c r="A7132"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7132"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7132" t="s">
        <v>9181</v>
      </c>
      <c r="D7132" t="s">
        <v>9217</v>
      </c>
      <c r="E7132" s="3" t="str">
        <f>HYPERLINK("https://www.amazon.com/48-44-2872-Replacement-Milwaukee-Brushless-Rotatable/dp/B0C1BLM5YH/ref=sr_1_1?keywords=Milwaukee+2872-20+M18%E2%84%A2+Brushless+Threaded+Rod+Cutter+%28Tool+Only%29&amp;qid=1695174132&amp;sr=8-1", "https://www.amazon.com/48-44-2872-Replacement-Milwaukee-Brushless-Rotatable/dp/B0C1BLM5YH/ref=sr_1_1?keywords=Milwaukee+2872-20+M18%E2%84%A2+Brushless+Threaded+Rod+Cutter+%28Tool+Only%29&amp;qid=1695174132&amp;sr=8-1")</f>
        <v>https://www.amazon.com/48-44-2872-Replacement-Milwaukee-Brushless-Rotatable/dp/B0C1BLM5YH/ref=sr_1_1?keywords=Milwaukee+2872-20+M18%E2%84%A2+Brushless+Threaded+Rod+Cutter+%28Tool+Only%29&amp;qid=1695174132&amp;sr=8-1</v>
      </c>
      <c r="F7132" t="s">
        <v>9218</v>
      </c>
      <c r="G7132" t="e">
        <f ca="1">_xludf.IMAGE("https://edmondsonsupply.com/cdn/shop/products/2872-20_2.webp?v=1668024311")</f>
        <v>#NAME?</v>
      </c>
      <c r="H7132" t="e">
        <f ca="1">_xludf.IMAGE("https://m.media-amazon.com/images/I/61MNql9nzLL._AC_UL320_.jpg")</f>
        <v>#NAME?</v>
      </c>
      <c r="I7132" t="s">
        <v>9184</v>
      </c>
      <c r="J7132">
        <v>37.19</v>
      </c>
      <c r="K7132" s="4">
        <v>-0.89370000000000005</v>
      </c>
      <c r="L7132">
        <v>1</v>
      </c>
      <c r="M7132">
        <v>1</v>
      </c>
      <c r="O7132" t="s">
        <v>25</v>
      </c>
      <c r="P7132" t="s">
        <v>9185</v>
      </c>
      <c r="Q7132" t="s">
        <v>9186</v>
      </c>
    </row>
    <row r="7133" spans="1:17" ht="15.5" x14ac:dyDescent="0.35">
      <c r="A7133" s="3" t="str">
        <f>HYPERLINK("https://edmondsonsupply.com/collections/electricians-tools/products/milwaukee-2872-20-m18%E2%84%A2-brushless-threaded-rod-cutter-tool-only", "https://edmondsonsupply.com/collections/electricians-tools/products/milwaukee-2872-20-m18%E2%84%A2-brushless-threaded-rod-cutter-tool-only")</f>
        <v>https://edmondsonsupply.com/collections/electricians-tools/products/milwaukee-2872-20-m18%E2%84%A2-brushless-threaded-rod-cutter-tool-only</v>
      </c>
      <c r="B7133" s="3" t="str">
        <f>HYPERLINK("https://edmondsonsupply.com/products/milwaukee-2872-20-m18%e2%84%a2-brushless-threaded-rod-cutter-tool-only", "https://edmondsonsupply.com/products/milwaukee-2872-20-m18%e2%84%a2-brushless-threaded-rod-cutter-tool-only")</f>
        <v>https://edmondsonsupply.com/products/milwaukee-2872-20-m18%e2%84%a2-brushless-threaded-rod-cutter-tool-only</v>
      </c>
      <c r="C7133" t="s">
        <v>9181</v>
      </c>
      <c r="D7133" t="s">
        <v>9219</v>
      </c>
      <c r="E7133" s="3" t="str">
        <f>HYPERLINK("https://www.amazon.com/48-44-2872-Replacement-2872-20-2872-21-XTPTFABS/dp/B0BV6P4JZT/ref=sr_1_8?keywords=Milwaukee+2872-20+M18%E2%84%A2+Brushless+Threaded+Rod+Cutter+%28Tool+Only%29&amp;qid=1695174132&amp;sr=8-8", "https://www.amazon.com/48-44-2872-Replacement-2872-20-2872-21-XTPTFABS/dp/B0BV6P4JZT/ref=sr_1_8?keywords=Milwaukee+2872-20+M18%E2%84%A2+Brushless+Threaded+Rod+Cutter+%28Tool+Only%29&amp;qid=1695174132&amp;sr=8-8")</f>
        <v>https://www.amazon.com/48-44-2872-Replacement-2872-20-2872-21-XTPTFABS/dp/B0BV6P4JZT/ref=sr_1_8?keywords=Milwaukee+2872-20+M18%E2%84%A2+Brushless+Threaded+Rod+Cutter+%28Tool+Only%29&amp;qid=1695174132&amp;sr=8-8</v>
      </c>
      <c r="F7133" t="s">
        <v>9220</v>
      </c>
      <c r="G7133" t="e">
        <f ca="1">_xludf.IMAGE("https://edmondsonsupply.com/cdn/shop/products/2872-20_2.webp?v=1668024311")</f>
        <v>#NAME?</v>
      </c>
      <c r="H7133" t="e">
        <f ca="1">_xludf.IMAGE("https://m.media-amazon.com/images/I/512Dj4yfDVL._AC_UL320_.jpg")</f>
        <v>#NAME?</v>
      </c>
      <c r="I7133" t="s">
        <v>9184</v>
      </c>
      <c r="J7133">
        <v>35.99</v>
      </c>
      <c r="K7133" s="4">
        <v>-0.8972</v>
      </c>
      <c r="L7133">
        <v>3</v>
      </c>
      <c r="M7133">
        <v>4</v>
      </c>
      <c r="O7133" t="s">
        <v>25</v>
      </c>
      <c r="P7133" t="s">
        <v>9185</v>
      </c>
      <c r="Q7133" t="s">
        <v>9186</v>
      </c>
    </row>
    <row r="7134" spans="1:17" ht="15.5" x14ac:dyDescent="0.35">
      <c r="A7134" s="3" t="str">
        <f>HYPERLINK("https://edmondsonsupply.com/collections/electricians-tools/products/milwaukee-0970-20-m18-fuel%E2%84%A2-packout%E2%84%A2-2-5-gallon-wet-dry-vacuum", "https://edmondsonsupply.com/collections/electricians-tools/products/milwaukee-0970-20-m18-fuel%E2%84%A2-packout%E2%84%A2-2-5-gallon-wet-dry-vacuum")</f>
        <v>https://edmondsonsupply.com/collections/electricians-tools/products/milwaukee-0970-20-m18-fuel%E2%84%A2-packout%E2%84%A2-2-5-gallon-wet-dry-vacuum</v>
      </c>
      <c r="B7134" s="3" t="str">
        <f>HYPERLINK("https://edmondsonsupply.com/products/milwaukee-0970-20-m18-fuel%e2%84%a2-packout%e2%84%a2-2-5-gallon-wet-dry-vacuum", "https://edmondsonsupply.com/products/milwaukee-0970-20-m18-fuel%e2%84%a2-packout%e2%84%a2-2-5-gallon-wet-dry-vacuum")</f>
        <v>https://edmondsonsupply.com/products/milwaukee-0970-20-m18-fuel%e2%84%a2-packout%e2%84%a2-2-5-gallon-wet-dry-vacuum</v>
      </c>
      <c r="C7134" t="s">
        <v>4882</v>
      </c>
      <c r="D7134" t="s">
        <v>5727</v>
      </c>
      <c r="E7134" s="3" t="str">
        <f>HYPERLINK("https://www.amazon.com/Aryavos-Replacement-49-90-1900-Compatible-Milwaukee/dp/B0B7M6DM8K/ref=sr_1_4?keywords=Milwaukee+0970-20+M18+FUEL%E2%84%A2+PACKOUT%E2%84%A2+2.5+Gallon+Wet%2FDry+Vacuum&amp;qid=1695173920&amp;sr=8-4", "https://www.amazon.com/Aryavos-Replacement-49-90-1900-Compatible-Milwaukee/dp/B0B7M6DM8K/ref=sr_1_4?keywords=Milwaukee+0970-20+M18+FUEL%E2%84%A2+PACKOUT%E2%84%A2+2.5+Gallon+Wet%2FDry+Vacuum&amp;qid=1695173920&amp;sr=8-4")</f>
        <v>https://www.amazon.com/Aryavos-Replacement-49-90-1900-Compatible-Milwaukee/dp/B0B7M6DM8K/ref=sr_1_4?keywords=Milwaukee+0970-20+M18+FUEL%E2%84%A2+PACKOUT%E2%84%A2+2.5+Gallon+Wet%2FDry+Vacuum&amp;qid=1695173920&amp;sr=8-4</v>
      </c>
      <c r="F7134" t="s">
        <v>5728</v>
      </c>
      <c r="G7134" t="e">
        <f ca="1">_xludf.IMAGE("https://edmondsonsupply.com/cdn/shop/products/0970-20_3webp.webp?v=1668442362")</f>
        <v>#NAME?</v>
      </c>
      <c r="H7134" t="e">
        <f ca="1">_xludf.IMAGE("https://m.media-amazon.com/images/I/61qFe9bSfoL._AC_UL320_.jpg")</f>
        <v>#NAME?</v>
      </c>
      <c r="I7134" t="s">
        <v>715</v>
      </c>
      <c r="J7134">
        <v>18.989999999999998</v>
      </c>
      <c r="K7134" s="4">
        <v>-0.90459999999999996</v>
      </c>
      <c r="L7134">
        <v>4.4000000000000004</v>
      </c>
      <c r="M7134">
        <v>17</v>
      </c>
      <c r="O7134" t="s">
        <v>171</v>
      </c>
      <c r="P7134" t="s">
        <v>4885</v>
      </c>
      <c r="Q7134" t="s">
        <v>4886</v>
      </c>
    </row>
    <row r="7135" spans="1:17" ht="15.5" x14ac:dyDescent="0.35">
      <c r="A7135" s="3" t="str">
        <f>HYPERLINK("https://edmondsonsupply.com/collections/electricians-tools/products/fluke-62-max-handheld-infrared-laser-thermometer", "https://edmondsonsupply.com/collections/electricians-tools/products/fluke-62-max-handheld-infrared-laser-thermometer")</f>
        <v>https://edmondsonsupply.com/collections/electricians-tools/products/fluke-62-max-handheld-infrared-laser-thermometer</v>
      </c>
      <c r="B7135" s="3" t="str">
        <f>HYPERLINK("https://edmondsonsupply.com/products/fluke-62-max-handheld-infrared-laser-thermometer", "https://edmondsonsupply.com/products/fluke-62-max-handheld-infrared-laser-thermometer")</f>
        <v>https://edmondsonsupply.com/products/fluke-62-max-handheld-infrared-laser-thermometer</v>
      </c>
      <c r="C7135" t="s">
        <v>8963</v>
      </c>
      <c r="D7135" t="s">
        <v>5704</v>
      </c>
      <c r="E7135" s="3" t="str">
        <f>HYPERLINK("https://www.amazon.com/Aproca-Storage-Travel-Fluke-Thermometer/dp/B07WMQ8G1Q/ref=sr_1_8?keywords=Fluke+62+MAX+Handheld+Infrared+Laser+Thermometer&amp;qid=1695174240&amp;sr=8-8", "https://www.amazon.com/Aproca-Storage-Travel-Fluke-Thermometer/dp/B07WMQ8G1Q/ref=sr_1_8?keywords=Fluke+62+MAX+Handheld+Infrared+Laser+Thermometer&amp;qid=1695174240&amp;sr=8-8")</f>
        <v>https://www.amazon.com/Aproca-Storage-Travel-Fluke-Thermometer/dp/B07WMQ8G1Q/ref=sr_1_8?keywords=Fluke+62+MAX+Handheld+Infrared+Laser+Thermometer&amp;qid=1695174240&amp;sr=8-8</v>
      </c>
      <c r="F7135" t="s">
        <v>5705</v>
      </c>
      <c r="G7135" t="e">
        <f ca="1">_xludf.IMAGE("https://edmondsonsupply.com/cdn/shop/products/Fluke_62_MAX__back_499x1024px_E_NR-18387.jpg?v=1633031180")</f>
        <v>#NAME?</v>
      </c>
      <c r="H7135" t="e">
        <f ca="1">_xludf.IMAGE("https://m.media-amazon.com/images/I/81nOJJ+KQaL._AC_UY218_.jpg")</f>
        <v>#NAME?</v>
      </c>
      <c r="I7135" t="s">
        <v>483</v>
      </c>
      <c r="J7135">
        <v>16.989999999999998</v>
      </c>
      <c r="K7135" s="4">
        <v>-0.90559999999999996</v>
      </c>
      <c r="L7135">
        <v>4.7</v>
      </c>
      <c r="M7135">
        <v>58</v>
      </c>
      <c r="O7135" t="s">
        <v>25</v>
      </c>
      <c r="P7135" t="s">
        <v>400</v>
      </c>
      <c r="Q7135" t="s">
        <v>8964</v>
      </c>
    </row>
    <row r="7136" spans="1:17" ht="15.5" x14ac:dyDescent="0.35">
      <c r="A7136"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7136" s="3" t="str">
        <f>HYPERLINK("https://edmondsonsupply.com/products/klein-tools-57032-screwdriver-set-torque-6-piece", "https://edmondsonsupply.com/products/klein-tools-57032-screwdriver-set-torque-6-piece")</f>
        <v>https://edmondsonsupply.com/products/klein-tools-57032-screwdriver-set-torque-6-piece</v>
      </c>
      <c r="C7136" t="s">
        <v>8194</v>
      </c>
      <c r="D7136" t="s">
        <v>9221</v>
      </c>
      <c r="E7136" s="3" t="str">
        <f>HYPERLINK("https://www.amazon.com/Screwdriver-Multi-bit-Klein-Tools-80027/dp/B0912BW9HP/ref=sr_1_5?keywords=Klein+Tools+57032+Screwdriver+Set%2C+Torque%2C+6-Piece&amp;qid=1695174073&amp;sr=8-5", "https://www.amazon.com/Screwdriver-Multi-bit-Klein-Tools-80027/dp/B0912BW9HP/ref=sr_1_5?keywords=Klein+Tools+57032+Screwdriver+Set%2C+Torque%2C+6-Piece&amp;qid=1695174073&amp;sr=8-5")</f>
        <v>https://www.amazon.com/Screwdriver-Multi-bit-Klein-Tools-80027/dp/B0912BW9HP/ref=sr_1_5?keywords=Klein+Tools+57032+Screwdriver+Set%2C+Torque%2C+6-Piece&amp;qid=1695174073&amp;sr=8-5</v>
      </c>
      <c r="F7136" t="s">
        <v>9222</v>
      </c>
      <c r="G7136" t="e">
        <f ca="1">_xludf.IMAGE("https://edmondsonsupply.com/cdn/shop/products/57032set.jpg?v=1675348782")</f>
        <v>#NAME?</v>
      </c>
      <c r="H7136" t="e">
        <f ca="1">_xludf.IMAGE("https://m.media-amazon.com/images/I/51-QRUty7rL._AC_UL320_.jpg")</f>
        <v>#NAME?</v>
      </c>
      <c r="I7136" t="s">
        <v>533</v>
      </c>
      <c r="J7136">
        <v>21.99</v>
      </c>
      <c r="K7136" s="4">
        <v>-0.92669999999999997</v>
      </c>
      <c r="L7136">
        <v>4.8</v>
      </c>
      <c r="M7136">
        <v>13277</v>
      </c>
      <c r="O7136" t="s">
        <v>25</v>
      </c>
      <c r="P7136" t="s">
        <v>8197</v>
      </c>
      <c r="Q7136" t="s">
        <v>8198</v>
      </c>
    </row>
    <row r="7137" spans="1:17" ht="15.5" x14ac:dyDescent="0.35">
      <c r="A7137" s="3" t="str">
        <f>HYPERLINK("https://edmondsonsupply.com/collections/electricians-tools/products/fluke-64-max-ir-thermometer", "https://edmondsonsupply.com/collections/electricians-tools/products/fluke-64-max-ir-thermometer")</f>
        <v>https://edmondsonsupply.com/collections/electricians-tools/products/fluke-64-max-ir-thermometer</v>
      </c>
      <c r="B7137" s="3" t="str">
        <f>HYPERLINK("https://edmondsonsupply.com/products/fluke-64-max-ir-thermometer", "https://edmondsonsupply.com/products/fluke-64-max-ir-thermometer")</f>
        <v>https://edmondsonsupply.com/products/fluke-64-max-ir-thermometer</v>
      </c>
      <c r="C7137" t="s">
        <v>8385</v>
      </c>
      <c r="D7137" t="s">
        <v>5706</v>
      </c>
      <c r="E7137" s="3" t="str">
        <f>HYPERLINK("https://www.amazon.com/co2crea-Travel-Infrared-Thermometer-Yellow/dp/B08FHPGX3X/ref=sr_1_3?keywords=Fluke+64+MAX+IR+Thermometer&amp;qid=1695174126&amp;sr=8-3", "https://www.amazon.com/co2crea-Travel-Infrared-Thermometer-Yellow/dp/B08FHPGX3X/ref=sr_1_3?keywords=Fluke+64+MAX+IR+Thermometer&amp;qid=1695174126&amp;sr=8-3")</f>
        <v>https://www.amazon.com/co2crea-Travel-Infrared-Thermometer-Yellow/dp/B08FHPGX3X/ref=sr_1_3?keywords=Fluke+64+MAX+IR+Thermometer&amp;qid=1695174126&amp;sr=8-3</v>
      </c>
      <c r="F7137" t="s">
        <v>5707</v>
      </c>
      <c r="G7137" t="e">
        <f ca="1">_xludf.IMAGE("https://edmondsonsupply.com/cdn/shop/products/fluke_64max_portrait_1500x1000_dcb53742-d539-4285-8994-6293320d293a.webp?v=1668107951")</f>
        <v>#NAME?</v>
      </c>
      <c r="H7137" t="e">
        <f ca="1">_xludf.IMAGE("https://m.media-amazon.com/images/I/819lhKmR58L._AC_UY218_.jpg")</f>
        <v>#NAME?</v>
      </c>
      <c r="I7137" t="s">
        <v>8388</v>
      </c>
      <c r="J7137">
        <v>16.989999999999998</v>
      </c>
      <c r="K7137" s="4">
        <v>-0.93340000000000001</v>
      </c>
      <c r="L7137">
        <v>4.5999999999999996</v>
      </c>
      <c r="M7137">
        <v>519</v>
      </c>
      <c r="O7137" t="s">
        <v>171</v>
      </c>
      <c r="P7137" t="s">
        <v>8389</v>
      </c>
      <c r="Q7137" t="s">
        <v>8390</v>
      </c>
    </row>
    <row r="7138" spans="1:17" ht="15.5" x14ac:dyDescent="0.35">
      <c r="A7138"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7138" s="3" t="str">
        <f>HYPERLINK("https://edmondsonsupply.com/products/klein-tools-57032-screwdriver-set-torque-6-piece", "https://edmondsonsupply.com/products/klein-tools-57032-screwdriver-set-torque-6-piece")</f>
        <v>https://edmondsonsupply.com/products/klein-tools-57032-screwdriver-set-torque-6-piece</v>
      </c>
      <c r="C7138" t="s">
        <v>8194</v>
      </c>
      <c r="D7138" t="s">
        <v>4698</v>
      </c>
      <c r="E7138" s="3" t="str">
        <f>HYPERLINK("https://www.amazon.com/Klein-Tools-85615-Screwdriver-Electronics/dp/B0C1QBJGVD/ref=sr_1_3?keywords=Klein+Tools+57032+Screwdriver+Set%2C+Torque%2C+6-Piece&amp;qid=1695174073&amp;sr=8-3", "https://www.amazon.com/Klein-Tools-85615-Screwdriver-Electronics/dp/B0C1QBJGVD/ref=sr_1_3?keywords=Klein+Tools+57032+Screwdriver+Set%2C+Torque%2C+6-Piece&amp;qid=1695174073&amp;sr=8-3")</f>
        <v>https://www.amazon.com/Klein-Tools-85615-Screwdriver-Electronics/dp/B0C1QBJGVD/ref=sr_1_3?keywords=Klein+Tools+57032+Screwdriver+Set%2C+Torque%2C+6-Piece&amp;qid=1695174073&amp;sr=8-3</v>
      </c>
      <c r="F7138" t="s">
        <v>4699</v>
      </c>
      <c r="G7138" t="e">
        <f ca="1">_xludf.IMAGE("https://edmondsonsupply.com/cdn/shop/products/57032set.jpg?v=1675348782")</f>
        <v>#NAME?</v>
      </c>
      <c r="H7138" t="e">
        <f ca="1">_xludf.IMAGE("https://m.media-amazon.com/images/I/51YOOIPbR9L._AC_UL320_.jpg")</f>
        <v>#NAME?</v>
      </c>
      <c r="I7138" t="s">
        <v>533</v>
      </c>
      <c r="J7138">
        <v>19.97</v>
      </c>
      <c r="K7138" s="4">
        <v>-0.93340000000000001</v>
      </c>
      <c r="L7138">
        <v>4.5999999999999996</v>
      </c>
      <c r="M7138">
        <v>13</v>
      </c>
      <c r="O7138" t="s">
        <v>25</v>
      </c>
      <c r="P7138" t="s">
        <v>8197</v>
      </c>
      <c r="Q7138" t="s">
        <v>8198</v>
      </c>
    </row>
    <row r="7139" spans="1:17" ht="15.5" x14ac:dyDescent="0.35">
      <c r="A7139" s="3" t="str">
        <f>HYPERLINK("https://edmondsonsupply.com/collections/electricians-tools/products/fluke-971-temperature-humidity-meter", "https://edmondsonsupply.com/collections/electricians-tools/products/fluke-971-temperature-humidity-meter")</f>
        <v>https://edmondsonsupply.com/collections/electricians-tools/products/fluke-971-temperature-humidity-meter</v>
      </c>
      <c r="B7139" s="3" t="str">
        <f>HYPERLINK("https://edmondsonsupply.com/products/fluke-971-temperature-humidity-meter", "https://edmondsonsupply.com/products/fluke-971-temperature-humidity-meter")</f>
        <v>https://edmondsonsupply.com/products/fluke-971-temperature-humidity-meter</v>
      </c>
      <c r="C7139" t="s">
        <v>8949</v>
      </c>
      <c r="D7139" t="s">
        <v>9223</v>
      </c>
      <c r="E7139" s="3" t="str">
        <f>HYPERLINK("https://www.amazon.com/Co2Crea-Travel-Fluke-Temperature-Humidity/dp/B07PWK6C9S/ref=sr_1_2?keywords=Fluke+971+Temperature+Humidity+Meter&amp;qid=1695174288&amp;sr=8-2", "https://www.amazon.com/Co2Crea-Travel-Fluke-Temperature-Humidity/dp/B07PWK6C9S/ref=sr_1_2?keywords=Fluke+971+Temperature+Humidity+Meter&amp;qid=1695174288&amp;sr=8-2")</f>
        <v>https://www.amazon.com/Co2Crea-Travel-Fluke-Temperature-Humidity/dp/B07PWK6C9S/ref=sr_1_2?keywords=Fluke+971+Temperature+Humidity+Meter&amp;qid=1695174288&amp;sr=8-2</v>
      </c>
      <c r="F7139" t="s">
        <v>9224</v>
      </c>
      <c r="G7139" t="e">
        <f ca="1">_xludf.IMAGE("https://edmondsonsupply.com/cdn/shop/products/971_72dpi_495x1024px_E_NR-9830.jpg?v=1633030933")</f>
        <v>#NAME?</v>
      </c>
      <c r="H7139" t="e">
        <f ca="1">_xludf.IMAGE("https://m.media-amazon.com/images/I/71r9OtdekbL._AC_UY218_.jpg")</f>
        <v>#NAME?</v>
      </c>
      <c r="I7139" t="s">
        <v>8951</v>
      </c>
      <c r="J7139">
        <v>26.99</v>
      </c>
      <c r="K7139" s="4">
        <v>-0.93720000000000003</v>
      </c>
      <c r="L7139">
        <v>4.7</v>
      </c>
      <c r="M7139">
        <v>58</v>
      </c>
      <c r="O7139" t="s">
        <v>25</v>
      </c>
      <c r="P7139" t="s">
        <v>8952</v>
      </c>
      <c r="Q7139" t="s">
        <v>8953</v>
      </c>
    </row>
    <row r="7140" spans="1:17" ht="15.5" x14ac:dyDescent="0.35">
      <c r="A7140" s="3" t="str">
        <f>HYPERLINK("https://edmondsonsupply.com/collections/electricians-tools/products/milwaukee-2746-20-m18-fuel%E2%84%A2-18-gauge-brad-nailer-tool-only", "https://edmondsonsupply.com/collections/electricians-tools/products/milwaukee-2746-20-m18-fuel%E2%84%A2-18-gauge-brad-nailer-tool-only")</f>
        <v>https://edmondsonsupply.com/collections/electricians-tools/products/milwaukee-2746-20-m18-fuel%E2%84%A2-18-gauge-brad-nailer-tool-only</v>
      </c>
      <c r="B7140" s="3" t="str">
        <f>HYPERLINK("https://edmondsonsupply.com/products/milwaukee-2746-20-m18-fuel%e2%84%a2-18-gauge-brad-nailer-tool-only", "https://edmondsonsupply.com/products/milwaukee-2746-20-m18-fuel%e2%84%a2-18-gauge-brad-nailer-tool-only")</f>
        <v>https://edmondsonsupply.com/products/milwaukee-2746-20-m18-fuel%e2%84%a2-18-gauge-brad-nailer-tool-only</v>
      </c>
      <c r="C7140" t="s">
        <v>8439</v>
      </c>
      <c r="D7140" t="s">
        <v>9225</v>
      </c>
      <c r="E7140" s="3" t="str">
        <f>HYPERLINK("https://www.amazon.com/42-38-0017-Milwaukee-2746-20-Nailer-Kit%EF%BC%884pack%EF%BC%89/dp/B0C9R2W6VB/ref=sr_1_5?keywords=Milwaukee+2746-20+M18+FUEL%E2%84%A2+18+Gauge+Brad+Nailer+%28TOOL+ONLY%29&amp;qid=1695174088&amp;sr=8-5", "https://www.amazon.com/42-38-0017-Milwaukee-2746-20-Nailer-Kit%EF%BC%884pack%EF%BC%89/dp/B0C9R2W6VB/ref=sr_1_5?keywords=Milwaukee+2746-20+M18+FUEL%E2%84%A2+18+Gauge+Brad+Nailer+%28TOOL+ONLY%29&amp;qid=1695174088&amp;sr=8-5")</f>
        <v>https://www.amazon.com/42-38-0017-Milwaukee-2746-20-Nailer-Kit%EF%BC%884pack%EF%BC%89/dp/B0C9R2W6VB/ref=sr_1_5?keywords=Milwaukee+2746-20+M18+FUEL%E2%84%A2+18+Gauge+Brad+Nailer+%28TOOL+ONLY%29&amp;qid=1695174088&amp;sr=8-5</v>
      </c>
      <c r="F7140" t="s">
        <v>9226</v>
      </c>
      <c r="G7140" t="e">
        <f ca="1">_xludf.IMAGE("https://edmondsonsupply.com/cdn/shop/products/2746-20_1.png?v=1672864388")</f>
        <v>#NAME?</v>
      </c>
      <c r="H7140" t="e">
        <f ca="1">_xludf.IMAGE("https://m.media-amazon.com/images/I/61IIHif55dL._AC_UL320_.jpg")</f>
        <v>#NAME?</v>
      </c>
      <c r="I7140" t="s">
        <v>5012</v>
      </c>
      <c r="J7140">
        <v>15.99</v>
      </c>
      <c r="K7140" s="4">
        <v>-0.94650000000000001</v>
      </c>
      <c r="L7140">
        <v>2.2000000000000002</v>
      </c>
      <c r="M7140">
        <v>4</v>
      </c>
      <c r="O7140" t="s">
        <v>25</v>
      </c>
      <c r="P7140" t="s">
        <v>8442</v>
      </c>
      <c r="Q7140" t="s">
        <v>8443</v>
      </c>
    </row>
    <row r="7141" spans="1:17" ht="15.5" x14ac:dyDescent="0.35">
      <c r="A7141" s="3" t="str">
        <f>HYPERLINK("https://edmondsonsupply.com/collections/electricians-tools/products/fluke-64-max-ir-thermometer", "https://edmondsonsupply.com/collections/electricians-tools/products/fluke-64-max-ir-thermometer")</f>
        <v>https://edmondsonsupply.com/collections/electricians-tools/products/fluke-64-max-ir-thermometer</v>
      </c>
      <c r="B7141" s="3" t="str">
        <f>HYPERLINK("https://edmondsonsupply.com/products/fluke-64-max-ir-thermometer", "https://edmondsonsupply.com/products/fluke-64-max-ir-thermometer")</f>
        <v>https://edmondsonsupply.com/products/fluke-64-max-ir-thermometer</v>
      </c>
      <c r="C7141" t="s">
        <v>8385</v>
      </c>
      <c r="D7141" t="s">
        <v>9227</v>
      </c>
      <c r="E7141" s="3" t="str">
        <f>HYPERLINK("https://www.amazon.com/KingSung-Infrared-Thermometer-ThermoPro-Drop-Resistant/dp/B0BJ1M2PB5/ref=sr_1_4?keywords=Fluke+64+MAX+IR+Thermometer&amp;qid=1695174126&amp;sr=8-4", "https://www.amazon.com/KingSung-Infrared-Thermometer-ThermoPro-Drop-Resistant/dp/B0BJ1M2PB5/ref=sr_1_4?keywords=Fluke+64+MAX+IR+Thermometer&amp;qid=1695174126&amp;sr=8-4")</f>
        <v>https://www.amazon.com/KingSung-Infrared-Thermometer-ThermoPro-Drop-Resistant/dp/B0BJ1M2PB5/ref=sr_1_4?keywords=Fluke+64+MAX+IR+Thermometer&amp;qid=1695174126&amp;sr=8-4</v>
      </c>
      <c r="F7141" t="s">
        <v>9228</v>
      </c>
      <c r="G7141" t="e">
        <f ca="1">_xludf.IMAGE("https://edmondsonsupply.com/cdn/shop/products/fluke_64max_portrait_1500x1000_dcb53742-d539-4285-8994-6293320d293a.webp?v=1668107951")</f>
        <v>#NAME?</v>
      </c>
      <c r="H7141" t="e">
        <f ca="1">_xludf.IMAGE("https://m.media-amazon.com/images/I/81SowGSP+eL._AC_UY218_.jpg")</f>
        <v>#NAME?</v>
      </c>
      <c r="I7141" t="s">
        <v>8388</v>
      </c>
      <c r="J7141">
        <v>11.99</v>
      </c>
      <c r="K7141" s="4">
        <v>-0.95299999999999996</v>
      </c>
      <c r="L7141">
        <v>4.7</v>
      </c>
      <c r="M7141">
        <v>15</v>
      </c>
      <c r="O7141" t="s">
        <v>171</v>
      </c>
      <c r="P7141" t="s">
        <v>8389</v>
      </c>
      <c r="Q7141" t="s">
        <v>8390</v>
      </c>
    </row>
    <row r="7142" spans="1:17" ht="15.5" x14ac:dyDescent="0.35">
      <c r="A7142" s="3" t="str">
        <f>HYPERLINK("https://edmondsonsupply.com/collections/electricians-tools/products/fluke-64-max-ir-thermometer", "https://edmondsonsupply.com/collections/electricians-tools/products/fluke-64-max-ir-thermometer")</f>
        <v>https://edmondsonsupply.com/collections/electricians-tools/products/fluke-64-max-ir-thermometer</v>
      </c>
      <c r="B7142" s="3" t="str">
        <f>HYPERLINK("https://edmondsonsupply.com/products/fluke-64-max-ir-thermometer", "https://edmondsonsupply.com/products/fluke-64-max-ir-thermometer")</f>
        <v>https://edmondsonsupply.com/products/fluke-64-max-ir-thermometer</v>
      </c>
      <c r="C7142" t="s">
        <v>8385</v>
      </c>
      <c r="D7142" t="s">
        <v>9229</v>
      </c>
      <c r="E7142" s="3" t="str">
        <f>HYPERLINK("https://www.amazon.com/LTGEM-Case-Fluke-Infrared-Thermometer-Black/dp/B06XX5Z4K1/ref=sr_1_5?keywords=Fluke+64+MAX+IR+Thermometer&amp;qid=1695174126&amp;sr=8-5", "https://www.amazon.com/LTGEM-Case-Fluke-Infrared-Thermometer-Black/dp/B06XX5Z4K1/ref=sr_1_5?keywords=Fluke+64+MAX+IR+Thermometer&amp;qid=1695174126&amp;sr=8-5")</f>
        <v>https://www.amazon.com/LTGEM-Case-Fluke-Infrared-Thermometer-Black/dp/B06XX5Z4K1/ref=sr_1_5?keywords=Fluke+64+MAX+IR+Thermometer&amp;qid=1695174126&amp;sr=8-5</v>
      </c>
      <c r="F7142" t="s">
        <v>9230</v>
      </c>
      <c r="G7142" t="e">
        <f ca="1">_xludf.IMAGE("https://edmondsonsupply.com/cdn/shop/products/fluke_64max_portrait_1500x1000_dcb53742-d539-4285-8994-6293320d293a.webp?v=1668107951")</f>
        <v>#NAME?</v>
      </c>
      <c r="H7142" t="e">
        <f ca="1">_xludf.IMAGE("https://m.media-amazon.com/images/I/81zfVObJ5ZL._AC_UY218_.jpg")</f>
        <v>#NAME?</v>
      </c>
      <c r="I7142" t="s">
        <v>8388</v>
      </c>
      <c r="J7142">
        <v>11.99</v>
      </c>
      <c r="K7142" s="4">
        <v>-0.95299999999999996</v>
      </c>
      <c r="L7142">
        <v>4.5999999999999996</v>
      </c>
      <c r="M7142">
        <v>379</v>
      </c>
      <c r="O7142" t="s">
        <v>171</v>
      </c>
      <c r="P7142" t="s">
        <v>8389</v>
      </c>
      <c r="Q7142" t="s">
        <v>8390</v>
      </c>
    </row>
    <row r="7143" spans="1:17" ht="15.5" x14ac:dyDescent="0.35">
      <c r="A7143" s="3" t="str">
        <f>HYPERLINK("https://edmondsonsupply.com/collections/electricians-tools/products/klein-tools-57032-screwdriver-set-torque-6-piece", "https://edmondsonsupply.com/collections/electricians-tools/products/klein-tools-57032-screwdriver-set-torque-6-piece")</f>
        <v>https://edmondsonsupply.com/collections/electricians-tools/products/klein-tools-57032-screwdriver-set-torque-6-piece</v>
      </c>
      <c r="B7143" s="3" t="str">
        <f>HYPERLINK("https://edmondsonsupply.com/products/klein-tools-57032-screwdriver-set-torque-6-piece", "https://edmondsonsupply.com/products/klein-tools-57032-screwdriver-set-torque-6-piece")</f>
        <v>https://edmondsonsupply.com/products/klein-tools-57032-screwdriver-set-torque-6-piece</v>
      </c>
      <c r="C7143" t="s">
        <v>8194</v>
      </c>
      <c r="D7143" t="s">
        <v>9231</v>
      </c>
      <c r="E7143" s="3" t="str">
        <f>HYPERLINK("https://www.amazon.com/Screwdriver-Cushion-Grip-Klein-Tools-85742/dp/B0917X34P6/ref=sr_1_6?keywords=Klein+Tools+57032+Screwdriver+Set%2C+Torque%2C+6-Piece&amp;qid=1695174073&amp;sr=8-6", "https://www.amazon.com/Screwdriver-Cushion-Grip-Klein-Tools-85742/dp/B0917X34P6/ref=sr_1_6?keywords=Klein+Tools+57032+Screwdriver+Set%2C+Torque%2C+6-Piece&amp;qid=1695174073&amp;sr=8-6")</f>
        <v>https://www.amazon.com/Screwdriver-Cushion-Grip-Klein-Tools-85742/dp/B0917X34P6/ref=sr_1_6?keywords=Klein+Tools+57032+Screwdriver+Set%2C+Torque%2C+6-Piece&amp;qid=1695174073&amp;sr=8-6</v>
      </c>
      <c r="F7143" t="s">
        <v>9232</v>
      </c>
      <c r="G7143" t="e">
        <f ca="1">_xludf.IMAGE("https://edmondsonsupply.com/cdn/shop/products/57032set.jpg?v=1675348782")</f>
        <v>#NAME?</v>
      </c>
      <c r="H7143" t="e">
        <f ca="1">_xludf.IMAGE("https://m.media-amazon.com/images/I/51oASlfAJbS._AC_UL320_.jpg")</f>
        <v>#NAME?</v>
      </c>
      <c r="I7143" t="s">
        <v>533</v>
      </c>
      <c r="J7143">
        <v>13.19</v>
      </c>
      <c r="K7143" s="4">
        <v>-0.95599999999999996</v>
      </c>
      <c r="L7143">
        <v>4.7</v>
      </c>
      <c r="M7143">
        <v>91</v>
      </c>
      <c r="O7143" t="s">
        <v>25</v>
      </c>
      <c r="P7143" t="s">
        <v>8197</v>
      </c>
      <c r="Q7143" t="s">
        <v>8198</v>
      </c>
    </row>
    <row r="7144" spans="1:17" ht="15.5" x14ac:dyDescent="0.35">
      <c r="A7144" s="3" t="str">
        <f>HYPERLINK("https://edmondsonsupply.com/collections/electricians-tools/products/milwaukee-2746-21ct-m18-fuel%E2%84%A2-18-gauge-brad-nailer-kit", "https://edmondsonsupply.com/collections/electricians-tools/products/milwaukee-2746-21ct-m18-fuel%E2%84%A2-18-gauge-brad-nailer-kit")</f>
        <v>https://edmondsonsupply.com/collections/electricians-tools/products/milwaukee-2746-21ct-m18-fuel%E2%84%A2-18-gauge-brad-nailer-kit</v>
      </c>
      <c r="B7144" s="3" t="str">
        <f>HYPERLINK("https://edmondsonsupply.com/products/milwaukee-2746-21ct-m18-fuel%e2%84%a2-18-gauge-brad-nailer-kit", "https://edmondsonsupply.com/products/milwaukee-2746-21ct-m18-fuel%e2%84%a2-18-gauge-brad-nailer-kit")</f>
        <v>https://edmondsonsupply.com/products/milwaukee-2746-21ct-m18-fuel%e2%84%a2-18-gauge-brad-nailer-kit</v>
      </c>
      <c r="C7144" t="s">
        <v>8910</v>
      </c>
      <c r="D7144" t="s">
        <v>9225</v>
      </c>
      <c r="E7144" s="3" t="str">
        <f>HYPERLINK("https://www.amazon.com/42-38-0017-Milwaukee-2746-20-Nailer-Kit%EF%BC%884pack%EF%BC%89/dp/B0C9R2W6VB/ref=sr_1_3?keywords=Milwaukee+2746-21CT+M18+FUEL%E2%84%A2+18+Gauge+Brad+Nailer+Kit&amp;qid=1695174106&amp;sr=8-3", "https://www.amazon.com/42-38-0017-Milwaukee-2746-20-Nailer-Kit%EF%BC%884pack%EF%BC%89/dp/B0C9R2W6VB/ref=sr_1_3?keywords=Milwaukee+2746-21CT+M18+FUEL%E2%84%A2+18+Gauge+Brad+Nailer+Kit&amp;qid=1695174106&amp;sr=8-3")</f>
        <v>https://www.amazon.com/42-38-0017-Milwaukee-2746-20-Nailer-Kit%EF%BC%884pack%EF%BC%89/dp/B0C9R2W6VB/ref=sr_1_3?keywords=Milwaukee+2746-21CT+M18+FUEL%E2%84%A2+18+Gauge+Brad+Nailer+Kit&amp;qid=1695174106&amp;sr=8-3</v>
      </c>
      <c r="F7144" t="s">
        <v>9226</v>
      </c>
      <c r="G7144" t="e">
        <f ca="1">_xludf.IMAGE("https://edmondsonsupply.com/cdn/shop/products/2746-21CT_KIT.webp?v=1671649531")</f>
        <v>#NAME?</v>
      </c>
      <c r="H7144" t="e">
        <f ca="1">_xludf.IMAGE("https://m.media-amazon.com/images/I/61IIHif55dL._AC_UL320_.jpg")</f>
        <v>#NAME?</v>
      </c>
      <c r="I7144" t="s">
        <v>4208</v>
      </c>
      <c r="J7144">
        <v>15.99</v>
      </c>
      <c r="K7144" s="4">
        <v>-0.95989999999999998</v>
      </c>
      <c r="L7144">
        <v>2.2000000000000002</v>
      </c>
      <c r="M7144">
        <v>4</v>
      </c>
      <c r="O7144" t="s">
        <v>25</v>
      </c>
      <c r="P7144" t="s">
        <v>8911</v>
      </c>
      <c r="Q7144" t="s">
        <v>8912</v>
      </c>
    </row>
    <row r="7145" spans="1:17" ht="15.5" x14ac:dyDescent="0.35">
      <c r="A7145" s="3" t="str">
        <f>HYPERLINK("https://edmondsonsupply.com/collections/electricians-tools/products/fluke-325-true-rms-clamp-meter", "https://edmondsonsupply.com/collections/electricians-tools/products/fluke-325-true-rms-clamp-meter")</f>
        <v>https://edmondsonsupply.com/collections/electricians-tools/products/fluke-325-true-rms-clamp-meter</v>
      </c>
      <c r="B7145" s="3" t="str">
        <f>HYPERLINK("https://edmondsonsupply.com/products/fluke-325-true-rms-clamp-meter", "https://edmondsonsupply.com/products/fluke-325-true-rms-clamp-meter")</f>
        <v>https://edmondsonsupply.com/products/fluke-325-true-rms-clamp-meter</v>
      </c>
      <c r="C7145" t="s">
        <v>7585</v>
      </c>
      <c r="D7145" t="s">
        <v>9233</v>
      </c>
      <c r="E7145" s="3" t="str">
        <f>HYPERLINK("https://www.amazon.com/TUDIA-Carrying-Storage-Replacement-Compatible/dp/B08G59FC1C/ref=sr_1_2?keywords=Fluke+325+True+RMS+Clamp+Meter&amp;qid=1695174241&amp;sr=8-2", "https://www.amazon.com/TUDIA-Carrying-Storage-Replacement-Compatible/dp/B08G59FC1C/ref=sr_1_2?keywords=Fluke+325+True+RMS+Clamp+Meter&amp;qid=1695174241&amp;sr=8-2")</f>
        <v>https://www.amazon.com/TUDIA-Carrying-Storage-Replacement-Compatible/dp/B08G59FC1C/ref=sr_1_2?keywords=Fluke+325+True+RMS+Clamp+Meter&amp;qid=1695174241&amp;sr=8-2</v>
      </c>
      <c r="F7145" t="s">
        <v>9234</v>
      </c>
      <c r="G7145" t="e">
        <f ca="1">_xludf.IMAGE("https://edmondsonsupply.com/cdn/shop/products/Fluke_325_clamp_meter_1280x873px_E_NR-14655.jpg?v=1688679209")</f>
        <v>#NAME?</v>
      </c>
      <c r="H7145" t="e">
        <f ca="1">_xludf.IMAGE("https://m.media-amazon.com/images/I/714TcsWZCxL._AC_UY218_.jpg")</f>
        <v>#NAME?</v>
      </c>
      <c r="I7145" t="s">
        <v>7586</v>
      </c>
      <c r="J7145">
        <v>12.99</v>
      </c>
      <c r="K7145" s="4">
        <v>-0.96519999999999995</v>
      </c>
      <c r="L7145">
        <v>4.3</v>
      </c>
      <c r="M7145">
        <v>9</v>
      </c>
      <c r="O7145" t="s">
        <v>25</v>
      </c>
      <c r="P7145" t="s">
        <v>4069</v>
      </c>
      <c r="Q7145" t="s">
        <v>7587</v>
      </c>
    </row>
    <row r="7146" spans="1:17" ht="15.5" x14ac:dyDescent="0.35">
      <c r="A7146" s="3" t="str">
        <f>HYPERLINK("https://edmondsonsupply.com/collections/electricians-tools/products/klein-tools-ti290-rechargeable-pro-thermal-imager", "https://edmondsonsupply.com/collections/electricians-tools/products/klein-tools-ti290-rechargeable-pro-thermal-imager")</f>
        <v>https://edmondsonsupply.com/collections/electricians-tools/products/klein-tools-ti290-rechargeable-pro-thermal-imager</v>
      </c>
      <c r="B7146" s="3" t="str">
        <f>HYPERLINK("https://edmondsonsupply.com/products/klein-tools-ti290-rechargeable-pro-thermal-imager", "https://edmondsonsupply.com/products/klein-tools-ti290-rechargeable-pro-thermal-imager")</f>
        <v>https://edmondsonsupply.com/products/klein-tools-ti290-rechargeable-pro-thermal-imager</v>
      </c>
      <c r="C7146" t="s">
        <v>8222</v>
      </c>
      <c r="D7146" t="s">
        <v>9235</v>
      </c>
      <c r="E7146" s="3" t="str">
        <f>HYPERLINK("https://www.amazon.com/USA-Neoprene-Thermal-Imager-Carrying/dp/B09P1WGCJG/ref=sr_1_7?keywords=Klein+Tools+TI290+Rechargeable+Pro+Thermal+Imager&amp;qid=1695174066&amp;sr=8-7", "https://www.amazon.com/USA-Neoprene-Thermal-Imager-Carrying/dp/B09P1WGCJG/ref=sr_1_7?keywords=Klein+Tools+TI290+Rechargeable+Pro+Thermal+Imager&amp;qid=1695174066&amp;sr=8-7")</f>
        <v>https://www.amazon.com/USA-Neoprene-Thermal-Imager-Carrying/dp/B09P1WGCJG/ref=sr_1_7?keywords=Klein+Tools+TI290+Rechargeable+Pro+Thermal+Imager&amp;qid=1695174066&amp;sr=8-7</v>
      </c>
      <c r="F7146" t="s">
        <v>9236</v>
      </c>
      <c r="G7146" t="e">
        <f ca="1">_xludf.IMAGE("https://edmondsonsupply.com/cdn/shop/products/ti290_family.jpg?v=1677681932")</f>
        <v>#NAME?</v>
      </c>
      <c r="H7146" t="e">
        <f ca="1">_xludf.IMAGE("https://m.media-amazon.com/images/I/71oo0hC6x+L._AC_UY218_.jpg")</f>
        <v>#NAME?</v>
      </c>
      <c r="I7146" t="s">
        <v>8225</v>
      </c>
      <c r="J7146">
        <v>12.99</v>
      </c>
      <c r="K7146" s="4">
        <v>-0.97399999999999998</v>
      </c>
      <c r="L7146">
        <v>3</v>
      </c>
      <c r="M7146">
        <v>1</v>
      </c>
      <c r="O7146" t="s">
        <v>25</v>
      </c>
      <c r="P7146" t="s">
        <v>8226</v>
      </c>
      <c r="Q7146" t="s">
        <v>8227</v>
      </c>
    </row>
    <row r="7147" spans="1:17" ht="15.5" x14ac:dyDescent="0.35">
      <c r="A7147" s="3" t="str">
        <f>HYPERLINK("https://edmondsonsupply.com/collections/electricians-tools/products/fluke-1587-fc-insulation-multimeter", "https://edmondsonsupply.com/collections/electricians-tools/products/fluke-1587-fc-insulation-multimeter")</f>
        <v>https://edmondsonsupply.com/collections/electricians-tools/products/fluke-1587-fc-insulation-multimeter</v>
      </c>
      <c r="B7147" s="3" t="str">
        <f>HYPERLINK("https://edmondsonsupply.com/products/fluke-1587-fc-insulation-multimeter", "https://edmondsonsupply.com/products/fluke-1587-fc-insulation-multimeter")</f>
        <v>https://edmondsonsupply.com/products/fluke-1587-fc-insulation-multimeter</v>
      </c>
      <c r="C7147" t="s">
        <v>4074</v>
      </c>
      <c r="D7147" t="s">
        <v>5739</v>
      </c>
      <c r="E7147" s="3" t="str">
        <f>HYPERLINK("https://www.amazon.com/RLSOCO-Multimeter-Megohmmeter-Insulation-Resistance/dp/B086MC4V89/ref=sr_1_6?keywords=Fluke+1587+FC+Insulation+Multimeter&amp;qid=1695173858&amp;sr=8-6", "https://www.amazon.com/RLSOCO-Multimeter-Megohmmeter-Insulation-Resistance/dp/B086MC4V89/ref=sr_1_6?keywords=Fluke+1587+FC+Insulation+Multimeter&amp;qid=1695173858&amp;sr=8-6")</f>
        <v>https://www.amazon.com/RLSOCO-Multimeter-Megohmmeter-Insulation-Resistance/dp/B086MC4V89/ref=sr_1_6?keywords=Fluke+1587+FC+Insulation+Multimeter&amp;qid=1695173858&amp;sr=8-6</v>
      </c>
      <c r="F7147" t="s">
        <v>5740</v>
      </c>
      <c r="G7147" t="e">
        <f ca="1">_xludf.IMAGE("https://edmondsonsupply.com/cdn/shop/products/Fluke_1587_FC_True-rms_Insulation_Multimeter__1280x1006px_E_NR-20298.jpg?v=1633031188")</f>
        <v>#NAME?</v>
      </c>
      <c r="H7147" t="e">
        <f ca="1">_xludf.IMAGE("https://m.media-amazon.com/images/I/81t3qhimpSL._AC_UL320_.jpg")</f>
        <v>#NAME?</v>
      </c>
      <c r="I7147" t="s">
        <v>4077</v>
      </c>
      <c r="J7147">
        <v>23.99</v>
      </c>
      <c r="K7147" s="4">
        <v>-0.97419999999999995</v>
      </c>
      <c r="L7147">
        <v>4.4000000000000004</v>
      </c>
      <c r="M7147">
        <v>70</v>
      </c>
      <c r="O7147" t="s">
        <v>25</v>
      </c>
      <c r="P7147" t="s">
        <v>4078</v>
      </c>
      <c r="Q7147" t="s">
        <v>4079</v>
      </c>
    </row>
    <row r="7148" spans="1:17" ht="15.5" x14ac:dyDescent="0.35">
      <c r="A7148" s="3" t="str">
        <f>HYPERLINK("https://edmondsonsupply.com/collections/electricians-tools/products/milwaukee-2746-21ct-m18-fuel%E2%84%A2-18-gauge-brad-nailer-kit", "https://edmondsonsupply.com/collections/electricians-tools/products/milwaukee-2746-21ct-m18-fuel%E2%84%A2-18-gauge-brad-nailer-kit")</f>
        <v>https://edmondsonsupply.com/collections/electricians-tools/products/milwaukee-2746-21ct-m18-fuel%E2%84%A2-18-gauge-brad-nailer-kit</v>
      </c>
      <c r="B7148" s="3" t="str">
        <f>HYPERLINK("https://edmondsonsupply.com/products/milwaukee-2746-21ct-m18-fuel%e2%84%a2-18-gauge-brad-nailer-kit", "https://edmondsonsupply.com/products/milwaukee-2746-21ct-m18-fuel%e2%84%a2-18-gauge-brad-nailer-kit")</f>
        <v>https://edmondsonsupply.com/products/milwaukee-2746-21ct-m18-fuel%e2%84%a2-18-gauge-brad-nailer-kit</v>
      </c>
      <c r="C7148" t="s">
        <v>8910</v>
      </c>
      <c r="D7148" t="s">
        <v>9237</v>
      </c>
      <c r="E7148" s="3" t="str">
        <f>HYPERLINK("https://www.amazon.com/Follde-42-38-0017-Milwaukee-2746-20-Nailers/dp/B0BYFTJMYT/ref=sr_1_5?keywords=Milwaukee+2746-21CT+M18+FUEL%E2%84%A2+18+Gauge+Brad+Nailer+Kit&amp;qid=1695174106&amp;sr=8-5", "https://www.amazon.com/Follde-42-38-0017-Milwaukee-2746-20-Nailers/dp/B0BYFTJMYT/ref=sr_1_5?keywords=Milwaukee+2746-21CT+M18+FUEL%E2%84%A2+18+Gauge+Brad+Nailer+Kit&amp;qid=1695174106&amp;sr=8-5")</f>
        <v>https://www.amazon.com/Follde-42-38-0017-Milwaukee-2746-20-Nailers/dp/B0BYFTJMYT/ref=sr_1_5?keywords=Milwaukee+2746-21CT+M18+FUEL%E2%84%A2+18+Gauge+Brad+Nailer+Kit&amp;qid=1695174106&amp;sr=8-5</v>
      </c>
      <c r="F7148" t="s">
        <v>9238</v>
      </c>
      <c r="G7148" t="e">
        <f ca="1">_xludf.IMAGE("https://edmondsonsupply.com/cdn/shop/products/2746-21CT_KIT.webp?v=1671649531")</f>
        <v>#NAME?</v>
      </c>
      <c r="H7148" t="e">
        <f ca="1">_xludf.IMAGE("https://m.media-amazon.com/images/I/51t1hcWDSQL._AC_UL320_.jpg")</f>
        <v>#NAME?</v>
      </c>
      <c r="I7148" t="s">
        <v>4208</v>
      </c>
      <c r="J7148">
        <v>8.2899999999999991</v>
      </c>
      <c r="K7148" s="4">
        <v>-0.97919999999999996</v>
      </c>
      <c r="L7148">
        <v>2.7</v>
      </c>
      <c r="M7148">
        <v>14</v>
      </c>
      <c r="O7148" t="s">
        <v>25</v>
      </c>
      <c r="P7148" t="s">
        <v>8911</v>
      </c>
      <c r="Q7148" t="s">
        <v>8912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cp:lastModifiedBy>
  <dcterms:created xsi:type="dcterms:W3CDTF">2023-09-20T01:24:25Z</dcterms:created>
  <dcterms:modified xsi:type="dcterms:W3CDTF">2023-09-21T00:24:57Z</dcterms:modified>
</cp:coreProperties>
</file>